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DataAnalysis\Transfer Entropy\EyeHeadDirc\"/>
    </mc:Choice>
  </mc:AlternateContent>
  <xr:revisionPtr revIDLastSave="0" documentId="8_{271FF7F0-6F54-4254-8A6F-5346C84ABAC8}" xr6:coauthVersionLast="45" xr6:coauthVersionMax="45" xr10:uidLastSave="{00000000-0000-0000-0000-000000000000}"/>
  <bookViews>
    <workbookView xWindow="1305" yWindow="1305" windowWidth="17280" windowHeight="8970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</calcChain>
</file>

<file path=xl/sharedStrings.xml><?xml version="1.0" encoding="utf-8"?>
<sst xmlns="http://schemas.openxmlformats.org/spreadsheetml/2006/main" count="14251" uniqueCount="103">
  <si>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</si>
  <si>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</si>
  <si>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</si>
  <si>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</si>
  <si>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</si>
  <si>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</si>
  <si>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</si>
  <si>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</si>
  <si>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</si>
  <si>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</si>
  <si>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</si>
  <si>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</si>
  <si>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</si>
  <si>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</si>
  <si>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</si>
  <si>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</si>
  <si>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</si>
  <si>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</si>
  <si>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</si>
  <si>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</si>
  <si>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</si>
  <si>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</si>
  <si>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</si>
  <si>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</si>
  <si>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</si>
  <si>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</si>
  <si>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</si>
  <si>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</si>
  <si>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</si>
  <si>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</si>
  <si>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</si>
  <si>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</si>
  <si>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</si>
  <si>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</si>
  <si>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</si>
  <si>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</si>
  <si>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</si>
  <si>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Testday_off</t>
  </si>
  <si>
    <t>mcp_road_part_02</t>
  </si>
  <si>
    <t>Plane_01</t>
  </si>
  <si>
    <t>Kooper</t>
  </si>
  <si>
    <t>Building 07 (16)</t>
  </si>
  <si>
    <t>mcp_roads_turn_01 (1)</t>
  </si>
  <si>
    <t>Building 18 (9)</t>
  </si>
  <si>
    <t>Building 07 (18)</t>
  </si>
  <si>
    <t>Building 07 (17)</t>
  </si>
  <si>
    <t>Building 24 (1)</t>
  </si>
  <si>
    <t>Box001</t>
  </si>
  <si>
    <t>FAR</t>
  </si>
  <si>
    <t>Building 15 (35)</t>
  </si>
  <si>
    <t>Building 18 (2)</t>
  </si>
  <si>
    <t>Building 23 (4)</t>
  </si>
  <si>
    <t>Building 15 (34)</t>
  </si>
  <si>
    <t>Tree 02 (6)</t>
  </si>
  <si>
    <t>Tong (5)</t>
  </si>
  <si>
    <t>Building 21 (2)</t>
  </si>
  <si>
    <t>mcp_roads_T_cross_01</t>
  </si>
  <si>
    <t>Building 18 (5)</t>
  </si>
  <si>
    <t>Building 18 (4)</t>
  </si>
  <si>
    <t>mcp_road_part_01</t>
  </si>
  <si>
    <t>Building 15 (33)</t>
  </si>
  <si>
    <t>mcp_roads_cross_01</t>
  </si>
  <si>
    <t>Building 01 (9)</t>
  </si>
  <si>
    <t>Floor 01</t>
  </si>
  <si>
    <t>Building 15 (31)</t>
  </si>
  <si>
    <t>Building 15 (32)</t>
  </si>
  <si>
    <t>Building 15 (19)</t>
  </si>
  <si>
    <t>Building 07 (15)</t>
  </si>
  <si>
    <t>Building 02 (11)</t>
  </si>
  <si>
    <t>Building 24</t>
  </si>
  <si>
    <t>Stand 03 (2)</t>
  </si>
  <si>
    <t>Tree 02 (3)</t>
  </si>
  <si>
    <t>mcp_roads_cross_02</t>
  </si>
  <si>
    <t>Tree 02 (7)</t>
  </si>
  <si>
    <t>Building 29 (5)</t>
  </si>
  <si>
    <t>mcp_roads_turn_01</t>
  </si>
  <si>
    <t>Building 09 (4)</t>
  </si>
  <si>
    <t>Building 15 (7)</t>
  </si>
  <si>
    <t>Building 13 (1)</t>
  </si>
  <si>
    <t>Building 14 (16)</t>
  </si>
  <si>
    <t>Building 18 (6)</t>
  </si>
  <si>
    <t>mcp_bus_stop_night_LOD_0</t>
  </si>
  <si>
    <t>Building 30 (4)</t>
  </si>
  <si>
    <t>Shurbs (1)</t>
  </si>
  <si>
    <t>Shurbs</t>
  </si>
  <si>
    <t>Building 01</t>
  </si>
  <si>
    <t>Building 18 (11)</t>
  </si>
  <si>
    <t>Building 04 (3)</t>
  </si>
  <si>
    <t>mcp_road_part_02 (1)</t>
  </si>
  <si>
    <t>mcp_road_part_02 (2)</t>
  </si>
  <si>
    <t>mcp_road_part_02 (3)</t>
  </si>
  <si>
    <t>Shurbs (2)</t>
  </si>
  <si>
    <t>Tree 04 (6)</t>
  </si>
  <si>
    <t>Tree 04 (5)</t>
  </si>
  <si>
    <t>Building 07 (14)</t>
  </si>
  <si>
    <t>mcp_road_part_02 (6)</t>
  </si>
  <si>
    <t>mcp_road_part_02 (7)</t>
  </si>
  <si>
    <t>mcp_road_part_02 (9)</t>
  </si>
  <si>
    <t>mcp_road_part_02 (8)</t>
  </si>
  <si>
    <t>mcp_road_part_02 (10)</t>
  </si>
  <si>
    <t>mcp_road_part_02 (12)</t>
  </si>
  <si>
    <t>mcp_road_part_02 (11)</t>
  </si>
  <si>
    <t>Canopi 01 (4)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</si>
</sst>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108"/>
  <sheetViews>
    <sheetView tabSelected="1" workbookViewId="0"/>
  </sheetViews>
  <sheetFormatPr defaultRowHeight="14.2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tr">
        <f>"20200111155501639"</f>
        <v>20200111155501639</v>
      </c>
      <c r="B2" t="str">
        <f>"1578729301632692"</f>
        <v>1578729301632692</v>
      </c>
      <c r="C2" t="s">
        <v>37</v>
      </c>
      <c r="D2">
        <v>4.7249109999999996</v>
      </c>
      <c r="E2">
        <v>0.54887180000000002</v>
      </c>
      <c r="F2" t="s">
        <v>38</v>
      </c>
      <c r="G2">
        <v>-451.0822</v>
      </c>
      <c r="H2" s="1">
        <v>-4.0420569999999997E-6</v>
      </c>
      <c r="I2">
        <v>368.29680000000002</v>
      </c>
      <c r="J2">
        <v>-477.10410000000002</v>
      </c>
      <c r="K2">
        <v>1.104061</v>
      </c>
      <c r="L2">
        <v>367.52449999999999</v>
      </c>
      <c r="M2">
        <v>0.9999593</v>
      </c>
      <c r="N2">
        <v>0</v>
      </c>
      <c r="O2">
        <v>-1.074743E-4</v>
      </c>
      <c r="P2">
        <v>0.98508700000000005</v>
      </c>
      <c r="Q2">
        <v>-1.286342E-2</v>
      </c>
      <c r="R2">
        <v>0.171576799999999</v>
      </c>
      <c r="S2">
        <v>3.0278320000000001</v>
      </c>
      <c r="T2">
        <v>-0.1284563</v>
      </c>
      <c r="U2">
        <v>8.984375E-2</v>
      </c>
      <c r="V2">
        <v>-0.17168339999999899</v>
      </c>
      <c r="W2">
        <v>-3.954483E-3</v>
      </c>
      <c r="X2">
        <v>0.98514429999999997</v>
      </c>
      <c r="Y2">
        <v>-2.9740180000000001E-2</v>
      </c>
      <c r="Z2">
        <v>6.3500079999999999E-4</v>
      </c>
      <c r="AA2">
        <v>0.99955740000000004</v>
      </c>
      <c r="AB2">
        <v>1</v>
      </c>
      <c r="AC2">
        <v>26.021899999999999</v>
      </c>
      <c r="AD2">
        <v>-1.104065042057</v>
      </c>
      <c r="AE2">
        <v>0.77230000000002896</v>
      </c>
      <c r="AF2">
        <v>-0.773705226726633</v>
      </c>
      <c r="AG2">
        <v>-1.104065042057</v>
      </c>
      <c r="AH2">
        <v>25.975098639414501</v>
      </c>
      <c r="AI2">
        <v>92.432800003706603</v>
      </c>
      <c r="AJ2">
        <v>91.706131758747603</v>
      </c>
      <c r="AK2">
        <v>26.010062066866901</v>
      </c>
    </row>
    <row r="3" spans="1:37" x14ac:dyDescent="0.2">
      <c r="A3" t="str">
        <f>"20200111155501652"</f>
        <v>20200111155501652</v>
      </c>
      <c r="B3" t="str">
        <f>"1578729301642453"</f>
        <v>1578729301642453</v>
      </c>
      <c r="C3" t="s">
        <v>37</v>
      </c>
      <c r="D3">
        <v>4.7445760000000003</v>
      </c>
      <c r="E3">
        <v>0.54750880000000002</v>
      </c>
      <c r="F3" t="s">
        <v>38</v>
      </c>
      <c r="G3">
        <v>-452.08980000000003</v>
      </c>
      <c r="H3" s="1">
        <v>-3.5562360000000001E-6</v>
      </c>
      <c r="I3">
        <v>368.59890000000001</v>
      </c>
      <c r="J3">
        <v>-477.09789999999998</v>
      </c>
      <c r="K3">
        <v>1.103945</v>
      </c>
      <c r="L3">
        <v>367.52449999999999</v>
      </c>
      <c r="M3">
        <v>0.99996509999999905</v>
      </c>
      <c r="N3">
        <v>0</v>
      </c>
      <c r="O3">
        <v>-1.448694E-4</v>
      </c>
      <c r="P3">
        <v>0.98506439999999995</v>
      </c>
      <c r="Q3">
        <v>-1.265351E-2</v>
      </c>
      <c r="R3">
        <v>0.1717207</v>
      </c>
      <c r="S3">
        <v>3.0210270000000001</v>
      </c>
      <c r="T3">
        <v>-0.13333979999999901</v>
      </c>
      <c r="U3">
        <v>0.12976070000000001</v>
      </c>
      <c r="V3">
        <v>-0.17186390000000001</v>
      </c>
      <c r="W3">
        <v>-4.4026819999999998E-3</v>
      </c>
      <c r="X3">
        <v>0.98511090000000001</v>
      </c>
      <c r="Y3">
        <v>-4.301576E-2</v>
      </c>
      <c r="Z3">
        <v>9.5478839999999995E-4</v>
      </c>
      <c r="AA3">
        <v>0.99907389999999996</v>
      </c>
      <c r="AB3">
        <v>1</v>
      </c>
      <c r="AC3">
        <v>25.008099999999899</v>
      </c>
      <c r="AD3">
        <v>-1.1039485562360001</v>
      </c>
      <c r="AE3">
        <v>1.07440000000002</v>
      </c>
      <c r="AF3">
        <v>-1.07593026300205</v>
      </c>
      <c r="AG3">
        <v>-1.1039485562360001</v>
      </c>
      <c r="AH3">
        <v>24.9593962907548</v>
      </c>
      <c r="AI3">
        <v>92.530182342795698</v>
      </c>
      <c r="AJ3">
        <v>92.4683337911178</v>
      </c>
      <c r="AK3">
        <v>25.0069548634896</v>
      </c>
    </row>
    <row r="4" spans="1:37" x14ac:dyDescent="0.2">
      <c r="A4" t="str">
        <f>"20200111155501665"</f>
        <v>20200111155501665</v>
      </c>
      <c r="B4" t="str">
        <f>"1578729301662948"</f>
        <v>1578729301662948</v>
      </c>
      <c r="C4" t="s">
        <v>37</v>
      </c>
      <c r="D4">
        <v>4.7230179999999997</v>
      </c>
      <c r="E4">
        <v>0.5458693</v>
      </c>
      <c r="F4" t="s">
        <v>38</v>
      </c>
      <c r="G4">
        <v>-452.3997</v>
      </c>
      <c r="H4" s="1">
        <v>-3.4096240000000002E-6</v>
      </c>
      <c r="I4">
        <v>368.67579999999998</v>
      </c>
      <c r="J4">
        <v>-477.09030000000001</v>
      </c>
      <c r="K4">
        <v>1.103831</v>
      </c>
      <c r="L4">
        <v>367.52449999999999</v>
      </c>
      <c r="M4">
        <v>0.9999709</v>
      </c>
      <c r="N4">
        <v>0</v>
      </c>
      <c r="O4">
        <v>-1.900615E-4</v>
      </c>
      <c r="P4">
        <v>0.98509859999999905</v>
      </c>
      <c r="Q4">
        <v>-1.221037E-2</v>
      </c>
      <c r="R4">
        <v>0.17155689999999901</v>
      </c>
      <c r="S4">
        <v>3.01922599999999</v>
      </c>
      <c r="T4">
        <v>-0.13495179999999901</v>
      </c>
      <c r="U4">
        <v>0.14074710000000001</v>
      </c>
      <c r="V4">
        <v>-0.17174439999999999</v>
      </c>
      <c r="W4">
        <v>-4.6602079999999999E-3</v>
      </c>
      <c r="X4">
        <v>0.98513050000000002</v>
      </c>
      <c r="Y4">
        <v>-4.6709500000000001E-2</v>
      </c>
      <c r="Z4">
        <v>1.0512989999999999E-3</v>
      </c>
      <c r="AA4">
        <v>0.99890800000000002</v>
      </c>
      <c r="AB4">
        <v>1</v>
      </c>
      <c r="AC4">
        <v>24.6906</v>
      </c>
      <c r="AD4">
        <v>-1.103834409624</v>
      </c>
      <c r="AE4">
        <v>1.15129999999999</v>
      </c>
      <c r="AF4">
        <v>-1.1536919828535801</v>
      </c>
      <c r="AG4">
        <v>-1.103834409624</v>
      </c>
      <c r="AH4">
        <v>24.6412374844016</v>
      </c>
      <c r="AI4">
        <v>92.562116962011402</v>
      </c>
      <c r="AJ4">
        <v>92.680605836980405</v>
      </c>
      <c r="AK4">
        <v>24.692914780516499</v>
      </c>
    </row>
    <row r="5" spans="1:37" x14ac:dyDescent="0.2">
      <c r="A5" t="str">
        <f>"20200111155501683"</f>
        <v>20200111155501683</v>
      </c>
      <c r="B5" t="str">
        <f>"1578729301672710"</f>
        <v>1578729301672710</v>
      </c>
      <c r="C5" t="s">
        <v>37</v>
      </c>
      <c r="D5">
        <v>4.7327019999999997</v>
      </c>
      <c r="E5">
        <v>0.54531370000000001</v>
      </c>
      <c r="F5" t="s">
        <v>38</v>
      </c>
      <c r="G5">
        <v>-452.67509999999999</v>
      </c>
      <c r="H5" s="1">
        <v>-3.2757350000000002E-6</v>
      </c>
      <c r="I5">
        <v>368.76459999999997</v>
      </c>
      <c r="J5">
        <v>-477.07979999999998</v>
      </c>
      <c r="K5">
        <v>1.1037079999999999</v>
      </c>
      <c r="L5">
        <v>367.52440000000001</v>
      </c>
      <c r="M5">
        <v>0.99997689999999995</v>
      </c>
      <c r="N5">
        <v>0</v>
      </c>
      <c r="O5">
        <v>-2.5172390000000001E-4</v>
      </c>
      <c r="P5">
        <v>0.98526919999999996</v>
      </c>
      <c r="Q5">
        <v>-1.2570019999999999E-2</v>
      </c>
      <c r="R5">
        <v>0.170548799999999</v>
      </c>
      <c r="S5">
        <v>3.0169980000000001</v>
      </c>
      <c r="T5">
        <v>-0.1364012</v>
      </c>
      <c r="U5">
        <v>0.15325929999999999</v>
      </c>
      <c r="V5">
        <v>-0.17079810000000001</v>
      </c>
      <c r="W5">
        <v>-5.8515930000000004E-3</v>
      </c>
      <c r="X5">
        <v>0.98528869999999902</v>
      </c>
      <c r="Y5">
        <v>-5.0932430000000001E-2</v>
      </c>
      <c r="Z5">
        <v>1.16139E-3</v>
      </c>
      <c r="AA5">
        <v>0.99870149999999902</v>
      </c>
      <c r="AB5">
        <v>1</v>
      </c>
      <c r="AC5">
        <v>24.404699999999899</v>
      </c>
      <c r="AD5">
        <v>-1.1037112757349901</v>
      </c>
      <c r="AE5">
        <v>1.24019999999995</v>
      </c>
      <c r="AF5">
        <v>-1.2438059043940699</v>
      </c>
      <c r="AG5">
        <v>-1.1037112757349901</v>
      </c>
      <c r="AH5">
        <v>24.354701868479701</v>
      </c>
      <c r="AI5">
        <v>92.591393689413707</v>
      </c>
      <c r="AJ5">
        <v>92.923582007308895</v>
      </c>
      <c r="AK5">
        <v>24.4114058343742</v>
      </c>
    </row>
    <row r="6" spans="1:37" x14ac:dyDescent="0.2">
      <c r="A6" t="str">
        <f>"20200111155501695"</f>
        <v>20200111155501695</v>
      </c>
      <c r="B6" t="str">
        <f>"1578729301692227"</f>
        <v>1578729301692227</v>
      </c>
      <c r="C6" t="s">
        <v>37</v>
      </c>
      <c r="D6">
        <v>4.7299280000000001</v>
      </c>
      <c r="E6">
        <v>0.54475439999999997</v>
      </c>
      <c r="F6" t="s">
        <v>38</v>
      </c>
      <c r="G6">
        <v>-452.90359999999998</v>
      </c>
      <c r="H6" s="1">
        <v>-3.1783129999999999E-6</v>
      </c>
      <c r="I6">
        <v>368.76130000000001</v>
      </c>
      <c r="J6">
        <v>-477.07069999999999</v>
      </c>
      <c r="K6">
        <v>1.1036159999999999</v>
      </c>
      <c r="L6">
        <v>367.52440000000001</v>
      </c>
      <c r="M6">
        <v>0.99998089999999995</v>
      </c>
      <c r="N6">
        <v>0</v>
      </c>
      <c r="O6">
        <v>-3.0446679999999998E-4</v>
      </c>
      <c r="P6">
        <v>0.98539750000000004</v>
      </c>
      <c r="Q6">
        <v>-1.259793E-2</v>
      </c>
      <c r="R6">
        <v>0.1698025</v>
      </c>
      <c r="S6">
        <v>3.0163880000000001</v>
      </c>
      <c r="T6">
        <v>-0.137706299999999</v>
      </c>
      <c r="U6">
        <v>0.154327399999999</v>
      </c>
      <c r="V6">
        <v>-0.17010339999999999</v>
      </c>
      <c r="W6">
        <v>-6.5086930000000003E-3</v>
      </c>
      <c r="X6">
        <v>0.98540469999999902</v>
      </c>
      <c r="Y6">
        <v>-5.1346559999999999E-2</v>
      </c>
      <c r="Z6">
        <v>1.1845639999999999E-3</v>
      </c>
      <c r="AA6">
        <v>0.99868020000000002</v>
      </c>
      <c r="AB6">
        <v>1</v>
      </c>
      <c r="AC6">
        <v>24.167100000000001</v>
      </c>
      <c r="AD6">
        <v>-1.1036191783129901</v>
      </c>
      <c r="AE6">
        <v>1.2368999999999899</v>
      </c>
      <c r="AF6">
        <v>-1.24167553733734</v>
      </c>
      <c r="AG6">
        <v>-1.1036191783129901</v>
      </c>
      <c r="AH6">
        <v>24.116560995831001</v>
      </c>
      <c r="AI6">
        <v>92.616673556075497</v>
      </c>
      <c r="AJ6">
        <v>92.947352428773897</v>
      </c>
      <c r="AK6">
        <v>24.173709845540898</v>
      </c>
    </row>
    <row r="7" spans="1:37" x14ac:dyDescent="0.2">
      <c r="A7" t="str">
        <f>"20200111155501708"</f>
        <v>20200111155501708</v>
      </c>
      <c r="B7" t="str">
        <f>"1578729301702964"</f>
        <v>1578729301702964</v>
      </c>
      <c r="C7" t="s">
        <v>37</v>
      </c>
      <c r="D7">
        <v>4.7470460000000001</v>
      </c>
      <c r="E7">
        <v>0.54450169999999998</v>
      </c>
      <c r="F7" t="s">
        <v>38</v>
      </c>
      <c r="G7">
        <v>-453.2226</v>
      </c>
      <c r="H7" s="1">
        <v>-3.04106699999999E-6</v>
      </c>
      <c r="I7">
        <v>368.76350000000002</v>
      </c>
      <c r="J7">
        <v>-477.06079999999997</v>
      </c>
      <c r="K7">
        <v>1.103542</v>
      </c>
      <c r="L7">
        <v>367.52429999999998</v>
      </c>
      <c r="M7">
        <v>0.99998469999999995</v>
      </c>
      <c r="N7">
        <v>0</v>
      </c>
      <c r="O7">
        <v>-3.6144519999999899E-4</v>
      </c>
      <c r="P7">
        <v>0.98552819999999997</v>
      </c>
      <c r="Q7">
        <v>-1.247128E-2</v>
      </c>
      <c r="R7">
        <v>0.16905339999999999</v>
      </c>
      <c r="S7">
        <v>3.0156559999999999</v>
      </c>
      <c r="T7">
        <v>-0.13955519999999999</v>
      </c>
      <c r="U7">
        <v>0.15670780000000001</v>
      </c>
      <c r="V7">
        <v>-0.16941120000000001</v>
      </c>
      <c r="W7">
        <v>-6.974633E-3</v>
      </c>
      <c r="X7">
        <v>0.98552079999999997</v>
      </c>
      <c r="Y7">
        <v>-5.2199580000000002E-2</v>
      </c>
      <c r="Z7">
        <v>1.2230660000000001E-3</v>
      </c>
      <c r="AA7">
        <v>0.99863590000000002</v>
      </c>
      <c r="AB7">
        <v>1</v>
      </c>
      <c r="AC7">
        <v>23.838199999999901</v>
      </c>
      <c r="AD7">
        <v>-1.103545041067</v>
      </c>
      <c r="AE7">
        <v>1.2392000000000301</v>
      </c>
      <c r="AF7">
        <v>-1.2451550097975399</v>
      </c>
      <c r="AG7">
        <v>-1.103545041067</v>
      </c>
      <c r="AH7">
        <v>23.786911270344302</v>
      </c>
      <c r="AI7">
        <v>92.652589265977795</v>
      </c>
      <c r="AJ7">
        <v>92.9964828490766</v>
      </c>
      <c r="AK7">
        <v>23.845028212172899</v>
      </c>
    </row>
    <row r="8" spans="1:37" x14ac:dyDescent="0.2">
      <c r="A8" t="str">
        <f>"20200111155501720"</f>
        <v>20200111155501720</v>
      </c>
      <c r="B8" t="str">
        <f>"1578729301712724"</f>
        <v>1578729301712724</v>
      </c>
      <c r="C8" t="s">
        <v>37</v>
      </c>
      <c r="D8">
        <v>4.761304</v>
      </c>
      <c r="E8">
        <v>0.54430349999999905</v>
      </c>
      <c r="F8" t="s">
        <v>38</v>
      </c>
      <c r="G8">
        <v>-453.27760000000001</v>
      </c>
      <c r="H8" s="1">
        <v>-3.01876E-6</v>
      </c>
      <c r="I8">
        <v>368.75630000000001</v>
      </c>
      <c r="J8">
        <v>-477.05020000000002</v>
      </c>
      <c r="K8">
        <v>1.10347</v>
      </c>
      <c r="L8">
        <v>367.52429999999998</v>
      </c>
      <c r="M8">
        <v>0.99998759999999998</v>
      </c>
      <c r="N8">
        <v>0</v>
      </c>
      <c r="O8">
        <v>-4.2123870000000002E-4</v>
      </c>
      <c r="P8">
        <v>0.98562700000000003</v>
      </c>
      <c r="Q8">
        <v>-1.2153199999999999E-2</v>
      </c>
      <c r="R8">
        <v>0.16849909999999901</v>
      </c>
      <c r="S8">
        <v>3.0154719999999999</v>
      </c>
      <c r="T8">
        <v>-0.13991789999999901</v>
      </c>
      <c r="U8">
        <v>0.15621949999999901</v>
      </c>
      <c r="V8">
        <v>-0.1689156</v>
      </c>
      <c r="W8">
        <v>-7.2437450000000002E-3</v>
      </c>
      <c r="X8">
        <v>0.98560389999999998</v>
      </c>
      <c r="Y8">
        <v>-5.2100920000000002E-2</v>
      </c>
      <c r="Z8">
        <v>1.2268050000000001E-3</v>
      </c>
      <c r="AA8">
        <v>0.99864109999999995</v>
      </c>
      <c r="AB8">
        <v>2</v>
      </c>
      <c r="AC8">
        <v>23.772600000000001</v>
      </c>
      <c r="AD8">
        <v>-1.1034730187599999</v>
      </c>
      <c r="AE8">
        <v>1.23200000000002</v>
      </c>
      <c r="AF8">
        <v>-1.2393507795652501</v>
      </c>
      <c r="AG8">
        <v>-1.1034730187599999</v>
      </c>
      <c r="AH8">
        <v>23.721105923040401</v>
      </c>
      <c r="AI8">
        <v>92.659777758465196</v>
      </c>
      <c r="AJ8">
        <v>92.990799109274803</v>
      </c>
      <c r="AK8">
        <v>23.779077132429698</v>
      </c>
    </row>
    <row r="9" spans="1:37" x14ac:dyDescent="0.2">
      <c r="A9" t="str">
        <f>"20200111155501740"</f>
        <v>20200111155501740</v>
      </c>
      <c r="B9" t="str">
        <f>"1578729301732245"</f>
        <v>1578729301732245</v>
      </c>
      <c r="C9" t="s">
        <v>37</v>
      </c>
      <c r="D9">
        <v>4.742737</v>
      </c>
      <c r="E9">
        <v>0.54397719999999905</v>
      </c>
      <c r="F9" t="s">
        <v>38</v>
      </c>
      <c r="G9">
        <v>-453.24009999999998</v>
      </c>
      <c r="H9" s="1">
        <v>-3.0346199999999998E-6</v>
      </c>
      <c r="I9">
        <v>368.75749999999999</v>
      </c>
      <c r="J9">
        <v>-477.0333</v>
      </c>
      <c r="K9">
        <v>1.1033899999999901</v>
      </c>
      <c r="L9">
        <v>367.52409999999998</v>
      </c>
      <c r="M9">
        <v>0.99999139999999997</v>
      </c>
      <c r="N9">
        <v>0</v>
      </c>
      <c r="O9">
        <v>-5.1579000000000002E-4</v>
      </c>
      <c r="P9">
        <v>0.98577230000000005</v>
      </c>
      <c r="Q9">
        <v>-1.1567239999999999E-2</v>
      </c>
      <c r="R9">
        <v>0.1676889</v>
      </c>
      <c r="S9">
        <v>3.01532</v>
      </c>
      <c r="T9">
        <v>-0.1397436</v>
      </c>
      <c r="U9">
        <v>0.15618899999999999</v>
      </c>
      <c r="V9">
        <v>-0.16819899999999999</v>
      </c>
      <c r="W9">
        <v>-7.4542710000000002E-3</v>
      </c>
      <c r="X9">
        <v>0.98572490000000001</v>
      </c>
      <c r="Y9">
        <v>-5.2187799999999999E-2</v>
      </c>
      <c r="Z9">
        <v>1.2317280000000001E-3</v>
      </c>
      <c r="AA9">
        <v>0.99863649999999904</v>
      </c>
      <c r="AB9">
        <v>2</v>
      </c>
      <c r="AC9">
        <v>23.793199999999999</v>
      </c>
      <c r="AD9">
        <v>-1.1033930346199901</v>
      </c>
      <c r="AE9">
        <v>1.23340000000001</v>
      </c>
      <c r="AF9">
        <v>-1.2430062194562801</v>
      </c>
      <c r="AG9">
        <v>-1.1033930346199901</v>
      </c>
      <c r="AH9">
        <v>23.741639294531399</v>
      </c>
      <c r="AI9">
        <v>92.657273298214506</v>
      </c>
      <c r="AJ9">
        <v>92.9970147956885</v>
      </c>
      <c r="AK9">
        <v>23.799747415510399</v>
      </c>
    </row>
    <row r="10" spans="1:37" x14ac:dyDescent="0.2">
      <c r="A10" t="str">
        <f>"20200111155501751"</f>
        <v>20200111155501751</v>
      </c>
      <c r="B10" t="str">
        <f>"1578729301742979"</f>
        <v>1578729301742979</v>
      </c>
      <c r="C10" t="s">
        <v>37</v>
      </c>
      <c r="D10">
        <v>4.8774660000000001</v>
      </c>
      <c r="E10">
        <v>0.54369029999999996</v>
      </c>
      <c r="F10" t="s">
        <v>38</v>
      </c>
      <c r="G10">
        <v>-453.1343</v>
      </c>
      <c r="H10" s="1">
        <v>-3.0790999999999999E-6</v>
      </c>
      <c r="I10">
        <v>368.76260000000002</v>
      </c>
      <c r="J10">
        <v>-477.02010000000001</v>
      </c>
      <c r="K10">
        <v>1.1033500000000001</v>
      </c>
      <c r="L10">
        <v>367.524</v>
      </c>
      <c r="M10">
        <v>0.99999309999999997</v>
      </c>
      <c r="N10">
        <v>0</v>
      </c>
      <c r="O10">
        <v>-5.8702220000000005E-4</v>
      </c>
      <c r="P10">
        <v>0.98583880000000002</v>
      </c>
      <c r="Q10">
        <v>-1.104658E-2</v>
      </c>
      <c r="R10">
        <v>0.1673318</v>
      </c>
      <c r="S10">
        <v>3.015015</v>
      </c>
      <c r="T10">
        <v>-0.13920009999999999</v>
      </c>
      <c r="U10">
        <v>0.15625</v>
      </c>
      <c r="V10">
        <v>-0.1679119</v>
      </c>
      <c r="W10">
        <v>-7.4266860000000001E-3</v>
      </c>
      <c r="X10">
        <v>0.98577399999999904</v>
      </c>
      <c r="Y10">
        <v>-5.2284570000000002E-2</v>
      </c>
      <c r="Z10">
        <v>1.2325820000000001E-3</v>
      </c>
      <c r="AA10">
        <v>0.99863150000000001</v>
      </c>
      <c r="AB10">
        <v>2</v>
      </c>
      <c r="AC10">
        <v>23.8858</v>
      </c>
      <c r="AD10">
        <v>-1.1033530790999999</v>
      </c>
      <c r="AE10">
        <v>1.2386000000000099</v>
      </c>
      <c r="AF10">
        <v>-1.2499613869852899</v>
      </c>
      <c r="AG10">
        <v>-1.1033530790999999</v>
      </c>
      <c r="AH10">
        <v>23.834347948188601</v>
      </c>
      <c r="AI10">
        <v>92.646844118947698</v>
      </c>
      <c r="AJ10">
        <v>93.002052448771195</v>
      </c>
      <c r="AK10">
        <v>23.8925916049607</v>
      </c>
    </row>
    <row r="11" spans="1:37" x14ac:dyDescent="0.2">
      <c r="A11" t="str">
        <f>"20200111155501764"</f>
        <v>20200111155501764</v>
      </c>
      <c r="B11" t="str">
        <f>"1578729301762500"</f>
        <v>1578729301762500</v>
      </c>
      <c r="C11" t="s">
        <v>37</v>
      </c>
      <c r="D11">
        <v>4.6770079999999998</v>
      </c>
      <c r="E11">
        <v>0.54324130000000004</v>
      </c>
      <c r="F11" t="s">
        <v>38</v>
      </c>
      <c r="G11">
        <v>-452.79950000000002</v>
      </c>
      <c r="H11" s="1">
        <v>-3.2179390000000002E-6</v>
      </c>
      <c r="I11">
        <v>368.78960000000001</v>
      </c>
      <c r="J11">
        <v>-477.00630000000001</v>
      </c>
      <c r="K11">
        <v>1.1033200000000001</v>
      </c>
      <c r="L11">
        <v>367.524</v>
      </c>
      <c r="M11">
        <v>0.99999479999999996</v>
      </c>
      <c r="N11">
        <v>0</v>
      </c>
      <c r="O11">
        <v>-6.616409E-4</v>
      </c>
      <c r="P11">
        <v>0.98587579999999997</v>
      </c>
      <c r="Q11">
        <v>-1.0771599999999999E-2</v>
      </c>
      <c r="R11">
        <v>0.16713220000000001</v>
      </c>
      <c r="S11">
        <v>3.0147710000000001</v>
      </c>
      <c r="T11">
        <v>-0.13733529999999999</v>
      </c>
      <c r="U11">
        <v>0.1575317</v>
      </c>
      <c r="V11">
        <v>-0.16778609999999999</v>
      </c>
      <c r="W11">
        <v>-7.6184850000000004E-3</v>
      </c>
      <c r="X11">
        <v>0.98579399999999995</v>
      </c>
      <c r="Y11">
        <v>-5.2787580000000001E-2</v>
      </c>
      <c r="Z11">
        <v>1.23101E-3</v>
      </c>
      <c r="AA11">
        <v>0.99860499999999996</v>
      </c>
      <c r="AB11">
        <v>2</v>
      </c>
      <c r="AC11">
        <v>24.206799999999902</v>
      </c>
      <c r="AD11">
        <v>-1.103323217939</v>
      </c>
      <c r="AE11">
        <v>1.2656000000000001</v>
      </c>
      <c r="AF11">
        <v>-1.2789662652481399</v>
      </c>
      <c r="AG11">
        <v>-1.103323217939</v>
      </c>
      <c r="AH11">
        <v>24.155911406900501</v>
      </c>
      <c r="AI11">
        <v>92.611518983657504</v>
      </c>
      <c r="AJ11">
        <v>93.030769896799796</v>
      </c>
      <c r="AK11">
        <v>24.2148948527329</v>
      </c>
    </row>
    <row r="12" spans="1:37" x14ac:dyDescent="0.2">
      <c r="A12" t="str">
        <f>"20200111155501777"</f>
        <v>20200111155501777</v>
      </c>
      <c r="B12" t="str">
        <f>"1578729301772260"</f>
        <v>1578729301772260</v>
      </c>
      <c r="C12" t="s">
        <v>37</v>
      </c>
      <c r="D12">
        <v>4.9032460000000002</v>
      </c>
      <c r="E12">
        <v>0.54289509999999996</v>
      </c>
      <c r="F12" t="s">
        <v>38</v>
      </c>
      <c r="G12">
        <v>-452.70859999999999</v>
      </c>
      <c r="H12" s="1">
        <v>-3.25196199999999E-6</v>
      </c>
      <c r="I12">
        <v>368.81760000000003</v>
      </c>
      <c r="J12">
        <v>-476.99180000000001</v>
      </c>
      <c r="K12">
        <v>1.1032919999999999</v>
      </c>
      <c r="L12">
        <v>367.52390000000003</v>
      </c>
      <c r="M12">
        <v>0.99999590000000005</v>
      </c>
      <c r="N12">
        <v>0</v>
      </c>
      <c r="O12">
        <v>-7.388049E-4</v>
      </c>
      <c r="P12">
        <v>0.98591830000000003</v>
      </c>
      <c r="Q12">
        <v>-1.075915E-2</v>
      </c>
      <c r="R12">
        <v>0.16688129999999901</v>
      </c>
      <c r="S12">
        <v>3.0142820000000001</v>
      </c>
      <c r="T12">
        <v>-0.136874</v>
      </c>
      <c r="U12">
        <v>0.16049189999999999</v>
      </c>
      <c r="V12">
        <v>-0.16761119999999999</v>
      </c>
      <c r="W12">
        <v>-8.038234E-3</v>
      </c>
      <c r="X12">
        <v>0.98582039999999904</v>
      </c>
      <c r="Y12">
        <v>-5.3850189999999999E-2</v>
      </c>
      <c r="Z12">
        <v>1.254642E-3</v>
      </c>
      <c r="AA12">
        <v>0.9985482</v>
      </c>
      <c r="AB12">
        <v>2</v>
      </c>
      <c r="AC12">
        <v>24.283200000000001</v>
      </c>
      <c r="AD12">
        <v>-1.1032952519619901</v>
      </c>
      <c r="AE12">
        <v>1.2937000000000001</v>
      </c>
      <c r="AF12">
        <v>-1.30894586040434</v>
      </c>
      <c r="AG12">
        <v>-1.1032952519619901</v>
      </c>
      <c r="AH12">
        <v>24.232356432607698</v>
      </c>
      <c r="AI12">
        <v>92.603077610224105</v>
      </c>
      <c r="AJ12">
        <v>93.091909756160405</v>
      </c>
      <c r="AK12">
        <v>24.2927499051757</v>
      </c>
    </row>
    <row r="13" spans="1:37" x14ac:dyDescent="0.2">
      <c r="A13" t="str">
        <f>"20200111155501788"</f>
        <v>20200111155501788</v>
      </c>
      <c r="B13" t="str">
        <f>"1578729301782996"</f>
        <v>1578729301782996</v>
      </c>
      <c r="C13" t="s">
        <v>37</v>
      </c>
      <c r="D13">
        <v>4.694159</v>
      </c>
      <c r="E13">
        <v>0.54281409999999997</v>
      </c>
      <c r="F13" t="s">
        <v>38</v>
      </c>
      <c r="G13">
        <v>-452.57819999999998</v>
      </c>
      <c r="H13" s="1">
        <v>-3.3044279999999898E-6</v>
      </c>
      <c r="I13">
        <v>368.8372</v>
      </c>
      <c r="J13">
        <v>-476.97649999999999</v>
      </c>
      <c r="K13">
        <v>1.1032709999999999</v>
      </c>
      <c r="L13">
        <v>367.52379999999999</v>
      </c>
      <c r="M13">
        <v>0.99999709999999997</v>
      </c>
      <c r="N13">
        <v>0</v>
      </c>
      <c r="O13">
        <v>-8.1935009999999997E-4</v>
      </c>
      <c r="P13">
        <v>0.98599239999999999</v>
      </c>
      <c r="Q13">
        <v>-1.0853440000000001E-2</v>
      </c>
      <c r="R13">
        <v>0.16643769999999999</v>
      </c>
      <c r="S13">
        <v>3.013916</v>
      </c>
      <c r="T13">
        <v>-0.13620409999999999</v>
      </c>
      <c r="U13">
        <v>0.162139899999999</v>
      </c>
      <c r="V13">
        <v>-0.16724710000000001</v>
      </c>
      <c r="W13">
        <v>-8.5108690000000008E-3</v>
      </c>
      <c r="X13">
        <v>0.98587829999999999</v>
      </c>
      <c r="Y13">
        <v>-5.448128E-2</v>
      </c>
      <c r="Z13">
        <v>1.266519E-3</v>
      </c>
      <c r="AA13">
        <v>0.99851399999999901</v>
      </c>
      <c r="AB13">
        <v>2</v>
      </c>
      <c r="AC13">
        <v>24.398299999999999</v>
      </c>
      <c r="AD13">
        <v>-1.10327430442799</v>
      </c>
      <c r="AE13">
        <v>1.3133999999999999</v>
      </c>
      <c r="AF13">
        <v>-1.3306772717275099</v>
      </c>
      <c r="AG13">
        <v>-1.10327430442799</v>
      </c>
      <c r="AH13">
        <v>24.347573947541399</v>
      </c>
      <c r="AI13">
        <v>92.590637763987701</v>
      </c>
      <c r="AJ13">
        <v>93.128295898226</v>
      </c>
      <c r="AK13">
        <v>24.408856452593199</v>
      </c>
    </row>
    <row r="14" spans="1:37" x14ac:dyDescent="0.2">
      <c r="A14" t="str">
        <f>"20200111155501807"</f>
        <v>20200111155501807</v>
      </c>
      <c r="B14" t="str">
        <f>"1578729301802516"</f>
        <v>1578729301802516</v>
      </c>
      <c r="C14" t="s">
        <v>37</v>
      </c>
      <c r="D14">
        <v>4.7053370000000001</v>
      </c>
      <c r="E14">
        <v>0.54274169999999999</v>
      </c>
      <c r="F14" t="s">
        <v>38</v>
      </c>
      <c r="G14">
        <v>-452.56549999999999</v>
      </c>
      <c r="H14" s="1">
        <v>-3.3104079999999999E-6</v>
      </c>
      <c r="I14">
        <v>368.83429999999998</v>
      </c>
      <c r="J14">
        <v>-476.95299999999997</v>
      </c>
      <c r="K14">
        <v>1.1032389999999901</v>
      </c>
      <c r="L14">
        <v>367.52359999999999</v>
      </c>
      <c r="M14">
        <v>0.99999780000000005</v>
      </c>
      <c r="N14">
        <v>0</v>
      </c>
      <c r="O14">
        <v>-9.4024009999999999E-4</v>
      </c>
      <c r="P14">
        <v>0.98604539999999996</v>
      </c>
      <c r="Q14">
        <v>-1.1927709999999999E-2</v>
      </c>
      <c r="R14">
        <v>0.16604939999999899</v>
      </c>
      <c r="S14">
        <v>3.0137939999999999</v>
      </c>
      <c r="T14">
        <v>-0.13621059999999999</v>
      </c>
      <c r="U14">
        <v>0.16180420000000001</v>
      </c>
      <c r="V14">
        <v>-0.16697809999999999</v>
      </c>
      <c r="W14">
        <v>-1.0098380000000001E-2</v>
      </c>
      <c r="X14">
        <v>0.98590889999999998</v>
      </c>
      <c r="Y14">
        <v>-5.4493109999999997E-2</v>
      </c>
      <c r="Z14">
        <v>1.2723579999999999E-3</v>
      </c>
      <c r="AA14">
        <v>0.99851329999999905</v>
      </c>
      <c r="AB14">
        <v>3</v>
      </c>
      <c r="AC14">
        <v>24.387499999999999</v>
      </c>
      <c r="AD14">
        <v>-1.10324231040799</v>
      </c>
      <c r="AE14">
        <v>1.31069999999999</v>
      </c>
      <c r="AF14">
        <v>-1.3309137243451099</v>
      </c>
      <c r="AG14">
        <v>-1.10324231040799</v>
      </c>
      <c r="AH14">
        <v>24.3365959624536</v>
      </c>
      <c r="AI14">
        <v>92.591724874162594</v>
      </c>
      <c r="AJ14">
        <v>93.130259257294597</v>
      </c>
      <c r="AK14">
        <v>24.397917492623002</v>
      </c>
    </row>
    <row r="15" spans="1:37" x14ac:dyDescent="0.2">
      <c r="A15" t="str">
        <f>"20200111155501821"</f>
        <v>20200111155501821</v>
      </c>
      <c r="B15" t="str">
        <f>"1578729301812276"</f>
        <v>1578729301812276</v>
      </c>
      <c r="C15" t="s">
        <v>37</v>
      </c>
      <c r="D15">
        <v>4.7679729999999996</v>
      </c>
      <c r="E15">
        <v>0.54279569999999999</v>
      </c>
      <c r="F15" t="s">
        <v>38</v>
      </c>
      <c r="G15">
        <v>-453.0052</v>
      </c>
      <c r="H15" s="1">
        <v>-3.1271699999999999E-6</v>
      </c>
      <c r="I15">
        <v>368.80399999999997</v>
      </c>
      <c r="J15">
        <v>-476.93400000000003</v>
      </c>
      <c r="K15">
        <v>1.1032219999999999</v>
      </c>
      <c r="L15">
        <v>367.52350000000001</v>
      </c>
      <c r="M15">
        <v>0.99999859999999896</v>
      </c>
      <c r="N15">
        <v>0</v>
      </c>
      <c r="O15">
        <v>-1.0376560000000001E-3</v>
      </c>
      <c r="P15">
        <v>0.98609069999999899</v>
      </c>
      <c r="Q15">
        <v>-1.2232989999999999E-2</v>
      </c>
      <c r="R15">
        <v>0.16575819999999999</v>
      </c>
      <c r="S15">
        <v>3.0135800000000001</v>
      </c>
      <c r="T15">
        <v>-0.1388305</v>
      </c>
      <c r="U15">
        <v>0.16113279999999999</v>
      </c>
      <c r="V15">
        <v>-0.1667833</v>
      </c>
      <c r="W15">
        <v>-1.077145E-2</v>
      </c>
      <c r="X15">
        <v>0.98593469999999905</v>
      </c>
      <c r="Y15">
        <v>-5.4370189999999999E-2</v>
      </c>
      <c r="Z15">
        <v>1.29856E-3</v>
      </c>
      <c r="AA15">
        <v>0.99851999999999996</v>
      </c>
      <c r="AB15">
        <v>3</v>
      </c>
      <c r="AC15">
        <v>23.928799999999999</v>
      </c>
      <c r="AD15">
        <v>-1.10322512717</v>
      </c>
      <c r="AE15">
        <v>1.28050000000001</v>
      </c>
      <c r="AF15">
        <v>-1.3025683304743501</v>
      </c>
      <c r="AG15">
        <v>-1.10322512717</v>
      </c>
      <c r="AH15">
        <v>23.8768501151946</v>
      </c>
      <c r="AI15">
        <v>92.641536387597299</v>
      </c>
      <c r="AJ15">
        <v>93.122596256242005</v>
      </c>
      <c r="AK15">
        <v>23.9377894000311</v>
      </c>
    </row>
    <row r="16" spans="1:37" x14ac:dyDescent="0.2">
      <c r="A16" t="str">
        <f>"20200111155501833"</f>
        <v>20200111155501833</v>
      </c>
      <c r="B16" t="str">
        <f>"1578729301823012"</f>
        <v>1578729301823012</v>
      </c>
      <c r="C16" t="s">
        <v>37</v>
      </c>
      <c r="D16">
        <v>4.6770820000000004</v>
      </c>
      <c r="E16">
        <v>0.54269250000000002</v>
      </c>
      <c r="F16" t="s">
        <v>38</v>
      </c>
      <c r="G16">
        <v>-453.08580000000001</v>
      </c>
      <c r="H16" s="1">
        <v>-3.095612E-6</v>
      </c>
      <c r="I16">
        <v>368.7869</v>
      </c>
      <c r="J16">
        <v>-476.9153</v>
      </c>
      <c r="K16">
        <v>1.10321</v>
      </c>
      <c r="L16">
        <v>367.52339999999998</v>
      </c>
      <c r="M16">
        <v>0.99999869999999902</v>
      </c>
      <c r="N16">
        <v>0</v>
      </c>
      <c r="O16">
        <v>-1.131244E-3</v>
      </c>
      <c r="P16">
        <v>0.98612860000000002</v>
      </c>
      <c r="Q16">
        <v>-1.243407E-2</v>
      </c>
      <c r="R16">
        <v>0.16551689999999999</v>
      </c>
      <c r="S16">
        <v>3.013763</v>
      </c>
      <c r="T16">
        <v>-0.13941719999999999</v>
      </c>
      <c r="U16">
        <v>0.159668</v>
      </c>
      <c r="V16">
        <v>-0.16663420000000001</v>
      </c>
      <c r="W16">
        <v>-1.1283069999999999E-2</v>
      </c>
      <c r="X16">
        <v>0.985954199999999</v>
      </c>
      <c r="Y16">
        <v>-5.3976259999999998E-2</v>
      </c>
      <c r="Z16">
        <v>1.2992030000000001E-3</v>
      </c>
      <c r="AA16">
        <v>0.99854140000000002</v>
      </c>
      <c r="AB16">
        <v>3</v>
      </c>
      <c r="AC16">
        <v>23.829499999999999</v>
      </c>
      <c r="AD16">
        <v>-1.1032130956120001</v>
      </c>
      <c r="AE16">
        <v>1.2635000000000201</v>
      </c>
      <c r="AF16">
        <v>-1.28770395186832</v>
      </c>
      <c r="AG16">
        <v>-1.1032130956120001</v>
      </c>
      <c r="AH16">
        <v>23.7772358454305</v>
      </c>
      <c r="AI16">
        <v>92.652615325230201</v>
      </c>
      <c r="AJ16">
        <v>93.099939667554196</v>
      </c>
      <c r="AK16">
        <v>23.837621631597699</v>
      </c>
    </row>
    <row r="17" spans="1:37" x14ac:dyDescent="0.2">
      <c r="A17" t="str">
        <f>"20200111155501851"</f>
        <v>20200111155501851</v>
      </c>
      <c r="B17" t="str">
        <f>"1578729301842531"</f>
        <v>1578729301842531</v>
      </c>
      <c r="C17" t="s">
        <v>37</v>
      </c>
      <c r="D17">
        <v>4.7523260000000001</v>
      </c>
      <c r="E17">
        <v>0.54261709999999996</v>
      </c>
      <c r="F17" t="s">
        <v>38</v>
      </c>
      <c r="G17">
        <v>-453.20679999999999</v>
      </c>
      <c r="H17" s="1">
        <v>-3.044897E-6</v>
      </c>
      <c r="I17">
        <v>368.78019999999998</v>
      </c>
      <c r="J17">
        <v>-476.88839999999999</v>
      </c>
      <c r="K17">
        <v>1.103189</v>
      </c>
      <c r="L17">
        <v>367.52319999999997</v>
      </c>
      <c r="M17">
        <v>0.99999889999999902</v>
      </c>
      <c r="N17">
        <v>0</v>
      </c>
      <c r="O17">
        <v>-1.2650139999999901E-3</v>
      </c>
      <c r="P17">
        <v>0.9862668</v>
      </c>
      <c r="Q17">
        <v>-1.305302E-2</v>
      </c>
      <c r="R17">
        <v>0.1646436</v>
      </c>
      <c r="S17">
        <v>3.013611</v>
      </c>
      <c r="T17">
        <v>-0.14022970000000001</v>
      </c>
      <c r="U17">
        <v>0.1597595</v>
      </c>
      <c r="V17">
        <v>-0.16589309999999999</v>
      </c>
      <c r="W17">
        <v>-1.2297590000000001E-2</v>
      </c>
      <c r="X17">
        <v>0.98606709999999997</v>
      </c>
      <c r="Y17">
        <v>-5.4141740000000001E-2</v>
      </c>
      <c r="Z17">
        <v>1.316893E-3</v>
      </c>
      <c r="AA17">
        <v>0.99853239999999999</v>
      </c>
      <c r="AB17">
        <v>3</v>
      </c>
      <c r="AC17">
        <v>23.6816</v>
      </c>
      <c r="AD17">
        <v>-1.1031920448970001</v>
      </c>
      <c r="AE17">
        <v>1.2569999999999999</v>
      </c>
      <c r="AF17">
        <v>-1.284177591777</v>
      </c>
      <c r="AG17">
        <v>-1.1031920448970001</v>
      </c>
      <c r="AH17">
        <v>23.628857957094802</v>
      </c>
      <c r="AI17">
        <v>92.669170086914207</v>
      </c>
      <c r="AJ17">
        <v>93.110841932181501</v>
      </c>
      <c r="AK17">
        <v>23.6894295653507</v>
      </c>
    </row>
    <row r="18" spans="1:37" x14ac:dyDescent="0.2">
      <c r="A18" t="str">
        <f>"20200111155501872"</f>
        <v>20200111155501872</v>
      </c>
      <c r="B18" t="str">
        <f>"1578729301863031"</f>
        <v>1578729301863031</v>
      </c>
      <c r="C18" t="s">
        <v>37</v>
      </c>
      <c r="D18">
        <v>4.800834</v>
      </c>
      <c r="E18">
        <v>0.54256700000000002</v>
      </c>
      <c r="F18" t="s">
        <v>38</v>
      </c>
      <c r="G18">
        <v>-453.54390000000001</v>
      </c>
      <c r="H18" s="1">
        <v>-2.90651299999999E-6</v>
      </c>
      <c r="I18">
        <v>368.74509999999998</v>
      </c>
      <c r="J18">
        <v>-476.85169999999999</v>
      </c>
      <c r="K18">
        <v>1.103162</v>
      </c>
      <c r="L18">
        <v>367.52289999999999</v>
      </c>
      <c r="M18">
        <v>0.99999889999999902</v>
      </c>
      <c r="N18">
        <v>0</v>
      </c>
      <c r="O18">
        <v>-1.4434339999999999E-3</v>
      </c>
      <c r="P18">
        <v>0.98647649999999998</v>
      </c>
      <c r="Q18">
        <v>-1.335881E-2</v>
      </c>
      <c r="R18">
        <v>0.16335769999999999</v>
      </c>
      <c r="S18">
        <v>3.01355</v>
      </c>
      <c r="T18">
        <v>-0.1424107</v>
      </c>
      <c r="U18">
        <v>0.15774540000000001</v>
      </c>
      <c r="V18">
        <v>-0.16478370000000001</v>
      </c>
      <c r="W18">
        <v>-1.3059110000000001E-2</v>
      </c>
      <c r="X18">
        <v>0.98624330000000004</v>
      </c>
      <c r="Y18">
        <v>-5.3653880000000001E-2</v>
      </c>
      <c r="Z18">
        <v>1.3343109999999999E-3</v>
      </c>
      <c r="AA18">
        <v>0.99855869999999902</v>
      </c>
      <c r="AB18">
        <v>3</v>
      </c>
      <c r="AC18">
        <v>23.307799999999901</v>
      </c>
      <c r="AD18">
        <v>-1.103164906513</v>
      </c>
      <c r="AE18">
        <v>1.22219999999998</v>
      </c>
      <c r="AF18">
        <v>-1.2530426855369301</v>
      </c>
      <c r="AG18">
        <v>-1.103164906513</v>
      </c>
      <c r="AH18">
        <v>23.254061668018199</v>
      </c>
      <c r="AI18">
        <v>92.712127619090893</v>
      </c>
      <c r="AJ18">
        <v>93.084394142273794</v>
      </c>
      <c r="AK18">
        <v>23.313911573194499</v>
      </c>
    </row>
    <row r="19" spans="1:37" x14ac:dyDescent="0.2">
      <c r="A19" t="str">
        <f>"20200111155501885"</f>
        <v>20200111155501885</v>
      </c>
      <c r="B19" t="str">
        <f>"1578729301882548"</f>
        <v>1578729301882548</v>
      </c>
      <c r="C19" t="s">
        <v>37</v>
      </c>
      <c r="D19">
        <v>4.6959580000000001</v>
      </c>
      <c r="E19">
        <v>0.54240390000000005</v>
      </c>
      <c r="F19" t="s">
        <v>38</v>
      </c>
      <c r="G19">
        <v>-453.75189999999998</v>
      </c>
      <c r="H19" s="1">
        <v>-2.82445899999999E-6</v>
      </c>
      <c r="I19">
        <v>368.7047</v>
      </c>
      <c r="J19">
        <v>-476.83</v>
      </c>
      <c r="K19">
        <v>1.1031489999999999</v>
      </c>
      <c r="L19">
        <v>367.52280000000002</v>
      </c>
      <c r="M19">
        <v>0.99999889999999902</v>
      </c>
      <c r="N19">
        <v>0</v>
      </c>
      <c r="O19">
        <v>-1.5475860000000001E-3</v>
      </c>
      <c r="P19">
        <v>0.98658639999999997</v>
      </c>
      <c r="Q19">
        <v>-1.3421290000000001E-2</v>
      </c>
      <c r="R19">
        <v>0.1626881</v>
      </c>
      <c r="S19">
        <v>3.013611</v>
      </c>
      <c r="T19">
        <v>-0.1439183</v>
      </c>
      <c r="U19">
        <v>0.154174799999999</v>
      </c>
      <c r="V19">
        <v>-0.16421729999999901</v>
      </c>
      <c r="W19">
        <v>-1.3351129999999999E-2</v>
      </c>
      <c r="X19">
        <v>0.98633379999999904</v>
      </c>
      <c r="Y19">
        <v>-5.2576650000000003E-2</v>
      </c>
      <c r="Z19">
        <v>1.327712E-3</v>
      </c>
      <c r="AA19">
        <v>0.99861599999999995</v>
      </c>
      <c r="AB19">
        <v>4</v>
      </c>
      <c r="AC19">
        <v>23.078099999999999</v>
      </c>
      <c r="AD19">
        <v>-1.103151824459</v>
      </c>
      <c r="AE19">
        <v>1.18189999999998</v>
      </c>
      <c r="AF19">
        <v>-1.21484536584609</v>
      </c>
      <c r="AG19">
        <v>-1.103151824459</v>
      </c>
      <c r="AH19">
        <v>23.0237734717658</v>
      </c>
      <c r="AI19">
        <v>92.739344190531796</v>
      </c>
      <c r="AJ19">
        <v>93.020400767389802</v>
      </c>
      <c r="AK19">
        <v>23.082177932117101</v>
      </c>
    </row>
    <row r="20" spans="1:37" x14ac:dyDescent="0.2">
      <c r="A20" t="str">
        <f>"20200111155501897"</f>
        <v>20200111155501897</v>
      </c>
      <c r="B20" t="str">
        <f>"1578729301892308"</f>
        <v>1578729301892308</v>
      </c>
      <c r="C20" t="s">
        <v>37</v>
      </c>
      <c r="D20">
        <v>4.7180919999999897</v>
      </c>
      <c r="E20">
        <v>0.54231890000000005</v>
      </c>
      <c r="F20" t="s">
        <v>38</v>
      </c>
      <c r="G20">
        <v>-453.47579999999999</v>
      </c>
      <c r="H20" s="1">
        <v>-2.941289E-6</v>
      </c>
      <c r="I20">
        <v>368.71370000000002</v>
      </c>
      <c r="J20">
        <v>-476.80689999999998</v>
      </c>
      <c r="K20">
        <v>1.103137</v>
      </c>
      <c r="L20">
        <v>367.52260000000001</v>
      </c>
      <c r="M20">
        <v>0.99999869999999902</v>
      </c>
      <c r="N20">
        <v>0</v>
      </c>
      <c r="O20">
        <v>-1.6574859999999999E-3</v>
      </c>
      <c r="P20">
        <v>0.98664779999999996</v>
      </c>
      <c r="Q20">
        <v>-1.320934E-2</v>
      </c>
      <c r="R20">
        <v>0.16233220000000001</v>
      </c>
      <c r="S20">
        <v>3.01355</v>
      </c>
      <c r="T20">
        <v>-0.1423461</v>
      </c>
      <c r="U20">
        <v>0.1536865</v>
      </c>
      <c r="V20">
        <v>-0.163969899999999</v>
      </c>
      <c r="W20">
        <v>-1.33645E-2</v>
      </c>
      <c r="X20">
        <v>0.9863748</v>
      </c>
      <c r="Y20">
        <v>-5.2527310000000001E-2</v>
      </c>
      <c r="Z20">
        <v>1.3172769999999999E-3</v>
      </c>
      <c r="AA20">
        <v>0.99861860000000002</v>
      </c>
      <c r="AB20">
        <v>4</v>
      </c>
      <c r="AC20">
        <v>23.3310999999999</v>
      </c>
      <c r="AD20">
        <v>-1.1031399412889999</v>
      </c>
      <c r="AE20">
        <v>1.1911</v>
      </c>
      <c r="AF20">
        <v>-1.2270333287224799</v>
      </c>
      <c r="AG20">
        <v>-1.1031399412889999</v>
      </c>
      <c r="AH20">
        <v>23.277190903998299</v>
      </c>
      <c r="AI20">
        <v>92.709543888453595</v>
      </c>
      <c r="AJ20">
        <v>93.017495558791197</v>
      </c>
      <c r="AK20">
        <v>23.335598233193998</v>
      </c>
    </row>
    <row r="21" spans="1:37" x14ac:dyDescent="0.2">
      <c r="A21" t="str">
        <f>"20200111155501910"</f>
        <v>20200111155501910</v>
      </c>
      <c r="B21" t="str">
        <f>"1578729301903044"</f>
        <v>1578729301903044</v>
      </c>
      <c r="C21" t="s">
        <v>37</v>
      </c>
      <c r="D21">
        <v>4.6661659999999996</v>
      </c>
      <c r="E21">
        <v>0.54223169999999898</v>
      </c>
      <c r="F21" t="s">
        <v>38</v>
      </c>
      <c r="G21">
        <v>-453.36880000000002</v>
      </c>
      <c r="H21" s="1">
        <v>-2.987439E-6</v>
      </c>
      <c r="I21">
        <v>368.7122</v>
      </c>
      <c r="J21">
        <v>-476.78339999999997</v>
      </c>
      <c r="K21">
        <v>1.103124</v>
      </c>
      <c r="L21">
        <v>367.52249999999998</v>
      </c>
      <c r="M21">
        <v>0.99999850000000001</v>
      </c>
      <c r="N21">
        <v>0</v>
      </c>
      <c r="O21">
        <v>-1.767528E-3</v>
      </c>
      <c r="P21">
        <v>0.9867165</v>
      </c>
      <c r="Q21">
        <v>-1.300626E-2</v>
      </c>
      <c r="R21">
        <v>0.161930399999999</v>
      </c>
      <c r="S21">
        <v>3.0135190000000001</v>
      </c>
      <c r="T21">
        <v>-0.1418344</v>
      </c>
      <c r="U21">
        <v>0.15295410000000001</v>
      </c>
      <c r="V21">
        <v>-0.1636763</v>
      </c>
      <c r="W21">
        <v>-1.335428E-2</v>
      </c>
      <c r="X21">
        <v>0.98642369999999902</v>
      </c>
      <c r="Y21">
        <v>-5.2396100000000001E-2</v>
      </c>
      <c r="Z21">
        <v>1.3146569999999999E-3</v>
      </c>
      <c r="AA21">
        <v>0.99862549999999894</v>
      </c>
      <c r="AB21">
        <v>4</v>
      </c>
      <c r="AC21">
        <v>23.414599999999901</v>
      </c>
      <c r="AD21">
        <v>-1.103126987439</v>
      </c>
      <c r="AE21">
        <v>1.18970000000001</v>
      </c>
      <c r="AF21">
        <v>-1.22836462512662</v>
      </c>
      <c r="AG21">
        <v>-1.103126987439</v>
      </c>
      <c r="AH21">
        <v>23.3607422765965</v>
      </c>
      <c r="AI21">
        <v>92.699854336984998</v>
      </c>
      <c r="AJ21">
        <v>93.009979321216207</v>
      </c>
      <c r="AK21">
        <v>23.419010408559998</v>
      </c>
    </row>
    <row r="22" spans="1:37" x14ac:dyDescent="0.2">
      <c r="A22" t="str">
        <f>"20200111155501923"</f>
        <v>20200111155501923</v>
      </c>
      <c r="B22" t="str">
        <f>"1578729301912804"</f>
        <v>1578729301912804</v>
      </c>
      <c r="C22" t="s">
        <v>37</v>
      </c>
      <c r="D22">
        <v>4.6665209999999897</v>
      </c>
      <c r="E22">
        <v>0.54214410000000002</v>
      </c>
      <c r="F22" t="s">
        <v>38</v>
      </c>
      <c r="G22">
        <v>-453.21080000000001</v>
      </c>
      <c r="H22" s="1">
        <v>-3.0546809999999998E-6</v>
      </c>
      <c r="I22">
        <v>368.71519999999998</v>
      </c>
      <c r="J22">
        <v>-476.75810000000001</v>
      </c>
      <c r="K22">
        <v>1.103113</v>
      </c>
      <c r="L22">
        <v>367.52229999999997</v>
      </c>
      <c r="M22">
        <v>0.9999981</v>
      </c>
      <c r="N22">
        <v>0</v>
      </c>
      <c r="O22">
        <v>-1.8845029999999901E-3</v>
      </c>
      <c r="P22">
        <v>0.98674050000000002</v>
      </c>
      <c r="Q22">
        <v>-1.272652E-2</v>
      </c>
      <c r="R22">
        <v>0.1618069</v>
      </c>
      <c r="S22">
        <v>3.0135190000000001</v>
      </c>
      <c r="T22">
        <v>-0.1410235</v>
      </c>
      <c r="U22">
        <v>0.1524963</v>
      </c>
      <c r="V22">
        <v>-0.16366810000000001</v>
      </c>
      <c r="W22">
        <v>-1.326777E-2</v>
      </c>
      <c r="X22">
        <v>0.98642619999999903</v>
      </c>
      <c r="Y22">
        <v>-5.2362190000000003E-2</v>
      </c>
      <c r="Z22">
        <v>1.311829E-3</v>
      </c>
      <c r="AA22">
        <v>0.9986273</v>
      </c>
      <c r="AB22">
        <v>4</v>
      </c>
      <c r="AC22">
        <v>23.5473</v>
      </c>
      <c r="AD22">
        <v>-1.1031160546809999</v>
      </c>
      <c r="AE22">
        <v>1.1929000000000001</v>
      </c>
      <c r="AF22">
        <v>-1.2345703624020301</v>
      </c>
      <c r="AG22">
        <v>-1.1031160546809999</v>
      </c>
      <c r="AH22">
        <v>23.493582561543001</v>
      </c>
      <c r="AI22">
        <v>92.684588981527696</v>
      </c>
      <c r="AJ22">
        <v>93.0080839458913</v>
      </c>
      <c r="AK22">
        <v>23.5518460122737</v>
      </c>
    </row>
    <row r="23" spans="1:37" x14ac:dyDescent="0.2">
      <c r="A23" t="str">
        <f>"20200111155501941"</f>
        <v>20200111155501941</v>
      </c>
      <c r="B23" t="str">
        <f>"1578729301932327"</f>
        <v>1578729301932327</v>
      </c>
      <c r="C23" t="s">
        <v>37</v>
      </c>
      <c r="D23">
        <v>4.6531750000000001</v>
      </c>
      <c r="E23">
        <v>0.5419467</v>
      </c>
      <c r="F23" t="s">
        <v>38</v>
      </c>
      <c r="G23">
        <v>-453.04759999999999</v>
      </c>
      <c r="H23" s="1">
        <v>-3.1229819999999999E-6</v>
      </c>
      <c r="I23">
        <v>368.72500000000002</v>
      </c>
      <c r="J23">
        <v>-476.72289999999998</v>
      </c>
      <c r="K23">
        <v>1.1030949999999999</v>
      </c>
      <c r="L23">
        <v>367.52199999999999</v>
      </c>
      <c r="M23">
        <v>0.99999760000000004</v>
      </c>
      <c r="N23">
        <v>0</v>
      </c>
      <c r="O23">
        <v>-2.045023E-3</v>
      </c>
      <c r="P23">
        <v>0.98677239999999999</v>
      </c>
      <c r="Q23">
        <v>-1.2159980000000001E-2</v>
      </c>
      <c r="R23">
        <v>0.16165579999999999</v>
      </c>
      <c r="S23">
        <v>3.01342799999999</v>
      </c>
      <c r="T23">
        <v>-0.1401973</v>
      </c>
      <c r="U23">
        <v>0.15286250000000001</v>
      </c>
      <c r="V23">
        <v>-0.16367590000000001</v>
      </c>
      <c r="W23">
        <v>-1.293794E-2</v>
      </c>
      <c r="X23">
        <v>0.98642929999999995</v>
      </c>
      <c r="Y23">
        <v>-5.2645289999999997E-2</v>
      </c>
      <c r="Z23">
        <v>1.3182249999999999E-3</v>
      </c>
      <c r="AA23">
        <v>0.99861239999999996</v>
      </c>
      <c r="AB23">
        <v>4</v>
      </c>
      <c r="AC23">
        <v>23.6753</v>
      </c>
      <c r="AD23">
        <v>-1.1030981229820001</v>
      </c>
      <c r="AE23">
        <v>1.20300000000003</v>
      </c>
      <c r="AF23">
        <v>-1.24871020414836</v>
      </c>
      <c r="AG23">
        <v>-1.1030981229820001</v>
      </c>
      <c r="AH23">
        <v>23.621642461618499</v>
      </c>
      <c r="AI23">
        <v>92.669968849603507</v>
      </c>
      <c r="AJ23">
        <v>93.026008516701907</v>
      </c>
      <c r="AK23">
        <v>23.6803314002868</v>
      </c>
    </row>
    <row r="24" spans="1:37" x14ac:dyDescent="0.2">
      <c r="A24" t="str">
        <f>"20200111155501953"</f>
        <v>20200111155501953</v>
      </c>
      <c r="B24" t="str">
        <f>"1578729301943060"</f>
        <v>1578729301943060</v>
      </c>
      <c r="C24" t="s">
        <v>37</v>
      </c>
      <c r="D24">
        <v>4.6681189999999999</v>
      </c>
      <c r="E24">
        <v>0.54188069999999999</v>
      </c>
      <c r="F24" t="s">
        <v>38</v>
      </c>
      <c r="G24">
        <v>-452.66359999999997</v>
      </c>
      <c r="H24" s="1">
        <v>-3.2827080000000001E-6</v>
      </c>
      <c r="I24">
        <v>368.75319999999999</v>
      </c>
      <c r="J24">
        <v>-476.69409999999999</v>
      </c>
      <c r="K24">
        <v>1.103083</v>
      </c>
      <c r="L24">
        <v>367.52179999999998</v>
      </c>
      <c r="M24">
        <v>0.99999729999999998</v>
      </c>
      <c r="N24">
        <v>0</v>
      </c>
      <c r="O24">
        <v>-2.173712E-3</v>
      </c>
      <c r="P24">
        <v>0.98679669999999897</v>
      </c>
      <c r="Q24">
        <v>-1.2020380000000001E-2</v>
      </c>
      <c r="R24">
        <v>0.16151889999999999</v>
      </c>
      <c r="S24">
        <v>3.013245</v>
      </c>
      <c r="T24">
        <v>-0.138154</v>
      </c>
      <c r="U24">
        <v>0.15420529999999999</v>
      </c>
      <c r="V24">
        <v>-0.163665899999999</v>
      </c>
      <c r="W24">
        <v>-1.296537E-2</v>
      </c>
      <c r="X24">
        <v>0.98643060000000005</v>
      </c>
      <c r="Y24">
        <v>-5.3221669999999999E-2</v>
      </c>
      <c r="Z24">
        <v>1.3181879999999899E-3</v>
      </c>
      <c r="AA24">
        <v>0.99858179999999996</v>
      </c>
      <c r="AB24">
        <v>5</v>
      </c>
      <c r="AC24">
        <v>24.0305</v>
      </c>
      <c r="AD24">
        <v>-1.1030862827079999</v>
      </c>
      <c r="AE24">
        <v>1.2314000000000001</v>
      </c>
      <c r="AF24">
        <v>-1.28094044300107</v>
      </c>
      <c r="AG24">
        <v>-1.1030862827079999</v>
      </c>
      <c r="AH24">
        <v>23.977375156805198</v>
      </c>
      <c r="AI24">
        <v>92.630306629859803</v>
      </c>
      <c r="AJ24">
        <v>93.057998601396406</v>
      </c>
      <c r="AK24">
        <v>24.0368909631798</v>
      </c>
    </row>
    <row r="25" spans="1:37" x14ac:dyDescent="0.2">
      <c r="A25" t="str">
        <f>"20200111155501965"</f>
        <v>20200111155501965</v>
      </c>
      <c r="B25" t="str">
        <f>"1578729301962580"</f>
        <v>1578729301962580</v>
      </c>
      <c r="C25" t="s">
        <v>37</v>
      </c>
      <c r="D25">
        <v>4.646871</v>
      </c>
      <c r="E25">
        <v>0.54174259999999996</v>
      </c>
      <c r="F25" t="s">
        <v>38</v>
      </c>
      <c r="G25">
        <v>-452.54020000000003</v>
      </c>
      <c r="H25" s="1">
        <v>-3.3347579999999999E-6</v>
      </c>
      <c r="I25">
        <v>368.75830000000002</v>
      </c>
      <c r="J25">
        <v>-476.66820000000001</v>
      </c>
      <c r="K25">
        <v>1.103067</v>
      </c>
      <c r="L25">
        <v>367.52159999999998</v>
      </c>
      <c r="M25">
        <v>0.99999680000000002</v>
      </c>
      <c r="N25">
        <v>0</v>
      </c>
      <c r="O25">
        <v>-2.287856E-3</v>
      </c>
      <c r="P25">
        <v>0.98679660000000002</v>
      </c>
      <c r="Q25">
        <v>-1.1744869999999999E-2</v>
      </c>
      <c r="R25">
        <v>0.16153770000000001</v>
      </c>
      <c r="S25">
        <v>3.013245</v>
      </c>
      <c r="T25">
        <v>-0.13761129999999999</v>
      </c>
      <c r="U25">
        <v>0.1542664</v>
      </c>
      <c r="V25">
        <v>-0.163797</v>
      </c>
      <c r="W25">
        <v>-1.2825919999999999E-2</v>
      </c>
      <c r="X25">
        <v>0.98641069999999997</v>
      </c>
      <c r="Y25">
        <v>-5.3356019999999997E-2</v>
      </c>
      <c r="Z25">
        <v>1.321285E-3</v>
      </c>
      <c r="AA25">
        <v>0.99857469999999904</v>
      </c>
      <c r="AB25">
        <v>5</v>
      </c>
      <c r="AC25">
        <v>24.127999999999901</v>
      </c>
      <c r="AD25">
        <v>-1.103070334758</v>
      </c>
      <c r="AE25">
        <v>1.2367000000000401</v>
      </c>
      <c r="AF25">
        <v>-1.2892106868341</v>
      </c>
      <c r="AG25">
        <v>-1.103070334758</v>
      </c>
      <c r="AH25">
        <v>24.0749206997654</v>
      </c>
      <c r="AI25">
        <v>92.619608614104706</v>
      </c>
      <c r="AJ25">
        <v>93.065258122001694</v>
      </c>
      <c r="AK25">
        <v>24.134635589924802</v>
      </c>
    </row>
    <row r="26" spans="1:37" x14ac:dyDescent="0.2">
      <c r="A26" t="str">
        <f>"20200111155501979"</f>
        <v>20200111155501979</v>
      </c>
      <c r="B26" t="str">
        <f>"1578729301972340"</f>
        <v>1578729301972340</v>
      </c>
      <c r="C26" t="s">
        <v>37</v>
      </c>
      <c r="D26">
        <v>4.6149769999999997</v>
      </c>
      <c r="E26">
        <v>0.54162219999999905</v>
      </c>
      <c r="F26" t="s">
        <v>38</v>
      </c>
      <c r="G26">
        <v>-452.26330000000002</v>
      </c>
      <c r="H26" s="1">
        <v>-3.4496730000000001E-6</v>
      </c>
      <c r="I26">
        <v>368.7799</v>
      </c>
      <c r="J26">
        <v>-476.63799999999998</v>
      </c>
      <c r="K26">
        <v>1.1030530000000001</v>
      </c>
      <c r="L26">
        <v>367.52140000000003</v>
      </c>
      <c r="M26">
        <v>0.99999629999999995</v>
      </c>
      <c r="N26">
        <v>0</v>
      </c>
      <c r="O26">
        <v>-2.4202550000000001E-3</v>
      </c>
      <c r="P26">
        <v>0.9868325</v>
      </c>
      <c r="Q26">
        <v>-1.14311E-2</v>
      </c>
      <c r="R26">
        <v>0.16134229999999899</v>
      </c>
      <c r="S26">
        <v>3.01312299999999</v>
      </c>
      <c r="T26">
        <v>-0.136189</v>
      </c>
      <c r="U26">
        <v>0.155365</v>
      </c>
      <c r="V26">
        <v>-0.163732399999999</v>
      </c>
      <c r="W26">
        <v>-1.2660279999999999E-2</v>
      </c>
      <c r="X26">
        <v>0.98642359999999896</v>
      </c>
      <c r="Y26">
        <v>-5.3853970000000001E-2</v>
      </c>
      <c r="Z26">
        <v>1.324902E-3</v>
      </c>
      <c r="AA26">
        <v>0.99854799999999999</v>
      </c>
      <c r="AB26">
        <v>5</v>
      </c>
      <c r="AC26">
        <v>24.374700000000001</v>
      </c>
      <c r="AD26">
        <v>-1.103056449673</v>
      </c>
      <c r="AE26">
        <v>1.25849999999996</v>
      </c>
      <c r="AF26">
        <v>-1.31480387055449</v>
      </c>
      <c r="AG26">
        <v>-1.103056449673</v>
      </c>
      <c r="AH26">
        <v>24.321905380112</v>
      </c>
      <c r="AI26">
        <v>92.592940209366702</v>
      </c>
      <c r="AJ26">
        <v>93.094307701900505</v>
      </c>
      <c r="AK26">
        <v>24.382381427340299</v>
      </c>
    </row>
    <row r="27" spans="1:37" x14ac:dyDescent="0.2">
      <c r="A27" t="str">
        <f>"20200111155501995"</f>
        <v>20200111155501995</v>
      </c>
      <c r="B27" t="str">
        <f>"1578729301992836"</f>
        <v>1578729301992836</v>
      </c>
      <c r="C27" t="s">
        <v>37</v>
      </c>
      <c r="D27">
        <v>4.6939440000000001</v>
      </c>
      <c r="E27">
        <v>0.54165200000000002</v>
      </c>
      <c r="F27" t="s">
        <v>38</v>
      </c>
      <c r="G27">
        <v>-452.0421</v>
      </c>
      <c r="H27" s="1">
        <v>-3.5419770000000001E-6</v>
      </c>
      <c r="I27">
        <v>368.7946</v>
      </c>
      <c r="J27">
        <v>-476.59809999999999</v>
      </c>
      <c r="K27">
        <v>1.1030409999999999</v>
      </c>
      <c r="L27">
        <v>367.52109999999999</v>
      </c>
      <c r="M27">
        <v>0.99999570000000004</v>
      </c>
      <c r="N27">
        <v>0</v>
      </c>
      <c r="O27">
        <v>-2.5917789999999998E-3</v>
      </c>
      <c r="P27">
        <v>0.98687649999999905</v>
      </c>
      <c r="Q27">
        <v>-1.1087359999999999E-2</v>
      </c>
      <c r="R27">
        <v>0.16109589999999999</v>
      </c>
      <c r="S27">
        <v>3.0129389999999998</v>
      </c>
      <c r="T27">
        <v>-0.13512150000000001</v>
      </c>
      <c r="U27">
        <v>0.15597529999999901</v>
      </c>
      <c r="V27">
        <v>-0.1636551</v>
      </c>
      <c r="W27">
        <v>-1.248399E-2</v>
      </c>
      <c r="X27">
        <v>0.98643860000000005</v>
      </c>
      <c r="Y27">
        <v>-5.4230460000000001E-2</v>
      </c>
      <c r="Z27">
        <v>1.3307149999999999E-3</v>
      </c>
      <c r="AA27">
        <v>0.99852759999999996</v>
      </c>
      <c r="AB27">
        <v>5</v>
      </c>
      <c r="AC27">
        <v>24.555999999999901</v>
      </c>
      <c r="AD27">
        <v>-1.1030445419769901</v>
      </c>
      <c r="AE27">
        <v>1.2735000000000101</v>
      </c>
      <c r="AF27">
        <v>-1.33445411386293</v>
      </c>
      <c r="AG27">
        <v>-1.1030445419769901</v>
      </c>
      <c r="AH27">
        <v>24.5033075649478</v>
      </c>
      <c r="AI27">
        <v>92.573686528657205</v>
      </c>
      <c r="AJ27">
        <v>93.117258066496007</v>
      </c>
      <c r="AK27">
        <v>24.564396118488599</v>
      </c>
    </row>
    <row r="28" spans="1:37" x14ac:dyDescent="0.2">
      <c r="A28" t="str">
        <f>"20200111155502009"</f>
        <v>20200111155502009</v>
      </c>
      <c r="B28" t="str">
        <f>"1578729302002596"</f>
        <v>1578729302002596</v>
      </c>
      <c r="C28" t="s">
        <v>37</v>
      </c>
      <c r="D28">
        <v>4.6490109999999998</v>
      </c>
      <c r="E28">
        <v>0.56329059999999997</v>
      </c>
      <c r="F28" t="s">
        <v>38</v>
      </c>
      <c r="G28">
        <v>-451.79829999999998</v>
      </c>
      <c r="H28" s="1">
        <v>-3.646204E-6</v>
      </c>
      <c r="I28">
        <v>368.79680000000002</v>
      </c>
      <c r="J28">
        <v>-476.56610000000001</v>
      </c>
      <c r="K28">
        <v>1.103029</v>
      </c>
      <c r="L28">
        <v>367.52089999999998</v>
      </c>
      <c r="M28">
        <v>0.99999519999999997</v>
      </c>
      <c r="N28">
        <v>0</v>
      </c>
      <c r="O28">
        <v>-2.7266829999999902E-3</v>
      </c>
      <c r="P28">
        <v>0.98692829999999998</v>
      </c>
      <c r="Q28">
        <v>-1.0667640000000001E-2</v>
      </c>
      <c r="R28">
        <v>0.16080749999999999</v>
      </c>
      <c r="S28">
        <v>3.013153</v>
      </c>
      <c r="T28">
        <v>-0.13401859999999999</v>
      </c>
      <c r="U28">
        <v>0.15499879999999999</v>
      </c>
      <c r="V28">
        <v>-0.16350049999999999</v>
      </c>
      <c r="W28">
        <v>-1.218167E-2</v>
      </c>
      <c r="X28">
        <v>0.98646800000000001</v>
      </c>
      <c r="Y28">
        <v>-5.4039719999999999E-2</v>
      </c>
      <c r="Z28">
        <v>1.321539E-3</v>
      </c>
      <c r="AA28">
        <v>0.99853789999999998</v>
      </c>
      <c r="AB28">
        <v>5</v>
      </c>
      <c r="AC28">
        <v>24.767800000000001</v>
      </c>
      <c r="AD28">
        <v>-1.1030326462040001</v>
      </c>
      <c r="AE28">
        <v>1.27590000000003</v>
      </c>
      <c r="AF28">
        <v>-1.34077706199572</v>
      </c>
      <c r="AG28">
        <v>-1.1030326462040001</v>
      </c>
      <c r="AH28">
        <v>24.715339238635998</v>
      </c>
      <c r="AI28">
        <v>92.551638017410696</v>
      </c>
      <c r="AJ28">
        <v>93.105182553986694</v>
      </c>
      <c r="AK28">
        <v>24.7762458380891</v>
      </c>
    </row>
    <row r="29" spans="1:37" x14ac:dyDescent="0.2">
      <c r="A29" t="str">
        <f>"20200111155502022"</f>
        <v>20200111155502022</v>
      </c>
      <c r="B29" t="str">
        <f>"1578729302012356"</f>
        <v>1578729302012356</v>
      </c>
      <c r="C29" t="s">
        <v>37</v>
      </c>
      <c r="D29">
        <v>4.6353599999999897</v>
      </c>
      <c r="E29">
        <v>0.56802149999999996</v>
      </c>
      <c r="F29" t="s">
        <v>39</v>
      </c>
      <c r="G29">
        <v>-428.93540000000002</v>
      </c>
      <c r="H29">
        <v>-0.05</v>
      </c>
      <c r="I29">
        <v>367.27089999999998</v>
      </c>
      <c r="J29">
        <v>-476.53480000000002</v>
      </c>
      <c r="K29">
        <v>1.103016</v>
      </c>
      <c r="L29">
        <v>367.5206</v>
      </c>
      <c r="M29">
        <v>0.99999459999999996</v>
      </c>
      <c r="N29">
        <v>0</v>
      </c>
      <c r="O29">
        <v>-2.85789099999999E-3</v>
      </c>
      <c r="P29">
        <v>0.98700129999999997</v>
      </c>
      <c r="Q29">
        <v>-1.025819E-2</v>
      </c>
      <c r="R29">
        <v>0.16038540000000001</v>
      </c>
      <c r="S29">
        <v>3.041595</v>
      </c>
      <c r="T29">
        <v>-7.3629979999999998E-2</v>
      </c>
      <c r="U29">
        <v>-1.596069E-2</v>
      </c>
      <c r="V29">
        <v>-0.16320760000000001</v>
      </c>
      <c r="W29">
        <v>-1.1879549999999999E-2</v>
      </c>
      <c r="X29">
        <v>0.98652019999999996</v>
      </c>
      <c r="Y29">
        <v>2.3896619999999999E-3</v>
      </c>
      <c r="Z29" s="1">
        <v>4.0252549999999998E-5</v>
      </c>
      <c r="AA29">
        <v>0.99999709999999997</v>
      </c>
      <c r="AB29">
        <v>5</v>
      </c>
      <c r="AC29">
        <v>47.599400000000003</v>
      </c>
      <c r="AD29">
        <v>-1.153016</v>
      </c>
      <c r="AE29">
        <v>-0.24970000000001799</v>
      </c>
      <c r="AF29">
        <v>0.11359825018038899</v>
      </c>
      <c r="AG29">
        <v>-1.153016</v>
      </c>
      <c r="AH29">
        <v>47.572006184699198</v>
      </c>
      <c r="AI29">
        <v>91.388418021309803</v>
      </c>
      <c r="AJ29">
        <v>89.863182395568202</v>
      </c>
      <c r="AK29">
        <v>47.586112710493197</v>
      </c>
    </row>
    <row r="30" spans="1:37" x14ac:dyDescent="0.2">
      <c r="A30" t="str">
        <f>"20200111155502034"</f>
        <v>20200111155502034</v>
      </c>
      <c r="B30" t="str">
        <f>"1578729302023092"</f>
        <v>1578729302023092</v>
      </c>
      <c r="C30" t="s">
        <v>37</v>
      </c>
      <c r="D30">
        <v>4.5745079999999998</v>
      </c>
      <c r="E30">
        <v>0.57030970000000003</v>
      </c>
      <c r="F30" t="s">
        <v>39</v>
      </c>
      <c r="G30">
        <v>-411.02080000000001</v>
      </c>
      <c r="H30">
        <v>-0.05</v>
      </c>
      <c r="I30">
        <v>366.34449999999998</v>
      </c>
      <c r="J30">
        <v>-476.50130000000001</v>
      </c>
      <c r="K30">
        <v>1.103008</v>
      </c>
      <c r="L30">
        <v>367.5204</v>
      </c>
      <c r="M30">
        <v>0.99999400000000005</v>
      </c>
      <c r="N30">
        <v>0</v>
      </c>
      <c r="O30">
        <v>-2.996968E-3</v>
      </c>
      <c r="P30">
        <v>0.98707900000000004</v>
      </c>
      <c r="Q30">
        <v>-9.8003919999999998E-3</v>
      </c>
      <c r="R30">
        <v>0.15993540000000001</v>
      </c>
      <c r="S30">
        <v>3.047882</v>
      </c>
      <c r="T30">
        <v>-5.3641319999999999E-2</v>
      </c>
      <c r="U30">
        <v>-5.4718019999999999E-2</v>
      </c>
      <c r="V30">
        <v>-0.16289500000000001</v>
      </c>
      <c r="W30">
        <v>-1.152368E-2</v>
      </c>
      <c r="X30">
        <v>0.98657609999999996</v>
      </c>
      <c r="Y30">
        <v>1.495149E-2</v>
      </c>
      <c r="Z30" s="1">
        <v>-7.8812239999999993E-5</v>
      </c>
      <c r="AA30">
        <v>0.9998882</v>
      </c>
      <c r="AB30">
        <v>6</v>
      </c>
      <c r="AC30">
        <v>65.480500000000006</v>
      </c>
      <c r="AD30">
        <v>-1.153008</v>
      </c>
      <c r="AE30">
        <v>-1.1759000000000099</v>
      </c>
      <c r="AF30">
        <v>0.97934790467408905</v>
      </c>
      <c r="AG30">
        <v>-1.153008</v>
      </c>
      <c r="AH30">
        <v>65.463439258325707</v>
      </c>
      <c r="AI30">
        <v>91.008933746359801</v>
      </c>
      <c r="AJ30">
        <v>89.142906076108801</v>
      </c>
      <c r="AK30">
        <v>65.480916527603299</v>
      </c>
    </row>
    <row r="31" spans="1:37" x14ac:dyDescent="0.2">
      <c r="A31" t="str">
        <f>"20200111155502052"</f>
        <v>20200111155502052</v>
      </c>
      <c r="B31" t="str">
        <f>"1578729302042614"</f>
        <v>1578729302042614</v>
      </c>
      <c r="C31" t="s">
        <v>37</v>
      </c>
      <c r="D31">
        <v>4.5861689999999999</v>
      </c>
      <c r="E31">
        <v>0.57298470000000001</v>
      </c>
      <c r="F31" t="s">
        <v>38</v>
      </c>
      <c r="G31">
        <v>-396.48739999999998</v>
      </c>
      <c r="H31" s="1">
        <v>-2.25485899999999E-6</v>
      </c>
      <c r="I31">
        <v>365.58179999999999</v>
      </c>
      <c r="J31">
        <v>-476.4547</v>
      </c>
      <c r="K31">
        <v>1.1029929999999999</v>
      </c>
      <c r="L31">
        <v>367.52010000000001</v>
      </c>
      <c r="M31">
        <v>0.99999329999999997</v>
      </c>
      <c r="N31">
        <v>0</v>
      </c>
      <c r="O31">
        <v>-3.18578E-3</v>
      </c>
      <c r="P31">
        <v>0.98718830000000002</v>
      </c>
      <c r="Q31">
        <v>-9.2020360000000002E-3</v>
      </c>
      <c r="R31">
        <v>0.1592951</v>
      </c>
      <c r="S31">
        <v>3.0508419999999998</v>
      </c>
      <c r="T31">
        <v>-4.205656E-2</v>
      </c>
      <c r="U31">
        <v>-7.3913569999999998E-2</v>
      </c>
      <c r="V31">
        <v>-0.16244139999999899</v>
      </c>
      <c r="W31">
        <v>-1.104977E-2</v>
      </c>
      <c r="X31">
        <v>0.98665630000000004</v>
      </c>
      <c r="Y31">
        <v>2.10335E-2</v>
      </c>
      <c r="Z31">
        <v>-1.010399E-4</v>
      </c>
      <c r="AA31">
        <v>0.99977870000000002</v>
      </c>
      <c r="AB31">
        <v>6</v>
      </c>
      <c r="AC31">
        <v>79.967299999999994</v>
      </c>
      <c r="AD31">
        <v>-1.1029952548590001</v>
      </c>
      <c r="AE31">
        <v>-1.9383000000000199</v>
      </c>
      <c r="AF31">
        <v>1.6832114834748599</v>
      </c>
      <c r="AG31">
        <v>-1.1029952548590001</v>
      </c>
      <c r="AH31">
        <v>79.957866229682693</v>
      </c>
      <c r="AI31">
        <v>90.7901532645418</v>
      </c>
      <c r="AJ31">
        <v>88.794031453117398</v>
      </c>
      <c r="AK31">
        <v>79.983186804691499</v>
      </c>
    </row>
    <row r="32" spans="1:37" x14ac:dyDescent="0.2">
      <c r="A32" t="str">
        <f>"20200111155502066"</f>
        <v>20200111155502066</v>
      </c>
      <c r="B32" t="str">
        <f>"1578729302063108"</f>
        <v>1578729302063108</v>
      </c>
      <c r="C32" t="s">
        <v>37</v>
      </c>
      <c r="D32">
        <v>4.6041850000000002</v>
      </c>
      <c r="E32">
        <v>0.57417240000000003</v>
      </c>
      <c r="F32" t="s">
        <v>38</v>
      </c>
      <c r="G32">
        <v>-362.62709999999998</v>
      </c>
      <c r="H32" s="1">
        <v>-4.1546309999999998E-6</v>
      </c>
      <c r="I32">
        <v>363.92599999999999</v>
      </c>
      <c r="J32">
        <v>-476.41800000000001</v>
      </c>
      <c r="K32">
        <v>1.1029799999999901</v>
      </c>
      <c r="L32">
        <v>367.5197</v>
      </c>
      <c r="M32">
        <v>0.99999249999999995</v>
      </c>
      <c r="N32">
        <v>0</v>
      </c>
      <c r="O32">
        <v>-3.3324829999999998E-3</v>
      </c>
      <c r="P32">
        <v>0.98725609999999997</v>
      </c>
      <c r="Q32">
        <v>-9.0331259999999903E-3</v>
      </c>
      <c r="R32">
        <v>0.15888429999999901</v>
      </c>
      <c r="S32">
        <v>3.05425999999999</v>
      </c>
      <c r="T32">
        <v>-2.9595969999999999E-2</v>
      </c>
      <c r="U32">
        <v>-9.6435549999999995E-2</v>
      </c>
      <c r="V32">
        <v>-0.16217570000000001</v>
      </c>
      <c r="W32">
        <v>-1.0967940000000001E-2</v>
      </c>
      <c r="X32">
        <v>0.98670100000000005</v>
      </c>
      <c r="Y32">
        <v>2.8226210000000002E-2</v>
      </c>
      <c r="Z32">
        <v>-1.044369E-4</v>
      </c>
      <c r="AA32">
        <v>0.99960149999999903</v>
      </c>
      <c r="AB32">
        <v>6</v>
      </c>
      <c r="AC32">
        <v>113.79089999999999</v>
      </c>
      <c r="AD32">
        <v>-1.10298415463099</v>
      </c>
      <c r="AE32">
        <v>-3.5937000000000099</v>
      </c>
      <c r="AF32">
        <v>3.2141713777746701</v>
      </c>
      <c r="AG32">
        <v>-1.10298415463099</v>
      </c>
      <c r="AH32">
        <v>113.791563392421</v>
      </c>
      <c r="AI32">
        <v>90.555130477135094</v>
      </c>
      <c r="AJ32">
        <v>88.382046120513493</v>
      </c>
      <c r="AK32">
        <v>113.84229166255599</v>
      </c>
    </row>
    <row r="33" spans="1:37" x14ac:dyDescent="0.2">
      <c r="A33" t="str">
        <f>"20200111155502079"</f>
        <v>20200111155502079</v>
      </c>
      <c r="B33" t="str">
        <f>"1578729302072867"</f>
        <v>1578729302072867</v>
      </c>
      <c r="C33" t="s">
        <v>37</v>
      </c>
      <c r="D33">
        <v>4.6011819999999997</v>
      </c>
      <c r="E33">
        <v>0.57456109999999905</v>
      </c>
      <c r="F33" t="s">
        <v>38</v>
      </c>
      <c r="G33">
        <v>-347.28019999999998</v>
      </c>
      <c r="H33" s="1">
        <v>-2.7923969999999999E-6</v>
      </c>
      <c r="I33">
        <v>362.98770000000002</v>
      </c>
      <c r="J33">
        <v>-476.37810000000002</v>
      </c>
      <c r="K33">
        <v>1.1029659999999999</v>
      </c>
      <c r="L33">
        <v>367.51949999999999</v>
      </c>
      <c r="M33">
        <v>0.99999179999999999</v>
      </c>
      <c r="N33">
        <v>0</v>
      </c>
      <c r="O33">
        <v>-3.490754E-3</v>
      </c>
      <c r="P33">
        <v>0.9873267</v>
      </c>
      <c r="Q33">
        <v>-8.8090169999999902E-3</v>
      </c>
      <c r="R33">
        <v>0.1584573</v>
      </c>
      <c r="S33">
        <v>3.0557249999999998</v>
      </c>
      <c r="T33">
        <v>-2.6099319999999999E-2</v>
      </c>
      <c r="U33">
        <v>-0.1072388</v>
      </c>
      <c r="V33">
        <v>-0.16190489999999999</v>
      </c>
      <c r="W33">
        <v>-1.08304E-2</v>
      </c>
      <c r="X33">
        <v>0.98674689999999998</v>
      </c>
      <c r="Y33">
        <v>3.1582939999999997E-2</v>
      </c>
      <c r="Z33">
        <v>-1.05028099999999E-4</v>
      </c>
      <c r="AA33">
        <v>0.99950110000000003</v>
      </c>
      <c r="AB33">
        <v>6</v>
      </c>
      <c r="AC33">
        <v>129.09790000000001</v>
      </c>
      <c r="AD33">
        <v>-1.102968792397</v>
      </c>
      <c r="AE33">
        <v>-4.5317999999999703</v>
      </c>
      <c r="AF33">
        <v>4.0808249187567496</v>
      </c>
      <c r="AG33">
        <v>-1.102968792397</v>
      </c>
      <c r="AH33">
        <v>129.10352066990899</v>
      </c>
      <c r="AI33">
        <v>90.489238208553004</v>
      </c>
      <c r="AJ33">
        <v>88.189544170404702</v>
      </c>
      <c r="AK33">
        <v>129.17270888829501</v>
      </c>
    </row>
    <row r="34" spans="1:37" x14ac:dyDescent="0.2">
      <c r="A34" t="str">
        <f>"20200111155502098"</f>
        <v>20200111155502098</v>
      </c>
      <c r="B34" t="str">
        <f>"1578729302092388"</f>
        <v>1578729302092388</v>
      </c>
      <c r="C34" t="s">
        <v>37</v>
      </c>
      <c r="D34">
        <v>4.5786720000000001</v>
      </c>
      <c r="E34">
        <v>0.57502819999999899</v>
      </c>
      <c r="F34" t="s">
        <v>38</v>
      </c>
      <c r="G34">
        <v>-342.036</v>
      </c>
      <c r="H34" s="1">
        <v>-4.9872619999999999E-6</v>
      </c>
      <c r="I34">
        <v>362.61369999999999</v>
      </c>
      <c r="J34">
        <v>-476.3245</v>
      </c>
      <c r="K34">
        <v>1.102946</v>
      </c>
      <c r="L34">
        <v>367.51909999999998</v>
      </c>
      <c r="M34">
        <v>0.99999079999999996</v>
      </c>
      <c r="N34">
        <v>0</v>
      </c>
      <c r="O34">
        <v>-3.6987509999999901E-3</v>
      </c>
      <c r="P34">
        <v>0.98737030000000003</v>
      </c>
      <c r="Q34">
        <v>-8.486937E-3</v>
      </c>
      <c r="R34">
        <v>0.15820290000000001</v>
      </c>
      <c r="S34">
        <v>3.0561829999999999</v>
      </c>
      <c r="T34">
        <v>-2.5091769999999999E-2</v>
      </c>
      <c r="U34">
        <v>-0.1116028</v>
      </c>
      <c r="V34">
        <v>-0.1618559</v>
      </c>
      <c r="W34">
        <v>-1.0608660000000001E-2</v>
      </c>
      <c r="X34">
        <v>0.98675740000000001</v>
      </c>
      <c r="Y34">
        <v>3.2795199999999997E-2</v>
      </c>
      <c r="Z34">
        <v>-1.042237E-4</v>
      </c>
      <c r="AA34">
        <v>0.99946209999999902</v>
      </c>
      <c r="AB34">
        <v>6</v>
      </c>
      <c r="AC34">
        <v>134.2885</v>
      </c>
      <c r="AD34">
        <v>-1.102950987262</v>
      </c>
      <c r="AE34">
        <v>-4.9053999999999798</v>
      </c>
      <c r="AF34">
        <v>4.4083685649111297</v>
      </c>
      <c r="AG34">
        <v>-1.102950987262</v>
      </c>
      <c r="AH34">
        <v>134.29667796369301</v>
      </c>
      <c r="AI34">
        <v>90.470294574137796</v>
      </c>
      <c r="AJ34">
        <v>88.119906944594405</v>
      </c>
      <c r="AK34">
        <v>134.37353878784401</v>
      </c>
    </row>
    <row r="35" spans="1:37" x14ac:dyDescent="0.2">
      <c r="A35" t="str">
        <f>"20200111155502111"</f>
        <v>20200111155502111</v>
      </c>
      <c r="B35" t="str">
        <f>"1578729302103124"</f>
        <v>1578729302103124</v>
      </c>
      <c r="C35" t="s">
        <v>37</v>
      </c>
      <c r="D35">
        <v>4.5824819999999997</v>
      </c>
      <c r="E35">
        <v>0.57511029999999996</v>
      </c>
      <c r="F35" t="s">
        <v>38</v>
      </c>
      <c r="G35">
        <v>-340.12139999999999</v>
      </c>
      <c r="H35" s="1">
        <v>-5.940673E-6</v>
      </c>
      <c r="I35">
        <v>362.34100000000001</v>
      </c>
      <c r="J35">
        <v>-476.28489999999999</v>
      </c>
      <c r="K35">
        <v>1.102932</v>
      </c>
      <c r="L35">
        <v>367.51870000000002</v>
      </c>
      <c r="M35">
        <v>0.99999009999999999</v>
      </c>
      <c r="N35">
        <v>0</v>
      </c>
      <c r="O35">
        <v>-3.8497329999999902E-3</v>
      </c>
      <c r="P35">
        <v>0.98742569999999996</v>
      </c>
      <c r="Q35">
        <v>-7.9969109999999902E-3</v>
      </c>
      <c r="R35">
        <v>0.157881299999999</v>
      </c>
      <c r="S35">
        <v>3.0568240000000002</v>
      </c>
      <c r="T35">
        <v>-2.4753689999999998E-2</v>
      </c>
      <c r="U35">
        <v>-0.11621089999999901</v>
      </c>
      <c r="V35">
        <v>-0.16168299999999999</v>
      </c>
      <c r="W35">
        <v>-1.018207E-2</v>
      </c>
      <c r="X35">
        <v>0.98679019999999995</v>
      </c>
      <c r="Y35">
        <v>3.414122E-2</v>
      </c>
      <c r="Z35">
        <v>-1.070208E-4</v>
      </c>
      <c r="AA35">
        <v>0.999417</v>
      </c>
      <c r="AB35">
        <v>6</v>
      </c>
      <c r="AC35">
        <v>136.1635</v>
      </c>
      <c r="AD35">
        <v>-1.102937940673</v>
      </c>
      <c r="AE35">
        <v>-5.1777000000000104</v>
      </c>
      <c r="AF35">
        <v>4.6531623466176404</v>
      </c>
      <c r="AG35">
        <v>-1.102937940673</v>
      </c>
      <c r="AH35">
        <v>136.173502138233</v>
      </c>
      <c r="AI35">
        <v>90.463786617928093</v>
      </c>
      <c r="AJ35">
        <v>88.042916830804202</v>
      </c>
      <c r="AK35">
        <v>136.25744411413399</v>
      </c>
    </row>
    <row r="36" spans="1:37" x14ac:dyDescent="0.2">
      <c r="A36" t="str">
        <f>"20200111155502127"</f>
        <v>20200111155502127</v>
      </c>
      <c r="B36" t="str">
        <f>"1578729302122644"</f>
        <v>1578729302122644</v>
      </c>
      <c r="C36" t="s">
        <v>37</v>
      </c>
      <c r="D36">
        <v>4.6258970000000001</v>
      </c>
      <c r="E36">
        <v>0.57522119999999999</v>
      </c>
      <c r="F36" t="s">
        <v>38</v>
      </c>
      <c r="G36">
        <v>-331.47379999999998</v>
      </c>
      <c r="H36" s="1">
        <v>-5.003261E-6</v>
      </c>
      <c r="I36">
        <v>361.93110000000001</v>
      </c>
      <c r="J36">
        <v>-476.23439999999999</v>
      </c>
      <c r="K36">
        <v>1.1029180000000001</v>
      </c>
      <c r="L36">
        <v>367.51830000000001</v>
      </c>
      <c r="M36">
        <v>0.99998929999999997</v>
      </c>
      <c r="N36">
        <v>0</v>
      </c>
      <c r="O36">
        <v>-4.0407819999999997E-3</v>
      </c>
      <c r="P36">
        <v>0.98742260000000004</v>
      </c>
      <c r="Q36">
        <v>-7.7017369999999898E-3</v>
      </c>
      <c r="R36">
        <v>0.15791649999999999</v>
      </c>
      <c r="S36">
        <v>3.0568849999999999</v>
      </c>
      <c r="T36">
        <v>-2.328241E-2</v>
      </c>
      <c r="U36">
        <v>-0.1179504</v>
      </c>
      <c r="V36">
        <v>-0.16190739999999901</v>
      </c>
      <c r="W36">
        <v>-9.9607110000000006E-3</v>
      </c>
      <c r="X36">
        <v>0.98675569999999901</v>
      </c>
      <c r="Y36">
        <v>3.45175E-2</v>
      </c>
      <c r="Z36">
        <v>-1.006348E-4</v>
      </c>
      <c r="AA36">
        <v>0.99940409999999902</v>
      </c>
      <c r="AB36">
        <v>7</v>
      </c>
      <c r="AC36">
        <v>144.76060000000001</v>
      </c>
      <c r="AD36">
        <v>-1.102923003261</v>
      </c>
      <c r="AE36">
        <v>-5.5871999999999904</v>
      </c>
      <c r="AF36">
        <v>5.0019169547173501</v>
      </c>
      <c r="AG36">
        <v>-1.102923003261</v>
      </c>
      <c r="AH36">
        <v>144.77360352005101</v>
      </c>
      <c r="AI36">
        <v>90.436225448281206</v>
      </c>
      <c r="AJ36">
        <v>88.021222293105296</v>
      </c>
      <c r="AK36">
        <v>144.86418428498499</v>
      </c>
    </row>
    <row r="37" spans="1:37" x14ac:dyDescent="0.2">
      <c r="A37" t="str">
        <f>"20200111155502143"</f>
        <v>20200111155502143</v>
      </c>
      <c r="B37" t="str">
        <f>"1578729302132403"</f>
        <v>1578729302132403</v>
      </c>
      <c r="C37" t="s">
        <v>37</v>
      </c>
      <c r="D37">
        <v>4.6435120000000003</v>
      </c>
      <c r="E37">
        <v>0.57528819999999903</v>
      </c>
      <c r="F37" t="s">
        <v>38</v>
      </c>
      <c r="G37">
        <v>-322.79570000000001</v>
      </c>
      <c r="H37" s="1">
        <v>-4.5821819999999999E-6</v>
      </c>
      <c r="I37">
        <v>361.55669999999998</v>
      </c>
      <c r="J37">
        <v>-476.18830000000003</v>
      </c>
      <c r="K37">
        <v>1.102911</v>
      </c>
      <c r="L37">
        <v>367.5179</v>
      </c>
      <c r="M37">
        <v>0.99998829999999905</v>
      </c>
      <c r="N37">
        <v>0</v>
      </c>
      <c r="O37">
        <v>-4.2123880000000001E-3</v>
      </c>
      <c r="P37">
        <v>0.98734219999999895</v>
      </c>
      <c r="Q37">
        <v>-6.8480950000000002E-3</v>
      </c>
      <c r="R37">
        <v>0.1584564</v>
      </c>
      <c r="S37">
        <v>3.0570369999999998</v>
      </c>
      <c r="T37">
        <v>-2.1974090000000002E-2</v>
      </c>
      <c r="U37">
        <v>-0.118774399999999</v>
      </c>
      <c r="V37">
        <v>-0.1626157</v>
      </c>
      <c r="W37">
        <v>-9.1668199999999991E-3</v>
      </c>
      <c r="X37">
        <v>0.98664689999999999</v>
      </c>
      <c r="Y37">
        <v>3.4613140000000001E-2</v>
      </c>
      <c r="Z37" s="1">
        <v>-9.4085319999999905E-5</v>
      </c>
      <c r="AA37">
        <v>0.99940079999999998</v>
      </c>
      <c r="AB37">
        <v>7</v>
      </c>
      <c r="AC37">
        <v>153.39259999999999</v>
      </c>
      <c r="AD37">
        <v>-1.102915582182</v>
      </c>
      <c r="AE37">
        <v>-5.9612000000000096</v>
      </c>
      <c r="AF37">
        <v>5.3147217889319602</v>
      </c>
      <c r="AG37">
        <v>-1.102915582182</v>
      </c>
      <c r="AH37">
        <v>153.408431043755</v>
      </c>
      <c r="AI37">
        <v>90.411668591998904</v>
      </c>
      <c r="AJ37">
        <v>88.015823601715994</v>
      </c>
      <c r="AK37">
        <v>153.50442796799601</v>
      </c>
    </row>
    <row r="38" spans="1:37" x14ac:dyDescent="0.2">
      <c r="A38" t="str">
        <f>"20200111155502155"</f>
        <v>20200111155502155</v>
      </c>
      <c r="B38" t="str">
        <f>"1578729302152900"</f>
        <v>1578729302152900</v>
      </c>
      <c r="C38" t="s">
        <v>37</v>
      </c>
      <c r="D38">
        <v>4.643491</v>
      </c>
      <c r="E38">
        <v>0.57525300000000001</v>
      </c>
      <c r="F38" t="s">
        <v>39</v>
      </c>
      <c r="G38">
        <v>-294.93619999999999</v>
      </c>
      <c r="H38">
        <v>-0.05</v>
      </c>
      <c r="I38">
        <v>360.5557</v>
      </c>
      <c r="J38">
        <v>-476.14330000000001</v>
      </c>
      <c r="K38">
        <v>1.1029</v>
      </c>
      <c r="L38">
        <v>367.51760000000002</v>
      </c>
      <c r="M38">
        <v>0.99998739999999997</v>
      </c>
      <c r="N38">
        <v>0</v>
      </c>
      <c r="O38">
        <v>-4.3774290000000004E-3</v>
      </c>
      <c r="P38">
        <v>0.9872978</v>
      </c>
      <c r="Q38">
        <v>-6.3619499999999999E-3</v>
      </c>
      <c r="R38">
        <v>0.15875310000000001</v>
      </c>
      <c r="S38">
        <v>3.057159</v>
      </c>
      <c r="T38">
        <v>-1.9446020000000001E-2</v>
      </c>
      <c r="U38">
        <v>-0.1174316</v>
      </c>
      <c r="V38">
        <v>-0.16307550000000001</v>
      </c>
      <c r="W38">
        <v>-8.7322159999999992E-3</v>
      </c>
      <c r="X38">
        <v>0.98657490000000003</v>
      </c>
      <c r="Y38">
        <v>3.4008530000000002E-2</v>
      </c>
      <c r="Z38" s="1">
        <v>-8.0287080000000004E-5</v>
      </c>
      <c r="AA38">
        <v>0.99942149999999996</v>
      </c>
      <c r="AB38">
        <v>7</v>
      </c>
      <c r="AC38">
        <v>181.2071</v>
      </c>
      <c r="AD38">
        <v>-1.1529</v>
      </c>
      <c r="AE38">
        <v>-6.9619000000000097</v>
      </c>
      <c r="AF38">
        <v>6.1683603656255297</v>
      </c>
      <c r="AG38">
        <v>-1.1529</v>
      </c>
      <c r="AH38">
        <v>181.22851397273499</v>
      </c>
      <c r="AI38">
        <v>90.364275930832207</v>
      </c>
      <c r="AJ38">
        <v>88.050612311970994</v>
      </c>
      <c r="AK38">
        <v>181.337122853474</v>
      </c>
    </row>
    <row r="39" spans="1:37" x14ac:dyDescent="0.2">
      <c r="A39" t="str">
        <f>"20200111155502168"</f>
        <v>20200111155502168</v>
      </c>
      <c r="B39" t="str">
        <f>"1578729302162137"</f>
        <v>1578729302162137</v>
      </c>
      <c r="C39" t="s">
        <v>37</v>
      </c>
      <c r="D39">
        <v>4.5954169999999896</v>
      </c>
      <c r="E39">
        <v>0.57518400000000003</v>
      </c>
      <c r="F39" t="s">
        <v>39</v>
      </c>
      <c r="G39">
        <v>-285.52229999999997</v>
      </c>
      <c r="H39">
        <v>-0.05</v>
      </c>
      <c r="I39">
        <v>360.2715</v>
      </c>
      <c r="J39">
        <v>-476.09969999999998</v>
      </c>
      <c r="K39">
        <v>1.1028879999999901</v>
      </c>
      <c r="L39">
        <v>367.5172</v>
      </c>
      <c r="M39">
        <v>0.99998659999999995</v>
      </c>
      <c r="N39">
        <v>0</v>
      </c>
      <c r="O39">
        <v>-4.5345949999999998E-3</v>
      </c>
      <c r="P39">
        <v>0.98725969999999996</v>
      </c>
      <c r="Q39">
        <v>-5.82505099999999E-3</v>
      </c>
      <c r="R39">
        <v>0.1590106</v>
      </c>
      <c r="S39">
        <v>3.057159</v>
      </c>
      <c r="T39">
        <v>-1.8490079999999999E-2</v>
      </c>
      <c r="U39">
        <v>-0.11621089999999901</v>
      </c>
      <c r="V39">
        <v>-0.1634874</v>
      </c>
      <c r="W39">
        <v>-8.2389239999999999E-3</v>
      </c>
      <c r="X39">
        <v>0.98651109999999897</v>
      </c>
      <c r="Y39">
        <v>3.345302E-2</v>
      </c>
      <c r="Z39" s="1">
        <v>-7.3711499999999994E-5</v>
      </c>
      <c r="AA39">
        <v>0.99944029999999995</v>
      </c>
      <c r="AB39">
        <v>7</v>
      </c>
      <c r="AC39">
        <v>190.57740000000001</v>
      </c>
      <c r="AD39">
        <v>-1.1528879999999999</v>
      </c>
      <c r="AE39">
        <v>-7.2456999999999896</v>
      </c>
      <c r="AF39">
        <v>6.3811982957600604</v>
      </c>
      <c r="AG39">
        <v>-1.1528879999999999</v>
      </c>
      <c r="AH39">
        <v>190.60133187306201</v>
      </c>
      <c r="AI39">
        <v>90.346366015517305</v>
      </c>
      <c r="AJ39">
        <v>88.082493878488094</v>
      </c>
      <c r="AK39">
        <v>190.71160571453299</v>
      </c>
    </row>
    <row r="40" spans="1:37" x14ac:dyDescent="0.2">
      <c r="A40" t="str">
        <f>"20200111155502186"</f>
        <v>20200111155502186</v>
      </c>
      <c r="B40" t="str">
        <f>"1578729302182633"</f>
        <v>1578729302182633</v>
      </c>
      <c r="C40" t="s">
        <v>37</v>
      </c>
      <c r="D40">
        <v>4.6314849999999996</v>
      </c>
      <c r="E40">
        <v>0.57514569999999998</v>
      </c>
      <c r="F40" t="s">
        <v>38</v>
      </c>
      <c r="G40">
        <v>-278.91840000000002</v>
      </c>
      <c r="H40" s="1">
        <v>-2.8823980000000001E-6</v>
      </c>
      <c r="I40">
        <v>360.11419999999998</v>
      </c>
      <c r="J40">
        <v>-476.04250000000002</v>
      </c>
      <c r="K40">
        <v>1.1028789999999999</v>
      </c>
      <c r="L40">
        <v>367.51679999999999</v>
      </c>
      <c r="M40">
        <v>0.99998560000000003</v>
      </c>
      <c r="N40">
        <v>0</v>
      </c>
      <c r="O40">
        <v>-4.7392160000000001E-3</v>
      </c>
      <c r="P40">
        <v>0.98715359999999996</v>
      </c>
      <c r="Q40">
        <v>-5.3945130000000001E-3</v>
      </c>
      <c r="R40">
        <v>0.15968379999999999</v>
      </c>
      <c r="S40">
        <v>3.0571290000000002</v>
      </c>
      <c r="T40">
        <v>-1.7099380000000001E-2</v>
      </c>
      <c r="U40">
        <v>-0.11477660000000001</v>
      </c>
      <c r="V40">
        <v>-0.16436229999999999</v>
      </c>
      <c r="W40">
        <v>-7.8599020000000002E-3</v>
      </c>
      <c r="X40">
        <v>0.98636869999999999</v>
      </c>
      <c r="Y40">
        <v>3.2780740000000003E-2</v>
      </c>
      <c r="Z40" s="1">
        <v>-6.5145299999999994E-5</v>
      </c>
      <c r="AA40">
        <v>0.99946250000000003</v>
      </c>
      <c r="AB40">
        <v>7</v>
      </c>
      <c r="AC40">
        <v>197.1241</v>
      </c>
      <c r="AD40">
        <v>-1.102881882398</v>
      </c>
      <c r="AE40">
        <v>-7.4025999999999996</v>
      </c>
      <c r="AF40">
        <v>6.4680980348853696</v>
      </c>
      <c r="AG40">
        <v>-1.102881882398</v>
      </c>
      <c r="AH40">
        <v>197.15080626907499</v>
      </c>
      <c r="AI40">
        <v>90.320342787158495</v>
      </c>
      <c r="AJ40">
        <v>88.120921503193401</v>
      </c>
      <c r="AK40">
        <v>197.259963127802</v>
      </c>
    </row>
    <row r="41" spans="1:37" x14ac:dyDescent="0.2">
      <c r="A41" t="str">
        <f>"20200111155502199"</f>
        <v>20200111155502199</v>
      </c>
      <c r="B41" t="str">
        <f>"1578729302192394"</f>
        <v>1578729302192394</v>
      </c>
      <c r="C41" t="s">
        <v>37</v>
      </c>
      <c r="D41">
        <v>4.5822859999999999</v>
      </c>
      <c r="E41">
        <v>0.57511569999999901</v>
      </c>
      <c r="F41" t="s">
        <v>38</v>
      </c>
      <c r="G41">
        <v>-270.02879999999999</v>
      </c>
      <c r="H41" s="1">
        <v>-5.9773329999999998E-6</v>
      </c>
      <c r="I41">
        <v>359.93439999999998</v>
      </c>
      <c r="J41">
        <v>-475.9991</v>
      </c>
      <c r="K41">
        <v>1.102868</v>
      </c>
      <c r="L41">
        <v>367.51639999999998</v>
      </c>
      <c r="M41">
        <v>0.99998480000000001</v>
      </c>
      <c r="N41">
        <v>0</v>
      </c>
      <c r="O41">
        <v>-4.8924399999999996E-3</v>
      </c>
      <c r="P41">
        <v>0.98712489999999997</v>
      </c>
      <c r="Q41">
        <v>-5.2691569999999896E-3</v>
      </c>
      <c r="R41">
        <v>0.1598648</v>
      </c>
      <c r="S41">
        <v>3.057159</v>
      </c>
      <c r="T41">
        <v>-1.636636E-2</v>
      </c>
      <c r="U41">
        <v>-0.1125183</v>
      </c>
      <c r="V41">
        <v>-0.16469400000000001</v>
      </c>
      <c r="W41">
        <v>-7.7701469999999998E-3</v>
      </c>
      <c r="X41">
        <v>0.98631409999999997</v>
      </c>
      <c r="Y41">
        <v>3.1889979999999998E-2</v>
      </c>
      <c r="Z41" s="1">
        <v>-5.9149449999999902E-5</v>
      </c>
      <c r="AA41">
        <v>0.99949140000000003</v>
      </c>
      <c r="AB41">
        <v>7</v>
      </c>
      <c r="AC41">
        <v>205.97030000000001</v>
      </c>
      <c r="AD41">
        <v>-1.1028739773330001</v>
      </c>
      <c r="AE41">
        <v>-7.5819999999999901</v>
      </c>
      <c r="AF41">
        <v>6.5740204377225204</v>
      </c>
      <c r="AG41">
        <v>-1.1028739773330001</v>
      </c>
      <c r="AH41">
        <v>205.99903131769599</v>
      </c>
      <c r="AI41">
        <v>90.306590124392997</v>
      </c>
      <c r="AJ41">
        <v>88.172147545998797</v>
      </c>
      <c r="AK41">
        <v>206.10685330564499</v>
      </c>
    </row>
    <row r="42" spans="1:37" x14ac:dyDescent="0.2">
      <c r="A42" t="str">
        <f>"20200111155502212"</f>
        <v>20200111155502212</v>
      </c>
      <c r="B42" t="str">
        <f>"1578729302202154"</f>
        <v>1578729302202154</v>
      </c>
      <c r="C42" t="s">
        <v>37</v>
      </c>
      <c r="D42">
        <v>4.6300809999999997</v>
      </c>
      <c r="E42">
        <v>0.57509399999999999</v>
      </c>
      <c r="F42" t="s">
        <v>38</v>
      </c>
      <c r="G42">
        <v>-265.52969999999999</v>
      </c>
      <c r="H42" s="1">
        <v>-4.1159860000000001E-6</v>
      </c>
      <c r="I42">
        <v>359.81199999999899</v>
      </c>
      <c r="J42">
        <v>-475.95030000000003</v>
      </c>
      <c r="K42">
        <v>1.102857</v>
      </c>
      <c r="L42">
        <v>367.51589999999999</v>
      </c>
      <c r="M42">
        <v>0.99998390000000004</v>
      </c>
      <c r="N42">
        <v>0</v>
      </c>
      <c r="O42">
        <v>-5.0615169999999998E-3</v>
      </c>
      <c r="P42">
        <v>0.9870757</v>
      </c>
      <c r="Q42">
        <v>-5.2917930000000004E-3</v>
      </c>
      <c r="R42">
        <v>0.1601688</v>
      </c>
      <c r="S42">
        <v>3.057159</v>
      </c>
      <c r="T42">
        <v>-1.6019700000000001E-2</v>
      </c>
      <c r="U42">
        <v>-0.11190799999999999</v>
      </c>
      <c r="V42">
        <v>-0.1651647</v>
      </c>
      <c r="W42">
        <v>-7.8266680000000002E-3</v>
      </c>
      <c r="X42">
        <v>0.98623499999999997</v>
      </c>
      <c r="Y42">
        <v>3.1521729999999998E-2</v>
      </c>
      <c r="Z42" s="1">
        <v>-5.60467E-5</v>
      </c>
      <c r="AA42">
        <v>0.99950309999999898</v>
      </c>
      <c r="AB42">
        <v>8</v>
      </c>
      <c r="AC42">
        <v>210.42060000000001</v>
      </c>
      <c r="AD42">
        <v>-1.102861115986</v>
      </c>
      <c r="AE42">
        <v>-7.7039000000000302</v>
      </c>
      <c r="AF42">
        <v>6.6385682472233398</v>
      </c>
      <c r="AG42">
        <v>-1.102861115986</v>
      </c>
      <c r="AH42">
        <v>210.451124696481</v>
      </c>
      <c r="AI42">
        <v>90.300104335113502</v>
      </c>
      <c r="AJ42">
        <v>88.193234375649197</v>
      </c>
      <c r="AK42">
        <v>210.558692000658</v>
      </c>
    </row>
    <row r="43" spans="1:37" x14ac:dyDescent="0.2">
      <c r="A43" t="str">
        <f>"20200111155502225"</f>
        <v>20200111155502225</v>
      </c>
      <c r="B43" t="str">
        <f>"1578729302222650"</f>
        <v>1578729302222650</v>
      </c>
      <c r="C43" t="s">
        <v>37</v>
      </c>
      <c r="D43">
        <v>4.5913510000000004</v>
      </c>
      <c r="E43">
        <v>0.57515130000000003</v>
      </c>
      <c r="F43" t="s">
        <v>38</v>
      </c>
      <c r="G43">
        <v>-266.14249999999998</v>
      </c>
      <c r="H43" s="1">
        <v>-3.8777199999999999E-6</v>
      </c>
      <c r="I43">
        <v>359.9237</v>
      </c>
      <c r="J43">
        <v>-475.90269999999998</v>
      </c>
      <c r="K43">
        <v>1.1028439999999999</v>
      </c>
      <c r="L43">
        <v>367.51549999999997</v>
      </c>
      <c r="M43">
        <v>0.99998299999999996</v>
      </c>
      <c r="N43">
        <v>0</v>
      </c>
      <c r="O43">
        <v>-5.224986E-3</v>
      </c>
      <c r="P43">
        <v>0.98708189999999996</v>
      </c>
      <c r="Q43">
        <v>-5.2413870000000001E-3</v>
      </c>
      <c r="R43">
        <v>0.160131299999999</v>
      </c>
      <c r="S43">
        <v>3.0571290000000002</v>
      </c>
      <c r="T43">
        <v>-1.606989E-2</v>
      </c>
      <c r="U43">
        <v>-0.11062619999999999</v>
      </c>
      <c r="V43">
        <v>-0.1652884</v>
      </c>
      <c r="W43">
        <v>-7.8065599999999997E-3</v>
      </c>
      <c r="X43">
        <v>0.98621440000000005</v>
      </c>
      <c r="Y43">
        <v>3.0940209999999999E-2</v>
      </c>
      <c r="Z43" s="1">
        <v>-5.383642E-5</v>
      </c>
      <c r="AA43">
        <v>0.99952129999999995</v>
      </c>
      <c r="AB43">
        <v>8</v>
      </c>
      <c r="AC43">
        <v>209.7602</v>
      </c>
      <c r="AD43">
        <v>-1.1028478777199999</v>
      </c>
      <c r="AE43">
        <v>-7.5917999999999699</v>
      </c>
      <c r="AF43">
        <v>6.4955192684844896</v>
      </c>
      <c r="AG43">
        <v>-1.1028478777199999</v>
      </c>
      <c r="AH43">
        <v>209.791212195741</v>
      </c>
      <c r="AI43">
        <v>90.3010501791466</v>
      </c>
      <c r="AJ43">
        <v>88.226584514240798</v>
      </c>
      <c r="AK43">
        <v>209.894642043495</v>
      </c>
    </row>
    <row r="44" spans="1:37" x14ac:dyDescent="0.2">
      <c r="A44" t="str">
        <f>"20200111155502244"</f>
        <v>20200111155502244</v>
      </c>
      <c r="B44" t="str">
        <f>"1578729302232409"</f>
        <v>1578729302232409</v>
      </c>
      <c r="C44" t="s">
        <v>37</v>
      </c>
      <c r="D44">
        <v>4.5458080000000001</v>
      </c>
      <c r="E44">
        <v>0.57518729999999996</v>
      </c>
      <c r="F44" t="s">
        <v>38</v>
      </c>
      <c r="G44">
        <v>-268.39019999999999</v>
      </c>
      <c r="H44" s="1">
        <v>-3.1051589999999999E-6</v>
      </c>
      <c r="I44">
        <v>359.95260000000002</v>
      </c>
      <c r="J44">
        <v>-475.83640000000003</v>
      </c>
      <c r="K44">
        <v>1.1028389999999999</v>
      </c>
      <c r="L44">
        <v>367.51490000000001</v>
      </c>
      <c r="M44">
        <v>0.99998159999999903</v>
      </c>
      <c r="N44">
        <v>0</v>
      </c>
      <c r="O44">
        <v>-5.4493800000000002E-3</v>
      </c>
      <c r="P44">
        <v>0.98729840000000002</v>
      </c>
      <c r="Q44">
        <v>-5.6164459999999998E-3</v>
      </c>
      <c r="R44">
        <v>0.1587771</v>
      </c>
      <c r="S44">
        <v>3.0571899999999999</v>
      </c>
      <c r="T44">
        <v>-1.6247749999999998E-2</v>
      </c>
      <c r="U44">
        <v>-0.111419699999999</v>
      </c>
      <c r="V44">
        <v>-0.16415669999999999</v>
      </c>
      <c r="W44">
        <v>-8.2194269999999996E-3</v>
      </c>
      <c r="X44">
        <v>0.98640000000000005</v>
      </c>
      <c r="Y44">
        <v>3.0974270000000002E-2</v>
      </c>
      <c r="Z44" s="1">
        <v>-5.3329319999999999E-5</v>
      </c>
      <c r="AA44">
        <v>0.99952019999999997</v>
      </c>
      <c r="AB44">
        <v>8</v>
      </c>
      <c r="AC44">
        <v>207.4462</v>
      </c>
      <c r="AD44">
        <v>-1.1028421051589901</v>
      </c>
      <c r="AE44">
        <v>-7.5622999999999898</v>
      </c>
      <c r="AF44">
        <v>6.4315489930499199</v>
      </c>
      <c r="AG44">
        <v>-1.1028421051589901</v>
      </c>
      <c r="AH44">
        <v>207.478473666176</v>
      </c>
      <c r="AI44">
        <v>90.304403947790405</v>
      </c>
      <c r="AJ44">
        <v>88.224477740210304</v>
      </c>
      <c r="AK44">
        <v>207.581063967803</v>
      </c>
    </row>
    <row r="45" spans="1:37" x14ac:dyDescent="0.2">
      <c r="A45" t="str">
        <f>"20200111155502260"</f>
        <v>20200111155502260</v>
      </c>
      <c r="B45" t="str">
        <f>"1578729302252905"</f>
        <v>1578729302252905</v>
      </c>
      <c r="C45" t="s">
        <v>37</v>
      </c>
      <c r="D45">
        <v>4.6000009999999998</v>
      </c>
      <c r="E45">
        <v>0.57524809999999904</v>
      </c>
      <c r="F45" t="s">
        <v>38</v>
      </c>
      <c r="G45">
        <v>-274.78359999999998</v>
      </c>
      <c r="H45" s="1">
        <v>-4.3448380000000001E-6</v>
      </c>
      <c r="I45">
        <v>359.90620000000001</v>
      </c>
      <c r="J45">
        <v>-475.77359999999999</v>
      </c>
      <c r="K45">
        <v>1.102835</v>
      </c>
      <c r="L45">
        <v>367.51429999999999</v>
      </c>
      <c r="M45">
        <v>0.99998039999999999</v>
      </c>
      <c r="N45">
        <v>0</v>
      </c>
      <c r="O45">
        <v>-5.6587460000000001E-3</v>
      </c>
      <c r="P45">
        <v>0.98746840000000002</v>
      </c>
      <c r="Q45">
        <v>-5.614211E-3</v>
      </c>
      <c r="R45">
        <v>0.1577171</v>
      </c>
      <c r="S45">
        <v>3.0570680000000001</v>
      </c>
      <c r="T45">
        <v>-1.6769050000000001E-2</v>
      </c>
      <c r="U45">
        <v>-0.11569210000000001</v>
      </c>
      <c r="V45">
        <v>-0.1633039</v>
      </c>
      <c r="W45">
        <v>-8.2481050000000004E-3</v>
      </c>
      <c r="X45">
        <v>0.98654129999999995</v>
      </c>
      <c r="Y45">
        <v>3.216136E-2</v>
      </c>
      <c r="Z45" s="1">
        <v>-5.7147790000000001E-5</v>
      </c>
      <c r="AA45">
        <v>0.99948269999999995</v>
      </c>
      <c r="AB45">
        <v>8</v>
      </c>
      <c r="AC45">
        <v>200.99</v>
      </c>
      <c r="AD45">
        <v>-1.1028393448379901</v>
      </c>
      <c r="AE45">
        <v>-7.6080999999999701</v>
      </c>
      <c r="AF45">
        <v>6.4704282163941702</v>
      </c>
      <c r="AG45">
        <v>-1.1028393448379901</v>
      </c>
      <c r="AH45">
        <v>201.02379074318301</v>
      </c>
      <c r="AI45">
        <v>90.314165303116198</v>
      </c>
      <c r="AJ45">
        <v>88.156435721219495</v>
      </c>
      <c r="AK45">
        <v>201.130920399334</v>
      </c>
    </row>
    <row r="46" spans="1:37" x14ac:dyDescent="0.2">
      <c r="A46" t="str">
        <f>"20200111155502277"</f>
        <v>20200111155502277</v>
      </c>
      <c r="B46" t="str">
        <f>"1578729302272932"</f>
        <v>1578729302272932</v>
      </c>
      <c r="C46" t="s">
        <v>37</v>
      </c>
      <c r="D46">
        <v>4.7497730000000002</v>
      </c>
      <c r="E46">
        <v>0.57517790000000002</v>
      </c>
      <c r="F46" t="s">
        <v>39</v>
      </c>
      <c r="G46">
        <v>-284.30239999999998</v>
      </c>
      <c r="H46">
        <v>-0.05</v>
      </c>
      <c r="I46">
        <v>360.02359999999999</v>
      </c>
      <c r="J46">
        <v>-475.70599999999899</v>
      </c>
      <c r="K46">
        <v>1.102833</v>
      </c>
      <c r="L46">
        <v>367.51369999999997</v>
      </c>
      <c r="M46">
        <v>0.99997909999999901</v>
      </c>
      <c r="N46">
        <v>0</v>
      </c>
      <c r="O46">
        <v>-5.8799100000000003E-3</v>
      </c>
      <c r="P46">
        <v>0.98790999999999995</v>
      </c>
      <c r="Q46">
        <v>-5.8458829999999996E-3</v>
      </c>
      <c r="R46">
        <v>0.15491920000000001</v>
      </c>
      <c r="S46">
        <v>3.0570680000000001</v>
      </c>
      <c r="T46">
        <v>-1.8406390000000002E-2</v>
      </c>
      <c r="U46">
        <v>-0.11959839999999999</v>
      </c>
      <c r="V46">
        <v>-0.1607275</v>
      </c>
      <c r="W46">
        <v>-8.5090159999999995E-3</v>
      </c>
      <c r="X46">
        <v>0.98696209999999995</v>
      </c>
      <c r="Y46">
        <v>3.3215429999999997E-2</v>
      </c>
      <c r="Z46" s="1">
        <v>-6.4567100000000001E-5</v>
      </c>
      <c r="AA46">
        <v>0.99944820000000001</v>
      </c>
      <c r="AB46">
        <v>8</v>
      </c>
      <c r="AC46">
        <v>191.40360000000001</v>
      </c>
      <c r="AD46">
        <v>-1.152833</v>
      </c>
      <c r="AE46">
        <v>-7.4900999999999804</v>
      </c>
      <c r="AF46">
        <v>6.3642999856800504</v>
      </c>
      <c r="AG46">
        <v>-1.152833</v>
      </c>
      <c r="AH46">
        <v>191.43739831396999</v>
      </c>
      <c r="AI46">
        <v>90.344839607706803</v>
      </c>
      <c r="AJ46">
        <v>88.095913950498897</v>
      </c>
      <c r="AK46">
        <v>191.546628295711</v>
      </c>
    </row>
    <row r="47" spans="1:37" x14ac:dyDescent="0.2">
      <c r="A47" t="str">
        <f>"20200111155502299"</f>
        <v>20200111155502299</v>
      </c>
      <c r="B47" t="str">
        <f>"1578729302292451"</f>
        <v>1578729302292451</v>
      </c>
      <c r="C47" t="s">
        <v>37</v>
      </c>
      <c r="D47">
        <v>4.5999099999999897</v>
      </c>
      <c r="E47">
        <v>0.57507039999999998</v>
      </c>
      <c r="F47" t="s">
        <v>39</v>
      </c>
      <c r="G47">
        <v>-296.99759999999998</v>
      </c>
      <c r="H47">
        <v>-0.05</v>
      </c>
      <c r="I47">
        <v>360.0573</v>
      </c>
      <c r="J47">
        <v>-475.6182</v>
      </c>
      <c r="K47">
        <v>1.102824</v>
      </c>
      <c r="L47">
        <v>367.51280000000003</v>
      </c>
      <c r="M47">
        <v>0.99997729999999996</v>
      </c>
      <c r="N47">
        <v>0</v>
      </c>
      <c r="O47">
        <v>-6.1608009999999996E-3</v>
      </c>
      <c r="P47">
        <v>0.9883305</v>
      </c>
      <c r="Q47">
        <v>-6.3056450000000003E-3</v>
      </c>
      <c r="R47">
        <v>0.15219469999999999</v>
      </c>
      <c r="S47">
        <v>3.05661</v>
      </c>
      <c r="T47">
        <v>-1.9717930000000002E-2</v>
      </c>
      <c r="U47">
        <v>-0.12753299999999901</v>
      </c>
      <c r="V47">
        <v>-0.1582828</v>
      </c>
      <c r="W47">
        <v>-9.0004490000000006E-3</v>
      </c>
      <c r="X47">
        <v>0.98735280000000003</v>
      </c>
      <c r="Y47">
        <v>3.5530520000000003E-2</v>
      </c>
      <c r="Z47" s="1">
        <v>-7.4827369999999897E-5</v>
      </c>
      <c r="AA47">
        <v>0.99936859999999905</v>
      </c>
      <c r="AB47">
        <v>8</v>
      </c>
      <c r="AC47">
        <v>178.6206</v>
      </c>
      <c r="AD47">
        <v>-1.1528240000000001</v>
      </c>
      <c r="AE47">
        <v>-7.4555000000000202</v>
      </c>
      <c r="AF47">
        <v>6.3546442023238203</v>
      </c>
      <c r="AG47">
        <v>-1.1528240000000001</v>
      </c>
      <c r="AH47">
        <v>178.65571326185199</v>
      </c>
      <c r="AI47">
        <v>90.3694776375674</v>
      </c>
      <c r="AJ47">
        <v>87.962892672566696</v>
      </c>
      <c r="AK47">
        <v>178.772409468615</v>
      </c>
    </row>
    <row r="48" spans="1:37" x14ac:dyDescent="0.2">
      <c r="A48" t="str">
        <f>"20200111155502313"</f>
        <v>20200111155502313</v>
      </c>
      <c r="B48" t="str">
        <f>"1578729302302213"</f>
        <v>1578729302302213</v>
      </c>
      <c r="C48" t="s">
        <v>37</v>
      </c>
      <c r="D48">
        <v>4.5737509999999997</v>
      </c>
      <c r="E48">
        <v>0.57507779999999997</v>
      </c>
      <c r="F48" t="s">
        <v>38</v>
      </c>
      <c r="G48">
        <v>-326.28449999999998</v>
      </c>
      <c r="H48" s="1">
        <v>-3.5702569999999998E-6</v>
      </c>
      <c r="I48">
        <v>360.89780000000002</v>
      </c>
      <c r="J48">
        <v>-475.55579999999998</v>
      </c>
      <c r="K48">
        <v>1.102814</v>
      </c>
      <c r="L48">
        <v>367.51220000000001</v>
      </c>
      <c r="M48">
        <v>0.99997599999999998</v>
      </c>
      <c r="N48">
        <v>0</v>
      </c>
      <c r="O48">
        <v>-6.3537029999999996E-3</v>
      </c>
      <c r="P48">
        <v>0.98859699999999995</v>
      </c>
      <c r="Q48">
        <v>-6.3222929999999997E-3</v>
      </c>
      <c r="R48">
        <v>0.15045249999999999</v>
      </c>
      <c r="S48">
        <v>3.056152</v>
      </c>
      <c r="T48">
        <v>-2.2569659999999998E-2</v>
      </c>
      <c r="U48">
        <v>-0.135376</v>
      </c>
      <c r="V48">
        <v>-0.1567327</v>
      </c>
      <c r="W48">
        <v>-9.03586199999999E-3</v>
      </c>
      <c r="X48">
        <v>0.98759969999999997</v>
      </c>
      <c r="Y48">
        <v>3.7903560000000003E-2</v>
      </c>
      <c r="Z48" s="1">
        <v>-9.2991530000000001E-5</v>
      </c>
      <c r="AA48">
        <v>0.99928139999999999</v>
      </c>
      <c r="AB48">
        <v>9</v>
      </c>
      <c r="AC48">
        <v>149.2713</v>
      </c>
      <c r="AD48">
        <v>-1.102817570257</v>
      </c>
      <c r="AE48">
        <v>-6.6143999999999803</v>
      </c>
      <c r="AF48">
        <v>5.66552872900421</v>
      </c>
      <c r="AG48">
        <v>-1.102817570257</v>
      </c>
      <c r="AH48">
        <v>149.30217969216301</v>
      </c>
      <c r="AI48">
        <v>90.422902075991999</v>
      </c>
      <c r="AJ48">
        <v>87.826855496768601</v>
      </c>
      <c r="AK48">
        <v>149.41370513846201</v>
      </c>
    </row>
    <row r="49" spans="1:37" x14ac:dyDescent="0.2">
      <c r="A49" t="str">
        <f>"20200111155502332"</f>
        <v>20200111155502332</v>
      </c>
      <c r="B49" t="str">
        <f>"1578729302322707"</f>
        <v>1578729302322707</v>
      </c>
      <c r="C49" t="s">
        <v>37</v>
      </c>
      <c r="D49">
        <v>4.5395190000000003</v>
      </c>
      <c r="E49">
        <v>0.57510989999999995</v>
      </c>
      <c r="F49" t="s">
        <v>38</v>
      </c>
      <c r="G49">
        <v>-337.54410000000001</v>
      </c>
      <c r="H49" s="1">
        <v>-3.0715760000000001E-6</v>
      </c>
      <c r="I49">
        <v>361.16109999999998</v>
      </c>
      <c r="J49">
        <v>-475.48070000000001</v>
      </c>
      <c r="K49">
        <v>1.1028020000000001</v>
      </c>
      <c r="L49">
        <v>367.51139999999998</v>
      </c>
      <c r="M49">
        <v>0.99997449999999999</v>
      </c>
      <c r="N49">
        <v>0</v>
      </c>
      <c r="O49">
        <v>-6.5814159999999997E-3</v>
      </c>
      <c r="P49">
        <v>0.98920719999999995</v>
      </c>
      <c r="Q49">
        <v>-6.7494139999999996E-3</v>
      </c>
      <c r="R49">
        <v>0.1463689</v>
      </c>
      <c r="S49">
        <v>3.055847</v>
      </c>
      <c r="T49">
        <v>-2.4418470000000001E-2</v>
      </c>
      <c r="U49">
        <v>-0.140625</v>
      </c>
      <c r="V49">
        <v>-0.15287819999999999</v>
      </c>
      <c r="W49">
        <v>-9.4839439999999994E-3</v>
      </c>
      <c r="X49">
        <v>0.98819950000000001</v>
      </c>
      <c r="Y49">
        <v>3.9393169999999998E-2</v>
      </c>
      <c r="Z49">
        <v>-1.047448E-4</v>
      </c>
      <c r="AA49">
        <v>0.9992238</v>
      </c>
      <c r="AB49">
        <v>9</v>
      </c>
      <c r="AC49">
        <v>137.9366</v>
      </c>
      <c r="AD49">
        <v>-1.1028050715760001</v>
      </c>
      <c r="AE49">
        <v>-6.3502999999999998</v>
      </c>
      <c r="AF49">
        <v>5.4419937135926597</v>
      </c>
      <c r="AG49">
        <v>-1.1028050715760001</v>
      </c>
      <c r="AH49">
        <v>137.96660649853499</v>
      </c>
      <c r="AI49">
        <v>90.457615349989993</v>
      </c>
      <c r="AJ49">
        <v>87.741180100707496</v>
      </c>
      <c r="AK49">
        <v>138.078296568745</v>
      </c>
    </row>
    <row r="50" spans="1:37" x14ac:dyDescent="0.2">
      <c r="A50" t="str">
        <f>"20200111155502355"</f>
        <v>20200111155502355</v>
      </c>
      <c r="B50" t="str">
        <f>"1578729302342228"</f>
        <v>1578729302342228</v>
      </c>
      <c r="C50" t="s">
        <v>37</v>
      </c>
      <c r="D50">
        <v>4.5568379999999999</v>
      </c>
      <c r="E50">
        <v>0.57504880000000003</v>
      </c>
      <c r="F50" t="s">
        <v>38</v>
      </c>
      <c r="G50">
        <v>-359.68290000000002</v>
      </c>
      <c r="H50" s="1">
        <v>-2.2038809999999999E-6</v>
      </c>
      <c r="I50">
        <v>361.6866</v>
      </c>
      <c r="J50">
        <v>-475.38369999999998</v>
      </c>
      <c r="K50">
        <v>1.1028009999999999</v>
      </c>
      <c r="L50">
        <v>367.51049999999998</v>
      </c>
      <c r="M50">
        <v>0.99997250000000004</v>
      </c>
      <c r="N50">
        <v>0</v>
      </c>
      <c r="O50">
        <v>-6.8639729999999998E-3</v>
      </c>
      <c r="P50">
        <v>0.98972709999999997</v>
      </c>
      <c r="Q50">
        <v>-7.4692639999999998E-3</v>
      </c>
      <c r="R50">
        <v>0.14277429999999999</v>
      </c>
      <c r="S50">
        <v>3.0552980000000001</v>
      </c>
      <c r="T50">
        <v>-2.90971999999999E-2</v>
      </c>
      <c r="U50">
        <v>-0.1536865</v>
      </c>
      <c r="V50">
        <v>-0.14956649999999999</v>
      </c>
      <c r="W50">
        <v>-1.022615E-2</v>
      </c>
      <c r="X50">
        <v>0.98869879999999999</v>
      </c>
      <c r="Y50">
        <v>4.3379969999999997E-2</v>
      </c>
      <c r="Z50">
        <v>-1.4110650000000001E-4</v>
      </c>
      <c r="AA50">
        <v>0.99905869999999997</v>
      </c>
      <c r="AB50">
        <v>9</v>
      </c>
      <c r="AC50">
        <v>115.70079999999901</v>
      </c>
      <c r="AD50">
        <v>-1.1028032038809901</v>
      </c>
      <c r="AE50">
        <v>-5.8238999999999796</v>
      </c>
      <c r="AF50">
        <v>5.0291367643128799</v>
      </c>
      <c r="AG50">
        <v>-1.1028032038809901</v>
      </c>
      <c r="AH50">
        <v>115.72756238698</v>
      </c>
      <c r="AI50">
        <v>90.545457645200003</v>
      </c>
      <c r="AJ50">
        <v>87.511680686188001</v>
      </c>
      <c r="AK50">
        <v>115.842035062981</v>
      </c>
    </row>
    <row r="51" spans="1:37" x14ac:dyDescent="0.2">
      <c r="A51" t="str">
        <f>"20200111155502370"</f>
        <v>20200111155502370</v>
      </c>
      <c r="B51" t="str">
        <f>"1578729302362256"</f>
        <v>1578729302362256</v>
      </c>
      <c r="C51" t="s">
        <v>37</v>
      </c>
      <c r="D51">
        <v>4.597073</v>
      </c>
      <c r="E51">
        <v>0.57484299999999999</v>
      </c>
      <c r="F51" t="s">
        <v>38</v>
      </c>
      <c r="G51">
        <v>-379.2174</v>
      </c>
      <c r="H51" s="1">
        <v>-2.188819E-6</v>
      </c>
      <c r="I51">
        <v>362.33850000000001</v>
      </c>
      <c r="J51">
        <v>-475.31670000000003</v>
      </c>
      <c r="K51">
        <v>1.1027940000000001</v>
      </c>
      <c r="L51">
        <v>367.50979999999998</v>
      </c>
      <c r="M51">
        <v>0.99997119999999995</v>
      </c>
      <c r="N51">
        <v>0</v>
      </c>
      <c r="O51">
        <v>-7.0481729999999996E-3</v>
      </c>
      <c r="P51">
        <v>0.99001229999999996</v>
      </c>
      <c r="Q51">
        <v>-7.769995E-3</v>
      </c>
      <c r="R51">
        <v>0.14076669999999999</v>
      </c>
      <c r="S51">
        <v>3.0545650000000002</v>
      </c>
      <c r="T51">
        <v>-3.5028699999999899E-2</v>
      </c>
      <c r="U51">
        <v>-0.16427610000000001</v>
      </c>
      <c r="V51">
        <v>-0.14774319999999999</v>
      </c>
      <c r="W51">
        <v>-1.053978E-2</v>
      </c>
      <c r="X51">
        <v>0.9889696</v>
      </c>
      <c r="Y51">
        <v>4.6660960000000001E-2</v>
      </c>
      <c r="Z51">
        <v>-1.8658290000000001E-4</v>
      </c>
      <c r="AA51">
        <v>0.99891079999999999</v>
      </c>
      <c r="AB51">
        <v>9</v>
      </c>
      <c r="AC51">
        <v>96.099299999999999</v>
      </c>
      <c r="AD51">
        <v>-1.1027961888190001</v>
      </c>
      <c r="AE51">
        <v>-5.1712999999999703</v>
      </c>
      <c r="AF51">
        <v>4.4932543716481899</v>
      </c>
      <c r="AG51">
        <v>-1.1027961888190001</v>
      </c>
      <c r="AH51">
        <v>96.120739850759804</v>
      </c>
      <c r="AI51">
        <v>90.6566104381249</v>
      </c>
      <c r="AJ51">
        <v>87.323603245949599</v>
      </c>
      <c r="AK51">
        <v>96.232022340486296</v>
      </c>
    </row>
    <row r="52" spans="1:37" x14ac:dyDescent="0.2">
      <c r="A52" t="str">
        <f>"20200111155502388"</f>
        <v>20200111155502388</v>
      </c>
      <c r="B52" t="str">
        <f>"1578729302382752"</f>
        <v>1578729302382752</v>
      </c>
      <c r="C52" t="s">
        <v>37</v>
      </c>
      <c r="D52">
        <v>4.5608110000000002</v>
      </c>
      <c r="E52">
        <v>0.57461989999999996</v>
      </c>
      <c r="F52" t="s">
        <v>38</v>
      </c>
      <c r="G52">
        <v>-387.23790000000002</v>
      </c>
      <c r="H52" s="1">
        <v>-2.7818079999999898E-6</v>
      </c>
      <c r="I52">
        <v>362.64159999999998</v>
      </c>
      <c r="J52">
        <v>-475.23390000000001</v>
      </c>
      <c r="K52">
        <v>1.1027830000000001</v>
      </c>
      <c r="L52">
        <v>367.50889999999998</v>
      </c>
      <c r="M52">
        <v>0.99996960000000001</v>
      </c>
      <c r="N52">
        <v>0</v>
      </c>
      <c r="O52">
        <v>-7.2643289999999999E-3</v>
      </c>
      <c r="P52">
        <v>0.99050329999999998</v>
      </c>
      <c r="Q52">
        <v>-8.5745950000000008E-3</v>
      </c>
      <c r="R52">
        <v>0.1372216</v>
      </c>
      <c r="S52">
        <v>3.05395499999999</v>
      </c>
      <c r="T52">
        <v>-3.8237210000000001E-2</v>
      </c>
      <c r="U52">
        <v>-0.16879269999999999</v>
      </c>
      <c r="V52">
        <v>-0.14441589999999899</v>
      </c>
      <c r="W52">
        <v>-1.1359309999999999E-2</v>
      </c>
      <c r="X52">
        <v>0.98945190000000005</v>
      </c>
      <c r="Y52">
        <v>4.792805E-2</v>
      </c>
      <c r="Z52">
        <v>-2.08926699999999E-4</v>
      </c>
      <c r="AA52">
        <v>0.99885079999999904</v>
      </c>
      <c r="AB52">
        <v>10</v>
      </c>
      <c r="AC52">
        <v>87.995999999999896</v>
      </c>
      <c r="AD52">
        <v>-1.102785781808</v>
      </c>
      <c r="AE52">
        <v>-4.8673000000000002</v>
      </c>
      <c r="AF52">
        <v>4.2272752148368697</v>
      </c>
      <c r="AG52">
        <v>-1.102785781808</v>
      </c>
      <c r="AH52">
        <v>88.015254744430607</v>
      </c>
      <c r="AI52">
        <v>90.717022584078293</v>
      </c>
      <c r="AJ52">
        <v>87.250260205110294</v>
      </c>
      <c r="AK52">
        <v>88.1236123859522</v>
      </c>
    </row>
    <row r="53" spans="1:37" x14ac:dyDescent="0.2">
      <c r="A53" t="str">
        <f>"20200111155502404"</f>
        <v>20200111155502404</v>
      </c>
      <c r="B53" t="str">
        <f>"1578729302392512"</f>
        <v>1578729302392512</v>
      </c>
      <c r="C53" t="s">
        <v>37</v>
      </c>
      <c r="D53">
        <v>4.5829389999999997</v>
      </c>
      <c r="E53">
        <v>0.57461989999999996</v>
      </c>
      <c r="F53" t="s">
        <v>38</v>
      </c>
      <c r="G53">
        <v>-398.19929999999999</v>
      </c>
      <c r="H53" s="1">
        <v>-2.354222E-6</v>
      </c>
      <c r="I53">
        <v>363.01889999999997</v>
      </c>
      <c r="J53">
        <v>-475.16480000000001</v>
      </c>
      <c r="K53">
        <v>1.1027769999999999</v>
      </c>
      <c r="L53">
        <v>367.50819999999999</v>
      </c>
      <c r="M53">
        <v>0.99996849999999904</v>
      </c>
      <c r="N53">
        <v>0</v>
      </c>
      <c r="O53">
        <v>-7.4335119999999998E-3</v>
      </c>
      <c r="P53">
        <v>0.99074699999999905</v>
      </c>
      <c r="Q53">
        <v>-8.7369939999999997E-3</v>
      </c>
      <c r="R53">
        <v>0.13544229999999999</v>
      </c>
      <c r="S53">
        <v>3.05307</v>
      </c>
      <c r="T53">
        <v>-4.3706059999999998E-2</v>
      </c>
      <c r="U53">
        <v>-0.177948</v>
      </c>
      <c r="V53">
        <v>-0.14280519999999999</v>
      </c>
      <c r="W53">
        <v>-1.153211E-2</v>
      </c>
      <c r="X53">
        <v>0.989683599999999</v>
      </c>
      <c r="Y53">
        <v>5.0759209999999999E-2</v>
      </c>
      <c r="Z53">
        <v>-2.5668149999999999E-4</v>
      </c>
      <c r="AA53">
        <v>0.99871089999999996</v>
      </c>
      <c r="AB53">
        <v>10</v>
      </c>
      <c r="AC53">
        <v>76.965500000000006</v>
      </c>
      <c r="AD53">
        <v>-1.1027793542219999</v>
      </c>
      <c r="AE53">
        <v>-4.4893000000000098</v>
      </c>
      <c r="AF53">
        <v>3.9162485094580801</v>
      </c>
      <c r="AG53">
        <v>-1.1027793542219999</v>
      </c>
      <c r="AH53">
        <v>76.980994433715694</v>
      </c>
      <c r="AI53">
        <v>90.819665867580696</v>
      </c>
      <c r="AJ53">
        <v>87.087706651906501</v>
      </c>
      <c r="AK53">
        <v>77.088433819190399</v>
      </c>
    </row>
    <row r="54" spans="1:37" x14ac:dyDescent="0.2">
      <c r="A54" t="str">
        <f>"20200111155502422"</f>
        <v>20200111155502422</v>
      </c>
      <c r="B54" t="str">
        <f>"1578729302413010"</f>
        <v>1578729302413010</v>
      </c>
      <c r="C54" t="s">
        <v>37</v>
      </c>
      <c r="D54">
        <v>4.7251589999999997</v>
      </c>
      <c r="E54">
        <v>0.56807489999999905</v>
      </c>
      <c r="F54" t="s">
        <v>39</v>
      </c>
      <c r="G54">
        <v>-397.0351</v>
      </c>
      <c r="H54">
        <v>-0.05</v>
      </c>
      <c r="I54">
        <v>362.81869999999998</v>
      </c>
      <c r="J54">
        <v>-475.07369999999997</v>
      </c>
      <c r="K54">
        <v>1.1027709999999999</v>
      </c>
      <c r="L54">
        <v>367.50720000000001</v>
      </c>
      <c r="M54">
        <v>0.99996679999999905</v>
      </c>
      <c r="N54">
        <v>0</v>
      </c>
      <c r="O54">
        <v>-7.63942099999999E-3</v>
      </c>
      <c r="P54">
        <v>0.99118909999999905</v>
      </c>
      <c r="Q54">
        <v>-9.1550709999999903E-3</v>
      </c>
      <c r="R54">
        <v>0.13213939999999999</v>
      </c>
      <c r="S54">
        <v>3.0526430000000002</v>
      </c>
      <c r="T54">
        <v>-4.5040730000000001E-2</v>
      </c>
      <c r="U54">
        <v>-0.18322749999999999</v>
      </c>
      <c r="V54">
        <v>-0.13970940000000001</v>
      </c>
      <c r="W54">
        <v>-1.1962510000000001E-2</v>
      </c>
      <c r="X54">
        <v>0.99012029999999995</v>
      </c>
      <c r="Y54">
        <v>5.2282460000000003E-2</v>
      </c>
      <c r="Z54">
        <v>-2.727346E-4</v>
      </c>
      <c r="AA54">
        <v>0.99863230000000003</v>
      </c>
      <c r="AB54">
        <v>10</v>
      </c>
      <c r="AC54">
        <v>78.038599999999903</v>
      </c>
      <c r="AD54">
        <v>-1.152771</v>
      </c>
      <c r="AE54">
        <v>-4.6885000000000296</v>
      </c>
      <c r="AF54">
        <v>4.0913015323077904</v>
      </c>
      <c r="AG54">
        <v>-1.152771</v>
      </c>
      <c r="AH54">
        <v>78.055169454401295</v>
      </c>
      <c r="AI54">
        <v>90.844961165343605</v>
      </c>
      <c r="AJ54">
        <v>86.999558263348206</v>
      </c>
      <c r="AK54">
        <v>78.170820053022396</v>
      </c>
    </row>
    <row r="55" spans="1:37" x14ac:dyDescent="0.2">
      <c r="A55" t="str">
        <f>"20200111155502438"</f>
        <v>20200111155502438</v>
      </c>
      <c r="B55" t="str">
        <f>"1578729302432528"</f>
        <v>1578729302432528</v>
      </c>
      <c r="C55" t="s">
        <v>37</v>
      </c>
      <c r="D55">
        <v>4.6146260000000003</v>
      </c>
      <c r="E55">
        <v>0.56703099999999995</v>
      </c>
      <c r="F55" t="s">
        <v>39</v>
      </c>
      <c r="G55">
        <v>-424.03680000000003</v>
      </c>
      <c r="H55">
        <v>-0.05</v>
      </c>
      <c r="I55">
        <v>365.1343</v>
      </c>
      <c r="J55">
        <v>-474.99990000000003</v>
      </c>
      <c r="K55">
        <v>1.1027670000000001</v>
      </c>
      <c r="L55">
        <v>367.50650000000002</v>
      </c>
      <c r="M55">
        <v>0.99996569999999996</v>
      </c>
      <c r="N55">
        <v>0</v>
      </c>
      <c r="O55">
        <v>-7.7940639999999999E-3</v>
      </c>
      <c r="P55">
        <v>0.99139249999999901</v>
      </c>
      <c r="Q55">
        <v>-8.9970999999999992E-3</v>
      </c>
      <c r="R55">
        <v>0.13061400000000001</v>
      </c>
      <c r="S55">
        <v>3.0448909999999998</v>
      </c>
      <c r="T55">
        <v>-6.8775059999999999E-2</v>
      </c>
      <c r="U55">
        <v>-0.141571</v>
      </c>
      <c r="V55">
        <v>-0.13833889999999999</v>
      </c>
      <c r="W55">
        <v>-1.181258E-2</v>
      </c>
      <c r="X55">
        <v>0.99031449999999999</v>
      </c>
      <c r="Y55">
        <v>3.8649500000000003E-2</v>
      </c>
      <c r="Z55">
        <v>-2.602789E-4</v>
      </c>
      <c r="AA55">
        <v>0.99925280000000005</v>
      </c>
      <c r="AB55">
        <v>10</v>
      </c>
      <c r="AC55">
        <v>50.963099999999997</v>
      </c>
      <c r="AD55">
        <v>-1.1527670000000001</v>
      </c>
      <c r="AE55">
        <v>-2.3722000000000198</v>
      </c>
      <c r="AF55">
        <v>1.97390896007938</v>
      </c>
      <c r="AG55">
        <v>-1.1527670000000001</v>
      </c>
      <c r="AH55">
        <v>50.954027007730303</v>
      </c>
      <c r="AI55">
        <v>91.295048568883601</v>
      </c>
      <c r="AJ55">
        <v>87.781527095461698</v>
      </c>
      <c r="AK55">
        <v>51.005274792353397</v>
      </c>
    </row>
    <row r="56" spans="1:37" x14ac:dyDescent="0.2">
      <c r="A56" t="str">
        <f>"20200111155502454"</f>
        <v>20200111155502454</v>
      </c>
      <c r="B56" t="str">
        <f>"1578729302442852"</f>
        <v>1578729302442852</v>
      </c>
      <c r="C56" t="s">
        <v>37</v>
      </c>
      <c r="D56">
        <v>4.5771920000000001</v>
      </c>
      <c r="E56">
        <v>0.56653799999999999</v>
      </c>
      <c r="F56" t="s">
        <v>39</v>
      </c>
      <c r="G56">
        <v>-425.541</v>
      </c>
      <c r="H56">
        <v>-0.05</v>
      </c>
      <c r="I56">
        <v>365.26440000000002</v>
      </c>
      <c r="J56">
        <v>-474.92070000000001</v>
      </c>
      <c r="K56">
        <v>1.102768</v>
      </c>
      <c r="L56">
        <v>367.50560000000002</v>
      </c>
      <c r="M56">
        <v>0.99996439999999998</v>
      </c>
      <c r="N56">
        <v>0</v>
      </c>
      <c r="O56">
        <v>-7.942625E-3</v>
      </c>
      <c r="P56">
        <v>0.99172990000000005</v>
      </c>
      <c r="Q56">
        <v>-9.1461749999999994E-3</v>
      </c>
      <c r="R56">
        <v>0.12801669999999901</v>
      </c>
      <c r="S56">
        <v>3.0435789999999998</v>
      </c>
      <c r="T56">
        <v>-7.0938589999999996E-2</v>
      </c>
      <c r="U56">
        <v>-0.13797000000000001</v>
      </c>
      <c r="V56">
        <v>-0.13589119999999999</v>
      </c>
      <c r="W56">
        <v>-1.1969169999999999E-2</v>
      </c>
      <c r="X56">
        <v>0.99065139999999996</v>
      </c>
      <c r="Y56">
        <v>3.7341079999999999E-2</v>
      </c>
      <c r="Z56">
        <v>-2.4988899999999999E-4</v>
      </c>
      <c r="AA56">
        <v>0.99930259999999904</v>
      </c>
      <c r="AB56">
        <v>11</v>
      </c>
      <c r="AC56">
        <v>49.3797</v>
      </c>
      <c r="AD56">
        <v>-1.152768</v>
      </c>
      <c r="AE56">
        <v>-2.2411999999999899</v>
      </c>
      <c r="AF56">
        <v>1.84791825123072</v>
      </c>
      <c r="AG56">
        <v>-1.152768</v>
      </c>
      <c r="AH56">
        <v>49.369093228118501</v>
      </c>
      <c r="AI56">
        <v>91.336677297290393</v>
      </c>
      <c r="AJ56">
        <v>87.856381303461802</v>
      </c>
      <c r="AK56">
        <v>49.417112846580899</v>
      </c>
    </row>
    <row r="57" spans="1:37" x14ac:dyDescent="0.2">
      <c r="A57" t="str">
        <f>"20200111155502470"</f>
        <v>20200111155502470</v>
      </c>
      <c r="B57" t="str">
        <f>"1578729302462256"</f>
        <v>1578729302462256</v>
      </c>
      <c r="C57" t="s">
        <v>37</v>
      </c>
      <c r="D57">
        <v>4.6759240000000002</v>
      </c>
      <c r="E57">
        <v>0.56613019999999903</v>
      </c>
      <c r="F57" t="s">
        <v>39</v>
      </c>
      <c r="G57">
        <v>-425.96699999999998</v>
      </c>
      <c r="H57">
        <v>-0.05</v>
      </c>
      <c r="I57">
        <v>365.21899999999999</v>
      </c>
      <c r="J57">
        <v>-474.84769999999997</v>
      </c>
      <c r="K57">
        <v>1.1027690000000001</v>
      </c>
      <c r="L57">
        <v>367.50490000000002</v>
      </c>
      <c r="M57">
        <v>0.99996350000000001</v>
      </c>
      <c r="N57">
        <v>0</v>
      </c>
      <c r="O57">
        <v>-8.0674619999999992E-3</v>
      </c>
      <c r="P57">
        <v>0.99185290000000004</v>
      </c>
      <c r="Q57">
        <v>-9.2721820000000003E-3</v>
      </c>
      <c r="R57">
        <v>0.12705150000000001</v>
      </c>
      <c r="S57">
        <v>3.0426639999999998</v>
      </c>
      <c r="T57">
        <v>-7.1649069999999995E-2</v>
      </c>
      <c r="U57">
        <v>-0.14212040000000001</v>
      </c>
      <c r="V57">
        <v>-0.13505059999999999</v>
      </c>
      <c r="W57">
        <v>-1.210048E-2</v>
      </c>
      <c r="X57">
        <v>0.9907648</v>
      </c>
      <c r="Y57">
        <v>3.8589659999999998E-2</v>
      </c>
      <c r="Z57">
        <v>-2.6421270000000002E-4</v>
      </c>
      <c r="AA57">
        <v>0.99925509999999995</v>
      </c>
      <c r="AB57">
        <v>11</v>
      </c>
      <c r="AC57">
        <v>48.880699999999898</v>
      </c>
      <c r="AD57">
        <v>-1.1527689999999999</v>
      </c>
      <c r="AE57">
        <v>-2.2859000000000198</v>
      </c>
      <c r="AF57">
        <v>1.89043174780042</v>
      </c>
      <c r="AG57">
        <v>-1.1527689999999999</v>
      </c>
      <c r="AH57">
        <v>48.870429680456702</v>
      </c>
      <c r="AI57">
        <v>91.350248404447399</v>
      </c>
      <c r="AJ57">
        <v>87.784758900162601</v>
      </c>
      <c r="AK57">
        <v>48.920563219498099</v>
      </c>
    </row>
    <row r="58" spans="1:37" x14ac:dyDescent="0.2">
      <c r="A58" t="str">
        <f>"20200111155502483"</f>
        <v>20200111155502483</v>
      </c>
      <c r="B58" t="str">
        <f>"1578729302472991"</f>
        <v>1578729302472991</v>
      </c>
      <c r="C58" t="s">
        <v>37</v>
      </c>
      <c r="D58">
        <v>4.640873</v>
      </c>
      <c r="E58">
        <v>0.5657681</v>
      </c>
      <c r="F58" t="s">
        <v>39</v>
      </c>
      <c r="G58">
        <v>-426.73349999999999</v>
      </c>
      <c r="H58">
        <v>-0.05</v>
      </c>
      <c r="I58">
        <v>365.26280000000003</v>
      </c>
      <c r="J58">
        <v>-474.7756</v>
      </c>
      <c r="K58">
        <v>1.102773</v>
      </c>
      <c r="L58">
        <v>367.50409999999999</v>
      </c>
      <c r="M58">
        <v>0.99996240000000003</v>
      </c>
      <c r="N58">
        <v>0</v>
      </c>
      <c r="O58">
        <v>-8.1801389999999995E-3</v>
      </c>
      <c r="P58">
        <v>0.99199689999999996</v>
      </c>
      <c r="Q58">
        <v>-9.08196E-3</v>
      </c>
      <c r="R58">
        <v>0.12593599999999999</v>
      </c>
      <c r="S58">
        <v>3.04211399999999</v>
      </c>
      <c r="T58">
        <v>-7.2885989999999998E-2</v>
      </c>
      <c r="U58">
        <v>-0.1417542</v>
      </c>
      <c r="V58">
        <v>-0.1340479</v>
      </c>
      <c r="W58">
        <v>-1.191502E-2</v>
      </c>
      <c r="X58">
        <v>0.99090319999999898</v>
      </c>
      <c r="Y58">
        <v>3.8365240000000002E-2</v>
      </c>
      <c r="Z58">
        <v>-2.6343789999999997E-4</v>
      </c>
      <c r="AA58">
        <v>0.99926380000000004</v>
      </c>
      <c r="AB58">
        <v>11</v>
      </c>
      <c r="AC58">
        <v>48.042099999999998</v>
      </c>
      <c r="AD58">
        <v>-1.152773</v>
      </c>
      <c r="AE58">
        <v>-2.2412999999999599</v>
      </c>
      <c r="AF58">
        <v>1.84717110385142</v>
      </c>
      <c r="AG58">
        <v>-1.152773</v>
      </c>
      <c r="AH58">
        <v>48.031232281346099</v>
      </c>
      <c r="AI58">
        <v>91.373847516151898</v>
      </c>
      <c r="AJ58">
        <v>87.797620985874005</v>
      </c>
      <c r="AK58">
        <v>48.0805594928039</v>
      </c>
    </row>
    <row r="59" spans="1:37" x14ac:dyDescent="0.2">
      <c r="A59" t="str">
        <f>"20200111155502499"</f>
        <v>20200111155502499</v>
      </c>
      <c r="B59" t="str">
        <f>"1578729302492511"</f>
        <v>1578729302492511</v>
      </c>
      <c r="C59" t="s">
        <v>37</v>
      </c>
      <c r="D59">
        <v>4.7539220000000002</v>
      </c>
      <c r="E59">
        <v>0.56585810000000003</v>
      </c>
      <c r="F59" t="s">
        <v>39</v>
      </c>
      <c r="G59">
        <v>-426.58640000000003</v>
      </c>
      <c r="H59">
        <v>-0.05</v>
      </c>
      <c r="I59">
        <v>365.25199999999899</v>
      </c>
      <c r="J59">
        <v>-474.69540000000001</v>
      </c>
      <c r="K59">
        <v>1.102781</v>
      </c>
      <c r="L59">
        <v>367.50330000000002</v>
      </c>
      <c r="M59">
        <v>0.99996160000000001</v>
      </c>
      <c r="N59">
        <v>0</v>
      </c>
      <c r="O59">
        <v>-8.2919859999999995E-3</v>
      </c>
      <c r="P59">
        <v>0.9921759</v>
      </c>
      <c r="Q59">
        <v>-7.9115409999999994E-3</v>
      </c>
      <c r="R59">
        <v>0.124597499999999</v>
      </c>
      <c r="S59">
        <v>3.0415649999999999</v>
      </c>
      <c r="T59">
        <v>-7.2759749999999998E-2</v>
      </c>
      <c r="U59">
        <v>-0.1421509</v>
      </c>
      <c r="V59">
        <v>-0.13282099999999999</v>
      </c>
      <c r="W59">
        <v>-1.074935E-2</v>
      </c>
      <c r="X59">
        <v>0.99108180000000001</v>
      </c>
      <c r="Y59">
        <v>3.8391960000000003E-2</v>
      </c>
      <c r="Z59">
        <v>-2.6067439999999999E-4</v>
      </c>
      <c r="AA59">
        <v>0.99926280000000001</v>
      </c>
      <c r="AB59">
        <v>11</v>
      </c>
      <c r="AC59">
        <v>48.108999999999902</v>
      </c>
      <c r="AD59">
        <v>-1.1527810000000001</v>
      </c>
      <c r="AE59">
        <v>-2.2513000000000698</v>
      </c>
      <c r="AF59">
        <v>1.8512412375087199</v>
      </c>
      <c r="AG59">
        <v>-1.1527810000000001</v>
      </c>
      <c r="AH59">
        <v>48.098457488887398</v>
      </c>
      <c r="AI59">
        <v>91.371935972039196</v>
      </c>
      <c r="AJ59">
        <v>87.795854871142694</v>
      </c>
      <c r="AK59">
        <v>48.1478723409843</v>
      </c>
    </row>
    <row r="60" spans="1:37" x14ac:dyDescent="0.2">
      <c r="A60" t="str">
        <f>"20200111155502513"</f>
        <v>20200111155502513</v>
      </c>
      <c r="B60" t="str">
        <f>"1578729302502272"</f>
        <v>1578729302502272</v>
      </c>
      <c r="C60" t="s">
        <v>37</v>
      </c>
      <c r="D60">
        <v>4.659592</v>
      </c>
      <c r="E60">
        <v>0.56542939999999997</v>
      </c>
      <c r="F60" t="s">
        <v>39</v>
      </c>
      <c r="G60">
        <v>-422.7647</v>
      </c>
      <c r="H60">
        <v>-0.05</v>
      </c>
      <c r="I60">
        <v>364.99599999999998</v>
      </c>
      <c r="J60">
        <v>-474.62490000000003</v>
      </c>
      <c r="K60">
        <v>1.102792</v>
      </c>
      <c r="L60">
        <v>367.50259999999997</v>
      </c>
      <c r="M60">
        <v>0.99996090000000004</v>
      </c>
      <c r="N60">
        <v>0</v>
      </c>
      <c r="O60">
        <v>-8.3743849999999998E-3</v>
      </c>
      <c r="P60">
        <v>0.9922358</v>
      </c>
      <c r="Q60">
        <v>-7.28773599999999E-3</v>
      </c>
      <c r="R60">
        <v>0.1241579</v>
      </c>
      <c r="S60">
        <v>3.0415649999999999</v>
      </c>
      <c r="T60">
        <v>-6.7517999999999995E-2</v>
      </c>
      <c r="U60">
        <v>-0.1468506</v>
      </c>
      <c r="V60">
        <v>-0.13246369999999999</v>
      </c>
      <c r="W60">
        <v>-1.0128710000000001E-2</v>
      </c>
      <c r="X60">
        <v>0.99113609999999897</v>
      </c>
      <c r="Y60">
        <v>3.9850990000000003E-2</v>
      </c>
      <c r="Z60">
        <v>-2.56246199999999E-4</v>
      </c>
      <c r="AA60">
        <v>0.99920560000000003</v>
      </c>
      <c r="AB60">
        <v>11</v>
      </c>
      <c r="AC60">
        <v>51.860199999999999</v>
      </c>
      <c r="AD60">
        <v>-1.152792</v>
      </c>
      <c r="AE60">
        <v>-2.5065999999999899</v>
      </c>
      <c r="AF60">
        <v>2.0711920357331501</v>
      </c>
      <c r="AG60">
        <v>-1.152792</v>
      </c>
      <c r="AH60">
        <v>51.853810433129503</v>
      </c>
      <c r="AI60">
        <v>91.272551368962596</v>
      </c>
      <c r="AJ60">
        <v>87.712655808052403</v>
      </c>
      <c r="AK60">
        <v>51.907961068405299</v>
      </c>
    </row>
    <row r="61" spans="1:37" x14ac:dyDescent="0.2">
      <c r="A61" t="str">
        <f>"20200111155502525"</f>
        <v>20200111155502525</v>
      </c>
      <c r="B61" t="str">
        <f>"1578729302522767"</f>
        <v>1578729302522767</v>
      </c>
      <c r="C61" t="s">
        <v>37</v>
      </c>
      <c r="D61">
        <v>4.6268269999999996</v>
      </c>
      <c r="E61">
        <v>0.5647354</v>
      </c>
      <c r="F61" t="s">
        <v>39</v>
      </c>
      <c r="G61">
        <v>-421.255</v>
      </c>
      <c r="H61">
        <v>-0.05</v>
      </c>
      <c r="I61">
        <v>364.9581</v>
      </c>
      <c r="J61">
        <v>-474.55970000000002</v>
      </c>
      <c r="K61">
        <v>1.102795</v>
      </c>
      <c r="L61">
        <v>367.50199999999899</v>
      </c>
      <c r="M61">
        <v>0.99996019999999897</v>
      </c>
      <c r="N61">
        <v>0</v>
      </c>
      <c r="O61">
        <v>-8.4419999999999999E-3</v>
      </c>
      <c r="P61">
        <v>0.99227790000000005</v>
      </c>
      <c r="Q61">
        <v>-6.480029E-3</v>
      </c>
      <c r="R61">
        <v>0.123866</v>
      </c>
      <c r="S61">
        <v>3.0411069999999998</v>
      </c>
      <c r="T61">
        <v>-6.5688010000000005E-2</v>
      </c>
      <c r="U61">
        <v>-0.14498900000000001</v>
      </c>
      <c r="V61">
        <v>-0.1322392</v>
      </c>
      <c r="W61">
        <v>-9.3235260000000004E-3</v>
      </c>
      <c r="X61">
        <v>0.991174</v>
      </c>
      <c r="Y61">
        <v>3.9180989999999999E-2</v>
      </c>
      <c r="Z61">
        <v>-2.4065330000000001E-4</v>
      </c>
      <c r="AA61">
        <v>0.99923209999999996</v>
      </c>
      <c r="AB61">
        <v>11</v>
      </c>
      <c r="AC61">
        <v>53.304699999999997</v>
      </c>
      <c r="AD61">
        <v>-1.152795</v>
      </c>
      <c r="AE61">
        <v>-2.5438999999999501</v>
      </c>
      <c r="AF61">
        <v>2.0928325906353402</v>
      </c>
      <c r="AG61">
        <v>-1.152795</v>
      </c>
      <c r="AH61">
        <v>53.299404383959697</v>
      </c>
      <c r="AI61">
        <v>91.238084312819097</v>
      </c>
      <c r="AJ61">
        <v>87.751402524158607</v>
      </c>
      <c r="AK61">
        <v>53.352932367858799</v>
      </c>
    </row>
    <row r="62" spans="1:37" x14ac:dyDescent="0.2">
      <c r="A62" t="str">
        <f>"20200111155502544"</f>
        <v>20200111155502544</v>
      </c>
      <c r="B62" t="str">
        <f>"1578729302532545"</f>
        <v>1578729302532545</v>
      </c>
      <c r="C62" t="s">
        <v>37</v>
      </c>
      <c r="D62">
        <v>4.6792920000000002</v>
      </c>
      <c r="E62">
        <v>0.56438330000000003</v>
      </c>
      <c r="F62" t="s">
        <v>39</v>
      </c>
      <c r="G62">
        <v>-420.98970000000003</v>
      </c>
      <c r="H62">
        <v>-0.05</v>
      </c>
      <c r="I62">
        <v>365.03019999999998</v>
      </c>
      <c r="J62">
        <v>-474.46080000000001</v>
      </c>
      <c r="K62">
        <v>1.102814</v>
      </c>
      <c r="L62">
        <v>367.50099999999998</v>
      </c>
      <c r="M62">
        <v>0.999959499999999</v>
      </c>
      <c r="N62">
        <v>0</v>
      </c>
      <c r="O62">
        <v>-8.5279840000000006E-3</v>
      </c>
      <c r="P62">
        <v>0.99231100000000005</v>
      </c>
      <c r="Q62">
        <v>-4.479182E-3</v>
      </c>
      <c r="R62">
        <v>0.1236892</v>
      </c>
      <c r="S62">
        <v>3.0404360000000001</v>
      </c>
      <c r="T62">
        <v>-6.5428379999999994E-2</v>
      </c>
      <c r="U62">
        <v>-0.14028929999999901</v>
      </c>
      <c r="V62">
        <v>-0.1321474</v>
      </c>
      <c r="W62">
        <v>-7.3257309999999898E-3</v>
      </c>
      <c r="X62">
        <v>0.99120299999999995</v>
      </c>
      <c r="Y62">
        <v>3.7564800000000002E-2</v>
      </c>
      <c r="Z62">
        <v>-2.205361E-4</v>
      </c>
      <c r="AA62">
        <v>0.99929419999999902</v>
      </c>
      <c r="AB62">
        <v>12</v>
      </c>
      <c r="AC62">
        <v>53.4710999999999</v>
      </c>
      <c r="AD62">
        <v>-1.152814</v>
      </c>
      <c r="AE62">
        <v>-2.4707999999999899</v>
      </c>
      <c r="AF62">
        <v>2.01377354199228</v>
      </c>
      <c r="AG62">
        <v>-1.152814</v>
      </c>
      <c r="AH62">
        <v>53.4654280057036</v>
      </c>
      <c r="AI62">
        <v>91.234337134429694</v>
      </c>
      <c r="AJ62">
        <v>87.842976032574796</v>
      </c>
      <c r="AK62">
        <v>53.515757079855497</v>
      </c>
    </row>
    <row r="63" spans="1:37" x14ac:dyDescent="0.2">
      <c r="A63" t="str">
        <f>"20200111155502556"</f>
        <v>20200111155502556</v>
      </c>
      <c r="B63" t="str">
        <f>"1578729302552047"</f>
        <v>1578729302552047</v>
      </c>
      <c r="C63" t="s">
        <v>37</v>
      </c>
      <c r="D63">
        <v>4.6975769999999999</v>
      </c>
      <c r="E63">
        <v>0.56374749999999996</v>
      </c>
      <c r="F63" t="s">
        <v>39</v>
      </c>
      <c r="G63">
        <v>-416.255</v>
      </c>
      <c r="H63">
        <v>-0.05</v>
      </c>
      <c r="I63">
        <v>364.85890000000001</v>
      </c>
      <c r="J63">
        <v>-474.3897</v>
      </c>
      <c r="K63">
        <v>1.1028260000000001</v>
      </c>
      <c r="L63">
        <v>367.50029999999998</v>
      </c>
      <c r="M63">
        <v>0.99995919999999905</v>
      </c>
      <c r="N63">
        <v>0</v>
      </c>
      <c r="O63">
        <v>-8.57843199999999E-3</v>
      </c>
      <c r="P63">
        <v>0.99234460000000002</v>
      </c>
      <c r="Q63">
        <v>-2.863169E-3</v>
      </c>
      <c r="R63">
        <v>0.1234682</v>
      </c>
      <c r="S63">
        <v>3.0401919999999998</v>
      </c>
      <c r="T63">
        <v>-6.0213570000000001E-2</v>
      </c>
      <c r="U63">
        <v>-0.1380005</v>
      </c>
      <c r="V63">
        <v>-0.1319767</v>
      </c>
      <c r="W63">
        <v>-5.7114940000000001E-3</v>
      </c>
      <c r="X63">
        <v>0.99123639999999902</v>
      </c>
      <c r="Y63">
        <v>3.6768519999999999E-2</v>
      </c>
      <c r="Z63">
        <v>-1.94102799999999E-4</v>
      </c>
      <c r="AA63">
        <v>0.99932379999999998</v>
      </c>
      <c r="AB63">
        <v>12</v>
      </c>
      <c r="AC63">
        <v>58.134700000000002</v>
      </c>
      <c r="AD63">
        <v>-1.1528259999999999</v>
      </c>
      <c r="AE63">
        <v>-2.6413999999999702</v>
      </c>
      <c r="AF63">
        <v>2.1417557530491398</v>
      </c>
      <c r="AG63">
        <v>-1.1528259999999999</v>
      </c>
      <c r="AH63">
        <v>58.132407214708998</v>
      </c>
      <c r="AI63">
        <v>91.135315822382793</v>
      </c>
      <c r="AJ63">
        <v>87.890022222758006</v>
      </c>
      <c r="AK63">
        <v>58.183269881201703</v>
      </c>
    </row>
    <row r="64" spans="1:37" x14ac:dyDescent="0.2">
      <c r="A64" t="str">
        <f>"20200111155502569"</f>
        <v>20200111155502569</v>
      </c>
      <c r="B64" t="str">
        <f>"1578729302562586"</f>
        <v>1578729302562586</v>
      </c>
      <c r="C64" t="s">
        <v>37</v>
      </c>
      <c r="D64">
        <v>4.8004040000000003</v>
      </c>
      <c r="E64">
        <v>0.56366249999999996</v>
      </c>
      <c r="F64" t="s">
        <v>39</v>
      </c>
      <c r="G64">
        <v>-412.91160000000002</v>
      </c>
      <c r="H64">
        <v>-0.05</v>
      </c>
      <c r="I64">
        <v>364.798</v>
      </c>
      <c r="J64">
        <v>-474.32369999999997</v>
      </c>
      <c r="K64">
        <v>1.1028389999999999</v>
      </c>
      <c r="L64">
        <v>367.49970000000002</v>
      </c>
      <c r="M64">
        <v>0.99995889999999998</v>
      </c>
      <c r="N64">
        <v>0</v>
      </c>
      <c r="O64">
        <v>-8.6133809999999998E-3</v>
      </c>
      <c r="P64">
        <v>0.99233850000000001</v>
      </c>
      <c r="Q64">
        <v>-1.1262799999999999E-3</v>
      </c>
      <c r="R64">
        <v>0.12354420000000001</v>
      </c>
      <c r="S64">
        <v>3.039612</v>
      </c>
      <c r="T64">
        <v>-5.699825E-2</v>
      </c>
      <c r="U64">
        <v>-0.133606</v>
      </c>
      <c r="V64">
        <v>-0.13208699999999901</v>
      </c>
      <c r="W64">
        <v>-3.9756829999999998E-3</v>
      </c>
      <c r="X64">
        <v>0.9912301</v>
      </c>
      <c r="Y64">
        <v>3.530113E-2</v>
      </c>
      <c r="Z64">
        <v>-1.6937540000000001E-4</v>
      </c>
      <c r="AA64">
        <v>0.99937670000000001</v>
      </c>
      <c r="AB64">
        <v>12</v>
      </c>
      <c r="AC64">
        <v>61.412099999999903</v>
      </c>
      <c r="AD64">
        <v>-1.1528389999999999</v>
      </c>
      <c r="AE64">
        <v>-2.70170000000001</v>
      </c>
      <c r="AF64">
        <v>2.1718679675653698</v>
      </c>
      <c r="AG64">
        <v>-1.1528389999999999</v>
      </c>
      <c r="AH64">
        <v>61.4114934273546</v>
      </c>
      <c r="AI64">
        <v>91.074779228119795</v>
      </c>
      <c r="AJ64">
        <v>87.974531803793596</v>
      </c>
      <c r="AK64">
        <v>61.460699420088503</v>
      </c>
    </row>
    <row r="65" spans="1:37" x14ac:dyDescent="0.2">
      <c r="A65" t="str">
        <f>"20200111155502582"</f>
        <v>20200111155502582</v>
      </c>
      <c r="B65" t="str">
        <f>"1578729302572346"</f>
        <v>1578729302572346</v>
      </c>
      <c r="C65" t="s">
        <v>37</v>
      </c>
      <c r="D65">
        <v>4.7023919999999997</v>
      </c>
      <c r="E65">
        <v>0.56336370000000002</v>
      </c>
      <c r="F65" t="s">
        <v>39</v>
      </c>
      <c r="G65">
        <v>-406.42809999999997</v>
      </c>
      <c r="H65">
        <v>-0.05</v>
      </c>
      <c r="I65">
        <v>364.53440000000001</v>
      </c>
      <c r="J65">
        <v>-474.2509</v>
      </c>
      <c r="K65">
        <v>1.102854</v>
      </c>
      <c r="L65">
        <v>367.49900000000002</v>
      </c>
      <c r="M65">
        <v>0.99995849999999897</v>
      </c>
      <c r="N65">
        <v>0</v>
      </c>
      <c r="O65">
        <v>-8.6460649999999997E-3</v>
      </c>
      <c r="P65">
        <v>0.99231389999999997</v>
      </c>
      <c r="Q65">
        <v>3.0432039999999999E-4</v>
      </c>
      <c r="R65">
        <v>0.12374549999999999</v>
      </c>
      <c r="S65">
        <v>3.039612</v>
      </c>
      <c r="T65">
        <v>-5.1611299999999999E-2</v>
      </c>
      <c r="U65">
        <v>-0.13275149999999999</v>
      </c>
      <c r="V65">
        <v>-0.13232070000000001</v>
      </c>
      <c r="W65">
        <v>-2.545982E-3</v>
      </c>
      <c r="X65">
        <v>0.99120370000000002</v>
      </c>
      <c r="Y65">
        <v>3.4988940000000003E-2</v>
      </c>
      <c r="Z65">
        <v>-1.5016749999999999E-4</v>
      </c>
      <c r="AA65">
        <v>0.99938769999999999</v>
      </c>
      <c r="AB65">
        <v>12</v>
      </c>
      <c r="AC65">
        <v>67.822800000000001</v>
      </c>
      <c r="AD65">
        <v>-1.152854</v>
      </c>
      <c r="AE65">
        <v>-2.9646000000000101</v>
      </c>
      <c r="AF65">
        <v>2.37740083443247</v>
      </c>
      <c r="AG65">
        <v>-1.152854</v>
      </c>
      <c r="AH65">
        <v>67.826337236958295</v>
      </c>
      <c r="AI65">
        <v>90.973173310894296</v>
      </c>
      <c r="AJ65">
        <v>87.9925306839488</v>
      </c>
      <c r="AK65">
        <v>67.877780827414099</v>
      </c>
    </row>
    <row r="66" spans="1:37" x14ac:dyDescent="0.2">
      <c r="A66" t="str">
        <f>"20200111155502599"</f>
        <v>20200111155502599</v>
      </c>
      <c r="B66" t="str">
        <f>"1578729302592842"</f>
        <v>1578729302592842</v>
      </c>
      <c r="C66" t="s">
        <v>37</v>
      </c>
      <c r="D66">
        <v>4.9378000000000002</v>
      </c>
      <c r="E66">
        <v>0.56312510000000005</v>
      </c>
      <c r="F66" t="s">
        <v>39</v>
      </c>
      <c r="G66">
        <v>-400.91039999999998</v>
      </c>
      <c r="H66">
        <v>-0.05</v>
      </c>
      <c r="I66">
        <v>364.37090000000001</v>
      </c>
      <c r="J66">
        <v>-474.15370000000001</v>
      </c>
      <c r="K66">
        <v>1.1028709999999999</v>
      </c>
      <c r="L66">
        <v>367.49810000000002</v>
      </c>
      <c r="M66">
        <v>0.99995829999999997</v>
      </c>
      <c r="N66">
        <v>0</v>
      </c>
      <c r="O66">
        <v>-8.6754150000000006E-3</v>
      </c>
      <c r="P66">
        <v>0.99222149999999998</v>
      </c>
      <c r="Q66">
        <v>3.357943E-3</v>
      </c>
      <c r="R66">
        <v>0.12444139999999999</v>
      </c>
      <c r="S66">
        <v>3.0394589999999999</v>
      </c>
      <c r="T66">
        <v>-4.7777890000000003E-2</v>
      </c>
      <c r="U66">
        <v>-0.1296387</v>
      </c>
      <c r="V66">
        <v>-0.13304460000000001</v>
      </c>
      <c r="W66">
        <v>5.0717989999999897E-4</v>
      </c>
      <c r="X66">
        <v>0.99110989999999999</v>
      </c>
      <c r="Y66">
        <v>3.3940850000000002E-2</v>
      </c>
      <c r="Z66">
        <v>-1.303307E-4</v>
      </c>
      <c r="AA66">
        <v>0.99942389999999903</v>
      </c>
      <c r="AB66">
        <v>12</v>
      </c>
      <c r="AC66">
        <v>73.243300000000005</v>
      </c>
      <c r="AD66">
        <v>-1.152871</v>
      </c>
      <c r="AE66">
        <v>-3.12720000000001</v>
      </c>
      <c r="AF66">
        <v>2.4910476566754798</v>
      </c>
      <c r="AG66">
        <v>-1.152871</v>
      </c>
      <c r="AH66">
        <v>73.249558490024995</v>
      </c>
      <c r="AI66">
        <v>90.901179969849593</v>
      </c>
      <c r="AJ66">
        <v>88.052254017015599</v>
      </c>
      <c r="AK66">
        <v>73.300970313864596</v>
      </c>
    </row>
    <row r="67" spans="1:37" x14ac:dyDescent="0.2">
      <c r="A67" t="str">
        <f>"20200111155502613"</f>
        <v>20200111155502613</v>
      </c>
      <c r="B67" t="str">
        <f>"1578729302602602"</f>
        <v>1578729302602602</v>
      </c>
      <c r="C67" t="s">
        <v>37</v>
      </c>
      <c r="D67">
        <v>4.8578289999999997</v>
      </c>
      <c r="E67">
        <v>0.56318319999999999</v>
      </c>
      <c r="F67" t="s">
        <v>38</v>
      </c>
      <c r="G67">
        <v>-389.05110000000002</v>
      </c>
      <c r="H67" s="1">
        <v>-1.8092749999999999E-6</v>
      </c>
      <c r="I67">
        <v>363.9776</v>
      </c>
      <c r="J67">
        <v>-474.07260000000002</v>
      </c>
      <c r="K67">
        <v>1.1028799999999901</v>
      </c>
      <c r="L67">
        <v>367.49740000000003</v>
      </c>
      <c r="M67">
        <v>0.99995820000000002</v>
      </c>
      <c r="N67">
        <v>0</v>
      </c>
      <c r="O67">
        <v>-8.6871159999999999E-3</v>
      </c>
      <c r="P67">
        <v>0.99219449999999998</v>
      </c>
      <c r="Q67">
        <v>4.5306449999999998E-3</v>
      </c>
      <c r="R67">
        <v>0.1246188</v>
      </c>
      <c r="S67">
        <v>3.0393979999999998</v>
      </c>
      <c r="T67">
        <v>-3.938854E-2</v>
      </c>
      <c r="U67">
        <v>-0.12573239999999999</v>
      </c>
      <c r="V67">
        <v>-0.1332335</v>
      </c>
      <c r="W67">
        <v>1.6801979999999999E-3</v>
      </c>
      <c r="X67">
        <v>0.9910833</v>
      </c>
      <c r="Y67">
        <v>3.264889E-2</v>
      </c>
      <c r="Z67" s="1">
        <v>-9.8933799999999998E-5</v>
      </c>
      <c r="AA67">
        <v>0.99946689999999905</v>
      </c>
      <c r="AB67">
        <v>13</v>
      </c>
      <c r="AC67">
        <v>85.021500000000003</v>
      </c>
      <c r="AD67">
        <v>-1.1028818092749999</v>
      </c>
      <c r="AE67">
        <v>-3.5198000000000298</v>
      </c>
      <c r="AF67">
        <v>2.7806054624046901</v>
      </c>
      <c r="AG67">
        <v>-1.1028818092749999</v>
      </c>
      <c r="AH67">
        <v>85.034584751206296</v>
      </c>
      <c r="AI67">
        <v>90.742676396849504</v>
      </c>
      <c r="AJ67">
        <v>88.127112514839496</v>
      </c>
      <c r="AK67">
        <v>85.087183046760103</v>
      </c>
    </row>
    <row r="68" spans="1:37" x14ac:dyDescent="0.2">
      <c r="A68" t="str">
        <f>"20200111155502627"</f>
        <v>20200111155502627</v>
      </c>
      <c r="B68" t="str">
        <f>"1578729302622121"</f>
        <v>1578729302622121</v>
      </c>
      <c r="C68" t="s">
        <v>37</v>
      </c>
      <c r="D68">
        <v>4.73489</v>
      </c>
      <c r="E68">
        <v>0.56287290000000001</v>
      </c>
      <c r="F68" t="s">
        <v>38</v>
      </c>
      <c r="G68">
        <v>-380.15309999999999</v>
      </c>
      <c r="H68" s="1">
        <v>-5.2717599999999897E-6</v>
      </c>
      <c r="I68">
        <v>363.6114</v>
      </c>
      <c r="J68">
        <v>-473.99630000000002</v>
      </c>
      <c r="K68">
        <v>1.1028899999999999</v>
      </c>
      <c r="L68">
        <v>367.49669999999998</v>
      </c>
      <c r="M68">
        <v>0.99995820000000002</v>
      </c>
      <c r="N68">
        <v>0</v>
      </c>
      <c r="O68">
        <v>-8.6904689999999993E-3</v>
      </c>
      <c r="P68">
        <v>0.99214369999999996</v>
      </c>
      <c r="Q68">
        <v>5.7557989999999998E-3</v>
      </c>
      <c r="R68">
        <v>0.1249702</v>
      </c>
      <c r="S68">
        <v>3.0395509999999999</v>
      </c>
      <c r="T68">
        <v>-3.5693049999999997E-2</v>
      </c>
      <c r="U68">
        <v>-0.12576289999999901</v>
      </c>
      <c r="V68">
        <v>-0.13358800000000001</v>
      </c>
      <c r="W68">
        <v>2.9056669999999998E-3</v>
      </c>
      <c r="X68">
        <v>0.99103269999999899</v>
      </c>
      <c r="Y68">
        <v>3.2653849999999998E-2</v>
      </c>
      <c r="Z68" s="1">
        <v>-8.9637589999999996E-5</v>
      </c>
      <c r="AA68">
        <v>0.99946669999999904</v>
      </c>
      <c r="AB68">
        <v>13</v>
      </c>
      <c r="AC68">
        <v>93.843199999999996</v>
      </c>
      <c r="AD68">
        <v>-1.10289527176</v>
      </c>
      <c r="AE68">
        <v>-3.8852999999999698</v>
      </c>
      <c r="AF68">
        <v>3.06918536935556</v>
      </c>
      <c r="AG68">
        <v>-1.10289527176</v>
      </c>
      <c r="AH68">
        <v>93.860479386205895</v>
      </c>
      <c r="AI68">
        <v>90.672855973771803</v>
      </c>
      <c r="AJ68">
        <v>88.127127274762302</v>
      </c>
      <c r="AK68">
        <v>93.917122333578305</v>
      </c>
    </row>
    <row r="69" spans="1:37" x14ac:dyDescent="0.2">
      <c r="A69" t="str">
        <f>"20200111155502644"</f>
        <v>20200111155502644</v>
      </c>
      <c r="B69" t="str">
        <f>"1578729302632857"</f>
        <v>1578729302632857</v>
      </c>
      <c r="C69" t="s">
        <v>37</v>
      </c>
      <c r="D69">
        <v>4.6634169999999999</v>
      </c>
      <c r="E69">
        <v>0.56268580000000001</v>
      </c>
      <c r="F69" t="s">
        <v>38</v>
      </c>
      <c r="G69">
        <v>-373.90170000000001</v>
      </c>
      <c r="H69" s="1">
        <v>-3.6939439999999998E-6</v>
      </c>
      <c r="I69">
        <v>363.48039999999997</v>
      </c>
      <c r="J69">
        <v>-473.8929</v>
      </c>
      <c r="K69">
        <v>1.102902</v>
      </c>
      <c r="L69">
        <v>367.4957</v>
      </c>
      <c r="M69">
        <v>0.99995829999999997</v>
      </c>
      <c r="N69">
        <v>0</v>
      </c>
      <c r="O69">
        <v>-8.6840519999999994E-3</v>
      </c>
      <c r="P69">
        <v>0.99206090000000002</v>
      </c>
      <c r="Q69">
        <v>7.1720969999999997E-3</v>
      </c>
      <c r="R69">
        <v>0.125554</v>
      </c>
      <c r="S69">
        <v>3.039307</v>
      </c>
      <c r="T69">
        <v>-3.3488629999999998E-2</v>
      </c>
      <c r="U69">
        <v>-0.12194819999999899</v>
      </c>
      <c r="V69">
        <v>-0.1341648</v>
      </c>
      <c r="W69">
        <v>4.3209099999999999E-3</v>
      </c>
      <c r="X69">
        <v>0.99094959999999899</v>
      </c>
      <c r="Y69">
        <v>3.141145E-2</v>
      </c>
      <c r="Z69" s="1">
        <v>-7.7339620000000002E-5</v>
      </c>
      <c r="AA69">
        <v>0.99950649999999996</v>
      </c>
      <c r="AB69">
        <v>13</v>
      </c>
      <c r="AC69">
        <v>99.991200000000006</v>
      </c>
      <c r="AD69">
        <v>-1.1029056939440001</v>
      </c>
      <c r="AE69">
        <v>-4.0153000000000203</v>
      </c>
      <c r="AF69">
        <v>3.1464341624894598</v>
      </c>
      <c r="AG69">
        <v>-1.1029056939440001</v>
      </c>
      <c r="AH69">
        <v>100.010151008948</v>
      </c>
      <c r="AI69">
        <v>90.631516226552904</v>
      </c>
      <c r="AJ69">
        <v>88.198003385115399</v>
      </c>
      <c r="AK69">
        <v>100.065712178254</v>
      </c>
    </row>
    <row r="70" spans="1:37" x14ac:dyDescent="0.2">
      <c r="A70" t="str">
        <f>"20200111155502657"</f>
        <v>20200111155502657</v>
      </c>
      <c r="B70" t="str">
        <f>"1578729302652378"</f>
        <v>1578729302652378</v>
      </c>
      <c r="C70" t="s">
        <v>37</v>
      </c>
      <c r="D70">
        <v>4.7285969999999997</v>
      </c>
      <c r="E70">
        <v>0.562469199999999</v>
      </c>
      <c r="F70" t="s">
        <v>38</v>
      </c>
      <c r="G70">
        <v>-365.9468</v>
      </c>
      <c r="H70" s="1">
        <v>-3.05350399999999E-6</v>
      </c>
      <c r="I70">
        <v>363.27170000000001</v>
      </c>
      <c r="J70">
        <v>-473.81199999999899</v>
      </c>
      <c r="K70">
        <v>1.1029070000000001</v>
      </c>
      <c r="L70">
        <v>367.495</v>
      </c>
      <c r="M70">
        <v>0.99995840000000003</v>
      </c>
      <c r="N70">
        <v>0</v>
      </c>
      <c r="O70">
        <v>-8.6711949999999996E-3</v>
      </c>
      <c r="P70">
        <v>0.99203539999999901</v>
      </c>
      <c r="Q70">
        <v>7.2729090000000001E-3</v>
      </c>
      <c r="R70">
        <v>0.12575020000000001</v>
      </c>
      <c r="S70">
        <v>3.0392759999999899</v>
      </c>
      <c r="T70">
        <v>-3.105283E-2</v>
      </c>
      <c r="U70">
        <v>-0.118927</v>
      </c>
      <c r="V70">
        <v>-0.1343481</v>
      </c>
      <c r="W70">
        <v>4.41913799999999E-3</v>
      </c>
      <c r="X70">
        <v>0.99092440000000004</v>
      </c>
      <c r="Y70">
        <v>3.0432919999999999E-2</v>
      </c>
      <c r="Z70" s="1">
        <v>-6.6851049999999896E-5</v>
      </c>
      <c r="AA70">
        <v>0.9995368</v>
      </c>
      <c r="AB70">
        <v>13</v>
      </c>
      <c r="AC70">
        <v>107.86519999999901</v>
      </c>
      <c r="AD70">
        <v>-1.102910053504</v>
      </c>
      <c r="AE70">
        <v>-4.2232999999999903</v>
      </c>
      <c r="AF70">
        <v>3.2874741191669998</v>
      </c>
      <c r="AG70">
        <v>-1.102910053504</v>
      </c>
      <c r="AH70">
        <v>107.886503824889</v>
      </c>
      <c r="AI70">
        <v>90.585435376781305</v>
      </c>
      <c r="AJ70">
        <v>88.254646132746402</v>
      </c>
      <c r="AK70">
        <v>107.942214189946</v>
      </c>
    </row>
    <row r="71" spans="1:37" x14ac:dyDescent="0.2">
      <c r="A71" t="str">
        <f>"20200111155502670"</f>
        <v>20200111155502670</v>
      </c>
      <c r="B71" t="str">
        <f>"1578729302663113"</f>
        <v>1578729302663113</v>
      </c>
      <c r="C71" t="s">
        <v>37</v>
      </c>
      <c r="D71">
        <v>4.7504589999999904</v>
      </c>
      <c r="E71">
        <v>0.55594880000000002</v>
      </c>
      <c r="F71" t="s">
        <v>38</v>
      </c>
      <c r="G71">
        <v>-368.74209999999999</v>
      </c>
      <c r="H71" s="1">
        <v>-2.0503990000000001E-6</v>
      </c>
      <c r="I71">
        <v>363.4667</v>
      </c>
      <c r="J71">
        <v>-473.73500000000001</v>
      </c>
      <c r="K71">
        <v>1.1029070000000001</v>
      </c>
      <c r="L71">
        <v>367.49439999999998</v>
      </c>
      <c r="M71">
        <v>0.99995859999999903</v>
      </c>
      <c r="N71">
        <v>0</v>
      </c>
      <c r="O71">
        <v>-8.6494050000000006E-3</v>
      </c>
      <c r="P71">
        <v>0.99201799999999996</v>
      </c>
      <c r="Q71">
        <v>7.77949E-3</v>
      </c>
      <c r="R71">
        <v>0.125858</v>
      </c>
      <c r="S71">
        <v>3.0391240000000002</v>
      </c>
      <c r="T71">
        <v>-3.1901359999999997E-2</v>
      </c>
      <c r="U71">
        <v>-0.1165161</v>
      </c>
      <c r="V71">
        <v>-0.13443469999999999</v>
      </c>
      <c r="W71">
        <v>4.9174270000000003E-3</v>
      </c>
      <c r="X71">
        <v>0.99091019999999896</v>
      </c>
      <c r="Y71">
        <v>2.9664909999999999E-2</v>
      </c>
      <c r="Z71" s="1">
        <v>-6.4881449999999995E-5</v>
      </c>
      <c r="AA71">
        <v>0.99955989999999995</v>
      </c>
      <c r="AB71">
        <v>13</v>
      </c>
      <c r="AC71">
        <v>104.99290000000001</v>
      </c>
      <c r="AD71">
        <v>-1.102909050399</v>
      </c>
      <c r="AE71">
        <v>-4.0276999999999799</v>
      </c>
      <c r="AF71">
        <v>3.11907592085837</v>
      </c>
      <c r="AG71">
        <v>-1.102909050399</v>
      </c>
      <c r="AH71">
        <v>105.012239136123</v>
      </c>
      <c r="AI71">
        <v>90.601471391644694</v>
      </c>
      <c r="AJ71">
        <v>88.298699634534202</v>
      </c>
      <c r="AK71">
        <v>105.064339389518</v>
      </c>
    </row>
    <row r="72" spans="1:37" x14ac:dyDescent="0.2">
      <c r="A72" t="str">
        <f>"20200111155502684"</f>
        <v>20200111155502684</v>
      </c>
      <c r="B72" t="str">
        <f>"1578729302672874"</f>
        <v>1578729302672874</v>
      </c>
      <c r="C72" t="s">
        <v>37</v>
      </c>
      <c r="D72">
        <v>4.7400779999999996</v>
      </c>
      <c r="E72">
        <v>0.55609200000000003</v>
      </c>
      <c r="F72" t="s">
        <v>39</v>
      </c>
      <c r="G72">
        <v>-422.92380000000003</v>
      </c>
      <c r="H72">
        <v>-0.05</v>
      </c>
      <c r="I72">
        <v>366.42520000000002</v>
      </c>
      <c r="J72">
        <v>-473.65260000000001</v>
      </c>
      <c r="K72">
        <v>1.1029059999999999</v>
      </c>
      <c r="L72">
        <v>367.49369999999999</v>
      </c>
      <c r="M72">
        <v>0.99995879999999904</v>
      </c>
      <c r="N72">
        <v>0</v>
      </c>
      <c r="O72">
        <v>-8.6207090000000007E-3</v>
      </c>
      <c r="P72">
        <v>0.99199029999999999</v>
      </c>
      <c r="Q72">
        <v>7.6653900000000002E-3</v>
      </c>
      <c r="R72">
        <v>0.1260821</v>
      </c>
      <c r="S72">
        <v>3.0327759999999899</v>
      </c>
      <c r="T72">
        <v>-6.8813799999999994E-2</v>
      </c>
      <c r="U72">
        <v>-6.3812259999999996E-2</v>
      </c>
      <c r="V72">
        <v>-0.13463</v>
      </c>
      <c r="W72">
        <v>4.7901139999999998E-3</v>
      </c>
      <c r="X72">
        <v>0.9908844</v>
      </c>
      <c r="Y72">
        <v>1.241563E-2</v>
      </c>
      <c r="Z72" s="1">
        <v>5.4730159999999997E-5</v>
      </c>
      <c r="AA72">
        <v>0.99992289999999995</v>
      </c>
      <c r="AB72">
        <v>13</v>
      </c>
      <c r="AC72">
        <v>50.7287999999999</v>
      </c>
      <c r="AD72">
        <v>-1.152906</v>
      </c>
      <c r="AE72">
        <v>-1.06849999999997</v>
      </c>
      <c r="AF72">
        <v>0.63081462793100596</v>
      </c>
      <c r="AG72">
        <v>-1.152906</v>
      </c>
      <c r="AH72">
        <v>50.709945645786597</v>
      </c>
      <c r="AI72">
        <v>91.302311834336194</v>
      </c>
      <c r="AJ72">
        <v>89.287296580013404</v>
      </c>
      <c r="AK72">
        <v>50.726972181851004</v>
      </c>
    </row>
    <row r="73" spans="1:37" x14ac:dyDescent="0.2">
      <c r="A73" t="str">
        <f>"20200111155502700"</f>
        <v>20200111155502700</v>
      </c>
      <c r="B73" t="str">
        <f>"1578729302692393"</f>
        <v>1578729302692393</v>
      </c>
      <c r="C73" t="s">
        <v>37</v>
      </c>
      <c r="D73">
        <v>4.7217529999999996</v>
      </c>
      <c r="E73">
        <v>0.55624039999999997</v>
      </c>
      <c r="F73" t="s">
        <v>39</v>
      </c>
      <c r="G73">
        <v>-422.86169999999998</v>
      </c>
      <c r="H73">
        <v>-0.05</v>
      </c>
      <c r="I73">
        <v>366.41840000000002</v>
      </c>
      <c r="J73">
        <v>-473.553</v>
      </c>
      <c r="K73">
        <v>1.1029040000000001</v>
      </c>
      <c r="L73">
        <v>367.49290000000002</v>
      </c>
      <c r="M73">
        <v>0.99995919999999905</v>
      </c>
      <c r="N73">
        <v>0</v>
      </c>
      <c r="O73">
        <v>-8.5772480000000009E-3</v>
      </c>
      <c r="P73">
        <v>0.99193299999999995</v>
      </c>
      <c r="Q73">
        <v>7.0024750000000002E-3</v>
      </c>
      <c r="R73">
        <v>0.12657019999999999</v>
      </c>
      <c r="S73">
        <v>3.0328979999999999</v>
      </c>
      <c r="T73">
        <v>-6.8843959999999996E-2</v>
      </c>
      <c r="U73">
        <v>-6.4208979999999999E-2</v>
      </c>
      <c r="V73">
        <v>-0.135074</v>
      </c>
      <c r="W73">
        <v>4.1034740000000002E-3</v>
      </c>
      <c r="X73">
        <v>0.99082700000000001</v>
      </c>
      <c r="Y73">
        <v>1.258892E-2</v>
      </c>
      <c r="Z73" s="1">
        <v>5.17992599999999E-5</v>
      </c>
      <c r="AA73">
        <v>0.9999207</v>
      </c>
      <c r="AB73">
        <v>14</v>
      </c>
      <c r="AC73">
        <v>50.691299999999998</v>
      </c>
      <c r="AD73">
        <v>-1.1529039999999999</v>
      </c>
      <c r="AE73">
        <v>-1.0745</v>
      </c>
      <c r="AF73">
        <v>0.63933631425242399</v>
      </c>
      <c r="AG73">
        <v>-1.1529039999999999</v>
      </c>
      <c r="AH73">
        <v>50.672451885229698</v>
      </c>
      <c r="AI73">
        <v>91.303269959029905</v>
      </c>
      <c r="AJ73">
        <v>89.277135257018799</v>
      </c>
      <c r="AK73">
        <v>50.689597735796397</v>
      </c>
    </row>
    <row r="74" spans="1:37" x14ac:dyDescent="0.2">
      <c r="A74" t="str">
        <f>"20200111155502713"</f>
        <v>20200111155502713</v>
      </c>
      <c r="B74" t="str">
        <f>"1578729302702154"</f>
        <v>1578729302702154</v>
      </c>
      <c r="C74" t="s">
        <v>37</v>
      </c>
      <c r="D74">
        <v>4.9865659999999998</v>
      </c>
      <c r="E74">
        <v>0.55586389999999997</v>
      </c>
      <c r="F74" t="s">
        <v>39</v>
      </c>
      <c r="G74">
        <v>-424.54340000000002</v>
      </c>
      <c r="H74">
        <v>-0.05</v>
      </c>
      <c r="I74">
        <v>366.4588</v>
      </c>
      <c r="J74">
        <v>-473.46370000000002</v>
      </c>
      <c r="K74">
        <v>1.1028990000000001</v>
      </c>
      <c r="L74">
        <v>367.49209999999999</v>
      </c>
      <c r="M74">
        <v>0.9999593</v>
      </c>
      <c r="N74">
        <v>0</v>
      </c>
      <c r="O74">
        <v>-8.528196E-3</v>
      </c>
      <c r="P74">
        <v>0.99190159999999905</v>
      </c>
      <c r="Q74">
        <v>6.9176069999999897E-3</v>
      </c>
      <c r="R74">
        <v>0.1268212</v>
      </c>
      <c r="S74">
        <v>3.0330810000000001</v>
      </c>
      <c r="T74">
        <v>-7.1350339999999998E-2</v>
      </c>
      <c r="U74">
        <v>-6.3995360000000001E-2</v>
      </c>
      <c r="V74">
        <v>-0.13527629999999999</v>
      </c>
      <c r="W74">
        <v>3.9866509999999999E-3</v>
      </c>
      <c r="X74">
        <v>0.99079989999999996</v>
      </c>
      <c r="Y74">
        <v>1.2566219999999999E-2</v>
      </c>
      <c r="Z74" s="1">
        <v>5.2794919999999898E-5</v>
      </c>
      <c r="AA74">
        <v>0.99992099999999995</v>
      </c>
      <c r="AB74">
        <v>14</v>
      </c>
      <c r="AC74">
        <v>48.920299999999997</v>
      </c>
      <c r="AD74">
        <v>-1.1528989999999999</v>
      </c>
      <c r="AE74">
        <v>-1.0332999999999899</v>
      </c>
      <c r="AF74">
        <v>0.61571689255791895</v>
      </c>
      <c r="AG74">
        <v>-1.1528989999999999</v>
      </c>
      <c r="AH74">
        <v>48.9001862319558</v>
      </c>
      <c r="AI74">
        <v>91.350481134484397</v>
      </c>
      <c r="AJ74">
        <v>89.278609799251697</v>
      </c>
      <c r="AK74">
        <v>48.917650157340397</v>
      </c>
    </row>
    <row r="75" spans="1:37" x14ac:dyDescent="0.2">
      <c r="A75" t="str">
        <f>"20200111155502727"</f>
        <v>20200111155502727</v>
      </c>
      <c r="B75" t="str">
        <f>"1578729302722651"</f>
        <v>1578729302722651</v>
      </c>
      <c r="C75" t="s">
        <v>37</v>
      </c>
      <c r="D75">
        <v>4.7309219999999996</v>
      </c>
      <c r="E75">
        <v>0.55597989999999997</v>
      </c>
      <c r="F75" t="s">
        <v>39</v>
      </c>
      <c r="G75">
        <v>-423.62130000000002</v>
      </c>
      <c r="H75">
        <v>-0.05</v>
      </c>
      <c r="I75">
        <v>366.50349999999997</v>
      </c>
      <c r="J75">
        <v>-473.37819999999999</v>
      </c>
      <c r="K75">
        <v>1.102886</v>
      </c>
      <c r="L75">
        <v>367.4914</v>
      </c>
      <c r="M75">
        <v>0.99995979999999995</v>
      </c>
      <c r="N75">
        <v>0</v>
      </c>
      <c r="O75">
        <v>-8.4742700000000008E-3</v>
      </c>
      <c r="P75">
        <v>0.99186559999999901</v>
      </c>
      <c r="Q75">
        <v>6.8555880000000001E-3</v>
      </c>
      <c r="R75">
        <v>0.12710550000000001</v>
      </c>
      <c r="S75">
        <v>3.032715</v>
      </c>
      <c r="T75">
        <v>-7.0149539999999996E-2</v>
      </c>
      <c r="U75">
        <v>-6.0150149999999999E-2</v>
      </c>
      <c r="V75">
        <v>-0.13550689999999899</v>
      </c>
      <c r="W75">
        <v>3.8850849999999999E-3</v>
      </c>
      <c r="X75">
        <v>0.99076880000000001</v>
      </c>
      <c r="Y75">
        <v>1.135574E-2</v>
      </c>
      <c r="Z75" s="1">
        <v>6.4663339999999997E-5</v>
      </c>
      <c r="AA75">
        <v>0.99993549999999998</v>
      </c>
      <c r="AB75">
        <v>14</v>
      </c>
      <c r="AC75">
        <v>49.756899999999902</v>
      </c>
      <c r="AD75">
        <v>-1.1528860000000001</v>
      </c>
      <c r="AE75">
        <v>-0.98790000000002398</v>
      </c>
      <c r="AF75">
        <v>0.56590561604593603</v>
      </c>
      <c r="AG75">
        <v>-1.1528860000000001</v>
      </c>
      <c r="AH75">
        <v>49.736793633517699</v>
      </c>
      <c r="AI75">
        <v>91.327777636390707</v>
      </c>
      <c r="AJ75">
        <v>89.348116314933193</v>
      </c>
      <c r="AK75">
        <v>49.753372109218802</v>
      </c>
    </row>
    <row r="76" spans="1:37" x14ac:dyDescent="0.2">
      <c r="A76" t="str">
        <f>"20200111155502745"</f>
        <v>20200111155502745</v>
      </c>
      <c r="B76" t="str">
        <f>"1578729302742170"</f>
        <v>1578729302742170</v>
      </c>
      <c r="C76" t="s">
        <v>37</v>
      </c>
      <c r="D76">
        <v>4.7488429999999999</v>
      </c>
      <c r="E76">
        <v>0.55581059999999904</v>
      </c>
      <c r="F76" t="s">
        <v>39</v>
      </c>
      <c r="G76">
        <v>-425.0779</v>
      </c>
      <c r="H76">
        <v>-0.05</v>
      </c>
      <c r="I76">
        <v>366.53390000000002</v>
      </c>
      <c r="J76">
        <v>-473.26760000000002</v>
      </c>
      <c r="K76">
        <v>1.1028739999999999</v>
      </c>
      <c r="L76">
        <v>367.4905</v>
      </c>
      <c r="M76">
        <v>0.99996019999999897</v>
      </c>
      <c r="N76">
        <v>0</v>
      </c>
      <c r="O76">
        <v>-8.3947589999999999E-3</v>
      </c>
      <c r="P76">
        <v>0.99176929999999996</v>
      </c>
      <c r="Q76">
        <v>6.4934499999999996E-3</v>
      </c>
      <c r="R76">
        <v>0.12787380000000001</v>
      </c>
      <c r="S76">
        <v>3.0327759999999899</v>
      </c>
      <c r="T76">
        <v>-7.2389720000000005E-2</v>
      </c>
      <c r="U76">
        <v>-6.011963E-2</v>
      </c>
      <c r="V76">
        <v>-0.13619589999999901</v>
      </c>
      <c r="W76">
        <v>3.4583179999999902E-3</v>
      </c>
      <c r="X76">
        <v>0.99067590000000005</v>
      </c>
      <c r="Y76">
        <v>1.1424699999999999E-2</v>
      </c>
      <c r="Z76" s="1">
        <v>6.4006369999999995E-5</v>
      </c>
      <c r="AA76">
        <v>0.99993469999999995</v>
      </c>
      <c r="AB76">
        <v>14</v>
      </c>
      <c r="AC76">
        <v>48.189700000000002</v>
      </c>
      <c r="AD76">
        <v>-1.152874</v>
      </c>
      <c r="AE76">
        <v>-0.95659999999998002</v>
      </c>
      <c r="AF76">
        <v>0.55170788760089795</v>
      </c>
      <c r="AG76">
        <v>-1.152874</v>
      </c>
      <c r="AH76">
        <v>48.168474447797799</v>
      </c>
      <c r="AI76">
        <v>91.370977109893701</v>
      </c>
      <c r="AJ76">
        <v>89.343779273642795</v>
      </c>
      <c r="AK76">
        <v>48.185427575993003</v>
      </c>
    </row>
    <row r="77" spans="1:37" x14ac:dyDescent="0.2">
      <c r="A77" t="str">
        <f>"20200111155502757"</f>
        <v>20200111155502757</v>
      </c>
      <c r="B77" t="str">
        <f>"1578729302752905"</f>
        <v>1578729302752905</v>
      </c>
      <c r="C77" t="s">
        <v>37</v>
      </c>
      <c r="D77">
        <v>4.7857050000000001</v>
      </c>
      <c r="E77">
        <v>0.55593579999999998</v>
      </c>
      <c r="F77" t="s">
        <v>39</v>
      </c>
      <c r="G77">
        <v>-426.44260000000003</v>
      </c>
      <c r="H77">
        <v>-0.05</v>
      </c>
      <c r="I77">
        <v>366.62209999999999</v>
      </c>
      <c r="J77">
        <v>-473.18259999999998</v>
      </c>
      <c r="K77">
        <v>1.1028639999999901</v>
      </c>
      <c r="L77">
        <v>367.48989999999998</v>
      </c>
      <c r="M77">
        <v>0.99996059999999998</v>
      </c>
      <c r="N77">
        <v>0</v>
      </c>
      <c r="O77">
        <v>-8.326801E-3</v>
      </c>
      <c r="P77">
        <v>0.99173469999999997</v>
      </c>
      <c r="Q77">
        <v>6.8043139999999997E-3</v>
      </c>
      <c r="R77">
        <v>0.1281245</v>
      </c>
      <c r="S77">
        <v>3.0325929999999999</v>
      </c>
      <c r="T77">
        <v>-7.4665190000000006E-2</v>
      </c>
      <c r="U77">
        <v>-5.6243899999999999E-2</v>
      </c>
      <c r="V77">
        <v>-0.136379</v>
      </c>
      <c r="W77">
        <v>3.7096099999999999E-3</v>
      </c>
      <c r="X77">
        <v>0.99064979999999903</v>
      </c>
      <c r="Y77">
        <v>1.0216660000000001E-2</v>
      </c>
      <c r="Z77" s="1">
        <v>7.9218119999999994E-5</v>
      </c>
      <c r="AA77">
        <v>0.99994780000000005</v>
      </c>
      <c r="AB77">
        <v>14</v>
      </c>
      <c r="AC77">
        <v>46.739999999999903</v>
      </c>
      <c r="AD77">
        <v>-1.1528639999999899</v>
      </c>
      <c r="AE77">
        <v>-0.86779999999998803</v>
      </c>
      <c r="AF77">
        <v>0.47828251447676501</v>
      </c>
      <c r="AG77">
        <v>-1.1528639999999899</v>
      </c>
      <c r="AH77">
        <v>46.7171933540209</v>
      </c>
      <c r="AI77">
        <v>91.413556206039502</v>
      </c>
      <c r="AJ77">
        <v>89.413436249703906</v>
      </c>
      <c r="AK77">
        <v>46.733863572821797</v>
      </c>
    </row>
    <row r="78" spans="1:37" x14ac:dyDescent="0.2">
      <c r="A78" t="str">
        <f>"20200111155502770"</f>
        <v>20200111155502770</v>
      </c>
      <c r="B78" t="str">
        <f>"1578729302762666"</f>
        <v>1578729302762666</v>
      </c>
      <c r="C78" t="s">
        <v>37</v>
      </c>
      <c r="D78">
        <v>4.7247890000000003</v>
      </c>
      <c r="E78">
        <v>0.55606509999999998</v>
      </c>
      <c r="F78" t="s">
        <v>39</v>
      </c>
      <c r="G78">
        <v>-426.04059999999998</v>
      </c>
      <c r="H78">
        <v>-0.05</v>
      </c>
      <c r="I78">
        <v>366.60660000000001</v>
      </c>
      <c r="J78">
        <v>-473.09930000000003</v>
      </c>
      <c r="K78">
        <v>1.1028519999999999</v>
      </c>
      <c r="L78">
        <v>367.48919999999998</v>
      </c>
      <c r="M78">
        <v>0.99996109999999905</v>
      </c>
      <c r="N78">
        <v>0</v>
      </c>
      <c r="O78">
        <v>-8.2505259999999993E-3</v>
      </c>
      <c r="P78">
        <v>0.99168409999999996</v>
      </c>
      <c r="Q78">
        <v>6.6738179999999998E-3</v>
      </c>
      <c r="R78">
        <v>0.128524</v>
      </c>
      <c r="S78">
        <v>3.032867</v>
      </c>
      <c r="T78">
        <v>-7.4169280000000004E-2</v>
      </c>
      <c r="U78">
        <v>-5.6823730000000003E-2</v>
      </c>
      <c r="V78">
        <v>-0.1367023</v>
      </c>
      <c r="W78">
        <v>3.5060019999999998E-3</v>
      </c>
      <c r="X78">
        <v>0.99060599999999999</v>
      </c>
      <c r="Y78">
        <v>1.048227E-2</v>
      </c>
      <c r="Z78" s="1">
        <v>7.3573120000000003E-5</v>
      </c>
      <c r="AA78">
        <v>0.99994499999999997</v>
      </c>
      <c r="AB78">
        <v>14</v>
      </c>
      <c r="AC78">
        <v>47.058700000000002</v>
      </c>
      <c r="AD78">
        <v>-1.152852</v>
      </c>
      <c r="AE78">
        <v>-0.88259999999996797</v>
      </c>
      <c r="AF78">
        <v>0.49401266060722598</v>
      </c>
      <c r="AG78">
        <v>-1.152852</v>
      </c>
      <c r="AH78">
        <v>47.036160926258297</v>
      </c>
      <c r="AI78">
        <v>91.403955805194201</v>
      </c>
      <c r="AJ78">
        <v>89.398254465771799</v>
      </c>
      <c r="AK78">
        <v>47.0528803679818</v>
      </c>
    </row>
    <row r="79" spans="1:37" x14ac:dyDescent="0.2">
      <c r="A79" t="str">
        <f>"20200111155502783"</f>
        <v>20200111155502783</v>
      </c>
      <c r="B79" t="str">
        <f>"1578729302772426"</f>
        <v>1578729302772426</v>
      </c>
      <c r="C79" t="s">
        <v>37</v>
      </c>
      <c r="D79">
        <v>4.8325849999999999</v>
      </c>
      <c r="E79">
        <v>0.55622450000000001</v>
      </c>
      <c r="F79" t="s">
        <v>39</v>
      </c>
      <c r="G79">
        <v>-426.28390000000002</v>
      </c>
      <c r="H79">
        <v>-0.05</v>
      </c>
      <c r="I79">
        <v>366.62060000000002</v>
      </c>
      <c r="J79">
        <v>-473.01479999999998</v>
      </c>
      <c r="K79">
        <v>1.10284</v>
      </c>
      <c r="L79">
        <v>367.48860000000002</v>
      </c>
      <c r="M79">
        <v>0.9999614</v>
      </c>
      <c r="N79">
        <v>0</v>
      </c>
      <c r="O79">
        <v>-8.1681859999999992E-3</v>
      </c>
      <c r="P79">
        <v>0.99165740000000002</v>
      </c>
      <c r="Q79">
        <v>6.5231069999999898E-3</v>
      </c>
      <c r="R79">
        <v>0.1287365</v>
      </c>
      <c r="S79">
        <v>3.0329899999999999</v>
      </c>
      <c r="T79">
        <v>-7.4688909999999997E-2</v>
      </c>
      <c r="U79">
        <v>-5.6274409999999997E-2</v>
      </c>
      <c r="V79">
        <v>-0.1368327</v>
      </c>
      <c r="W79">
        <v>3.2756909999999998E-3</v>
      </c>
      <c r="X79">
        <v>0.99058880000000005</v>
      </c>
      <c r="Y79">
        <v>1.0382799999999999E-2</v>
      </c>
      <c r="Z79" s="1">
        <v>7.3283019999999998E-5</v>
      </c>
      <c r="AA79">
        <v>0.99994609999999995</v>
      </c>
      <c r="AB79">
        <v>15</v>
      </c>
      <c r="AC79">
        <v>46.730899999999899</v>
      </c>
      <c r="AD79">
        <v>-1.1528400000000001</v>
      </c>
      <c r="AE79">
        <v>-0.867999999999994</v>
      </c>
      <c r="AF79">
        <v>0.48596670403354197</v>
      </c>
      <c r="AG79">
        <v>-1.1528400000000001</v>
      </c>
      <c r="AH79">
        <v>46.7080145027331</v>
      </c>
      <c r="AI79">
        <v>91.413802029507494</v>
      </c>
      <c r="AJ79">
        <v>89.403895952702499</v>
      </c>
      <c r="AK79">
        <v>46.7247666927354</v>
      </c>
    </row>
    <row r="80" spans="1:37" x14ac:dyDescent="0.2">
      <c r="A80" t="str">
        <f>"20200111155502801"</f>
        <v>20200111155502801</v>
      </c>
      <c r="B80" t="str">
        <f>"1578729302792921"</f>
        <v>1578729302792921</v>
      </c>
      <c r="C80" t="s">
        <v>37</v>
      </c>
      <c r="D80">
        <v>4.7681829999999996</v>
      </c>
      <c r="E80">
        <v>0.55631819999999998</v>
      </c>
      <c r="F80" t="s">
        <v>39</v>
      </c>
      <c r="G80">
        <v>-426.74489999999997</v>
      </c>
      <c r="H80">
        <v>-0.05</v>
      </c>
      <c r="I80">
        <v>366.62079999999997</v>
      </c>
      <c r="J80">
        <v>-472.89260000000002</v>
      </c>
      <c r="K80">
        <v>1.1028169999999999</v>
      </c>
      <c r="L80">
        <v>367.48770000000002</v>
      </c>
      <c r="M80">
        <v>0.99996200000000002</v>
      </c>
      <c r="N80">
        <v>0</v>
      </c>
      <c r="O80">
        <v>-8.0370659999999903E-3</v>
      </c>
      <c r="P80">
        <v>0.99161949999999999</v>
      </c>
      <c r="Q80">
        <v>6.1384930000000001E-3</v>
      </c>
      <c r="R80">
        <v>0.12904769999999999</v>
      </c>
      <c r="S80">
        <v>3.0331419999999998</v>
      </c>
      <c r="T80">
        <v>-7.5572490000000006E-2</v>
      </c>
      <c r="U80">
        <v>-5.6884770000000001E-2</v>
      </c>
      <c r="V80">
        <v>-0.13701379999999999</v>
      </c>
      <c r="W80">
        <v>2.765478E-3</v>
      </c>
      <c r="X80">
        <v>0.99056529999999998</v>
      </c>
      <c r="Y80">
        <v>1.071397E-2</v>
      </c>
      <c r="Z80" s="1">
        <v>6.675528E-5</v>
      </c>
      <c r="AA80">
        <v>0.99994259999999902</v>
      </c>
      <c r="AB80">
        <v>15</v>
      </c>
      <c r="AC80">
        <v>46.1477</v>
      </c>
      <c r="AD80">
        <v>-1.152817</v>
      </c>
      <c r="AE80">
        <v>-0.86690000000004297</v>
      </c>
      <c r="AF80">
        <v>0.49566856152875</v>
      </c>
      <c r="AG80">
        <v>-1.152817</v>
      </c>
      <c r="AH80">
        <v>46.124403027371699</v>
      </c>
      <c r="AI80">
        <v>91.431649723179703</v>
      </c>
      <c r="AJ80">
        <v>89.384303718019595</v>
      </c>
      <c r="AK80">
        <v>46.141469731574297</v>
      </c>
    </row>
    <row r="81" spans="1:37" x14ac:dyDescent="0.2">
      <c r="A81" t="str">
        <f>"20200111155502814"</f>
        <v>20200111155502814</v>
      </c>
      <c r="B81" t="str">
        <f>"1578729302802683"</f>
        <v>1578729302802683</v>
      </c>
      <c r="C81" t="s">
        <v>37</v>
      </c>
      <c r="D81">
        <v>4.7245660000000003</v>
      </c>
      <c r="E81">
        <v>0.5564055</v>
      </c>
      <c r="F81" t="s">
        <v>39</v>
      </c>
      <c r="G81">
        <v>-426.73869999999999</v>
      </c>
      <c r="H81">
        <v>-0.05</v>
      </c>
      <c r="I81">
        <v>366.6259</v>
      </c>
      <c r="J81">
        <v>-472.79880000000003</v>
      </c>
      <c r="K81">
        <v>1.1028020000000001</v>
      </c>
      <c r="L81">
        <v>367.4871</v>
      </c>
      <c r="M81">
        <v>0.99996269999999998</v>
      </c>
      <c r="N81">
        <v>0</v>
      </c>
      <c r="O81">
        <v>-7.9255679999999992E-3</v>
      </c>
      <c r="P81">
        <v>0.99160170000000003</v>
      </c>
      <c r="Q81">
        <v>5.8207299999999997E-3</v>
      </c>
      <c r="R81">
        <v>0.1291996</v>
      </c>
      <c r="S81">
        <v>3.0332340000000002</v>
      </c>
      <c r="T81">
        <v>-7.5763109999999995E-2</v>
      </c>
      <c r="U81">
        <v>-5.6640629999999997E-2</v>
      </c>
      <c r="V81">
        <v>-0.13705510000000001</v>
      </c>
      <c r="W81">
        <v>2.3506299999999998E-3</v>
      </c>
      <c r="X81">
        <v>0.99056069999999996</v>
      </c>
      <c r="Y81">
        <v>1.0744389999999999E-2</v>
      </c>
      <c r="Z81" s="1">
        <v>6.3757700000000001E-5</v>
      </c>
      <c r="AA81">
        <v>0.99994229999999995</v>
      </c>
      <c r="AB81">
        <v>15</v>
      </c>
      <c r="AC81">
        <v>46.060099999999998</v>
      </c>
      <c r="AD81">
        <v>-1.1528020000000001</v>
      </c>
      <c r="AE81">
        <v>-0.86119999999999597</v>
      </c>
      <c r="AF81">
        <v>0.495807874542667</v>
      </c>
      <c r="AG81">
        <v>-1.1528020000000001</v>
      </c>
      <c r="AH81">
        <v>46.036651067998903</v>
      </c>
      <c r="AI81">
        <v>91.434358480007603</v>
      </c>
      <c r="AJ81">
        <v>89.382956845368298</v>
      </c>
      <c r="AK81">
        <v>46.053751415670199</v>
      </c>
    </row>
    <row r="82" spans="1:37" x14ac:dyDescent="0.2">
      <c r="A82" t="str">
        <f>"20200111155502827"</f>
        <v>20200111155502827</v>
      </c>
      <c r="B82" t="str">
        <f>"1578729302822202"</f>
        <v>1578729302822202</v>
      </c>
      <c r="C82" t="s">
        <v>37</v>
      </c>
      <c r="D82">
        <v>4.7597160000000001</v>
      </c>
      <c r="E82">
        <v>0.55651819999999996</v>
      </c>
      <c r="F82" t="s">
        <v>39</v>
      </c>
      <c r="G82">
        <v>-427.06380000000001</v>
      </c>
      <c r="H82">
        <v>-0.05</v>
      </c>
      <c r="I82">
        <v>366.62699999999899</v>
      </c>
      <c r="J82">
        <v>-472.7099</v>
      </c>
      <c r="K82">
        <v>1.102795</v>
      </c>
      <c r="L82">
        <v>367.48649999999998</v>
      </c>
      <c r="M82">
        <v>0.99996319999999905</v>
      </c>
      <c r="N82">
        <v>0</v>
      </c>
      <c r="O82">
        <v>-7.8140439999999992E-3</v>
      </c>
      <c r="P82">
        <v>0.99158199999999996</v>
      </c>
      <c r="Q82">
        <v>5.3974289999999996E-3</v>
      </c>
      <c r="R82">
        <v>0.12936919999999999</v>
      </c>
      <c r="S82">
        <v>3.033264</v>
      </c>
      <c r="T82">
        <v>-7.6456789999999997E-2</v>
      </c>
      <c r="U82">
        <v>-5.7037350000000001E-2</v>
      </c>
      <c r="V82">
        <v>-0.13711379999999901</v>
      </c>
      <c r="W82">
        <v>1.846615E-3</v>
      </c>
      <c r="X82">
        <v>0.99055360000000003</v>
      </c>
      <c r="Y82">
        <v>1.0986330000000001E-2</v>
      </c>
      <c r="Z82" s="1">
        <v>5.8481979999999999E-5</v>
      </c>
      <c r="AA82">
        <v>0.99993960000000004</v>
      </c>
      <c r="AB82">
        <v>15</v>
      </c>
      <c r="AC82">
        <v>45.646099999999898</v>
      </c>
      <c r="AD82">
        <v>-1.152795</v>
      </c>
      <c r="AE82">
        <v>-0.85950000000002502</v>
      </c>
      <c r="AF82">
        <v>0.50247051773762497</v>
      </c>
      <c r="AG82">
        <v>-1.152795</v>
      </c>
      <c r="AH82">
        <v>45.622334179795999</v>
      </c>
      <c r="AI82">
        <v>91.447366389976494</v>
      </c>
      <c r="AJ82">
        <v>89.368987217971494</v>
      </c>
      <c r="AK82">
        <v>45.639662454341199</v>
      </c>
    </row>
    <row r="83" spans="1:37" x14ac:dyDescent="0.2">
      <c r="A83" t="str">
        <f>"20200111155502845"</f>
        <v>20200111155502845</v>
      </c>
      <c r="B83" t="str">
        <f>"1578729302842698"</f>
        <v>1578729302842698</v>
      </c>
      <c r="C83" t="s">
        <v>37</v>
      </c>
      <c r="D83">
        <v>4.8517970000000004</v>
      </c>
      <c r="E83">
        <v>0.55678059999999996</v>
      </c>
      <c r="F83" t="s">
        <v>39</v>
      </c>
      <c r="G83">
        <v>-427.17950000000002</v>
      </c>
      <c r="H83">
        <v>-0.05</v>
      </c>
      <c r="I83">
        <v>366.62490000000003</v>
      </c>
      <c r="J83">
        <v>-472.58089999999999</v>
      </c>
      <c r="K83">
        <v>1.1027940000000001</v>
      </c>
      <c r="L83">
        <v>367.48559999999998</v>
      </c>
      <c r="M83">
        <v>0.99996430000000003</v>
      </c>
      <c r="N83">
        <v>0</v>
      </c>
      <c r="O83">
        <v>-7.6453319999999899E-3</v>
      </c>
      <c r="P83">
        <v>0.9915583</v>
      </c>
      <c r="Q83">
        <v>4.7170859999999997E-3</v>
      </c>
      <c r="R83">
        <v>0.12957630000000001</v>
      </c>
      <c r="S83">
        <v>3.0333860000000001</v>
      </c>
      <c r="T83">
        <v>-7.6802850000000006E-2</v>
      </c>
      <c r="U83">
        <v>-5.7403559999999999E-2</v>
      </c>
      <c r="V83">
        <v>-0.13715359999999999</v>
      </c>
      <c r="W83">
        <v>1.077E-3</v>
      </c>
      <c r="X83">
        <v>0.99054920000000002</v>
      </c>
      <c r="Y83">
        <v>1.127481E-2</v>
      </c>
      <c r="Z83" s="1">
        <v>5.0822749999999899E-5</v>
      </c>
      <c r="AA83">
        <v>0.99993650000000001</v>
      </c>
      <c r="AB83">
        <v>15</v>
      </c>
      <c r="AC83">
        <v>45.401399999999903</v>
      </c>
      <c r="AD83">
        <v>-1.1527940000000001</v>
      </c>
      <c r="AE83">
        <v>-0.86069999999995095</v>
      </c>
      <c r="AF83">
        <v>0.51323305346924297</v>
      </c>
      <c r="AG83">
        <v>-1.1527940000000001</v>
      </c>
      <c r="AH83">
        <v>45.377408668572002</v>
      </c>
      <c r="AI83">
        <v>91.455169153246999</v>
      </c>
      <c r="AJ83">
        <v>89.351993978481801</v>
      </c>
      <c r="AK83">
        <v>45.3949508166735</v>
      </c>
    </row>
    <row r="84" spans="1:37" x14ac:dyDescent="0.2">
      <c r="A84" t="str">
        <f>"20200111155502858"</f>
        <v>20200111155502858</v>
      </c>
      <c r="B84" t="str">
        <f>"1578729302852457"</f>
        <v>1578729302852457</v>
      </c>
      <c r="C84" t="s">
        <v>37</v>
      </c>
      <c r="D84">
        <v>4.732818</v>
      </c>
      <c r="E84">
        <v>0.55682860000000001</v>
      </c>
      <c r="F84" t="s">
        <v>39</v>
      </c>
      <c r="G84">
        <v>-428.33030000000002</v>
      </c>
      <c r="H84">
        <v>-0.05</v>
      </c>
      <c r="I84">
        <v>366.62740000000002</v>
      </c>
      <c r="J84">
        <v>-472.48680000000002</v>
      </c>
      <c r="K84">
        <v>1.1027979999999999</v>
      </c>
      <c r="L84">
        <v>367.48509999999999</v>
      </c>
      <c r="M84">
        <v>0.99996509999999905</v>
      </c>
      <c r="N84">
        <v>0</v>
      </c>
      <c r="O84">
        <v>-7.5188349999999998E-3</v>
      </c>
      <c r="P84">
        <v>0.99154789999999904</v>
      </c>
      <c r="Q84">
        <v>4.458765E-3</v>
      </c>
      <c r="R84">
        <v>0.12966539999999999</v>
      </c>
      <c r="S84">
        <v>3.0336609999999999</v>
      </c>
      <c r="T84">
        <v>-7.903135E-2</v>
      </c>
      <c r="U84">
        <v>-5.8837889999999997E-2</v>
      </c>
      <c r="V84">
        <v>-0.137117299999999</v>
      </c>
      <c r="W84">
        <v>7.780234E-4</v>
      </c>
      <c r="X84">
        <v>0.9905545</v>
      </c>
      <c r="Y84">
        <v>1.187187E-2</v>
      </c>
      <c r="Z84" s="1">
        <v>4.1222369999999998E-5</v>
      </c>
      <c r="AA84">
        <v>0.99992950000000003</v>
      </c>
      <c r="AB84">
        <v>16</v>
      </c>
      <c r="AC84">
        <v>44.156500000000001</v>
      </c>
      <c r="AD84">
        <v>-1.152798</v>
      </c>
      <c r="AE84">
        <v>-0.85769999999996505</v>
      </c>
      <c r="AF84">
        <v>0.52531020918684301</v>
      </c>
      <c r="AG84">
        <v>-1.152798</v>
      </c>
      <c r="AH84">
        <v>44.131632851294498</v>
      </c>
      <c r="AI84">
        <v>91.496223075946801</v>
      </c>
      <c r="AJ84">
        <v>89.318025765393799</v>
      </c>
      <c r="AK84">
        <v>44.1498121419122</v>
      </c>
    </row>
    <row r="85" spans="1:37" x14ac:dyDescent="0.2">
      <c r="A85" t="str">
        <f>"20200111155502871"</f>
        <v>20200111155502871</v>
      </c>
      <c r="B85" t="str">
        <f>"1578729302862587"</f>
        <v>1578729302862587</v>
      </c>
      <c r="C85" t="s">
        <v>37</v>
      </c>
      <c r="D85">
        <v>4.7789720000000004</v>
      </c>
      <c r="E85">
        <v>0.55693329999999996</v>
      </c>
      <c r="F85" t="s">
        <v>39</v>
      </c>
      <c r="G85">
        <v>-428.57040000000001</v>
      </c>
      <c r="H85">
        <v>-0.05</v>
      </c>
      <c r="I85">
        <v>366.6284</v>
      </c>
      <c r="J85">
        <v>-472.39499999999998</v>
      </c>
      <c r="K85">
        <v>1.102819</v>
      </c>
      <c r="L85">
        <v>367.48450000000003</v>
      </c>
      <c r="M85">
        <v>0.99996600000000002</v>
      </c>
      <c r="N85">
        <v>0</v>
      </c>
      <c r="O85">
        <v>-7.3964969999999897E-3</v>
      </c>
      <c r="P85">
        <v>0.99153880000000005</v>
      </c>
      <c r="Q85">
        <v>4.534461E-3</v>
      </c>
      <c r="R85">
        <v>0.1297326</v>
      </c>
      <c r="S85">
        <v>3.0336910000000001</v>
      </c>
      <c r="T85">
        <v>-7.9633830000000003E-2</v>
      </c>
      <c r="U85">
        <v>-5.9173580000000003E-2</v>
      </c>
      <c r="V85">
        <v>-0.1370635</v>
      </c>
      <c r="W85">
        <v>8.7815929999999901E-4</v>
      </c>
      <c r="X85">
        <v>0.9905619</v>
      </c>
      <c r="Y85">
        <v>1.2104470000000001E-2</v>
      </c>
      <c r="Z85" s="1">
        <v>3.5273640000000003E-5</v>
      </c>
      <c r="AA85">
        <v>0.99992669999999995</v>
      </c>
      <c r="AB85">
        <v>16</v>
      </c>
      <c r="AC85">
        <v>43.824599999999897</v>
      </c>
      <c r="AD85">
        <v>-1.152819</v>
      </c>
      <c r="AE85">
        <v>-0.85610000000002595</v>
      </c>
      <c r="AF85">
        <v>0.53155822377095796</v>
      </c>
      <c r="AG85">
        <v>-1.152819</v>
      </c>
      <c r="AH85">
        <v>43.799437099107401</v>
      </c>
      <c r="AI85">
        <v>91.507589157412795</v>
      </c>
      <c r="AJ85">
        <v>89.304681756746803</v>
      </c>
      <c r="AK85">
        <v>43.817830115042099</v>
      </c>
    </row>
    <row r="86" spans="1:37" x14ac:dyDescent="0.2">
      <c r="A86" t="str">
        <f>"20200111155502885"</f>
        <v>20200111155502885</v>
      </c>
      <c r="B86" t="str">
        <f>"1578729302872346"</f>
        <v>1578729302872346</v>
      </c>
      <c r="C86" t="s">
        <v>37</v>
      </c>
      <c r="D86">
        <v>4.7559329999999997</v>
      </c>
      <c r="E86">
        <v>0.55706440000000002</v>
      </c>
      <c r="F86" t="s">
        <v>39</v>
      </c>
      <c r="G86">
        <v>-428.3039</v>
      </c>
      <c r="H86">
        <v>-0.05</v>
      </c>
      <c r="I86">
        <v>366.61739999999998</v>
      </c>
      <c r="J86">
        <v>-472.29880000000003</v>
      </c>
      <c r="K86">
        <v>1.1028500000000001</v>
      </c>
      <c r="L86">
        <v>367.48390000000001</v>
      </c>
      <c r="M86">
        <v>0.99996719999999895</v>
      </c>
      <c r="N86">
        <v>0</v>
      </c>
      <c r="O86">
        <v>-7.2721549999999998E-3</v>
      </c>
      <c r="P86">
        <v>0.99152619999999903</v>
      </c>
      <c r="Q86">
        <v>4.5637940000000004E-3</v>
      </c>
      <c r="R86">
        <v>0.12982589999999999</v>
      </c>
      <c r="S86">
        <v>3.0337519999999998</v>
      </c>
      <c r="T86">
        <v>-7.9321379999999997E-2</v>
      </c>
      <c r="U86">
        <v>-5.9661869999999999E-2</v>
      </c>
      <c r="V86">
        <v>-0.13703360000000001</v>
      </c>
      <c r="W86">
        <v>9.797254E-4</v>
      </c>
      <c r="X86">
        <v>0.9905659</v>
      </c>
      <c r="Y86">
        <v>1.238916E-2</v>
      </c>
      <c r="Z86" s="1">
        <v>2.816357E-5</v>
      </c>
      <c r="AA86">
        <v>0.99992320000000001</v>
      </c>
      <c r="AB86">
        <v>16</v>
      </c>
      <c r="AC86">
        <v>43.994900000000001</v>
      </c>
      <c r="AD86">
        <v>-1.1528499999999999</v>
      </c>
      <c r="AE86">
        <v>-0.86650000000003002</v>
      </c>
      <c r="AF86">
        <v>0.546162439547343</v>
      </c>
      <c r="AG86">
        <v>-1.1528499999999999</v>
      </c>
      <c r="AH86">
        <v>43.9698574352796</v>
      </c>
      <c r="AI86">
        <v>91.501783767339504</v>
      </c>
      <c r="AJ86">
        <v>89.288348989156802</v>
      </c>
      <c r="AK86">
        <v>43.988358907916599</v>
      </c>
    </row>
    <row r="87" spans="1:37" x14ac:dyDescent="0.2">
      <c r="A87" t="str">
        <f>"20200111155502901"</f>
        <v>20200111155502901</v>
      </c>
      <c r="B87" t="str">
        <f>"1578729302892844"</f>
        <v>1578729302892844</v>
      </c>
      <c r="C87" t="s">
        <v>37</v>
      </c>
      <c r="D87">
        <v>4.8255710000000001</v>
      </c>
      <c r="E87">
        <v>0.55714469999999905</v>
      </c>
      <c r="F87" t="s">
        <v>39</v>
      </c>
      <c r="G87">
        <v>-428.0204</v>
      </c>
      <c r="H87">
        <v>-0.05</v>
      </c>
      <c r="I87">
        <v>366.60109999999997</v>
      </c>
      <c r="J87">
        <v>-472.17630000000003</v>
      </c>
      <c r="K87">
        <v>1.102916</v>
      </c>
      <c r="L87">
        <v>367.48320000000001</v>
      </c>
      <c r="M87">
        <v>0.99996890000000005</v>
      </c>
      <c r="N87">
        <v>0</v>
      </c>
      <c r="O87">
        <v>-7.1220809999999997E-3</v>
      </c>
      <c r="P87">
        <v>0.99147149999999995</v>
      </c>
      <c r="Q87">
        <v>5.4806619999999999E-3</v>
      </c>
      <c r="R87">
        <v>0.13020899999999999</v>
      </c>
      <c r="S87">
        <v>3.0339049999999999</v>
      </c>
      <c r="T87">
        <v>-7.8992129999999994E-2</v>
      </c>
      <c r="U87">
        <v>-6.0485839999999999E-2</v>
      </c>
      <c r="V87">
        <v>-0.13726820000000001</v>
      </c>
      <c r="W87">
        <v>2.084079E-3</v>
      </c>
      <c r="X87">
        <v>0.99053169999999902</v>
      </c>
      <c r="Y87">
        <v>1.280953E-2</v>
      </c>
      <c r="Z87" s="1">
        <v>1.8667969999999999E-5</v>
      </c>
      <c r="AA87">
        <v>0.99991799999999997</v>
      </c>
      <c r="AB87">
        <v>16</v>
      </c>
      <c r="AC87">
        <v>44.155900000000003</v>
      </c>
      <c r="AD87">
        <v>-1.1529160000000001</v>
      </c>
      <c r="AE87">
        <v>-0.88210000000003597</v>
      </c>
      <c r="AF87">
        <v>0.56720739395279596</v>
      </c>
      <c r="AG87">
        <v>-1.1529160000000001</v>
      </c>
      <c r="AH87">
        <v>44.130988719567</v>
      </c>
      <c r="AI87">
        <v>91.496380412896201</v>
      </c>
      <c r="AJ87">
        <v>89.263628543811706</v>
      </c>
      <c r="AK87">
        <v>44.149689748596899</v>
      </c>
    </row>
    <row r="88" spans="1:37" x14ac:dyDescent="0.2">
      <c r="A88" t="str">
        <f>"20200111155502914"</f>
        <v>20200111155502914</v>
      </c>
      <c r="B88" t="str">
        <f>"1578729302902603"</f>
        <v>1578729302902603</v>
      </c>
      <c r="C88" t="s">
        <v>37</v>
      </c>
      <c r="D88">
        <v>4.8149959999999998</v>
      </c>
      <c r="E88">
        <v>0.54115919999999995</v>
      </c>
      <c r="F88" t="s">
        <v>39</v>
      </c>
      <c r="G88">
        <v>-426.23050000000001</v>
      </c>
      <c r="H88">
        <v>-0.05</v>
      </c>
      <c r="I88">
        <v>366.57330000000002</v>
      </c>
      <c r="J88">
        <v>-472.0795</v>
      </c>
      <c r="K88">
        <v>1.1029879999999901</v>
      </c>
      <c r="L88">
        <v>367.48270000000002</v>
      </c>
      <c r="M88">
        <v>0.99997060000000004</v>
      </c>
      <c r="N88">
        <v>0</v>
      </c>
      <c r="O88">
        <v>-7.01302099999999E-3</v>
      </c>
      <c r="P88">
        <v>0.99144030000000005</v>
      </c>
      <c r="Q88">
        <v>5.6914549999999998E-3</v>
      </c>
      <c r="R88">
        <v>0.13043730000000001</v>
      </c>
      <c r="S88">
        <v>3.0341490000000002</v>
      </c>
      <c r="T88">
        <v>-7.6135869999999994E-2</v>
      </c>
      <c r="U88">
        <v>-6.0089110000000001E-2</v>
      </c>
      <c r="V88">
        <v>-0.13738800000000001</v>
      </c>
      <c r="W88">
        <v>2.551855E-3</v>
      </c>
      <c r="X88">
        <v>0.99051399999999901</v>
      </c>
      <c r="Y88">
        <v>1.278641E-2</v>
      </c>
      <c r="Z88" s="1">
        <v>1.5545839999999999E-5</v>
      </c>
      <c r="AA88">
        <v>0.99991819999999898</v>
      </c>
      <c r="AB88">
        <v>16</v>
      </c>
      <c r="AC88">
        <v>45.848999999999897</v>
      </c>
      <c r="AD88">
        <v>-1.1529879999999999</v>
      </c>
      <c r="AE88">
        <v>-0.90940000000000498</v>
      </c>
      <c r="AF88">
        <v>0.58746472546911199</v>
      </c>
      <c r="AG88">
        <v>-1.1529879999999999</v>
      </c>
      <c r="AH88">
        <v>45.825281787190796</v>
      </c>
      <c r="AI88">
        <v>91.4411692536667</v>
      </c>
      <c r="AJ88">
        <v>89.265527578770104</v>
      </c>
      <c r="AK88">
        <v>45.843548586548799</v>
      </c>
    </row>
    <row r="89" spans="1:37" x14ac:dyDescent="0.2">
      <c r="A89" t="str">
        <f>"20200111155502927"</f>
        <v>20200111155502927</v>
      </c>
      <c r="B89" t="str">
        <f>"1578729302923098"</f>
        <v>1578729302923098</v>
      </c>
      <c r="C89" t="s">
        <v>37</v>
      </c>
      <c r="D89">
        <v>4.7615179999999997</v>
      </c>
      <c r="E89">
        <v>0.53796739999999998</v>
      </c>
      <c r="F89" t="s">
        <v>38</v>
      </c>
      <c r="G89">
        <v>-446.25330000000002</v>
      </c>
      <c r="H89" s="1">
        <v>-2.0267239999999998E-6</v>
      </c>
      <c r="I89">
        <v>368.06509999999997</v>
      </c>
      <c r="J89">
        <v>-471.97809999999998</v>
      </c>
      <c r="K89">
        <v>1.1030759999999999</v>
      </c>
      <c r="L89">
        <v>367.48219999999998</v>
      </c>
      <c r="M89">
        <v>0.99997239999999998</v>
      </c>
      <c r="N89">
        <v>0</v>
      </c>
      <c r="O89">
        <v>-6.9029909999999998E-3</v>
      </c>
      <c r="P89">
        <v>0.99141259999999998</v>
      </c>
      <c r="Q89">
        <v>6.2282029999999999E-3</v>
      </c>
      <c r="R89">
        <v>0.13062309999999999</v>
      </c>
      <c r="S89">
        <v>3.0176699999999999</v>
      </c>
      <c r="T89">
        <v>-0.1288793</v>
      </c>
      <c r="U89">
        <v>6.8054199999999995E-2</v>
      </c>
      <c r="V89">
        <v>-0.13746459999999999</v>
      </c>
      <c r="W89">
        <v>3.447351E-3</v>
      </c>
      <c r="X89">
        <v>0.99050070000000001</v>
      </c>
      <c r="Y89">
        <v>-2.9413809999999999E-2</v>
      </c>
      <c r="Z89">
        <v>9.2238789999999997E-4</v>
      </c>
      <c r="AA89">
        <v>0.99956690000000004</v>
      </c>
      <c r="AB89">
        <v>16</v>
      </c>
      <c r="AC89">
        <v>25.724799999999899</v>
      </c>
      <c r="AD89">
        <v>-1.1030780267239999</v>
      </c>
      <c r="AE89">
        <v>0.58289999999999498</v>
      </c>
      <c r="AF89">
        <v>-0.75906986706906898</v>
      </c>
      <c r="AG89">
        <v>-1.1030780267239999</v>
      </c>
      <c r="AH89">
        <v>25.672982883283101</v>
      </c>
      <c r="AI89">
        <v>92.4592120656107</v>
      </c>
      <c r="AJ89">
        <v>91.693563741909301</v>
      </c>
      <c r="AK89">
        <v>25.707878526270498</v>
      </c>
    </row>
    <row r="90" spans="1:37" x14ac:dyDescent="0.2">
      <c r="A90" t="str">
        <f>"20200111155502946"</f>
        <v>20200111155502946</v>
      </c>
      <c r="B90" t="str">
        <f>"1578729302942618"</f>
        <v>1578729302942618</v>
      </c>
      <c r="C90" t="s">
        <v>37</v>
      </c>
      <c r="D90">
        <v>4.7088609999999997</v>
      </c>
      <c r="E90">
        <v>0.53718469999999996</v>
      </c>
      <c r="F90" t="s">
        <v>38</v>
      </c>
      <c r="G90">
        <v>-444.85480000000001</v>
      </c>
      <c r="H90" s="1">
        <v>-2.6418400000000001E-6</v>
      </c>
      <c r="I90">
        <v>368.32429999999999</v>
      </c>
      <c r="J90">
        <v>-471.84399999999999</v>
      </c>
      <c r="K90">
        <v>1.1032</v>
      </c>
      <c r="L90">
        <v>367.48149999999998</v>
      </c>
      <c r="M90">
        <v>0.9999749</v>
      </c>
      <c r="N90">
        <v>0</v>
      </c>
      <c r="O90">
        <v>-6.7581730000000001E-3</v>
      </c>
      <c r="P90">
        <v>0.99138150000000003</v>
      </c>
      <c r="Q90">
        <v>7.0078029999999999E-3</v>
      </c>
      <c r="R90">
        <v>0.13082009999999999</v>
      </c>
      <c r="S90">
        <v>3.01443499999999</v>
      </c>
      <c r="T90">
        <v>-0.12259389999999901</v>
      </c>
      <c r="U90">
        <v>9.3597410000000006E-2</v>
      </c>
      <c r="V90">
        <v>-0.13751820000000001</v>
      </c>
      <c r="W90">
        <v>4.7963119999999996E-3</v>
      </c>
      <c r="X90">
        <v>0.99048760000000002</v>
      </c>
      <c r="Y90">
        <v>-3.7752250000000001E-2</v>
      </c>
      <c r="Z90">
        <v>1.041845E-3</v>
      </c>
      <c r="AA90">
        <v>0.99928660000000002</v>
      </c>
      <c r="AB90">
        <v>17</v>
      </c>
      <c r="AC90">
        <v>26.989199999999901</v>
      </c>
      <c r="AD90">
        <v>-1.1032026418400001</v>
      </c>
      <c r="AE90">
        <v>0.84280000000001098</v>
      </c>
      <c r="AF90">
        <v>-1.0234704761075699</v>
      </c>
      <c r="AG90">
        <v>-1.1032026418400001</v>
      </c>
      <c r="AH90">
        <v>26.937923184710801</v>
      </c>
      <c r="AI90">
        <v>92.343464143433295</v>
      </c>
      <c r="AJ90">
        <v>92.175830204511996</v>
      </c>
      <c r="AK90">
        <v>26.979923153889899</v>
      </c>
    </row>
    <row r="91" spans="1:37" x14ac:dyDescent="0.2">
      <c r="A91" t="str">
        <f>"20200111155502959"</f>
        <v>20200111155502959</v>
      </c>
      <c r="B91" t="str">
        <f>"1578729302952379"</f>
        <v>1578729302952379</v>
      </c>
      <c r="C91" t="s">
        <v>37</v>
      </c>
      <c r="D91">
        <v>4.7230530000000002</v>
      </c>
      <c r="E91">
        <v>0.53668590000000005</v>
      </c>
      <c r="F91" t="s">
        <v>38</v>
      </c>
      <c r="G91">
        <v>-444.1277</v>
      </c>
      <c r="H91" s="1">
        <v>-2.9709019999999999E-6</v>
      </c>
      <c r="I91">
        <v>368.40679999999998</v>
      </c>
      <c r="J91">
        <v>-471.74709999999999</v>
      </c>
      <c r="K91">
        <v>1.1032919999999999</v>
      </c>
      <c r="L91">
        <v>367.48099999999999</v>
      </c>
      <c r="M91">
        <v>0.99997639999999999</v>
      </c>
      <c r="N91">
        <v>0</v>
      </c>
      <c r="O91">
        <v>-6.6514299999999998E-3</v>
      </c>
      <c r="P91">
        <v>0.9913748</v>
      </c>
      <c r="Q91">
        <v>6.89827699999999E-3</v>
      </c>
      <c r="R91">
        <v>0.13087550000000001</v>
      </c>
      <c r="S91">
        <v>3.0137019999999999</v>
      </c>
      <c r="T91">
        <v>-0.1199557</v>
      </c>
      <c r="U91">
        <v>0.1006165</v>
      </c>
      <c r="V91">
        <v>-0.137467899999999</v>
      </c>
      <c r="W91">
        <v>5.1424909999999999E-3</v>
      </c>
      <c r="X91">
        <v>0.99049290000000001</v>
      </c>
      <c r="Y91">
        <v>-3.9977850000000002E-2</v>
      </c>
      <c r="Z91">
        <v>1.0596689999999901E-3</v>
      </c>
      <c r="AA91">
        <v>0.99919999999999998</v>
      </c>
      <c r="AB91">
        <v>17</v>
      </c>
      <c r="AC91">
        <v>27.619399999999899</v>
      </c>
      <c r="AD91">
        <v>-1.1032949709019999</v>
      </c>
      <c r="AE91">
        <v>0.92579999999998097</v>
      </c>
      <c r="AF91">
        <v>-1.10772267405134</v>
      </c>
      <c r="AG91">
        <v>-1.1032949709019999</v>
      </c>
      <c r="AH91">
        <v>27.5686887827143</v>
      </c>
      <c r="AI91">
        <v>92.289900149730499</v>
      </c>
      <c r="AJ91">
        <v>92.300933207686995</v>
      </c>
      <c r="AK91">
        <v>27.612984455027298</v>
      </c>
    </row>
    <row r="92" spans="1:37" x14ac:dyDescent="0.2">
      <c r="A92" t="str">
        <f>"20200111155502972"</f>
        <v>20200111155502972</v>
      </c>
      <c r="B92" t="str">
        <f>"1578729302962646"</f>
        <v>1578729302962646</v>
      </c>
      <c r="C92" t="s">
        <v>37</v>
      </c>
      <c r="D92">
        <v>4.7250719999999999</v>
      </c>
      <c r="E92">
        <v>0.53651249999999995</v>
      </c>
      <c r="F92" t="s">
        <v>38</v>
      </c>
      <c r="G92">
        <v>-444.43650000000002</v>
      </c>
      <c r="H92" s="1">
        <v>-2.8210649999999899E-6</v>
      </c>
      <c r="I92">
        <v>368.42860000000002</v>
      </c>
      <c r="J92">
        <v>-471.6472</v>
      </c>
      <c r="K92">
        <v>1.103375</v>
      </c>
      <c r="L92">
        <v>367.48039999999997</v>
      </c>
      <c r="M92">
        <v>0.99997800000000003</v>
      </c>
      <c r="N92">
        <v>0</v>
      </c>
      <c r="O92">
        <v>-6.5330930000000002E-3</v>
      </c>
      <c r="P92">
        <v>0.99139259999999996</v>
      </c>
      <c r="Q92">
        <v>7.0684490000000001E-3</v>
      </c>
      <c r="R92">
        <v>0.1307326</v>
      </c>
      <c r="S92">
        <v>3.013153</v>
      </c>
      <c r="T92">
        <v>-0.121725399999999</v>
      </c>
      <c r="U92">
        <v>0.1045532</v>
      </c>
      <c r="V92">
        <v>-0.1372081</v>
      </c>
      <c r="W92">
        <v>5.7981319999999897E-3</v>
      </c>
      <c r="X92">
        <v>0.99052530000000005</v>
      </c>
      <c r="Y92">
        <v>-4.1167639999999998E-2</v>
      </c>
      <c r="Z92">
        <v>1.0947000000000001E-3</v>
      </c>
      <c r="AA92">
        <v>0.99915159999999903</v>
      </c>
      <c r="AB92">
        <v>17</v>
      </c>
      <c r="AC92">
        <v>27.2106999999999</v>
      </c>
      <c r="AD92">
        <v>-1.103377821065</v>
      </c>
      <c r="AE92">
        <v>0.94820000000004201</v>
      </c>
      <c r="AF92">
        <v>-1.12410384412944</v>
      </c>
      <c r="AG92">
        <v>-1.103377821065</v>
      </c>
      <c r="AH92">
        <v>27.159321935795699</v>
      </c>
      <c r="AI92">
        <v>92.324437837344206</v>
      </c>
      <c r="AJ92">
        <v>92.3700763353919</v>
      </c>
      <c r="AK92">
        <v>27.204959475812501</v>
      </c>
    </row>
    <row r="93" spans="1:37" x14ac:dyDescent="0.2">
      <c r="A93" t="str">
        <f>"20200111155502990"</f>
        <v>20200111155502990</v>
      </c>
      <c r="B93" t="str">
        <f>"1578729302983142"</f>
        <v>1578729302983142</v>
      </c>
      <c r="C93" t="s">
        <v>37</v>
      </c>
      <c r="D93">
        <v>4.6830970000000001</v>
      </c>
      <c r="E93">
        <v>0.53603089999999998</v>
      </c>
      <c r="F93" t="s">
        <v>38</v>
      </c>
      <c r="G93">
        <v>-444.15589999999997</v>
      </c>
      <c r="H93" s="1">
        <v>-2.9509890000000001E-6</v>
      </c>
      <c r="I93">
        <v>368.44389999999999</v>
      </c>
      <c r="J93">
        <v>-471.5093</v>
      </c>
      <c r="K93">
        <v>1.103469</v>
      </c>
      <c r="L93">
        <v>367.47980000000001</v>
      </c>
      <c r="M93">
        <v>0.99997969999999903</v>
      </c>
      <c r="N93">
        <v>0</v>
      </c>
      <c r="O93">
        <v>-6.3622399999999999E-3</v>
      </c>
      <c r="P93">
        <v>0.99139840000000001</v>
      </c>
      <c r="Q93">
        <v>7.0889339999999999E-3</v>
      </c>
      <c r="R93">
        <v>0.13068640000000001</v>
      </c>
      <c r="S93">
        <v>3.0129999999999999</v>
      </c>
      <c r="T93">
        <v>-0.12092839999999901</v>
      </c>
      <c r="U93">
        <v>0.1055908</v>
      </c>
      <c r="V93">
        <v>-0.13699259999999999</v>
      </c>
      <c r="W93">
        <v>6.4652149999999999E-3</v>
      </c>
      <c r="X93">
        <v>0.99055099999999996</v>
      </c>
      <c r="Y93">
        <v>-4.1342839999999999E-2</v>
      </c>
      <c r="Z93">
        <v>1.0842479999999999E-3</v>
      </c>
      <c r="AA93">
        <v>0.99914439999999904</v>
      </c>
      <c r="AB93">
        <v>17</v>
      </c>
      <c r="AC93">
        <v>27.353400000000001</v>
      </c>
      <c r="AD93">
        <v>-1.1034719509890001</v>
      </c>
      <c r="AE93">
        <v>0.96409999999997298</v>
      </c>
      <c r="AF93">
        <v>-1.1362625102017201</v>
      </c>
      <c r="AG93">
        <v>-1.1034719509890001</v>
      </c>
      <c r="AH93">
        <v>27.302335282110398</v>
      </c>
      <c r="AI93">
        <v>92.312450542104799</v>
      </c>
      <c r="AJ93">
        <v>92.383147726403095</v>
      </c>
      <c r="AK93">
        <v>27.3482404314333</v>
      </c>
    </row>
    <row r="94" spans="1:37" x14ac:dyDescent="0.2">
      <c r="A94" t="str">
        <f>"20200111155503003"</f>
        <v>20200111155503003</v>
      </c>
      <c r="B94" t="str">
        <f>"1578729302992902"</f>
        <v>1578729302992902</v>
      </c>
      <c r="C94" t="s">
        <v>37</v>
      </c>
      <c r="D94">
        <v>4.7064909999999998</v>
      </c>
      <c r="E94">
        <v>0.53594109999999995</v>
      </c>
      <c r="F94" t="s">
        <v>38</v>
      </c>
      <c r="G94">
        <v>-444.27929999999998</v>
      </c>
      <c r="H94" s="1">
        <v>-2.88827E-6</v>
      </c>
      <c r="I94">
        <v>368.46870000000001</v>
      </c>
      <c r="J94">
        <v>-471.41129999999998</v>
      </c>
      <c r="K94">
        <v>1.103526</v>
      </c>
      <c r="L94">
        <v>367.47930000000002</v>
      </c>
      <c r="M94">
        <v>0.99998039999999999</v>
      </c>
      <c r="N94">
        <v>0</v>
      </c>
      <c r="O94">
        <v>-6.2371800000000002E-3</v>
      </c>
      <c r="P94">
        <v>0.99138819999999905</v>
      </c>
      <c r="Q94">
        <v>7.0948859999999999E-3</v>
      </c>
      <c r="R94">
        <v>0.13076199999999999</v>
      </c>
      <c r="S94">
        <v>3.0124819999999999</v>
      </c>
      <c r="T94">
        <v>-0.1220779</v>
      </c>
      <c r="U94">
        <v>0.1094055</v>
      </c>
      <c r="V94">
        <v>-0.13694400000000001</v>
      </c>
      <c r="W94">
        <v>6.9058019999999999E-3</v>
      </c>
      <c r="X94">
        <v>0.99055469999999901</v>
      </c>
      <c r="Y94">
        <v>-4.2485920000000003E-2</v>
      </c>
      <c r="Z94">
        <v>1.1127889999999899E-3</v>
      </c>
      <c r="AA94">
        <v>0.99909650000000005</v>
      </c>
      <c r="AB94">
        <v>17</v>
      </c>
      <c r="AC94">
        <v>27.132000000000001</v>
      </c>
      <c r="AD94">
        <v>-1.1035288882700001</v>
      </c>
      <c r="AE94">
        <v>0.98939999999998895</v>
      </c>
      <c r="AF94">
        <v>-1.1566970110972301</v>
      </c>
      <c r="AG94">
        <v>-1.1035288882700001</v>
      </c>
      <c r="AH94">
        <v>27.0805623765742</v>
      </c>
      <c r="AI94">
        <v>92.331380044224801</v>
      </c>
      <c r="AJ94">
        <v>92.445798442314896</v>
      </c>
      <c r="AK94">
        <v>27.1277087608639</v>
      </c>
    </row>
    <row r="95" spans="1:37" x14ac:dyDescent="0.2">
      <c r="A95" t="str">
        <f>"20200111155503016"</f>
        <v>20200111155503016</v>
      </c>
      <c r="B95" t="str">
        <f>"1578729303012422"</f>
        <v>1578729303012422</v>
      </c>
      <c r="C95" t="s">
        <v>37</v>
      </c>
      <c r="D95">
        <v>4.7374519999999896</v>
      </c>
      <c r="E95">
        <v>0.53554139999999995</v>
      </c>
      <c r="F95" t="s">
        <v>38</v>
      </c>
      <c r="G95">
        <v>-444.53969999999998</v>
      </c>
      <c r="H95" s="1">
        <v>-2.7664400000000001E-6</v>
      </c>
      <c r="I95">
        <v>368.4615</v>
      </c>
      <c r="J95">
        <v>-471.3109</v>
      </c>
      <c r="K95">
        <v>1.1035740000000001</v>
      </c>
      <c r="L95">
        <v>367.47879999999998</v>
      </c>
      <c r="M95">
        <v>0.99998149999999997</v>
      </c>
      <c r="N95">
        <v>0</v>
      </c>
      <c r="O95">
        <v>-6.1070940000000004E-3</v>
      </c>
      <c r="P95">
        <v>0.9913883</v>
      </c>
      <c r="Q95">
        <v>6.8074709999999998E-3</v>
      </c>
      <c r="R95">
        <v>0.1307789</v>
      </c>
      <c r="S95">
        <v>3.0123899999999999</v>
      </c>
      <c r="T95">
        <v>-0.123708999999999</v>
      </c>
      <c r="U95">
        <v>0.11010739999999899</v>
      </c>
      <c r="V95">
        <v>-0.13683239999999999</v>
      </c>
      <c r="W95">
        <v>7.0388369999999896E-3</v>
      </c>
      <c r="X95">
        <v>0.99056919999999904</v>
      </c>
      <c r="Y95">
        <v>-4.2588470000000003E-2</v>
      </c>
      <c r="Z95">
        <v>1.1244389999999901E-3</v>
      </c>
      <c r="AA95">
        <v>0.99909199999999998</v>
      </c>
      <c r="AB95">
        <v>17</v>
      </c>
      <c r="AC95">
        <v>26.7712</v>
      </c>
      <c r="AD95">
        <v>-1.10357676644</v>
      </c>
      <c r="AE95">
        <v>0.982700000000022</v>
      </c>
      <c r="AF95">
        <v>-1.1442341070145401</v>
      </c>
      <c r="AG95">
        <v>-1.10357676644</v>
      </c>
      <c r="AH95">
        <v>26.719356278836699</v>
      </c>
      <c r="AI95">
        <v>92.3629525803413</v>
      </c>
      <c r="AJ95">
        <v>92.452145611938505</v>
      </c>
      <c r="AK95">
        <v>26.766605188676699</v>
      </c>
    </row>
    <row r="96" spans="1:37" x14ac:dyDescent="0.2">
      <c r="A96" t="str">
        <f>"20200111155503035"</f>
        <v>20200111155503035</v>
      </c>
      <c r="B96" t="str">
        <f>"1578729303032918"</f>
        <v>1578729303032918</v>
      </c>
      <c r="C96" t="s">
        <v>37</v>
      </c>
      <c r="D96">
        <v>4.6923139999999997</v>
      </c>
      <c r="E96">
        <v>0.53558050000000001</v>
      </c>
      <c r="F96" t="s">
        <v>38</v>
      </c>
      <c r="G96">
        <v>-444.96460000000002</v>
      </c>
      <c r="H96" s="1">
        <v>-2.5643059999999999E-6</v>
      </c>
      <c r="I96">
        <v>368.46859999999998</v>
      </c>
      <c r="J96">
        <v>-471.16930000000002</v>
      </c>
      <c r="K96">
        <v>1.103631</v>
      </c>
      <c r="L96">
        <v>367.47809999999998</v>
      </c>
      <c r="M96">
        <v>0.99998220000000004</v>
      </c>
      <c r="N96">
        <v>0</v>
      </c>
      <c r="O96">
        <v>-5.92671E-3</v>
      </c>
      <c r="P96">
        <v>0.99137960000000003</v>
      </c>
      <c r="Q96">
        <v>5.9928469999999999E-3</v>
      </c>
      <c r="R96">
        <v>0.1308848</v>
      </c>
      <c r="S96">
        <v>3.0119630000000002</v>
      </c>
      <c r="T96">
        <v>-0.12616359999999999</v>
      </c>
      <c r="U96">
        <v>0.113159199999999</v>
      </c>
      <c r="V96">
        <v>-0.13675899999999999</v>
      </c>
      <c r="W96">
        <v>6.7622790000000004E-3</v>
      </c>
      <c r="X96">
        <v>0.9905813</v>
      </c>
      <c r="Y96">
        <v>-4.3422099999999998E-2</v>
      </c>
      <c r="Z96">
        <v>1.1567680000000001E-3</v>
      </c>
      <c r="AA96">
        <v>0.99905619999999995</v>
      </c>
      <c r="AB96">
        <v>17</v>
      </c>
      <c r="AC96">
        <v>26.204699999999999</v>
      </c>
      <c r="AD96">
        <v>-1.103633564306</v>
      </c>
      <c r="AE96">
        <v>0.99049999999999705</v>
      </c>
      <c r="AF96">
        <v>-1.14376444492296</v>
      </c>
      <c r="AG96">
        <v>-1.103633564306</v>
      </c>
      <c r="AH96">
        <v>26.152048446604802</v>
      </c>
      <c r="AI96">
        <v>92.414180537585295</v>
      </c>
      <c r="AJ96">
        <v>92.504245143991199</v>
      </c>
      <c r="AK96">
        <v>26.200302328471199</v>
      </c>
    </row>
    <row r="97" spans="1:37" x14ac:dyDescent="0.2">
      <c r="A97" t="str">
        <f>"20200111155503048"</f>
        <v>20200111155503048</v>
      </c>
      <c r="B97" t="str">
        <f>"1578729303042678"</f>
        <v>1578729303042678</v>
      </c>
      <c r="C97" t="s">
        <v>37</v>
      </c>
      <c r="D97">
        <v>4.7125810000000001</v>
      </c>
      <c r="E97">
        <v>0.53562909999999997</v>
      </c>
      <c r="F97" t="s">
        <v>38</v>
      </c>
      <c r="G97">
        <v>-445.52780000000001</v>
      </c>
      <c r="H97" s="1">
        <v>-2.3027430000000001E-6</v>
      </c>
      <c r="I97">
        <v>368.4425</v>
      </c>
      <c r="J97">
        <v>-471.06939999999997</v>
      </c>
      <c r="K97">
        <v>1.103661</v>
      </c>
      <c r="L97">
        <v>367.47770000000003</v>
      </c>
      <c r="M97">
        <v>0.999982699999999</v>
      </c>
      <c r="N97">
        <v>0</v>
      </c>
      <c r="O97">
        <v>-5.803468E-3</v>
      </c>
      <c r="P97">
        <v>0.99139339999999998</v>
      </c>
      <c r="Q97">
        <v>5.2114819999999999E-3</v>
      </c>
      <c r="R97">
        <v>0.1308135</v>
      </c>
      <c r="S97">
        <v>3.01187099999999</v>
      </c>
      <c r="T97">
        <v>-0.12963350000000001</v>
      </c>
      <c r="U97">
        <v>0.1132813</v>
      </c>
      <c r="V97">
        <v>-0.13656570000000001</v>
      </c>
      <c r="W97">
        <v>6.3278889999999997E-3</v>
      </c>
      <c r="X97">
        <v>0.99061080000000001</v>
      </c>
      <c r="Y97">
        <v>-4.3338309999999998E-2</v>
      </c>
      <c r="Z97">
        <v>1.1814869999999999E-3</v>
      </c>
      <c r="AA97">
        <v>0.99905969999999999</v>
      </c>
      <c r="AB97">
        <v>17</v>
      </c>
      <c r="AC97">
        <v>25.541599999999899</v>
      </c>
      <c r="AD97">
        <v>-1.1036633027429901</v>
      </c>
      <c r="AE97">
        <v>0.96479999999996802</v>
      </c>
      <c r="AF97">
        <v>-1.11094234890678</v>
      </c>
      <c r="AG97">
        <v>-1.1036633027429901</v>
      </c>
      <c r="AH97">
        <v>25.4880487218003</v>
      </c>
      <c r="AI97">
        <v>92.477078672774496</v>
      </c>
      <c r="AJ97">
        <v>92.495759694494495</v>
      </c>
      <c r="AK97">
        <v>25.536109594714699</v>
      </c>
    </row>
    <row r="98" spans="1:37" x14ac:dyDescent="0.2">
      <c r="A98" t="str">
        <f>"20200111155503061"</f>
        <v>20200111155503061</v>
      </c>
      <c r="B98" t="str">
        <f>"1578729303052440"</f>
        <v>1578729303052440</v>
      </c>
      <c r="C98" t="s">
        <v>37</v>
      </c>
      <c r="D98">
        <v>4.7209180000000002</v>
      </c>
      <c r="E98">
        <v>0.53568950000000004</v>
      </c>
      <c r="F98" t="s">
        <v>38</v>
      </c>
      <c r="G98">
        <v>-445.88709999999998</v>
      </c>
      <c r="H98" s="1">
        <v>-2.1368710000000001E-6</v>
      </c>
      <c r="I98">
        <v>368.42</v>
      </c>
      <c r="J98">
        <v>-470.96769999999998</v>
      </c>
      <c r="K98">
        <v>1.1036900000000001</v>
      </c>
      <c r="L98">
        <v>367.47719999999998</v>
      </c>
      <c r="M98">
        <v>0.99998279999999995</v>
      </c>
      <c r="N98">
        <v>0</v>
      </c>
      <c r="O98">
        <v>-5.6800389999999996E-3</v>
      </c>
      <c r="P98">
        <v>0.99138780000000004</v>
      </c>
      <c r="Q98">
        <v>4.6611550000000002E-3</v>
      </c>
      <c r="R98">
        <v>0.13087670000000001</v>
      </c>
      <c r="S98">
        <v>3.0119319999999998</v>
      </c>
      <c r="T98">
        <v>-0.13200400000000001</v>
      </c>
      <c r="U98">
        <v>0.11270139999999999</v>
      </c>
      <c r="V98">
        <v>-0.13650689999999999</v>
      </c>
      <c r="W98">
        <v>6.11188599999999E-3</v>
      </c>
      <c r="X98">
        <v>0.99062030000000001</v>
      </c>
      <c r="Y98">
        <v>-4.3020929999999999E-2</v>
      </c>
      <c r="Z98">
        <v>1.1906969999999999E-3</v>
      </c>
      <c r="AA98">
        <v>0.9990734</v>
      </c>
      <c r="AB98">
        <v>17</v>
      </c>
      <c r="AC98">
        <v>25.0806</v>
      </c>
      <c r="AD98">
        <v>-1.103692136871</v>
      </c>
      <c r="AE98">
        <v>0.94280000000003295</v>
      </c>
      <c r="AF98">
        <v>-1.0831491585936299</v>
      </c>
      <c r="AG98">
        <v>-1.103692136871</v>
      </c>
      <c r="AH98">
        <v>25.026444655124699</v>
      </c>
      <c r="AI98">
        <v>92.522808347680495</v>
      </c>
      <c r="AJ98">
        <v>92.478225335671894</v>
      </c>
      <c r="AK98">
        <v>25.0741755698721</v>
      </c>
    </row>
    <row r="99" spans="1:37" x14ac:dyDescent="0.2">
      <c r="A99" t="str">
        <f>"20200111155503080"</f>
        <v>20200111155503080</v>
      </c>
      <c r="B99" t="str">
        <f>"1578729303072935"</f>
        <v>1578729303072935</v>
      </c>
      <c r="C99" t="s">
        <v>37</v>
      </c>
      <c r="D99">
        <v>4.6823230000000002</v>
      </c>
      <c r="E99">
        <v>0.53572149999999996</v>
      </c>
      <c r="F99" t="s">
        <v>38</v>
      </c>
      <c r="G99">
        <v>-446.07780000000002</v>
      </c>
      <c r="H99" s="1">
        <v>-2.0493379999999998E-6</v>
      </c>
      <c r="I99">
        <v>368.40519999999998</v>
      </c>
      <c r="J99">
        <v>-470.82380000000001</v>
      </c>
      <c r="K99">
        <v>1.1037139999999901</v>
      </c>
      <c r="L99">
        <v>367.47660000000002</v>
      </c>
      <c r="M99">
        <v>0.99998310000000001</v>
      </c>
      <c r="N99">
        <v>0</v>
      </c>
      <c r="O99">
        <v>-5.5104869999999997E-3</v>
      </c>
      <c r="P99">
        <v>0.99143400000000004</v>
      </c>
      <c r="Q99">
        <v>3.7529109999999998E-3</v>
      </c>
      <c r="R99">
        <v>0.1305558</v>
      </c>
      <c r="S99">
        <v>3.01187099999999</v>
      </c>
      <c r="T99">
        <v>-0.13355520000000001</v>
      </c>
      <c r="U99">
        <v>0.11230469999999999</v>
      </c>
      <c r="V99">
        <v>-0.13601830000000001</v>
      </c>
      <c r="W99">
        <v>5.6317199999999998E-3</v>
      </c>
      <c r="X99">
        <v>0.99069030000000002</v>
      </c>
      <c r="Y99">
        <v>-4.2720220000000003E-2</v>
      </c>
      <c r="Z99">
        <v>1.1905279999999999E-3</v>
      </c>
      <c r="AA99">
        <v>0.99908639999999904</v>
      </c>
      <c r="AB99">
        <v>17</v>
      </c>
      <c r="AC99">
        <v>24.745999999999899</v>
      </c>
      <c r="AD99">
        <v>-1.1037160493379901</v>
      </c>
      <c r="AE99">
        <v>0.92859999999996001</v>
      </c>
      <c r="AF99">
        <v>-1.06283729596953</v>
      </c>
      <c r="AG99">
        <v>-1.1037160493379901</v>
      </c>
      <c r="AH99">
        <v>24.691457091620901</v>
      </c>
      <c r="AI99">
        <v>92.557071247492999</v>
      </c>
      <c r="AJ99">
        <v>92.464760280008306</v>
      </c>
      <c r="AK99">
        <v>24.738954414902501</v>
      </c>
    </row>
    <row r="100" spans="1:37" x14ac:dyDescent="0.2">
      <c r="A100" t="str">
        <f>"20200111155503093"</f>
        <v>20200111155503093</v>
      </c>
      <c r="B100" t="str">
        <f>"1578729303082694"</f>
        <v>1578729303082694</v>
      </c>
      <c r="C100" t="s">
        <v>37</v>
      </c>
      <c r="D100">
        <v>4.7108419999999898</v>
      </c>
      <c r="E100">
        <v>0.53575839999999997</v>
      </c>
      <c r="F100" t="s">
        <v>38</v>
      </c>
      <c r="G100">
        <v>-446.85969999999998</v>
      </c>
      <c r="H100" s="1">
        <v>-1.687872E-6</v>
      </c>
      <c r="I100">
        <v>368.35950000000003</v>
      </c>
      <c r="J100">
        <v>-470.71809999999999</v>
      </c>
      <c r="K100">
        <v>1.1037319999999999</v>
      </c>
      <c r="L100">
        <v>367.47609999999997</v>
      </c>
      <c r="M100">
        <v>0.99998319999999996</v>
      </c>
      <c r="N100">
        <v>0</v>
      </c>
      <c r="O100">
        <v>-5.3885540000000003E-3</v>
      </c>
      <c r="P100">
        <v>0.99143939999999997</v>
      </c>
      <c r="Q100">
        <v>3.0643240000000002E-3</v>
      </c>
      <c r="R100">
        <v>0.13053239999999999</v>
      </c>
      <c r="S100">
        <v>3.011841</v>
      </c>
      <c r="T100">
        <v>-0.13871629999999999</v>
      </c>
      <c r="U100">
        <v>0.110961899999999</v>
      </c>
      <c r="V100">
        <v>-0.1358741</v>
      </c>
      <c r="W100">
        <v>5.2225989999999996E-3</v>
      </c>
      <c r="X100">
        <v>0.99071229999999999</v>
      </c>
      <c r="Y100">
        <v>-4.2150970000000003E-2</v>
      </c>
      <c r="Z100">
        <v>1.217802E-3</v>
      </c>
      <c r="AA100">
        <v>0.99911049999999901</v>
      </c>
      <c r="AB100">
        <v>17</v>
      </c>
      <c r="AC100">
        <v>23.8584</v>
      </c>
      <c r="AD100">
        <v>-1.1037336878720001</v>
      </c>
      <c r="AE100">
        <v>0.88340000000005103</v>
      </c>
      <c r="AF100">
        <v>-1.0097915891106899</v>
      </c>
      <c r="AG100">
        <v>-1.1037336878720001</v>
      </c>
      <c r="AH100">
        <v>23.802422138417199</v>
      </c>
      <c r="AI100">
        <v>92.652557940061996</v>
      </c>
      <c r="AJ100">
        <v>92.429253769445594</v>
      </c>
      <c r="AK100">
        <v>23.8493858781016</v>
      </c>
    </row>
    <row r="101" spans="1:37" x14ac:dyDescent="0.2">
      <c r="A101" t="str">
        <f>"20200111155503107"</f>
        <v>20200111155503107</v>
      </c>
      <c r="B101" t="str">
        <f>"1578729303103190"</f>
        <v>1578729303103190</v>
      </c>
      <c r="C101" t="s">
        <v>37</v>
      </c>
      <c r="D101">
        <v>4.6718039999999998</v>
      </c>
      <c r="E101">
        <v>0.5358849</v>
      </c>
      <c r="F101" t="s">
        <v>38</v>
      </c>
      <c r="G101">
        <v>-447.1626</v>
      </c>
      <c r="H101" s="1">
        <v>-1.547767E-6</v>
      </c>
      <c r="I101">
        <v>368.34210000000002</v>
      </c>
      <c r="J101">
        <v>-470.61660000000001</v>
      </c>
      <c r="K101">
        <v>1.103747</v>
      </c>
      <c r="L101">
        <v>367.47570000000002</v>
      </c>
      <c r="M101">
        <v>0.99998319999999996</v>
      </c>
      <c r="N101">
        <v>0</v>
      </c>
      <c r="O101">
        <v>-5.2719890000000004E-3</v>
      </c>
      <c r="P101">
        <v>0.99142580000000002</v>
      </c>
      <c r="Q101">
        <v>2.445418E-3</v>
      </c>
      <c r="R101">
        <v>0.13064880000000001</v>
      </c>
      <c r="S101">
        <v>3.0117189999999998</v>
      </c>
      <c r="T101">
        <v>-0.14111940000000001</v>
      </c>
      <c r="U101">
        <v>0.11071780000000001</v>
      </c>
      <c r="V101">
        <v>-0.13587479999999999</v>
      </c>
      <c r="W101">
        <v>4.8530539999999999E-3</v>
      </c>
      <c r="X101">
        <v>0.99071409999999904</v>
      </c>
      <c r="Y101">
        <v>-4.1953709999999998E-2</v>
      </c>
      <c r="Z101">
        <v>1.228853E-3</v>
      </c>
      <c r="AA101">
        <v>0.99911879999999997</v>
      </c>
      <c r="AB101">
        <v>17</v>
      </c>
      <c r="AC101">
        <v>23.454000000000001</v>
      </c>
      <c r="AD101">
        <v>-1.1037485477669999</v>
      </c>
      <c r="AE101">
        <v>0.86639999999999795</v>
      </c>
      <c r="AF101">
        <v>-0.98785277488257295</v>
      </c>
      <c r="AG101">
        <v>-1.1037485477669999</v>
      </c>
      <c r="AH101">
        <v>23.397359881640401</v>
      </c>
      <c r="AI101">
        <v>92.698471944015097</v>
      </c>
      <c r="AJ101">
        <v>92.417631717378896</v>
      </c>
      <c r="AK101">
        <v>23.444201061084101</v>
      </c>
    </row>
    <row r="102" spans="1:37" x14ac:dyDescent="0.2">
      <c r="A102" t="str">
        <f>"20200111155503125"</f>
        <v>20200111155503125</v>
      </c>
      <c r="B102" t="str">
        <f>"1578729303122710"</f>
        <v>1578729303122710</v>
      </c>
      <c r="C102" t="s">
        <v>37</v>
      </c>
      <c r="D102">
        <v>4.7706220000000004</v>
      </c>
      <c r="E102">
        <v>0.53594869999999994</v>
      </c>
      <c r="F102" t="s">
        <v>38</v>
      </c>
      <c r="G102">
        <v>-447.49439999999998</v>
      </c>
      <c r="H102" s="1">
        <v>-1.394342E-6</v>
      </c>
      <c r="I102">
        <v>368.3227</v>
      </c>
      <c r="J102">
        <v>-470.46719999999999</v>
      </c>
      <c r="K102">
        <v>1.1037589999999999</v>
      </c>
      <c r="L102">
        <v>367.4751</v>
      </c>
      <c r="M102">
        <v>0.99998310000000001</v>
      </c>
      <c r="N102">
        <v>0</v>
      </c>
      <c r="O102">
        <v>-5.1013220000000001E-3</v>
      </c>
      <c r="P102">
        <v>0.99138369999999998</v>
      </c>
      <c r="Q102">
        <v>1.6697260000000001E-3</v>
      </c>
      <c r="R102">
        <v>0.1309804</v>
      </c>
      <c r="S102">
        <v>3.011749</v>
      </c>
      <c r="T102">
        <v>-0.14376749999999999</v>
      </c>
      <c r="U102">
        <v>0.110321</v>
      </c>
      <c r="V102">
        <v>-0.13603709999999999</v>
      </c>
      <c r="W102">
        <v>4.4119859999999997E-3</v>
      </c>
      <c r="X102">
        <v>0.99069390000000002</v>
      </c>
      <c r="Y102">
        <v>-4.1649949999999998E-2</v>
      </c>
      <c r="Z102">
        <v>1.2364939999999899E-3</v>
      </c>
      <c r="AA102">
        <v>0.99913149999999995</v>
      </c>
      <c r="AB102">
        <v>17</v>
      </c>
      <c r="AC102">
        <v>22.972799999999999</v>
      </c>
      <c r="AD102">
        <v>-1.103760394342</v>
      </c>
      <c r="AE102">
        <v>0.84759999999999902</v>
      </c>
      <c r="AF102">
        <v>-0.96256206459760196</v>
      </c>
      <c r="AG102">
        <v>-1.103760394342</v>
      </c>
      <c r="AH102">
        <v>22.915350000613401</v>
      </c>
      <c r="AI102">
        <v>92.755200489299597</v>
      </c>
      <c r="AJ102">
        <v>92.405302191262294</v>
      </c>
      <c r="AK102">
        <v>22.9621009140482</v>
      </c>
    </row>
    <row r="103" spans="1:37" x14ac:dyDescent="0.2">
      <c r="A103" t="str">
        <f>"20200111155503139"</f>
        <v>20200111155503139</v>
      </c>
      <c r="B103" t="str">
        <f>"1578729303132470"</f>
        <v>1578729303132470</v>
      </c>
      <c r="C103" t="s">
        <v>37</v>
      </c>
      <c r="D103">
        <v>4.7033379999999996</v>
      </c>
      <c r="E103">
        <v>0.53596129999999997</v>
      </c>
      <c r="F103" t="s">
        <v>38</v>
      </c>
      <c r="G103">
        <v>-447.7208</v>
      </c>
      <c r="H103" s="1">
        <v>-1.289743E-6</v>
      </c>
      <c r="I103">
        <v>368.30900000000003</v>
      </c>
      <c r="J103">
        <v>-470.3639</v>
      </c>
      <c r="K103">
        <v>1.103769</v>
      </c>
      <c r="L103">
        <v>367.47469999999998</v>
      </c>
      <c r="M103">
        <v>0.99998299999999996</v>
      </c>
      <c r="N103">
        <v>0</v>
      </c>
      <c r="O103">
        <v>-4.9834720000000001E-3</v>
      </c>
      <c r="P103">
        <v>0.99135079999999998</v>
      </c>
      <c r="Q103">
        <v>1.2860269999999999E-3</v>
      </c>
      <c r="R103">
        <v>0.13123289999999899</v>
      </c>
      <c r="S103">
        <v>3.011749</v>
      </c>
      <c r="T103">
        <v>-0.146144</v>
      </c>
      <c r="U103">
        <v>0.1104126</v>
      </c>
      <c r="V103">
        <v>-0.13617279999999901</v>
      </c>
      <c r="W103">
        <v>4.2431869999999998E-3</v>
      </c>
      <c r="X103">
        <v>0.990676</v>
      </c>
      <c r="Y103">
        <v>-4.1561010000000002E-2</v>
      </c>
      <c r="Z103">
        <v>1.2490400000000001E-3</v>
      </c>
      <c r="AA103">
        <v>0.999135199999999</v>
      </c>
      <c r="AB103">
        <v>17</v>
      </c>
      <c r="AC103">
        <v>22.6431</v>
      </c>
      <c r="AD103">
        <v>-1.103770289743</v>
      </c>
      <c r="AE103">
        <v>0.83430000000004101</v>
      </c>
      <c r="AF103">
        <v>-0.94488919653363901</v>
      </c>
      <c r="AG103">
        <v>-1.103770289743</v>
      </c>
      <c r="AH103">
        <v>22.585066892869001</v>
      </c>
      <c r="AI103">
        <v>92.795473648724396</v>
      </c>
      <c r="AJ103">
        <v>92.395680737788794</v>
      </c>
      <c r="AK103">
        <v>22.631755809075301</v>
      </c>
    </row>
    <row r="104" spans="1:37" x14ac:dyDescent="0.2">
      <c r="A104" t="str">
        <f>"20200111155503157"</f>
        <v>20200111155503157</v>
      </c>
      <c r="B104" t="str">
        <f>"1578729303152967"</f>
        <v>1578729303152967</v>
      </c>
      <c r="C104" t="s">
        <v>37</v>
      </c>
      <c r="D104">
        <v>4.7397460000000002</v>
      </c>
      <c r="E104">
        <v>0.53605599999999998</v>
      </c>
      <c r="F104" t="s">
        <v>38</v>
      </c>
      <c r="G104">
        <v>-447.81150000000002</v>
      </c>
      <c r="H104" s="1">
        <v>-1.247221E-6</v>
      </c>
      <c r="I104">
        <v>368.30699999999899</v>
      </c>
      <c r="J104">
        <v>-470.21039999999999</v>
      </c>
      <c r="K104">
        <v>1.1037840000000001</v>
      </c>
      <c r="L104">
        <v>367.4742</v>
      </c>
      <c r="M104">
        <v>0.99998310000000001</v>
      </c>
      <c r="N104">
        <v>0</v>
      </c>
      <c r="O104">
        <v>-4.80865799999999E-3</v>
      </c>
      <c r="P104">
        <v>0.9913071</v>
      </c>
      <c r="Q104">
        <v>9.6946539999999903E-4</v>
      </c>
      <c r="R104">
        <v>0.13156589999999899</v>
      </c>
      <c r="S104">
        <v>3.0116269999999998</v>
      </c>
      <c r="T104">
        <v>-0.14739669999999999</v>
      </c>
      <c r="U104">
        <v>0.11114499999999999</v>
      </c>
      <c r="V104">
        <v>-0.13633199999999901</v>
      </c>
      <c r="W104">
        <v>4.2160069999999999E-3</v>
      </c>
      <c r="X104">
        <v>0.99065419999999904</v>
      </c>
      <c r="Y104">
        <v>-4.1629670000000001E-2</v>
      </c>
      <c r="Z104">
        <v>1.252909E-3</v>
      </c>
      <c r="AA104">
        <v>0.99913229999999997</v>
      </c>
      <c r="AB104">
        <v>18</v>
      </c>
      <c r="AC104">
        <v>22.398899999999902</v>
      </c>
      <c r="AD104">
        <v>-1.1037852472209999</v>
      </c>
      <c r="AE104">
        <v>0.83279999999996301</v>
      </c>
      <c r="AF104">
        <v>-0.93822438040354705</v>
      </c>
      <c r="AG104">
        <v>-1.1037852472209999</v>
      </c>
      <c r="AH104">
        <v>22.340460229513301</v>
      </c>
      <c r="AI104">
        <v>92.8260514353057</v>
      </c>
      <c r="AJ104">
        <v>92.404817377531103</v>
      </c>
      <c r="AK104">
        <v>22.3873797065764</v>
      </c>
    </row>
    <row r="105" spans="1:37" x14ac:dyDescent="0.2">
      <c r="A105" t="str">
        <f>"20200111155503170"</f>
        <v>20200111155503170</v>
      </c>
      <c r="B105" t="str">
        <f>"1578729303163075"</f>
        <v>1578729303163075</v>
      </c>
      <c r="C105" t="s">
        <v>37</v>
      </c>
      <c r="D105">
        <v>4.715249</v>
      </c>
      <c r="E105">
        <v>0.53601399999999999</v>
      </c>
      <c r="F105" t="s">
        <v>38</v>
      </c>
      <c r="G105">
        <v>-447.80110000000002</v>
      </c>
      <c r="H105" s="1">
        <v>-1.253102E-6</v>
      </c>
      <c r="I105">
        <v>368.30160000000001</v>
      </c>
      <c r="J105">
        <v>-470.10599999999999</v>
      </c>
      <c r="K105">
        <v>1.103793</v>
      </c>
      <c r="L105">
        <v>367.47379999999998</v>
      </c>
      <c r="M105">
        <v>0.99998290000000001</v>
      </c>
      <c r="N105">
        <v>0</v>
      </c>
      <c r="O105">
        <v>-4.68950099999999E-3</v>
      </c>
      <c r="P105">
        <v>0.99126669999999995</v>
      </c>
      <c r="Q105">
        <v>9.966046000000001E-4</v>
      </c>
      <c r="R105">
        <v>0.13186879999999901</v>
      </c>
      <c r="S105">
        <v>3.0116879999999999</v>
      </c>
      <c r="T105">
        <v>-0.148343</v>
      </c>
      <c r="U105">
        <v>0.1112061</v>
      </c>
      <c r="V105">
        <v>-0.13651659999999999</v>
      </c>
      <c r="W105">
        <v>4.4253369999999997E-3</v>
      </c>
      <c r="X105">
        <v>0.99062790000000001</v>
      </c>
      <c r="Y105">
        <v>-4.152964E-2</v>
      </c>
      <c r="Z105">
        <v>1.2525920000000001E-3</v>
      </c>
      <c r="AA105">
        <v>0.99913649999999998</v>
      </c>
      <c r="AB105">
        <v>18</v>
      </c>
      <c r="AC105">
        <v>22.3048999999999</v>
      </c>
      <c r="AD105">
        <v>-1.103794253102</v>
      </c>
      <c r="AE105">
        <v>0.82780000000002396</v>
      </c>
      <c r="AF105">
        <v>-0.93011573518656798</v>
      </c>
      <c r="AG105">
        <v>-1.103794253102</v>
      </c>
      <c r="AH105">
        <v>22.246367967083099</v>
      </c>
      <c r="AI105">
        <v>92.838030143411501</v>
      </c>
      <c r="AJ105">
        <v>92.394129521146198</v>
      </c>
      <c r="AK105">
        <v>22.2931461386876</v>
      </c>
    </row>
    <row r="106" spans="1:37" x14ac:dyDescent="0.2">
      <c r="A106" t="str">
        <f>"20200111155503183"</f>
        <v>20200111155503183</v>
      </c>
      <c r="B106" t="str">
        <f>"1578729303172833"</f>
        <v>1578729303172833</v>
      </c>
      <c r="C106" t="s">
        <v>37</v>
      </c>
      <c r="D106">
        <v>4.6996219999999997</v>
      </c>
      <c r="E106">
        <v>0.53602530000000004</v>
      </c>
      <c r="F106" t="s">
        <v>38</v>
      </c>
      <c r="G106">
        <v>-447.75970000000001</v>
      </c>
      <c r="H106" s="1">
        <v>-1.271045E-6</v>
      </c>
      <c r="I106">
        <v>368.3109</v>
      </c>
      <c r="J106">
        <v>-470.00659999999999</v>
      </c>
      <c r="K106">
        <v>1.1038059999999901</v>
      </c>
      <c r="L106">
        <v>367.47340000000003</v>
      </c>
      <c r="M106">
        <v>0.99998299999999996</v>
      </c>
      <c r="N106">
        <v>0</v>
      </c>
      <c r="O106">
        <v>-4.5763069999999999E-3</v>
      </c>
      <c r="P106">
        <v>0.99128329999999998</v>
      </c>
      <c r="Q106">
        <v>7.6300459999999995E-4</v>
      </c>
      <c r="R106">
        <v>0.13174669999999999</v>
      </c>
      <c r="S106">
        <v>3.0115660000000002</v>
      </c>
      <c r="T106">
        <v>-0.14875620000000001</v>
      </c>
      <c r="U106">
        <v>0.11282349999999999</v>
      </c>
      <c r="V106">
        <v>-0.13628280000000001</v>
      </c>
      <c r="W106">
        <v>4.3652559999999997E-3</v>
      </c>
      <c r="X106">
        <v>0.990660399999999</v>
      </c>
      <c r="Y106">
        <v>-4.1953209999999998E-2</v>
      </c>
      <c r="Z106">
        <v>1.2609800000000001E-3</v>
      </c>
      <c r="AA106">
        <v>0.99911879999999997</v>
      </c>
      <c r="AB106">
        <v>18</v>
      </c>
      <c r="AC106">
        <v>22.246899999999901</v>
      </c>
      <c r="AD106">
        <v>-1.10380727104499</v>
      </c>
      <c r="AE106">
        <v>0.83749999999997704</v>
      </c>
      <c r="AF106">
        <v>-0.93699713184539601</v>
      </c>
      <c r="AG106">
        <v>-1.10380727104499</v>
      </c>
      <c r="AH106">
        <v>22.188289193804302</v>
      </c>
      <c r="AI106">
        <v>92.845430121037694</v>
      </c>
      <c r="AJ106">
        <v>92.418127041678403</v>
      </c>
      <c r="AK106">
        <v>22.2354791147974</v>
      </c>
    </row>
    <row r="107" spans="1:37" x14ac:dyDescent="0.2">
      <c r="A107" t="str">
        <f>"20200111155503203"</f>
        <v>20200111155503203</v>
      </c>
      <c r="B107" t="str">
        <f>"1578729303192353"</f>
        <v>1578729303192353</v>
      </c>
      <c r="C107" t="s">
        <v>37</v>
      </c>
      <c r="D107">
        <v>4.7388779999999997</v>
      </c>
      <c r="E107">
        <v>0.53605979999999998</v>
      </c>
      <c r="F107" t="s">
        <v>38</v>
      </c>
      <c r="G107">
        <v>-447.77800000000002</v>
      </c>
      <c r="H107" s="1">
        <v>-1.2638869999999999E-6</v>
      </c>
      <c r="I107">
        <v>368.30239999999998</v>
      </c>
      <c r="J107">
        <v>-469.85320000000002</v>
      </c>
      <c r="K107">
        <v>1.1038349999999999</v>
      </c>
      <c r="L107">
        <v>367.47300000000001</v>
      </c>
      <c r="M107">
        <v>0.999982699999999</v>
      </c>
      <c r="N107">
        <v>0</v>
      </c>
      <c r="O107">
        <v>-4.4016849999999998E-3</v>
      </c>
      <c r="P107">
        <v>0.99123470000000002</v>
      </c>
      <c r="Q107">
        <v>6.9187019999999999E-4</v>
      </c>
      <c r="R107">
        <v>0.13211310000000001</v>
      </c>
      <c r="S107">
        <v>3.011536</v>
      </c>
      <c r="T107">
        <v>-0.14954419999999999</v>
      </c>
      <c r="U107">
        <v>0.11230469999999999</v>
      </c>
      <c r="V107">
        <v>-0.13647590000000001</v>
      </c>
      <c r="W107">
        <v>4.5693399999999999E-3</v>
      </c>
      <c r="X107">
        <v>0.99063279999999998</v>
      </c>
      <c r="Y107">
        <v>-4.1607289999999998E-2</v>
      </c>
      <c r="Z107">
        <v>1.250426E-3</v>
      </c>
      <c r="AA107">
        <v>0.9991333</v>
      </c>
      <c r="AB107">
        <v>18</v>
      </c>
      <c r="AC107">
        <v>22.075199999999899</v>
      </c>
      <c r="AD107">
        <v>-1.1038362638869901</v>
      </c>
      <c r="AE107">
        <v>0.82939999999996405</v>
      </c>
      <c r="AF107">
        <v>-0.92425308706402798</v>
      </c>
      <c r="AG107">
        <v>-1.1038362638869901</v>
      </c>
      <c r="AH107">
        <v>22.016364439541999</v>
      </c>
      <c r="AI107">
        <v>92.867718173683301</v>
      </c>
      <c r="AJ107">
        <v>92.403881227315395</v>
      </c>
      <c r="AK107">
        <v>22.063385991301299</v>
      </c>
    </row>
    <row r="108" spans="1:37" x14ac:dyDescent="0.2">
      <c r="A108" t="str">
        <f>"20200111155503215"</f>
        <v>20200111155503215</v>
      </c>
      <c r="B108" t="str">
        <f>"1578729303212850"</f>
        <v>1578729303212850</v>
      </c>
      <c r="C108" t="s">
        <v>37</v>
      </c>
      <c r="D108">
        <v>4.8979689999999998</v>
      </c>
      <c r="E108">
        <v>0.53603610000000002</v>
      </c>
      <c r="F108" t="s">
        <v>38</v>
      </c>
      <c r="G108">
        <v>-447.64269999999999</v>
      </c>
      <c r="H108" s="1">
        <v>-1.327123E-6</v>
      </c>
      <c r="I108">
        <v>368.3064</v>
      </c>
      <c r="J108">
        <v>-469.74599999999998</v>
      </c>
      <c r="K108">
        <v>1.1038589999999999</v>
      </c>
      <c r="L108">
        <v>367.47269999999997</v>
      </c>
      <c r="M108">
        <v>0.99998240000000005</v>
      </c>
      <c r="N108">
        <v>0</v>
      </c>
      <c r="O108">
        <v>-4.2794130000000001E-3</v>
      </c>
      <c r="P108">
        <v>0.99121919999999897</v>
      </c>
      <c r="Q108">
        <v>8.6322380000000004E-4</v>
      </c>
      <c r="R108">
        <v>0.1322277</v>
      </c>
      <c r="S108">
        <v>3.0115660000000002</v>
      </c>
      <c r="T108">
        <v>-0.14967179999999999</v>
      </c>
      <c r="U108">
        <v>0.1130066</v>
      </c>
      <c r="V108">
        <v>-0.13646949999999999</v>
      </c>
      <c r="W108">
        <v>4.9450839999999998E-3</v>
      </c>
      <c r="X108">
        <v>0.99063189999999901</v>
      </c>
      <c r="Y108">
        <v>-4.1717209999999998E-2</v>
      </c>
      <c r="Z108">
        <v>1.248131E-3</v>
      </c>
      <c r="AA108">
        <v>0.99912869999999998</v>
      </c>
      <c r="AB108">
        <v>18</v>
      </c>
      <c r="AC108">
        <v>22.103299999999901</v>
      </c>
      <c r="AD108">
        <v>-1.1038603271230001</v>
      </c>
      <c r="AE108">
        <v>0.83370000000002098</v>
      </c>
      <c r="AF108">
        <v>-0.92597611703820304</v>
      </c>
      <c r="AG108">
        <v>-1.1038603271230001</v>
      </c>
      <c r="AH108">
        <v>22.044626413668801</v>
      </c>
      <c r="AI108">
        <v>92.864107198718102</v>
      </c>
      <c r="AJ108">
        <v>92.405273399121398</v>
      </c>
      <c r="AK108">
        <v>22.0916611668146</v>
      </c>
    </row>
    <row r="109" spans="1:37" x14ac:dyDescent="0.2">
      <c r="A109" t="str">
        <f>"20200111155503229"</f>
        <v>20200111155503229</v>
      </c>
      <c r="B109" t="str">
        <f>"1578729303222610"</f>
        <v>1578729303222610</v>
      </c>
      <c r="C109" t="s">
        <v>37</v>
      </c>
      <c r="D109">
        <v>4.7264489999999997</v>
      </c>
      <c r="E109">
        <v>0.53603069999999997</v>
      </c>
      <c r="F109" t="s">
        <v>38</v>
      </c>
      <c r="G109">
        <v>-447.35680000000002</v>
      </c>
      <c r="H109" s="1">
        <v>-1.4603389999999901E-6</v>
      </c>
      <c r="I109">
        <v>368.31729999999999</v>
      </c>
      <c r="J109">
        <v>-469.64339999999999</v>
      </c>
      <c r="K109">
        <v>1.1038920000000001</v>
      </c>
      <c r="L109">
        <v>367.47239999999999</v>
      </c>
      <c r="M109">
        <v>0.99998189999999998</v>
      </c>
      <c r="N109">
        <v>0</v>
      </c>
      <c r="O109">
        <v>-4.1625500000000001E-3</v>
      </c>
      <c r="P109">
        <v>0.99117929999999999</v>
      </c>
      <c r="Q109">
        <v>5.4554590000000002E-4</v>
      </c>
      <c r="R109">
        <v>0.1325259</v>
      </c>
      <c r="S109">
        <v>3.011536</v>
      </c>
      <c r="T109">
        <v>-0.14847879999999899</v>
      </c>
      <c r="U109">
        <v>0.11361689999999899</v>
      </c>
      <c r="V109">
        <v>-0.13665139999999901</v>
      </c>
      <c r="W109">
        <v>4.8425639999999997E-3</v>
      </c>
      <c r="X109">
        <v>0.99060740000000003</v>
      </c>
      <c r="Y109">
        <v>-4.1803970000000003E-2</v>
      </c>
      <c r="Z109">
        <v>1.234583E-3</v>
      </c>
      <c r="AA109">
        <v>0.99912509999999999</v>
      </c>
      <c r="AB109">
        <v>18</v>
      </c>
      <c r="AC109">
        <v>22.2865999999999</v>
      </c>
      <c r="AD109">
        <v>-1.1038934603389901</v>
      </c>
      <c r="AE109">
        <v>0.84489999999999499</v>
      </c>
      <c r="AF109">
        <v>-0.93537110519644695</v>
      </c>
      <c r="AG109">
        <v>-1.1038934603389901</v>
      </c>
      <c r="AH109">
        <v>22.228433184730299</v>
      </c>
      <c r="AI109">
        <v>92.840539016181907</v>
      </c>
      <c r="AJ109">
        <v>92.409581326764197</v>
      </c>
      <c r="AK109">
        <v>22.275473995500899</v>
      </c>
    </row>
    <row r="110" spans="1:37" x14ac:dyDescent="0.2">
      <c r="A110" t="str">
        <f>"20200111155503247"</f>
        <v>20200111155503247</v>
      </c>
      <c r="B110" t="str">
        <f>"1578729303243106"</f>
        <v>1578729303243106</v>
      </c>
      <c r="C110" t="s">
        <v>37</v>
      </c>
      <c r="D110">
        <v>4.7427029999999997</v>
      </c>
      <c r="E110">
        <v>0.53600289999999995</v>
      </c>
      <c r="F110" t="s">
        <v>38</v>
      </c>
      <c r="G110">
        <v>-447.38029999999998</v>
      </c>
      <c r="H110" s="1">
        <v>-1.4493569999999999E-6</v>
      </c>
      <c r="I110">
        <v>368.31659999999999</v>
      </c>
      <c r="J110">
        <v>-469.49079999999998</v>
      </c>
      <c r="K110">
        <v>1.103952</v>
      </c>
      <c r="L110">
        <v>367.47190000000001</v>
      </c>
      <c r="M110">
        <v>0.99998069999999895</v>
      </c>
      <c r="N110">
        <v>0</v>
      </c>
      <c r="O110">
        <v>-3.9887359999999997E-3</v>
      </c>
      <c r="P110">
        <v>0.99116019999999905</v>
      </c>
      <c r="Q110">
        <v>6.8730399999999904E-4</v>
      </c>
      <c r="R110">
        <v>0.13266919999999999</v>
      </c>
      <c r="S110">
        <v>3.0115050000000001</v>
      </c>
      <c r="T110">
        <v>-0.1493226</v>
      </c>
      <c r="U110">
        <v>0.1141968</v>
      </c>
      <c r="V110">
        <v>-0.1366232</v>
      </c>
      <c r="W110">
        <v>5.3618340000000002E-3</v>
      </c>
      <c r="X110">
        <v>0.99060859999999995</v>
      </c>
      <c r="Y110">
        <v>-4.1822350000000001E-2</v>
      </c>
      <c r="Z110">
        <v>1.233444E-3</v>
      </c>
      <c r="AA110">
        <v>0.99912429999999997</v>
      </c>
      <c r="AB110">
        <v>18</v>
      </c>
      <c r="AC110">
        <v>22.110499999999998</v>
      </c>
      <c r="AD110">
        <v>-1.103953449357</v>
      </c>
      <c r="AE110">
        <v>0.84469999999998802</v>
      </c>
      <c r="AF110">
        <v>-0.93057079152051403</v>
      </c>
      <c r="AG110">
        <v>-1.103953449357</v>
      </c>
      <c r="AH110">
        <v>22.052061375071499</v>
      </c>
      <c r="AI110">
        <v>92.863360961866405</v>
      </c>
      <c r="AJ110">
        <v>92.416380192086294</v>
      </c>
      <c r="AK110">
        <v>22.099277954410599</v>
      </c>
    </row>
    <row r="111" spans="1:37" x14ac:dyDescent="0.2">
      <c r="A111" t="str">
        <f>"20200111155503261"</f>
        <v>20200111155503261</v>
      </c>
      <c r="B111" t="str">
        <f>"1578729303252865"</f>
        <v>1578729303252865</v>
      </c>
      <c r="C111" t="s">
        <v>37</v>
      </c>
      <c r="D111">
        <v>4.773288</v>
      </c>
      <c r="E111">
        <v>0.53603829999999997</v>
      </c>
      <c r="F111" t="s">
        <v>38</v>
      </c>
      <c r="G111">
        <v>-447.06920000000002</v>
      </c>
      <c r="H111" s="1">
        <v>-1.594036E-6</v>
      </c>
      <c r="I111">
        <v>368.33010000000002</v>
      </c>
      <c r="J111">
        <v>-469.38310000000001</v>
      </c>
      <c r="K111">
        <v>1.104004</v>
      </c>
      <c r="L111">
        <v>367.47160000000002</v>
      </c>
      <c r="M111">
        <v>0.99997969999999903</v>
      </c>
      <c r="N111">
        <v>0</v>
      </c>
      <c r="O111">
        <v>-3.8664820000000001E-3</v>
      </c>
      <c r="P111">
        <v>0.99110919999999902</v>
      </c>
      <c r="Q111">
        <v>5.7431959999999999E-4</v>
      </c>
      <c r="R111">
        <v>0.13305039999999899</v>
      </c>
      <c r="S111">
        <v>3.0114749999999999</v>
      </c>
      <c r="T111">
        <v>-0.14827379999999901</v>
      </c>
      <c r="U111">
        <v>0.115264899999999</v>
      </c>
      <c r="V111">
        <v>-0.13688329999999899</v>
      </c>
      <c r="W111">
        <v>5.574023E-3</v>
      </c>
      <c r="X111">
        <v>0.99057150000000005</v>
      </c>
      <c r="Y111">
        <v>-4.2055099999999998E-2</v>
      </c>
      <c r="Z111">
        <v>1.224506E-3</v>
      </c>
      <c r="AA111">
        <v>0.99911450000000002</v>
      </c>
      <c r="AB111">
        <v>18</v>
      </c>
      <c r="AC111">
        <v>22.313899999999901</v>
      </c>
      <c r="AD111">
        <v>-1.1040055940360001</v>
      </c>
      <c r="AE111">
        <v>0.85849999999999205</v>
      </c>
      <c r="AF111">
        <v>-0.94246733710194097</v>
      </c>
      <c r="AG111">
        <v>-1.1040055940360001</v>
      </c>
      <c r="AH111">
        <v>22.256014074262801</v>
      </c>
      <c r="AI111">
        <v>92.837280497547695</v>
      </c>
      <c r="AJ111">
        <v>92.424834803330597</v>
      </c>
      <c r="AK111">
        <v>22.303301000232</v>
      </c>
    </row>
    <row r="112" spans="1:37" x14ac:dyDescent="0.2">
      <c r="A112" t="str">
        <f>"20200111155503274"</f>
        <v>20200111155503274</v>
      </c>
      <c r="B112" t="str">
        <f>"1578729303262626"</f>
        <v>1578729303262626</v>
      </c>
      <c r="C112" t="s">
        <v>37</v>
      </c>
      <c r="D112">
        <v>5.0840819999999898</v>
      </c>
      <c r="E112">
        <v>0.53588669999999905</v>
      </c>
      <c r="F112" t="s">
        <v>38</v>
      </c>
      <c r="G112">
        <v>-447.00360000000001</v>
      </c>
      <c r="H112" s="1">
        <v>-1.6245559999999999E-6</v>
      </c>
      <c r="I112">
        <v>368.33280000000002</v>
      </c>
      <c r="J112">
        <v>-469.27589999999998</v>
      </c>
      <c r="K112">
        <v>1.1040840000000001</v>
      </c>
      <c r="L112">
        <v>367.47129999999999</v>
      </c>
      <c r="M112">
        <v>0.99997809999999898</v>
      </c>
      <c r="N112">
        <v>0</v>
      </c>
      <c r="O112">
        <v>-3.7455750000000001E-3</v>
      </c>
      <c r="P112">
        <v>0.99107809999999896</v>
      </c>
      <c r="Q112">
        <v>5.4887730000000002E-4</v>
      </c>
      <c r="R112">
        <v>0.1332825</v>
      </c>
      <c r="S112">
        <v>3.0114139999999998</v>
      </c>
      <c r="T112">
        <v>-0.14855650000000001</v>
      </c>
      <c r="U112">
        <v>0.1158752</v>
      </c>
      <c r="V112">
        <v>-0.13699539999999999</v>
      </c>
      <c r="W112">
        <v>5.9569180000000003E-3</v>
      </c>
      <c r="X112">
        <v>0.99055380000000004</v>
      </c>
      <c r="Y112">
        <v>-4.213712E-2</v>
      </c>
      <c r="Z112">
        <v>1.22292E-3</v>
      </c>
      <c r="AA112">
        <v>0.99911109999999903</v>
      </c>
      <c r="AB112">
        <v>18</v>
      </c>
      <c r="AC112">
        <v>22.272299999999898</v>
      </c>
      <c r="AD112">
        <v>-1.104085624556</v>
      </c>
      <c r="AE112">
        <v>0.86150000000003502</v>
      </c>
      <c r="AF112">
        <v>-0.94260487433180296</v>
      </c>
      <c r="AG112">
        <v>-1.104085624556</v>
      </c>
      <c r="AH112">
        <v>22.2144088263498</v>
      </c>
      <c r="AI112">
        <v>92.842781173705205</v>
      </c>
      <c r="AJ112">
        <v>92.4297249283333</v>
      </c>
      <c r="AK112">
        <v>22.261793919620999</v>
      </c>
    </row>
    <row r="113" spans="1:37" x14ac:dyDescent="0.2">
      <c r="A113" t="str">
        <f>"20200111155503292"</f>
        <v>20200111155503292</v>
      </c>
      <c r="B113" t="str">
        <f>"1578729303283121"</f>
        <v>1578729303283121</v>
      </c>
      <c r="C113" t="s">
        <v>37</v>
      </c>
      <c r="D113">
        <v>4.7476430000000001</v>
      </c>
      <c r="E113">
        <v>0.53593729999999995</v>
      </c>
      <c r="F113" t="s">
        <v>38</v>
      </c>
      <c r="G113">
        <v>-446.76639999999998</v>
      </c>
      <c r="H113" s="1">
        <v>-1.733139E-6</v>
      </c>
      <c r="I113">
        <v>368.3528</v>
      </c>
      <c r="J113">
        <v>-469.13099999999997</v>
      </c>
      <c r="K113">
        <v>1.104209</v>
      </c>
      <c r="L113">
        <v>367.471</v>
      </c>
      <c r="M113">
        <v>0.99997479999999905</v>
      </c>
      <c r="N113">
        <v>0</v>
      </c>
      <c r="O113">
        <v>-3.5828879999999998E-3</v>
      </c>
      <c r="P113">
        <v>0.99099429999999999</v>
      </c>
      <c r="Q113" s="1">
        <v>9.5122030000000004E-5</v>
      </c>
      <c r="R113">
        <v>0.13390489999999999</v>
      </c>
      <c r="S113">
        <v>3.0112299999999999</v>
      </c>
      <c r="T113">
        <v>-0.1476999</v>
      </c>
      <c r="U113">
        <v>0.11791989999999899</v>
      </c>
      <c r="V113">
        <v>-0.1374562</v>
      </c>
      <c r="W113">
        <v>6.1471709999999999E-3</v>
      </c>
      <c r="X113">
        <v>0.99048879999999995</v>
      </c>
      <c r="Y113">
        <v>-4.265451E-2</v>
      </c>
      <c r="Z113">
        <v>1.22064E-3</v>
      </c>
      <c r="AA113">
        <v>0.99908909999999995</v>
      </c>
      <c r="AB113">
        <v>18</v>
      </c>
      <c r="AC113">
        <v>22.364599999999999</v>
      </c>
      <c r="AD113">
        <v>-1.1042107331390001</v>
      </c>
      <c r="AE113">
        <v>0.88179999999999803</v>
      </c>
      <c r="AF113">
        <v>-0.959590132293203</v>
      </c>
      <c r="AG113">
        <v>-1.1042107331390001</v>
      </c>
      <c r="AH113">
        <v>22.307003442909501</v>
      </c>
      <c r="AI113">
        <v>92.831249962206797</v>
      </c>
      <c r="AJ113">
        <v>92.463198995140999</v>
      </c>
      <c r="AK113">
        <v>22.3549210950777</v>
      </c>
    </row>
    <row r="114" spans="1:37" x14ac:dyDescent="0.2">
      <c r="A114" t="str">
        <f>"20200111155503306"</f>
        <v>20200111155503306</v>
      </c>
      <c r="B114" t="str">
        <f>"1578729303302642"</f>
        <v>1578729303302642</v>
      </c>
      <c r="C114" t="s">
        <v>37</v>
      </c>
      <c r="D114">
        <v>4.7593480000000001</v>
      </c>
      <c r="E114">
        <v>0.53601999999999905</v>
      </c>
      <c r="F114" t="s">
        <v>38</v>
      </c>
      <c r="G114">
        <v>-446.82690000000002</v>
      </c>
      <c r="H114" s="1">
        <v>-1.7039519999999899E-6</v>
      </c>
      <c r="I114">
        <v>368.3562</v>
      </c>
      <c r="J114">
        <v>-469.02260000000001</v>
      </c>
      <c r="K114">
        <v>1.1042989999999999</v>
      </c>
      <c r="L114">
        <v>367.4708</v>
      </c>
      <c r="M114">
        <v>0.99997199999999997</v>
      </c>
      <c r="N114">
        <v>0</v>
      </c>
      <c r="O114">
        <v>-3.461123E-3</v>
      </c>
      <c r="P114">
        <v>0.99096099999999998</v>
      </c>
      <c r="Q114">
        <v>-1.4019339999999999E-4</v>
      </c>
      <c r="R114">
        <v>0.1341513</v>
      </c>
      <c r="S114">
        <v>3.01116899999999</v>
      </c>
      <c r="T114">
        <v>-0.1490737</v>
      </c>
      <c r="U114">
        <v>0.1195068</v>
      </c>
      <c r="V114">
        <v>-0.1375816</v>
      </c>
      <c r="W114">
        <v>6.4289769999999998E-3</v>
      </c>
      <c r="X114">
        <v>0.99046959999999995</v>
      </c>
      <c r="Y114">
        <v>-4.3057980000000003E-2</v>
      </c>
      <c r="Z114">
        <v>1.235947E-3</v>
      </c>
      <c r="AA114">
        <v>0.99907179999999995</v>
      </c>
      <c r="AB114">
        <v>18</v>
      </c>
      <c r="AC114">
        <v>22.195699999999899</v>
      </c>
      <c r="AD114">
        <v>-1.1043007039520001</v>
      </c>
      <c r="AE114">
        <v>0.88540000000000396</v>
      </c>
      <c r="AF114">
        <v>-0.95984625235638699</v>
      </c>
      <c r="AG114">
        <v>-1.1043007039520001</v>
      </c>
      <c r="AH114">
        <v>22.137790733735901</v>
      </c>
      <c r="AI114">
        <v>92.853045599008198</v>
      </c>
      <c r="AJ114">
        <v>92.482664911343093</v>
      </c>
      <c r="AK114">
        <v>22.1860894130443</v>
      </c>
    </row>
    <row r="115" spans="1:37" x14ac:dyDescent="0.2">
      <c r="A115" t="str">
        <f>"20200111155503326"</f>
        <v>20200111155503326</v>
      </c>
      <c r="B115" t="str">
        <f>"1578729303323138"</f>
        <v>1578729303323138</v>
      </c>
      <c r="C115" t="s">
        <v>37</v>
      </c>
      <c r="D115">
        <v>4.767442</v>
      </c>
      <c r="E115">
        <v>0.53598579999999996</v>
      </c>
      <c r="F115" t="s">
        <v>38</v>
      </c>
      <c r="G115">
        <v>-446.84410000000003</v>
      </c>
      <c r="H115" s="1">
        <v>-1.696875E-6</v>
      </c>
      <c r="I115">
        <v>368.3501</v>
      </c>
      <c r="J115">
        <v>-468.87009999999998</v>
      </c>
      <c r="K115">
        <v>1.1044209999999901</v>
      </c>
      <c r="L115">
        <v>367.47039999999998</v>
      </c>
      <c r="M115">
        <v>0.9999673</v>
      </c>
      <c r="N115">
        <v>0</v>
      </c>
      <c r="O115">
        <v>-3.2888879999999998E-3</v>
      </c>
      <c r="P115">
        <v>0.99086129999999994</v>
      </c>
      <c r="Q115">
        <v>-1.2009130000000001E-3</v>
      </c>
      <c r="R115">
        <v>0.13488029999999901</v>
      </c>
      <c r="S115">
        <v>3.01116899999999</v>
      </c>
      <c r="T115">
        <v>-0.1499306</v>
      </c>
      <c r="U115">
        <v>0.1193848</v>
      </c>
      <c r="V115">
        <v>-0.1381397</v>
      </c>
      <c r="W115">
        <v>6.0990109999999997E-3</v>
      </c>
      <c r="X115">
        <v>0.990394</v>
      </c>
      <c r="Y115">
        <v>-4.2845300000000003E-2</v>
      </c>
      <c r="Z115">
        <v>1.2291870000000001E-3</v>
      </c>
      <c r="AA115">
        <v>0.999081</v>
      </c>
      <c r="AB115">
        <v>18</v>
      </c>
      <c r="AC115">
        <v>22.0259999999999</v>
      </c>
      <c r="AD115">
        <v>-1.1044226968749999</v>
      </c>
      <c r="AE115">
        <v>0.87970000000001303</v>
      </c>
      <c r="AF115">
        <v>-0.94975419948076401</v>
      </c>
      <c r="AG115">
        <v>-1.1044226968749999</v>
      </c>
      <c r="AH115">
        <v>21.967844018887501</v>
      </c>
      <c r="AI115">
        <v>92.875412779489594</v>
      </c>
      <c r="AJ115">
        <v>92.475574772421595</v>
      </c>
      <c r="AK115">
        <v>22.016083969929301</v>
      </c>
    </row>
    <row r="116" spans="1:37" x14ac:dyDescent="0.2">
      <c r="A116" t="str">
        <f>"20200111155503338"</f>
        <v>20200111155503338</v>
      </c>
      <c r="B116" t="str">
        <f>"1578729303332898"</f>
        <v>1578729303332898</v>
      </c>
      <c r="C116" t="s">
        <v>37</v>
      </c>
      <c r="D116">
        <v>4.7136800000000001</v>
      </c>
      <c r="E116">
        <v>0.53598579999999996</v>
      </c>
      <c r="F116" t="s">
        <v>38</v>
      </c>
      <c r="G116">
        <v>-447.2355</v>
      </c>
      <c r="H116" s="1">
        <v>-1.512548E-6</v>
      </c>
      <c r="I116">
        <v>368.34629999999999</v>
      </c>
      <c r="J116">
        <v>-468.76350000000002</v>
      </c>
      <c r="K116">
        <v>1.104495</v>
      </c>
      <c r="L116">
        <v>367.47019999999998</v>
      </c>
      <c r="M116">
        <v>0.99996390000000002</v>
      </c>
      <c r="N116">
        <v>0</v>
      </c>
      <c r="O116">
        <v>-3.1685579999999902E-3</v>
      </c>
      <c r="P116">
        <v>0.99080499999999905</v>
      </c>
      <c r="Q116">
        <v>-1.80328E-3</v>
      </c>
      <c r="R116">
        <v>0.13528579999999901</v>
      </c>
      <c r="S116">
        <v>3.0108950000000001</v>
      </c>
      <c r="T116">
        <v>-0.15370329999999999</v>
      </c>
      <c r="U116">
        <v>0.1218872</v>
      </c>
      <c r="V116">
        <v>-0.13842589999999999</v>
      </c>
      <c r="W116">
        <v>5.9912480000000002E-3</v>
      </c>
      <c r="X116">
        <v>0.99035469999999903</v>
      </c>
      <c r="Y116">
        <v>-4.3554049999999997E-2</v>
      </c>
      <c r="Z116">
        <v>1.2721080000000001E-3</v>
      </c>
      <c r="AA116">
        <v>0.99905029999999995</v>
      </c>
      <c r="AB116">
        <v>18</v>
      </c>
      <c r="AC116">
        <v>21.527999999999999</v>
      </c>
      <c r="AD116">
        <v>-1.104496512548</v>
      </c>
      <c r="AE116">
        <v>0.87610000000000798</v>
      </c>
      <c r="AF116">
        <v>-0.94183542438166901</v>
      </c>
      <c r="AG116">
        <v>-1.104496512548</v>
      </c>
      <c r="AH116">
        <v>21.468699072183501</v>
      </c>
      <c r="AI116">
        <v>92.942264742976207</v>
      </c>
      <c r="AJ116">
        <v>92.511964768624296</v>
      </c>
      <c r="AK116">
        <v>21.517713781087998</v>
      </c>
    </row>
    <row r="117" spans="1:37" x14ac:dyDescent="0.2">
      <c r="A117" t="str">
        <f>"20200111155503353"</f>
        <v>20200111155503353</v>
      </c>
      <c r="B117" t="str">
        <f>"1578729303342658"</f>
        <v>1578729303342658</v>
      </c>
      <c r="C117" t="s">
        <v>37</v>
      </c>
      <c r="D117">
        <v>4.5929320000000002</v>
      </c>
      <c r="E117">
        <v>0.53724930000000004</v>
      </c>
      <c r="F117" t="s">
        <v>38</v>
      </c>
      <c r="G117">
        <v>-447.3861</v>
      </c>
      <c r="H117" s="1">
        <v>-1.4415699999999999E-6</v>
      </c>
      <c r="I117">
        <v>368.34519999999998</v>
      </c>
      <c r="J117">
        <v>-468.64359999999999</v>
      </c>
      <c r="K117">
        <v>1.1045579999999999</v>
      </c>
      <c r="L117">
        <v>367.47</v>
      </c>
      <c r="M117">
        <v>0.99996019999999897</v>
      </c>
      <c r="N117">
        <v>0</v>
      </c>
      <c r="O117">
        <v>-3.0338470000000001E-3</v>
      </c>
      <c r="P117">
        <v>0.990789899999999</v>
      </c>
      <c r="Q117">
        <v>-2.4478299999999998E-3</v>
      </c>
      <c r="R117">
        <v>0.1353876</v>
      </c>
      <c r="S117">
        <v>3.010742</v>
      </c>
      <c r="T117">
        <v>-0.1555541</v>
      </c>
      <c r="U117">
        <v>0.12322999999999899</v>
      </c>
      <c r="V117">
        <v>-0.1383944</v>
      </c>
      <c r="W117">
        <v>5.8501079999999997E-3</v>
      </c>
      <c r="X117">
        <v>0.99035989999999996</v>
      </c>
      <c r="Y117">
        <v>-4.3864630000000002E-2</v>
      </c>
      <c r="Z117">
        <v>1.28852E-3</v>
      </c>
      <c r="AA117">
        <v>0.9990367</v>
      </c>
      <c r="AB117">
        <v>18</v>
      </c>
      <c r="AC117">
        <v>21.2575</v>
      </c>
      <c r="AD117">
        <v>-1.10455944157</v>
      </c>
      <c r="AE117">
        <v>0.87519999999994902</v>
      </c>
      <c r="AF117">
        <v>-0.93716424091985295</v>
      </c>
      <c r="AG117">
        <v>-1.10455944157</v>
      </c>
      <c r="AH117">
        <v>21.1976114571492</v>
      </c>
      <c r="AI117">
        <v>92.979949709021199</v>
      </c>
      <c r="AJ117">
        <v>92.531446166807797</v>
      </c>
      <c r="AK117">
        <v>21.2470482623512</v>
      </c>
    </row>
    <row r="118" spans="1:37" x14ac:dyDescent="0.2">
      <c r="A118" t="str">
        <f>"20200111155503372"</f>
        <v>20200111155503372</v>
      </c>
      <c r="B118" t="str">
        <f>"1578729303363154"</f>
        <v>1578729303363154</v>
      </c>
      <c r="C118" t="s">
        <v>37</v>
      </c>
      <c r="D118">
        <v>4.7373459999999996</v>
      </c>
      <c r="E118">
        <v>0.59552069999999901</v>
      </c>
      <c r="F118" t="s">
        <v>38</v>
      </c>
      <c r="G118">
        <v>-447.69529999999997</v>
      </c>
      <c r="H118" s="1">
        <v>-1.3106030000000001E-6</v>
      </c>
      <c r="I118">
        <v>368.25959999999998</v>
      </c>
      <c r="J118">
        <v>-468.49020000000002</v>
      </c>
      <c r="K118">
        <v>1.1046209999999901</v>
      </c>
      <c r="L118">
        <v>367.46969999999999</v>
      </c>
      <c r="M118">
        <v>0.9999555</v>
      </c>
      <c r="N118">
        <v>0</v>
      </c>
      <c r="O118">
        <v>-2.8630690000000002E-3</v>
      </c>
      <c r="P118">
        <v>0.99074300000000004</v>
      </c>
      <c r="Q118">
        <v>-3.2245609999999999E-3</v>
      </c>
      <c r="R118">
        <v>0.13571349999999999</v>
      </c>
      <c r="S118">
        <v>3.0119929999999999</v>
      </c>
      <c r="T118">
        <v>-0.1588156</v>
      </c>
      <c r="U118">
        <v>0.113525399999999</v>
      </c>
      <c r="V118">
        <v>-0.1385509</v>
      </c>
      <c r="W118">
        <v>5.6679579999999999E-3</v>
      </c>
      <c r="X118">
        <v>0.99033909999999903</v>
      </c>
      <c r="Y118">
        <v>-4.0465269999999998E-2</v>
      </c>
      <c r="Z118">
        <v>1.216516E-3</v>
      </c>
      <c r="AA118">
        <v>0.99918019999999996</v>
      </c>
      <c r="AB118">
        <v>18</v>
      </c>
      <c r="AC118">
        <v>20.794899999999998</v>
      </c>
      <c r="AD118">
        <v>-1.10462231060299</v>
      </c>
      <c r="AE118">
        <v>0.78989999999998795</v>
      </c>
      <c r="AF118">
        <v>-0.84704970772094901</v>
      </c>
      <c r="AG118">
        <v>-1.10462231060299</v>
      </c>
      <c r="AH118">
        <v>20.734131511283898</v>
      </c>
      <c r="AI118">
        <v>93.047044450236299</v>
      </c>
      <c r="AJ118">
        <v>92.339398721762294</v>
      </c>
      <c r="AK118">
        <v>20.780805883883598</v>
      </c>
    </row>
    <row r="119" spans="1:37" x14ac:dyDescent="0.2">
      <c r="A119" t="str">
        <f>"20200111155503389"</f>
        <v>20200111155503389</v>
      </c>
      <c r="B119" t="str">
        <f>"1578729303382674"</f>
        <v>1578729303382674</v>
      </c>
      <c r="C119" t="s">
        <v>37</v>
      </c>
      <c r="D119">
        <v>4.7557849999999897</v>
      </c>
      <c r="E119">
        <v>0.59879490000000002</v>
      </c>
      <c r="F119" t="s">
        <v>40</v>
      </c>
      <c r="G119">
        <v>-467.75479999999999</v>
      </c>
      <c r="H119">
        <v>0.97779210000000005</v>
      </c>
      <c r="I119">
        <v>367.38740000000001</v>
      </c>
      <c r="J119">
        <v>-468.3657</v>
      </c>
      <c r="K119">
        <v>1.1046639999999901</v>
      </c>
      <c r="L119">
        <v>367.46949999999998</v>
      </c>
      <c r="M119">
        <v>0.99995149999999999</v>
      </c>
      <c r="N119">
        <v>0</v>
      </c>
      <c r="O119">
        <v>-2.726923E-3</v>
      </c>
      <c r="P119">
        <v>0.99073239999999996</v>
      </c>
      <c r="Q119">
        <v>-3.9399730000000003E-3</v>
      </c>
      <c r="R119">
        <v>0.1357719</v>
      </c>
      <c r="S119">
        <v>3.0731199999999999</v>
      </c>
      <c r="T119">
        <v>-0.53025310000000003</v>
      </c>
      <c r="U119">
        <v>-0.34194949999999902</v>
      </c>
      <c r="V119">
        <v>-0.1384746</v>
      </c>
      <c r="W119">
        <v>5.3952119999999999E-3</v>
      </c>
      <c r="X119">
        <v>0.99035130000000005</v>
      </c>
      <c r="Y119">
        <v>0.1063651</v>
      </c>
      <c r="Z119">
        <v>-8.6160319999999992E-3</v>
      </c>
      <c r="AA119">
        <v>0.9942898</v>
      </c>
      <c r="AB119">
        <v>18</v>
      </c>
      <c r="AC119">
        <v>0.61090000000001499</v>
      </c>
      <c r="AD119">
        <v>-0.12687189999999901</v>
      </c>
      <c r="AE119">
        <v>-8.2099999999968504E-2</v>
      </c>
      <c r="AF119">
        <v>7.7164592985831407E-2</v>
      </c>
      <c r="AG119">
        <v>-0.12687189999999901</v>
      </c>
      <c r="AH119">
        <v>0.58628318549779301</v>
      </c>
      <c r="AI119">
        <v>102.10923585508399</v>
      </c>
      <c r="AJ119">
        <v>82.502022375060804</v>
      </c>
      <c r="AK119">
        <v>0.604796517035042</v>
      </c>
    </row>
    <row r="120" spans="1:37" x14ac:dyDescent="0.2">
      <c r="A120" t="str">
        <f>"20200111155503405"</f>
        <v>20200111155503405</v>
      </c>
      <c r="B120" t="str">
        <f>"1578729303392434"</f>
        <v>1578729303392434</v>
      </c>
      <c r="C120" t="s">
        <v>37</v>
      </c>
      <c r="D120">
        <v>4.7203099999999996</v>
      </c>
      <c r="E120">
        <v>0.59956009999999904</v>
      </c>
      <c r="F120" t="s">
        <v>40</v>
      </c>
      <c r="G120">
        <v>-467.60210000000001</v>
      </c>
      <c r="H120">
        <v>0.9652423</v>
      </c>
      <c r="I120">
        <v>367.37819999999999</v>
      </c>
      <c r="J120">
        <v>-468.23649999999998</v>
      </c>
      <c r="K120">
        <v>1.1046959999999999</v>
      </c>
      <c r="L120">
        <v>367.46940000000001</v>
      </c>
      <c r="M120">
        <v>0.99994780000000005</v>
      </c>
      <c r="N120">
        <v>0</v>
      </c>
      <c r="O120">
        <v>-2.5893789999999902E-3</v>
      </c>
      <c r="P120">
        <v>0.99069119999999999</v>
      </c>
      <c r="Q120">
        <v>-4.8127129999999997E-3</v>
      </c>
      <c r="R120">
        <v>0.1360442</v>
      </c>
      <c r="S120">
        <v>3.0761409999999998</v>
      </c>
      <c r="T120">
        <v>-0.56156890000000004</v>
      </c>
      <c r="U120">
        <v>-0.3673401</v>
      </c>
      <c r="V120">
        <v>-0.13861039999999999</v>
      </c>
      <c r="W120">
        <v>4.9512820000000004E-3</v>
      </c>
      <c r="X120">
        <v>0.99033459999999995</v>
      </c>
      <c r="Y120">
        <v>0.11418339999999901</v>
      </c>
      <c r="Z120">
        <v>-9.8340990000000007E-3</v>
      </c>
      <c r="AA120">
        <v>0.99341100000000004</v>
      </c>
      <c r="AB120">
        <v>18</v>
      </c>
      <c r="AC120">
        <v>0.63439999999997099</v>
      </c>
      <c r="AD120">
        <v>-0.13945369999999899</v>
      </c>
      <c r="AE120">
        <v>-9.1200000000014797E-2</v>
      </c>
      <c r="AF120">
        <v>8.5508726623230599E-2</v>
      </c>
      <c r="AG120">
        <v>-0.13945369999999899</v>
      </c>
      <c r="AH120">
        <v>0.60594706878348903</v>
      </c>
      <c r="AI120">
        <v>102.837559386546</v>
      </c>
      <c r="AJ120">
        <v>81.967695587332898</v>
      </c>
      <c r="AK120">
        <v>0.62763916937976305</v>
      </c>
    </row>
    <row r="121" spans="1:37" x14ac:dyDescent="0.2">
      <c r="A121" t="str">
        <f>"20200111155503426"</f>
        <v>20200111155503426</v>
      </c>
      <c r="B121" t="str">
        <f>"1578729303422690"</f>
        <v>1578729303422690</v>
      </c>
      <c r="C121" t="s">
        <v>37</v>
      </c>
      <c r="D121">
        <v>4.7104239999999997</v>
      </c>
      <c r="E121">
        <v>0.60052190000000005</v>
      </c>
      <c r="F121" t="s">
        <v>40</v>
      </c>
      <c r="G121">
        <v>-467.44690000000003</v>
      </c>
      <c r="H121">
        <v>0.95847830000000001</v>
      </c>
      <c r="I121">
        <v>367.37349999999998</v>
      </c>
      <c r="J121">
        <v>-468.06709999999998</v>
      </c>
      <c r="K121">
        <v>1.1047370000000001</v>
      </c>
      <c r="L121">
        <v>367.4692</v>
      </c>
      <c r="M121">
        <v>0.99994309999999997</v>
      </c>
      <c r="N121">
        <v>0</v>
      </c>
      <c r="O121">
        <v>-2.41304E-3</v>
      </c>
      <c r="P121">
        <v>0.9906471</v>
      </c>
      <c r="Q121">
        <v>-5.6519769999999999E-3</v>
      </c>
      <c r="R121">
        <v>0.1363338</v>
      </c>
      <c r="S121">
        <v>3.07662999999999</v>
      </c>
      <c r="T121">
        <v>-0.56969179999999997</v>
      </c>
      <c r="U121">
        <v>-0.37280269999999999</v>
      </c>
      <c r="V121">
        <v>-0.13872490000000001</v>
      </c>
      <c r="W121">
        <v>4.6260829999999996E-3</v>
      </c>
      <c r="X121">
        <v>0.99032009999999904</v>
      </c>
      <c r="Y121">
        <v>0.1159936</v>
      </c>
      <c r="Z121">
        <v>-1.0169289999999999E-2</v>
      </c>
      <c r="AA121">
        <v>0.99319789999999997</v>
      </c>
      <c r="AB121">
        <v>18</v>
      </c>
      <c r="AC121">
        <v>0.62019999999995401</v>
      </c>
      <c r="AD121">
        <v>-0.14625869999999899</v>
      </c>
      <c r="AE121">
        <v>-9.5700000000022101E-2</v>
      </c>
      <c r="AF121">
        <v>8.9349594841149696E-2</v>
      </c>
      <c r="AG121">
        <v>-0.14625869999999899</v>
      </c>
      <c r="AH121">
        <v>0.58846373002944796</v>
      </c>
      <c r="AI121">
        <v>103.805585037778</v>
      </c>
      <c r="AJ121">
        <v>81.366418509614704</v>
      </c>
      <c r="AK121">
        <v>0.61291477301835295</v>
      </c>
    </row>
    <row r="122" spans="1:37" x14ac:dyDescent="0.2">
      <c r="A122" t="str">
        <f>"20200111155503440"</f>
        <v>20200111155503440</v>
      </c>
      <c r="B122" t="str">
        <f>"1578729303432451"</f>
        <v>1578729303432451</v>
      </c>
      <c r="C122" t="s">
        <v>37</v>
      </c>
      <c r="D122">
        <v>4.7013809999999996</v>
      </c>
      <c r="E122">
        <v>0.60065080000000004</v>
      </c>
      <c r="F122" t="s">
        <v>40</v>
      </c>
      <c r="G122">
        <v>-467.28930000000003</v>
      </c>
      <c r="H122">
        <v>0.95771229999999996</v>
      </c>
      <c r="I122">
        <v>367.37310000000002</v>
      </c>
      <c r="J122">
        <v>-467.9622</v>
      </c>
      <c r="K122">
        <v>1.1047559999999901</v>
      </c>
      <c r="L122">
        <v>367.46910000000003</v>
      </c>
      <c r="M122">
        <v>0.9999401</v>
      </c>
      <c r="N122">
        <v>0</v>
      </c>
      <c r="O122">
        <v>-2.3036250000000001E-3</v>
      </c>
      <c r="P122">
        <v>0.99060319999999902</v>
      </c>
      <c r="Q122">
        <v>-6.0610990000000003E-3</v>
      </c>
      <c r="R122">
        <v>0.136633</v>
      </c>
      <c r="S122">
        <v>3.0772710000000001</v>
      </c>
      <c r="T122">
        <v>-0.58179369999999997</v>
      </c>
      <c r="U122">
        <v>-0.37951659999999998</v>
      </c>
      <c r="V122">
        <v>-0.1389157</v>
      </c>
      <c r="W122">
        <v>4.5116430000000001E-3</v>
      </c>
      <c r="X122">
        <v>0.99029389999999995</v>
      </c>
      <c r="Y122">
        <v>0.1180942</v>
      </c>
      <c r="Z122">
        <v>-1.059472E-2</v>
      </c>
      <c r="AA122">
        <v>0.99294579999999999</v>
      </c>
      <c r="AB122">
        <v>18</v>
      </c>
      <c r="AC122">
        <v>0.67289999999996997</v>
      </c>
      <c r="AD122">
        <v>-0.147043699999999</v>
      </c>
      <c r="AE122">
        <v>-9.6000000000003596E-2</v>
      </c>
      <c r="AF122">
        <v>9.0226971361472202E-2</v>
      </c>
      <c r="AG122">
        <v>-0.147043699999999</v>
      </c>
      <c r="AH122">
        <v>0.64302608477351897</v>
      </c>
      <c r="AI122">
        <v>102.75976755264099</v>
      </c>
      <c r="AJ122">
        <v>82.012622185846297</v>
      </c>
      <c r="AK122">
        <v>0.66576670220875001</v>
      </c>
    </row>
    <row r="123" spans="1:37" x14ac:dyDescent="0.2">
      <c r="A123" t="str">
        <f>"20200111155503451"</f>
        <v>20200111155503451</v>
      </c>
      <c r="B123" t="str">
        <f>"1578729303443185"</f>
        <v>1578729303443185</v>
      </c>
      <c r="C123" t="s">
        <v>37</v>
      </c>
      <c r="D123">
        <v>4.6827829999999997</v>
      </c>
      <c r="E123">
        <v>0.60069779999999995</v>
      </c>
      <c r="F123" t="s">
        <v>40</v>
      </c>
      <c r="G123">
        <v>-467.1361</v>
      </c>
      <c r="H123">
        <v>0.94802739999999996</v>
      </c>
      <c r="I123">
        <v>367.36689999999999</v>
      </c>
      <c r="J123">
        <v>-467.86239999999998</v>
      </c>
      <c r="K123">
        <v>1.104768</v>
      </c>
      <c r="L123">
        <v>367.46899999999999</v>
      </c>
      <c r="M123">
        <v>0.99993759999999998</v>
      </c>
      <c r="N123">
        <v>0</v>
      </c>
      <c r="O123">
        <v>-2.1991620000000002E-3</v>
      </c>
      <c r="P123">
        <v>0.99061909999999898</v>
      </c>
      <c r="Q123">
        <v>-6.5045519999999898E-3</v>
      </c>
      <c r="R123">
        <v>0.13649790000000001</v>
      </c>
      <c r="S123">
        <v>3.0772400000000002</v>
      </c>
      <c r="T123">
        <v>-0.58381209999999994</v>
      </c>
      <c r="U123">
        <v>-0.37988280000000002</v>
      </c>
      <c r="V123">
        <v>-0.13867689999999999</v>
      </c>
      <c r="W123">
        <v>4.3204330000000003E-3</v>
      </c>
      <c r="X123">
        <v>0.99032830000000005</v>
      </c>
      <c r="Y123">
        <v>0.1182962</v>
      </c>
      <c r="Z123">
        <v>-1.0669359999999999E-2</v>
      </c>
      <c r="AA123">
        <v>0.992921099999999</v>
      </c>
      <c r="AB123">
        <v>18</v>
      </c>
      <c r="AC123">
        <v>0.72629999999997996</v>
      </c>
      <c r="AD123">
        <v>-0.15674060000000001</v>
      </c>
      <c r="AE123">
        <v>-0.102100000000007</v>
      </c>
      <c r="AF123">
        <v>9.6112915816927297E-2</v>
      </c>
      <c r="AG123">
        <v>-0.15674060000000001</v>
      </c>
      <c r="AH123">
        <v>0.69479156503449901</v>
      </c>
      <c r="AI123">
        <v>102.59668288701801</v>
      </c>
      <c r="AJ123">
        <v>82.124061555450396</v>
      </c>
      <c r="AK123">
        <v>0.71870760891914798</v>
      </c>
    </row>
    <row r="124" spans="1:37" x14ac:dyDescent="0.2">
      <c r="A124" t="str">
        <f>"20200111155503470"</f>
        <v>20200111155503470</v>
      </c>
      <c r="B124" t="str">
        <f>"1578729303462708"</f>
        <v>1578729303462708</v>
      </c>
      <c r="C124" t="s">
        <v>37</v>
      </c>
      <c r="D124">
        <v>4.7046060000000001</v>
      </c>
      <c r="E124">
        <v>0.60071929999999996</v>
      </c>
      <c r="F124" t="s">
        <v>40</v>
      </c>
      <c r="G124">
        <v>-467.12830000000002</v>
      </c>
      <c r="H124">
        <v>0.96463529999999997</v>
      </c>
      <c r="I124">
        <v>367.37810000000002</v>
      </c>
      <c r="J124">
        <v>-467.72</v>
      </c>
      <c r="K124">
        <v>1.104779</v>
      </c>
      <c r="L124">
        <v>367.46879999999999</v>
      </c>
      <c r="M124">
        <v>0.99993430000000005</v>
      </c>
      <c r="N124">
        <v>0</v>
      </c>
      <c r="O124">
        <v>-2.0509729999999898E-3</v>
      </c>
      <c r="P124">
        <v>0.99059470000000005</v>
      </c>
      <c r="Q124">
        <v>-6.74953599999999E-3</v>
      </c>
      <c r="R124">
        <v>0.13666320000000001</v>
      </c>
      <c r="S124">
        <v>3.0769039999999999</v>
      </c>
      <c r="T124">
        <v>-0.58740099999999995</v>
      </c>
      <c r="U124">
        <v>-0.38015749999999998</v>
      </c>
      <c r="V124">
        <v>-0.13869529999999999</v>
      </c>
      <c r="W124">
        <v>4.406264E-3</v>
      </c>
      <c r="X124">
        <v>0.99032529999999996</v>
      </c>
      <c r="Y124">
        <v>0.118511899999999</v>
      </c>
      <c r="Z124">
        <v>-1.078315E-2</v>
      </c>
      <c r="AA124">
        <v>0.992894099999999</v>
      </c>
      <c r="AB124">
        <v>18</v>
      </c>
      <c r="AC124">
        <v>0.591700000000002</v>
      </c>
      <c r="AD124">
        <v>-0.14014370000000001</v>
      </c>
      <c r="AE124">
        <v>-9.0699999999969805E-2</v>
      </c>
      <c r="AF124">
        <v>8.4836317713811393E-2</v>
      </c>
      <c r="AG124">
        <v>-0.14014370000000001</v>
      </c>
      <c r="AH124">
        <v>0.56112945050063501</v>
      </c>
      <c r="AI124">
        <v>103.871463473129</v>
      </c>
      <c r="AJ124">
        <v>81.402648662151293</v>
      </c>
      <c r="AK124">
        <v>0.58455428975594204</v>
      </c>
    </row>
    <row r="125" spans="1:37" x14ac:dyDescent="0.2">
      <c r="A125" t="str">
        <f>"20200111155503484"</f>
        <v>20200111155503484</v>
      </c>
      <c r="B125" t="str">
        <f>"1578729303472466"</f>
        <v>1578729303472466</v>
      </c>
      <c r="C125" t="s">
        <v>37</v>
      </c>
      <c r="D125">
        <v>4.6877240000000002</v>
      </c>
      <c r="E125">
        <v>0.60072309999999995</v>
      </c>
      <c r="F125" t="s">
        <v>40</v>
      </c>
      <c r="G125">
        <v>-466.9726</v>
      </c>
      <c r="H125">
        <v>0.96133069999999898</v>
      </c>
      <c r="I125">
        <v>367.37630000000001</v>
      </c>
      <c r="J125">
        <v>-467.6139</v>
      </c>
      <c r="K125">
        <v>1.1047879999999899</v>
      </c>
      <c r="L125">
        <v>367.46870000000001</v>
      </c>
      <c r="M125">
        <v>0.99993180000000004</v>
      </c>
      <c r="N125">
        <v>0</v>
      </c>
      <c r="O125">
        <v>-1.9422700000000001E-3</v>
      </c>
      <c r="P125">
        <v>0.99054240000000005</v>
      </c>
      <c r="Q125">
        <v>-6.9890789999999996E-3</v>
      </c>
      <c r="R125">
        <v>0.13702839999999999</v>
      </c>
      <c r="S125">
        <v>3.0767820000000001</v>
      </c>
      <c r="T125">
        <v>-0.59067239999999999</v>
      </c>
      <c r="U125">
        <v>-0.37966919999999998</v>
      </c>
      <c r="V125">
        <v>-0.1389531</v>
      </c>
      <c r="W125">
        <v>4.391959E-3</v>
      </c>
      <c r="X125">
        <v>0.99028919999999998</v>
      </c>
      <c r="Y125">
        <v>0.1184455</v>
      </c>
      <c r="Z125">
        <v>-1.0856970000000001E-2</v>
      </c>
      <c r="AA125">
        <v>0.99290119999999904</v>
      </c>
      <c r="AB125">
        <v>18</v>
      </c>
      <c r="AC125">
        <v>0.64130000000000098</v>
      </c>
      <c r="AD125">
        <v>-0.14345729999999901</v>
      </c>
      <c r="AE125">
        <v>-9.2399999999997803E-2</v>
      </c>
      <c r="AF125">
        <v>8.6894349361328699E-2</v>
      </c>
      <c r="AG125">
        <v>-0.14345729999999901</v>
      </c>
      <c r="AH125">
        <v>0.61150070882722296</v>
      </c>
      <c r="AI125">
        <v>103.07598323054501</v>
      </c>
      <c r="AJ125">
        <v>81.912406554279201</v>
      </c>
      <c r="AK125">
        <v>0.63408496415733995</v>
      </c>
    </row>
    <row r="126" spans="1:37" x14ac:dyDescent="0.2">
      <c r="A126" t="str">
        <f>"20200111155503499"</f>
        <v>20200111155503499</v>
      </c>
      <c r="B126" t="str">
        <f>"1578729303492962"</f>
        <v>1578729303492962</v>
      </c>
      <c r="C126" t="s">
        <v>37</v>
      </c>
      <c r="D126">
        <v>4.6963280000000003</v>
      </c>
      <c r="E126">
        <v>0.60082669999999905</v>
      </c>
      <c r="F126" t="s">
        <v>40</v>
      </c>
      <c r="G126">
        <v>-466.82</v>
      </c>
      <c r="H126">
        <v>0.95209239999999995</v>
      </c>
      <c r="I126">
        <v>367.3707</v>
      </c>
      <c r="J126">
        <v>-467.49250000000001</v>
      </c>
      <c r="K126">
        <v>1.1048</v>
      </c>
      <c r="L126">
        <v>367.46859999999998</v>
      </c>
      <c r="M126">
        <v>0.99992930000000002</v>
      </c>
      <c r="N126">
        <v>0</v>
      </c>
      <c r="O126">
        <v>-1.820674E-3</v>
      </c>
      <c r="P126">
        <v>0.99053570000000002</v>
      </c>
      <c r="Q126">
        <v>-6.9988009999999998E-3</v>
      </c>
      <c r="R126">
        <v>0.137076799999999</v>
      </c>
      <c r="S126">
        <v>3.076813</v>
      </c>
      <c r="T126">
        <v>-0.59191269999999996</v>
      </c>
      <c r="U126">
        <v>-0.37863159999999901</v>
      </c>
      <c r="V126">
        <v>-0.13888120000000001</v>
      </c>
      <c r="W126">
        <v>4.6198849999999998E-3</v>
      </c>
      <c r="X126">
        <v>0.99029829999999996</v>
      </c>
      <c r="Y126">
        <v>0.118228099999999</v>
      </c>
      <c r="Z126">
        <v>-1.088193E-2</v>
      </c>
      <c r="AA126">
        <v>0.9929268</v>
      </c>
      <c r="AB126">
        <v>18</v>
      </c>
      <c r="AC126">
        <v>0.67250000000001298</v>
      </c>
      <c r="AD126">
        <v>-0.152707599999999</v>
      </c>
      <c r="AE126">
        <v>-9.7899999999981405E-2</v>
      </c>
      <c r="AF126">
        <v>9.2028572963195193E-2</v>
      </c>
      <c r="AG126">
        <v>-0.152707599999999</v>
      </c>
      <c r="AH126">
        <v>0.64034438414005701</v>
      </c>
      <c r="AI126">
        <v>103.281656979353</v>
      </c>
      <c r="AJ126">
        <v>81.821605152113605</v>
      </c>
      <c r="AK126">
        <v>0.66470279045533698</v>
      </c>
    </row>
    <row r="127" spans="1:37" x14ac:dyDescent="0.2">
      <c r="A127" t="str">
        <f>"20200111155503515"</f>
        <v>20200111155503515</v>
      </c>
      <c r="B127" t="str">
        <f>"1578729303512482"</f>
        <v>1578729303512482</v>
      </c>
      <c r="C127" t="s">
        <v>37</v>
      </c>
      <c r="D127">
        <v>4.7030940000000001</v>
      </c>
      <c r="E127">
        <v>0.60093549999999996</v>
      </c>
      <c r="F127" t="s">
        <v>40</v>
      </c>
      <c r="G127">
        <v>-466.66640000000001</v>
      </c>
      <c r="H127">
        <v>0.94543619999999995</v>
      </c>
      <c r="I127">
        <v>367.36660000000001</v>
      </c>
      <c r="J127">
        <v>-467.36270000000002</v>
      </c>
      <c r="K127">
        <v>1.104814</v>
      </c>
      <c r="L127">
        <v>367.46850000000001</v>
      </c>
      <c r="M127">
        <v>0.9999268</v>
      </c>
      <c r="N127">
        <v>0</v>
      </c>
      <c r="O127">
        <v>-1.6965350000000001E-3</v>
      </c>
      <c r="P127">
        <v>0.99054959999999903</v>
      </c>
      <c r="Q127">
        <v>-6.8441509999999997E-3</v>
      </c>
      <c r="R127">
        <v>0.136984299999999</v>
      </c>
      <c r="S127">
        <v>3.076965</v>
      </c>
      <c r="T127">
        <v>-0.59361719999999996</v>
      </c>
      <c r="U127">
        <v>-0.37954709999999903</v>
      </c>
      <c r="V127">
        <v>-0.1386656</v>
      </c>
      <c r="W127">
        <v>5.0032569999999997E-3</v>
      </c>
      <c r="X127">
        <v>0.99032659999999995</v>
      </c>
      <c r="Y127">
        <v>0.1186154</v>
      </c>
      <c r="Z127">
        <v>-1.09725E-2</v>
      </c>
      <c r="AA127">
        <v>0.99287959999999997</v>
      </c>
      <c r="AB127">
        <v>18</v>
      </c>
      <c r="AC127">
        <v>0.69630000000000702</v>
      </c>
      <c r="AD127">
        <v>-0.15937779999999999</v>
      </c>
      <c r="AE127">
        <v>-0.1019</v>
      </c>
      <c r="AF127">
        <v>9.5804358509966103E-2</v>
      </c>
      <c r="AG127">
        <v>-0.15937779999999999</v>
      </c>
      <c r="AH127">
        <v>0.66249061912318497</v>
      </c>
      <c r="AI127">
        <v>103.39258907293301</v>
      </c>
      <c r="AJ127">
        <v>81.771364497860006</v>
      </c>
      <c r="AK127">
        <v>0.68809416410006496</v>
      </c>
    </row>
    <row r="128" spans="1:37" x14ac:dyDescent="0.2">
      <c r="A128" t="str">
        <f>"20200111155503532"</f>
        <v>20200111155503532</v>
      </c>
      <c r="B128" t="str">
        <f>"1578729303523218"</f>
        <v>1578729303523218</v>
      </c>
      <c r="C128" t="s">
        <v>37</v>
      </c>
      <c r="D128">
        <v>4.6989339999999897</v>
      </c>
      <c r="E128">
        <v>0.60098479999999999</v>
      </c>
      <c r="F128" t="s">
        <v>40</v>
      </c>
      <c r="G128">
        <v>-466.65589999999997</v>
      </c>
      <c r="H128">
        <v>0.96759470000000003</v>
      </c>
      <c r="I128">
        <v>367.3809</v>
      </c>
      <c r="J128">
        <v>-467.23860000000002</v>
      </c>
      <c r="K128">
        <v>1.104827</v>
      </c>
      <c r="L128">
        <v>367.46850000000001</v>
      </c>
      <c r="M128">
        <v>0.999924699999999</v>
      </c>
      <c r="N128">
        <v>0</v>
      </c>
      <c r="O128">
        <v>-1.5827179999999899E-3</v>
      </c>
      <c r="P128">
        <v>0.99054279999999995</v>
      </c>
      <c r="Q128">
        <v>-6.6073019999999998E-3</v>
      </c>
      <c r="R128">
        <v>0.13704549999999999</v>
      </c>
      <c r="S128">
        <v>3.0772089999999999</v>
      </c>
      <c r="T128">
        <v>-0.59746809999999995</v>
      </c>
      <c r="U128">
        <v>-0.38104250000000001</v>
      </c>
      <c r="V128">
        <v>-0.138614299999999</v>
      </c>
      <c r="W128">
        <v>5.4376499999999996E-3</v>
      </c>
      <c r="X128">
        <v>0.99033150000000003</v>
      </c>
      <c r="Y128">
        <v>0.1191551</v>
      </c>
      <c r="Z128">
        <v>-1.111475E-2</v>
      </c>
      <c r="AA128">
        <v>0.99281350000000002</v>
      </c>
      <c r="AB128">
        <v>18</v>
      </c>
      <c r="AC128">
        <v>0.58270000000004496</v>
      </c>
      <c r="AD128">
        <v>-0.137232299999999</v>
      </c>
      <c r="AE128">
        <v>-8.7600000000008907E-2</v>
      </c>
      <c r="AF128">
        <v>8.2218093953368598E-2</v>
      </c>
      <c r="AG128">
        <v>-0.137232299999999</v>
      </c>
      <c r="AH128">
        <v>0.55285147222155095</v>
      </c>
      <c r="AI128">
        <v>103.794733358675</v>
      </c>
      <c r="AJ128">
        <v>81.541173069272403</v>
      </c>
      <c r="AK128">
        <v>0.57553216198067603</v>
      </c>
    </row>
    <row r="129" spans="1:37" x14ac:dyDescent="0.2">
      <c r="A129" t="str">
        <f>"20200111155503551"</f>
        <v>20200111155503551</v>
      </c>
      <c r="B129" t="str">
        <f>"1578729303542738"</f>
        <v>1578729303542738</v>
      </c>
      <c r="C129" t="s">
        <v>37</v>
      </c>
      <c r="D129">
        <v>4.7020549999999997</v>
      </c>
      <c r="E129">
        <v>0.60115459999999998</v>
      </c>
      <c r="F129" t="s">
        <v>40</v>
      </c>
      <c r="G129">
        <v>-466.50229999999999</v>
      </c>
      <c r="H129">
        <v>0.96201630000000005</v>
      </c>
      <c r="I129">
        <v>367.37689999999998</v>
      </c>
      <c r="J129">
        <v>-467.0933</v>
      </c>
      <c r="K129">
        <v>1.1048420000000001</v>
      </c>
      <c r="L129">
        <v>367.46839999999997</v>
      </c>
      <c r="M129">
        <v>0.99992230000000004</v>
      </c>
      <c r="N129">
        <v>0</v>
      </c>
      <c r="O129">
        <v>-1.4536169999999999E-3</v>
      </c>
      <c r="P129">
        <v>0.99057439999999997</v>
      </c>
      <c r="Q129">
        <v>-6.7701409999999899E-3</v>
      </c>
      <c r="R129">
        <v>0.1368105</v>
      </c>
      <c r="S129">
        <v>3.0773619999999999</v>
      </c>
      <c r="T129">
        <v>-0.59714409999999996</v>
      </c>
      <c r="U129">
        <v>-0.38079829999999998</v>
      </c>
      <c r="V129">
        <v>-0.13825109999999999</v>
      </c>
      <c r="W129">
        <v>5.4858090000000003E-3</v>
      </c>
      <c r="X129">
        <v>0.99038199999999998</v>
      </c>
      <c r="Y129">
        <v>0.119199</v>
      </c>
      <c r="Z129">
        <v>-1.1137279999999999E-2</v>
      </c>
      <c r="AA129">
        <v>0.99280789999999997</v>
      </c>
      <c r="AB129">
        <v>18</v>
      </c>
      <c r="AC129">
        <v>0.59100000000000796</v>
      </c>
      <c r="AD129">
        <v>-0.1428257</v>
      </c>
      <c r="AE129">
        <v>-9.1499999999996307E-2</v>
      </c>
      <c r="AF129">
        <v>8.5749901688804794E-2</v>
      </c>
      <c r="AG129">
        <v>-0.1428257</v>
      </c>
      <c r="AH129">
        <v>0.55923571429915098</v>
      </c>
      <c r="AI129">
        <v>104.167963740311</v>
      </c>
      <c r="AJ129">
        <v>81.282500443121407</v>
      </c>
      <c r="AK129">
        <v>0.58352104535124605</v>
      </c>
    </row>
    <row r="130" spans="1:37" x14ac:dyDescent="0.2">
      <c r="A130" t="str">
        <f>"20200111155503572"</f>
        <v>20200111155503572</v>
      </c>
      <c r="B130" t="str">
        <f>"1578729303563233"</f>
        <v>1578729303563233</v>
      </c>
      <c r="C130" t="s">
        <v>37</v>
      </c>
      <c r="D130">
        <v>4.6839519999999997</v>
      </c>
      <c r="E130">
        <v>0.60138230000000004</v>
      </c>
      <c r="F130" t="s">
        <v>40</v>
      </c>
      <c r="G130">
        <v>-466.34750000000003</v>
      </c>
      <c r="H130">
        <v>0.95986319999999903</v>
      </c>
      <c r="I130">
        <v>367.37549999999999</v>
      </c>
      <c r="J130">
        <v>-466.923</v>
      </c>
      <c r="K130">
        <v>1.104849</v>
      </c>
      <c r="L130">
        <v>367.4683</v>
      </c>
      <c r="M130">
        <v>0.99991960000000002</v>
      </c>
      <c r="N130">
        <v>0</v>
      </c>
      <c r="O130">
        <v>-1.3067E-3</v>
      </c>
      <c r="P130">
        <v>0.99066969999999999</v>
      </c>
      <c r="Q130">
        <v>-7.5342209999999998E-3</v>
      </c>
      <c r="R130">
        <v>0.13607610000000001</v>
      </c>
      <c r="S130">
        <v>3.0773009999999998</v>
      </c>
      <c r="T130">
        <v>-0.59831749999999995</v>
      </c>
      <c r="U130">
        <v>-0.38244629999999902</v>
      </c>
      <c r="V130">
        <v>-0.13737160000000001</v>
      </c>
      <c r="W130">
        <v>4.9393609999999998E-3</v>
      </c>
      <c r="X130">
        <v>0.99050720000000003</v>
      </c>
      <c r="Y130">
        <v>0.1198478</v>
      </c>
      <c r="Z130">
        <v>-1.124908E-2</v>
      </c>
      <c r="AA130">
        <v>0.99272850000000001</v>
      </c>
      <c r="AB130">
        <v>17</v>
      </c>
      <c r="AC130">
        <v>0.57549999999997603</v>
      </c>
      <c r="AD130">
        <v>-0.1449858</v>
      </c>
      <c r="AE130">
        <v>-9.2800000000011096E-2</v>
      </c>
      <c r="AF130">
        <v>8.6685465095642497E-2</v>
      </c>
      <c r="AG130">
        <v>-0.1449858</v>
      </c>
      <c r="AH130">
        <v>0.54208710226100498</v>
      </c>
      <c r="AI130">
        <v>104.79419804153601</v>
      </c>
      <c r="AJ130">
        <v>80.914718429689998</v>
      </c>
      <c r="AK130">
        <v>0.56779721600076705</v>
      </c>
    </row>
    <row r="131" spans="1:37" x14ac:dyDescent="0.2">
      <c r="A131" t="str">
        <f>"20200111155503587"</f>
        <v>20200111155503587</v>
      </c>
      <c r="B131" t="str">
        <f>"1578729303582754"</f>
        <v>1578729303582754</v>
      </c>
      <c r="C131" t="s">
        <v>37</v>
      </c>
      <c r="D131">
        <v>4.694134</v>
      </c>
      <c r="E131">
        <v>0.60144540000000002</v>
      </c>
      <c r="F131" t="s">
        <v>40</v>
      </c>
      <c r="G131">
        <v>-466.19150000000002</v>
      </c>
      <c r="H131">
        <v>0.96054329999999999</v>
      </c>
      <c r="I131">
        <v>367.37599999999998</v>
      </c>
      <c r="J131">
        <v>-466.80939999999998</v>
      </c>
      <c r="K131">
        <v>1.104857</v>
      </c>
      <c r="L131">
        <v>367.4683</v>
      </c>
      <c r="M131">
        <v>0.99991830000000004</v>
      </c>
      <c r="N131">
        <v>0</v>
      </c>
      <c r="O131">
        <v>-1.211083E-3</v>
      </c>
      <c r="P131">
        <v>0.99071909999999896</v>
      </c>
      <c r="Q131">
        <v>-8.0196069999999998E-3</v>
      </c>
      <c r="R131">
        <v>0.135689</v>
      </c>
      <c r="S131">
        <v>3.076721</v>
      </c>
      <c r="T131">
        <v>-0.6070953</v>
      </c>
      <c r="U131">
        <v>-0.38641360000000002</v>
      </c>
      <c r="V131">
        <v>-0.1368897</v>
      </c>
      <c r="W131">
        <v>4.5817380000000001E-3</v>
      </c>
      <c r="X131">
        <v>0.99057569999999995</v>
      </c>
      <c r="Y131">
        <v>0.121135199999999</v>
      </c>
      <c r="Z131">
        <v>-1.1556200000000001E-2</v>
      </c>
      <c r="AA131">
        <v>0.99256869999999997</v>
      </c>
      <c r="AB131">
        <v>17</v>
      </c>
      <c r="AC131">
        <v>0.61789999999996303</v>
      </c>
      <c r="AD131">
        <v>-0.14431369999999899</v>
      </c>
      <c r="AE131">
        <v>-9.2300000000022905E-2</v>
      </c>
      <c r="AF131">
        <v>8.6914036582699999E-2</v>
      </c>
      <c r="AG131">
        <v>-0.14431369999999899</v>
      </c>
      <c r="AH131">
        <v>0.58670622081896895</v>
      </c>
      <c r="AI131">
        <v>103.675315824232</v>
      </c>
      <c r="AJ131">
        <v>81.573547337857207</v>
      </c>
      <c r="AK131">
        <v>0.61041353467175496</v>
      </c>
    </row>
    <row r="132" spans="1:37" x14ac:dyDescent="0.2">
      <c r="A132" t="str">
        <f>"20200111155503605"</f>
        <v>20200111155503605</v>
      </c>
      <c r="B132" t="str">
        <f>"1578729303603250"</f>
        <v>1578729303603250</v>
      </c>
      <c r="C132" t="s">
        <v>37</v>
      </c>
      <c r="D132">
        <v>4.6831639999999997</v>
      </c>
      <c r="E132">
        <v>0.60154909999999995</v>
      </c>
      <c r="F132" t="s">
        <v>40</v>
      </c>
      <c r="G132">
        <v>-466.04059999999998</v>
      </c>
      <c r="H132">
        <v>0.95126840000000001</v>
      </c>
      <c r="I132">
        <v>367.37110000000001</v>
      </c>
      <c r="J132">
        <v>-466.66730000000001</v>
      </c>
      <c r="K132">
        <v>1.1048639999999901</v>
      </c>
      <c r="L132">
        <v>367.46820000000002</v>
      </c>
      <c r="M132">
        <v>0.99991659999999905</v>
      </c>
      <c r="N132">
        <v>0</v>
      </c>
      <c r="O132">
        <v>-1.0932889999999999E-3</v>
      </c>
      <c r="P132">
        <v>0.99087269999999905</v>
      </c>
      <c r="Q132">
        <v>-8.36369E-3</v>
      </c>
      <c r="R132">
        <v>0.13454150000000001</v>
      </c>
      <c r="S132">
        <v>3.076263</v>
      </c>
      <c r="T132">
        <v>-0.61465199999999998</v>
      </c>
      <c r="U132">
        <v>-0.3880615</v>
      </c>
      <c r="V132">
        <v>-0.13562560000000001</v>
      </c>
      <c r="W132">
        <v>4.382899E-3</v>
      </c>
      <c r="X132">
        <v>0.99075040000000003</v>
      </c>
      <c r="Y132">
        <v>0.1217231</v>
      </c>
      <c r="Z132">
        <v>-1.177976E-2</v>
      </c>
      <c r="AA132">
        <v>0.99249419999999899</v>
      </c>
      <c r="AB132">
        <v>17</v>
      </c>
      <c r="AC132">
        <v>0.62670000000002701</v>
      </c>
      <c r="AD132">
        <v>-0.153595599999999</v>
      </c>
      <c r="AE132">
        <v>-9.7100000000011705E-2</v>
      </c>
      <c r="AF132">
        <v>9.1072487407185904E-2</v>
      </c>
      <c r="AG132">
        <v>-0.153595599999999</v>
      </c>
      <c r="AH132">
        <v>0.59207517330841897</v>
      </c>
      <c r="AI132">
        <v>104.381032606956</v>
      </c>
      <c r="AJ132">
        <v>81.255350356906604</v>
      </c>
      <c r="AK132">
        <v>0.61841637846202502</v>
      </c>
    </row>
    <row r="133" spans="1:37" x14ac:dyDescent="0.2">
      <c r="A133" t="str">
        <f>"20200111155503619"</f>
        <v>20200111155503619</v>
      </c>
      <c r="B133" t="str">
        <f>"1578729303613009"</f>
        <v>1578729303613009</v>
      </c>
      <c r="C133" t="s">
        <v>37</v>
      </c>
      <c r="D133">
        <v>4.6748810000000001</v>
      </c>
      <c r="E133">
        <v>0.60159090000000004</v>
      </c>
      <c r="F133" t="s">
        <v>40</v>
      </c>
      <c r="G133">
        <v>-465.88749999999999</v>
      </c>
      <c r="H133">
        <v>0.94748960000000004</v>
      </c>
      <c r="I133">
        <v>367.3682</v>
      </c>
      <c r="J133">
        <v>-466.55720000000002</v>
      </c>
      <c r="K133">
        <v>1.1048709999999999</v>
      </c>
      <c r="L133">
        <v>367.46820000000002</v>
      </c>
      <c r="M133">
        <v>0.9999152</v>
      </c>
      <c r="N133">
        <v>0</v>
      </c>
      <c r="O133">
        <v>-1.002768E-3</v>
      </c>
      <c r="P133">
        <v>0.99098399999999998</v>
      </c>
      <c r="Q133">
        <v>-8.4918790000000008E-3</v>
      </c>
      <c r="R133">
        <v>0.1337111</v>
      </c>
      <c r="S133">
        <v>3.075745</v>
      </c>
      <c r="T133">
        <v>-0.62080400000000002</v>
      </c>
      <c r="U133">
        <v>-0.39248660000000002</v>
      </c>
      <c r="V133">
        <v>-0.13470579999999999</v>
      </c>
      <c r="W133">
        <v>4.3571490000000003E-3</v>
      </c>
      <c r="X133">
        <v>0.99087610000000004</v>
      </c>
      <c r="Y133">
        <v>0.1231614</v>
      </c>
      <c r="Z133">
        <v>-1.2057450000000001E-2</v>
      </c>
      <c r="AA133">
        <v>0.99231340000000001</v>
      </c>
      <c r="AB133">
        <v>17</v>
      </c>
      <c r="AC133">
        <v>0.66970000000003405</v>
      </c>
      <c r="AD133">
        <v>-0.15738139999999901</v>
      </c>
      <c r="AE133">
        <v>-0.100000000000022</v>
      </c>
      <c r="AF133">
        <v>9.4237459518106706E-2</v>
      </c>
      <c r="AG133">
        <v>-0.15738139999999901</v>
      </c>
      <c r="AH133">
        <v>0.63547066156079002</v>
      </c>
      <c r="AI133">
        <v>103.765329830963</v>
      </c>
      <c r="AJ133">
        <v>81.564768067454807</v>
      </c>
      <c r="AK133">
        <v>0.66141708894380402</v>
      </c>
    </row>
    <row r="134" spans="1:37" x14ac:dyDescent="0.2">
      <c r="A134" t="str">
        <f>"20200111155503632"</f>
        <v>20200111155503632</v>
      </c>
      <c r="B134" t="str">
        <f>"1578729303622770"</f>
        <v>1578729303622770</v>
      </c>
      <c r="C134" t="s">
        <v>37</v>
      </c>
      <c r="D134">
        <v>4.6645620000000001</v>
      </c>
      <c r="E134">
        <v>0.60157850000000002</v>
      </c>
      <c r="F134" t="s">
        <v>40</v>
      </c>
      <c r="G134">
        <v>-465.736999999999</v>
      </c>
      <c r="H134">
        <v>0.9386023</v>
      </c>
      <c r="I134">
        <v>367.36250000000001</v>
      </c>
      <c r="J134">
        <v>-466.4572</v>
      </c>
      <c r="K134">
        <v>1.104881</v>
      </c>
      <c r="L134">
        <v>367.46820000000002</v>
      </c>
      <c r="M134">
        <v>0.99991419999999998</v>
      </c>
      <c r="N134">
        <v>0</v>
      </c>
      <c r="O134">
        <v>-9.2237429999999902E-4</v>
      </c>
      <c r="P134">
        <v>0.9910677</v>
      </c>
      <c r="Q134">
        <v>-8.5162559999999998E-3</v>
      </c>
      <c r="R134">
        <v>0.1330886</v>
      </c>
      <c r="S134">
        <v>3.075256</v>
      </c>
      <c r="T134">
        <v>-0.62342600000000004</v>
      </c>
      <c r="U134">
        <v>-0.39532469999999997</v>
      </c>
      <c r="V134">
        <v>-0.1340036</v>
      </c>
      <c r="W134">
        <v>4.4153229999999996E-3</v>
      </c>
      <c r="X134">
        <v>0.99097099999999905</v>
      </c>
      <c r="Y134">
        <v>0.12412039999999901</v>
      </c>
      <c r="Z134">
        <v>-1.2220470000000001E-2</v>
      </c>
      <c r="AA134">
        <v>0.99219190000000002</v>
      </c>
      <c r="AB134">
        <v>17</v>
      </c>
      <c r="AC134">
        <v>0.72020000000003304</v>
      </c>
      <c r="AD134">
        <v>-0.166278699999999</v>
      </c>
      <c r="AE134">
        <v>-0.10570000000001301</v>
      </c>
      <c r="AF134">
        <v>9.9826563159279305E-2</v>
      </c>
      <c r="AG134">
        <v>-0.166278699999999</v>
      </c>
      <c r="AH134">
        <v>0.68457542629663004</v>
      </c>
      <c r="AI134">
        <v>103.51475692528599</v>
      </c>
      <c r="AJ134">
        <v>81.703457641753801</v>
      </c>
      <c r="AK134">
        <v>0.71151771803314601</v>
      </c>
    </row>
    <row r="135" spans="1:37" x14ac:dyDescent="0.2">
      <c r="A135" t="str">
        <f>"20200111155503650"</f>
        <v>20200111155503650</v>
      </c>
      <c r="B135" t="str">
        <f>"1578729303643266"</f>
        <v>1578729303643266</v>
      </c>
      <c r="C135" t="s">
        <v>37</v>
      </c>
      <c r="D135">
        <v>4.6115219999999999</v>
      </c>
      <c r="E135">
        <v>0.60168259999999996</v>
      </c>
      <c r="F135" t="s">
        <v>40</v>
      </c>
      <c r="G135">
        <v>-465.7285</v>
      </c>
      <c r="H135">
        <v>0.95661499999999999</v>
      </c>
      <c r="I135">
        <v>367.37389999999999</v>
      </c>
      <c r="J135">
        <v>-466.32639999999998</v>
      </c>
      <c r="K135">
        <v>1.1048899999999999</v>
      </c>
      <c r="L135">
        <v>367.46820000000002</v>
      </c>
      <c r="M135">
        <v>0.99991299999999905</v>
      </c>
      <c r="N135">
        <v>0</v>
      </c>
      <c r="O135">
        <v>-8.1921209999999997E-4</v>
      </c>
      <c r="P135">
        <v>0.99126199999999998</v>
      </c>
      <c r="Q135">
        <v>-8.2004409999999993E-3</v>
      </c>
      <c r="R135">
        <v>0.13165270000000001</v>
      </c>
      <c r="S135">
        <v>3.0749819999999999</v>
      </c>
      <c r="T135">
        <v>-0.62580530000000001</v>
      </c>
      <c r="U135">
        <v>-0.39703369999999999</v>
      </c>
      <c r="V135">
        <v>-0.13246559999999999</v>
      </c>
      <c r="W135">
        <v>4.8320739999999996E-3</v>
      </c>
      <c r="X135">
        <v>0.99117579999999905</v>
      </c>
      <c r="Y135">
        <v>0.1247428</v>
      </c>
      <c r="Z135">
        <v>-1.234997E-2</v>
      </c>
      <c r="AA135">
        <v>0.992112199999999</v>
      </c>
      <c r="AB135">
        <v>17</v>
      </c>
      <c r="AC135">
        <v>0.597899999999981</v>
      </c>
      <c r="AD135">
        <v>-0.14827499999999899</v>
      </c>
      <c r="AE135">
        <v>-9.43000000000324E-2</v>
      </c>
      <c r="AF135">
        <v>8.8499460141897801E-2</v>
      </c>
      <c r="AG135">
        <v>-0.14827499999999899</v>
      </c>
      <c r="AH135">
        <v>0.56412514299584204</v>
      </c>
      <c r="AI135">
        <v>104.55622126980499</v>
      </c>
      <c r="AJ135">
        <v>81.084156953297196</v>
      </c>
      <c r="AK135">
        <v>0.589961699630143</v>
      </c>
    </row>
    <row r="136" spans="1:37" x14ac:dyDescent="0.2">
      <c r="A136" t="str">
        <f>"20200111155503663"</f>
        <v>20200111155503663</v>
      </c>
      <c r="B136" t="str">
        <f>"1578729303653026"</f>
        <v>1578729303653026</v>
      </c>
      <c r="C136" t="s">
        <v>37</v>
      </c>
      <c r="D136">
        <v>4.5965579999999999</v>
      </c>
      <c r="E136">
        <v>0.6017015</v>
      </c>
      <c r="F136" t="s">
        <v>40</v>
      </c>
      <c r="G136">
        <v>-465.57659999999998</v>
      </c>
      <c r="H136">
        <v>0.95154799999999995</v>
      </c>
      <c r="I136">
        <v>367.36970000000002</v>
      </c>
      <c r="J136">
        <v>-466.2217</v>
      </c>
      <c r="K136">
        <v>1.104897</v>
      </c>
      <c r="L136">
        <v>367.46820000000002</v>
      </c>
      <c r="M136">
        <v>0.99991209999999997</v>
      </c>
      <c r="N136">
        <v>0</v>
      </c>
      <c r="O136">
        <v>-7.3828580000000004E-4</v>
      </c>
      <c r="P136">
        <v>0.99133570000000004</v>
      </c>
      <c r="Q136">
        <v>-7.7917580000000002E-3</v>
      </c>
      <c r="R136">
        <v>0.1311213</v>
      </c>
      <c r="S136">
        <v>3.074554</v>
      </c>
      <c r="T136">
        <v>-0.62906930000000005</v>
      </c>
      <c r="U136">
        <v>-0.40176390000000001</v>
      </c>
      <c r="V136">
        <v>-0.1318541</v>
      </c>
      <c r="W136">
        <v>5.3131960000000001E-3</v>
      </c>
      <c r="X136">
        <v>0.99125490000000005</v>
      </c>
      <c r="Y136">
        <v>0.12628249999999999</v>
      </c>
      <c r="Z136">
        <v>-1.258517E-2</v>
      </c>
      <c r="AA136">
        <v>0.99191450000000003</v>
      </c>
      <c r="AB136">
        <v>17</v>
      </c>
      <c r="AC136">
        <v>0.645100000000013</v>
      </c>
      <c r="AD136">
        <v>-0.15334900000000001</v>
      </c>
      <c r="AE136">
        <v>-9.8500000000001295E-2</v>
      </c>
      <c r="AF136">
        <v>9.2894026084112194E-2</v>
      </c>
      <c r="AG136">
        <v>-0.15334900000000001</v>
      </c>
      <c r="AH136">
        <v>0.61141028463629099</v>
      </c>
      <c r="AI136">
        <v>103.926520197367</v>
      </c>
      <c r="AJ136">
        <v>81.360892126165197</v>
      </c>
      <c r="AK136">
        <v>0.637155987213607</v>
      </c>
    </row>
    <row r="137" spans="1:37" x14ac:dyDescent="0.2">
      <c r="A137" t="str">
        <f>"20200111155503677"</f>
        <v>20200111155503677</v>
      </c>
      <c r="B137" t="str">
        <f>"1578729303672545"</f>
        <v>1578729303672545</v>
      </c>
      <c r="C137" t="s">
        <v>37</v>
      </c>
      <c r="D137">
        <v>4.6060379999999999</v>
      </c>
      <c r="E137">
        <v>0.60167809999999999</v>
      </c>
      <c r="F137" t="s">
        <v>40</v>
      </c>
      <c r="G137">
        <v>-465.426999999999</v>
      </c>
      <c r="H137">
        <v>0.94212439999999997</v>
      </c>
      <c r="I137">
        <v>367.36380000000003</v>
      </c>
      <c r="J137">
        <v>-466.11090000000002</v>
      </c>
      <c r="K137">
        <v>1.1049059999999999</v>
      </c>
      <c r="L137">
        <v>367.46820000000002</v>
      </c>
      <c r="M137">
        <v>0.99991140000000001</v>
      </c>
      <c r="N137">
        <v>0</v>
      </c>
      <c r="O137">
        <v>-6.5401049999999996E-4</v>
      </c>
      <c r="P137">
        <v>0.99135839999999997</v>
      </c>
      <c r="Q137">
        <v>-7.2494319999999897E-3</v>
      </c>
      <c r="R137">
        <v>0.13098199999999999</v>
      </c>
      <c r="S137">
        <v>3.0746769999999999</v>
      </c>
      <c r="T137">
        <v>-0.62979259999999904</v>
      </c>
      <c r="U137">
        <v>-0.40380859999999902</v>
      </c>
      <c r="V137">
        <v>-0.131631</v>
      </c>
      <c r="W137">
        <v>5.9249690000000004E-3</v>
      </c>
      <c r="X137">
        <v>0.99128109999999903</v>
      </c>
      <c r="Y137">
        <v>0.12698799999999999</v>
      </c>
      <c r="Z137">
        <v>-1.268656E-2</v>
      </c>
      <c r="AA137">
        <v>0.99182309999999996</v>
      </c>
      <c r="AB137">
        <v>17</v>
      </c>
      <c r="AC137">
        <v>0.68390000000005002</v>
      </c>
      <c r="AD137">
        <v>-0.162781599999999</v>
      </c>
      <c r="AE137">
        <v>-0.10439999999999799</v>
      </c>
      <c r="AF137">
        <v>9.8499418636928904E-2</v>
      </c>
      <c r="AG137">
        <v>-0.162781599999999</v>
      </c>
      <c r="AH137">
        <v>0.64808792555593997</v>
      </c>
      <c r="AI137">
        <v>103.945637107789</v>
      </c>
      <c r="AJ137">
        <v>81.358056869651094</v>
      </c>
      <c r="AK137">
        <v>0.67543907498883604</v>
      </c>
    </row>
    <row r="138" spans="1:37" x14ac:dyDescent="0.2">
      <c r="A138" t="str">
        <f>"20200111155503694"</f>
        <v>20200111155503694</v>
      </c>
      <c r="B138" t="str">
        <f>"1578729303683281"</f>
        <v>1578729303683281</v>
      </c>
      <c r="C138" t="s">
        <v>37</v>
      </c>
      <c r="D138">
        <v>4.55457</v>
      </c>
      <c r="E138">
        <v>0.6016821</v>
      </c>
      <c r="F138" t="s">
        <v>40</v>
      </c>
      <c r="G138">
        <v>-465.41739999999999</v>
      </c>
      <c r="H138">
        <v>0.96261759999999996</v>
      </c>
      <c r="I138">
        <v>367.37709999999998</v>
      </c>
      <c r="J138">
        <v>-465.98329999999999</v>
      </c>
      <c r="K138">
        <v>1.1049149999999901</v>
      </c>
      <c r="L138">
        <v>367.46820000000002</v>
      </c>
      <c r="M138">
        <v>0.99991039999999998</v>
      </c>
      <c r="N138">
        <v>0</v>
      </c>
      <c r="O138">
        <v>-5.5949699999999897E-4</v>
      </c>
      <c r="P138">
        <v>0.99138329999999997</v>
      </c>
      <c r="Q138">
        <v>-6.2538389999999998E-3</v>
      </c>
      <c r="R138">
        <v>0.1308434</v>
      </c>
      <c r="S138">
        <v>3.0749209999999998</v>
      </c>
      <c r="T138">
        <v>-0.63095400000000001</v>
      </c>
      <c r="U138">
        <v>-0.4040222</v>
      </c>
      <c r="V138">
        <v>-0.1313985</v>
      </c>
      <c r="W138">
        <v>6.9911549999999998E-3</v>
      </c>
      <c r="X138">
        <v>0.99130499999999899</v>
      </c>
      <c r="Y138">
        <v>0.12712560000000001</v>
      </c>
      <c r="Z138">
        <v>-1.2741479999999999E-2</v>
      </c>
      <c r="AA138">
        <v>0.99180480000000004</v>
      </c>
      <c r="AB138">
        <v>17</v>
      </c>
      <c r="AC138">
        <v>0.56589999999999896</v>
      </c>
      <c r="AD138">
        <v>-0.14229739999999899</v>
      </c>
      <c r="AE138">
        <v>-9.1100000000039899E-2</v>
      </c>
      <c r="AF138">
        <v>8.5513037998666594E-2</v>
      </c>
      <c r="AG138">
        <v>-0.14229739999999899</v>
      </c>
      <c r="AH138">
        <v>0.53309539684632301</v>
      </c>
      <c r="AI138">
        <v>104.764971455492</v>
      </c>
      <c r="AJ138">
        <v>80.886902901588201</v>
      </c>
      <c r="AK138">
        <v>0.55834732188241099</v>
      </c>
    </row>
    <row r="139" spans="1:37" x14ac:dyDescent="0.2">
      <c r="A139" t="str">
        <f>"20200111155503708"</f>
        <v>20200111155503708</v>
      </c>
      <c r="B139" t="str">
        <f>"1578729303702802"</f>
        <v>1578729303702802</v>
      </c>
      <c r="C139" t="s">
        <v>37</v>
      </c>
      <c r="D139">
        <v>4.496804</v>
      </c>
      <c r="E139">
        <v>0.60176759999999996</v>
      </c>
      <c r="F139" t="s">
        <v>40</v>
      </c>
      <c r="G139">
        <v>-465.26589999999999</v>
      </c>
      <c r="H139">
        <v>0.95814979999999905</v>
      </c>
      <c r="I139">
        <v>367.3734</v>
      </c>
      <c r="J139">
        <v>-465.8766</v>
      </c>
      <c r="K139">
        <v>1.1049229999999901</v>
      </c>
      <c r="L139">
        <v>367.4683</v>
      </c>
      <c r="M139">
        <v>0.99990979999999996</v>
      </c>
      <c r="N139">
        <v>0</v>
      </c>
      <c r="O139">
        <v>-4.823939E-4</v>
      </c>
      <c r="P139">
        <v>0.99136829999999998</v>
      </c>
      <c r="Q139">
        <v>-5.9865359999999998E-3</v>
      </c>
      <c r="R139">
        <v>0.13097049999999999</v>
      </c>
      <c r="S139">
        <v>3.0754389999999998</v>
      </c>
      <c r="T139">
        <v>-0.62928309999999998</v>
      </c>
      <c r="U139">
        <v>-0.4041748</v>
      </c>
      <c r="V139">
        <v>-0.13144929999999999</v>
      </c>
      <c r="W139">
        <v>7.3115810000000002E-3</v>
      </c>
      <c r="X139">
        <v>0.99129590000000001</v>
      </c>
      <c r="Y139">
        <v>0.1272393</v>
      </c>
      <c r="Z139">
        <v>-1.2733309999999999E-2</v>
      </c>
      <c r="AA139">
        <v>0.99179030000000001</v>
      </c>
      <c r="AB139">
        <v>17</v>
      </c>
      <c r="AC139">
        <v>0.61070000000000801</v>
      </c>
      <c r="AD139">
        <v>-0.14677319999999899</v>
      </c>
      <c r="AE139">
        <v>-9.4899999999995502E-2</v>
      </c>
      <c r="AF139">
        <v>8.9554535539288702E-2</v>
      </c>
      <c r="AG139">
        <v>-0.14677319999999899</v>
      </c>
      <c r="AH139">
        <v>0.57813897661917402</v>
      </c>
      <c r="AI139">
        <v>104.083677828332</v>
      </c>
      <c r="AJ139">
        <v>81.194784047607996</v>
      </c>
      <c r="AK139">
        <v>0.60316420928314596</v>
      </c>
    </row>
    <row r="140" spans="1:37" x14ac:dyDescent="0.2">
      <c r="A140" t="str">
        <f>"20200111155503728"</f>
        <v>20200111155503728</v>
      </c>
      <c r="B140" t="str">
        <f>"1578729303723298"</f>
        <v>1578729303723298</v>
      </c>
      <c r="C140" t="s">
        <v>37</v>
      </c>
      <c r="D140">
        <v>4.4570800000000004</v>
      </c>
      <c r="E140">
        <v>0.60179139999999998</v>
      </c>
      <c r="F140" t="s">
        <v>40</v>
      </c>
      <c r="G140">
        <v>-465.11689999999999</v>
      </c>
      <c r="H140">
        <v>0.94920579999999999</v>
      </c>
      <c r="I140">
        <v>367.3682</v>
      </c>
      <c r="J140">
        <v>-465.72370000000001</v>
      </c>
      <c r="K140">
        <v>1.104943</v>
      </c>
      <c r="L140">
        <v>367.4683</v>
      </c>
      <c r="M140">
        <v>0.99990889999999999</v>
      </c>
      <c r="N140">
        <v>0</v>
      </c>
      <c r="O140">
        <v>-3.7537019999999999E-4</v>
      </c>
      <c r="P140">
        <v>0.9912763</v>
      </c>
      <c r="Q140">
        <v>-4.8643319999999999E-3</v>
      </c>
      <c r="R140">
        <v>0.13171040000000001</v>
      </c>
      <c r="S140">
        <v>3.0758359999999998</v>
      </c>
      <c r="T140">
        <v>-0.63043760000000004</v>
      </c>
      <c r="U140">
        <v>-0.40457149999999997</v>
      </c>
      <c r="V140">
        <v>-0.13208329999999999</v>
      </c>
      <c r="W140">
        <v>8.5012530000000003E-3</v>
      </c>
      <c r="X140">
        <v>0.99120219999999903</v>
      </c>
      <c r="Y140">
        <v>0.12743969999999999</v>
      </c>
      <c r="Z140">
        <v>-1.279636E-2</v>
      </c>
      <c r="AA140">
        <v>0.99176379999999997</v>
      </c>
      <c r="AB140">
        <v>17</v>
      </c>
      <c r="AC140">
        <v>0.60680000000002099</v>
      </c>
      <c r="AD140">
        <v>-0.15573719999999899</v>
      </c>
      <c r="AE140">
        <v>-0.100099999999997</v>
      </c>
      <c r="AF140">
        <v>9.3853747319908601E-2</v>
      </c>
      <c r="AG140">
        <v>-0.15573719999999899</v>
      </c>
      <c r="AH140">
        <v>0.57026858403826797</v>
      </c>
      <c r="AI140">
        <v>105.081237915347</v>
      </c>
      <c r="AJ140">
        <v>80.654146248789203</v>
      </c>
      <c r="AK140">
        <v>0.59855564427281205</v>
      </c>
    </row>
    <row r="141" spans="1:37" x14ac:dyDescent="0.2">
      <c r="A141" t="str">
        <f>"20200111155503740"</f>
        <v>20200111155503740</v>
      </c>
      <c r="B141" t="str">
        <f>"1578729303733058"</f>
        <v>1578729303733058</v>
      </c>
      <c r="C141" t="s">
        <v>37</v>
      </c>
      <c r="D141">
        <v>4.5155909999999997</v>
      </c>
      <c r="E141">
        <v>0.60171219999999903</v>
      </c>
      <c r="F141" t="s">
        <v>40</v>
      </c>
      <c r="G141">
        <v>-464.96370000000002</v>
      </c>
      <c r="H141">
        <v>0.94952939999999997</v>
      </c>
      <c r="I141">
        <v>367.36869999999999</v>
      </c>
      <c r="J141">
        <v>-465.6223</v>
      </c>
      <c r="K141">
        <v>1.1049519999999999</v>
      </c>
      <c r="L141">
        <v>367.46839999999997</v>
      </c>
      <c r="M141">
        <v>0.99990840000000003</v>
      </c>
      <c r="N141">
        <v>0</v>
      </c>
      <c r="O141">
        <v>-3.06299E-4</v>
      </c>
      <c r="P141">
        <v>0.99123220000000001</v>
      </c>
      <c r="Q141">
        <v>-4.3259259999999999E-3</v>
      </c>
      <c r="R141">
        <v>0.13206089999999901</v>
      </c>
      <c r="S141">
        <v>3.0767519999999999</v>
      </c>
      <c r="T141">
        <v>-0.6292681</v>
      </c>
      <c r="U141">
        <v>-0.40219120000000003</v>
      </c>
      <c r="V141">
        <v>-0.1323657</v>
      </c>
      <c r="W141">
        <v>9.0801110000000001E-3</v>
      </c>
      <c r="X141">
        <v>0.99115940000000002</v>
      </c>
      <c r="Y141">
        <v>0.1267392</v>
      </c>
      <c r="Z141">
        <v>-1.271335E-2</v>
      </c>
      <c r="AA141">
        <v>0.99185460000000003</v>
      </c>
      <c r="AB141">
        <v>17</v>
      </c>
      <c r="AC141">
        <v>0.65859999999997798</v>
      </c>
      <c r="AD141">
        <v>-0.15542259999999899</v>
      </c>
      <c r="AE141">
        <v>-9.9699999999984301E-2</v>
      </c>
      <c r="AF141">
        <v>9.4360924726663603E-2</v>
      </c>
      <c r="AG141">
        <v>-0.15542259999999899</v>
      </c>
      <c r="AH141">
        <v>0.62462390052967198</v>
      </c>
      <c r="AI141">
        <v>103.822191306306</v>
      </c>
      <c r="AJ141">
        <v>81.409376772807903</v>
      </c>
      <c r="AK141">
        <v>0.65054991032120901</v>
      </c>
    </row>
    <row r="142" spans="1:37" x14ac:dyDescent="0.2">
      <c r="A142" t="str">
        <f>"20200111155503754"</f>
        <v>20200111155503754</v>
      </c>
      <c r="B142" t="str">
        <f>"1578729303742818"</f>
        <v>1578729303742818</v>
      </c>
      <c r="C142" t="s">
        <v>37</v>
      </c>
      <c r="D142">
        <v>4.498996</v>
      </c>
      <c r="E142">
        <v>0.60171219999999903</v>
      </c>
      <c r="F142" t="s">
        <v>40</v>
      </c>
      <c r="G142">
        <v>-464.81529999999998</v>
      </c>
      <c r="H142">
        <v>0.94018630000000003</v>
      </c>
      <c r="I142">
        <v>367.363</v>
      </c>
      <c r="J142">
        <v>-465.517</v>
      </c>
      <c r="K142">
        <v>1.1049629999999999</v>
      </c>
      <c r="L142">
        <v>367.46839999999997</v>
      </c>
      <c r="M142">
        <v>0.99990789999999996</v>
      </c>
      <c r="N142">
        <v>0</v>
      </c>
      <c r="O142">
        <v>-2.3697549999999901E-4</v>
      </c>
      <c r="P142">
        <v>0.99117149999999998</v>
      </c>
      <c r="Q142">
        <v>-3.6627970000000002E-3</v>
      </c>
      <c r="R142">
        <v>0.13253619999999999</v>
      </c>
      <c r="S142">
        <v>3.0771790000000001</v>
      </c>
      <c r="T142">
        <v>-0.62850459999999997</v>
      </c>
      <c r="U142">
        <v>-0.40042109999999997</v>
      </c>
      <c r="V142">
        <v>-0.1327718</v>
      </c>
      <c r="W142">
        <v>9.7805530000000009E-3</v>
      </c>
      <c r="X142">
        <v>0.99109840000000005</v>
      </c>
      <c r="Y142">
        <v>0.12624460000000001</v>
      </c>
      <c r="Z142">
        <v>-1.266113E-2</v>
      </c>
      <c r="AA142">
        <v>0.99191830000000003</v>
      </c>
      <c r="AB142">
        <v>17</v>
      </c>
      <c r="AC142">
        <v>0.70170000000001598</v>
      </c>
      <c r="AD142">
        <v>-0.164776699999999</v>
      </c>
      <c r="AE142">
        <v>-0.105399999999917</v>
      </c>
      <c r="AF142">
        <v>9.9849217484797401E-2</v>
      </c>
      <c r="AG142">
        <v>-0.164776699999999</v>
      </c>
      <c r="AH142">
        <v>0.665819892075866</v>
      </c>
      <c r="AI142">
        <v>103.75238951047</v>
      </c>
      <c r="AJ142">
        <v>81.471234559937599</v>
      </c>
      <c r="AK142">
        <v>0.69313588550812599</v>
      </c>
    </row>
    <row r="143" spans="1:37" x14ac:dyDescent="0.2">
      <c r="A143" t="str">
        <f>"20200111155503773"</f>
        <v>20200111155503773</v>
      </c>
      <c r="B143" t="str">
        <f>"1578729303762337"</f>
        <v>1578729303762337</v>
      </c>
      <c r="C143" t="s">
        <v>37</v>
      </c>
      <c r="D143">
        <v>4.4373509999999996</v>
      </c>
      <c r="E143">
        <v>0.57581709999999997</v>
      </c>
      <c r="F143" t="s">
        <v>40</v>
      </c>
      <c r="G143">
        <v>-464.80599999999998</v>
      </c>
      <c r="H143">
        <v>0.96017750000000002</v>
      </c>
      <c r="I143">
        <v>367.37610000000001</v>
      </c>
      <c r="J143">
        <v>-465.38400000000001</v>
      </c>
      <c r="K143">
        <v>1.104984</v>
      </c>
      <c r="L143">
        <v>367.46850000000001</v>
      </c>
      <c r="M143">
        <v>0.9999074</v>
      </c>
      <c r="N143">
        <v>0</v>
      </c>
      <c r="O143">
        <v>-1.5290900000000001E-4</v>
      </c>
      <c r="P143">
        <v>0.99105880000000002</v>
      </c>
      <c r="Q143">
        <v>-2.129293E-3</v>
      </c>
      <c r="R143">
        <v>0.1334109</v>
      </c>
      <c r="S143">
        <v>3.0776669999999999</v>
      </c>
      <c r="T143">
        <v>-0.62685419999999903</v>
      </c>
      <c r="U143">
        <v>-0.39822390000000002</v>
      </c>
      <c r="V143">
        <v>-0.1335635</v>
      </c>
      <c r="W143">
        <v>1.135594E-2</v>
      </c>
      <c r="X143">
        <v>0.99097519999999994</v>
      </c>
      <c r="Y143">
        <v>0.12563569999999999</v>
      </c>
      <c r="Z143">
        <v>-1.2582919999999999E-2</v>
      </c>
      <c r="AA143">
        <v>0.99199660000000001</v>
      </c>
      <c r="AB143">
        <v>17</v>
      </c>
      <c r="AC143">
        <v>0.57800000000003104</v>
      </c>
      <c r="AD143">
        <v>-0.14480649999999901</v>
      </c>
      <c r="AE143">
        <v>-9.2399999999997803E-2</v>
      </c>
      <c r="AF143">
        <v>8.6987834357895394E-2</v>
      </c>
      <c r="AG143">
        <v>-0.14480649999999901</v>
      </c>
      <c r="AH143">
        <v>0.54467901903833904</v>
      </c>
      <c r="AI143">
        <v>104.70989416252699</v>
      </c>
      <c r="AJ143">
        <v>80.926217363418601</v>
      </c>
      <c r="AK143">
        <v>0.57027277644044505</v>
      </c>
    </row>
    <row r="144" spans="1:37" x14ac:dyDescent="0.2">
      <c r="A144" t="str">
        <f>"20200111155503784"</f>
        <v>20200111155503784</v>
      </c>
      <c r="B144" t="str">
        <f>"1578729303782834"</f>
        <v>1578729303782834</v>
      </c>
      <c r="C144" t="s">
        <v>37</v>
      </c>
      <c r="D144">
        <v>4.3887809999999998</v>
      </c>
      <c r="E144">
        <v>0.57026080000000001</v>
      </c>
      <c r="F144" t="s">
        <v>40</v>
      </c>
      <c r="G144">
        <v>-464.62799999999999</v>
      </c>
      <c r="H144">
        <v>1.0121279999999999</v>
      </c>
      <c r="I144">
        <v>367.42009999999999</v>
      </c>
      <c r="J144">
        <v>-465.2885</v>
      </c>
      <c r="K144">
        <v>1.104994</v>
      </c>
      <c r="L144">
        <v>367.46850000000001</v>
      </c>
      <c r="M144">
        <v>0.99990709999999905</v>
      </c>
      <c r="N144">
        <v>0</v>
      </c>
      <c r="O144" s="1">
        <v>-9.4477309999999897E-5</v>
      </c>
      <c r="P144">
        <v>0.99104859999999995</v>
      </c>
      <c r="Q144">
        <v>-1.5843809999999999E-3</v>
      </c>
      <c r="R144">
        <v>0.1334938</v>
      </c>
      <c r="S144">
        <v>3.0523989999999999</v>
      </c>
      <c r="T144">
        <v>-0.37510719999999997</v>
      </c>
      <c r="U144">
        <v>-0.19424439999999901</v>
      </c>
      <c r="V144">
        <v>-0.1335886</v>
      </c>
      <c r="W144">
        <v>1.192905E-2</v>
      </c>
      <c r="X144">
        <v>0.99096509999999904</v>
      </c>
      <c r="Y144">
        <v>6.2942999999999999E-2</v>
      </c>
      <c r="Z144">
        <v>-3.8376129999999902E-3</v>
      </c>
      <c r="AA144">
        <v>0.9980097</v>
      </c>
      <c r="AB144">
        <v>17</v>
      </c>
      <c r="AC144">
        <v>0.66049999999995601</v>
      </c>
      <c r="AD144">
        <v>-9.2865999999999893E-2</v>
      </c>
      <c r="AE144">
        <v>-4.8400000000015098E-2</v>
      </c>
      <c r="AF144">
        <v>4.7405474426801798E-2</v>
      </c>
      <c r="AG144">
        <v>-9.2865999999999893E-2</v>
      </c>
      <c r="AH144">
        <v>0.64776773922911801</v>
      </c>
      <c r="AI144">
        <v>98.137042312269401</v>
      </c>
      <c r="AJ144">
        <v>85.814394554153793</v>
      </c>
      <c r="AK144">
        <v>0.65610549224010695</v>
      </c>
    </row>
    <row r="145" spans="1:37" x14ac:dyDescent="0.2">
      <c r="A145" t="str">
        <f>"20200111155503799"</f>
        <v>20200111155503799</v>
      </c>
      <c r="B145" t="str">
        <f>"1578729303792594"</f>
        <v>1578729303792594</v>
      </c>
      <c r="C145" t="s">
        <v>37</v>
      </c>
      <c r="D145">
        <v>4.6354419999999896</v>
      </c>
      <c r="E145">
        <v>0.56585160000000001</v>
      </c>
      <c r="F145" t="s">
        <v>40</v>
      </c>
      <c r="G145">
        <v>-464.4624</v>
      </c>
      <c r="H145">
        <v>1.039536</v>
      </c>
      <c r="I145">
        <v>367.42720000000003</v>
      </c>
      <c r="J145">
        <v>-465.1807</v>
      </c>
      <c r="K145">
        <v>1.105</v>
      </c>
      <c r="L145">
        <v>367.46859999999998</v>
      </c>
      <c r="M145">
        <v>0.99990659999999898</v>
      </c>
      <c r="N145">
        <v>0</v>
      </c>
      <c r="O145" s="1">
        <v>-2.9739970000000001E-5</v>
      </c>
      <c r="P145">
        <v>0.99103479999999999</v>
      </c>
      <c r="Q145">
        <v>-9.3983300000000005E-4</v>
      </c>
      <c r="R145">
        <v>0.13360150000000001</v>
      </c>
      <c r="S145">
        <v>3.04718</v>
      </c>
      <c r="T145">
        <v>-0.2415561</v>
      </c>
      <c r="U145">
        <v>-0.15176389999999901</v>
      </c>
      <c r="V145">
        <v>-0.1336319</v>
      </c>
      <c r="W145">
        <v>1.2602769999999999E-2</v>
      </c>
      <c r="X145">
        <v>0.99095089999999997</v>
      </c>
      <c r="Y145">
        <v>4.9558350000000001E-2</v>
      </c>
      <c r="Z145">
        <v>-1.9576579999999902E-3</v>
      </c>
      <c r="AA145">
        <v>0.99876929999999997</v>
      </c>
      <c r="AB145">
        <v>17</v>
      </c>
      <c r="AC145">
        <v>0.71829999999999905</v>
      </c>
      <c r="AD145">
        <v>-6.5463999999999897E-2</v>
      </c>
      <c r="AE145">
        <v>-4.1399999999953203E-2</v>
      </c>
      <c r="AF145">
        <v>4.1038894192437399E-2</v>
      </c>
      <c r="AG145">
        <v>-6.5463999999999897E-2</v>
      </c>
      <c r="AH145">
        <v>0.71240357911941599</v>
      </c>
      <c r="AI145">
        <v>95.241622363021904</v>
      </c>
      <c r="AJ145">
        <v>86.703049095077702</v>
      </c>
      <c r="AK145">
        <v>0.71658117870531102</v>
      </c>
    </row>
    <row r="146" spans="1:37" x14ac:dyDescent="0.2">
      <c r="A146" t="str">
        <f>"20200111155503941"</f>
        <v>20200111155503941</v>
      </c>
      <c r="B146" t="str">
        <f>"1578729303933138"</f>
        <v>1578729303933138</v>
      </c>
      <c r="C146" t="s">
        <v>37</v>
      </c>
      <c r="D146">
        <v>4.453919</v>
      </c>
      <c r="E146">
        <v>0.56021339999999997</v>
      </c>
      <c r="F146" t="s">
        <v>38</v>
      </c>
      <c r="G146">
        <v>-446.38850000000002</v>
      </c>
      <c r="H146" s="1">
        <v>-2.1534439999999999E-6</v>
      </c>
      <c r="I146">
        <v>366.99040000000002</v>
      </c>
      <c r="J146">
        <v>-464.10379999999998</v>
      </c>
      <c r="K146">
        <v>1.105054</v>
      </c>
      <c r="L146">
        <v>367.46949999999998</v>
      </c>
      <c r="M146">
        <v>0.99990419999999902</v>
      </c>
      <c r="N146">
        <v>0</v>
      </c>
      <c r="O146">
        <v>5.4804249999999995E-4</v>
      </c>
      <c r="P146">
        <v>0.99095679999999997</v>
      </c>
      <c r="Q146">
        <v>-1.001664E-3</v>
      </c>
      <c r="R146">
        <v>0.13417799999999999</v>
      </c>
      <c r="S146">
        <v>3.038208</v>
      </c>
      <c r="T146">
        <v>-0.18846979999999999</v>
      </c>
      <c r="U146">
        <v>-8.169556E-2</v>
      </c>
      <c r="V146">
        <v>-0.13363599999999901</v>
      </c>
      <c r="W146">
        <v>1.270719E-2</v>
      </c>
      <c r="X146">
        <v>0.99094899999999997</v>
      </c>
      <c r="Y146">
        <v>2.7373939999999999E-2</v>
      </c>
      <c r="Z146">
        <v>-8.8203969999999996E-4</v>
      </c>
      <c r="AA146">
        <v>0.99962479999999998</v>
      </c>
      <c r="AB146">
        <v>17</v>
      </c>
      <c r="AC146">
        <v>17.7152999999999</v>
      </c>
      <c r="AD146">
        <v>-1.105056153444</v>
      </c>
      <c r="AE146">
        <v>-0.479099999999959</v>
      </c>
      <c r="AF146">
        <v>0.48691634175577603</v>
      </c>
      <c r="AG146">
        <v>-1.105056153444</v>
      </c>
      <c r="AH146">
        <v>17.646421055810901</v>
      </c>
      <c r="AI146">
        <v>93.581943812694504</v>
      </c>
      <c r="AJ146">
        <v>88.419443001430096</v>
      </c>
      <c r="AK146">
        <v>17.687690994166001</v>
      </c>
    </row>
    <row r="147" spans="1:37" x14ac:dyDescent="0.2">
      <c r="A147" t="str">
        <f>"20200111155503954"</f>
        <v>20200111155503954</v>
      </c>
      <c r="B147" t="str">
        <f>"1578729303952658"</f>
        <v>1578729303952658</v>
      </c>
      <c r="C147" t="s">
        <v>37</v>
      </c>
      <c r="D147">
        <v>4.4584979999999996</v>
      </c>
      <c r="E147">
        <v>0.5583361</v>
      </c>
      <c r="F147" t="s">
        <v>38</v>
      </c>
      <c r="G147">
        <v>-445.69839999999999</v>
      </c>
      <c r="H147" s="1">
        <v>-2.4709029999999998E-6</v>
      </c>
      <c r="I147">
        <v>367.03989999999999</v>
      </c>
      <c r="J147">
        <v>-464.00389999999999</v>
      </c>
      <c r="K147">
        <v>1.105057</v>
      </c>
      <c r="L147">
        <v>367.46969999999999</v>
      </c>
      <c r="M147">
        <v>0.99990400000000002</v>
      </c>
      <c r="N147">
        <v>0</v>
      </c>
      <c r="O147">
        <v>6.0110830000000004E-4</v>
      </c>
      <c r="P147">
        <v>0.99096139999999999</v>
      </c>
      <c r="Q147">
        <v>-1.0432149999999999E-3</v>
      </c>
      <c r="R147">
        <v>0.13414389999999901</v>
      </c>
      <c r="S147">
        <v>3.0367739999999999</v>
      </c>
      <c r="T147">
        <v>-0.18232679999999901</v>
      </c>
      <c r="U147">
        <v>-7.0892330000000003E-2</v>
      </c>
      <c r="V147">
        <v>-0.133549</v>
      </c>
      <c r="W147">
        <v>1.267334E-2</v>
      </c>
      <c r="X147">
        <v>0.99096119999999899</v>
      </c>
      <c r="Y147">
        <v>2.3895179999999999E-2</v>
      </c>
      <c r="Z147">
        <v>-7.526427E-4</v>
      </c>
      <c r="AA147">
        <v>0.9997142</v>
      </c>
      <c r="AB147">
        <v>17</v>
      </c>
      <c r="AC147">
        <v>18.305499999999899</v>
      </c>
      <c r="AD147">
        <v>-1.1050594709029999</v>
      </c>
      <c r="AE147">
        <v>-0.42980000000000002</v>
      </c>
      <c r="AF147">
        <v>0.439204874477576</v>
      </c>
      <c r="AG147">
        <v>-1.1050594709029999</v>
      </c>
      <c r="AH147">
        <v>18.2388081637759</v>
      </c>
      <c r="AI147">
        <v>93.466216380870804</v>
      </c>
      <c r="AJ147">
        <v>88.6205390762522</v>
      </c>
      <c r="AK147">
        <v>18.2775321252902</v>
      </c>
    </row>
    <row r="148" spans="1:37" x14ac:dyDescent="0.2">
      <c r="A148" t="str">
        <f>"20200111155503967"</f>
        <v>20200111155503967</v>
      </c>
      <c r="B148" t="str">
        <f>"1578729303962418"</f>
        <v>1578729303962418</v>
      </c>
      <c r="C148" t="s">
        <v>37</v>
      </c>
      <c r="D148">
        <v>4.5217169999999998</v>
      </c>
      <c r="E148">
        <v>0.55768009999999901</v>
      </c>
      <c r="F148" t="s">
        <v>38</v>
      </c>
      <c r="G148">
        <v>-444.49079999999998</v>
      </c>
      <c r="H148" s="1">
        <v>-3.0299660000000001E-6</v>
      </c>
      <c r="I148">
        <v>367.10629999999998</v>
      </c>
      <c r="J148">
        <v>-463.91340000000002</v>
      </c>
      <c r="K148">
        <v>1.1050599999999999</v>
      </c>
      <c r="L148">
        <v>367.46980000000002</v>
      </c>
      <c r="M148">
        <v>0.99990389999999996</v>
      </c>
      <c r="N148">
        <v>0</v>
      </c>
      <c r="O148">
        <v>6.4994710000000004E-4</v>
      </c>
      <c r="P148">
        <v>0.99095259999999996</v>
      </c>
      <c r="Q148">
        <v>-1.128163E-3</v>
      </c>
      <c r="R148">
        <v>0.1342091</v>
      </c>
      <c r="S148">
        <v>3.0348820000000001</v>
      </c>
      <c r="T148">
        <v>-0.1718701</v>
      </c>
      <c r="U148">
        <v>-5.6518550000000001E-2</v>
      </c>
      <c r="V148">
        <v>-0.13356570000000001</v>
      </c>
      <c r="W148">
        <v>1.259419E-2</v>
      </c>
      <c r="X148">
        <v>0.9909599</v>
      </c>
      <c r="Y148">
        <v>1.9237799999999999E-2</v>
      </c>
      <c r="Z148">
        <v>-5.8102860000000002E-4</v>
      </c>
      <c r="AA148">
        <v>0.99981469999999995</v>
      </c>
      <c r="AB148">
        <v>17</v>
      </c>
      <c r="AC148">
        <v>19.422599999999999</v>
      </c>
      <c r="AD148">
        <v>-1.105063029966</v>
      </c>
      <c r="AE148">
        <v>-0.36350000000004401</v>
      </c>
      <c r="AF148">
        <v>0.37491158589802898</v>
      </c>
      <c r="AG148">
        <v>-1.105063029966</v>
      </c>
      <c r="AH148">
        <v>19.359711769481301</v>
      </c>
      <c r="AI148">
        <v>93.266318603092401</v>
      </c>
      <c r="AJ148">
        <v>88.890574036507005</v>
      </c>
      <c r="AK148">
        <v>19.394848872698901</v>
      </c>
    </row>
    <row r="149" spans="1:37" x14ac:dyDescent="0.2">
      <c r="A149" t="str">
        <f>"20200111155503983"</f>
        <v>20200111155503983</v>
      </c>
      <c r="B149" t="str">
        <f>"1578729303973153"</f>
        <v>1578729303973153</v>
      </c>
      <c r="C149" t="s">
        <v>37</v>
      </c>
      <c r="D149">
        <v>4.4637779999999996</v>
      </c>
      <c r="E149">
        <v>0.55711140000000003</v>
      </c>
      <c r="F149" t="s">
        <v>38</v>
      </c>
      <c r="G149">
        <v>-443.91399999999999</v>
      </c>
      <c r="H149" s="1">
        <v>-3.2980110000000001E-6</v>
      </c>
      <c r="I149">
        <v>367.13209999999998</v>
      </c>
      <c r="J149">
        <v>-463.78899999999999</v>
      </c>
      <c r="K149">
        <v>1.105065</v>
      </c>
      <c r="L149">
        <v>367.47</v>
      </c>
      <c r="M149">
        <v>0.99990369999999995</v>
      </c>
      <c r="N149">
        <v>0</v>
      </c>
      <c r="O149">
        <v>7.1778929999999905E-4</v>
      </c>
      <c r="P149">
        <v>0.99090419999999901</v>
      </c>
      <c r="Q149">
        <v>-1.698932E-3</v>
      </c>
      <c r="R149">
        <v>0.13455909999999999</v>
      </c>
      <c r="S149">
        <v>3.0341800000000001</v>
      </c>
      <c r="T149">
        <v>-0.16765339999999901</v>
      </c>
      <c r="U149">
        <v>-5.1239010000000001E-2</v>
      </c>
      <c r="V149">
        <v>-0.1338483</v>
      </c>
      <c r="W149">
        <v>1.2031089999999999E-2</v>
      </c>
      <c r="X149">
        <v>0.99092880000000005</v>
      </c>
      <c r="Y149">
        <v>1.7574719999999999E-2</v>
      </c>
      <c r="Z149">
        <v>-5.2477260000000005E-4</v>
      </c>
      <c r="AA149">
        <v>0.9998454</v>
      </c>
      <c r="AB149">
        <v>17</v>
      </c>
      <c r="AC149">
        <v>19.875</v>
      </c>
      <c r="AD149">
        <v>-1.105068298011</v>
      </c>
      <c r="AE149">
        <v>-0.337900000000047</v>
      </c>
      <c r="AF149">
        <v>0.35108230144987002</v>
      </c>
      <c r="AG149">
        <v>-1.105068298011</v>
      </c>
      <c r="AH149">
        <v>19.8135172710357</v>
      </c>
      <c r="AI149">
        <v>93.191776234555405</v>
      </c>
      <c r="AJ149">
        <v>88.984863262811103</v>
      </c>
      <c r="AK149">
        <v>19.847415483515501</v>
      </c>
    </row>
    <row r="150" spans="1:37" x14ac:dyDescent="0.2">
      <c r="A150" t="str">
        <f>"20200111155503997"</f>
        <v>20200111155503997</v>
      </c>
      <c r="B150" t="str">
        <f>"1578729303992673"</f>
        <v>1578729303992673</v>
      </c>
      <c r="C150" t="s">
        <v>37</v>
      </c>
      <c r="D150">
        <v>4.4830259999999997</v>
      </c>
      <c r="E150">
        <v>0.55609699999999995</v>
      </c>
      <c r="F150" t="s">
        <v>38</v>
      </c>
      <c r="G150">
        <v>-443.6207</v>
      </c>
      <c r="H150" s="1">
        <v>-3.4306670000000002E-6</v>
      </c>
      <c r="I150">
        <v>367.166</v>
      </c>
      <c r="J150">
        <v>-463.68810000000002</v>
      </c>
      <c r="K150">
        <v>1.105064</v>
      </c>
      <c r="L150">
        <v>367.4701</v>
      </c>
      <c r="M150">
        <v>0.99990349999999995</v>
      </c>
      <c r="N150">
        <v>0</v>
      </c>
      <c r="O150">
        <v>7.7318769999999996E-4</v>
      </c>
      <c r="P150">
        <v>0.99093059999999999</v>
      </c>
      <c r="Q150">
        <v>-1.6337539999999901E-3</v>
      </c>
      <c r="R150">
        <v>0.1343645</v>
      </c>
      <c r="S150">
        <v>3.03353899999999</v>
      </c>
      <c r="T150">
        <v>-0.16621440000000001</v>
      </c>
      <c r="U150">
        <v>-4.5715329999999998E-2</v>
      </c>
      <c r="V150">
        <v>-0.1335992</v>
      </c>
      <c r="W150">
        <v>1.210166E-2</v>
      </c>
      <c r="X150">
        <v>0.9909616</v>
      </c>
      <c r="Y150">
        <v>1.5816549999999999E-2</v>
      </c>
      <c r="Z150">
        <v>-4.7529750000000002E-4</v>
      </c>
      <c r="AA150">
        <v>0.99987479999999995</v>
      </c>
      <c r="AB150">
        <v>17</v>
      </c>
      <c r="AC150">
        <v>20.067399999999999</v>
      </c>
      <c r="AD150">
        <v>-1.1050674306670001</v>
      </c>
      <c r="AE150">
        <v>-0.30410000000000498</v>
      </c>
      <c r="AF150">
        <v>0.31865119299174199</v>
      </c>
      <c r="AG150">
        <v>-1.1050674306670001</v>
      </c>
      <c r="AH150">
        <v>20.006503821162099</v>
      </c>
      <c r="AI150">
        <v>93.161143093935806</v>
      </c>
      <c r="AJ150">
        <v>89.087505491138003</v>
      </c>
      <c r="AK150">
        <v>20.039533621202199</v>
      </c>
    </row>
    <row r="151" spans="1:37" x14ac:dyDescent="0.2">
      <c r="A151" t="str">
        <f>"20200111155504010"</f>
        <v>20200111155504010</v>
      </c>
      <c r="B151" t="str">
        <f>"1578729304002434"</f>
        <v>1578729304002434</v>
      </c>
      <c r="C151" t="s">
        <v>37</v>
      </c>
      <c r="D151">
        <v>4.4293079999999998</v>
      </c>
      <c r="E151">
        <v>0.55567719999999998</v>
      </c>
      <c r="F151" t="s">
        <v>38</v>
      </c>
      <c r="G151">
        <v>-442.82139999999998</v>
      </c>
      <c r="H151" s="1">
        <v>-3.8010929999999999E-6</v>
      </c>
      <c r="I151">
        <v>367.20780000000002</v>
      </c>
      <c r="J151">
        <v>-463.59440000000001</v>
      </c>
      <c r="K151">
        <v>1.105064</v>
      </c>
      <c r="L151">
        <v>367.47019999999998</v>
      </c>
      <c r="M151">
        <v>0.99990349999999995</v>
      </c>
      <c r="N151">
        <v>0</v>
      </c>
      <c r="O151">
        <v>8.2489710000000003E-4</v>
      </c>
      <c r="P151">
        <v>0.99087099999999995</v>
      </c>
      <c r="Q151">
        <v>-1.915131E-3</v>
      </c>
      <c r="R151">
        <v>0.13480059999999999</v>
      </c>
      <c r="S151">
        <v>3.0323180000000001</v>
      </c>
      <c r="T151">
        <v>-0.16058639999999999</v>
      </c>
      <c r="U151">
        <v>-3.8116459999999998E-2</v>
      </c>
      <c r="V151">
        <v>-0.13398379999999999</v>
      </c>
      <c r="W151">
        <v>1.182416E-2</v>
      </c>
      <c r="X151">
        <v>0.99091299999999904</v>
      </c>
      <c r="Y151">
        <v>1.337409E-2</v>
      </c>
      <c r="Z151">
        <v>-3.9752979999999998E-4</v>
      </c>
      <c r="AA151">
        <v>0.99991049999999904</v>
      </c>
      <c r="AB151">
        <v>17</v>
      </c>
      <c r="AC151">
        <v>20.773</v>
      </c>
      <c r="AD151">
        <v>-1.105067801093</v>
      </c>
      <c r="AE151">
        <v>-0.262399999999956</v>
      </c>
      <c r="AF151">
        <v>0.27874842664534999</v>
      </c>
      <c r="AG151">
        <v>-1.105067801093</v>
      </c>
      <c r="AH151">
        <v>20.714165669121002</v>
      </c>
      <c r="AI151">
        <v>93.0534679506396</v>
      </c>
      <c r="AJ151">
        <v>89.229023041854703</v>
      </c>
      <c r="AK151">
        <v>20.745494327640401</v>
      </c>
    </row>
    <row r="152" spans="1:37" x14ac:dyDescent="0.2">
      <c r="A152" t="str">
        <f>"20200111155504023"</f>
        <v>20200111155504023</v>
      </c>
      <c r="B152" t="str">
        <f>"1578729304013170"</f>
        <v>1578729304013170</v>
      </c>
      <c r="C152" t="s">
        <v>37</v>
      </c>
      <c r="D152">
        <v>4.4573299999999998</v>
      </c>
      <c r="E152">
        <v>0.55533129999999997</v>
      </c>
      <c r="F152" t="s">
        <v>38</v>
      </c>
      <c r="G152">
        <v>-442.47649999999999</v>
      </c>
      <c r="H152" s="1">
        <v>-3.9594749999999999E-6</v>
      </c>
      <c r="I152">
        <v>367.23410000000001</v>
      </c>
      <c r="J152">
        <v>-463.49040000000002</v>
      </c>
      <c r="K152">
        <v>1.105065</v>
      </c>
      <c r="L152">
        <v>367.47039999999998</v>
      </c>
      <c r="M152">
        <v>0.9999034</v>
      </c>
      <c r="N152">
        <v>0</v>
      </c>
      <c r="O152">
        <v>8.8250649999999998E-4</v>
      </c>
      <c r="P152">
        <v>0.99087709999999996</v>
      </c>
      <c r="Q152">
        <v>-2.1497719999999999E-3</v>
      </c>
      <c r="R152">
        <v>0.13475239999999999</v>
      </c>
      <c r="S152">
        <v>3.0319210000000001</v>
      </c>
      <c r="T152">
        <v>-0.158655399999999</v>
      </c>
      <c r="U152">
        <v>-3.3905030000000003E-2</v>
      </c>
      <c r="V152">
        <v>-0.13387869999999999</v>
      </c>
      <c r="W152">
        <v>1.159434E-2</v>
      </c>
      <c r="X152">
        <v>0.99092990000000003</v>
      </c>
      <c r="Y152">
        <v>1.204684E-2</v>
      </c>
      <c r="Z152">
        <v>-3.6112169999999899E-4</v>
      </c>
      <c r="AA152">
        <v>0.99992729999999996</v>
      </c>
      <c r="AB152">
        <v>17</v>
      </c>
      <c r="AC152">
        <v>21.0139</v>
      </c>
      <c r="AD152">
        <v>-1.1050689594750001</v>
      </c>
      <c r="AE152">
        <v>-0.23629999999997101</v>
      </c>
      <c r="AF152">
        <v>0.25414386300962699</v>
      </c>
      <c r="AG152">
        <v>-1.1050689594750001</v>
      </c>
      <c r="AH152">
        <v>20.955738588590702</v>
      </c>
      <c r="AI152">
        <v>93.018388121574603</v>
      </c>
      <c r="AJ152">
        <v>89.305170903612705</v>
      </c>
      <c r="AK152">
        <v>20.9863943139752</v>
      </c>
    </row>
    <row r="153" spans="1:37" x14ac:dyDescent="0.2">
      <c r="A153" t="str">
        <f>"20200111155504041"</f>
        <v>20200111155504041</v>
      </c>
      <c r="B153" t="str">
        <f>"1578729304032692"</f>
        <v>1578729304032692</v>
      </c>
      <c r="C153" t="s">
        <v>37</v>
      </c>
      <c r="D153">
        <v>4.4796500000000004</v>
      </c>
      <c r="E153">
        <v>0.55494719999999997</v>
      </c>
      <c r="F153" t="s">
        <v>38</v>
      </c>
      <c r="G153">
        <v>-442.15010000000001</v>
      </c>
      <c r="H153" s="1">
        <v>-4.110582E-6</v>
      </c>
      <c r="I153">
        <v>367.25189999999998</v>
      </c>
      <c r="J153">
        <v>-463.36959999999999</v>
      </c>
      <c r="K153">
        <v>1.105064</v>
      </c>
      <c r="L153">
        <v>367.47059999999999</v>
      </c>
      <c r="M153">
        <v>0.99990319999999899</v>
      </c>
      <c r="N153">
        <v>0</v>
      </c>
      <c r="O153">
        <v>9.4988979999999896E-4</v>
      </c>
      <c r="P153">
        <v>0.99083180000000004</v>
      </c>
      <c r="Q153">
        <v>-2.5578160000000001E-3</v>
      </c>
      <c r="R153">
        <v>0.13507839999999999</v>
      </c>
      <c r="S153">
        <v>3.0315249999999998</v>
      </c>
      <c r="T153">
        <v>-0.1569817</v>
      </c>
      <c r="U153">
        <v>-3.1036379999999999E-2</v>
      </c>
      <c r="V153">
        <v>-0.1341378</v>
      </c>
      <c r="W153">
        <v>1.119001E-2</v>
      </c>
      <c r="X153">
        <v>0.99089950000000004</v>
      </c>
      <c r="Y153">
        <v>1.117103E-2</v>
      </c>
      <c r="Z153">
        <v>-3.381929E-4</v>
      </c>
      <c r="AA153">
        <v>0.99993750000000003</v>
      </c>
      <c r="AB153">
        <v>17</v>
      </c>
      <c r="AC153">
        <v>21.219499999999901</v>
      </c>
      <c r="AD153">
        <v>-1.1050681105819999</v>
      </c>
      <c r="AE153">
        <v>-0.218700000000012</v>
      </c>
      <c r="AF153">
        <v>0.23821204075652999</v>
      </c>
      <c r="AG153">
        <v>-1.1050681105819999</v>
      </c>
      <c r="AH153">
        <v>21.1618953061414</v>
      </c>
      <c r="AI153">
        <v>92.989065008736901</v>
      </c>
      <c r="AJ153">
        <v>89.355068724607406</v>
      </c>
      <c r="AK153">
        <v>21.192067701229099</v>
      </c>
    </row>
    <row r="154" spans="1:37" x14ac:dyDescent="0.2">
      <c r="A154" t="str">
        <f>"20200111155504053"</f>
        <v>20200111155504053</v>
      </c>
      <c r="B154" t="str">
        <f>"1578729304042450"</f>
        <v>1578729304042450</v>
      </c>
      <c r="C154" t="s">
        <v>37</v>
      </c>
      <c r="D154">
        <v>4.4346030000000001</v>
      </c>
      <c r="E154">
        <v>0.55462919999999905</v>
      </c>
      <c r="F154" t="s">
        <v>38</v>
      </c>
      <c r="G154">
        <v>-441.65929999999997</v>
      </c>
      <c r="H154" s="1">
        <v>-4.3381589999999997E-6</v>
      </c>
      <c r="I154">
        <v>367.27690000000001</v>
      </c>
      <c r="J154">
        <v>-463.274</v>
      </c>
      <c r="K154">
        <v>1.105065</v>
      </c>
      <c r="L154">
        <v>367.4708</v>
      </c>
      <c r="M154">
        <v>0.99990309999999905</v>
      </c>
      <c r="N154">
        <v>0</v>
      </c>
      <c r="O154">
        <v>1.003096E-3</v>
      </c>
      <c r="P154">
        <v>0.99077579999999998</v>
      </c>
      <c r="Q154">
        <v>-2.9766250000000001E-3</v>
      </c>
      <c r="R154">
        <v>0.13547970000000001</v>
      </c>
      <c r="S154">
        <v>3.0310359999999998</v>
      </c>
      <c r="T154">
        <v>-0.1542819</v>
      </c>
      <c r="U154">
        <v>-2.7038570000000001E-2</v>
      </c>
      <c r="V154">
        <v>-0.1344862</v>
      </c>
      <c r="W154">
        <v>1.07727999999999E-2</v>
      </c>
      <c r="X154">
        <v>0.99085689999999904</v>
      </c>
      <c r="Y154">
        <v>9.9092380000000008E-3</v>
      </c>
      <c r="Z154">
        <v>-3.030547E-4</v>
      </c>
      <c r="AA154">
        <v>0.99995089999999998</v>
      </c>
      <c r="AB154">
        <v>17</v>
      </c>
      <c r="AC154">
        <v>21.614699999999999</v>
      </c>
      <c r="AD154">
        <v>-1.105069338159</v>
      </c>
      <c r="AE154">
        <v>-0.193899999999985</v>
      </c>
      <c r="AF154">
        <v>0.21502162277527101</v>
      </c>
      <c r="AG154">
        <v>-1.105069338159</v>
      </c>
      <c r="AH154">
        <v>21.5581493736636</v>
      </c>
      <c r="AI154">
        <v>92.934263912395394</v>
      </c>
      <c r="AJ154">
        <v>89.428549140786302</v>
      </c>
      <c r="AK154">
        <v>21.587524567619901</v>
      </c>
    </row>
    <row r="155" spans="1:37" x14ac:dyDescent="0.2">
      <c r="A155" t="str">
        <f>"20200111155504066"</f>
        <v>20200111155504066</v>
      </c>
      <c r="B155" t="str">
        <f>"1578729304062946"</f>
        <v>1578729304062946</v>
      </c>
      <c r="C155" t="s">
        <v>37</v>
      </c>
      <c r="D155">
        <v>4.4799439999999997</v>
      </c>
      <c r="E155">
        <v>0.55421580000000004</v>
      </c>
      <c r="F155" t="s">
        <v>38</v>
      </c>
      <c r="G155">
        <v>-441.48950000000002</v>
      </c>
      <c r="H155" s="1">
        <v>-4.4141370000000002E-6</v>
      </c>
      <c r="I155">
        <v>367.30099999999999</v>
      </c>
      <c r="J155">
        <v>-463.1807</v>
      </c>
      <c r="K155">
        <v>1.105059</v>
      </c>
      <c r="L155">
        <v>367.47089999999997</v>
      </c>
      <c r="M155">
        <v>0.99990309999999905</v>
      </c>
      <c r="N155">
        <v>0</v>
      </c>
      <c r="O155">
        <v>1.0549939999999901E-3</v>
      </c>
      <c r="P155">
        <v>0.99074569999999995</v>
      </c>
      <c r="Q155">
        <v>-3.410326E-3</v>
      </c>
      <c r="R155">
        <v>0.13568920000000001</v>
      </c>
      <c r="S155">
        <v>3.0307009999999899</v>
      </c>
      <c r="T155">
        <v>-0.1537396</v>
      </c>
      <c r="U155">
        <v>-2.362061E-2</v>
      </c>
      <c r="V155">
        <v>-0.1346446</v>
      </c>
      <c r="W155">
        <v>1.034128E-2</v>
      </c>
      <c r="X155">
        <v>0.99083999999999905</v>
      </c>
      <c r="Y155">
        <v>8.8358819999999998E-3</v>
      </c>
      <c r="Z155">
        <v>-2.7745040000000002E-4</v>
      </c>
      <c r="AA155">
        <v>0.99996090000000004</v>
      </c>
      <c r="AB155">
        <v>17</v>
      </c>
      <c r="AC155">
        <v>21.691199999999899</v>
      </c>
      <c r="AD155">
        <v>-1.1050634141369999</v>
      </c>
      <c r="AE155">
        <v>-0.16989999999998401</v>
      </c>
      <c r="AF155">
        <v>0.19228716136284199</v>
      </c>
      <c r="AG155">
        <v>-1.1050634141369999</v>
      </c>
      <c r="AH155">
        <v>21.634860612509101</v>
      </c>
      <c r="AI155">
        <v>92.923892158563504</v>
      </c>
      <c r="AJ155">
        <v>89.490777735332998</v>
      </c>
      <c r="AK155">
        <v>21.663917771824799</v>
      </c>
    </row>
    <row r="156" spans="1:37" x14ac:dyDescent="0.2">
      <c r="A156" t="str">
        <f>"20200111155504079"</f>
        <v>20200111155504079</v>
      </c>
      <c r="B156" t="str">
        <f>"1578729304072706"</f>
        <v>1578729304072706</v>
      </c>
      <c r="C156" t="s">
        <v>37</v>
      </c>
      <c r="D156">
        <v>4.5186080000000004</v>
      </c>
      <c r="E156">
        <v>0.55403539999999996</v>
      </c>
      <c r="F156" t="s">
        <v>38</v>
      </c>
      <c r="G156">
        <v>-441.06119999999999</v>
      </c>
      <c r="H156" s="1">
        <v>-4.6116719999999902E-6</v>
      </c>
      <c r="I156">
        <v>367.3288</v>
      </c>
      <c r="J156">
        <v>-463.07979999999998</v>
      </c>
      <c r="K156">
        <v>1.1050599999999999</v>
      </c>
      <c r="L156">
        <v>367.47109999999998</v>
      </c>
      <c r="M156">
        <v>0.99990309999999905</v>
      </c>
      <c r="N156">
        <v>0</v>
      </c>
      <c r="O156">
        <v>1.1110639999999999E-3</v>
      </c>
      <c r="P156">
        <v>0.9906703</v>
      </c>
      <c r="Q156">
        <v>-3.6369089999999998E-3</v>
      </c>
      <c r="R156">
        <v>0.13623399999999999</v>
      </c>
      <c r="S156">
        <v>3.0301819999999999</v>
      </c>
      <c r="T156">
        <v>-0.15138450000000001</v>
      </c>
      <c r="U156">
        <v>-1.9470210000000002E-2</v>
      </c>
      <c r="V156">
        <v>-0.1351339</v>
      </c>
      <c r="W156">
        <v>1.011623E-2</v>
      </c>
      <c r="X156">
        <v>0.99077569999999904</v>
      </c>
      <c r="Y156">
        <v>7.5256689999999996E-3</v>
      </c>
      <c r="Z156">
        <v>-2.433457E-4</v>
      </c>
      <c r="AA156">
        <v>0.99997159999999996</v>
      </c>
      <c r="AB156">
        <v>17</v>
      </c>
      <c r="AC156">
        <v>22.0185999999999</v>
      </c>
      <c r="AD156">
        <v>-1.105064611672</v>
      </c>
      <c r="AE156">
        <v>-0.142299999999977</v>
      </c>
      <c r="AF156">
        <v>0.16634736122659399</v>
      </c>
      <c r="AG156">
        <v>-1.105064611672</v>
      </c>
      <c r="AH156">
        <v>21.963109629962702</v>
      </c>
      <c r="AI156">
        <v>92.880301563778701</v>
      </c>
      <c r="AJ156">
        <v>89.566053275204695</v>
      </c>
      <c r="AK156">
        <v>21.9915216358105</v>
      </c>
    </row>
    <row r="157" spans="1:37" x14ac:dyDescent="0.2">
      <c r="A157" t="str">
        <f>"20200111155504096"</f>
        <v>20200111155504096</v>
      </c>
      <c r="B157" t="str">
        <f>"1578729304093202"</f>
        <v>1578729304093202</v>
      </c>
      <c r="C157" t="s">
        <v>37</v>
      </c>
      <c r="D157">
        <v>4.5141330000000002</v>
      </c>
      <c r="E157">
        <v>0.55369699999999999</v>
      </c>
      <c r="F157" t="s">
        <v>38</v>
      </c>
      <c r="G157">
        <v>-440.83890000000002</v>
      </c>
      <c r="H157" s="1">
        <v>-4.7130020000000001E-6</v>
      </c>
      <c r="I157">
        <v>367.34989999999999</v>
      </c>
      <c r="J157">
        <v>-462.95960000000002</v>
      </c>
      <c r="K157">
        <v>1.105064</v>
      </c>
      <c r="L157">
        <v>367.47129999999999</v>
      </c>
      <c r="M157">
        <v>0.99990279999999998</v>
      </c>
      <c r="N157">
        <v>0</v>
      </c>
      <c r="O157">
        <v>1.178101E-3</v>
      </c>
      <c r="P157">
        <v>0.99058369999999996</v>
      </c>
      <c r="Q157">
        <v>-3.8687169999999998E-3</v>
      </c>
      <c r="R157">
        <v>0.13685439999999999</v>
      </c>
      <c r="S157">
        <v>3.029938</v>
      </c>
      <c r="T157">
        <v>-0.15054600000000001</v>
      </c>
      <c r="U157">
        <v>-1.6510009999999999E-2</v>
      </c>
      <c r="V157">
        <v>-0.1356879</v>
      </c>
      <c r="W157">
        <v>9.885451E-3</v>
      </c>
      <c r="X157">
        <v>0.99070230000000004</v>
      </c>
      <c r="Y157">
        <v>6.6174569999999898E-3</v>
      </c>
      <c r="Z157">
        <v>-2.2279989999999999E-4</v>
      </c>
      <c r="AA157">
        <v>0.99997809999999898</v>
      </c>
      <c r="AB157">
        <v>17</v>
      </c>
      <c r="AC157">
        <v>22.120699999999999</v>
      </c>
      <c r="AD157">
        <v>-1.105068713002</v>
      </c>
      <c r="AE157">
        <v>-0.121399999999994</v>
      </c>
      <c r="AF157">
        <v>0.14709576367344099</v>
      </c>
      <c r="AG157">
        <v>-1.105068713002</v>
      </c>
      <c r="AH157">
        <v>22.065475924933899</v>
      </c>
      <c r="AI157">
        <v>92.866990713771301</v>
      </c>
      <c r="AJ157">
        <v>89.618053033229003</v>
      </c>
      <c r="AK157">
        <v>22.093619934677601</v>
      </c>
    </row>
    <row r="158" spans="1:37" x14ac:dyDescent="0.2">
      <c r="A158" t="str">
        <f>"20200111155504109"</f>
        <v>20200111155504109</v>
      </c>
      <c r="B158" t="str">
        <f>"1578729304102962"</f>
        <v>1578729304102962</v>
      </c>
      <c r="C158" t="s">
        <v>37</v>
      </c>
      <c r="D158">
        <v>4.5197339999999997</v>
      </c>
      <c r="E158">
        <v>0.55366939999999998</v>
      </c>
      <c r="F158" t="s">
        <v>38</v>
      </c>
      <c r="G158">
        <v>-440.46559999999999</v>
      </c>
      <c r="H158" s="1">
        <v>-4.8837920000000004E-6</v>
      </c>
      <c r="I158">
        <v>367.38199999999898</v>
      </c>
      <c r="J158">
        <v>-462.86130000000003</v>
      </c>
      <c r="K158">
        <v>1.1050659999999899</v>
      </c>
      <c r="L158">
        <v>367.47149999999999</v>
      </c>
      <c r="M158">
        <v>0.99990270000000003</v>
      </c>
      <c r="N158">
        <v>0</v>
      </c>
      <c r="O158">
        <v>1.232686E-3</v>
      </c>
      <c r="P158">
        <v>0.99054900000000001</v>
      </c>
      <c r="Q158">
        <v>-4.0936380000000001E-3</v>
      </c>
      <c r="R158">
        <v>0.13709830000000001</v>
      </c>
      <c r="S158">
        <v>3.0295719999999999</v>
      </c>
      <c r="T158">
        <v>-0.14883450000000001</v>
      </c>
      <c r="U158">
        <v>-1.202393E-2</v>
      </c>
      <c r="V158">
        <v>-0.1358781</v>
      </c>
      <c r="W158">
        <v>9.6613500000000008E-3</v>
      </c>
      <c r="X158">
        <v>0.99067839999999996</v>
      </c>
      <c r="Y158">
        <v>5.1938649999999998E-3</v>
      </c>
      <c r="Z158">
        <v>-1.880304E-4</v>
      </c>
      <c r="AA158">
        <v>0.9999865</v>
      </c>
      <c r="AB158">
        <v>17</v>
      </c>
      <c r="AC158">
        <v>22.395700000000001</v>
      </c>
      <c r="AD158">
        <v>-1.10507088379199</v>
      </c>
      <c r="AE158">
        <v>-8.95000000000436E-2</v>
      </c>
      <c r="AF158">
        <v>0.116825030284249</v>
      </c>
      <c r="AG158">
        <v>-1.10507088379199</v>
      </c>
      <c r="AH158">
        <v>22.3411787529799</v>
      </c>
      <c r="AI158">
        <v>92.831698081723303</v>
      </c>
      <c r="AJ158">
        <v>89.700395389054293</v>
      </c>
      <c r="AK158">
        <v>22.368797415563201</v>
      </c>
    </row>
    <row r="159" spans="1:37" x14ac:dyDescent="0.2">
      <c r="A159" t="str">
        <f>"20200111155504125"</f>
        <v>20200111155504125</v>
      </c>
      <c r="B159" t="str">
        <f>"1578729304122481"</f>
        <v>1578729304122481</v>
      </c>
      <c r="C159" t="s">
        <v>37</v>
      </c>
      <c r="D159">
        <v>4.5422769999999897</v>
      </c>
      <c r="E159">
        <v>0.55355129999999997</v>
      </c>
      <c r="F159" t="s">
        <v>38</v>
      </c>
      <c r="G159">
        <v>-440.2527</v>
      </c>
      <c r="H159" s="1">
        <v>-4.9833729999999999E-6</v>
      </c>
      <c r="I159">
        <v>367.3879</v>
      </c>
      <c r="J159">
        <v>-462.7482</v>
      </c>
      <c r="K159">
        <v>1.105065</v>
      </c>
      <c r="L159">
        <v>367.4717</v>
      </c>
      <c r="M159">
        <v>0.99990249999999903</v>
      </c>
      <c r="N159">
        <v>0</v>
      </c>
      <c r="O159">
        <v>1.2956759999999999E-3</v>
      </c>
      <c r="P159">
        <v>0.99056449999999996</v>
      </c>
      <c r="Q159">
        <v>-4.2375759999999998E-3</v>
      </c>
      <c r="R159">
        <v>0.1369821</v>
      </c>
      <c r="S159">
        <v>3.029541</v>
      </c>
      <c r="T159">
        <v>-0.14807889999999899</v>
      </c>
      <c r="U159">
        <v>-1.119995E-2</v>
      </c>
      <c r="V159">
        <v>-0.13569919999999999</v>
      </c>
      <c r="W159">
        <v>9.5192590000000004E-3</v>
      </c>
      <c r="X159">
        <v>0.99070440000000004</v>
      </c>
      <c r="Y159">
        <v>4.9851790000000002E-3</v>
      </c>
      <c r="Z159">
        <v>-1.8505919999999999E-4</v>
      </c>
      <c r="AA159">
        <v>0.99998750000000003</v>
      </c>
      <c r="AB159">
        <v>16</v>
      </c>
      <c r="AC159">
        <v>22.4955</v>
      </c>
      <c r="AD159">
        <v>-1.105069983373</v>
      </c>
      <c r="AE159">
        <v>-8.3799999999996502E-2</v>
      </c>
      <c r="AF159">
        <v>0.11267771979220199</v>
      </c>
      <c r="AG159">
        <v>-1.105069983373</v>
      </c>
      <c r="AH159">
        <v>22.441218758182899</v>
      </c>
      <c r="AI159">
        <v>92.819095861048098</v>
      </c>
      <c r="AJ159">
        <v>89.712319388408602</v>
      </c>
      <c r="AK159">
        <v>22.468693226115999</v>
      </c>
    </row>
    <row r="160" spans="1:37" x14ac:dyDescent="0.2">
      <c r="A160" t="str">
        <f>"20200111155504142"</f>
        <v>20200111155504142</v>
      </c>
      <c r="B160" t="str">
        <f>"1578729304133220"</f>
        <v>1578729304133220</v>
      </c>
      <c r="C160" t="s">
        <v>37</v>
      </c>
      <c r="D160">
        <v>4.7021959999999998</v>
      </c>
      <c r="E160">
        <v>0.553624</v>
      </c>
      <c r="F160" t="s">
        <v>39</v>
      </c>
      <c r="G160">
        <v>-438.83420000000001</v>
      </c>
      <c r="H160">
        <v>-0.05</v>
      </c>
      <c r="I160">
        <v>367.38900000000001</v>
      </c>
      <c r="J160">
        <v>-462.62549999999999</v>
      </c>
      <c r="K160">
        <v>1.105065</v>
      </c>
      <c r="L160">
        <v>367.47199999999998</v>
      </c>
      <c r="M160">
        <v>0.99990270000000003</v>
      </c>
      <c r="N160">
        <v>0</v>
      </c>
      <c r="O160">
        <v>1.3633759999999999E-3</v>
      </c>
      <c r="P160">
        <v>0.99056350000000004</v>
      </c>
      <c r="Q160">
        <v>-5.158475E-3</v>
      </c>
      <c r="R160">
        <v>0.13695850000000001</v>
      </c>
      <c r="S160">
        <v>3.029388</v>
      </c>
      <c r="T160">
        <v>-0.146321799999999</v>
      </c>
      <c r="U160">
        <v>-1.0467529999999999E-2</v>
      </c>
      <c r="V160">
        <v>-0.13560829999999999</v>
      </c>
      <c r="W160">
        <v>8.5985230000000003E-3</v>
      </c>
      <c r="X160">
        <v>0.99072519999999997</v>
      </c>
      <c r="Y160">
        <v>4.811605E-3</v>
      </c>
      <c r="Z160">
        <v>-1.8195400000000001E-4</v>
      </c>
      <c r="AA160">
        <v>0.9999884</v>
      </c>
      <c r="AB160">
        <v>16</v>
      </c>
      <c r="AC160">
        <v>23.7912999999999</v>
      </c>
      <c r="AD160">
        <v>-1.155065</v>
      </c>
      <c r="AE160">
        <v>-8.2999999999969903E-2</v>
      </c>
      <c r="AF160">
        <v>0.115168078064409</v>
      </c>
      <c r="AG160">
        <v>-1.155065</v>
      </c>
      <c r="AH160">
        <v>23.735219302511801</v>
      </c>
      <c r="AI160">
        <v>92.786045575868101</v>
      </c>
      <c r="AJ160">
        <v>89.721991487060194</v>
      </c>
      <c r="AK160">
        <v>23.763587148803101</v>
      </c>
    </row>
    <row r="161" spans="1:37" x14ac:dyDescent="0.2">
      <c r="A161" t="str">
        <f>"20200111155504154"</f>
        <v>20200111155504154</v>
      </c>
      <c r="B161" t="str">
        <f>"1578729304142977"</f>
        <v>1578729304142977</v>
      </c>
      <c r="C161" t="s">
        <v>37</v>
      </c>
      <c r="D161">
        <v>4.7378980000000004</v>
      </c>
      <c r="E161">
        <v>0.55341209999999996</v>
      </c>
      <c r="F161" t="s">
        <v>39</v>
      </c>
      <c r="G161">
        <v>-438.91750000000002</v>
      </c>
      <c r="H161">
        <v>-0.05</v>
      </c>
      <c r="I161">
        <v>367.38330000000002</v>
      </c>
      <c r="J161">
        <v>-462.52980000000002</v>
      </c>
      <c r="K161">
        <v>1.105065</v>
      </c>
      <c r="L161">
        <v>367.47210000000001</v>
      </c>
      <c r="M161">
        <v>0.99990249999999903</v>
      </c>
      <c r="N161">
        <v>0</v>
      </c>
      <c r="O161">
        <v>1.416477E-3</v>
      </c>
      <c r="P161">
        <v>0.99055309999999896</v>
      </c>
      <c r="Q161">
        <v>-5.7181659999999898E-3</v>
      </c>
      <c r="R161">
        <v>0.13701079999999999</v>
      </c>
      <c r="S161">
        <v>3.0293580000000002</v>
      </c>
      <c r="T161">
        <v>-0.14759159999999999</v>
      </c>
      <c r="U161">
        <v>-1.132202E-2</v>
      </c>
      <c r="V161">
        <v>-0.1356079</v>
      </c>
      <c r="W161">
        <v>8.0396909999999999E-3</v>
      </c>
      <c r="X161">
        <v>0.990729999999999</v>
      </c>
      <c r="Y161">
        <v>5.1462230000000001E-3</v>
      </c>
      <c r="Z161">
        <v>-1.9426520000000001E-4</v>
      </c>
      <c r="AA161">
        <v>0.99998679999999995</v>
      </c>
      <c r="AB161">
        <v>16</v>
      </c>
      <c r="AC161">
        <v>23.612300000000001</v>
      </c>
      <c r="AD161">
        <v>-1.155065</v>
      </c>
      <c r="AE161">
        <v>-8.8799999999991996E-2</v>
      </c>
      <c r="AF161">
        <v>0.12195758248913501</v>
      </c>
      <c r="AG161">
        <v>-1.155065</v>
      </c>
      <c r="AH161">
        <v>23.5557831554854</v>
      </c>
      <c r="AI161">
        <v>92.807229883924606</v>
      </c>
      <c r="AJ161">
        <v>89.703359795958903</v>
      </c>
      <c r="AK161">
        <v>23.584400964926001</v>
      </c>
    </row>
    <row r="162" spans="1:37" x14ac:dyDescent="0.2">
      <c r="A162" t="str">
        <f>"20200111155504167"</f>
        <v>20200111155504167</v>
      </c>
      <c r="B162" t="str">
        <f>"1578729304162498"</f>
        <v>1578729304162498</v>
      </c>
      <c r="C162" t="s">
        <v>37</v>
      </c>
      <c r="D162">
        <v>4.7240820000000001</v>
      </c>
      <c r="E162">
        <v>0.55325630000000003</v>
      </c>
      <c r="F162" t="s">
        <v>39</v>
      </c>
      <c r="G162">
        <v>-438.82580000000002</v>
      </c>
      <c r="H162">
        <v>-0.05</v>
      </c>
      <c r="I162">
        <v>367.3981</v>
      </c>
      <c r="J162">
        <v>-462.43799999999999</v>
      </c>
      <c r="K162">
        <v>1.105067</v>
      </c>
      <c r="L162">
        <v>367.47239999999999</v>
      </c>
      <c r="M162">
        <v>0.99990239999999997</v>
      </c>
      <c r="N162">
        <v>0</v>
      </c>
      <c r="O162">
        <v>1.4673150000000001E-3</v>
      </c>
      <c r="P162">
        <v>0.99057779999999995</v>
      </c>
      <c r="Q162">
        <v>-6.2119289999999997E-3</v>
      </c>
      <c r="R162">
        <v>0.1368105</v>
      </c>
      <c r="S162">
        <v>3.029083</v>
      </c>
      <c r="T162">
        <v>-0.1476037</v>
      </c>
      <c r="U162">
        <v>-9.4604489999999992E-3</v>
      </c>
      <c r="V162">
        <v>-0.13535759999999999</v>
      </c>
      <c r="W162">
        <v>7.5461779999999997E-3</v>
      </c>
      <c r="X162">
        <v>0.99076810000000004</v>
      </c>
      <c r="Y162">
        <v>4.5834579999999899E-3</v>
      </c>
      <c r="Z162">
        <v>-1.83071699999999E-4</v>
      </c>
      <c r="AA162">
        <v>0.99998940000000003</v>
      </c>
      <c r="AB162">
        <v>16</v>
      </c>
      <c r="AC162">
        <v>23.612200000000001</v>
      </c>
      <c r="AD162">
        <v>-1.1550670000000001</v>
      </c>
      <c r="AE162">
        <v>-7.4299999999993802E-2</v>
      </c>
      <c r="AF162">
        <v>0.10868970861939101</v>
      </c>
      <c r="AG162">
        <v>-1.1550670000000001</v>
      </c>
      <c r="AH162">
        <v>23.5556974809469</v>
      </c>
      <c r="AI162">
        <v>92.807252659119001</v>
      </c>
      <c r="AJ162">
        <v>89.735630100070694</v>
      </c>
      <c r="AK162">
        <v>23.584250614364201</v>
      </c>
    </row>
    <row r="163" spans="1:37" x14ac:dyDescent="0.2">
      <c r="A163" t="str">
        <f>"20200111155504210"</f>
        <v>20200111155504210</v>
      </c>
      <c r="B163" t="str">
        <f>"1578729304202513"</f>
        <v>1578729304202513</v>
      </c>
      <c r="C163" t="s">
        <v>37</v>
      </c>
      <c r="D163">
        <v>4.5803580000000004</v>
      </c>
      <c r="E163">
        <v>0.55321669999999901</v>
      </c>
      <c r="F163" t="s">
        <v>39</v>
      </c>
      <c r="G163">
        <v>-438.65609999999998</v>
      </c>
      <c r="H163">
        <v>-0.05</v>
      </c>
      <c r="I163">
        <v>367.40309999999999</v>
      </c>
      <c r="J163">
        <v>-462.11750000000001</v>
      </c>
      <c r="K163">
        <v>1.1050580000000001</v>
      </c>
      <c r="L163">
        <v>367.47300000000001</v>
      </c>
      <c r="M163">
        <v>0.99990219999999896</v>
      </c>
      <c r="N163">
        <v>0</v>
      </c>
      <c r="O163">
        <v>1.6438570000000001E-3</v>
      </c>
      <c r="P163">
        <v>0.99055300000000002</v>
      </c>
      <c r="Q163">
        <v>-7.2119819999999996E-3</v>
      </c>
      <c r="R163">
        <v>0.13694239999999999</v>
      </c>
      <c r="S163">
        <v>3.0288390000000001</v>
      </c>
      <c r="T163">
        <v>-0.14710819999999999</v>
      </c>
      <c r="U163">
        <v>-8.8195800000000005E-3</v>
      </c>
      <c r="V163">
        <v>-0.13531409999999999</v>
      </c>
      <c r="W163">
        <v>6.5448469999999899E-3</v>
      </c>
      <c r="X163">
        <v>0.99078109999999997</v>
      </c>
      <c r="Y163">
        <v>4.5485609999999996E-3</v>
      </c>
      <c r="Z163">
        <v>-1.901959E-4</v>
      </c>
      <c r="AA163">
        <v>0.99998960000000003</v>
      </c>
      <c r="AB163">
        <v>16</v>
      </c>
      <c r="AC163">
        <v>23.461400000000001</v>
      </c>
      <c r="AD163">
        <v>-1.1550579999999999</v>
      </c>
      <c r="AE163">
        <v>-6.9900000000018198E-2</v>
      </c>
      <c r="AF163">
        <v>0.108208536963759</v>
      </c>
      <c r="AG163">
        <v>-1.1550579999999999</v>
      </c>
      <c r="AH163">
        <v>23.4045256060122</v>
      </c>
      <c r="AI163">
        <v>92.825333564042694</v>
      </c>
      <c r="AJ163">
        <v>89.735100450047298</v>
      </c>
      <c r="AK163">
        <v>23.4332602706776</v>
      </c>
    </row>
    <row r="164" spans="1:37" x14ac:dyDescent="0.2">
      <c r="A164" t="str">
        <f>"20200111155504223"</f>
        <v>20200111155504223</v>
      </c>
      <c r="B164" t="str">
        <f>"1578729304213250"</f>
        <v>1578729304213250</v>
      </c>
      <c r="C164" t="s">
        <v>37</v>
      </c>
      <c r="D164">
        <v>4.6543109999999999</v>
      </c>
      <c r="E164">
        <v>0.54057109999999997</v>
      </c>
      <c r="F164" t="s">
        <v>39</v>
      </c>
      <c r="G164">
        <v>-438.59559999999999</v>
      </c>
      <c r="H164">
        <v>-0.05</v>
      </c>
      <c r="I164">
        <v>367.40570000000002</v>
      </c>
      <c r="J164">
        <v>-462.03149999999999</v>
      </c>
      <c r="K164">
        <v>1.1050500000000001</v>
      </c>
      <c r="L164">
        <v>367.47329999999999</v>
      </c>
      <c r="M164">
        <v>0.99990210000000002</v>
      </c>
      <c r="N164">
        <v>0</v>
      </c>
      <c r="O164">
        <v>1.69136E-3</v>
      </c>
      <c r="P164">
        <v>0.99052689999999999</v>
      </c>
      <c r="Q164">
        <v>-7.3802449999999997E-3</v>
      </c>
      <c r="R164">
        <v>0.13712070000000001</v>
      </c>
      <c r="S164">
        <v>3.0287169999999999</v>
      </c>
      <c r="T164">
        <v>-0.1487269</v>
      </c>
      <c r="U164">
        <v>-8.6669920000000001E-3</v>
      </c>
      <c r="V164">
        <v>-0.1354457</v>
      </c>
      <c r="W164">
        <v>6.376049E-3</v>
      </c>
      <c r="X164">
        <v>0.99076430000000004</v>
      </c>
      <c r="Y164">
        <v>4.5455909999999999E-3</v>
      </c>
      <c r="Z164">
        <v>-1.94552599999999E-4</v>
      </c>
      <c r="AA164">
        <v>0.99998960000000003</v>
      </c>
      <c r="AB164">
        <v>16</v>
      </c>
      <c r="AC164">
        <v>23.4359</v>
      </c>
      <c r="AD164">
        <v>-1.1550499999999999</v>
      </c>
      <c r="AE164">
        <v>-6.7599999999970295E-2</v>
      </c>
      <c r="AF164">
        <v>0.10698240683813599</v>
      </c>
      <c r="AG164">
        <v>-1.1550499999999999</v>
      </c>
      <c r="AH164">
        <v>23.378963684908801</v>
      </c>
      <c r="AI164">
        <v>92.828398750746402</v>
      </c>
      <c r="AJ164">
        <v>89.737815683685596</v>
      </c>
      <c r="AK164">
        <v>23.407723697919799</v>
      </c>
    </row>
    <row r="165" spans="1:37" x14ac:dyDescent="0.2">
      <c r="A165" t="str">
        <f>"20200111155504242"</f>
        <v>20200111155504242</v>
      </c>
      <c r="B165" t="str">
        <f>"1578729304232772"</f>
        <v>1578729304232772</v>
      </c>
      <c r="C165" t="s">
        <v>37</v>
      </c>
      <c r="D165">
        <v>4.64323</v>
      </c>
      <c r="E165">
        <v>0.53981689999999904</v>
      </c>
      <c r="F165" t="s">
        <v>39</v>
      </c>
      <c r="G165">
        <v>-425.61860000000001</v>
      </c>
      <c r="H165">
        <v>-0.05</v>
      </c>
      <c r="I165">
        <v>368.58030000000002</v>
      </c>
      <c r="J165">
        <v>-461.89240000000001</v>
      </c>
      <c r="K165">
        <v>1.1050469999999999</v>
      </c>
      <c r="L165">
        <v>367.47359999999998</v>
      </c>
      <c r="M165">
        <v>0.99990199999999996</v>
      </c>
      <c r="N165">
        <v>0</v>
      </c>
      <c r="O165">
        <v>1.7681889999999899E-3</v>
      </c>
      <c r="P165">
        <v>0.99041219999999996</v>
      </c>
      <c r="Q165">
        <v>-7.9389709999999995E-3</v>
      </c>
      <c r="R165">
        <v>0.13791529999999999</v>
      </c>
      <c r="S165">
        <v>3.0152890000000001</v>
      </c>
      <c r="T165">
        <v>-9.564781E-2</v>
      </c>
      <c r="U165">
        <v>9.1674800000000001E-2</v>
      </c>
      <c r="V165">
        <v>-0.13616410000000001</v>
      </c>
      <c r="W165">
        <v>5.8148219999999999E-3</v>
      </c>
      <c r="X165">
        <v>0.99066929999999997</v>
      </c>
      <c r="Y165">
        <v>-2.86082E-2</v>
      </c>
      <c r="Z165">
        <v>3.9745409999999997E-4</v>
      </c>
      <c r="AA165">
        <v>0.999590599999999</v>
      </c>
      <c r="AB165">
        <v>16</v>
      </c>
      <c r="AC165">
        <v>36.273800000000001</v>
      </c>
      <c r="AD165">
        <v>-1.1550469999999999</v>
      </c>
      <c r="AE165">
        <v>1.10670000000004</v>
      </c>
      <c r="AF165">
        <v>-1.04149811270004</v>
      </c>
      <c r="AG165">
        <v>-1.1550469999999999</v>
      </c>
      <c r="AH165">
        <v>36.238990256719298</v>
      </c>
      <c r="AI165">
        <v>91.824820024625296</v>
      </c>
      <c r="AJ165">
        <v>91.646211012816494</v>
      </c>
      <c r="AK165">
        <v>36.272348513951599</v>
      </c>
    </row>
    <row r="166" spans="1:37" x14ac:dyDescent="0.2">
      <c r="A166" t="str">
        <f>"20200111155504254"</f>
        <v>20200111155504254</v>
      </c>
      <c r="B166" t="str">
        <f>"1578729304242530"</f>
        <v>1578729304242530</v>
      </c>
      <c r="C166" t="s">
        <v>37</v>
      </c>
      <c r="D166">
        <v>4.6351230000000001</v>
      </c>
      <c r="E166">
        <v>0.53948560000000001</v>
      </c>
      <c r="F166" t="s">
        <v>39</v>
      </c>
      <c r="G166">
        <v>-422.34949999999998</v>
      </c>
      <c r="H166">
        <v>-0.05</v>
      </c>
      <c r="I166">
        <v>368.78309999999999</v>
      </c>
      <c r="J166">
        <v>-461.80279999999999</v>
      </c>
      <c r="K166">
        <v>1.1050489999999999</v>
      </c>
      <c r="L166">
        <v>367.47379999999998</v>
      </c>
      <c r="M166">
        <v>0.99990199999999996</v>
      </c>
      <c r="N166">
        <v>0</v>
      </c>
      <c r="O166">
        <v>1.8175439999999999E-3</v>
      </c>
      <c r="P166">
        <v>0.99035659999999903</v>
      </c>
      <c r="Q166">
        <v>-8.0139689999999993E-3</v>
      </c>
      <c r="R166">
        <v>0.13831079999999901</v>
      </c>
      <c r="S166">
        <v>3.0144039999999999</v>
      </c>
      <c r="T166">
        <v>-8.8050719999999999E-2</v>
      </c>
      <c r="U166">
        <v>9.9822999999999995E-2</v>
      </c>
      <c r="V166">
        <v>-0.13651089999999999</v>
      </c>
      <c r="W166">
        <v>5.7380529999999999E-3</v>
      </c>
      <c r="X166">
        <v>0.99062190000000006</v>
      </c>
      <c r="Y166">
        <v>-3.1267870000000003E-2</v>
      </c>
      <c r="Z166">
        <v>4.0337529999999997E-4</v>
      </c>
      <c r="AA166">
        <v>0.99951089999999998</v>
      </c>
      <c r="AB166">
        <v>16</v>
      </c>
      <c r="AC166">
        <v>39.453299999999999</v>
      </c>
      <c r="AD166">
        <v>-1.155049</v>
      </c>
      <c r="AE166">
        <v>1.3092999999999999</v>
      </c>
      <c r="AF166">
        <v>-1.23652415326641</v>
      </c>
      <c r="AG166">
        <v>-1.155049</v>
      </c>
      <c r="AH166">
        <v>39.4218632464599</v>
      </c>
      <c r="AI166">
        <v>91.677444844304006</v>
      </c>
      <c r="AJ166">
        <v>91.796576532360106</v>
      </c>
      <c r="AK166">
        <v>39.458160524745701</v>
      </c>
    </row>
    <row r="167" spans="1:37" x14ac:dyDescent="0.2">
      <c r="A167" t="str">
        <f>"20200111155504265"</f>
        <v>20200111155504265</v>
      </c>
      <c r="B167" t="str">
        <f>"1578729304263026"</f>
        <v>1578729304263026</v>
      </c>
      <c r="C167" t="s">
        <v>37</v>
      </c>
      <c r="D167">
        <v>4.6283669999999999</v>
      </c>
      <c r="E167">
        <v>0.53917899999999996</v>
      </c>
      <c r="F167" t="s">
        <v>39</v>
      </c>
      <c r="G167">
        <v>-422.24880000000002</v>
      </c>
      <c r="H167">
        <v>-0.05</v>
      </c>
      <c r="I167">
        <v>368.83109999999999</v>
      </c>
      <c r="J167">
        <v>-461.72059999999999</v>
      </c>
      <c r="K167">
        <v>1.105048</v>
      </c>
      <c r="L167">
        <v>367.47399999999999</v>
      </c>
      <c r="M167">
        <v>0.99990179999999995</v>
      </c>
      <c r="N167">
        <v>0</v>
      </c>
      <c r="O167">
        <v>1.8628469999999999E-3</v>
      </c>
      <c r="P167">
        <v>0.9903073</v>
      </c>
      <c r="Q167">
        <v>-8.3470230000000003E-3</v>
      </c>
      <c r="R167">
        <v>0.1386435</v>
      </c>
      <c r="S167">
        <v>3.0140380000000002</v>
      </c>
      <c r="T167">
        <v>-8.801544E-2</v>
      </c>
      <c r="U167">
        <v>0.1034241</v>
      </c>
      <c r="V167">
        <v>-0.1367989</v>
      </c>
      <c r="W167">
        <v>5.403794E-3</v>
      </c>
      <c r="X167">
        <v>0.99058409999999997</v>
      </c>
      <c r="Y167">
        <v>-3.241894E-2</v>
      </c>
      <c r="Z167">
        <v>4.1873049999999998E-4</v>
      </c>
      <c r="AA167">
        <v>0.99947430000000004</v>
      </c>
      <c r="AB167">
        <v>16</v>
      </c>
      <c r="AC167">
        <v>39.471799999999902</v>
      </c>
      <c r="AD167">
        <v>-1.1550480000000001</v>
      </c>
      <c r="AE167">
        <v>1.3571</v>
      </c>
      <c r="AF167">
        <v>-1.28246374914303</v>
      </c>
      <c r="AG167">
        <v>-1.1550480000000001</v>
      </c>
      <c r="AH167">
        <v>39.440526745152098</v>
      </c>
      <c r="AI167">
        <v>91.676588584094702</v>
      </c>
      <c r="AJ167">
        <v>91.862396006728503</v>
      </c>
      <c r="AK167">
        <v>39.478272493679697</v>
      </c>
    </row>
    <row r="168" spans="1:37" x14ac:dyDescent="0.2">
      <c r="A168" t="str">
        <f>"20200111155504279"</f>
        <v>20200111155504279</v>
      </c>
      <c r="B168" t="str">
        <f>"1578729304272785"</f>
        <v>1578729304272785</v>
      </c>
      <c r="C168" t="s">
        <v>37</v>
      </c>
      <c r="D168">
        <v>4.6366209999999999</v>
      </c>
      <c r="E168">
        <v>0.53901330000000003</v>
      </c>
      <c r="F168" t="s">
        <v>39</v>
      </c>
      <c r="G168">
        <v>-421.4873</v>
      </c>
      <c r="H168">
        <v>-0.05</v>
      </c>
      <c r="I168">
        <v>368.90120000000002</v>
      </c>
      <c r="J168">
        <v>-461.62130000000002</v>
      </c>
      <c r="K168">
        <v>1.105046</v>
      </c>
      <c r="L168">
        <v>367.47430000000003</v>
      </c>
      <c r="M168">
        <v>0.99990179999999995</v>
      </c>
      <c r="N168">
        <v>0</v>
      </c>
      <c r="O168">
        <v>1.9173899999999999E-3</v>
      </c>
      <c r="P168">
        <v>0.99025989999999997</v>
      </c>
      <c r="Q168">
        <v>-8.6119040000000001E-3</v>
      </c>
      <c r="R168">
        <v>0.13896649999999999</v>
      </c>
      <c r="S168">
        <v>3.0137019999999999</v>
      </c>
      <c r="T168">
        <v>-8.6519600000000002E-2</v>
      </c>
      <c r="U168">
        <v>0.1069031</v>
      </c>
      <c r="V168">
        <v>-0.1370683</v>
      </c>
      <c r="W168">
        <v>5.1372470000000002E-3</v>
      </c>
      <c r="X168">
        <v>0.99054830000000005</v>
      </c>
      <c r="Y168">
        <v>-3.3520609999999999E-2</v>
      </c>
      <c r="Z168">
        <v>4.2589489999999999E-4</v>
      </c>
      <c r="AA168">
        <v>0.99943789999999999</v>
      </c>
      <c r="AB168">
        <v>16</v>
      </c>
      <c r="AC168">
        <v>40.134</v>
      </c>
      <c r="AD168">
        <v>-1.155046</v>
      </c>
      <c r="AE168">
        <v>1.4268999999999801</v>
      </c>
      <c r="AF168">
        <v>-1.34882164775407</v>
      </c>
      <c r="AG168">
        <v>-1.155046</v>
      </c>
      <c r="AH168">
        <v>40.1034876848775</v>
      </c>
      <c r="AI168">
        <v>91.648824224515494</v>
      </c>
      <c r="AJ168">
        <v>91.926332875469598</v>
      </c>
      <c r="AK168">
        <v>40.142784850962798</v>
      </c>
    </row>
    <row r="169" spans="1:37" x14ac:dyDescent="0.2">
      <c r="A169" t="str">
        <f>"20200111155504297"</f>
        <v>20200111155504297</v>
      </c>
      <c r="B169" t="str">
        <f>"1578729304292305"</f>
        <v>1578729304292305</v>
      </c>
      <c r="C169" t="s">
        <v>37</v>
      </c>
      <c r="D169">
        <v>4.6635679999999997</v>
      </c>
      <c r="E169">
        <v>0.53881169999999901</v>
      </c>
      <c r="F169" t="s">
        <v>39</v>
      </c>
      <c r="G169">
        <v>-421.58139999999997</v>
      </c>
      <c r="H169">
        <v>-0.05</v>
      </c>
      <c r="I169">
        <v>368.92759999999998</v>
      </c>
      <c r="J169">
        <v>-461.49639999999999</v>
      </c>
      <c r="K169">
        <v>1.1050469999999999</v>
      </c>
      <c r="L169">
        <v>367.47460000000001</v>
      </c>
      <c r="M169">
        <v>0.9999017</v>
      </c>
      <c r="N169">
        <v>0</v>
      </c>
      <c r="O169">
        <v>1.9866529999999901E-3</v>
      </c>
      <c r="P169">
        <v>0.99024480000000004</v>
      </c>
      <c r="Q169">
        <v>-9.1324900000000001E-3</v>
      </c>
      <c r="R169">
        <v>0.13904040000000001</v>
      </c>
      <c r="S169">
        <v>3.0133669999999899</v>
      </c>
      <c r="T169">
        <v>-8.6927649999999995E-2</v>
      </c>
      <c r="U169">
        <v>0.109375</v>
      </c>
      <c r="V169">
        <v>-0.13707339999999901</v>
      </c>
      <c r="W169">
        <v>4.6146399999999997E-3</v>
      </c>
      <c r="X169">
        <v>0.99055020000000005</v>
      </c>
      <c r="Y169">
        <v>-3.4273709999999999E-2</v>
      </c>
      <c r="Z169">
        <v>4.3680379999999999E-4</v>
      </c>
      <c r="AA169">
        <v>0.99941239999999998</v>
      </c>
      <c r="AB169">
        <v>16</v>
      </c>
      <c r="AC169">
        <v>39.914999999999999</v>
      </c>
      <c r="AD169">
        <v>-1.1550469999999999</v>
      </c>
      <c r="AE169">
        <v>1.4529999999999701</v>
      </c>
      <c r="AF169">
        <v>-1.3725444064361201</v>
      </c>
      <c r="AG169">
        <v>-1.1550469999999999</v>
      </c>
      <c r="AH169">
        <v>39.884453513982201</v>
      </c>
      <c r="AI169">
        <v>91.657831604759593</v>
      </c>
      <c r="AJ169">
        <v>91.970942889010104</v>
      </c>
      <c r="AK169">
        <v>39.924774812500303</v>
      </c>
    </row>
    <row r="170" spans="1:37" x14ac:dyDescent="0.2">
      <c r="A170" t="str">
        <f>"20200111155504309"</f>
        <v>20200111155504309</v>
      </c>
      <c r="B170" t="str">
        <f>"1578729304303042"</f>
        <v>1578729304303042</v>
      </c>
      <c r="C170" t="s">
        <v>37</v>
      </c>
      <c r="D170">
        <v>4.7670680000000001</v>
      </c>
      <c r="E170">
        <v>0.53847069999999997</v>
      </c>
      <c r="F170" t="s">
        <v>39</v>
      </c>
      <c r="G170">
        <v>-421.32870000000003</v>
      </c>
      <c r="H170">
        <v>-0.05</v>
      </c>
      <c r="I170">
        <v>368.95089999999999</v>
      </c>
      <c r="J170">
        <v>-461.40559999999999</v>
      </c>
      <c r="K170">
        <v>1.1050519999999999</v>
      </c>
      <c r="L170">
        <v>367.47480000000002</v>
      </c>
      <c r="M170">
        <v>0.999901499999999</v>
      </c>
      <c r="N170">
        <v>0</v>
      </c>
      <c r="O170">
        <v>2.0366659999999999E-3</v>
      </c>
      <c r="P170">
        <v>0.99021709999999996</v>
      </c>
      <c r="Q170">
        <v>-9.1298460000000005E-3</v>
      </c>
      <c r="R170">
        <v>0.13923629999999901</v>
      </c>
      <c r="S170">
        <v>3.0132140000000001</v>
      </c>
      <c r="T170">
        <v>-8.6646909999999994E-2</v>
      </c>
      <c r="U170">
        <v>0.11074829999999999</v>
      </c>
      <c r="V170">
        <v>-0.13721929999999999</v>
      </c>
      <c r="W170">
        <v>4.6155930000000003E-3</v>
      </c>
      <c r="X170">
        <v>0.99052999999999902</v>
      </c>
      <c r="Y170">
        <v>-3.4680370000000002E-2</v>
      </c>
      <c r="Z170">
        <v>4.398181E-4</v>
      </c>
      <c r="AA170">
        <v>0.99939840000000002</v>
      </c>
      <c r="AB170">
        <v>16</v>
      </c>
      <c r="AC170">
        <v>40.076899999999902</v>
      </c>
      <c r="AD170">
        <v>-1.155052</v>
      </c>
      <c r="AE170">
        <v>1.47609999999997</v>
      </c>
      <c r="AF170">
        <v>-1.3933100305554</v>
      </c>
      <c r="AG170">
        <v>-1.155052</v>
      </c>
      <c r="AH170">
        <v>40.046604077739602</v>
      </c>
      <c r="AI170">
        <v>91.651108207408896</v>
      </c>
      <c r="AJ170">
        <v>91.992643267612607</v>
      </c>
      <c r="AK170">
        <v>40.087478794795601</v>
      </c>
    </row>
    <row r="171" spans="1:37" x14ac:dyDescent="0.2">
      <c r="A171" t="str">
        <f>"20200111155504324"</f>
        <v>20200111155504324</v>
      </c>
      <c r="B171" t="str">
        <f>"1578729304322561"</f>
        <v>1578729304322561</v>
      </c>
      <c r="C171" t="s">
        <v>37</v>
      </c>
      <c r="D171">
        <v>4.6242179999999999</v>
      </c>
      <c r="E171">
        <v>0.53850100000000001</v>
      </c>
      <c r="F171" t="s">
        <v>39</v>
      </c>
      <c r="G171">
        <v>-420.05829999999997</v>
      </c>
      <c r="H171">
        <v>-0.05</v>
      </c>
      <c r="I171">
        <v>369.0412</v>
      </c>
      <c r="J171">
        <v>-461.29739999999998</v>
      </c>
      <c r="K171">
        <v>1.105056</v>
      </c>
      <c r="L171">
        <v>367.4751</v>
      </c>
      <c r="M171">
        <v>0.99990140000000005</v>
      </c>
      <c r="N171">
        <v>0</v>
      </c>
      <c r="O171">
        <v>2.0962789999999999E-3</v>
      </c>
      <c r="P171">
        <v>0.99022500000000002</v>
      </c>
      <c r="Q171">
        <v>-8.7613940000000005E-3</v>
      </c>
      <c r="R171">
        <v>0.13920270000000001</v>
      </c>
      <c r="S171">
        <v>3.0128169999999899</v>
      </c>
      <c r="T171">
        <v>-8.4164020000000006E-2</v>
      </c>
      <c r="U171">
        <v>0.11413569999999899</v>
      </c>
      <c r="V171">
        <v>-0.1371269</v>
      </c>
      <c r="W171">
        <v>4.9827529999999899E-3</v>
      </c>
      <c r="X171">
        <v>0.99054089999999995</v>
      </c>
      <c r="Y171">
        <v>-3.5748080000000002E-2</v>
      </c>
      <c r="Z171">
        <v>4.4050799999999999E-4</v>
      </c>
      <c r="AA171">
        <v>0.99936069999999999</v>
      </c>
      <c r="AB171">
        <v>16</v>
      </c>
      <c r="AC171">
        <v>41.239100000000001</v>
      </c>
      <c r="AD171">
        <v>-1.1550560000000001</v>
      </c>
      <c r="AE171">
        <v>1.5661</v>
      </c>
      <c r="AF171">
        <v>-1.4784813799468</v>
      </c>
      <c r="AG171">
        <v>-1.1550560000000001</v>
      </c>
      <c r="AH171">
        <v>41.2100103640363</v>
      </c>
      <c r="AI171">
        <v>91.604464407333097</v>
      </c>
      <c r="AJ171">
        <v>92.054705290097303</v>
      </c>
      <c r="AK171">
        <v>41.252697072530502</v>
      </c>
    </row>
    <row r="172" spans="1:37" x14ac:dyDescent="0.2">
      <c r="A172" t="str">
        <f>"20200111155504343"</f>
        <v>20200111155504343</v>
      </c>
      <c r="B172" t="str">
        <f>"1578729304332325"</f>
        <v>1578729304332325</v>
      </c>
      <c r="C172" t="s">
        <v>37</v>
      </c>
      <c r="D172">
        <v>4.7163599999999999</v>
      </c>
      <c r="E172">
        <v>0.5385761</v>
      </c>
      <c r="F172" t="s">
        <v>39</v>
      </c>
      <c r="G172">
        <v>-419.36239999999998</v>
      </c>
      <c r="H172">
        <v>-0.05</v>
      </c>
      <c r="I172">
        <v>369.06330000000003</v>
      </c>
      <c r="J172">
        <v>-461.16570000000002</v>
      </c>
      <c r="K172">
        <v>1.105067</v>
      </c>
      <c r="L172">
        <v>367.47550000000001</v>
      </c>
      <c r="M172">
        <v>0.99990140000000005</v>
      </c>
      <c r="N172">
        <v>0</v>
      </c>
      <c r="O172">
        <v>2.1683509999999998E-3</v>
      </c>
      <c r="P172">
        <v>0.9903033</v>
      </c>
      <c r="Q172">
        <v>-7.5158990000000004E-3</v>
      </c>
      <c r="R172">
        <v>0.13871919999999999</v>
      </c>
      <c r="S172">
        <v>3.0128169999999899</v>
      </c>
      <c r="T172">
        <v>-8.2984920000000004E-2</v>
      </c>
      <c r="U172">
        <v>0.114105199999999</v>
      </c>
      <c r="V172">
        <v>-0.136572</v>
      </c>
      <c r="W172">
        <v>6.2277549999999997E-3</v>
      </c>
      <c r="X172">
        <v>0.99061060000000001</v>
      </c>
      <c r="Y172">
        <v>-3.5666349999999999E-2</v>
      </c>
      <c r="Z172">
        <v>4.3123009999999998E-4</v>
      </c>
      <c r="AA172">
        <v>0.99936369999999897</v>
      </c>
      <c r="AB172">
        <v>16</v>
      </c>
      <c r="AC172">
        <v>41.8033</v>
      </c>
      <c r="AD172">
        <v>-1.1550670000000001</v>
      </c>
      <c r="AE172">
        <v>1.5878000000000101</v>
      </c>
      <c r="AF172">
        <v>-1.4960028028222701</v>
      </c>
      <c r="AG172">
        <v>-1.1550670000000001</v>
      </c>
      <c r="AH172">
        <v>41.774796996770299</v>
      </c>
      <c r="AI172">
        <v>91.582802271427198</v>
      </c>
      <c r="AJ172">
        <v>92.0509503301287</v>
      </c>
      <c r="AK172">
        <v>41.817530633478398</v>
      </c>
    </row>
    <row r="173" spans="1:37" x14ac:dyDescent="0.2">
      <c r="A173" t="str">
        <f>"20200111155504358"</f>
        <v>20200111155504358</v>
      </c>
      <c r="B173" t="str">
        <f>"1578729304352818"</f>
        <v>1578729304352818</v>
      </c>
      <c r="C173" t="s">
        <v>37</v>
      </c>
      <c r="D173">
        <v>4.7236570000000002</v>
      </c>
      <c r="E173">
        <v>0.53849990000000003</v>
      </c>
      <c r="F173" t="s">
        <v>39</v>
      </c>
      <c r="G173">
        <v>-417.36059999999998</v>
      </c>
      <c r="H173">
        <v>-0.05</v>
      </c>
      <c r="I173">
        <v>369.1069</v>
      </c>
      <c r="J173">
        <v>-461.05180000000001</v>
      </c>
      <c r="K173">
        <v>1.1050709999999999</v>
      </c>
      <c r="L173">
        <v>367.47579999999999</v>
      </c>
      <c r="M173">
        <v>0.99990119999999905</v>
      </c>
      <c r="N173">
        <v>0</v>
      </c>
      <c r="O173">
        <v>2.2315360000000001E-3</v>
      </c>
      <c r="P173">
        <v>0.99031759999999902</v>
      </c>
      <c r="Q173">
        <v>-6.9287089999999999E-3</v>
      </c>
      <c r="R173">
        <v>0.13864699999999999</v>
      </c>
      <c r="S173">
        <v>3.0130619999999899</v>
      </c>
      <c r="T173">
        <v>-7.9449420000000007E-2</v>
      </c>
      <c r="U173">
        <v>0.1122131</v>
      </c>
      <c r="V173">
        <v>-0.1364368</v>
      </c>
      <c r="W173">
        <v>6.8132990000000001E-3</v>
      </c>
      <c r="X173">
        <v>0.99062530000000004</v>
      </c>
      <c r="Y173">
        <v>-3.4974779999999997E-2</v>
      </c>
      <c r="Z173">
        <v>4.020572E-4</v>
      </c>
      <c r="AA173">
        <v>0.999388099999999</v>
      </c>
      <c r="AB173">
        <v>16</v>
      </c>
      <c r="AC173">
        <v>43.691200000000002</v>
      </c>
      <c r="AD173">
        <v>-1.155071</v>
      </c>
      <c r="AE173">
        <v>1.6311</v>
      </c>
      <c r="AF173">
        <v>-1.5325184394772</v>
      </c>
      <c r="AG173">
        <v>-1.155071</v>
      </c>
      <c r="AH173">
        <v>43.6642559177224</v>
      </c>
      <c r="AI173">
        <v>91.514386643910498</v>
      </c>
      <c r="AJ173">
        <v>92.010129528508898</v>
      </c>
      <c r="AK173">
        <v>43.7064073864546</v>
      </c>
    </row>
    <row r="174" spans="1:37" x14ac:dyDescent="0.2">
      <c r="A174" t="str">
        <f>"20200111155504376"</f>
        <v>20200111155504376</v>
      </c>
      <c r="B174" t="str">
        <f>"1578729304372338"</f>
        <v>1578729304372338</v>
      </c>
      <c r="C174" t="s">
        <v>37</v>
      </c>
      <c r="D174">
        <v>4.6583819999999996</v>
      </c>
      <c r="E174">
        <v>0.53847009999999995</v>
      </c>
      <c r="F174" t="s">
        <v>39</v>
      </c>
      <c r="G174">
        <v>-415.73009999999999</v>
      </c>
      <c r="H174">
        <v>-0.05</v>
      </c>
      <c r="I174">
        <v>369.16739999999999</v>
      </c>
      <c r="J174">
        <v>-460.92779999999999</v>
      </c>
      <c r="K174">
        <v>1.1050789999999999</v>
      </c>
      <c r="L174">
        <v>367.47609999999997</v>
      </c>
      <c r="M174">
        <v>0.99990119999999905</v>
      </c>
      <c r="N174">
        <v>0</v>
      </c>
      <c r="O174">
        <v>2.2997339999999999E-3</v>
      </c>
      <c r="P174">
        <v>0.99032960000000003</v>
      </c>
      <c r="Q174">
        <v>-5.734065E-3</v>
      </c>
      <c r="R174">
        <v>0.13861689999999999</v>
      </c>
      <c r="S174">
        <v>3.0130619999999899</v>
      </c>
      <c r="T174">
        <v>-7.679105E-2</v>
      </c>
      <c r="U174">
        <v>0.1124573</v>
      </c>
      <c r="V174">
        <v>-0.13633970000000001</v>
      </c>
      <c r="W174">
        <v>8.0058360000000005E-3</v>
      </c>
      <c r="X174">
        <v>0.9906298</v>
      </c>
      <c r="Y174">
        <v>-3.4988239999999997E-2</v>
      </c>
      <c r="Z174">
        <v>3.8704239999999898E-4</v>
      </c>
      <c r="AA174">
        <v>0.99938760000000004</v>
      </c>
      <c r="AB174">
        <v>16</v>
      </c>
      <c r="AC174">
        <v>45.197699999999998</v>
      </c>
      <c r="AD174">
        <v>-1.155079</v>
      </c>
      <c r="AE174">
        <v>1.69130000000001</v>
      </c>
      <c r="AF174">
        <v>-1.58630824815272</v>
      </c>
      <c r="AG174">
        <v>-1.155079</v>
      </c>
      <c r="AH174">
        <v>45.172009036401803</v>
      </c>
      <c r="AI174">
        <v>91.463870904549907</v>
      </c>
      <c r="AJ174">
        <v>92.0112329647867</v>
      </c>
      <c r="AK174">
        <v>45.214610268575399</v>
      </c>
    </row>
    <row r="175" spans="1:37" x14ac:dyDescent="0.2">
      <c r="A175" t="str">
        <f>"20200111155504390"</f>
        <v>20200111155504390</v>
      </c>
      <c r="B175" t="str">
        <f>"1578729304383074"</f>
        <v>1578729304383074</v>
      </c>
      <c r="C175" t="s">
        <v>37</v>
      </c>
      <c r="D175">
        <v>4.6812009999999997</v>
      </c>
      <c r="E175">
        <v>0.53847690000000004</v>
      </c>
      <c r="F175" t="s">
        <v>39</v>
      </c>
      <c r="G175">
        <v>-413.60820000000001</v>
      </c>
      <c r="H175">
        <v>-0.05</v>
      </c>
      <c r="I175">
        <v>369.2432</v>
      </c>
      <c r="J175">
        <v>-460.82799999999997</v>
      </c>
      <c r="K175">
        <v>1.1050799999999901</v>
      </c>
      <c r="L175">
        <v>367.47649999999999</v>
      </c>
      <c r="M175">
        <v>0.99990109999999999</v>
      </c>
      <c r="N175">
        <v>0</v>
      </c>
      <c r="O175">
        <v>2.3544619999999999E-3</v>
      </c>
      <c r="P175">
        <v>0.99029679999999998</v>
      </c>
      <c r="Q175">
        <v>-4.9711360000000001E-3</v>
      </c>
      <c r="R175">
        <v>0.13888120000000001</v>
      </c>
      <c r="S175">
        <v>3.013153</v>
      </c>
      <c r="T175">
        <v>-7.3551539999999999E-2</v>
      </c>
      <c r="U175">
        <v>0.1125183</v>
      </c>
      <c r="V175">
        <v>-0.13654949999999999</v>
      </c>
      <c r="W175">
        <v>8.7663649999999999E-3</v>
      </c>
      <c r="X175">
        <v>0.99059439999999999</v>
      </c>
      <c r="Y175">
        <v>-3.4953529999999997E-2</v>
      </c>
      <c r="Z175">
        <v>3.6894940000000001E-4</v>
      </c>
      <c r="AA175">
        <v>0.99938890000000002</v>
      </c>
      <c r="AB175">
        <v>16</v>
      </c>
      <c r="AC175">
        <v>47.219799999999999</v>
      </c>
      <c r="AD175">
        <v>-1.1550799999999899</v>
      </c>
      <c r="AE175">
        <v>1.7667000000000099</v>
      </c>
      <c r="AF175">
        <v>-1.6545185451226601</v>
      </c>
      <c r="AG175">
        <v>-1.1550799999999899</v>
      </c>
      <c r="AH175">
        <v>47.195627758675798</v>
      </c>
      <c r="AI175">
        <v>91.401133906511902</v>
      </c>
      <c r="AJ175">
        <v>92.007773364085097</v>
      </c>
      <c r="AK175">
        <v>47.238743854573997</v>
      </c>
    </row>
    <row r="176" spans="1:37" x14ac:dyDescent="0.2">
      <c r="A176" t="str">
        <f>"20200111155504406"</f>
        <v>20200111155504406</v>
      </c>
      <c r="B176" t="str">
        <f>"1578729304402595"</f>
        <v>1578729304402595</v>
      </c>
      <c r="C176" t="s">
        <v>37</v>
      </c>
      <c r="D176">
        <v>4.6640370000000004</v>
      </c>
      <c r="E176">
        <v>0.53837789999999996</v>
      </c>
      <c r="F176" t="s">
        <v>39</v>
      </c>
      <c r="G176">
        <v>-412.21069999999997</v>
      </c>
      <c r="H176">
        <v>-0.05</v>
      </c>
      <c r="I176">
        <v>369.30279999999999</v>
      </c>
      <c r="J176">
        <v>-460.71789999999999</v>
      </c>
      <c r="K176">
        <v>1.105083</v>
      </c>
      <c r="L176">
        <v>367.47680000000003</v>
      </c>
      <c r="M176">
        <v>0.99990089999999998</v>
      </c>
      <c r="N176">
        <v>0</v>
      </c>
      <c r="O176">
        <v>2.4152689999999998E-3</v>
      </c>
      <c r="P176">
        <v>0.99027350000000003</v>
      </c>
      <c r="Q176">
        <v>-4.6873890000000001E-3</v>
      </c>
      <c r="R176">
        <v>0.13905590000000001</v>
      </c>
      <c r="S176">
        <v>3.01312299999999</v>
      </c>
      <c r="T176">
        <v>-7.1587680000000001E-2</v>
      </c>
      <c r="U176">
        <v>0.113189699999999</v>
      </c>
      <c r="V176">
        <v>-0.13666389999999901</v>
      </c>
      <c r="W176">
        <v>9.0481650000000004E-3</v>
      </c>
      <c r="X176">
        <v>0.99057609999999996</v>
      </c>
      <c r="Y176">
        <v>-3.5115979999999998E-2</v>
      </c>
      <c r="Z176">
        <v>3.5958799999999999E-4</v>
      </c>
      <c r="AA176">
        <v>0.99938320000000003</v>
      </c>
      <c r="AB176">
        <v>16</v>
      </c>
      <c r="AC176">
        <v>48.507199999999997</v>
      </c>
      <c r="AD176">
        <v>-1.1550830000000001</v>
      </c>
      <c r="AE176">
        <v>1.8259999999999601</v>
      </c>
      <c r="AF176">
        <v>-1.70785841257061</v>
      </c>
      <c r="AG176">
        <v>-1.1550830000000001</v>
      </c>
      <c r="AH176">
        <v>48.4840157036462</v>
      </c>
      <c r="AI176">
        <v>91.363910664129193</v>
      </c>
      <c r="AJ176">
        <v>92.0174202828034</v>
      </c>
      <c r="AK176">
        <v>48.527835062422596</v>
      </c>
    </row>
    <row r="177" spans="1:37" x14ac:dyDescent="0.2">
      <c r="A177" t="str">
        <f>"20200111155504422"</f>
        <v>20200111155504422</v>
      </c>
      <c r="B177" t="str">
        <f>"1578729304412353"</f>
        <v>1578729304412353</v>
      </c>
      <c r="C177" t="s">
        <v>37</v>
      </c>
      <c r="D177">
        <v>4.6830439999999998</v>
      </c>
      <c r="E177">
        <v>0.53825140000000005</v>
      </c>
      <c r="F177" t="s">
        <v>39</v>
      </c>
      <c r="G177">
        <v>-412.327</v>
      </c>
      <c r="H177">
        <v>-0.05</v>
      </c>
      <c r="I177">
        <v>369.31670000000003</v>
      </c>
      <c r="J177">
        <v>-460.60469999999998</v>
      </c>
      <c r="K177">
        <v>1.1050759999999999</v>
      </c>
      <c r="L177">
        <v>367.47710000000001</v>
      </c>
      <c r="M177">
        <v>0.99990080000000003</v>
      </c>
      <c r="N177">
        <v>0</v>
      </c>
      <c r="O177">
        <v>2.4781E-3</v>
      </c>
      <c r="P177">
        <v>0.99024749999999995</v>
      </c>
      <c r="Q177">
        <v>-3.7595720000000001E-3</v>
      </c>
      <c r="R177">
        <v>0.13926830000000001</v>
      </c>
      <c r="S177">
        <v>3.0130309999999998</v>
      </c>
      <c r="T177">
        <v>-7.1920510000000007E-2</v>
      </c>
      <c r="U177">
        <v>0.114563</v>
      </c>
      <c r="V177">
        <v>-0.1368144</v>
      </c>
      <c r="W177">
        <v>9.9731869999999997E-3</v>
      </c>
      <c r="X177">
        <v>0.9905465</v>
      </c>
      <c r="Y177">
        <v>-3.5508989999999997E-2</v>
      </c>
      <c r="Z177">
        <v>3.6445640000000001E-4</v>
      </c>
      <c r="AA177">
        <v>0.99936930000000002</v>
      </c>
      <c r="AB177">
        <v>16</v>
      </c>
      <c r="AC177">
        <v>48.277699999999903</v>
      </c>
      <c r="AD177">
        <v>-1.155076</v>
      </c>
      <c r="AE177">
        <v>1.8396000000000099</v>
      </c>
      <c r="AF177">
        <v>-1.7189633081675899</v>
      </c>
      <c r="AG177">
        <v>-1.155076</v>
      </c>
      <c r="AH177">
        <v>48.254528239720401</v>
      </c>
      <c r="AI177">
        <v>91.370367068685994</v>
      </c>
      <c r="AJ177">
        <v>92.040175656536306</v>
      </c>
      <c r="AK177">
        <v>48.298949585457599</v>
      </c>
    </row>
    <row r="178" spans="1:37" x14ac:dyDescent="0.2">
      <c r="A178" t="str">
        <f>"20200111155504435"</f>
        <v>20200111155504435</v>
      </c>
      <c r="B178" t="str">
        <f>"1578729304432850"</f>
        <v>1578729304432850</v>
      </c>
      <c r="C178" t="s">
        <v>37</v>
      </c>
      <c r="D178">
        <v>4.7140250000000004</v>
      </c>
      <c r="E178">
        <v>0.53824079999999996</v>
      </c>
      <c r="F178" t="s">
        <v>39</v>
      </c>
      <c r="G178">
        <v>-410.76049999999998</v>
      </c>
      <c r="H178">
        <v>-0.05</v>
      </c>
      <c r="I178">
        <v>369.39859999999999</v>
      </c>
      <c r="J178">
        <v>-460.50659999999999</v>
      </c>
      <c r="K178">
        <v>1.1050770000000001</v>
      </c>
      <c r="L178">
        <v>367.47750000000002</v>
      </c>
      <c r="M178">
        <v>0.99990059999999903</v>
      </c>
      <c r="N178">
        <v>0</v>
      </c>
      <c r="O178">
        <v>2.5322909999999999E-3</v>
      </c>
      <c r="P178">
        <v>0.99023490000000003</v>
      </c>
      <c r="Q178">
        <v>-3.5823890000000001E-3</v>
      </c>
      <c r="R178">
        <v>0.13936270000000001</v>
      </c>
      <c r="S178">
        <v>3.0129389999999998</v>
      </c>
      <c r="T178">
        <v>-6.982112E-2</v>
      </c>
      <c r="U178">
        <v>0.1161499</v>
      </c>
      <c r="V178">
        <v>-0.13685520000000001</v>
      </c>
      <c r="W178">
        <v>1.014865E-2</v>
      </c>
      <c r="X178">
        <v>0.99053910000000001</v>
      </c>
      <c r="Y178">
        <v>-3.5982E-2</v>
      </c>
      <c r="Z178">
        <v>3.5805050000000001E-4</v>
      </c>
      <c r="AA178">
        <v>0.99935239999999903</v>
      </c>
      <c r="AB178">
        <v>16</v>
      </c>
      <c r="AC178">
        <v>49.746099999999998</v>
      </c>
      <c r="AD178">
        <v>-1.1550769999999999</v>
      </c>
      <c r="AE178">
        <v>1.9210999999999601</v>
      </c>
      <c r="AF178">
        <v>-1.7941442596725199</v>
      </c>
      <c r="AG178">
        <v>-1.1550769999999999</v>
      </c>
      <c r="AH178">
        <v>49.724037288438602</v>
      </c>
      <c r="AI178">
        <v>91.3298622674358</v>
      </c>
      <c r="AJ178">
        <v>92.066451629146002</v>
      </c>
      <c r="AK178">
        <v>49.7698004894783</v>
      </c>
    </row>
    <row r="179" spans="1:37" x14ac:dyDescent="0.2">
      <c r="A179" t="str">
        <f>"20200111155504453"</f>
        <v>20200111155504453</v>
      </c>
      <c r="B179" t="str">
        <f>"1578729304442610"</f>
        <v>1578729304442610</v>
      </c>
      <c r="C179" t="s">
        <v>37</v>
      </c>
      <c r="D179">
        <v>4.6401120000000002</v>
      </c>
      <c r="E179">
        <v>0.53814969999999995</v>
      </c>
      <c r="F179" t="s">
        <v>39</v>
      </c>
      <c r="G179">
        <v>-411.32940000000002</v>
      </c>
      <c r="H179">
        <v>-0.05</v>
      </c>
      <c r="I179">
        <v>369.3777</v>
      </c>
      <c r="J179">
        <v>-460.3784</v>
      </c>
      <c r="K179">
        <v>1.1050799999999901</v>
      </c>
      <c r="L179">
        <v>367.47789999999998</v>
      </c>
      <c r="M179">
        <v>0.99990049999999997</v>
      </c>
      <c r="N179">
        <v>0</v>
      </c>
      <c r="O179">
        <v>2.6027009999999998E-3</v>
      </c>
      <c r="P179">
        <v>0.99016959999999998</v>
      </c>
      <c r="Q179">
        <v>-2.7747649999999998E-3</v>
      </c>
      <c r="R179">
        <v>0.13984389999999999</v>
      </c>
      <c r="S179">
        <v>3.0129700000000001</v>
      </c>
      <c r="T179">
        <v>-7.0768830000000005E-2</v>
      </c>
      <c r="U179">
        <v>0.1164246</v>
      </c>
      <c r="V179">
        <v>-0.1372669</v>
      </c>
      <c r="W179">
        <v>1.0953030000000001E-2</v>
      </c>
      <c r="X179">
        <v>0.99047359999999895</v>
      </c>
      <c r="Y179">
        <v>-3.6001970000000001E-2</v>
      </c>
      <c r="Z179">
        <v>3.6148620000000002E-4</v>
      </c>
      <c r="AA179">
        <v>0.99935169999999995</v>
      </c>
      <c r="AB179">
        <v>16</v>
      </c>
      <c r="AC179">
        <v>49.0489999999999</v>
      </c>
      <c r="AD179">
        <v>-1.1550799999999899</v>
      </c>
      <c r="AE179">
        <v>1.8998000000000199</v>
      </c>
      <c r="AF179">
        <v>-1.77114064489385</v>
      </c>
      <c r="AG179">
        <v>-1.1550799999999899</v>
      </c>
      <c r="AH179">
        <v>49.0266304885306</v>
      </c>
      <c r="AI179">
        <v>91.348774059701398</v>
      </c>
      <c r="AJ179">
        <v>92.0689729415801</v>
      </c>
      <c r="AK179">
        <v>49.072208489625901</v>
      </c>
    </row>
    <row r="180" spans="1:37" x14ac:dyDescent="0.2">
      <c r="A180" t="str">
        <f>"20200111155504467"</f>
        <v>20200111155504467</v>
      </c>
      <c r="B180" t="str">
        <f>"1578729304463106"</f>
        <v>1578729304463106</v>
      </c>
      <c r="C180" t="s">
        <v>37</v>
      </c>
      <c r="D180">
        <v>4.6701839999999999</v>
      </c>
      <c r="E180">
        <v>0.53818129999999997</v>
      </c>
      <c r="F180" t="s">
        <v>39</v>
      </c>
      <c r="G180">
        <v>-410.07690000000002</v>
      </c>
      <c r="H180">
        <v>-0.05</v>
      </c>
      <c r="I180">
        <v>369.46449999999999</v>
      </c>
      <c r="J180">
        <v>-460.27809999999999</v>
      </c>
      <c r="K180">
        <v>1.105081</v>
      </c>
      <c r="L180">
        <v>367.47820000000002</v>
      </c>
      <c r="M180">
        <v>0.99990049999999997</v>
      </c>
      <c r="N180">
        <v>0</v>
      </c>
      <c r="O180">
        <v>2.6577850000000002E-3</v>
      </c>
      <c r="P180">
        <v>0.99014340000000001</v>
      </c>
      <c r="Q180">
        <v>-2.4650779999999999E-3</v>
      </c>
      <c r="R180">
        <v>0.14003640000000001</v>
      </c>
      <c r="S180">
        <v>3.012756</v>
      </c>
      <c r="T180">
        <v>-6.9182399999999894E-2</v>
      </c>
      <c r="U180">
        <v>0.118988</v>
      </c>
      <c r="V180">
        <v>-0.13740479999999899</v>
      </c>
      <c r="W180">
        <v>1.12601E-2</v>
      </c>
      <c r="X180">
        <v>0.99045099999999997</v>
      </c>
      <c r="Y180">
        <v>-3.6798879999999999E-2</v>
      </c>
      <c r="Z180">
        <v>3.6128469999999999E-4</v>
      </c>
      <c r="AA180">
        <v>0.99932269999999901</v>
      </c>
      <c r="AB180">
        <v>16</v>
      </c>
      <c r="AC180">
        <v>50.201199999999901</v>
      </c>
      <c r="AD180">
        <v>-1.155081</v>
      </c>
      <c r="AE180">
        <v>1.98629999999997</v>
      </c>
      <c r="AF180">
        <v>-1.85187730108538</v>
      </c>
      <c r="AG180">
        <v>-1.155081</v>
      </c>
      <c r="AH180">
        <v>50.179777895224397</v>
      </c>
      <c r="AI180">
        <v>91.317753587264505</v>
      </c>
      <c r="AJ180">
        <v>92.113533117748105</v>
      </c>
      <c r="AK180">
        <v>50.227221416965598</v>
      </c>
    </row>
    <row r="181" spans="1:37" x14ac:dyDescent="0.2">
      <c r="A181" t="str">
        <f>"20200111155504480"</f>
        <v>20200111155504480</v>
      </c>
      <c r="B181" t="str">
        <f>"1578729304472398"</f>
        <v>1578729304472398</v>
      </c>
      <c r="C181" t="s">
        <v>37</v>
      </c>
      <c r="D181">
        <v>4.710413</v>
      </c>
      <c r="E181">
        <v>0.53815789999999997</v>
      </c>
      <c r="F181" t="s">
        <v>39</v>
      </c>
      <c r="G181">
        <v>-409.86900000000003</v>
      </c>
      <c r="H181">
        <v>-0.05</v>
      </c>
      <c r="I181">
        <v>369.46850000000001</v>
      </c>
      <c r="J181">
        <v>-460.18869999999998</v>
      </c>
      <c r="K181">
        <v>1.1050819999999999</v>
      </c>
      <c r="L181">
        <v>367.4785</v>
      </c>
      <c r="M181">
        <v>0.99990029999999996</v>
      </c>
      <c r="N181">
        <v>0</v>
      </c>
      <c r="O181">
        <v>2.7072629999999901E-3</v>
      </c>
      <c r="P181">
        <v>0.99008609999999897</v>
      </c>
      <c r="Q181">
        <v>-2.421E-3</v>
      </c>
      <c r="R181">
        <v>0.1404426</v>
      </c>
      <c r="S181">
        <v>3.01287799999999</v>
      </c>
      <c r="T181">
        <v>-6.9037440000000005E-2</v>
      </c>
      <c r="U181">
        <v>0.11895749999999999</v>
      </c>
      <c r="V181">
        <v>-0.1377622</v>
      </c>
      <c r="W181">
        <v>1.130158E-2</v>
      </c>
      <c r="X181">
        <v>0.99040090000000003</v>
      </c>
      <c r="Y181">
        <v>-3.6737800000000001E-2</v>
      </c>
      <c r="Z181">
        <v>3.5868059999999999E-4</v>
      </c>
      <c r="AA181">
        <v>0.99932489999999996</v>
      </c>
      <c r="AB181">
        <v>16</v>
      </c>
      <c r="AC181">
        <v>50.319699999999898</v>
      </c>
      <c r="AD181">
        <v>-1.1550819999999999</v>
      </c>
      <c r="AE181">
        <v>1.99</v>
      </c>
      <c r="AF181">
        <v>-1.8527762087178801</v>
      </c>
      <c r="AG181">
        <v>-1.1550819999999999</v>
      </c>
      <c r="AH181">
        <v>50.298441366345997</v>
      </c>
      <c r="AI181">
        <v>91.314650337281805</v>
      </c>
      <c r="AJ181">
        <v>92.109573975800998</v>
      </c>
      <c r="AK181">
        <v>50.345806160891598</v>
      </c>
    </row>
    <row r="182" spans="1:37" x14ac:dyDescent="0.2">
      <c r="A182" t="str">
        <f>"20200111155504498"</f>
        <v>20200111155504498</v>
      </c>
      <c r="B182" t="str">
        <f>"1578729304492895"</f>
        <v>1578729304492895</v>
      </c>
      <c r="C182" t="s">
        <v>37</v>
      </c>
      <c r="D182">
        <v>4.7066949999999999</v>
      </c>
      <c r="E182">
        <v>0.53810069999999999</v>
      </c>
      <c r="F182" t="s">
        <v>39</v>
      </c>
      <c r="G182">
        <v>-410.07810000000001</v>
      </c>
      <c r="H182">
        <v>-0.05</v>
      </c>
      <c r="I182">
        <v>369.48349999999999</v>
      </c>
      <c r="J182">
        <v>-460.05689999999998</v>
      </c>
      <c r="K182">
        <v>1.105086</v>
      </c>
      <c r="L182">
        <v>367.47890000000001</v>
      </c>
      <c r="M182">
        <v>0.99990009999999996</v>
      </c>
      <c r="N182">
        <v>0</v>
      </c>
      <c r="O182">
        <v>2.7801729999999999E-3</v>
      </c>
      <c r="P182">
        <v>0.99004380000000003</v>
      </c>
      <c r="Q182">
        <v>-2.2540189999999999E-3</v>
      </c>
      <c r="R182">
        <v>0.14074210000000001</v>
      </c>
      <c r="S182">
        <v>3.0128169999999899</v>
      </c>
      <c r="T182">
        <v>-6.9447399999999895E-2</v>
      </c>
      <c r="U182">
        <v>0.1205444</v>
      </c>
      <c r="V182">
        <v>-0.13798959999999999</v>
      </c>
      <c r="W182">
        <v>1.1465120000000001E-2</v>
      </c>
      <c r="X182">
        <v>0.99036729999999995</v>
      </c>
      <c r="Y182">
        <v>-3.7191050000000003E-2</v>
      </c>
      <c r="Z182">
        <v>3.6435489999999998E-4</v>
      </c>
      <c r="AA182">
        <v>0.99930810000000003</v>
      </c>
      <c r="AB182">
        <v>16</v>
      </c>
      <c r="AC182">
        <v>49.9787999999999</v>
      </c>
      <c r="AD182">
        <v>-1.1550860000000001</v>
      </c>
      <c r="AE182">
        <v>2.00459999999998</v>
      </c>
      <c r="AF182">
        <v>-1.8646348150357701</v>
      </c>
      <c r="AG182">
        <v>-1.1550860000000001</v>
      </c>
      <c r="AH182">
        <v>49.957538903723503</v>
      </c>
      <c r="AI182">
        <v>91.323598762384606</v>
      </c>
      <c r="AJ182">
        <v>92.1375379511815</v>
      </c>
      <c r="AK182">
        <v>50.005667478575702</v>
      </c>
    </row>
    <row r="183" spans="1:37" x14ac:dyDescent="0.2">
      <c r="A183" t="str">
        <f>"20200111155504512"</f>
        <v>20200111155504512</v>
      </c>
      <c r="B183" t="str">
        <f>"1578729304502656"</f>
        <v>1578729304502656</v>
      </c>
      <c r="C183" t="s">
        <v>37</v>
      </c>
      <c r="D183">
        <v>4.6984949999999897</v>
      </c>
      <c r="E183">
        <v>0.53807069999999901</v>
      </c>
      <c r="F183" t="s">
        <v>39</v>
      </c>
      <c r="G183">
        <v>-410.4785</v>
      </c>
      <c r="H183">
        <v>-0.05</v>
      </c>
      <c r="I183">
        <v>369.48829999999998</v>
      </c>
      <c r="J183">
        <v>-459.9597</v>
      </c>
      <c r="K183">
        <v>1.1050869999999999</v>
      </c>
      <c r="L183">
        <v>367.47930000000002</v>
      </c>
      <c r="M183">
        <v>0.99990009999999996</v>
      </c>
      <c r="N183">
        <v>0</v>
      </c>
      <c r="O183">
        <v>2.8337079999999999E-3</v>
      </c>
      <c r="P183">
        <v>0.98996909999999905</v>
      </c>
      <c r="Q183">
        <v>-2.3690510000000001E-3</v>
      </c>
      <c r="R183">
        <v>0.1412649</v>
      </c>
      <c r="S183">
        <v>3.0126949999999999</v>
      </c>
      <c r="T183">
        <v>-7.019019E-2</v>
      </c>
      <c r="U183">
        <v>0.1221008</v>
      </c>
      <c r="V183">
        <v>-0.13845959999999999</v>
      </c>
      <c r="W183">
        <v>1.1347350000000001E-2</v>
      </c>
      <c r="X183">
        <v>0.99030309999999899</v>
      </c>
      <c r="Y183">
        <v>-3.7654279999999998E-2</v>
      </c>
      <c r="Z183">
        <v>3.724086E-4</v>
      </c>
      <c r="AA183">
        <v>0.99929080000000003</v>
      </c>
      <c r="AB183">
        <v>16</v>
      </c>
      <c r="AC183">
        <v>49.481200000000001</v>
      </c>
      <c r="AD183">
        <v>-1.155087</v>
      </c>
      <c r="AE183">
        <v>2.0089999999999502</v>
      </c>
      <c r="AF183">
        <v>-1.8677470786944701</v>
      </c>
      <c r="AG183">
        <v>-1.155087</v>
      </c>
      <c r="AH183">
        <v>49.459786487480798</v>
      </c>
      <c r="AI183">
        <v>91.336893543134806</v>
      </c>
      <c r="AJ183">
        <v>92.162629625591094</v>
      </c>
      <c r="AK183">
        <v>49.508516282703603</v>
      </c>
    </row>
    <row r="184" spans="1:37" x14ac:dyDescent="0.2">
      <c r="A184" t="str">
        <f>"20200111155504525"</f>
        <v>20200111155504525</v>
      </c>
      <c r="B184" t="str">
        <f>"1578729304523150"</f>
        <v>1578729304523150</v>
      </c>
      <c r="C184" t="s">
        <v>37</v>
      </c>
      <c r="D184">
        <v>4.692145</v>
      </c>
      <c r="E184">
        <v>0.53805740000000002</v>
      </c>
      <c r="F184" t="s">
        <v>39</v>
      </c>
      <c r="G184">
        <v>-411.03890000000001</v>
      </c>
      <c r="H184">
        <v>-0.05</v>
      </c>
      <c r="I184">
        <v>369.49430000000001</v>
      </c>
      <c r="J184">
        <v>-459.8689</v>
      </c>
      <c r="K184">
        <v>1.1050850000000001</v>
      </c>
      <c r="L184">
        <v>367.4796</v>
      </c>
      <c r="M184">
        <v>0.99989989999999995</v>
      </c>
      <c r="N184">
        <v>0</v>
      </c>
      <c r="O184">
        <v>2.883905E-3</v>
      </c>
      <c r="P184">
        <v>0.98991689999999999</v>
      </c>
      <c r="Q184">
        <v>-2.420069E-3</v>
      </c>
      <c r="R184">
        <v>0.1416289</v>
      </c>
      <c r="S184">
        <v>3.0125730000000002</v>
      </c>
      <c r="T184">
        <v>-7.1130990000000005E-2</v>
      </c>
      <c r="U184">
        <v>0.1240845</v>
      </c>
      <c r="V184">
        <v>-0.13877419999999999</v>
      </c>
      <c r="W184">
        <v>1.1293950000000001E-2</v>
      </c>
      <c r="X184">
        <v>0.99025959999999902</v>
      </c>
      <c r="Y184">
        <v>-3.8262230000000001E-2</v>
      </c>
      <c r="Z184">
        <v>3.8339759999999999E-4</v>
      </c>
      <c r="AA184">
        <v>0.99926759999999903</v>
      </c>
      <c r="AB184">
        <v>16</v>
      </c>
      <c r="AC184">
        <v>48.829999999999899</v>
      </c>
      <c r="AD184">
        <v>-1.1550849999999999</v>
      </c>
      <c r="AE184">
        <v>2.0146999999999999</v>
      </c>
      <c r="AF184">
        <v>-1.87281083952563</v>
      </c>
      <c r="AG184">
        <v>-1.1550849999999999</v>
      </c>
      <c r="AH184">
        <v>48.808342393848001</v>
      </c>
      <c r="AI184">
        <v>91.354696801796905</v>
      </c>
      <c r="AJ184">
        <v>92.197401846223698</v>
      </c>
      <c r="AK184">
        <v>48.857915725427397</v>
      </c>
    </row>
    <row r="185" spans="1:37" x14ac:dyDescent="0.2">
      <c r="A185" t="str">
        <f>"20200111155504542"</f>
        <v>20200111155504542</v>
      </c>
      <c r="B185" t="str">
        <f>"1578729304532913"</f>
        <v>1578729304532913</v>
      </c>
      <c r="C185" t="s">
        <v>37</v>
      </c>
      <c r="D185">
        <v>4.6942120000000003</v>
      </c>
      <c r="E185">
        <v>0.53807769999999899</v>
      </c>
      <c r="F185" t="s">
        <v>39</v>
      </c>
      <c r="G185">
        <v>-411.92849999999999</v>
      </c>
      <c r="H185">
        <v>-0.05</v>
      </c>
      <c r="I185">
        <v>369.4717</v>
      </c>
      <c r="J185">
        <v>-459.7484</v>
      </c>
      <c r="K185">
        <v>1.105083</v>
      </c>
      <c r="L185">
        <v>367.48</v>
      </c>
      <c r="M185">
        <v>0.99989969999999995</v>
      </c>
      <c r="N185">
        <v>0</v>
      </c>
      <c r="O185">
        <v>2.9503770000000001E-3</v>
      </c>
      <c r="P185">
        <v>0.98983140000000003</v>
      </c>
      <c r="Q185">
        <v>-3.1531599999999999E-3</v>
      </c>
      <c r="R185">
        <v>0.14221110000000001</v>
      </c>
      <c r="S185">
        <v>3.0124819999999999</v>
      </c>
      <c r="T185">
        <v>-7.2583320000000007E-2</v>
      </c>
      <c r="U185">
        <v>0.12518309999999999</v>
      </c>
      <c r="V185">
        <v>-0.13929049999999901</v>
      </c>
      <c r="W185">
        <v>1.055728E-2</v>
      </c>
      <c r="X185">
        <v>0.9901953</v>
      </c>
      <c r="Y185">
        <v>-3.8560369999999997E-2</v>
      </c>
      <c r="Z185">
        <v>3.9322129999999899E-4</v>
      </c>
      <c r="AA185">
        <v>0.99925620000000004</v>
      </c>
      <c r="AB185">
        <v>16</v>
      </c>
      <c r="AC185">
        <v>47.819899999999997</v>
      </c>
      <c r="AD185">
        <v>-1.1550830000000001</v>
      </c>
      <c r="AE185">
        <v>1.99169999999998</v>
      </c>
      <c r="AF185">
        <v>-1.8495138148736801</v>
      </c>
      <c r="AG185">
        <v>-1.1550830000000001</v>
      </c>
      <c r="AH185">
        <v>47.797729021332998</v>
      </c>
      <c r="AI185">
        <v>91.3833092523369</v>
      </c>
      <c r="AJ185">
        <v>92.215931532234407</v>
      </c>
      <c r="AK185">
        <v>47.847443167687402</v>
      </c>
    </row>
    <row r="186" spans="1:37" x14ac:dyDescent="0.2">
      <c r="A186" t="str">
        <f>"20200111155504555"</f>
        <v>20200111155504555</v>
      </c>
      <c r="B186" t="str">
        <f>"1578729304552431"</f>
        <v>1578729304552431</v>
      </c>
      <c r="C186" t="s">
        <v>37</v>
      </c>
      <c r="D186">
        <v>4.7020599999999897</v>
      </c>
      <c r="E186">
        <v>0.53814879999999998</v>
      </c>
      <c r="F186" t="s">
        <v>39</v>
      </c>
      <c r="G186">
        <v>-413.61399999999998</v>
      </c>
      <c r="H186">
        <v>-0.05</v>
      </c>
      <c r="I186">
        <v>369.42110000000002</v>
      </c>
      <c r="J186">
        <v>-459.65530000000001</v>
      </c>
      <c r="K186">
        <v>1.105081</v>
      </c>
      <c r="L186">
        <v>367.4803</v>
      </c>
      <c r="M186">
        <v>0.99989969999999995</v>
      </c>
      <c r="N186">
        <v>0</v>
      </c>
      <c r="O186">
        <v>3.0017669999999998E-3</v>
      </c>
      <c r="P186">
        <v>0.98982320000000001</v>
      </c>
      <c r="Q186">
        <v>-3.9260249999999997E-3</v>
      </c>
      <c r="R186">
        <v>0.1422503</v>
      </c>
      <c r="S186">
        <v>3.0123599999999899</v>
      </c>
      <c r="T186">
        <v>-7.5421329999999995E-2</v>
      </c>
      <c r="U186">
        <v>0.1267395</v>
      </c>
      <c r="V186">
        <v>-0.13927879999999901</v>
      </c>
      <c r="W186">
        <v>9.781985E-3</v>
      </c>
      <c r="X186">
        <v>0.99020490000000005</v>
      </c>
      <c r="Y186">
        <v>-3.9025120000000003E-2</v>
      </c>
      <c r="Z186">
        <v>4.1313219999999999E-4</v>
      </c>
      <c r="AA186">
        <v>0.99923809999999902</v>
      </c>
      <c r="AB186">
        <v>16</v>
      </c>
      <c r="AC186">
        <v>46.0412999999999</v>
      </c>
      <c r="AD186">
        <v>-1.155081</v>
      </c>
      <c r="AE186">
        <v>1.9408000000000201</v>
      </c>
      <c r="AF186">
        <v>-1.8014409353302401</v>
      </c>
      <c r="AG186">
        <v>-1.155081</v>
      </c>
      <c r="AH186">
        <v>46.0180063600803</v>
      </c>
      <c r="AI186">
        <v>91.436758311448301</v>
      </c>
      <c r="AJ186">
        <v>92.2417808923839</v>
      </c>
      <c r="AK186">
        <v>46.067736116684003</v>
      </c>
    </row>
    <row r="187" spans="1:37" x14ac:dyDescent="0.2">
      <c r="A187" t="str">
        <f>"20200111155504569"</f>
        <v>20200111155504569</v>
      </c>
      <c r="B187" t="str">
        <f>"1578729304562191"</f>
        <v>1578729304562191</v>
      </c>
      <c r="C187" t="s">
        <v>37</v>
      </c>
      <c r="D187">
        <v>4.7245179999999998</v>
      </c>
      <c r="E187">
        <v>0.53818269999999901</v>
      </c>
      <c r="F187" t="s">
        <v>39</v>
      </c>
      <c r="G187">
        <v>-415.45859999999999</v>
      </c>
      <c r="H187">
        <v>-0.05</v>
      </c>
      <c r="I187">
        <v>369.3304</v>
      </c>
      <c r="J187">
        <v>-459.5677</v>
      </c>
      <c r="K187">
        <v>1.1050770000000001</v>
      </c>
      <c r="L187">
        <v>367.48070000000001</v>
      </c>
      <c r="M187">
        <v>0.999899599999999</v>
      </c>
      <c r="N187">
        <v>0</v>
      </c>
      <c r="O187">
        <v>3.050058E-3</v>
      </c>
      <c r="P187">
        <v>0.98981019999999897</v>
      </c>
      <c r="Q187">
        <v>-4.4639509999999999E-3</v>
      </c>
      <c r="R187">
        <v>0.14232310000000001</v>
      </c>
      <c r="S187">
        <v>3.0124209999999998</v>
      </c>
      <c r="T187">
        <v>-7.8729629999999995E-2</v>
      </c>
      <c r="U187">
        <v>0.12609860000000001</v>
      </c>
      <c r="V187">
        <v>-0.1393036</v>
      </c>
      <c r="W187">
        <v>9.2422279999999999E-3</v>
      </c>
      <c r="X187">
        <v>0.99020659999999905</v>
      </c>
      <c r="Y187">
        <v>-3.8762900000000003E-2</v>
      </c>
      <c r="Z187">
        <v>4.26555199999999E-4</v>
      </c>
      <c r="AA187">
        <v>0.99924829999999998</v>
      </c>
      <c r="AB187">
        <v>16</v>
      </c>
      <c r="AC187">
        <v>44.109099999999998</v>
      </c>
      <c r="AD187">
        <v>-1.1550769999999999</v>
      </c>
      <c r="AE187">
        <v>1.8496999999999799</v>
      </c>
      <c r="AF187">
        <v>-1.71396990782099</v>
      </c>
      <c r="AG187">
        <v>-1.1550769999999999</v>
      </c>
      <c r="AH187">
        <v>44.084359264630102</v>
      </c>
      <c r="AI187">
        <v>91.499760250685696</v>
      </c>
      <c r="AJ187">
        <v>92.226499534240403</v>
      </c>
      <c r="AK187">
        <v>44.132784044220699</v>
      </c>
    </row>
    <row r="188" spans="1:37" x14ac:dyDescent="0.2">
      <c r="A188" t="str">
        <f>"20200111155504581"</f>
        <v>20200111155504581</v>
      </c>
      <c r="B188" t="str">
        <f>"1578729304573155"</f>
        <v>1578729304573155</v>
      </c>
      <c r="C188" t="s">
        <v>37</v>
      </c>
      <c r="D188">
        <v>4.7351799999999997</v>
      </c>
      <c r="E188">
        <v>0.53820459999999903</v>
      </c>
      <c r="F188" t="s">
        <v>39</v>
      </c>
      <c r="G188">
        <v>-416.68310000000002</v>
      </c>
      <c r="H188">
        <v>-0.05</v>
      </c>
      <c r="I188">
        <v>369.27800000000002</v>
      </c>
      <c r="J188">
        <v>-459.47660000000002</v>
      </c>
      <c r="K188">
        <v>1.1050719999999901</v>
      </c>
      <c r="L188">
        <v>367.48099999999999</v>
      </c>
      <c r="M188">
        <v>0.99989950000000005</v>
      </c>
      <c r="N188">
        <v>0</v>
      </c>
      <c r="O188">
        <v>3.10025599999999E-3</v>
      </c>
      <c r="P188">
        <v>0.98982959999999998</v>
      </c>
      <c r="Q188">
        <v>-4.9351809999999899E-3</v>
      </c>
      <c r="R188">
        <v>0.1421731</v>
      </c>
      <c r="S188">
        <v>3.0123899999999999</v>
      </c>
      <c r="T188">
        <v>-8.1137299999999996E-2</v>
      </c>
      <c r="U188">
        <v>0.12625120000000001</v>
      </c>
      <c r="V188">
        <v>-0.13910400000000001</v>
      </c>
      <c r="W188">
        <v>8.7692240000000008E-3</v>
      </c>
      <c r="X188">
        <v>0.99023899999999998</v>
      </c>
      <c r="Y188">
        <v>-3.8762949999999997E-2</v>
      </c>
      <c r="Z188">
        <v>4.3824869999999999E-4</v>
      </c>
      <c r="AA188">
        <v>0.99924829999999998</v>
      </c>
      <c r="AB188">
        <v>16</v>
      </c>
      <c r="AC188">
        <v>42.793500000000002</v>
      </c>
      <c r="AD188">
        <v>-1.1550719999999901</v>
      </c>
      <c r="AE188">
        <v>1.7970000000000199</v>
      </c>
      <c r="AF188">
        <v>-1.6630983339924501</v>
      </c>
      <c r="AG188">
        <v>-1.1550719999999901</v>
      </c>
      <c r="AH188">
        <v>42.7677621658435</v>
      </c>
      <c r="AI188">
        <v>91.545900870686395</v>
      </c>
      <c r="AJ188">
        <v>92.226923343855503</v>
      </c>
      <c r="AK188">
        <v>42.8156696557214</v>
      </c>
    </row>
    <row r="189" spans="1:37" x14ac:dyDescent="0.2">
      <c r="A189" t="str">
        <f>"20200111155504599"</f>
        <v>20200111155504599</v>
      </c>
      <c r="B189" t="str">
        <f>"1578729304592675"</f>
        <v>1578729304592675</v>
      </c>
      <c r="C189" t="s">
        <v>37</v>
      </c>
      <c r="D189">
        <v>4.7419039999999999</v>
      </c>
      <c r="E189">
        <v>0.5382015</v>
      </c>
      <c r="F189" t="s">
        <v>39</v>
      </c>
      <c r="G189">
        <v>-417.61739999999998</v>
      </c>
      <c r="H189">
        <v>-0.05</v>
      </c>
      <c r="I189">
        <v>369.226</v>
      </c>
      <c r="J189">
        <v>-459.35250000000002</v>
      </c>
      <c r="K189">
        <v>1.105067</v>
      </c>
      <c r="L189">
        <v>367.48149999999998</v>
      </c>
      <c r="M189">
        <v>0.99989919999999999</v>
      </c>
      <c r="N189">
        <v>0</v>
      </c>
      <c r="O189">
        <v>3.1687569999999999E-3</v>
      </c>
      <c r="P189">
        <v>0.98992939999999996</v>
      </c>
      <c r="Q189">
        <v>-5.3897889999999999E-3</v>
      </c>
      <c r="R189">
        <v>0.14146010000000001</v>
      </c>
      <c r="S189">
        <v>3.0123599999999899</v>
      </c>
      <c r="T189">
        <v>-8.3123799999999998E-2</v>
      </c>
      <c r="U189">
        <v>0.12557979999999999</v>
      </c>
      <c r="V189">
        <v>-0.138323</v>
      </c>
      <c r="W189">
        <v>8.3133859999999903E-3</v>
      </c>
      <c r="X189">
        <v>0.99035229999999996</v>
      </c>
      <c r="Y189">
        <v>-3.847209E-2</v>
      </c>
      <c r="Z189">
        <v>4.4308129999999903E-4</v>
      </c>
      <c r="AA189">
        <v>0.99925959999999903</v>
      </c>
      <c r="AB189">
        <v>16</v>
      </c>
      <c r="AC189">
        <v>41.735100000000003</v>
      </c>
      <c r="AD189">
        <v>-1.1550670000000001</v>
      </c>
      <c r="AE189">
        <v>1.7445000000000099</v>
      </c>
      <c r="AF189">
        <v>-1.6109983586507699</v>
      </c>
      <c r="AG189">
        <v>-1.1550670000000001</v>
      </c>
      <c r="AH189">
        <v>41.708527118057901</v>
      </c>
      <c r="AI189">
        <v>91.585150162085199</v>
      </c>
      <c r="AJ189">
        <v>92.211958839293104</v>
      </c>
      <c r="AK189">
        <v>41.755607166509201</v>
      </c>
    </row>
    <row r="190" spans="1:37" x14ac:dyDescent="0.2">
      <c r="A190" t="str">
        <f>"20200111155504612"</f>
        <v>20200111155504612</v>
      </c>
      <c r="B190" t="str">
        <f>"1578729304602436"</f>
        <v>1578729304602436</v>
      </c>
      <c r="C190" t="s">
        <v>37</v>
      </c>
      <c r="D190">
        <v>4.7142520000000001</v>
      </c>
      <c r="E190">
        <v>0.53821059999999998</v>
      </c>
      <c r="F190" t="s">
        <v>39</v>
      </c>
      <c r="G190">
        <v>-418.55930000000001</v>
      </c>
      <c r="H190">
        <v>-0.05</v>
      </c>
      <c r="I190">
        <v>369.15109999999999</v>
      </c>
      <c r="J190">
        <v>-459.25959999999998</v>
      </c>
      <c r="K190">
        <v>1.1050679999999999</v>
      </c>
      <c r="L190">
        <v>367.48180000000002</v>
      </c>
      <c r="M190">
        <v>0.99989910000000004</v>
      </c>
      <c r="N190">
        <v>0</v>
      </c>
      <c r="O190">
        <v>3.2199679999999902E-3</v>
      </c>
      <c r="P190">
        <v>0.99001119999999898</v>
      </c>
      <c r="Q190">
        <v>-5.532225E-3</v>
      </c>
      <c r="R190">
        <v>0.14088149999999999</v>
      </c>
      <c r="S190">
        <v>3.012451</v>
      </c>
      <c r="T190">
        <v>-8.5298299999999994E-2</v>
      </c>
      <c r="U190">
        <v>0.123291</v>
      </c>
      <c r="V190">
        <v>-0.13769319999999999</v>
      </c>
      <c r="W190">
        <v>8.169862E-3</v>
      </c>
      <c r="X190">
        <v>0.99044120000000002</v>
      </c>
      <c r="Y190">
        <v>-3.7661340000000001E-2</v>
      </c>
      <c r="Z190">
        <v>4.4174040000000001E-4</v>
      </c>
      <c r="AA190">
        <v>0.99929049999999997</v>
      </c>
      <c r="AB190">
        <v>16</v>
      </c>
      <c r="AC190">
        <v>40.700299999999899</v>
      </c>
      <c r="AD190">
        <v>-1.155068</v>
      </c>
      <c r="AE190">
        <v>1.66929999999996</v>
      </c>
      <c r="AF190">
        <v>-1.5369893000447401</v>
      </c>
      <c r="AG190">
        <v>-1.155068</v>
      </c>
      <c r="AH190">
        <v>40.672761120358601</v>
      </c>
      <c r="AI190">
        <v>91.625549177409496</v>
      </c>
      <c r="AJ190">
        <v>92.164129380967793</v>
      </c>
      <c r="AK190">
        <v>40.718177947285803</v>
      </c>
    </row>
    <row r="191" spans="1:37" x14ac:dyDescent="0.2">
      <c r="A191" t="str">
        <f>"20200111155504625"</f>
        <v>20200111155504625</v>
      </c>
      <c r="B191" t="str">
        <f>"1578729304622932"</f>
        <v>1578729304622932</v>
      </c>
      <c r="C191" t="s">
        <v>37</v>
      </c>
      <c r="D191">
        <v>4.73367</v>
      </c>
      <c r="E191">
        <v>0.53827429999999998</v>
      </c>
      <c r="F191" t="s">
        <v>39</v>
      </c>
      <c r="G191">
        <v>-418.82799999999997</v>
      </c>
      <c r="H191">
        <v>-0.05</v>
      </c>
      <c r="I191">
        <v>369.10989999999998</v>
      </c>
      <c r="J191">
        <v>-459.166</v>
      </c>
      <c r="K191">
        <v>1.1050679999999999</v>
      </c>
      <c r="L191">
        <v>367.48219999999998</v>
      </c>
      <c r="M191">
        <v>0.99989889999999904</v>
      </c>
      <c r="N191">
        <v>0</v>
      </c>
      <c r="O191">
        <v>3.2714770000000001E-3</v>
      </c>
      <c r="P191">
        <v>0.99008240000000003</v>
      </c>
      <c r="Q191">
        <v>-5.1588349999999996E-3</v>
      </c>
      <c r="R191">
        <v>0.14039270000000001</v>
      </c>
      <c r="S191">
        <v>3.0125120000000001</v>
      </c>
      <c r="T191">
        <v>-8.606279E-2</v>
      </c>
      <c r="U191">
        <v>0.121307399999999</v>
      </c>
      <c r="V191">
        <v>-0.137153</v>
      </c>
      <c r="W191">
        <v>8.542259E-3</v>
      </c>
      <c r="X191">
        <v>0.99051299999999898</v>
      </c>
      <c r="Y191">
        <v>-3.6952159999999998E-2</v>
      </c>
      <c r="Z191">
        <v>4.3410019999999999E-4</v>
      </c>
      <c r="AA191">
        <v>0.99931689999999995</v>
      </c>
      <c r="AB191">
        <v>16</v>
      </c>
      <c r="AC191">
        <v>40.337999999999901</v>
      </c>
      <c r="AD191">
        <v>-1.155068</v>
      </c>
      <c r="AE191">
        <v>1.6276999999999999</v>
      </c>
      <c r="AF191">
        <v>-1.4944903996013399</v>
      </c>
      <c r="AG191">
        <v>-1.155068</v>
      </c>
      <c r="AH191">
        <v>40.310111120398801</v>
      </c>
      <c r="AI191">
        <v>91.640209252793298</v>
      </c>
      <c r="AJ191">
        <v>92.123258637902893</v>
      </c>
      <c r="AK191">
        <v>40.3543398183891</v>
      </c>
    </row>
    <row r="192" spans="1:37" x14ac:dyDescent="0.2">
      <c r="A192" t="str">
        <f>"20200111155504644"</f>
        <v>20200111155504644</v>
      </c>
      <c r="B192" t="str">
        <f>"1578729304632691"</f>
        <v>1578729304632691</v>
      </c>
      <c r="C192" t="s">
        <v>37</v>
      </c>
      <c r="D192">
        <v>4.7462650000000002</v>
      </c>
      <c r="E192">
        <v>0.53827969999999903</v>
      </c>
      <c r="F192" t="s">
        <v>39</v>
      </c>
      <c r="G192">
        <v>-418.72539999999998</v>
      </c>
      <c r="H192">
        <v>-0.05</v>
      </c>
      <c r="I192">
        <v>369.08839999999998</v>
      </c>
      <c r="J192">
        <v>-459.0401</v>
      </c>
      <c r="K192">
        <v>1.10507</v>
      </c>
      <c r="L192">
        <v>367.48270000000002</v>
      </c>
      <c r="M192">
        <v>0.99989869999999903</v>
      </c>
      <c r="N192">
        <v>0</v>
      </c>
      <c r="O192">
        <v>3.3411679999999998E-3</v>
      </c>
      <c r="P192">
        <v>0.99022109999999997</v>
      </c>
      <c r="Q192">
        <v>-4.7899520000000001E-3</v>
      </c>
      <c r="R192">
        <v>0.13942449999999901</v>
      </c>
      <c r="S192">
        <v>3.0126339999999998</v>
      </c>
      <c r="T192">
        <v>-8.604705E-2</v>
      </c>
      <c r="U192">
        <v>0.1196594</v>
      </c>
      <c r="V192">
        <v>-0.136115299999999</v>
      </c>
      <c r="W192">
        <v>8.9103640000000005E-3</v>
      </c>
      <c r="X192">
        <v>0.99065289999999995</v>
      </c>
      <c r="Y192">
        <v>-3.6335390000000002E-2</v>
      </c>
      <c r="Z192">
        <v>4.2321580000000001E-4</v>
      </c>
      <c r="AA192">
        <v>0.99933959999999999</v>
      </c>
      <c r="AB192">
        <v>16</v>
      </c>
      <c r="AC192">
        <v>40.314700000000002</v>
      </c>
      <c r="AD192">
        <v>-1.15507</v>
      </c>
      <c r="AE192">
        <v>1.6056999999999499</v>
      </c>
      <c r="AF192">
        <v>-1.4697753297348</v>
      </c>
      <c r="AG192">
        <v>-1.15507</v>
      </c>
      <c r="AH192">
        <v>40.286821326120197</v>
      </c>
      <c r="AI192">
        <v>91.641195447126805</v>
      </c>
      <c r="AJ192">
        <v>92.089382791348299</v>
      </c>
      <c r="AK192">
        <v>40.330167353824997</v>
      </c>
    </row>
    <row r="193" spans="1:37" x14ac:dyDescent="0.2">
      <c r="A193" t="str">
        <f>"20200111155504657"</f>
        <v>20200111155504657</v>
      </c>
      <c r="B193" t="str">
        <f>"1578729304652212"</f>
        <v>1578729304652212</v>
      </c>
      <c r="C193" t="s">
        <v>37</v>
      </c>
      <c r="D193">
        <v>4.7377500000000001</v>
      </c>
      <c r="E193">
        <v>0.53830319999999898</v>
      </c>
      <c r="F193" t="s">
        <v>39</v>
      </c>
      <c r="G193">
        <v>-418.26749999999998</v>
      </c>
      <c r="H193">
        <v>-0.05</v>
      </c>
      <c r="I193">
        <v>369.06279999999998</v>
      </c>
      <c r="J193">
        <v>-458.94380000000001</v>
      </c>
      <c r="K193">
        <v>1.105067</v>
      </c>
      <c r="L193">
        <v>367.48309999999998</v>
      </c>
      <c r="M193">
        <v>0.99989869999999903</v>
      </c>
      <c r="N193">
        <v>0</v>
      </c>
      <c r="O193">
        <v>3.3945220000000001E-3</v>
      </c>
      <c r="P193">
        <v>0.99025769999999902</v>
      </c>
      <c r="Q193">
        <v>-4.512014E-3</v>
      </c>
      <c r="R193">
        <v>0.1391743</v>
      </c>
      <c r="S193">
        <v>3.012756</v>
      </c>
      <c r="T193">
        <v>-8.5350040000000002E-2</v>
      </c>
      <c r="U193">
        <v>0.1167603</v>
      </c>
      <c r="V193">
        <v>-0.13581260000000001</v>
      </c>
      <c r="W193">
        <v>9.186919E-3</v>
      </c>
      <c r="X193">
        <v>0.99069200000000002</v>
      </c>
      <c r="Y193">
        <v>-3.5320919999999999E-2</v>
      </c>
      <c r="Z193">
        <v>4.0390750000000002E-4</v>
      </c>
      <c r="AA193">
        <v>0.99937589999999998</v>
      </c>
      <c r="AB193">
        <v>16</v>
      </c>
      <c r="AC193">
        <v>40.676299999999998</v>
      </c>
      <c r="AD193">
        <v>-1.1550670000000001</v>
      </c>
      <c r="AE193">
        <v>1.5797000000000001</v>
      </c>
      <c r="AF193">
        <v>-1.44044133716366</v>
      </c>
      <c r="AG193">
        <v>-1.1550670000000001</v>
      </c>
      <c r="AH193">
        <v>40.648700128967597</v>
      </c>
      <c r="AI193">
        <v>91.626649312191702</v>
      </c>
      <c r="AJ193">
        <v>92.029503753782805</v>
      </c>
      <c r="AK193">
        <v>40.690611609989702</v>
      </c>
    </row>
    <row r="194" spans="1:37" x14ac:dyDescent="0.2">
      <c r="A194" t="str">
        <f>"20200111155504669"</f>
        <v>20200111155504669</v>
      </c>
      <c r="B194" t="str">
        <f>"1578729304662947"</f>
        <v>1578729304662947</v>
      </c>
      <c r="C194" t="s">
        <v>37</v>
      </c>
      <c r="D194">
        <v>4.7635610000000002</v>
      </c>
      <c r="E194">
        <v>0.53832369999999996</v>
      </c>
      <c r="F194" t="s">
        <v>39</v>
      </c>
      <c r="G194">
        <v>-418.26859999999999</v>
      </c>
      <c r="H194">
        <v>-0.05</v>
      </c>
      <c r="I194">
        <v>369.04579999999999</v>
      </c>
      <c r="J194">
        <v>-458.86</v>
      </c>
      <c r="K194">
        <v>1.1050679999999999</v>
      </c>
      <c r="L194">
        <v>367.48340000000002</v>
      </c>
      <c r="M194">
        <v>0.99989859999999897</v>
      </c>
      <c r="N194">
        <v>0</v>
      </c>
      <c r="O194">
        <v>3.44049E-3</v>
      </c>
      <c r="P194">
        <v>0.99027140000000002</v>
      </c>
      <c r="Q194">
        <v>-4.4767970000000002E-3</v>
      </c>
      <c r="R194">
        <v>0.13907849999999999</v>
      </c>
      <c r="S194">
        <v>3.012848</v>
      </c>
      <c r="T194">
        <v>-8.5556750000000001E-2</v>
      </c>
      <c r="U194">
        <v>0.115753199999999</v>
      </c>
      <c r="V194">
        <v>-0.13567129999999999</v>
      </c>
      <c r="W194">
        <v>9.2202949999999999E-3</v>
      </c>
      <c r="X194">
        <v>0.99071100000000001</v>
      </c>
      <c r="Y194">
        <v>-3.4940350000000002E-2</v>
      </c>
      <c r="Z194">
        <v>3.9817040000000002E-4</v>
      </c>
      <c r="AA194">
        <v>0.99938930000000004</v>
      </c>
      <c r="AB194">
        <v>16</v>
      </c>
      <c r="AC194">
        <v>40.5914</v>
      </c>
      <c r="AD194">
        <v>-1.155068</v>
      </c>
      <c r="AE194">
        <v>1.56239999999996</v>
      </c>
      <c r="AF194">
        <v>-1.4215737037493399</v>
      </c>
      <c r="AG194">
        <v>-1.155068</v>
      </c>
      <c r="AH194">
        <v>40.563738049003803</v>
      </c>
      <c r="AI194">
        <v>91.630078372815404</v>
      </c>
      <c r="AJ194">
        <v>92.007133877170602</v>
      </c>
      <c r="AK194">
        <v>40.6050723233935</v>
      </c>
    </row>
    <row r="195" spans="1:37" x14ac:dyDescent="0.2">
      <c r="A195" t="str">
        <f>"20200111155504688"</f>
        <v>20200111155504688</v>
      </c>
      <c r="B195" t="str">
        <f>"1578729304682564"</f>
        <v>1578729304682564</v>
      </c>
      <c r="C195" t="s">
        <v>37</v>
      </c>
      <c r="D195">
        <v>4.772494</v>
      </c>
      <c r="E195">
        <v>0.53828679999999995</v>
      </c>
      <c r="F195" t="s">
        <v>39</v>
      </c>
      <c r="G195">
        <v>-418.30399999999997</v>
      </c>
      <c r="H195">
        <v>-0.05</v>
      </c>
      <c r="I195">
        <v>369.03739999999999</v>
      </c>
      <c r="J195">
        <v>-458.7303</v>
      </c>
      <c r="K195">
        <v>1.105064</v>
      </c>
      <c r="L195">
        <v>367.48390000000001</v>
      </c>
      <c r="M195">
        <v>0.99989830000000002</v>
      </c>
      <c r="N195">
        <v>0</v>
      </c>
      <c r="O195">
        <v>3.511873E-3</v>
      </c>
      <c r="P195">
        <v>0.99023879999999997</v>
      </c>
      <c r="Q195">
        <v>-4.8393070000000002E-3</v>
      </c>
      <c r="R195">
        <v>0.13929800000000001</v>
      </c>
      <c r="S195">
        <v>3.0129090000000001</v>
      </c>
      <c r="T195">
        <v>-8.5810070000000002E-2</v>
      </c>
      <c r="U195">
        <v>0.115448</v>
      </c>
      <c r="V195">
        <v>-0.1358201</v>
      </c>
      <c r="W195">
        <v>8.8517149999999996E-3</v>
      </c>
      <c r="X195">
        <v>0.99069399999999996</v>
      </c>
      <c r="Y195">
        <v>-3.476717E-2</v>
      </c>
      <c r="Z195">
        <v>3.94844899999999E-4</v>
      </c>
      <c r="AA195">
        <v>0.99939539999999905</v>
      </c>
      <c r="AB195">
        <v>16</v>
      </c>
      <c r="AC195">
        <v>40.426299999999898</v>
      </c>
      <c r="AD195">
        <v>-1.1550640000000001</v>
      </c>
      <c r="AE195">
        <v>1.5534999999999799</v>
      </c>
      <c r="AF195">
        <v>-1.4103551563972101</v>
      </c>
      <c r="AG195">
        <v>-1.1550640000000001</v>
      </c>
      <c r="AH195">
        <v>40.3985755409524</v>
      </c>
      <c r="AI195">
        <v>91.636741062451904</v>
      </c>
      <c r="AJ195">
        <v>91.999441618919704</v>
      </c>
      <c r="AK195">
        <v>40.4396857090818</v>
      </c>
    </row>
    <row r="196" spans="1:37" x14ac:dyDescent="0.2">
      <c r="A196" t="str">
        <f>"20200111155504702"</f>
        <v>20200111155504702</v>
      </c>
      <c r="B196" t="str">
        <f>"1578729304692324"</f>
        <v>1578729304692324</v>
      </c>
      <c r="C196" t="s">
        <v>37</v>
      </c>
      <c r="D196">
        <v>4.8982260000000002</v>
      </c>
      <c r="E196">
        <v>0.53822380000000003</v>
      </c>
      <c r="F196" t="s">
        <v>39</v>
      </c>
      <c r="G196">
        <v>-419.02080000000001</v>
      </c>
      <c r="H196">
        <v>-0.05</v>
      </c>
      <c r="I196">
        <v>369.01350000000002</v>
      </c>
      <c r="J196">
        <v>-458.64080000000001</v>
      </c>
      <c r="K196">
        <v>1.1050599999999999</v>
      </c>
      <c r="L196">
        <v>367.48430000000002</v>
      </c>
      <c r="M196">
        <v>0.99989830000000002</v>
      </c>
      <c r="N196">
        <v>0</v>
      </c>
      <c r="O196">
        <v>3.561214E-3</v>
      </c>
      <c r="P196">
        <v>0.99023349999999899</v>
      </c>
      <c r="Q196">
        <v>-4.9595289999999998E-3</v>
      </c>
      <c r="R196">
        <v>0.13933299999999901</v>
      </c>
      <c r="S196">
        <v>3.0128169999999899</v>
      </c>
      <c r="T196">
        <v>-8.7636350000000002E-2</v>
      </c>
      <c r="U196">
        <v>0.1160583</v>
      </c>
      <c r="V196">
        <v>-0.1358056</v>
      </c>
      <c r="W196">
        <v>8.7244049999999993E-3</v>
      </c>
      <c r="X196">
        <v>0.9906971</v>
      </c>
      <c r="Y196">
        <v>-3.4920590000000001E-2</v>
      </c>
      <c r="Z196">
        <v>4.0405109999999998E-4</v>
      </c>
      <c r="AA196">
        <v>0.99939</v>
      </c>
      <c r="AB196">
        <v>16</v>
      </c>
      <c r="AC196">
        <v>39.619999999999997</v>
      </c>
      <c r="AD196">
        <v>-1.15506</v>
      </c>
      <c r="AE196">
        <v>1.5291999999999999</v>
      </c>
      <c r="AF196">
        <v>-1.3869045365097901</v>
      </c>
      <c r="AG196">
        <v>-1.15506</v>
      </c>
      <c r="AH196">
        <v>39.591595246379697</v>
      </c>
      <c r="AI196">
        <v>91.670070689546506</v>
      </c>
      <c r="AJ196">
        <v>92.0062666350086</v>
      </c>
      <c r="AK196">
        <v>39.632714794095897</v>
      </c>
    </row>
    <row r="197" spans="1:37" x14ac:dyDescent="0.2">
      <c r="A197" t="str">
        <f>"20200111155504714"</f>
        <v>20200111155504714</v>
      </c>
      <c r="B197" t="str">
        <f>"1578729304703060"</f>
        <v>1578729304703060</v>
      </c>
      <c r="C197" t="s">
        <v>37</v>
      </c>
      <c r="D197">
        <v>4.8145210000000001</v>
      </c>
      <c r="E197">
        <v>0.53821049999999904</v>
      </c>
      <c r="F197" t="s">
        <v>39</v>
      </c>
      <c r="G197">
        <v>-419.24020000000002</v>
      </c>
      <c r="H197">
        <v>-0.05</v>
      </c>
      <c r="I197">
        <v>369.01049999999998</v>
      </c>
      <c r="J197">
        <v>-458.5471</v>
      </c>
      <c r="K197">
        <v>1.105057</v>
      </c>
      <c r="L197">
        <v>367.48469999999998</v>
      </c>
      <c r="M197">
        <v>0.99989830000000002</v>
      </c>
      <c r="N197">
        <v>0</v>
      </c>
      <c r="O197">
        <v>3.6129920000000002E-3</v>
      </c>
      <c r="P197">
        <v>0.99025169999999996</v>
      </c>
      <c r="Q197">
        <v>-5.6160949999999998E-3</v>
      </c>
      <c r="R197">
        <v>0.139177</v>
      </c>
      <c r="S197">
        <v>3.0126949999999999</v>
      </c>
      <c r="T197">
        <v>-8.8319540000000002E-2</v>
      </c>
      <c r="U197">
        <v>0.1166992</v>
      </c>
      <c r="V197">
        <v>-0.13559849999999901</v>
      </c>
      <c r="W197">
        <v>8.0535190000000003E-3</v>
      </c>
      <c r="X197">
        <v>0.99073109999999998</v>
      </c>
      <c r="Y197">
        <v>-3.5082420000000003E-2</v>
      </c>
      <c r="Z197">
        <v>4.0806809999999899E-4</v>
      </c>
      <c r="AA197">
        <v>0.9993843</v>
      </c>
      <c r="AB197">
        <v>15</v>
      </c>
      <c r="AC197">
        <v>39.306899999999899</v>
      </c>
      <c r="AD197">
        <v>-1.155057</v>
      </c>
      <c r="AE197">
        <v>1.5258</v>
      </c>
      <c r="AF197">
        <v>-1.38256893586045</v>
      </c>
      <c r="AG197">
        <v>-1.155057</v>
      </c>
      <c r="AH197">
        <v>39.278290314954702</v>
      </c>
      <c r="AI197">
        <v>91.683370100180497</v>
      </c>
      <c r="AJ197">
        <v>92.015939921146</v>
      </c>
      <c r="AK197">
        <v>39.319584733329997</v>
      </c>
    </row>
    <row r="198" spans="1:37" x14ac:dyDescent="0.2">
      <c r="A198" t="str">
        <f>"20200111155504733"</f>
        <v>20200111155504733</v>
      </c>
      <c r="B198" t="str">
        <f>"1578729304722580"</f>
        <v>1578729304722580</v>
      </c>
      <c r="C198" t="s">
        <v>37</v>
      </c>
      <c r="D198">
        <v>4.8212039999999998</v>
      </c>
      <c r="E198">
        <v>0.53820080000000003</v>
      </c>
      <c r="F198" t="s">
        <v>39</v>
      </c>
      <c r="G198">
        <v>-420.2364</v>
      </c>
      <c r="H198">
        <v>-0.05</v>
      </c>
      <c r="I198">
        <v>368.96719999999999</v>
      </c>
      <c r="J198">
        <v>-458.42469999999997</v>
      </c>
      <c r="K198">
        <v>1.1050489999999999</v>
      </c>
      <c r="L198">
        <v>367.48520000000002</v>
      </c>
      <c r="M198">
        <v>0.99989839999999997</v>
      </c>
      <c r="N198">
        <v>0</v>
      </c>
      <c r="O198">
        <v>3.6806849999999999E-3</v>
      </c>
      <c r="P198">
        <v>0.99026619999999999</v>
      </c>
      <c r="Q198">
        <v>-6.2854109999999899E-3</v>
      </c>
      <c r="R198">
        <v>0.13904520000000001</v>
      </c>
      <c r="S198">
        <v>3.0126339999999998</v>
      </c>
      <c r="T198">
        <v>-9.0830209999999995E-2</v>
      </c>
      <c r="U198">
        <v>0.116577099999999</v>
      </c>
      <c r="V198">
        <v>-0.1353994</v>
      </c>
      <c r="W198">
        <v>7.3521109999999997E-3</v>
      </c>
      <c r="X198">
        <v>0.99076379999999997</v>
      </c>
      <c r="Y198">
        <v>-3.4974409999999997E-2</v>
      </c>
      <c r="Z198">
        <v>4.1600470000000001E-4</v>
      </c>
      <c r="AA198">
        <v>0.999388099999999</v>
      </c>
      <c r="AB198">
        <v>15</v>
      </c>
      <c r="AC198">
        <v>38.188299999999899</v>
      </c>
      <c r="AD198">
        <v>-1.155049</v>
      </c>
      <c r="AE198">
        <v>1.48199999999997</v>
      </c>
      <c r="AF198">
        <v>-1.3401933218519499</v>
      </c>
      <c r="AG198">
        <v>-1.155049</v>
      </c>
      <c r="AH198">
        <v>38.158640409983001</v>
      </c>
      <c r="AI198">
        <v>91.732726554280902</v>
      </c>
      <c r="AJ198">
        <v>92.011493869913494</v>
      </c>
      <c r="AK198">
        <v>38.199634740017203</v>
      </c>
    </row>
    <row r="199" spans="1:37" x14ac:dyDescent="0.2">
      <c r="A199" t="str">
        <f>"20200111155504746"</f>
        <v>20200111155504746</v>
      </c>
      <c r="B199" t="str">
        <f>"1578729304743076"</f>
        <v>1578729304743076</v>
      </c>
      <c r="C199" t="s">
        <v>37</v>
      </c>
      <c r="D199">
        <v>4.9577960000000001</v>
      </c>
      <c r="E199">
        <v>0.53813889999999998</v>
      </c>
      <c r="F199" t="s">
        <v>39</v>
      </c>
      <c r="G199">
        <v>-421.31819999999999</v>
      </c>
      <c r="H199">
        <v>-0.05</v>
      </c>
      <c r="I199">
        <v>368.91699999999997</v>
      </c>
      <c r="J199">
        <v>-458.33359999999999</v>
      </c>
      <c r="K199">
        <v>1.1050420000000001</v>
      </c>
      <c r="L199">
        <v>367.48559999999998</v>
      </c>
      <c r="M199">
        <v>0.99989869999999903</v>
      </c>
      <c r="N199">
        <v>0</v>
      </c>
      <c r="O199">
        <v>3.7308459999999999E-3</v>
      </c>
      <c r="P199">
        <v>0.99023989999999995</v>
      </c>
      <c r="Q199">
        <v>-6.769728E-3</v>
      </c>
      <c r="R199">
        <v>0.13920969999999999</v>
      </c>
      <c r="S199">
        <v>3.0125730000000002</v>
      </c>
      <c r="T199">
        <v>-9.3775269999999994E-2</v>
      </c>
      <c r="U199">
        <v>0.1162415</v>
      </c>
      <c r="V199">
        <v>-0.1355142</v>
      </c>
      <c r="W199">
        <v>6.8366640000000001E-3</v>
      </c>
      <c r="X199">
        <v>0.99075179999999996</v>
      </c>
      <c r="Y199">
        <v>-3.4813030000000002E-2</v>
      </c>
      <c r="Z199">
        <v>4.2542599999999899E-4</v>
      </c>
      <c r="AA199">
        <v>0.9993938</v>
      </c>
      <c r="AB199">
        <v>15</v>
      </c>
      <c r="AC199">
        <v>37.0154</v>
      </c>
      <c r="AD199">
        <v>-1.1550419999999999</v>
      </c>
      <c r="AE199">
        <v>1.43139999999999</v>
      </c>
      <c r="AF199">
        <v>-1.2920220703494101</v>
      </c>
      <c r="AG199">
        <v>-1.1550419999999999</v>
      </c>
      <c r="AH199">
        <v>36.984524660211697</v>
      </c>
      <c r="AI199">
        <v>91.787699673962294</v>
      </c>
      <c r="AJ199">
        <v>92.000764379064506</v>
      </c>
      <c r="AK199">
        <v>37.025106446759096</v>
      </c>
    </row>
    <row r="200" spans="1:37" x14ac:dyDescent="0.2">
      <c r="A200" t="str">
        <f>"20200111155504759"</f>
        <v>20200111155504759</v>
      </c>
      <c r="B200" t="str">
        <f>"1578729304752837"</f>
        <v>1578729304752837</v>
      </c>
      <c r="C200" t="s">
        <v>37</v>
      </c>
      <c r="D200">
        <v>5.0533159999999997</v>
      </c>
      <c r="E200">
        <v>0.53813889999999998</v>
      </c>
      <c r="F200" t="s">
        <v>39</v>
      </c>
      <c r="G200">
        <v>-421.81319999999999</v>
      </c>
      <c r="H200">
        <v>-0.05</v>
      </c>
      <c r="I200">
        <v>368.90780000000001</v>
      </c>
      <c r="J200">
        <v>-458.23989999999998</v>
      </c>
      <c r="K200">
        <v>1.10503</v>
      </c>
      <c r="L200">
        <v>367.48610000000002</v>
      </c>
      <c r="M200">
        <v>0.99989910000000004</v>
      </c>
      <c r="N200">
        <v>0</v>
      </c>
      <c r="O200">
        <v>3.7822300000000001E-3</v>
      </c>
      <c r="P200">
        <v>0.99023899999999998</v>
      </c>
      <c r="Q200">
        <v>-6.9429909999999999E-3</v>
      </c>
      <c r="R200">
        <v>0.13920850000000001</v>
      </c>
      <c r="S200">
        <v>3.0123899999999999</v>
      </c>
      <c r="T200">
        <v>-9.5273849999999993E-2</v>
      </c>
      <c r="U200">
        <v>0.1173096</v>
      </c>
      <c r="V200">
        <v>-0.13546240000000001</v>
      </c>
      <c r="W200">
        <v>6.6287669999999998E-3</v>
      </c>
      <c r="X200">
        <v>0.99076030000000004</v>
      </c>
      <c r="Y200">
        <v>-3.5117229999999999E-2</v>
      </c>
      <c r="Z200">
        <v>4.35427699999999E-4</v>
      </c>
      <c r="AA200">
        <v>0.99938309999999997</v>
      </c>
      <c r="AB200">
        <v>15</v>
      </c>
      <c r="AC200">
        <v>36.426699999999897</v>
      </c>
      <c r="AD200">
        <v>-1.15503</v>
      </c>
      <c r="AE200">
        <v>1.42169999999998</v>
      </c>
      <c r="AF200">
        <v>-1.28261515090713</v>
      </c>
      <c r="AG200">
        <v>-1.15503</v>
      </c>
      <c r="AH200">
        <v>36.395280271357102</v>
      </c>
      <c r="AI200">
        <v>91.816585129029406</v>
      </c>
      <c r="AJ200">
        <v>92.018339578865096</v>
      </c>
      <c r="AK200">
        <v>36.436185612065202</v>
      </c>
    </row>
    <row r="201" spans="1:37" x14ac:dyDescent="0.2">
      <c r="A201" t="str">
        <f>"20200111155504773"</f>
        <v>20200111155504773</v>
      </c>
      <c r="B201" t="str">
        <f>"1578729304762596"</f>
        <v>1578729304762596</v>
      </c>
      <c r="C201" t="s">
        <v>37</v>
      </c>
      <c r="D201">
        <v>5.0328010000000001</v>
      </c>
      <c r="E201">
        <v>0.532941</v>
      </c>
      <c r="F201" t="s">
        <v>39</v>
      </c>
      <c r="G201">
        <v>-421.87880000000001</v>
      </c>
      <c r="H201">
        <v>-0.05</v>
      </c>
      <c r="I201">
        <v>368.89839999999998</v>
      </c>
      <c r="J201">
        <v>-458.14339999999999</v>
      </c>
      <c r="K201">
        <v>1.1050219999999999</v>
      </c>
      <c r="L201">
        <v>367.48649999999998</v>
      </c>
      <c r="M201">
        <v>0.99989930000000005</v>
      </c>
      <c r="N201">
        <v>0</v>
      </c>
      <c r="O201">
        <v>3.835532E-3</v>
      </c>
      <c r="P201">
        <v>0.99018099999999998</v>
      </c>
      <c r="Q201">
        <v>-7.3533699999999997E-3</v>
      </c>
      <c r="R201">
        <v>0.139599</v>
      </c>
      <c r="S201">
        <v>3.0123899999999999</v>
      </c>
      <c r="T201">
        <v>-9.5690129999999998E-2</v>
      </c>
      <c r="U201">
        <v>0.117004399999999</v>
      </c>
      <c r="V201">
        <v>-0.13580059999999999</v>
      </c>
      <c r="W201">
        <v>6.1805489999999996E-3</v>
      </c>
      <c r="X201">
        <v>0.99071690000000001</v>
      </c>
      <c r="Y201">
        <v>-3.496283E-2</v>
      </c>
      <c r="Z201">
        <v>4.331874E-4</v>
      </c>
      <c r="AA201">
        <v>0.99938850000000001</v>
      </c>
      <c r="AB201">
        <v>15</v>
      </c>
      <c r="AC201">
        <v>36.264599999999902</v>
      </c>
      <c r="AD201">
        <v>-1.155022</v>
      </c>
      <c r="AE201">
        <v>1.4118999999999999</v>
      </c>
      <c r="AF201">
        <v>-1.2714947256542499</v>
      </c>
      <c r="AG201">
        <v>-1.155022</v>
      </c>
      <c r="AH201">
        <v>36.233049451986602</v>
      </c>
      <c r="AI201">
        <v>91.824710190272199</v>
      </c>
      <c r="AJ201">
        <v>92.0098059704316</v>
      </c>
      <c r="AK201">
        <v>36.273745977607</v>
      </c>
    </row>
    <row r="202" spans="1:37" x14ac:dyDescent="0.2">
      <c r="A202" t="str">
        <f>"20200111155504789"</f>
        <v>20200111155504789</v>
      </c>
      <c r="B202" t="str">
        <f>"1578729304783092"</f>
        <v>1578729304783092</v>
      </c>
      <c r="C202" t="s">
        <v>37</v>
      </c>
      <c r="D202">
        <v>4.8387609999999999</v>
      </c>
      <c r="E202">
        <v>0.53799750000000002</v>
      </c>
      <c r="F202" t="s">
        <v>39</v>
      </c>
      <c r="G202">
        <v>-422.15800000000002</v>
      </c>
      <c r="H202">
        <v>-0.05</v>
      </c>
      <c r="I202">
        <v>369.3965</v>
      </c>
      <c r="J202">
        <v>-458.03539999999998</v>
      </c>
      <c r="K202">
        <v>1.1050149999999901</v>
      </c>
      <c r="L202">
        <v>367.486999999999</v>
      </c>
      <c r="M202">
        <v>0.99989969999999995</v>
      </c>
      <c r="N202">
        <v>0</v>
      </c>
      <c r="O202">
        <v>3.8949900000000001E-3</v>
      </c>
      <c r="P202">
        <v>0.990146999999999</v>
      </c>
      <c r="Q202">
        <v>-7.5585399999999999E-3</v>
      </c>
      <c r="R202">
        <v>0.13982939999999999</v>
      </c>
      <c r="S202">
        <v>3.0065309999999998</v>
      </c>
      <c r="T202">
        <v>-9.6500520000000006E-2</v>
      </c>
      <c r="U202">
        <v>0.15957639999999901</v>
      </c>
      <c r="V202">
        <v>-0.135971799999999</v>
      </c>
      <c r="W202">
        <v>5.93546E-3</v>
      </c>
      <c r="X202">
        <v>0.99069490000000004</v>
      </c>
      <c r="Y202">
        <v>-4.90885E-2</v>
      </c>
      <c r="Z202">
        <v>6.6213429999999998E-4</v>
      </c>
      <c r="AA202">
        <v>0.99879419999999897</v>
      </c>
      <c r="AB202">
        <v>15</v>
      </c>
      <c r="AC202">
        <v>35.877399999999902</v>
      </c>
      <c r="AD202">
        <v>-1.1550149999999999</v>
      </c>
      <c r="AE202">
        <v>1.90950000000003</v>
      </c>
      <c r="AF202">
        <v>-1.7679033369575801</v>
      </c>
      <c r="AG202">
        <v>-1.1550149999999999</v>
      </c>
      <c r="AH202">
        <v>35.8475180452809</v>
      </c>
      <c r="AI202">
        <v>91.843205706580306</v>
      </c>
      <c r="AJ202">
        <v>92.823386474010405</v>
      </c>
      <c r="AK202">
        <v>35.909665716430602</v>
      </c>
    </row>
    <row r="203" spans="1:37" x14ac:dyDescent="0.2">
      <c r="A203" t="str">
        <f>"20200111155504804"</f>
        <v>20200111155504804</v>
      </c>
      <c r="B203" t="str">
        <f>"1578729304792852"</f>
        <v>1578729304792852</v>
      </c>
      <c r="C203" t="s">
        <v>37</v>
      </c>
      <c r="D203">
        <v>5.1294979999999999</v>
      </c>
      <c r="E203">
        <v>0.53799750000000002</v>
      </c>
      <c r="F203" t="s">
        <v>39</v>
      </c>
      <c r="G203">
        <v>-425.83629999999999</v>
      </c>
      <c r="H203">
        <v>-0.05</v>
      </c>
      <c r="I203">
        <v>368.76870000000002</v>
      </c>
      <c r="J203">
        <v>-457.93239999999997</v>
      </c>
      <c r="K203">
        <v>1.10501</v>
      </c>
      <c r="L203">
        <v>367.48739999999998</v>
      </c>
      <c r="M203">
        <v>0.99989980000000001</v>
      </c>
      <c r="N203">
        <v>0</v>
      </c>
      <c r="O203">
        <v>3.9517939999999998E-3</v>
      </c>
      <c r="P203">
        <v>0.99010549999999997</v>
      </c>
      <c r="Q203">
        <v>-7.8817339999999996E-3</v>
      </c>
      <c r="R203">
        <v>0.14010329999999999</v>
      </c>
      <c r="S203">
        <v>3.012146</v>
      </c>
      <c r="T203">
        <v>-0.1080487</v>
      </c>
      <c r="U203">
        <v>0.1199036</v>
      </c>
      <c r="V203">
        <v>-0.136189899999999</v>
      </c>
      <c r="W203">
        <v>5.5768839999999998E-3</v>
      </c>
      <c r="X203">
        <v>0.99066699999999996</v>
      </c>
      <c r="Y203">
        <v>-3.5805389999999999E-2</v>
      </c>
      <c r="Z203">
        <v>5.0006390000000001E-4</v>
      </c>
      <c r="AA203">
        <v>0.99935869999999905</v>
      </c>
      <c r="AB203">
        <v>15</v>
      </c>
      <c r="AC203">
        <v>32.0960999999999</v>
      </c>
      <c r="AD203">
        <v>-1.1550100000000001</v>
      </c>
      <c r="AE203">
        <v>1.2813000000000401</v>
      </c>
      <c r="AF203">
        <v>-1.1529504127254999</v>
      </c>
      <c r="AG203">
        <v>-1.1550100000000001</v>
      </c>
      <c r="AH203">
        <v>32.0594625600081</v>
      </c>
      <c r="AI203">
        <v>92.061977528222897</v>
      </c>
      <c r="AJ203">
        <v>92.059633278356202</v>
      </c>
      <c r="AK203">
        <v>32.100973231210098</v>
      </c>
    </row>
    <row r="204" spans="1:37" x14ac:dyDescent="0.2">
      <c r="A204" t="str">
        <f>"20200111155504824"</f>
        <v>20200111155504824</v>
      </c>
      <c r="B204" t="str">
        <f>"1578729304812372"</f>
        <v>1578729304812372</v>
      </c>
      <c r="C204" t="s">
        <v>37</v>
      </c>
      <c r="D204">
        <v>4.879359</v>
      </c>
      <c r="E204">
        <v>0.53761949999999903</v>
      </c>
      <c r="F204" t="s">
        <v>39</v>
      </c>
      <c r="G204">
        <v>-426.015999999999</v>
      </c>
      <c r="H204">
        <v>-0.05</v>
      </c>
      <c r="I204">
        <v>368.76799999999997</v>
      </c>
      <c r="J204">
        <v>-457.80020000000002</v>
      </c>
      <c r="K204">
        <v>1.105</v>
      </c>
      <c r="L204">
        <v>367.48809999999997</v>
      </c>
      <c r="M204">
        <v>0.99990009999999996</v>
      </c>
      <c r="N204">
        <v>0</v>
      </c>
      <c r="O204">
        <v>4.0249070000000003E-3</v>
      </c>
      <c r="P204">
        <v>0.98999099999999995</v>
      </c>
      <c r="Q204">
        <v>-8.1366419999999995E-3</v>
      </c>
      <c r="R204">
        <v>0.14089549999999901</v>
      </c>
      <c r="S204">
        <v>3.012054</v>
      </c>
      <c r="T204">
        <v>-0.1090019</v>
      </c>
      <c r="U204">
        <v>0.1208496</v>
      </c>
      <c r="V204">
        <v>-0.13691</v>
      </c>
      <c r="W204">
        <v>5.2783880000000002E-3</v>
      </c>
      <c r="X204">
        <v>0.99056939999999905</v>
      </c>
      <c r="Y204">
        <v>-3.6046450000000001E-2</v>
      </c>
      <c r="Z204">
        <v>5.0619939999999996E-4</v>
      </c>
      <c r="AA204">
        <v>0.99934999999999996</v>
      </c>
      <c r="AB204">
        <v>15</v>
      </c>
      <c r="AC204">
        <v>31.784199999999998</v>
      </c>
      <c r="AD204">
        <v>-1.155</v>
      </c>
      <c r="AE204">
        <v>1.27990000000005</v>
      </c>
      <c r="AF204">
        <v>-1.15043273954893</v>
      </c>
      <c r="AG204">
        <v>-1.155</v>
      </c>
      <c r="AH204">
        <v>31.747239803220101</v>
      </c>
      <c r="AI204">
        <v>92.082199984983902</v>
      </c>
      <c r="AJ204">
        <v>92.075333537476595</v>
      </c>
      <c r="AK204">
        <v>31.789066604909799</v>
      </c>
    </row>
    <row r="205" spans="1:37" x14ac:dyDescent="0.2">
      <c r="A205" t="str">
        <f>"20200111155504837"</f>
        <v>20200111155504837</v>
      </c>
      <c r="B205" t="str">
        <f>"1578729304832868"</f>
        <v>1578729304832868</v>
      </c>
      <c r="C205" t="s">
        <v>37</v>
      </c>
      <c r="D205">
        <v>4.8621249999999998</v>
      </c>
      <c r="E205">
        <v>0.53767670000000001</v>
      </c>
      <c r="F205" t="s">
        <v>39</v>
      </c>
      <c r="G205">
        <v>-425.81040000000002</v>
      </c>
      <c r="H205">
        <v>-0.05</v>
      </c>
      <c r="I205">
        <v>368.83240000000001</v>
      </c>
      <c r="J205">
        <v>-457.70249999999999</v>
      </c>
      <c r="K205">
        <v>1.1049959999999901</v>
      </c>
      <c r="L205">
        <v>367.48849999999999</v>
      </c>
      <c r="M205">
        <v>0.99990029999999996</v>
      </c>
      <c r="N205">
        <v>0</v>
      </c>
      <c r="O205">
        <v>4.0789229999999999E-3</v>
      </c>
      <c r="P205">
        <v>0.98989280000000002</v>
      </c>
      <c r="Q205">
        <v>-8.2003359999999904E-3</v>
      </c>
      <c r="R205">
        <v>0.1415815</v>
      </c>
      <c r="S205">
        <v>3.011444</v>
      </c>
      <c r="T205">
        <v>-0.1087289</v>
      </c>
      <c r="U205">
        <v>0.12655639999999899</v>
      </c>
      <c r="V205">
        <v>-0.13754240000000001</v>
      </c>
      <c r="W205">
        <v>5.1839750000000004E-3</v>
      </c>
      <c r="X205">
        <v>0.99048230000000004</v>
      </c>
      <c r="Y205">
        <v>-3.7890060000000003E-2</v>
      </c>
      <c r="Z205">
        <v>5.3632289999999997E-4</v>
      </c>
      <c r="AA205">
        <v>0.9992818</v>
      </c>
      <c r="AB205">
        <v>15</v>
      </c>
      <c r="AC205">
        <v>31.8920999999999</v>
      </c>
      <c r="AD205">
        <v>-1.1549959999999999</v>
      </c>
      <c r="AE205">
        <v>1.3439000000000101</v>
      </c>
      <c r="AF205">
        <v>-1.2122044250260799</v>
      </c>
      <c r="AG205">
        <v>-1.1549959999999999</v>
      </c>
      <c r="AH205">
        <v>31.855609695945301</v>
      </c>
      <c r="AI205">
        <v>92.074975906663099</v>
      </c>
      <c r="AJ205">
        <v>92.179230067166401</v>
      </c>
      <c r="AK205">
        <v>31.8995818848535</v>
      </c>
    </row>
    <row r="206" spans="1:37" x14ac:dyDescent="0.2">
      <c r="A206" t="str">
        <f>"20200111155504851"</f>
        <v>20200111155504851</v>
      </c>
      <c r="B206" t="str">
        <f>"1578729304842629"</f>
        <v>1578729304842629</v>
      </c>
      <c r="C206" t="s">
        <v>37</v>
      </c>
      <c r="D206">
        <v>4.8954219999999999</v>
      </c>
      <c r="E206">
        <v>0.53778800000000004</v>
      </c>
      <c r="F206" t="s">
        <v>39</v>
      </c>
      <c r="G206">
        <v>-426.99400000000003</v>
      </c>
      <c r="H206">
        <v>-0.05</v>
      </c>
      <c r="I206">
        <v>368.79239999999999</v>
      </c>
      <c r="J206">
        <v>-457.6105</v>
      </c>
      <c r="K206">
        <v>1.1049899999999999</v>
      </c>
      <c r="L206">
        <v>367.48899999999998</v>
      </c>
      <c r="M206">
        <v>0.99990040000000002</v>
      </c>
      <c r="N206">
        <v>0</v>
      </c>
      <c r="O206">
        <v>4.1307649999999998E-3</v>
      </c>
      <c r="P206">
        <v>0.98980080000000004</v>
      </c>
      <c r="Q206">
        <v>-8.1987259999999999E-3</v>
      </c>
      <c r="R206">
        <v>0.1422233</v>
      </c>
      <c r="S206">
        <v>3.0114139999999998</v>
      </c>
      <c r="T206">
        <v>-0.1132644</v>
      </c>
      <c r="U206">
        <v>0.1278687</v>
      </c>
      <c r="V206">
        <v>-0.1381338</v>
      </c>
      <c r="W206">
        <v>5.1591809999999997E-3</v>
      </c>
      <c r="X206">
        <v>0.99040010000000001</v>
      </c>
      <c r="Y206">
        <v>-3.8271239999999998E-2</v>
      </c>
      <c r="Z206">
        <v>5.6389470000000003E-4</v>
      </c>
      <c r="AA206">
        <v>0.99926719999999902</v>
      </c>
      <c r="AB206">
        <v>15</v>
      </c>
      <c r="AC206">
        <v>30.616499999999899</v>
      </c>
      <c r="AD206">
        <v>-1.15499</v>
      </c>
      <c r="AE206">
        <v>1.3033999999999499</v>
      </c>
      <c r="AF206">
        <v>-1.1752382986763801</v>
      </c>
      <c r="AG206">
        <v>-1.15499</v>
      </c>
      <c r="AH206">
        <v>30.578185186232901</v>
      </c>
      <c r="AI206">
        <v>92.161536236125499</v>
      </c>
      <c r="AJ206">
        <v>92.201015785159896</v>
      </c>
      <c r="AK206">
        <v>30.622550452931399</v>
      </c>
    </row>
    <row r="207" spans="1:37" x14ac:dyDescent="0.2">
      <c r="A207" t="str">
        <f>"20200111155504867"</f>
        <v>20200111155504867</v>
      </c>
      <c r="B207" t="str">
        <f>"1578729304863124"</f>
        <v>1578729304863124</v>
      </c>
      <c r="C207" t="s">
        <v>37</v>
      </c>
      <c r="D207">
        <v>4.8755980000000001</v>
      </c>
      <c r="E207">
        <v>0.53802759999999905</v>
      </c>
      <c r="F207" t="s">
        <v>39</v>
      </c>
      <c r="G207">
        <v>-427.26850000000002</v>
      </c>
      <c r="H207">
        <v>-0.05</v>
      </c>
      <c r="I207">
        <v>368.78739999999999</v>
      </c>
      <c r="J207">
        <v>-457.50549999999998</v>
      </c>
      <c r="K207">
        <v>1.104989</v>
      </c>
      <c r="L207">
        <v>367.48939999999999</v>
      </c>
      <c r="M207">
        <v>0.99990059999999903</v>
      </c>
      <c r="N207">
        <v>0</v>
      </c>
      <c r="O207">
        <v>4.1898270000000001E-3</v>
      </c>
      <c r="P207">
        <v>0.98969289999999999</v>
      </c>
      <c r="Q207">
        <v>-8.889058E-3</v>
      </c>
      <c r="R207">
        <v>0.14293059999999999</v>
      </c>
      <c r="S207">
        <v>3.011444</v>
      </c>
      <c r="T207">
        <v>-0.11463279999999899</v>
      </c>
      <c r="U207">
        <v>0.12887570000000001</v>
      </c>
      <c r="V207">
        <v>-0.13878260000000001</v>
      </c>
      <c r="W207">
        <v>4.4405950000000003E-3</v>
      </c>
      <c r="X207">
        <v>0.99031290000000005</v>
      </c>
      <c r="Y207">
        <v>-3.854461E-2</v>
      </c>
      <c r="Z207">
        <v>5.7364489999999998E-4</v>
      </c>
      <c r="AA207">
        <v>0.999256699999999</v>
      </c>
      <c r="AB207">
        <v>15</v>
      </c>
      <c r="AC207">
        <v>30.236999999999899</v>
      </c>
      <c r="AD207">
        <v>-1.154989</v>
      </c>
      <c r="AE207">
        <v>1.298</v>
      </c>
      <c r="AF207">
        <v>-1.169585946847</v>
      </c>
      <c r="AG207">
        <v>-1.154989</v>
      </c>
      <c r="AH207">
        <v>30.1981929876622</v>
      </c>
      <c r="AI207">
        <v>92.188682289633206</v>
      </c>
      <c r="AJ207">
        <v>92.217975812586303</v>
      </c>
      <c r="AK207">
        <v>30.2428965312067</v>
      </c>
    </row>
    <row r="208" spans="1:37" x14ac:dyDescent="0.2">
      <c r="A208" t="str">
        <f>"20200111155504880"</f>
        <v>20200111155504880</v>
      </c>
      <c r="B208" t="str">
        <f>"1578729304872521"</f>
        <v>1578729304872521</v>
      </c>
      <c r="C208" t="s">
        <v>37</v>
      </c>
      <c r="D208">
        <v>4.9422930000000003</v>
      </c>
      <c r="E208">
        <v>0.5382304</v>
      </c>
      <c r="F208" t="s">
        <v>39</v>
      </c>
      <c r="G208">
        <v>-428.03390000000002</v>
      </c>
      <c r="H208">
        <v>-0.05</v>
      </c>
      <c r="I208">
        <v>368.7534</v>
      </c>
      <c r="J208">
        <v>-457.41460000000001</v>
      </c>
      <c r="K208">
        <v>1.104986</v>
      </c>
      <c r="L208">
        <v>367.48989999999998</v>
      </c>
      <c r="M208">
        <v>0.99990069999999998</v>
      </c>
      <c r="N208">
        <v>0</v>
      </c>
      <c r="O208">
        <v>4.2403859999999996E-3</v>
      </c>
      <c r="P208">
        <v>0.98966160000000003</v>
      </c>
      <c r="Q208">
        <v>-9.2901930000000004E-3</v>
      </c>
      <c r="R208">
        <v>0.14312159999999999</v>
      </c>
      <c r="S208">
        <v>3.011536</v>
      </c>
      <c r="T208">
        <v>-0.1180221</v>
      </c>
      <c r="U208">
        <v>0.1291504</v>
      </c>
      <c r="V208">
        <v>-0.13892360000000001</v>
      </c>
      <c r="W208">
        <v>4.018598E-3</v>
      </c>
      <c r="X208">
        <v>0.99029489999999998</v>
      </c>
      <c r="Y208">
        <v>-3.8582279999999997E-2</v>
      </c>
      <c r="Z208">
        <v>5.8933140000000004E-4</v>
      </c>
      <c r="AA208">
        <v>0.99925520000000001</v>
      </c>
      <c r="AB208">
        <v>15</v>
      </c>
      <c r="AC208">
        <v>29.380699999999901</v>
      </c>
      <c r="AD208">
        <v>-1.1549860000000001</v>
      </c>
      <c r="AE208">
        <v>1.2635000000000201</v>
      </c>
      <c r="AF208">
        <v>-1.13713783596053</v>
      </c>
      <c r="AG208">
        <v>-1.1549860000000001</v>
      </c>
      <c r="AH208">
        <v>29.340536078320401</v>
      </c>
      <c r="AI208">
        <v>92.252586838987696</v>
      </c>
      <c r="AJ208">
        <v>92.219475689461902</v>
      </c>
      <c r="AK208">
        <v>29.385270672249899</v>
      </c>
    </row>
    <row r="209" spans="1:37" x14ac:dyDescent="0.2">
      <c r="A209" t="str">
        <f>"20200111155504893"</f>
        <v>20200111155504893</v>
      </c>
      <c r="B209" t="str">
        <f>"1578729304882280"</f>
        <v>1578729304882280</v>
      </c>
      <c r="C209" t="s">
        <v>37</v>
      </c>
      <c r="D209">
        <v>4.9257790000000004</v>
      </c>
      <c r="E209">
        <v>0.53836110000000004</v>
      </c>
      <c r="F209" t="s">
        <v>39</v>
      </c>
      <c r="G209">
        <v>-428.3229</v>
      </c>
      <c r="H209">
        <v>-0.05</v>
      </c>
      <c r="I209">
        <v>368.72739999999999</v>
      </c>
      <c r="J209">
        <v>-457.32749999999999</v>
      </c>
      <c r="K209">
        <v>1.1049799999999901</v>
      </c>
      <c r="L209">
        <v>367.49029999999999</v>
      </c>
      <c r="M209">
        <v>0.99990059999999903</v>
      </c>
      <c r="N209">
        <v>0</v>
      </c>
      <c r="O209">
        <v>4.2886440000000003E-3</v>
      </c>
      <c r="P209">
        <v>0.98967559999999999</v>
      </c>
      <c r="Q209">
        <v>-9.7935149999999992E-3</v>
      </c>
      <c r="R209">
        <v>0.1429897</v>
      </c>
      <c r="S209">
        <v>3.0116879999999999</v>
      </c>
      <c r="T209">
        <v>-0.119568699999999</v>
      </c>
      <c r="U209">
        <v>0.1281128</v>
      </c>
      <c r="V209">
        <v>-0.13874400000000001</v>
      </c>
      <c r="W209">
        <v>3.5012329999999999E-3</v>
      </c>
      <c r="X209">
        <v>0.99032209999999998</v>
      </c>
      <c r="Y209">
        <v>-3.8187890000000002E-2</v>
      </c>
      <c r="Z209">
        <v>5.8728570000000002E-4</v>
      </c>
      <c r="AA209">
        <v>0.9992704</v>
      </c>
      <c r="AB209">
        <v>15</v>
      </c>
      <c r="AC209">
        <v>29.0045999999999</v>
      </c>
      <c r="AD209">
        <v>-1.1549799999999999</v>
      </c>
      <c r="AE209">
        <v>1.2370999999999901</v>
      </c>
      <c r="AF209">
        <v>-1.1109286191463399</v>
      </c>
      <c r="AG209">
        <v>-1.1549799999999999</v>
      </c>
      <c r="AH209">
        <v>28.963795305392999</v>
      </c>
      <c r="AI209">
        <v>92.281879467426094</v>
      </c>
      <c r="AJ209">
        <v>92.196546899594395</v>
      </c>
      <c r="AK209">
        <v>29.0080950717199</v>
      </c>
    </row>
    <row r="210" spans="1:37" x14ac:dyDescent="0.2">
      <c r="A210" t="str">
        <f>"20200111155504911"</f>
        <v>20200111155504911</v>
      </c>
      <c r="B210" t="str">
        <f>"1578729304902779"</f>
        <v>1578729304902779</v>
      </c>
      <c r="C210" t="s">
        <v>37</v>
      </c>
      <c r="D210">
        <v>4.9319629999999997</v>
      </c>
      <c r="E210">
        <v>0.53843629999999998</v>
      </c>
      <c r="F210" t="s">
        <v>39</v>
      </c>
      <c r="G210">
        <v>-428.50069999999999</v>
      </c>
      <c r="H210">
        <v>-0.05</v>
      </c>
      <c r="I210">
        <v>368.70339999999999</v>
      </c>
      <c r="J210">
        <v>-457.20080000000002</v>
      </c>
      <c r="K210">
        <v>1.1049799999999901</v>
      </c>
      <c r="L210">
        <v>367.49090000000001</v>
      </c>
      <c r="M210">
        <v>0.99990059999999903</v>
      </c>
      <c r="N210">
        <v>0</v>
      </c>
      <c r="O210">
        <v>4.3585569999999999E-3</v>
      </c>
      <c r="P210">
        <v>0.98967260000000001</v>
      </c>
      <c r="Q210">
        <v>-1.0196159999999999E-2</v>
      </c>
      <c r="R210">
        <v>0.142983</v>
      </c>
      <c r="S210">
        <v>3.0118099999999899</v>
      </c>
      <c r="T210">
        <v>-0.12067169999999899</v>
      </c>
      <c r="U210">
        <v>0.1267395</v>
      </c>
      <c r="V210">
        <v>-0.1386677</v>
      </c>
      <c r="W210">
        <v>3.0811419999999998E-3</v>
      </c>
      <c r="X210">
        <v>0.99033419999999905</v>
      </c>
      <c r="Y210">
        <v>-3.7661470000000002E-2</v>
      </c>
      <c r="Z210">
        <v>5.7934499999999999E-4</v>
      </c>
      <c r="AA210">
        <v>0.99929040000000002</v>
      </c>
      <c r="AB210">
        <v>15</v>
      </c>
      <c r="AC210">
        <v>28.700099999999999</v>
      </c>
      <c r="AD210">
        <v>-1.1549799999999999</v>
      </c>
      <c r="AE210">
        <v>1.2124999999999699</v>
      </c>
      <c r="AF210">
        <v>-1.08563116053302</v>
      </c>
      <c r="AG210">
        <v>-1.1549799999999999</v>
      </c>
      <c r="AH210">
        <v>28.658782237414101</v>
      </c>
      <c r="AI210">
        <v>92.306180846457195</v>
      </c>
      <c r="AJ210">
        <v>92.169399786143202</v>
      </c>
      <c r="AK210">
        <v>28.702584781664601</v>
      </c>
    </row>
    <row r="211" spans="1:37" x14ac:dyDescent="0.2">
      <c r="A211" t="str">
        <f>"20200111155504926"</f>
        <v>20200111155504926</v>
      </c>
      <c r="B211" t="str">
        <f>"1578729304922296"</f>
        <v>1578729304922296</v>
      </c>
      <c r="C211" t="s">
        <v>37</v>
      </c>
      <c r="D211">
        <v>5.0594619999999999</v>
      </c>
      <c r="E211">
        <v>0.53838649999999999</v>
      </c>
      <c r="F211" t="s">
        <v>39</v>
      </c>
      <c r="G211">
        <v>-428.29730000000001</v>
      </c>
      <c r="H211">
        <v>-0.05</v>
      </c>
      <c r="I211">
        <v>368.7002</v>
      </c>
      <c r="J211">
        <v>-457.10140000000001</v>
      </c>
      <c r="K211">
        <v>1.104986</v>
      </c>
      <c r="L211">
        <v>367.4914</v>
      </c>
      <c r="M211">
        <v>0.99990049999999997</v>
      </c>
      <c r="N211">
        <v>0</v>
      </c>
      <c r="O211">
        <v>4.4132879999999996E-3</v>
      </c>
      <c r="P211">
        <v>0.98969799999999997</v>
      </c>
      <c r="Q211">
        <v>-1.0216889999999999E-2</v>
      </c>
      <c r="R211">
        <v>0.14280589999999899</v>
      </c>
      <c r="S211">
        <v>3.011841</v>
      </c>
      <c r="T211">
        <v>-0.1203529</v>
      </c>
      <c r="U211">
        <v>0.12600710000000001</v>
      </c>
      <c r="V211">
        <v>-0.1384367</v>
      </c>
      <c r="W211">
        <v>3.0496709999999999E-3</v>
      </c>
      <c r="X211">
        <v>0.99036659999999899</v>
      </c>
      <c r="Y211">
        <v>-3.7364189999999999E-2</v>
      </c>
      <c r="Z211">
        <v>5.6969259999999999E-4</v>
      </c>
      <c r="AA211">
        <v>0.99930160000000001</v>
      </c>
      <c r="AB211">
        <v>15</v>
      </c>
      <c r="AC211">
        <v>28.804099999999998</v>
      </c>
      <c r="AD211">
        <v>-1.1549860000000001</v>
      </c>
      <c r="AE211">
        <v>1.2087999999999901</v>
      </c>
      <c r="AF211">
        <v>-1.07992272723699</v>
      </c>
      <c r="AG211">
        <v>-1.1549860000000001</v>
      </c>
      <c r="AH211">
        <v>28.762989506859899</v>
      </c>
      <c r="AI211">
        <v>92.297875553297999</v>
      </c>
      <c r="AJ211">
        <v>92.150192509771799</v>
      </c>
      <c r="AK211">
        <v>28.806419269474201</v>
      </c>
    </row>
    <row r="212" spans="1:37" x14ac:dyDescent="0.2">
      <c r="A212" t="str">
        <f>"20200111155504939"</f>
        <v>20200111155504939</v>
      </c>
      <c r="B212" t="str">
        <f>"1578729304933032"</f>
        <v>1578729304933032</v>
      </c>
      <c r="C212" t="s">
        <v>37</v>
      </c>
      <c r="D212">
        <v>5.0152380000000001</v>
      </c>
      <c r="E212">
        <v>0.53834359999999903</v>
      </c>
      <c r="F212" t="s">
        <v>39</v>
      </c>
      <c r="G212">
        <v>-428.04169999999999</v>
      </c>
      <c r="H212">
        <v>-0.05</v>
      </c>
      <c r="I212">
        <v>368.7063</v>
      </c>
      <c r="J212">
        <v>-457.00699999999898</v>
      </c>
      <c r="K212">
        <v>1.1049879999999901</v>
      </c>
      <c r="L212">
        <v>367.49189999999999</v>
      </c>
      <c r="M212">
        <v>0.99990040000000002</v>
      </c>
      <c r="N212">
        <v>0</v>
      </c>
      <c r="O212">
        <v>4.4653239999999997E-3</v>
      </c>
      <c r="P212">
        <v>0.98980279999999998</v>
      </c>
      <c r="Q212">
        <v>-1.017758E-2</v>
      </c>
      <c r="R212">
        <v>0.14208080000000001</v>
      </c>
      <c r="S212">
        <v>3.01187099999999</v>
      </c>
      <c r="T212">
        <v>-0.1197076</v>
      </c>
      <c r="U212">
        <v>0.12591549999999899</v>
      </c>
      <c r="V212">
        <v>-0.1376599</v>
      </c>
      <c r="W212">
        <v>3.0816189999999999E-3</v>
      </c>
      <c r="X212">
        <v>0.99047479999999999</v>
      </c>
      <c r="Y212">
        <v>-3.7281809999999999E-2</v>
      </c>
      <c r="Z212">
        <v>5.6293290000000002E-4</v>
      </c>
      <c r="AA212">
        <v>0.99930469999999905</v>
      </c>
      <c r="AB212">
        <v>15</v>
      </c>
      <c r="AC212">
        <v>28.9652999999999</v>
      </c>
      <c r="AD212">
        <v>-1.1549879999999999</v>
      </c>
      <c r="AE212">
        <v>1.2144000000000099</v>
      </c>
      <c r="AF212">
        <v>-1.08331738864149</v>
      </c>
      <c r="AG212">
        <v>-1.1549879999999999</v>
      </c>
      <c r="AH212">
        <v>28.924524869672599</v>
      </c>
      <c r="AI212">
        <v>92.285068047864499</v>
      </c>
      <c r="AJ212">
        <v>92.144910464105195</v>
      </c>
      <c r="AK212">
        <v>28.967839283954</v>
      </c>
    </row>
    <row r="213" spans="1:37" x14ac:dyDescent="0.2">
      <c r="A213" t="str">
        <f>"20200111155504957"</f>
        <v>20200111155504957</v>
      </c>
      <c r="B213" t="str">
        <f>"1578729304952552"</f>
        <v>1578729304952552</v>
      </c>
      <c r="C213" t="s">
        <v>37</v>
      </c>
      <c r="D213">
        <v>4.9978400000000001</v>
      </c>
      <c r="E213">
        <v>0.53832789999999997</v>
      </c>
      <c r="F213" t="s">
        <v>39</v>
      </c>
      <c r="G213">
        <v>-427.95030000000003</v>
      </c>
      <c r="H213">
        <v>-0.05</v>
      </c>
      <c r="I213">
        <v>368.68900000000002</v>
      </c>
      <c r="J213">
        <v>-456.89030000000002</v>
      </c>
      <c r="K213">
        <v>1.104997</v>
      </c>
      <c r="L213">
        <v>367.49250000000001</v>
      </c>
      <c r="M213">
        <v>0.99990020000000002</v>
      </c>
      <c r="N213">
        <v>0</v>
      </c>
      <c r="O213">
        <v>4.5296470000000004E-3</v>
      </c>
      <c r="P213">
        <v>0.99004049999999999</v>
      </c>
      <c r="Q213">
        <v>-9.9671450000000002E-3</v>
      </c>
      <c r="R213">
        <v>0.14042979999999899</v>
      </c>
      <c r="S213">
        <v>3.0119319999999998</v>
      </c>
      <c r="T213">
        <v>-0.119723</v>
      </c>
      <c r="U213">
        <v>0.1240845</v>
      </c>
      <c r="V213">
        <v>-0.1359437</v>
      </c>
      <c r="W213">
        <v>3.2847509999999998E-3</v>
      </c>
      <c r="X213">
        <v>0.99071119999999901</v>
      </c>
      <c r="Y213">
        <v>-3.6610789999999997E-2</v>
      </c>
      <c r="Z213">
        <v>5.4712059999999999E-4</v>
      </c>
      <c r="AA213">
        <v>0.99932940000000003</v>
      </c>
      <c r="AB213">
        <v>15</v>
      </c>
      <c r="AC213">
        <v>28.94</v>
      </c>
      <c r="AD213">
        <v>-1.1549969999999901</v>
      </c>
      <c r="AE213">
        <v>1.1965000000000101</v>
      </c>
      <c r="AF213">
        <v>-1.06369662200098</v>
      </c>
      <c r="AG213">
        <v>-1.1549969999999901</v>
      </c>
      <c r="AH213">
        <v>28.899170849450901</v>
      </c>
      <c r="AI213">
        <v>92.287143206311796</v>
      </c>
      <c r="AJ213">
        <v>92.1079437724825</v>
      </c>
      <c r="AK213">
        <v>28.941795803982501</v>
      </c>
    </row>
    <row r="214" spans="1:37" x14ac:dyDescent="0.2">
      <c r="A214" t="str">
        <f>"20200111155504970"</f>
        <v>20200111155504970</v>
      </c>
      <c r="B214" t="str">
        <f>"1578729304962312"</f>
        <v>1578729304962312</v>
      </c>
      <c r="C214" t="s">
        <v>37</v>
      </c>
      <c r="D214">
        <v>5.0799059999999896</v>
      </c>
      <c r="E214">
        <v>0.53833180000000003</v>
      </c>
      <c r="F214" t="s">
        <v>39</v>
      </c>
      <c r="G214">
        <v>-427.72539999999998</v>
      </c>
      <c r="H214">
        <v>-0.05</v>
      </c>
      <c r="I214">
        <v>368.6431</v>
      </c>
      <c r="J214">
        <v>-456.80619999999999</v>
      </c>
      <c r="K214">
        <v>1.105</v>
      </c>
      <c r="L214">
        <v>367.49290000000002</v>
      </c>
      <c r="M214">
        <v>0.99990009999999996</v>
      </c>
      <c r="N214">
        <v>0</v>
      </c>
      <c r="O214">
        <v>4.5774470000000001E-3</v>
      </c>
      <c r="P214">
        <v>0.99019449999999998</v>
      </c>
      <c r="Q214">
        <v>-9.591736E-3</v>
      </c>
      <c r="R214">
        <v>0.1393665</v>
      </c>
      <c r="S214">
        <v>3.012146</v>
      </c>
      <c r="T214">
        <v>-0.11928809999999999</v>
      </c>
      <c r="U214">
        <v>0.11883539999999999</v>
      </c>
      <c r="V214">
        <v>-0.13483229999999999</v>
      </c>
      <c r="W214">
        <v>3.654774E-3</v>
      </c>
      <c r="X214">
        <v>0.99086169999999996</v>
      </c>
      <c r="Y214">
        <v>-3.4823050000000001E-2</v>
      </c>
      <c r="Z214">
        <v>5.0785169999999896E-4</v>
      </c>
      <c r="AA214">
        <v>0.99939330000000004</v>
      </c>
      <c r="AB214">
        <v>15</v>
      </c>
      <c r="AC214">
        <v>29.0808</v>
      </c>
      <c r="AD214">
        <v>-1.155</v>
      </c>
      <c r="AE214">
        <v>1.1501999999999799</v>
      </c>
      <c r="AF214">
        <v>-1.0154609014492599</v>
      </c>
      <c r="AG214">
        <v>-1.155</v>
      </c>
      <c r="AH214">
        <v>29.0400235498726</v>
      </c>
      <c r="AI214">
        <v>92.276217397258407</v>
      </c>
      <c r="AJ214">
        <v>92.002681837320793</v>
      </c>
      <c r="AK214">
        <v>29.0807179006902</v>
      </c>
    </row>
    <row r="215" spans="1:37" x14ac:dyDescent="0.2">
      <c r="A215" t="str">
        <f>"20200111155504982"</f>
        <v>20200111155504982</v>
      </c>
      <c r="B215" t="str">
        <f>"1578729304973048"</f>
        <v>1578729304973048</v>
      </c>
      <c r="C215" t="s">
        <v>37</v>
      </c>
      <c r="D215">
        <v>5.0019260000000001</v>
      </c>
      <c r="E215">
        <v>0.53832480000000005</v>
      </c>
      <c r="F215" t="s">
        <v>39</v>
      </c>
      <c r="G215">
        <v>-427.43310000000002</v>
      </c>
      <c r="H215">
        <v>-0.05</v>
      </c>
      <c r="I215">
        <v>368.62189999999998</v>
      </c>
      <c r="J215">
        <v>-456.71600000000001</v>
      </c>
      <c r="K215">
        <v>1.105002</v>
      </c>
      <c r="L215">
        <v>367.49340000000001</v>
      </c>
      <c r="M215">
        <v>0.99990000000000001</v>
      </c>
      <c r="N215">
        <v>0</v>
      </c>
      <c r="O215">
        <v>4.6308649999999996E-3</v>
      </c>
      <c r="P215">
        <v>0.99038649999999995</v>
      </c>
      <c r="Q215">
        <v>-9.2996820000000001E-3</v>
      </c>
      <c r="R215">
        <v>0.13801579999999999</v>
      </c>
      <c r="S215">
        <v>3.012238</v>
      </c>
      <c r="T215">
        <v>-0.118446</v>
      </c>
      <c r="U215">
        <v>0.1157837</v>
      </c>
      <c r="V215">
        <v>-0.13342779999999901</v>
      </c>
      <c r="W215">
        <v>3.9418279999999997E-3</v>
      </c>
      <c r="X215">
        <v>0.99105069999999995</v>
      </c>
      <c r="Y215">
        <v>-3.3758660000000003E-2</v>
      </c>
      <c r="Z215">
        <v>4.8125400000000002E-4</v>
      </c>
      <c r="AA215">
        <v>0.99942989999999998</v>
      </c>
      <c r="AB215">
        <v>15</v>
      </c>
      <c r="AC215">
        <v>29.282899999999898</v>
      </c>
      <c r="AD215">
        <v>-1.1550020000000001</v>
      </c>
      <c r="AE215">
        <v>1.1284999999999701</v>
      </c>
      <c r="AF215">
        <v>-0.99133066665652902</v>
      </c>
      <c r="AG215">
        <v>-1.1550020000000001</v>
      </c>
      <c r="AH215">
        <v>29.2423862408315</v>
      </c>
      <c r="AI215">
        <v>92.260568744147207</v>
      </c>
      <c r="AJ215">
        <v>91.941610346131498</v>
      </c>
      <c r="AK215">
        <v>29.2819725969517</v>
      </c>
    </row>
    <row r="216" spans="1:37" x14ac:dyDescent="0.2">
      <c r="A216" t="str">
        <f>"20200111155505001"</f>
        <v>20200111155505001</v>
      </c>
      <c r="B216" t="str">
        <f>"1578729304992571"</f>
        <v>1578729304992571</v>
      </c>
      <c r="C216" t="s">
        <v>37</v>
      </c>
      <c r="D216">
        <v>5.1347709999999998</v>
      </c>
      <c r="E216">
        <v>0.53813610000000001</v>
      </c>
      <c r="F216" t="s">
        <v>39</v>
      </c>
      <c r="G216">
        <v>-427.185</v>
      </c>
      <c r="H216">
        <v>-0.05</v>
      </c>
      <c r="I216">
        <v>368.58800000000002</v>
      </c>
      <c r="J216">
        <v>-456.59410000000003</v>
      </c>
      <c r="K216">
        <v>1.105005</v>
      </c>
      <c r="L216">
        <v>367.49400000000003</v>
      </c>
      <c r="M216">
        <v>0.99989969999999995</v>
      </c>
      <c r="N216">
        <v>0</v>
      </c>
      <c r="O216">
        <v>4.7098519999999996E-3</v>
      </c>
      <c r="P216">
        <v>0.99074180000000001</v>
      </c>
      <c r="Q216">
        <v>-9.3049029999999998E-3</v>
      </c>
      <c r="R216">
        <v>0.13544</v>
      </c>
      <c r="S216">
        <v>3.0124819999999999</v>
      </c>
      <c r="T216">
        <v>-0.117822699999999</v>
      </c>
      <c r="U216">
        <v>0.11166379999999999</v>
      </c>
      <c r="V216">
        <v>-0.130772</v>
      </c>
      <c r="W216">
        <v>3.9308600000000004E-3</v>
      </c>
      <c r="X216">
        <v>0.99140469999999903</v>
      </c>
      <c r="Y216">
        <v>-3.2313090000000003E-2</v>
      </c>
      <c r="Z216">
        <v>4.4736099999999899E-4</v>
      </c>
      <c r="AA216">
        <v>0.99947770000000002</v>
      </c>
      <c r="AB216">
        <v>15</v>
      </c>
      <c r="AC216">
        <v>29.409099999999999</v>
      </c>
      <c r="AD216">
        <v>-1.1550049999999901</v>
      </c>
      <c r="AE216">
        <v>1.0939999999999901</v>
      </c>
      <c r="AF216">
        <v>-0.95399356707127603</v>
      </c>
      <c r="AG216">
        <v>-1.1550049999999901</v>
      </c>
      <c r="AH216">
        <v>29.3686903653333</v>
      </c>
      <c r="AI216">
        <v>92.250968366786395</v>
      </c>
      <c r="AJ216">
        <v>91.860504893499893</v>
      </c>
      <c r="AK216">
        <v>29.406871884830899</v>
      </c>
    </row>
    <row r="217" spans="1:37" x14ac:dyDescent="0.2">
      <c r="A217" t="str">
        <f>"20200111155505014"</f>
        <v>20200111155505014</v>
      </c>
      <c r="B217" t="str">
        <f>"1578729305002329"</f>
        <v>1578729305002329</v>
      </c>
      <c r="C217" t="s">
        <v>37</v>
      </c>
      <c r="D217">
        <v>5.0571449999999896</v>
      </c>
      <c r="E217">
        <v>0.53807869999999902</v>
      </c>
      <c r="F217" t="s">
        <v>39</v>
      </c>
      <c r="G217">
        <v>-427.10419999999999</v>
      </c>
      <c r="H217">
        <v>-0.05</v>
      </c>
      <c r="I217">
        <v>368.52440000000001</v>
      </c>
      <c r="J217">
        <v>-456.50130000000001</v>
      </c>
      <c r="K217">
        <v>1.1050089999999999</v>
      </c>
      <c r="L217">
        <v>367.49450000000002</v>
      </c>
      <c r="M217">
        <v>0.99989950000000005</v>
      </c>
      <c r="N217">
        <v>0</v>
      </c>
      <c r="O217">
        <v>4.7779270000000004E-3</v>
      </c>
      <c r="P217">
        <v>0.9908766</v>
      </c>
      <c r="Q217">
        <v>-9.4241020000000002E-3</v>
      </c>
      <c r="R217">
        <v>0.13444420000000001</v>
      </c>
      <c r="S217">
        <v>3.0125120000000001</v>
      </c>
      <c r="T217">
        <v>-0.1179885</v>
      </c>
      <c r="U217">
        <v>0.1052551</v>
      </c>
      <c r="V217">
        <v>-0.1297083</v>
      </c>
      <c r="W217">
        <v>3.8064069999999999E-3</v>
      </c>
      <c r="X217">
        <v>0.99154489999999995</v>
      </c>
      <c r="Y217">
        <v>-3.012277E-2</v>
      </c>
      <c r="Z217">
        <v>4.0247440000000002E-4</v>
      </c>
      <c r="AA217">
        <v>0.99954609999999899</v>
      </c>
      <c r="AB217">
        <v>15</v>
      </c>
      <c r="AC217">
        <v>29.397099999999998</v>
      </c>
      <c r="AD217">
        <v>-1.155009</v>
      </c>
      <c r="AE217">
        <v>1.02989999999999</v>
      </c>
      <c r="AF217">
        <v>-0.88804933315303103</v>
      </c>
      <c r="AG217">
        <v>-1.155009</v>
      </c>
      <c r="AH217">
        <v>29.356423778633499</v>
      </c>
      <c r="AI217">
        <v>92.252073157578806</v>
      </c>
      <c r="AJ217">
        <v>91.732703110076301</v>
      </c>
      <c r="AK217">
        <v>29.392555085921199</v>
      </c>
    </row>
    <row r="218" spans="1:37" x14ac:dyDescent="0.2">
      <c r="A218" t="str">
        <f>"20200111155505027"</f>
        <v>20200111155505027</v>
      </c>
      <c r="B218" t="str">
        <f>"1578729305022824"</f>
        <v>1578729305022824</v>
      </c>
      <c r="C218" t="s">
        <v>37</v>
      </c>
      <c r="D218">
        <v>5.0568249999999999</v>
      </c>
      <c r="E218">
        <v>0.53800239999999999</v>
      </c>
      <c r="F218" t="s">
        <v>39</v>
      </c>
      <c r="G218">
        <v>-427.11360000000002</v>
      </c>
      <c r="H218">
        <v>-0.05</v>
      </c>
      <c r="I218">
        <v>368.49689999999998</v>
      </c>
      <c r="J218">
        <v>-456.41019999999997</v>
      </c>
      <c r="K218">
        <v>1.1050120000000001</v>
      </c>
      <c r="L218">
        <v>367.495</v>
      </c>
      <c r="M218">
        <v>0.99989910000000004</v>
      </c>
      <c r="N218">
        <v>0</v>
      </c>
      <c r="O218">
        <v>4.851373E-3</v>
      </c>
      <c r="P218">
        <v>0.99097789999999997</v>
      </c>
      <c r="Q218">
        <v>-9.5524359999999992E-3</v>
      </c>
      <c r="R218">
        <v>0.1336842</v>
      </c>
      <c r="S218">
        <v>3.012543</v>
      </c>
      <c r="T218">
        <v>-0.11840050000000001</v>
      </c>
      <c r="U218">
        <v>0.1027527</v>
      </c>
      <c r="V218">
        <v>-0.12887480000000001</v>
      </c>
      <c r="W218">
        <v>3.67337E-3</v>
      </c>
      <c r="X218">
        <v>0.99165409999999898</v>
      </c>
      <c r="Y218">
        <v>-2.9220289999999999E-2</v>
      </c>
      <c r="Z218">
        <v>3.8327229999999998E-4</v>
      </c>
      <c r="AA218">
        <v>0.99957289999999999</v>
      </c>
      <c r="AB218">
        <v>15</v>
      </c>
      <c r="AC218">
        <v>29.296599999999899</v>
      </c>
      <c r="AD218">
        <v>-1.1550119999999999</v>
      </c>
      <c r="AE218">
        <v>1.00189999999997</v>
      </c>
      <c r="AF218">
        <v>-0.85841411831326997</v>
      </c>
      <c r="AG218">
        <v>-1.1550119999999999</v>
      </c>
      <c r="AH218">
        <v>29.255696803105401</v>
      </c>
      <c r="AI218">
        <v>92.259885931783202</v>
      </c>
      <c r="AJ218">
        <v>91.680677749405206</v>
      </c>
      <c r="AK218">
        <v>29.291068996434699</v>
      </c>
    </row>
    <row r="219" spans="1:37" x14ac:dyDescent="0.2">
      <c r="A219" t="str">
        <f>"20200111155505046"</f>
        <v>20200111155505046</v>
      </c>
      <c r="B219" t="str">
        <f>"1578729305042344"</f>
        <v>1578729305042344</v>
      </c>
      <c r="C219" t="s">
        <v>37</v>
      </c>
      <c r="D219">
        <v>5.0025729999999999</v>
      </c>
      <c r="E219">
        <v>0.53686480000000003</v>
      </c>
      <c r="F219" t="s">
        <v>39</v>
      </c>
      <c r="G219">
        <v>-427.18520000000001</v>
      </c>
      <c r="H219">
        <v>-0.05</v>
      </c>
      <c r="I219">
        <v>368.47469999999998</v>
      </c>
      <c r="J219">
        <v>-456.2901</v>
      </c>
      <c r="K219">
        <v>1.1050199999999999</v>
      </c>
      <c r="L219">
        <v>367.49579999999997</v>
      </c>
      <c r="M219">
        <v>0.99989859999999897</v>
      </c>
      <c r="N219">
        <v>0</v>
      </c>
      <c r="O219">
        <v>4.9570409999999997E-3</v>
      </c>
      <c r="P219">
        <v>0.9910582</v>
      </c>
      <c r="Q219">
        <v>-1.006232E-2</v>
      </c>
      <c r="R219">
        <v>0.1330501</v>
      </c>
      <c r="S219">
        <v>3.0125120000000001</v>
      </c>
      <c r="T219">
        <v>-0.1190586</v>
      </c>
      <c r="U219">
        <v>0.10098269999999999</v>
      </c>
      <c r="V219">
        <v>-0.1281359</v>
      </c>
      <c r="W219">
        <v>3.160773E-3</v>
      </c>
      <c r="X219">
        <v>0.99175159999999996</v>
      </c>
      <c r="Y219">
        <v>-2.852878E-2</v>
      </c>
      <c r="Z219">
        <v>3.6757970000000001E-4</v>
      </c>
      <c r="AA219">
        <v>0.99959290000000001</v>
      </c>
      <c r="AB219">
        <v>15</v>
      </c>
      <c r="AC219">
        <v>29.104899999999901</v>
      </c>
      <c r="AD219">
        <v>-1.1550199999999999</v>
      </c>
      <c r="AE219">
        <v>0.97890000000000998</v>
      </c>
      <c r="AF219">
        <v>-0.83329008350391698</v>
      </c>
      <c r="AG219">
        <v>-1.1550199999999999</v>
      </c>
      <c r="AH219">
        <v>29.063675217541999</v>
      </c>
      <c r="AI219">
        <v>92.2748611041022</v>
      </c>
      <c r="AJ219">
        <v>91.642288132531405</v>
      </c>
      <c r="AK219">
        <v>29.098550835298099</v>
      </c>
    </row>
    <row r="220" spans="1:37" x14ac:dyDescent="0.2">
      <c r="A220" t="str">
        <f>"20200111155505058"</f>
        <v>20200111155505058</v>
      </c>
      <c r="B220" t="str">
        <f>"1578729305053081"</f>
        <v>1578729305053081</v>
      </c>
      <c r="C220" t="s">
        <v>37</v>
      </c>
      <c r="D220">
        <v>4.967403</v>
      </c>
      <c r="E220">
        <v>0.51302049999999999</v>
      </c>
      <c r="F220" t="s">
        <v>39</v>
      </c>
      <c r="G220">
        <v>-428.1832</v>
      </c>
      <c r="H220">
        <v>-0.05</v>
      </c>
      <c r="I220">
        <v>368.50470000000001</v>
      </c>
      <c r="J220">
        <v>-456.2</v>
      </c>
      <c r="K220">
        <v>1.105029</v>
      </c>
      <c r="L220">
        <v>367.49630000000002</v>
      </c>
      <c r="M220">
        <v>0.99989819999999996</v>
      </c>
      <c r="N220">
        <v>0</v>
      </c>
      <c r="O220">
        <v>5.0422089999999998E-3</v>
      </c>
      <c r="P220">
        <v>0.99099889999999902</v>
      </c>
      <c r="Q220">
        <v>-1.050301E-2</v>
      </c>
      <c r="R220">
        <v>0.13345770000000001</v>
      </c>
      <c r="S220">
        <v>3.0113219999999998</v>
      </c>
      <c r="T220">
        <v>-0.1237468</v>
      </c>
      <c r="U220">
        <v>0.1080933</v>
      </c>
      <c r="V220">
        <v>-0.12845909999999999</v>
      </c>
      <c r="W220">
        <v>2.718748E-3</v>
      </c>
      <c r="X220">
        <v>0.99171109999999896</v>
      </c>
      <c r="Y220">
        <v>-3.081093E-2</v>
      </c>
      <c r="Z220">
        <v>4.2553629999999898E-4</v>
      </c>
      <c r="AA220">
        <v>0.99952510000000006</v>
      </c>
      <c r="AB220">
        <v>15</v>
      </c>
      <c r="AC220">
        <v>28.0167999999999</v>
      </c>
      <c r="AD220">
        <v>-1.1550290000000001</v>
      </c>
      <c r="AE220">
        <v>1.00839999999999</v>
      </c>
      <c r="AF220">
        <v>-0.86563868891454498</v>
      </c>
      <c r="AG220">
        <v>-1.1550290000000001</v>
      </c>
      <c r="AH220">
        <v>27.974045410606699</v>
      </c>
      <c r="AI220">
        <v>92.363230247472401</v>
      </c>
      <c r="AJ220">
        <v>91.772415147483997</v>
      </c>
      <c r="AK220">
        <v>28.011259146373099</v>
      </c>
    </row>
    <row r="221" spans="1:37" x14ac:dyDescent="0.2">
      <c r="A221" t="str">
        <f>"20200111155505072"</f>
        <v>20200111155505072</v>
      </c>
      <c r="B221" t="str">
        <f>"1578729305062840"</f>
        <v>1578729305062840</v>
      </c>
      <c r="C221" t="s">
        <v>37</v>
      </c>
      <c r="D221">
        <v>5.0852170000000001</v>
      </c>
      <c r="E221">
        <v>0.51216850000000003</v>
      </c>
      <c r="F221" t="s">
        <v>39</v>
      </c>
      <c r="G221">
        <v>-428.21280000000002</v>
      </c>
      <c r="H221">
        <v>-0.05</v>
      </c>
      <c r="I221">
        <v>370.2901</v>
      </c>
      <c r="J221">
        <v>-456.11219999999997</v>
      </c>
      <c r="K221">
        <v>1.1050389999999899</v>
      </c>
      <c r="L221">
        <v>367.49680000000001</v>
      </c>
      <c r="M221">
        <v>0.999897699999999</v>
      </c>
      <c r="N221">
        <v>0</v>
      </c>
      <c r="O221">
        <v>5.1327689999999997E-3</v>
      </c>
      <c r="P221">
        <v>0.99089119999999997</v>
      </c>
      <c r="Q221">
        <v>-1.0361550000000001E-2</v>
      </c>
      <c r="R221">
        <v>0.13426629999999901</v>
      </c>
      <c r="S221">
        <v>2.98584</v>
      </c>
      <c r="T221">
        <v>-0.12322519999999999</v>
      </c>
      <c r="U221">
        <v>0.29806519999999997</v>
      </c>
      <c r="V221">
        <v>-0.12917870000000001</v>
      </c>
      <c r="W221">
        <v>2.8598909999999998E-3</v>
      </c>
      <c r="X221">
        <v>0.99161719999999898</v>
      </c>
      <c r="Y221">
        <v>-9.4148399999999993E-2</v>
      </c>
      <c r="Z221">
        <v>1.7258929999999901E-3</v>
      </c>
      <c r="AA221">
        <v>0.99555669999999996</v>
      </c>
      <c r="AB221">
        <v>15</v>
      </c>
      <c r="AC221">
        <v>27.899399999999901</v>
      </c>
      <c r="AD221">
        <v>-1.1550389999999999</v>
      </c>
      <c r="AE221">
        <v>2.7932999999999799</v>
      </c>
      <c r="AF221">
        <v>-2.6455598468847401</v>
      </c>
      <c r="AG221">
        <v>-1.1550389999999999</v>
      </c>
      <c r="AH221">
        <v>27.866083410701101</v>
      </c>
      <c r="AI221">
        <v>92.362917680993505</v>
      </c>
      <c r="AJ221">
        <v>95.423311515985006</v>
      </c>
      <c r="AK221">
        <v>28.0152049188851</v>
      </c>
    </row>
    <row r="222" spans="1:37" x14ac:dyDescent="0.2">
      <c r="A222" t="str">
        <f>"20200111155505090"</f>
        <v>20200111155505090</v>
      </c>
      <c r="B222" t="str">
        <f>"1578729305083151"</f>
        <v>1578729305083151</v>
      </c>
      <c r="C222" t="s">
        <v>37</v>
      </c>
      <c r="D222">
        <v>5.0155989999999999</v>
      </c>
      <c r="E222">
        <v>0.51063800000000004</v>
      </c>
      <c r="F222" t="s">
        <v>39</v>
      </c>
      <c r="G222">
        <v>-434.12849999999997</v>
      </c>
      <c r="H222">
        <v>-0.05</v>
      </c>
      <c r="I222">
        <v>369.76150000000001</v>
      </c>
      <c r="J222">
        <v>-455.99169999999998</v>
      </c>
      <c r="K222">
        <v>1.105064</v>
      </c>
      <c r="L222">
        <v>367.49759999999998</v>
      </c>
      <c r="M222">
        <v>0.99989689999999998</v>
      </c>
      <c r="N222">
        <v>0</v>
      </c>
      <c r="O222">
        <v>5.2636699999999998E-3</v>
      </c>
      <c r="P222">
        <v>0.99054589999999998</v>
      </c>
      <c r="Q222">
        <v>-9.9436790000000004E-3</v>
      </c>
      <c r="R222">
        <v>0.1368211</v>
      </c>
      <c r="S222">
        <v>2.9843139999999999</v>
      </c>
      <c r="T222">
        <v>-0.15679789999999999</v>
      </c>
      <c r="U222">
        <v>0.30743409999999999</v>
      </c>
      <c r="V222">
        <v>-0.13160520000000001</v>
      </c>
      <c r="W222">
        <v>3.2761679999999999E-3</v>
      </c>
      <c r="X222">
        <v>0.99129679999999998</v>
      </c>
      <c r="Y222">
        <v>-9.7111169999999997E-2</v>
      </c>
      <c r="Z222">
        <v>2.2670289999999998E-3</v>
      </c>
      <c r="AA222">
        <v>0.99527099999999902</v>
      </c>
      <c r="AB222">
        <v>15</v>
      </c>
      <c r="AC222">
        <v>21.863199999999999</v>
      </c>
      <c r="AD222">
        <v>-1.1550640000000001</v>
      </c>
      <c r="AE222">
        <v>2.2639000000000302</v>
      </c>
      <c r="AF222">
        <v>-2.1428600770443702</v>
      </c>
      <c r="AG222">
        <v>-1.1550640000000001</v>
      </c>
      <c r="AH222">
        <v>21.8145725386936</v>
      </c>
      <c r="AI222">
        <v>93.016443558050995</v>
      </c>
      <c r="AJ222">
        <v>95.610204228762399</v>
      </c>
      <c r="AK222">
        <v>21.949979435065799</v>
      </c>
    </row>
    <row r="223" spans="1:37" x14ac:dyDescent="0.2">
      <c r="A223" t="str">
        <f>"20200111155505103"</f>
        <v>20200111155505103</v>
      </c>
      <c r="B223" t="str">
        <f>"1578729305092911"</f>
        <v>1578729305092911</v>
      </c>
      <c r="C223" t="s">
        <v>37</v>
      </c>
      <c r="D223">
        <v>4.9759839999999897</v>
      </c>
      <c r="E223">
        <v>0.5106212</v>
      </c>
      <c r="F223" t="s">
        <v>39</v>
      </c>
      <c r="G223">
        <v>-438.06560000000002</v>
      </c>
      <c r="H223">
        <v>-0.05</v>
      </c>
      <c r="I223">
        <v>369.46789999999999</v>
      </c>
      <c r="J223">
        <v>-455.90699999999998</v>
      </c>
      <c r="K223">
        <v>1.105075</v>
      </c>
      <c r="L223">
        <v>367.49810000000002</v>
      </c>
      <c r="M223">
        <v>0.99989629999999996</v>
      </c>
      <c r="N223">
        <v>0</v>
      </c>
      <c r="O223">
        <v>5.3596479999999998E-3</v>
      </c>
      <c r="P223">
        <v>0.99042509999999995</v>
      </c>
      <c r="Q223">
        <v>-9.0678740000000001E-3</v>
      </c>
      <c r="R223">
        <v>0.13775399999999999</v>
      </c>
      <c r="S223">
        <v>2.9814759999999998</v>
      </c>
      <c r="T223">
        <v>-0.192110999999999</v>
      </c>
      <c r="U223">
        <v>0.32769779999999998</v>
      </c>
      <c r="V223">
        <v>-0.1324438</v>
      </c>
      <c r="W223">
        <v>4.1540190000000001E-3</v>
      </c>
      <c r="X223">
        <v>0.9911818</v>
      </c>
      <c r="Y223">
        <v>-0.1037222</v>
      </c>
      <c r="Z223">
        <v>2.9842479999999901E-3</v>
      </c>
      <c r="AA223">
        <v>0.99460179999999998</v>
      </c>
      <c r="AB223">
        <v>15</v>
      </c>
      <c r="AC223">
        <v>17.841399999999901</v>
      </c>
      <c r="AD223">
        <v>-1.1550750000000001</v>
      </c>
      <c r="AE223">
        <v>1.96979999999996</v>
      </c>
      <c r="AF223">
        <v>-1.86641080940205</v>
      </c>
      <c r="AG223">
        <v>-1.1550750000000001</v>
      </c>
      <c r="AH223">
        <v>17.7780838030681</v>
      </c>
      <c r="AI223">
        <v>93.697126425650097</v>
      </c>
      <c r="AJ223">
        <v>95.993174925591603</v>
      </c>
      <c r="AK223">
        <v>17.913066495549799</v>
      </c>
    </row>
    <row r="224" spans="1:37" x14ac:dyDescent="0.2">
      <c r="A224" t="str">
        <f>"20200111155505116"</f>
        <v>20200111155505116</v>
      </c>
      <c r="B224" t="str">
        <f>"1578729305112431"</f>
        <v>1578729305112431</v>
      </c>
      <c r="C224" t="s">
        <v>37</v>
      </c>
      <c r="D224">
        <v>4.9706140000000003</v>
      </c>
      <c r="E224">
        <v>0.51019919999999996</v>
      </c>
      <c r="F224" t="s">
        <v>39</v>
      </c>
      <c r="G224">
        <v>-438.43360000000001</v>
      </c>
      <c r="H224">
        <v>-0.05</v>
      </c>
      <c r="I224">
        <v>369.4366</v>
      </c>
      <c r="J224">
        <v>-455.81790000000001</v>
      </c>
      <c r="K224">
        <v>1.1050879999999901</v>
      </c>
      <c r="L224">
        <v>367.49869999999999</v>
      </c>
      <c r="M224">
        <v>0.9998958</v>
      </c>
      <c r="N224">
        <v>0</v>
      </c>
      <c r="O224">
        <v>5.4635780000000002E-3</v>
      </c>
      <c r="P224">
        <v>0.99025739999999995</v>
      </c>
      <c r="Q224">
        <v>-7.5857199999999998E-3</v>
      </c>
      <c r="R224">
        <v>0.13904259999999999</v>
      </c>
      <c r="S224">
        <v>2.981201</v>
      </c>
      <c r="T224">
        <v>-0.19707239999999901</v>
      </c>
      <c r="U224">
        <v>0.33071899999999999</v>
      </c>
      <c r="V224">
        <v>-0.1336309</v>
      </c>
      <c r="W224">
        <v>5.6388719999999996E-3</v>
      </c>
      <c r="X224">
        <v>0.99101510000000004</v>
      </c>
      <c r="Y224">
        <v>-0.10461230000000001</v>
      </c>
      <c r="Z224">
        <v>3.083723E-3</v>
      </c>
      <c r="AA224">
        <v>0.99450830000000001</v>
      </c>
      <c r="AB224">
        <v>15</v>
      </c>
      <c r="AC224">
        <v>17.3842999999999</v>
      </c>
      <c r="AD224">
        <v>-1.1550879999999999</v>
      </c>
      <c r="AE224">
        <v>1.9379000000000099</v>
      </c>
      <c r="AF224">
        <v>-1.83488082032776</v>
      </c>
      <c r="AG224">
        <v>-1.1550879999999999</v>
      </c>
      <c r="AH224">
        <v>17.3191065622518</v>
      </c>
      <c r="AI224">
        <v>93.794485205110107</v>
      </c>
      <c r="AJ224">
        <v>96.047668175463201</v>
      </c>
      <c r="AK224">
        <v>17.454296549193401</v>
      </c>
    </row>
    <row r="225" spans="1:37" x14ac:dyDescent="0.2">
      <c r="A225" t="str">
        <f>"20200111155505136"</f>
        <v>20200111155505136</v>
      </c>
      <c r="B225" t="str">
        <f>"1578729305132930"</f>
        <v>1578729305132930</v>
      </c>
      <c r="C225" t="s">
        <v>37</v>
      </c>
      <c r="D225">
        <v>5.0546389999999999</v>
      </c>
      <c r="E225">
        <v>0.50979640000000004</v>
      </c>
      <c r="F225" t="s">
        <v>39</v>
      </c>
      <c r="G225">
        <v>-438.98410000000001</v>
      </c>
      <c r="H225">
        <v>-0.05</v>
      </c>
      <c r="I225">
        <v>369.40910000000002</v>
      </c>
      <c r="J225">
        <v>-455.68729999999999</v>
      </c>
      <c r="K225">
        <v>1.1050979999999999</v>
      </c>
      <c r="L225">
        <v>367.49970000000002</v>
      </c>
      <c r="M225">
        <v>0.99989459999999997</v>
      </c>
      <c r="N225">
        <v>0</v>
      </c>
      <c r="O225">
        <v>5.6214809999999898E-3</v>
      </c>
      <c r="P225">
        <v>0.99006499999999997</v>
      </c>
      <c r="Q225">
        <v>-4.723433E-3</v>
      </c>
      <c r="R225">
        <v>0.14053009999999999</v>
      </c>
      <c r="S225">
        <v>2.9804689999999998</v>
      </c>
      <c r="T225">
        <v>-0.20451159999999999</v>
      </c>
      <c r="U225">
        <v>0.33822629999999998</v>
      </c>
      <c r="V225">
        <v>-0.13496349999999999</v>
      </c>
      <c r="W225">
        <v>8.5112680000000007E-3</v>
      </c>
      <c r="X225">
        <v>0.99081399999999997</v>
      </c>
      <c r="Y225">
        <v>-0.1069341</v>
      </c>
      <c r="Z225">
        <v>3.2687240000000002E-3</v>
      </c>
      <c r="AA225">
        <v>0.9942607</v>
      </c>
      <c r="AB225">
        <v>15</v>
      </c>
      <c r="AC225">
        <v>16.703199999999899</v>
      </c>
      <c r="AD225">
        <v>-1.155098</v>
      </c>
      <c r="AE225">
        <v>1.9094</v>
      </c>
      <c r="AF225">
        <v>-1.80693482032689</v>
      </c>
      <c r="AG225">
        <v>-1.155098</v>
      </c>
      <c r="AH225">
        <v>16.635142309594698</v>
      </c>
      <c r="AI225">
        <v>93.948930317871898</v>
      </c>
      <c r="AJ225">
        <v>96.199251288438802</v>
      </c>
      <c r="AK225">
        <v>16.772812062829001</v>
      </c>
    </row>
    <row r="226" spans="1:37" x14ac:dyDescent="0.2">
      <c r="A226" t="str">
        <f>"20200111155505149"</f>
        <v>20200111155505149</v>
      </c>
      <c r="B226" t="str">
        <f>"1578729305142688"</f>
        <v>1578729305142688</v>
      </c>
      <c r="C226" t="s">
        <v>37</v>
      </c>
      <c r="D226">
        <v>5.0021190000000004</v>
      </c>
      <c r="E226">
        <v>0.50992150000000003</v>
      </c>
      <c r="F226" t="s">
        <v>39</v>
      </c>
      <c r="G226">
        <v>-438.57499999999999</v>
      </c>
      <c r="H226">
        <v>-0.05</v>
      </c>
      <c r="I226">
        <v>369.48689999999999</v>
      </c>
      <c r="J226">
        <v>-455.5958</v>
      </c>
      <c r="K226">
        <v>1.1050979999999999</v>
      </c>
      <c r="L226">
        <v>367.50029999999998</v>
      </c>
      <c r="M226">
        <v>0.9998939</v>
      </c>
      <c r="N226">
        <v>0</v>
      </c>
      <c r="O226">
        <v>5.7334859999999899E-3</v>
      </c>
      <c r="P226">
        <v>0.99001119999999898</v>
      </c>
      <c r="Q226">
        <v>-3.931281E-3</v>
      </c>
      <c r="R226">
        <v>0.1409339</v>
      </c>
      <c r="S226">
        <v>2.9799799999999999</v>
      </c>
      <c r="T226">
        <v>-0.20115160000000001</v>
      </c>
      <c r="U226">
        <v>0.34606929999999902</v>
      </c>
      <c r="V226">
        <v>-0.13525680000000001</v>
      </c>
      <c r="W226">
        <v>9.3142280000000008E-3</v>
      </c>
      <c r="X226">
        <v>0.99076679999999995</v>
      </c>
      <c r="Y226">
        <v>-0.1094257</v>
      </c>
      <c r="Z226">
        <v>3.2913759999999999E-3</v>
      </c>
      <c r="AA226">
        <v>0.99398949999999997</v>
      </c>
      <c r="AB226">
        <v>15</v>
      </c>
      <c r="AC226">
        <v>17.020800000000001</v>
      </c>
      <c r="AD226">
        <v>-1.155098</v>
      </c>
      <c r="AE226">
        <v>1.9866000000000099</v>
      </c>
      <c r="AF226">
        <v>-1.880426141449</v>
      </c>
      <c r="AG226">
        <v>-1.155098</v>
      </c>
      <c r="AH226">
        <v>16.954874943808001</v>
      </c>
      <c r="AI226">
        <v>93.873733263360094</v>
      </c>
      <c r="AJ226">
        <v>96.328678878713404</v>
      </c>
      <c r="AK226">
        <v>17.097895725007099</v>
      </c>
    </row>
    <row r="227" spans="1:37" x14ac:dyDescent="0.2">
      <c r="A227" t="str">
        <f>"20200111155505162"</f>
        <v>20200111155505162</v>
      </c>
      <c r="B227" t="str">
        <f>"1578729305152448"</f>
        <v>1578729305152448</v>
      </c>
      <c r="C227" t="s">
        <v>37</v>
      </c>
      <c r="D227">
        <v>5.0002800000000001</v>
      </c>
      <c r="E227">
        <v>0.50999249999999996</v>
      </c>
      <c r="F227" t="s">
        <v>39</v>
      </c>
      <c r="G227">
        <v>-438.553</v>
      </c>
      <c r="H227">
        <v>-0.05</v>
      </c>
      <c r="I227">
        <v>369.481999999999</v>
      </c>
      <c r="J227">
        <v>-455.5129</v>
      </c>
      <c r="K227">
        <v>1.1050959999999901</v>
      </c>
      <c r="L227">
        <v>367.5009</v>
      </c>
      <c r="M227">
        <v>0.99989340000000004</v>
      </c>
      <c r="N227">
        <v>0</v>
      </c>
      <c r="O227">
        <v>5.8345879999999999E-3</v>
      </c>
      <c r="P227">
        <v>0.98998869999999894</v>
      </c>
      <c r="Q227">
        <v>-3.9161529999999899E-3</v>
      </c>
      <c r="R227">
        <v>0.14109360000000001</v>
      </c>
      <c r="S227">
        <v>2.9801329999999999</v>
      </c>
      <c r="T227">
        <v>-0.2019832</v>
      </c>
      <c r="U227">
        <v>0.34652709999999998</v>
      </c>
      <c r="V227">
        <v>-0.13531589999999999</v>
      </c>
      <c r="W227">
        <v>9.3394989999999994E-3</v>
      </c>
      <c r="X227">
        <v>0.99075849999999899</v>
      </c>
      <c r="Y227">
        <v>-0.1094683</v>
      </c>
      <c r="Z227">
        <v>3.2993699999999998E-3</v>
      </c>
      <c r="AA227">
        <v>0.9939848</v>
      </c>
      <c r="AB227">
        <v>15</v>
      </c>
      <c r="AC227">
        <v>16.959899999999902</v>
      </c>
      <c r="AD227">
        <v>-1.1550959999999999</v>
      </c>
      <c r="AE227">
        <v>1.9810999999999599</v>
      </c>
      <c r="AF227">
        <v>-1.87352975585049</v>
      </c>
      <c r="AG227">
        <v>-1.1550959999999999</v>
      </c>
      <c r="AH227">
        <v>16.893861728351201</v>
      </c>
      <c r="AI227">
        <v>93.887677209151605</v>
      </c>
      <c r="AJ227">
        <v>96.328244845253707</v>
      </c>
      <c r="AK227">
        <v>17.036634779554401</v>
      </c>
    </row>
    <row r="228" spans="1:37" x14ac:dyDescent="0.2">
      <c r="A228" t="str">
        <f>"20200111155505179"</f>
        <v>20200111155505179</v>
      </c>
      <c r="B228" t="str">
        <f>"1578729305172944"</f>
        <v>1578729305172944</v>
      </c>
      <c r="C228" t="s">
        <v>37</v>
      </c>
      <c r="D228">
        <v>4.9777120000000004</v>
      </c>
      <c r="E228">
        <v>0.50963049999999999</v>
      </c>
      <c r="F228" t="s">
        <v>39</v>
      </c>
      <c r="G228">
        <v>-438.72539999999998</v>
      </c>
      <c r="H228">
        <v>-0.05</v>
      </c>
      <c r="I228">
        <v>369.450999999999</v>
      </c>
      <c r="J228">
        <v>-455.3972</v>
      </c>
      <c r="K228">
        <v>1.1050869999999999</v>
      </c>
      <c r="L228">
        <v>367.50170000000003</v>
      </c>
      <c r="M228">
        <v>0.99989209999999995</v>
      </c>
      <c r="N228">
        <v>0</v>
      </c>
      <c r="O228">
        <v>5.974923E-3</v>
      </c>
      <c r="P228">
        <v>0.98995979999999995</v>
      </c>
      <c r="Q228">
        <v>-4.5221539999999996E-3</v>
      </c>
      <c r="R228">
        <v>0.14127690000000001</v>
      </c>
      <c r="S228">
        <v>2.980194</v>
      </c>
      <c r="T228">
        <v>-0.20505760000000001</v>
      </c>
      <c r="U228">
        <v>0.34619139999999998</v>
      </c>
      <c r="V228">
        <v>-0.13536049999999999</v>
      </c>
      <c r="W228">
        <v>8.7482459999999995E-3</v>
      </c>
      <c r="X228">
        <v>0.99075780000000002</v>
      </c>
      <c r="Y228">
        <v>-0.10920969999999899</v>
      </c>
      <c r="Z228">
        <v>3.3309590000000001E-3</v>
      </c>
      <c r="AA228">
        <v>0.99401309999999998</v>
      </c>
      <c r="AB228">
        <v>15</v>
      </c>
      <c r="AC228">
        <v>16.671800000000001</v>
      </c>
      <c r="AD228">
        <v>-1.155087</v>
      </c>
      <c r="AE228">
        <v>1.9492999999999301</v>
      </c>
      <c r="AF228">
        <v>-1.84092576951155</v>
      </c>
      <c r="AG228">
        <v>-1.155087</v>
      </c>
      <c r="AH228">
        <v>16.604519320448301</v>
      </c>
      <c r="AI228">
        <v>93.955191529807394</v>
      </c>
      <c r="AJ228">
        <v>96.326486279009998</v>
      </c>
      <c r="AK228">
        <v>16.7461427059954</v>
      </c>
    </row>
    <row r="229" spans="1:37" x14ac:dyDescent="0.2">
      <c r="A229" t="str">
        <f>"20200111155505192"</f>
        <v>20200111155505192</v>
      </c>
      <c r="B229" t="str">
        <f>"1578729305182704"</f>
        <v>1578729305182704</v>
      </c>
      <c r="C229" t="s">
        <v>37</v>
      </c>
      <c r="D229">
        <v>4.9934890000000003</v>
      </c>
      <c r="E229">
        <v>0.50968409999999997</v>
      </c>
      <c r="F229" t="s">
        <v>39</v>
      </c>
      <c r="G229">
        <v>-439.13479999999998</v>
      </c>
      <c r="H229">
        <v>-0.05</v>
      </c>
      <c r="I229">
        <v>369.40989999999999</v>
      </c>
      <c r="J229">
        <v>-455.30849999999998</v>
      </c>
      <c r="K229">
        <v>1.105086</v>
      </c>
      <c r="L229">
        <v>367.50240000000002</v>
      </c>
      <c r="M229">
        <v>0.99989150000000004</v>
      </c>
      <c r="N229">
        <v>0</v>
      </c>
      <c r="O229">
        <v>6.0805490000000002E-3</v>
      </c>
      <c r="P229">
        <v>0.98997849999999998</v>
      </c>
      <c r="Q229">
        <v>-5.5513159999999997E-3</v>
      </c>
      <c r="R229">
        <v>0.14111009999999999</v>
      </c>
      <c r="S229">
        <v>2.979584</v>
      </c>
      <c r="T229">
        <v>-0.21163319999999999</v>
      </c>
      <c r="U229">
        <v>0.34960940000000001</v>
      </c>
      <c r="V229">
        <v>-0.1350886</v>
      </c>
      <c r="W229">
        <v>7.7302330000000004E-3</v>
      </c>
      <c r="X229">
        <v>0.9908034</v>
      </c>
      <c r="Y229">
        <v>-0.1102349</v>
      </c>
      <c r="Z229">
        <v>3.4667550000000002E-3</v>
      </c>
      <c r="AA229">
        <v>0.99389950000000005</v>
      </c>
      <c r="AB229">
        <v>15</v>
      </c>
      <c r="AC229">
        <v>16.173699999999901</v>
      </c>
      <c r="AD229">
        <v>-1.1550860000000001</v>
      </c>
      <c r="AE229">
        <v>1.90749999999997</v>
      </c>
      <c r="AF229">
        <v>-1.80005573104865</v>
      </c>
      <c r="AG229">
        <v>-1.1550860000000001</v>
      </c>
      <c r="AH229">
        <v>16.103989604288198</v>
      </c>
      <c r="AI229">
        <v>94.077305484102993</v>
      </c>
      <c r="AJ229">
        <v>96.377876632214495</v>
      </c>
      <c r="AK229">
        <v>16.245396439524001</v>
      </c>
    </row>
    <row r="230" spans="1:37" x14ac:dyDescent="0.2">
      <c r="A230" t="str">
        <f>"20200111155505205"</f>
        <v>20200111155505205</v>
      </c>
      <c r="B230" t="str">
        <f>"1578729305192464"</f>
        <v>1578729305192464</v>
      </c>
      <c r="C230" t="s">
        <v>37</v>
      </c>
      <c r="D230">
        <v>5.0125099999999998</v>
      </c>
      <c r="E230">
        <v>0.50967510000000005</v>
      </c>
      <c r="F230" t="s">
        <v>38</v>
      </c>
      <c r="G230">
        <v>-440.15129999999999</v>
      </c>
      <c r="H230" s="1">
        <v>-4.6966619999999997E-6</v>
      </c>
      <c r="I230">
        <v>369.27460000000002</v>
      </c>
      <c r="J230">
        <v>-455.22710000000001</v>
      </c>
      <c r="K230">
        <v>1.1050799999999901</v>
      </c>
      <c r="L230">
        <v>367.50299999999999</v>
      </c>
      <c r="M230">
        <v>0.99989069999999902</v>
      </c>
      <c r="N230">
        <v>0</v>
      </c>
      <c r="O230">
        <v>6.1757640000000003E-3</v>
      </c>
      <c r="P230">
        <v>0.99002080000000003</v>
      </c>
      <c r="Q230">
        <v>-6.3029499999999999E-3</v>
      </c>
      <c r="R230">
        <v>0.14078099999999999</v>
      </c>
      <c r="S230">
        <v>2.9794619999999998</v>
      </c>
      <c r="T230">
        <v>-0.21722849999999999</v>
      </c>
      <c r="U230">
        <v>0.34835820000000001</v>
      </c>
      <c r="V230">
        <v>-0.1346646</v>
      </c>
      <c r="W230">
        <v>6.9882939999999999E-3</v>
      </c>
      <c r="X230">
        <v>0.99086659999999904</v>
      </c>
      <c r="Y230">
        <v>-0.109720899999999</v>
      </c>
      <c r="Z230">
        <v>3.532847E-3</v>
      </c>
      <c r="AA230">
        <v>0.99395610000000001</v>
      </c>
      <c r="AB230">
        <v>15</v>
      </c>
      <c r="AC230">
        <v>15.075799999999999</v>
      </c>
      <c r="AD230">
        <v>-1.1050846966619901</v>
      </c>
      <c r="AE230">
        <v>1.7715999999999701</v>
      </c>
      <c r="AF230">
        <v>-1.6696043569788901</v>
      </c>
      <c r="AG230">
        <v>-1.1050846966619901</v>
      </c>
      <c r="AH230">
        <v>15.0069180714403</v>
      </c>
      <c r="AI230">
        <v>94.185831713505394</v>
      </c>
      <c r="AJ230">
        <v>96.348371836101705</v>
      </c>
      <c r="AK230">
        <v>15.1398936884828</v>
      </c>
    </row>
    <row r="231" spans="1:37" x14ac:dyDescent="0.2">
      <c r="A231" t="str">
        <f>"20200111155505224"</f>
        <v>20200111155505224</v>
      </c>
      <c r="B231" t="str">
        <f>"1578729305212963"</f>
        <v>1578729305212963</v>
      </c>
      <c r="C231" t="s">
        <v>37</v>
      </c>
      <c r="D231">
        <v>5.0067409999999999</v>
      </c>
      <c r="E231">
        <v>0.50963619999999998</v>
      </c>
      <c r="F231" t="s">
        <v>38</v>
      </c>
      <c r="G231">
        <v>-440.38099999999997</v>
      </c>
      <c r="H231" s="1">
        <v>-4.5953610000000001E-6</v>
      </c>
      <c r="I231">
        <v>369.23349999999999</v>
      </c>
      <c r="J231">
        <v>-455.09789999999998</v>
      </c>
      <c r="K231">
        <v>1.1050679999999999</v>
      </c>
      <c r="L231">
        <v>367.50400000000002</v>
      </c>
      <c r="M231">
        <v>0.99988969999999899</v>
      </c>
      <c r="N231">
        <v>0</v>
      </c>
      <c r="O231">
        <v>6.3233369999999896E-3</v>
      </c>
      <c r="P231">
        <v>0.99012029999999995</v>
      </c>
      <c r="Q231">
        <v>-7.5470110000000002E-3</v>
      </c>
      <c r="R231">
        <v>0.14001959999999999</v>
      </c>
      <c r="S231">
        <v>2.9794309999999999</v>
      </c>
      <c r="T231">
        <v>-0.22177769999999999</v>
      </c>
      <c r="U231">
        <v>0.34728999999999999</v>
      </c>
      <c r="V231">
        <v>-0.13375609999999999</v>
      </c>
      <c r="W231">
        <v>5.7580799999999996E-3</v>
      </c>
      <c r="X231">
        <v>0.99099760000000003</v>
      </c>
      <c r="Y231">
        <v>-0.1092142</v>
      </c>
      <c r="Z231">
        <v>3.57704099999999E-3</v>
      </c>
      <c r="AA231">
        <v>0.9940118</v>
      </c>
      <c r="AB231">
        <v>15</v>
      </c>
      <c r="AC231">
        <v>14.716900000000001</v>
      </c>
      <c r="AD231">
        <v>-1.1050725953610001</v>
      </c>
      <c r="AE231">
        <v>1.7294999999999701</v>
      </c>
      <c r="AF231">
        <v>-1.6273466009931801</v>
      </c>
      <c r="AG231">
        <v>-1.1050725953610001</v>
      </c>
      <c r="AH231">
        <v>14.6460886537702</v>
      </c>
      <c r="AI231">
        <v>94.288597042708005</v>
      </c>
      <c r="AJ231">
        <v>96.3402049511934</v>
      </c>
      <c r="AK231">
        <v>14.777596396399399</v>
      </c>
    </row>
    <row r="232" spans="1:37" x14ac:dyDescent="0.2">
      <c r="A232" t="str">
        <f>"20200111155505237"</f>
        <v>20200111155505237</v>
      </c>
      <c r="B232" t="str">
        <f>"1578729305232480"</f>
        <v>1578729305232480</v>
      </c>
      <c r="C232" t="s">
        <v>37</v>
      </c>
      <c r="D232">
        <v>5.0299949999999898</v>
      </c>
      <c r="E232">
        <v>0.50961639999999997</v>
      </c>
      <c r="F232" t="s">
        <v>38</v>
      </c>
      <c r="G232">
        <v>-440.74119999999999</v>
      </c>
      <c r="H232" s="1">
        <v>-4.436621E-6</v>
      </c>
      <c r="I232">
        <v>369.16829999999999</v>
      </c>
      <c r="J232">
        <v>-455.01409999999998</v>
      </c>
      <c r="K232">
        <v>1.105064</v>
      </c>
      <c r="L232">
        <v>367.50459999999998</v>
      </c>
      <c r="M232">
        <v>0.99988899999999903</v>
      </c>
      <c r="N232">
        <v>0</v>
      </c>
      <c r="O232">
        <v>6.4173769999999897E-3</v>
      </c>
      <c r="P232">
        <v>0.9901953</v>
      </c>
      <c r="Q232">
        <v>-7.9715519999999998E-3</v>
      </c>
      <c r="R232">
        <v>0.13946320000000001</v>
      </c>
      <c r="S232">
        <v>2.9793400000000001</v>
      </c>
      <c r="T232">
        <v>-0.2293288</v>
      </c>
      <c r="U232">
        <v>0.34539789999999998</v>
      </c>
      <c r="V232">
        <v>-0.1331061</v>
      </c>
      <c r="W232">
        <v>5.3422840000000001E-3</v>
      </c>
      <c r="X232">
        <v>0.99108739999999995</v>
      </c>
      <c r="Y232">
        <v>-0.10848430000000001</v>
      </c>
      <c r="Z232">
        <v>3.6635679999999999E-3</v>
      </c>
      <c r="AA232">
        <v>0.99409139999999996</v>
      </c>
      <c r="AB232">
        <v>15</v>
      </c>
      <c r="AC232">
        <v>14.2728999999999</v>
      </c>
      <c r="AD232">
        <v>-1.105068436621</v>
      </c>
      <c r="AE232">
        <v>1.6637</v>
      </c>
      <c r="AF232">
        <v>-1.56282011052432</v>
      </c>
      <c r="AG232">
        <v>-1.105068436621</v>
      </c>
      <c r="AH232">
        <v>14.1993066727734</v>
      </c>
      <c r="AI232">
        <v>94.423498603388097</v>
      </c>
      <c r="AJ232">
        <v>96.280872201674399</v>
      </c>
      <c r="AK232">
        <v>14.3277316046519</v>
      </c>
    </row>
    <row r="233" spans="1:37" x14ac:dyDescent="0.2">
      <c r="A233" t="str">
        <f>"20200111155505250"</f>
        <v>20200111155505250</v>
      </c>
      <c r="B233" t="str">
        <f>"1578729305243215"</f>
        <v>1578729305243215</v>
      </c>
      <c r="C233" t="s">
        <v>37</v>
      </c>
      <c r="D233">
        <v>5.0720700000000001</v>
      </c>
      <c r="E233">
        <v>0.5095693</v>
      </c>
      <c r="F233" t="s">
        <v>38</v>
      </c>
      <c r="G233">
        <v>-440.95760000000001</v>
      </c>
      <c r="H233" s="1">
        <v>-4.3417719999999997E-6</v>
      </c>
      <c r="I233">
        <v>369.12630000000001</v>
      </c>
      <c r="J233">
        <v>-454.93299999999999</v>
      </c>
      <c r="K233">
        <v>1.1050610000000001</v>
      </c>
      <c r="L233">
        <v>367.5052</v>
      </c>
      <c r="M233">
        <v>0.99988840000000001</v>
      </c>
      <c r="N233">
        <v>0</v>
      </c>
      <c r="O233">
        <v>6.5067190000000002E-3</v>
      </c>
      <c r="P233">
        <v>0.99024869999999898</v>
      </c>
      <c r="Q233">
        <v>-8.3876119999999992E-3</v>
      </c>
      <c r="R233">
        <v>0.1390593</v>
      </c>
      <c r="S233">
        <v>2.9794309999999999</v>
      </c>
      <c r="T233">
        <v>-0.23423189999999999</v>
      </c>
      <c r="U233">
        <v>0.34375</v>
      </c>
      <c r="V233">
        <v>-0.13261339999999999</v>
      </c>
      <c r="W233">
        <v>4.933163E-3</v>
      </c>
      <c r="X233">
        <v>0.99115560000000003</v>
      </c>
      <c r="Y233">
        <v>-0.1078387</v>
      </c>
      <c r="Z233">
        <v>3.7094229999999999E-3</v>
      </c>
      <c r="AA233">
        <v>0.99416150000000003</v>
      </c>
      <c r="AB233">
        <v>15</v>
      </c>
      <c r="AC233">
        <v>13.9754</v>
      </c>
      <c r="AD233">
        <v>-1.105065341772</v>
      </c>
      <c r="AE233">
        <v>1.62110000000001</v>
      </c>
      <c r="AF233">
        <v>-1.5207413919817701</v>
      </c>
      <c r="AG233">
        <v>-1.105065341772</v>
      </c>
      <c r="AH233">
        <v>13.8998990758374</v>
      </c>
      <c r="AI233">
        <v>94.518699243004306</v>
      </c>
      <c r="AJ233">
        <v>96.243706310448502</v>
      </c>
      <c r="AK233">
        <v>14.026439965627</v>
      </c>
    </row>
    <row r="234" spans="1:37" x14ac:dyDescent="0.2">
      <c r="A234" t="str">
        <f>"20200111155505261"</f>
        <v>20200111155505261</v>
      </c>
      <c r="B234" t="str">
        <f>"1578729305252975"</f>
        <v>1578729305252975</v>
      </c>
      <c r="C234" t="s">
        <v>37</v>
      </c>
      <c r="D234">
        <v>5.1763409999999999</v>
      </c>
      <c r="E234">
        <v>0.50969409999999904</v>
      </c>
      <c r="F234" t="s">
        <v>38</v>
      </c>
      <c r="G234">
        <v>-440.98</v>
      </c>
      <c r="H234" s="1">
        <v>-4.3339500000000002E-6</v>
      </c>
      <c r="I234">
        <v>369.11090000000002</v>
      </c>
      <c r="J234">
        <v>-454.85140000000001</v>
      </c>
      <c r="K234">
        <v>1.1050599999999999</v>
      </c>
      <c r="L234">
        <v>367.50580000000002</v>
      </c>
      <c r="M234">
        <v>0.99988759999999999</v>
      </c>
      <c r="N234">
        <v>0</v>
      </c>
      <c r="O234">
        <v>6.5963619999999997E-3</v>
      </c>
      <c r="P234">
        <v>0.99032710000000002</v>
      </c>
      <c r="Q234">
        <v>-8.7700269999999997E-3</v>
      </c>
      <c r="R234">
        <v>0.13847519999999999</v>
      </c>
      <c r="S234">
        <v>2.9793699999999999</v>
      </c>
      <c r="T234">
        <v>-0.23596259999999999</v>
      </c>
      <c r="U234">
        <v>0.34286499999999998</v>
      </c>
      <c r="V234">
        <v>-0.13194020000000001</v>
      </c>
      <c r="W234">
        <v>4.5583730000000001E-3</v>
      </c>
      <c r="X234">
        <v>0.99124719999999999</v>
      </c>
      <c r="Y234">
        <v>-0.10745730000000001</v>
      </c>
      <c r="Z234">
        <v>3.7147909999999998E-3</v>
      </c>
      <c r="AA234">
        <v>0.99420269999999999</v>
      </c>
      <c r="AB234">
        <v>15</v>
      </c>
      <c r="AC234">
        <v>13.8713999999999</v>
      </c>
      <c r="AD234">
        <v>-1.1050643339499999</v>
      </c>
      <c r="AE234">
        <v>1.60509999999999</v>
      </c>
      <c r="AF234">
        <v>-1.50413612419052</v>
      </c>
      <c r="AG234">
        <v>-1.1050643339499999</v>
      </c>
      <c r="AH234">
        <v>13.7952918512689</v>
      </c>
      <c r="AI234">
        <v>94.552999132379</v>
      </c>
      <c r="AJ234">
        <v>96.222525770590906</v>
      </c>
      <c r="AK234">
        <v>13.9209794886693</v>
      </c>
    </row>
    <row r="235" spans="1:37" x14ac:dyDescent="0.2">
      <c r="A235" t="str">
        <f>"20200111155505280"</f>
        <v>20200111155505280</v>
      </c>
      <c r="B235" t="str">
        <f>"1578729305272495"</f>
        <v>1578729305272495</v>
      </c>
      <c r="C235" t="s">
        <v>37</v>
      </c>
      <c r="D235">
        <v>5.0219239999999896</v>
      </c>
      <c r="E235">
        <v>0.50951950000000001</v>
      </c>
      <c r="F235" t="s">
        <v>38</v>
      </c>
      <c r="G235">
        <v>-441.0351</v>
      </c>
      <c r="H235" s="1">
        <v>-4.3127179999999901E-6</v>
      </c>
      <c r="I235">
        <v>369.0838</v>
      </c>
      <c r="J235">
        <v>-454.7346</v>
      </c>
      <c r="K235">
        <v>1.105056</v>
      </c>
      <c r="L235">
        <v>367.5068</v>
      </c>
      <c r="M235">
        <v>0.99988670000000002</v>
      </c>
      <c r="N235">
        <v>0</v>
      </c>
      <c r="O235">
        <v>6.72312E-3</v>
      </c>
      <c r="P235">
        <v>0.99040110000000003</v>
      </c>
      <c r="Q235">
        <v>-9.6139099999999998E-3</v>
      </c>
      <c r="R235">
        <v>0.1378894</v>
      </c>
      <c r="S235">
        <v>2.97961399999999</v>
      </c>
      <c r="T235">
        <v>-0.238317</v>
      </c>
      <c r="U235">
        <v>0.34030149999999998</v>
      </c>
      <c r="V235">
        <v>-0.13122779999999901</v>
      </c>
      <c r="W235">
        <v>3.724392E-3</v>
      </c>
      <c r="X235">
        <v>0.99134519999999904</v>
      </c>
      <c r="Y235">
        <v>-0.106475</v>
      </c>
      <c r="Z235">
        <v>3.7024340000000001E-3</v>
      </c>
      <c r="AA235">
        <v>0.99430849999999904</v>
      </c>
      <c r="AB235">
        <v>15</v>
      </c>
      <c r="AC235">
        <v>13.6995</v>
      </c>
      <c r="AD235">
        <v>-1.1050603127180001</v>
      </c>
      <c r="AE235">
        <v>1.57699999999999</v>
      </c>
      <c r="AF235">
        <v>-1.4753782794149899</v>
      </c>
      <c r="AG235">
        <v>-1.1050603127180001</v>
      </c>
      <c r="AH235">
        <v>13.622316148737401</v>
      </c>
      <c r="AI235">
        <v>94.610906806788407</v>
      </c>
      <c r="AJ235">
        <v>96.1813810236184</v>
      </c>
      <c r="AK235">
        <v>13.7464685144318</v>
      </c>
    </row>
    <row r="236" spans="1:37" x14ac:dyDescent="0.2">
      <c r="A236" t="str">
        <f>"20200111155505292"</f>
        <v>20200111155505292</v>
      </c>
      <c r="B236" t="str">
        <f>"1578729305283233"</f>
        <v>1578729305283233</v>
      </c>
      <c r="C236" t="s">
        <v>37</v>
      </c>
      <c r="D236">
        <v>5.0734129999999897</v>
      </c>
      <c r="E236">
        <v>0.50946819999999904</v>
      </c>
      <c r="F236" t="s">
        <v>38</v>
      </c>
      <c r="G236">
        <v>-441.14159999999998</v>
      </c>
      <c r="H236" s="1">
        <v>-4.2670540000000002E-6</v>
      </c>
      <c r="I236">
        <v>369.05739999999997</v>
      </c>
      <c r="J236">
        <v>-454.65010000000001</v>
      </c>
      <c r="K236">
        <v>1.105046</v>
      </c>
      <c r="L236">
        <v>367.50740000000002</v>
      </c>
      <c r="M236">
        <v>0.99988619999999995</v>
      </c>
      <c r="N236">
        <v>0</v>
      </c>
      <c r="O236">
        <v>6.8139689999999996E-3</v>
      </c>
      <c r="P236">
        <v>0.99043519999999896</v>
      </c>
      <c r="Q236">
        <v>-1.027052E-2</v>
      </c>
      <c r="R236">
        <v>0.13759689999999999</v>
      </c>
      <c r="S236">
        <v>2.97940099999999</v>
      </c>
      <c r="T236">
        <v>-0.24221300000000001</v>
      </c>
      <c r="U236">
        <v>0.33987430000000002</v>
      </c>
      <c r="V236">
        <v>-0.13084469999999901</v>
      </c>
      <c r="W236">
        <v>3.0735129999999999E-3</v>
      </c>
      <c r="X236">
        <v>0.99139809999999995</v>
      </c>
      <c r="Y236">
        <v>-0.10624260000000001</v>
      </c>
      <c r="Z236">
        <v>3.7463129999999998E-3</v>
      </c>
      <c r="AA236">
        <v>0.99433320000000003</v>
      </c>
      <c r="AB236">
        <v>15</v>
      </c>
      <c r="AC236">
        <v>13.5085</v>
      </c>
      <c r="AD236">
        <v>-1.1050502670539999</v>
      </c>
      <c r="AE236">
        <v>1.5499999999999501</v>
      </c>
      <c r="AF236">
        <v>-1.4483429440304301</v>
      </c>
      <c r="AG236">
        <v>-1.1050502670539999</v>
      </c>
      <c r="AH236">
        <v>13.4300442311403</v>
      </c>
      <c r="AI236">
        <v>94.676816044580306</v>
      </c>
      <c r="AJ236">
        <v>96.155188757319607</v>
      </c>
      <c r="AK236">
        <v>13.5530410398045</v>
      </c>
    </row>
    <row r="237" spans="1:37" x14ac:dyDescent="0.2">
      <c r="A237" t="str">
        <f>"20200111155505305"</f>
        <v>20200111155505305</v>
      </c>
      <c r="B237" t="str">
        <f>"1578729305302751"</f>
        <v>1578729305302751</v>
      </c>
      <c r="C237" t="s">
        <v>37</v>
      </c>
      <c r="D237">
        <v>5.0240960000000001</v>
      </c>
      <c r="E237">
        <v>0.50943490000000002</v>
      </c>
      <c r="F237" t="s">
        <v>38</v>
      </c>
      <c r="G237">
        <v>-441.21879999999999</v>
      </c>
      <c r="H237" s="1">
        <v>-4.234083E-6</v>
      </c>
      <c r="I237">
        <v>369.0376</v>
      </c>
      <c r="J237">
        <v>-454.5693</v>
      </c>
      <c r="K237">
        <v>1.10504</v>
      </c>
      <c r="L237">
        <v>367.50810000000001</v>
      </c>
      <c r="M237">
        <v>0.99988539999999904</v>
      </c>
      <c r="N237">
        <v>0</v>
      </c>
      <c r="O237">
        <v>6.9013069999999998E-3</v>
      </c>
      <c r="P237">
        <v>0.99044239999999995</v>
      </c>
      <c r="Q237">
        <v>-1.08745E-2</v>
      </c>
      <c r="R237">
        <v>0.13749839999999999</v>
      </c>
      <c r="S237">
        <v>2.9792480000000001</v>
      </c>
      <c r="T237">
        <v>-0.24511549999999999</v>
      </c>
      <c r="U237">
        <v>0.33941650000000001</v>
      </c>
      <c r="V237">
        <v>-0.13065959999999999</v>
      </c>
      <c r="W237">
        <v>2.473654E-3</v>
      </c>
      <c r="X237">
        <v>0.99142419999999998</v>
      </c>
      <c r="Y237">
        <v>-0.1060039</v>
      </c>
      <c r="Z237">
        <v>3.7743619999999999E-3</v>
      </c>
      <c r="AA237">
        <v>0.99435849999999903</v>
      </c>
      <c r="AB237">
        <v>15</v>
      </c>
      <c r="AC237">
        <v>13.3505</v>
      </c>
      <c r="AD237">
        <v>-1.105044234083</v>
      </c>
      <c r="AE237">
        <v>1.5294999999999801</v>
      </c>
      <c r="AF237">
        <v>-1.4276648572711801</v>
      </c>
      <c r="AG237">
        <v>-1.105044234083</v>
      </c>
      <c r="AH237">
        <v>13.2709946771514</v>
      </c>
      <c r="AI237">
        <v>94.732720959142995</v>
      </c>
      <c r="AJ237">
        <v>96.140141894522799</v>
      </c>
      <c r="AK237">
        <v>13.3932314780619</v>
      </c>
    </row>
    <row r="238" spans="1:37" x14ac:dyDescent="0.2">
      <c r="A238" t="str">
        <f>"20200111155505319"</f>
        <v>20200111155505319</v>
      </c>
      <c r="B238" t="str">
        <f>"1578729305312511"</f>
        <v>1578729305312511</v>
      </c>
      <c r="C238" t="s">
        <v>37</v>
      </c>
      <c r="D238">
        <v>5.095383</v>
      </c>
      <c r="E238">
        <v>0.50934849999999998</v>
      </c>
      <c r="F238" t="s">
        <v>38</v>
      </c>
      <c r="G238">
        <v>-441.36799999999999</v>
      </c>
      <c r="H238" s="1">
        <v>-4.1679109999999996E-6</v>
      </c>
      <c r="I238">
        <v>369.01310000000001</v>
      </c>
      <c r="J238">
        <v>-454.47660000000002</v>
      </c>
      <c r="K238">
        <v>1.105035</v>
      </c>
      <c r="L238">
        <v>367.50889999999998</v>
      </c>
      <c r="M238">
        <v>0.99988469999999996</v>
      </c>
      <c r="N238">
        <v>0</v>
      </c>
      <c r="O238">
        <v>7.001396E-3</v>
      </c>
      <c r="P238">
        <v>0.99045319999999903</v>
      </c>
      <c r="Q238">
        <v>-1.214662E-2</v>
      </c>
      <c r="R238">
        <v>0.13731360000000001</v>
      </c>
      <c r="S238">
        <v>2.9790649999999999</v>
      </c>
      <c r="T238">
        <v>-0.2493687</v>
      </c>
      <c r="U238">
        <v>0.33963009999999999</v>
      </c>
      <c r="V238">
        <v>-0.1303754</v>
      </c>
      <c r="W238">
        <v>1.207177E-3</v>
      </c>
      <c r="X238">
        <v>0.99146399999999901</v>
      </c>
      <c r="Y238">
        <v>-0.1059705</v>
      </c>
      <c r="Z238">
        <v>3.8301209999999902E-3</v>
      </c>
      <c r="AA238">
        <v>0.99436190000000002</v>
      </c>
      <c r="AB238">
        <v>15</v>
      </c>
      <c r="AC238">
        <v>13.1085999999999</v>
      </c>
      <c r="AD238">
        <v>-1.1050391679110001</v>
      </c>
      <c r="AE238">
        <v>1.50420000000002</v>
      </c>
      <c r="AF238">
        <v>-1.4025389799182899</v>
      </c>
      <c r="AG238">
        <v>-1.1050391679110001</v>
      </c>
      <c r="AH238">
        <v>13.0274375477882</v>
      </c>
      <c r="AI238">
        <v>94.820725174006995</v>
      </c>
      <c r="AJ238">
        <v>96.144817752289995</v>
      </c>
      <c r="AK238">
        <v>13.1492340542836</v>
      </c>
    </row>
    <row r="239" spans="1:37" x14ac:dyDescent="0.2">
      <c r="A239" t="str">
        <f>"20200111155505335"</f>
        <v>20200111155505335</v>
      </c>
      <c r="B239" t="str">
        <f>"1578729305333007"</f>
        <v>1578729305333007</v>
      </c>
      <c r="C239" t="s">
        <v>37</v>
      </c>
      <c r="D239">
        <v>5.0742000000000003</v>
      </c>
      <c r="E239">
        <v>0.50934959999999996</v>
      </c>
      <c r="F239" t="s">
        <v>38</v>
      </c>
      <c r="G239">
        <v>-441.49930000000001</v>
      </c>
      <c r="H239" s="1">
        <v>-4.1098409999999997E-6</v>
      </c>
      <c r="I239">
        <v>368.9905</v>
      </c>
      <c r="J239">
        <v>-454.3655</v>
      </c>
      <c r="K239">
        <v>1.1050309999999901</v>
      </c>
      <c r="L239">
        <v>367.50979999999998</v>
      </c>
      <c r="M239">
        <v>0.99988369999999904</v>
      </c>
      <c r="N239">
        <v>0</v>
      </c>
      <c r="O239">
        <v>7.1212740000000004E-3</v>
      </c>
      <c r="P239">
        <v>0.99051789999999995</v>
      </c>
      <c r="Q239">
        <v>-1.337379E-2</v>
      </c>
      <c r="R239">
        <v>0.1367321</v>
      </c>
      <c r="S239">
        <v>2.9786990000000002</v>
      </c>
      <c r="T239">
        <v>-0.25364039999999999</v>
      </c>
      <c r="U239">
        <v>0.3400879</v>
      </c>
      <c r="V239">
        <v>-0.12967429999999999</v>
      </c>
      <c r="W239" s="1">
        <v>-1.4689169999999999E-5</v>
      </c>
      <c r="X239">
        <v>0.99155659999999901</v>
      </c>
      <c r="Y239">
        <v>-0.106004399999999</v>
      </c>
      <c r="Z239">
        <v>3.8872189999999999E-3</v>
      </c>
      <c r="AA239">
        <v>0.99435810000000002</v>
      </c>
      <c r="AB239">
        <v>15</v>
      </c>
      <c r="AC239">
        <v>12.8661999999999</v>
      </c>
      <c r="AD239">
        <v>-1.1050351098409901</v>
      </c>
      <c r="AE239">
        <v>1.4807000000000099</v>
      </c>
      <c r="AF239">
        <v>-1.3789911856393</v>
      </c>
      <c r="AG239">
        <v>-1.1050351098409901</v>
      </c>
      <c r="AH239">
        <v>12.7833550275472</v>
      </c>
      <c r="AI239">
        <v>94.912195634047094</v>
      </c>
      <c r="AJ239">
        <v>96.156914299235694</v>
      </c>
      <c r="AK239">
        <v>12.904917087853301</v>
      </c>
    </row>
    <row r="240" spans="1:37" x14ac:dyDescent="0.2">
      <c r="A240" t="str">
        <f>"20200111155505350"</f>
        <v>20200111155505350</v>
      </c>
      <c r="B240" t="str">
        <f>"1578729305342768"</f>
        <v>1578729305342768</v>
      </c>
      <c r="C240" t="s">
        <v>37</v>
      </c>
      <c r="D240">
        <v>5.0599299999999996</v>
      </c>
      <c r="E240">
        <v>0.53258729999999999</v>
      </c>
      <c r="F240" t="s">
        <v>38</v>
      </c>
      <c r="G240">
        <v>-441.5976</v>
      </c>
      <c r="H240" s="1">
        <v>-4.0688169999999997E-6</v>
      </c>
      <c r="I240">
        <v>368.9597</v>
      </c>
      <c r="J240">
        <v>-454.27199999999999</v>
      </c>
      <c r="K240">
        <v>1.105032</v>
      </c>
      <c r="L240">
        <v>367.51060000000001</v>
      </c>
      <c r="M240">
        <v>0.99988290000000002</v>
      </c>
      <c r="N240">
        <v>0</v>
      </c>
      <c r="O240">
        <v>7.2222149999999997E-3</v>
      </c>
      <c r="P240">
        <v>0.99052229999999997</v>
      </c>
      <c r="Q240">
        <v>-1.398049E-2</v>
      </c>
      <c r="R240">
        <v>0.13663900000000001</v>
      </c>
      <c r="S240">
        <v>2.978485</v>
      </c>
      <c r="T240">
        <v>-0.25778139999999999</v>
      </c>
      <c r="U240">
        <v>0.33822629999999998</v>
      </c>
      <c r="V240">
        <v>-0.12948090000000001</v>
      </c>
      <c r="W240">
        <v>-6.1785989999999999E-4</v>
      </c>
      <c r="X240">
        <v>0.99158169999999901</v>
      </c>
      <c r="Y240">
        <v>-0.1052898</v>
      </c>
      <c r="Z240">
        <v>3.9114099999999997E-3</v>
      </c>
      <c r="AA240">
        <v>0.99443389999999998</v>
      </c>
      <c r="AB240">
        <v>15</v>
      </c>
      <c r="AC240">
        <v>12.674399999999901</v>
      </c>
      <c r="AD240">
        <v>-1.105036068817</v>
      </c>
      <c r="AE240">
        <v>1.4490999999999801</v>
      </c>
      <c r="AF240">
        <v>-1.34740650330246</v>
      </c>
      <c r="AG240">
        <v>-1.105036068817</v>
      </c>
      <c r="AH240">
        <v>12.5900678039506</v>
      </c>
      <c r="AI240">
        <v>94.987685630650802</v>
      </c>
      <c r="AJ240">
        <v>96.1086226695882</v>
      </c>
      <c r="AK240">
        <v>12.7100911210975</v>
      </c>
    </row>
    <row r="241" spans="1:37" x14ac:dyDescent="0.2">
      <c r="A241" t="str">
        <f>"20200111155505365"</f>
        <v>20200111155505365</v>
      </c>
      <c r="B241" t="str">
        <f>"1578729305363264"</f>
        <v>1578729305363264</v>
      </c>
      <c r="C241" t="s">
        <v>37</v>
      </c>
      <c r="D241">
        <v>4.9785019999999998</v>
      </c>
      <c r="E241">
        <v>0.54187289999999999</v>
      </c>
      <c r="F241" t="s">
        <v>39</v>
      </c>
      <c r="G241">
        <v>-435.93920000000003</v>
      </c>
      <c r="H241">
        <v>-0.05</v>
      </c>
      <c r="I241">
        <v>368.4479</v>
      </c>
      <c r="J241">
        <v>-454.17689999999999</v>
      </c>
      <c r="K241">
        <v>1.105029</v>
      </c>
      <c r="L241">
        <v>367.51139999999998</v>
      </c>
      <c r="M241">
        <v>0.9998821</v>
      </c>
      <c r="N241">
        <v>0</v>
      </c>
      <c r="O241">
        <v>7.3254819999999899E-3</v>
      </c>
      <c r="P241">
        <v>0.99054120000000001</v>
      </c>
      <c r="Q241">
        <v>-1.370737E-2</v>
      </c>
      <c r="R241">
        <v>0.13652909999999999</v>
      </c>
      <c r="S241">
        <v>3.0048219999999999</v>
      </c>
      <c r="T241">
        <v>-0.18931489999999901</v>
      </c>
      <c r="U241">
        <v>0.1536255</v>
      </c>
      <c r="V241">
        <v>-0.12926860000000001</v>
      </c>
      <c r="W241">
        <v>-3.413612E-4</v>
      </c>
      <c r="X241">
        <v>0.99160959999999998</v>
      </c>
      <c r="Y241">
        <v>-4.3669810000000003E-2</v>
      </c>
      <c r="Z241">
        <v>9.1263080000000005E-4</v>
      </c>
      <c r="AA241">
        <v>0.99904559999999998</v>
      </c>
      <c r="AB241">
        <v>15</v>
      </c>
      <c r="AC241">
        <v>18.237699999999901</v>
      </c>
      <c r="AD241">
        <v>-1.1550290000000001</v>
      </c>
      <c r="AE241">
        <v>0.93650000000002298</v>
      </c>
      <c r="AF241">
        <v>-0.79966379233138396</v>
      </c>
      <c r="AG241">
        <v>-1.1550290000000001</v>
      </c>
      <c r="AH241">
        <v>18.171378953091399</v>
      </c>
      <c r="AI241">
        <v>93.633496742223102</v>
      </c>
      <c r="AJ241">
        <v>92.519776742917202</v>
      </c>
      <c r="AK241">
        <v>18.225601971634799</v>
      </c>
    </row>
    <row r="242" spans="1:37" x14ac:dyDescent="0.2">
      <c r="A242" t="str">
        <f>"20200111155505382"</f>
        <v>20200111155505382</v>
      </c>
      <c r="B242" t="str">
        <f>"1578729305373023"</f>
        <v>1578729305373023</v>
      </c>
      <c r="C242" t="s">
        <v>37</v>
      </c>
      <c r="D242">
        <v>5.0230569999999997</v>
      </c>
      <c r="E242">
        <v>0.54409629999999998</v>
      </c>
      <c r="F242" t="s">
        <v>39</v>
      </c>
      <c r="G242">
        <v>-432.68950000000001</v>
      </c>
      <c r="H242">
        <v>-0.05</v>
      </c>
      <c r="I242">
        <v>368.08049999999997</v>
      </c>
      <c r="J242">
        <v>-454.06619999999998</v>
      </c>
      <c r="K242">
        <v>1.1050249999999999</v>
      </c>
      <c r="L242">
        <v>367.51240000000001</v>
      </c>
      <c r="M242">
        <v>0.99988129999999997</v>
      </c>
      <c r="N242">
        <v>0</v>
      </c>
      <c r="O242">
        <v>7.44621E-3</v>
      </c>
      <c r="P242">
        <v>0.99051579999999995</v>
      </c>
      <c r="Q242">
        <v>-1.452059E-2</v>
      </c>
      <c r="R242">
        <v>0.13663039999999901</v>
      </c>
      <c r="S242">
        <v>3.0153810000000001</v>
      </c>
      <c r="T242">
        <v>-0.16208789999999901</v>
      </c>
      <c r="U242">
        <v>7.9864500000000005E-2</v>
      </c>
      <c r="V242">
        <v>-0.12925010000000001</v>
      </c>
      <c r="W242">
        <v>-1.1516600000000001E-3</v>
      </c>
      <c r="X242">
        <v>0.99161139999999903</v>
      </c>
      <c r="Y242">
        <v>-1.9014730000000001E-2</v>
      </c>
      <c r="Z242">
        <v>1.106716E-4</v>
      </c>
      <c r="AA242">
        <v>0.99981919999999902</v>
      </c>
      <c r="AB242">
        <v>15</v>
      </c>
      <c r="AC242">
        <v>21.3766999999999</v>
      </c>
      <c r="AD242">
        <v>-1.155025</v>
      </c>
      <c r="AE242">
        <v>0.56809999999995797</v>
      </c>
      <c r="AF242">
        <v>-0.40770493279721398</v>
      </c>
      <c r="AG242">
        <v>-1.155025</v>
      </c>
      <c r="AH242">
        <v>21.318144444607299</v>
      </c>
      <c r="AI242">
        <v>93.100708524511404</v>
      </c>
      <c r="AJ242">
        <v>91.095635908569193</v>
      </c>
      <c r="AK242">
        <v>21.353303927589199</v>
      </c>
    </row>
    <row r="243" spans="1:37" x14ac:dyDescent="0.2">
      <c r="A243" t="str">
        <f>"20200111155505414"</f>
        <v>20200111155505414</v>
      </c>
      <c r="B243" t="str">
        <f>"1578729305403279"</f>
        <v>1578729305403279</v>
      </c>
      <c r="C243" t="s">
        <v>37</v>
      </c>
      <c r="D243">
        <v>5.0772820000000003</v>
      </c>
      <c r="E243">
        <v>0.54504600000000003</v>
      </c>
      <c r="F243" t="s">
        <v>39</v>
      </c>
      <c r="G243">
        <v>-431.42469999999997</v>
      </c>
      <c r="H243">
        <v>-0.05</v>
      </c>
      <c r="I243">
        <v>367.97879999999998</v>
      </c>
      <c r="J243">
        <v>-453.856999999999</v>
      </c>
      <c r="K243">
        <v>1.1050169999999999</v>
      </c>
      <c r="L243">
        <v>367.51420000000002</v>
      </c>
      <c r="M243">
        <v>0.99987950000000003</v>
      </c>
      <c r="N243">
        <v>0</v>
      </c>
      <c r="O243">
        <v>7.675411E-3</v>
      </c>
      <c r="P243">
        <v>0.99050380000000005</v>
      </c>
      <c r="Q243">
        <v>-1.53022E-2</v>
      </c>
      <c r="R243">
        <v>0.13663120000000001</v>
      </c>
      <c r="S243">
        <v>3.0178529999999899</v>
      </c>
      <c r="T243">
        <v>-0.153951799999999</v>
      </c>
      <c r="U243">
        <v>6.216431E-2</v>
      </c>
      <c r="V243">
        <v>-0.1290239</v>
      </c>
      <c r="W243">
        <v>-1.9289279999999999E-3</v>
      </c>
      <c r="X243">
        <v>0.99163959999999995</v>
      </c>
      <c r="Y243">
        <v>-1.291259E-2</v>
      </c>
      <c r="Z243" s="1">
        <v>-6.2169649999999999E-5</v>
      </c>
      <c r="AA243">
        <v>0.99991659999999905</v>
      </c>
      <c r="AB243">
        <v>15</v>
      </c>
      <c r="AC243">
        <v>22.432300000000001</v>
      </c>
      <c r="AD243">
        <v>-1.155017</v>
      </c>
      <c r="AE243">
        <v>0.46459999999996099</v>
      </c>
      <c r="AF243">
        <v>-0.29162072368740199</v>
      </c>
      <c r="AG243">
        <v>-1.155017</v>
      </c>
      <c r="AH243">
        <v>22.3759096720432</v>
      </c>
      <c r="AI243">
        <v>92.954664763290793</v>
      </c>
      <c r="AJ243">
        <v>90.746682079898505</v>
      </c>
      <c r="AK243">
        <v>22.407597831276099</v>
      </c>
    </row>
    <row r="244" spans="1:37" x14ac:dyDescent="0.2">
      <c r="A244" t="str">
        <f>"20200111155505503"</f>
        <v>20200111155505503</v>
      </c>
      <c r="B244" t="str">
        <f>"1578729305493074"</f>
        <v>1578729305493074</v>
      </c>
      <c r="C244" t="s">
        <v>37</v>
      </c>
      <c r="D244">
        <v>5.0607350000000002</v>
      </c>
      <c r="E244">
        <v>0.54468079999999996</v>
      </c>
      <c r="F244" t="s">
        <v>39</v>
      </c>
      <c r="G244">
        <v>-430.3091</v>
      </c>
      <c r="H244">
        <v>-0.05</v>
      </c>
      <c r="I244">
        <v>367.94</v>
      </c>
      <c r="J244">
        <v>-453.27980000000002</v>
      </c>
      <c r="K244">
        <v>1.10503</v>
      </c>
      <c r="L244">
        <v>367.51949999999999</v>
      </c>
      <c r="M244">
        <v>0.99987440000000005</v>
      </c>
      <c r="N244">
        <v>0</v>
      </c>
      <c r="O244">
        <v>8.3149179999999993E-3</v>
      </c>
      <c r="P244">
        <v>0.99060149999999902</v>
      </c>
      <c r="Q244">
        <v>-1.5156879999999999E-2</v>
      </c>
      <c r="R244">
        <v>0.135938</v>
      </c>
      <c r="S244">
        <v>3.0189819999999998</v>
      </c>
      <c r="T244">
        <v>-0.14808080000000001</v>
      </c>
      <c r="U244">
        <v>5.4595949999999997E-2</v>
      </c>
      <c r="V244">
        <v>-0.12769559999999999</v>
      </c>
      <c r="W244">
        <v>-1.77756299999999E-3</v>
      </c>
      <c r="X244">
        <v>0.99181180000000002</v>
      </c>
      <c r="Y244">
        <v>-9.7645860000000004E-3</v>
      </c>
      <c r="Z244">
        <v>-1.682811E-4</v>
      </c>
      <c r="AA244">
        <v>0.99995230000000002</v>
      </c>
      <c r="AB244">
        <v>14</v>
      </c>
      <c r="AC244">
        <v>22.970700000000001</v>
      </c>
      <c r="AD244">
        <v>-1.15503</v>
      </c>
      <c r="AE244">
        <v>0.42050000000000398</v>
      </c>
      <c r="AF244">
        <v>-0.228890064713302</v>
      </c>
      <c r="AG244">
        <v>-1.15503</v>
      </c>
      <c r="AH244">
        <v>22.915483440154599</v>
      </c>
      <c r="AI244">
        <v>92.885345786763907</v>
      </c>
      <c r="AJ244">
        <v>90.572276757881696</v>
      </c>
      <c r="AK244">
        <v>22.945715640585799</v>
      </c>
    </row>
    <row r="245" spans="1:37" x14ac:dyDescent="0.2">
      <c r="A245" t="str">
        <f>"20200111155505516"</f>
        <v>20200111155505516</v>
      </c>
      <c r="B245" t="str">
        <f>"1578729305512592"</f>
        <v>1578729305512592</v>
      </c>
      <c r="C245" t="s">
        <v>37</v>
      </c>
      <c r="D245">
        <v>4.997382</v>
      </c>
      <c r="E245">
        <v>0.54450810000000005</v>
      </c>
      <c r="F245" t="s">
        <v>39</v>
      </c>
      <c r="G245">
        <v>-430.05309999999997</v>
      </c>
      <c r="H245">
        <v>-0.05</v>
      </c>
      <c r="I245">
        <v>367.94639999999998</v>
      </c>
      <c r="J245">
        <v>-453.19560000000001</v>
      </c>
      <c r="K245">
        <v>1.105032</v>
      </c>
      <c r="L245">
        <v>367.52030000000002</v>
      </c>
      <c r="M245">
        <v>0.99987349999999997</v>
      </c>
      <c r="N245">
        <v>0</v>
      </c>
      <c r="O245">
        <v>8.4082580000000001E-3</v>
      </c>
      <c r="P245">
        <v>0.99062870000000003</v>
      </c>
      <c r="Q245">
        <v>-1.473347E-2</v>
      </c>
      <c r="R245">
        <v>0.13578599999999999</v>
      </c>
      <c r="S245">
        <v>3.0185550000000001</v>
      </c>
      <c r="T245">
        <v>-0.15010850000000001</v>
      </c>
      <c r="U245">
        <v>5.5480960000000003E-2</v>
      </c>
      <c r="V245">
        <v>-0.12745119999999999</v>
      </c>
      <c r="W245">
        <v>-1.353847E-3</v>
      </c>
      <c r="X245">
        <v>0.9918439</v>
      </c>
      <c r="Y245">
        <v>-9.9666939999999999E-3</v>
      </c>
      <c r="Z245">
        <v>-1.7022270000000001E-4</v>
      </c>
      <c r="AA245">
        <v>0.99995029999999996</v>
      </c>
      <c r="AB245">
        <v>14</v>
      </c>
      <c r="AC245">
        <v>23.142499999999998</v>
      </c>
      <c r="AD245">
        <v>-1.1550320000000001</v>
      </c>
      <c r="AE245">
        <v>0.42609999999996201</v>
      </c>
      <c r="AF245">
        <v>-0.23090410720323601</v>
      </c>
      <c r="AG245">
        <v>-1.1550320000000001</v>
      </c>
      <c r="AH245">
        <v>23.0877735202852</v>
      </c>
      <c r="AI245">
        <v>92.863854764309806</v>
      </c>
      <c r="AJ245">
        <v>90.573004137220806</v>
      </c>
      <c r="AK245">
        <v>23.117800538799699</v>
      </c>
    </row>
    <row r="246" spans="1:37" x14ac:dyDescent="0.2">
      <c r="A246" t="str">
        <f>"20200111155505530"</f>
        <v>20200111155505530</v>
      </c>
      <c r="B246" t="str">
        <f>"1578729305523329"</f>
        <v>1578729305523329</v>
      </c>
      <c r="C246" t="s">
        <v>37</v>
      </c>
      <c r="D246">
        <v>4.9952550000000002</v>
      </c>
      <c r="E246">
        <v>0.54450419999999999</v>
      </c>
      <c r="F246" t="s">
        <v>39</v>
      </c>
      <c r="G246">
        <v>-429.65699999999998</v>
      </c>
      <c r="H246">
        <v>-0.05</v>
      </c>
      <c r="I246">
        <v>367.95979999999997</v>
      </c>
      <c r="J246">
        <v>-453.11020000000002</v>
      </c>
      <c r="K246">
        <v>1.105029</v>
      </c>
      <c r="L246">
        <v>367.52109999999999</v>
      </c>
      <c r="M246">
        <v>0.9998726</v>
      </c>
      <c r="N246">
        <v>0</v>
      </c>
      <c r="O246">
        <v>8.5034429999999994E-3</v>
      </c>
      <c r="P246">
        <v>0.99057240000000002</v>
      </c>
      <c r="Q246">
        <v>-1.5201650000000001E-2</v>
      </c>
      <c r="R246">
        <v>0.1361453</v>
      </c>
      <c r="S246">
        <v>3.0184329999999999</v>
      </c>
      <c r="T246">
        <v>-0.14811369999999999</v>
      </c>
      <c r="U246">
        <v>5.6365970000000001E-2</v>
      </c>
      <c r="V246">
        <v>-0.1277163</v>
      </c>
      <c r="W246">
        <v>-1.8228539999999901E-3</v>
      </c>
      <c r="X246">
        <v>0.9918091</v>
      </c>
      <c r="Y246">
        <v>-1.0165260000000001E-2</v>
      </c>
      <c r="Z246">
        <v>-1.6776900000000001E-4</v>
      </c>
      <c r="AA246">
        <v>0.99994830000000001</v>
      </c>
      <c r="AB246">
        <v>14</v>
      </c>
      <c r="AC246">
        <v>23.453199999999999</v>
      </c>
      <c r="AD246">
        <v>-1.1550290000000001</v>
      </c>
      <c r="AE246">
        <v>0.43869999999998199</v>
      </c>
      <c r="AF246">
        <v>-0.238654360876911</v>
      </c>
      <c r="AG246">
        <v>-1.1550290000000001</v>
      </c>
      <c r="AH246">
        <v>23.399350000679298</v>
      </c>
      <c r="AI246">
        <v>92.825770061423896</v>
      </c>
      <c r="AJ246">
        <v>90.584350143698103</v>
      </c>
      <c r="AK246">
        <v>23.429055216740998</v>
      </c>
    </row>
    <row r="247" spans="1:37" x14ac:dyDescent="0.2">
      <c r="A247" t="str">
        <f>"20200111155505548"</f>
        <v>20200111155505548</v>
      </c>
      <c r="B247" t="str">
        <f>"1578729305542848"</f>
        <v>1578729305542848</v>
      </c>
      <c r="C247" t="s">
        <v>37</v>
      </c>
      <c r="D247">
        <v>4.9789399999999997</v>
      </c>
      <c r="E247">
        <v>0.54408230000000002</v>
      </c>
      <c r="F247" t="s">
        <v>39</v>
      </c>
      <c r="G247">
        <v>-429.88810000000001</v>
      </c>
      <c r="H247">
        <v>-0.05</v>
      </c>
      <c r="I247">
        <v>367.96390000000002</v>
      </c>
      <c r="J247">
        <v>-452.99029999999999</v>
      </c>
      <c r="K247">
        <v>1.1050219999999999</v>
      </c>
      <c r="L247">
        <v>367.52229999999997</v>
      </c>
      <c r="M247">
        <v>0.99987159999999997</v>
      </c>
      <c r="N247">
        <v>0</v>
      </c>
      <c r="O247">
        <v>8.6367140000000002E-3</v>
      </c>
      <c r="P247">
        <v>0.99046540000000005</v>
      </c>
      <c r="Q247">
        <v>-1.5973399999999999E-2</v>
      </c>
      <c r="R247">
        <v>0.1368327</v>
      </c>
      <c r="S247">
        <v>3.0183409999999999</v>
      </c>
      <c r="T247">
        <v>-0.15012719999999999</v>
      </c>
      <c r="U247">
        <v>5.755615E-2</v>
      </c>
      <c r="V247">
        <v>-0.12827230000000001</v>
      </c>
      <c r="W247">
        <v>-2.5963010000000001E-3</v>
      </c>
      <c r="X247">
        <v>0.99173559999999905</v>
      </c>
      <c r="Y247">
        <v>-1.042648E-2</v>
      </c>
      <c r="Z247">
        <v>-1.70183499999999E-4</v>
      </c>
      <c r="AA247">
        <v>0.99994559999999999</v>
      </c>
      <c r="AB247">
        <v>14</v>
      </c>
      <c r="AC247">
        <v>23.1021999999999</v>
      </c>
      <c r="AD247">
        <v>-1.155022</v>
      </c>
      <c r="AE247">
        <v>0.44160000000005001</v>
      </c>
      <c r="AF247">
        <v>-0.24143497889497201</v>
      </c>
      <c r="AG247">
        <v>-1.155022</v>
      </c>
      <c r="AH247">
        <v>23.0475634305791</v>
      </c>
      <c r="AI247">
        <v>92.868804164027395</v>
      </c>
      <c r="AJ247">
        <v>90.6001805523115</v>
      </c>
      <c r="AK247">
        <v>23.077750036693001</v>
      </c>
    </row>
    <row r="248" spans="1:37" x14ac:dyDescent="0.2">
      <c r="A248" t="str">
        <f>"20200111155505562"</f>
        <v>20200111155505562</v>
      </c>
      <c r="B248" t="str">
        <f>"1578729305552607"</f>
        <v>1578729305552607</v>
      </c>
      <c r="C248" t="s">
        <v>37</v>
      </c>
      <c r="D248">
        <v>4.9568640000000004</v>
      </c>
      <c r="E248">
        <v>0.54399819999999999</v>
      </c>
      <c r="F248" t="s">
        <v>39</v>
      </c>
      <c r="G248">
        <v>-429.87729999999999</v>
      </c>
      <c r="H248">
        <v>-0.05</v>
      </c>
      <c r="I248">
        <v>368.0034</v>
      </c>
      <c r="J248">
        <v>-452.90199999999999</v>
      </c>
      <c r="K248">
        <v>1.10502099999999</v>
      </c>
      <c r="L248">
        <v>367.52319999999997</v>
      </c>
      <c r="M248">
        <v>0.9998707</v>
      </c>
      <c r="N248">
        <v>0</v>
      </c>
      <c r="O248">
        <v>8.7349400000000001E-3</v>
      </c>
      <c r="P248">
        <v>0.99032299999999995</v>
      </c>
      <c r="Q248">
        <v>-1.6372799999999899E-2</v>
      </c>
      <c r="R248">
        <v>0.13781360000000001</v>
      </c>
      <c r="S248">
        <v>3.0177610000000001</v>
      </c>
      <c r="T248">
        <v>-0.15080629999999901</v>
      </c>
      <c r="U248">
        <v>6.2805180000000002E-2</v>
      </c>
      <c r="V248">
        <v>-0.12915689999999999</v>
      </c>
      <c r="W248">
        <v>-2.997965E-3</v>
      </c>
      <c r="X248">
        <v>0.99161960000000005</v>
      </c>
      <c r="Y248">
        <v>-1.2068540000000001E-2</v>
      </c>
      <c r="Z248">
        <v>-1.3488730000000001E-4</v>
      </c>
      <c r="AA248">
        <v>0.99992719999999902</v>
      </c>
      <c r="AB248">
        <v>14</v>
      </c>
      <c r="AC248">
        <v>23.024699999999999</v>
      </c>
      <c r="AD248">
        <v>-1.1550209999999901</v>
      </c>
      <c r="AE248">
        <v>0.480200000000024</v>
      </c>
      <c r="AF248">
        <v>-0.27834383148800002</v>
      </c>
      <c r="AG248">
        <v>-1.1550209999999901</v>
      </c>
      <c r="AH248">
        <v>22.970237553258201</v>
      </c>
      <c r="AI248">
        <v>92.878389565757203</v>
      </c>
      <c r="AJ248">
        <v>90.694252562844696</v>
      </c>
      <c r="AK248">
        <v>23.000942633989698</v>
      </c>
    </row>
    <row r="249" spans="1:37" x14ac:dyDescent="0.2">
      <c r="A249" t="str">
        <f>"20200111155505575"</f>
        <v>20200111155505575</v>
      </c>
      <c r="B249" t="str">
        <f>"1578729305573103"</f>
        <v>1578729305573103</v>
      </c>
      <c r="C249" t="s">
        <v>37</v>
      </c>
      <c r="D249">
        <v>4.9160680000000001</v>
      </c>
      <c r="E249">
        <v>0.5437765</v>
      </c>
      <c r="F249" t="s">
        <v>39</v>
      </c>
      <c r="G249">
        <v>-429.9984</v>
      </c>
      <c r="H249">
        <v>-0.05</v>
      </c>
      <c r="I249">
        <v>368.02730000000003</v>
      </c>
      <c r="J249">
        <v>-452.81580000000002</v>
      </c>
      <c r="K249">
        <v>1.105019</v>
      </c>
      <c r="L249">
        <v>367.52409999999998</v>
      </c>
      <c r="M249">
        <v>0.99986989999999998</v>
      </c>
      <c r="N249">
        <v>0</v>
      </c>
      <c r="O249">
        <v>8.8306050000000001E-3</v>
      </c>
      <c r="P249">
        <v>0.99021009999999998</v>
      </c>
      <c r="Q249">
        <v>-1.6659139999999999E-2</v>
      </c>
      <c r="R249">
        <v>0.13858760000000001</v>
      </c>
      <c r="S249">
        <v>3.0175169999999998</v>
      </c>
      <c r="T249">
        <v>-0.15217259999999999</v>
      </c>
      <c r="U249">
        <v>6.640625E-2</v>
      </c>
      <c r="V249">
        <v>-0.1298367</v>
      </c>
      <c r="W249">
        <v>-3.2863189999999998E-3</v>
      </c>
      <c r="X249">
        <v>0.99152989999999996</v>
      </c>
      <c r="Y249">
        <v>-1.3165949999999999E-2</v>
      </c>
      <c r="Z249">
        <v>-1.13287E-4</v>
      </c>
      <c r="AA249">
        <v>0.9999133</v>
      </c>
      <c r="AB249">
        <v>14</v>
      </c>
      <c r="AC249">
        <v>22.817399999999999</v>
      </c>
      <c r="AD249">
        <v>-1.155019</v>
      </c>
      <c r="AE249">
        <v>0.50320000000004905</v>
      </c>
      <c r="AF249">
        <v>-0.30089992170718799</v>
      </c>
      <c r="AG249">
        <v>-1.155019</v>
      </c>
      <c r="AH249">
        <v>22.762655596632801</v>
      </c>
      <c r="AI249">
        <v>92.9045485558633</v>
      </c>
      <c r="AJ249">
        <v>90.757349747624502</v>
      </c>
      <c r="AK249">
        <v>22.7939268109767</v>
      </c>
    </row>
    <row r="250" spans="1:37" x14ac:dyDescent="0.2">
      <c r="A250" t="str">
        <f>"20200111155505593"</f>
        <v>20200111155505593</v>
      </c>
      <c r="B250" t="str">
        <f>"1578729305582866"</f>
        <v>1578729305582866</v>
      </c>
      <c r="C250" t="s">
        <v>37</v>
      </c>
      <c r="D250">
        <v>4.9504130000000002</v>
      </c>
      <c r="E250">
        <v>0.54374119999999904</v>
      </c>
      <c r="F250" t="s">
        <v>39</v>
      </c>
      <c r="G250">
        <v>-430.13119999999998</v>
      </c>
      <c r="H250">
        <v>-0.05</v>
      </c>
      <c r="I250">
        <v>368.0548</v>
      </c>
      <c r="J250">
        <v>-452.70659999999998</v>
      </c>
      <c r="K250">
        <v>1.1050180000000001</v>
      </c>
      <c r="L250">
        <v>367.52519999999998</v>
      </c>
      <c r="M250">
        <v>0.99986889999999995</v>
      </c>
      <c r="N250">
        <v>0</v>
      </c>
      <c r="O250">
        <v>8.9518940000000002E-3</v>
      </c>
      <c r="P250">
        <v>0.99001319999999904</v>
      </c>
      <c r="Q250">
        <v>-1.7448999999999999E-2</v>
      </c>
      <c r="R250">
        <v>0.1398915</v>
      </c>
      <c r="S250">
        <v>3.0172119999999998</v>
      </c>
      <c r="T250">
        <v>-0.15362590000000001</v>
      </c>
      <c r="U250">
        <v>7.0587159999999996E-2</v>
      </c>
      <c r="V250">
        <v>-0.131022</v>
      </c>
      <c r="W250">
        <v>-4.0795299999999996E-3</v>
      </c>
      <c r="X250">
        <v>0.991370999999999</v>
      </c>
      <c r="Y250">
        <v>-1.4430139999999999E-2</v>
      </c>
      <c r="Z250" s="1">
        <v>-8.8388649999999999E-5</v>
      </c>
      <c r="AA250">
        <v>0.99989589999999995</v>
      </c>
      <c r="AB250">
        <v>14</v>
      </c>
      <c r="AC250">
        <v>22.575399999999998</v>
      </c>
      <c r="AD250">
        <v>-1.1550180000000001</v>
      </c>
      <c r="AE250">
        <v>0.52960000000001595</v>
      </c>
      <c r="AF250">
        <v>-0.32661331087612799</v>
      </c>
      <c r="AG250">
        <v>-1.1550180000000001</v>
      </c>
      <c r="AH250">
        <v>22.520319402171001</v>
      </c>
      <c r="AI250">
        <v>92.935694691305599</v>
      </c>
      <c r="AJ250">
        <v>90.830905282322703</v>
      </c>
      <c r="AK250">
        <v>22.5522843368685</v>
      </c>
    </row>
    <row r="251" spans="1:37" x14ac:dyDescent="0.2">
      <c r="A251" t="str">
        <f>"20200111155505615"</f>
        <v>20200111155505615</v>
      </c>
      <c r="B251" t="str">
        <f>"1578729305613120"</f>
        <v>1578729305613120</v>
      </c>
      <c r="C251" t="s">
        <v>37</v>
      </c>
      <c r="D251">
        <v>4.9259449999999996</v>
      </c>
      <c r="E251">
        <v>0.54384350000000004</v>
      </c>
      <c r="F251" t="s">
        <v>39</v>
      </c>
      <c r="G251">
        <v>-430.39229999999998</v>
      </c>
      <c r="H251">
        <v>-0.05</v>
      </c>
      <c r="I251">
        <v>368.07909999999998</v>
      </c>
      <c r="J251">
        <v>-452.5643</v>
      </c>
      <c r="K251">
        <v>1.1050199999999999</v>
      </c>
      <c r="L251">
        <v>367.52670000000001</v>
      </c>
      <c r="M251">
        <v>0.99986749999999902</v>
      </c>
      <c r="N251">
        <v>0</v>
      </c>
      <c r="O251">
        <v>9.1084759999999904E-3</v>
      </c>
      <c r="P251">
        <v>0.98974039999999996</v>
      </c>
      <c r="Q251">
        <v>-1.656757E-2</v>
      </c>
      <c r="R251">
        <v>0.1419146</v>
      </c>
      <c r="S251">
        <v>3.0169069999999998</v>
      </c>
      <c r="T251">
        <v>-0.15615950000000001</v>
      </c>
      <c r="U251">
        <v>7.4890139999999994E-2</v>
      </c>
      <c r="V251">
        <v>-0.1328927</v>
      </c>
      <c r="W251">
        <v>-3.2056529999999902E-3</v>
      </c>
      <c r="X251">
        <v>0.99112520000000004</v>
      </c>
      <c r="Y251">
        <v>-1.569949E-2</v>
      </c>
      <c r="Z251" s="1">
        <v>-6.5124860000000001E-5</v>
      </c>
      <c r="AA251">
        <v>0.99987669999999995</v>
      </c>
      <c r="AB251">
        <v>14</v>
      </c>
      <c r="AC251">
        <v>22.172000000000001</v>
      </c>
      <c r="AD251">
        <v>-1.1550199999999999</v>
      </c>
      <c r="AE251">
        <v>0.55239999999997702</v>
      </c>
      <c r="AF251">
        <v>-0.34945781703777601</v>
      </c>
      <c r="AG251">
        <v>-1.1550199999999999</v>
      </c>
      <c r="AH251">
        <v>22.116131708133899</v>
      </c>
      <c r="AI251">
        <v>92.989196616961493</v>
      </c>
      <c r="AJ251">
        <v>90.905257401868894</v>
      </c>
      <c r="AK251">
        <v>22.1490287303487</v>
      </c>
    </row>
    <row r="252" spans="1:37" x14ac:dyDescent="0.2">
      <c r="A252" t="str">
        <f>"20200111155505627"</f>
        <v>20200111155505627</v>
      </c>
      <c r="B252" t="str">
        <f>"1578729305622879"</f>
        <v>1578729305622879</v>
      </c>
      <c r="C252" t="s">
        <v>37</v>
      </c>
      <c r="D252">
        <v>4.8811960000000001</v>
      </c>
      <c r="E252">
        <v>0.54389359999999998</v>
      </c>
      <c r="F252" t="s">
        <v>39</v>
      </c>
      <c r="G252">
        <v>-429.661</v>
      </c>
      <c r="H252">
        <v>-0.05</v>
      </c>
      <c r="I252">
        <v>368.13529999999997</v>
      </c>
      <c r="J252">
        <v>-452.48020000000002</v>
      </c>
      <c r="K252">
        <v>1.1050229999999901</v>
      </c>
      <c r="L252">
        <v>367.52749999999997</v>
      </c>
      <c r="M252">
        <v>0.99986679999999994</v>
      </c>
      <c r="N252">
        <v>0</v>
      </c>
      <c r="O252">
        <v>9.1988039999999997E-3</v>
      </c>
      <c r="P252">
        <v>0.98962419999999995</v>
      </c>
      <c r="Q252">
        <v>-1.6039210000000002E-2</v>
      </c>
      <c r="R252">
        <v>0.1427831</v>
      </c>
      <c r="S252">
        <v>3.0170590000000002</v>
      </c>
      <c r="T252">
        <v>-0.152150799999999</v>
      </c>
      <c r="U252">
        <v>8.0169679999999993E-2</v>
      </c>
      <c r="V252">
        <v>-0.13367219999999999</v>
      </c>
      <c r="W252">
        <v>-2.6858250000000002E-3</v>
      </c>
      <c r="X252">
        <v>0.99102190000000001</v>
      </c>
      <c r="Y252">
        <v>-1.735488E-2</v>
      </c>
      <c r="Z252" s="1">
        <v>-2.6294320000000001E-5</v>
      </c>
      <c r="AA252">
        <v>0.9998494</v>
      </c>
      <c r="AB252">
        <v>14</v>
      </c>
      <c r="AC252">
        <v>22.819199999999999</v>
      </c>
      <c r="AD252">
        <v>-1.1550229999999999</v>
      </c>
      <c r="AE252">
        <v>0.60779999999999701</v>
      </c>
      <c r="AF252">
        <v>-0.39682989104904898</v>
      </c>
      <c r="AG252">
        <v>-1.1550229999999999</v>
      </c>
      <c r="AH252">
        <v>22.765541743541</v>
      </c>
      <c r="AI252">
        <v>92.904003898465305</v>
      </c>
      <c r="AJ252">
        <v>90.998630992634702</v>
      </c>
      <c r="AK252">
        <v>22.798277193021999</v>
      </c>
    </row>
    <row r="253" spans="1:37" x14ac:dyDescent="0.2">
      <c r="A253" t="str">
        <f>"20200111155505642"</f>
        <v>20200111155505642</v>
      </c>
      <c r="B253" t="str">
        <f>"1578729305632639"</f>
        <v>1578729305632639</v>
      </c>
      <c r="C253" t="s">
        <v>37</v>
      </c>
      <c r="D253">
        <v>5.0604849999999999</v>
      </c>
      <c r="E253">
        <v>0.54378800000000005</v>
      </c>
      <c r="F253" t="s">
        <v>39</v>
      </c>
      <c r="G253">
        <v>-429.24520000000001</v>
      </c>
      <c r="H253">
        <v>-0.05</v>
      </c>
      <c r="I253">
        <v>368.1628</v>
      </c>
      <c r="J253">
        <v>-452.39589999999998</v>
      </c>
      <c r="K253">
        <v>1.10502099999999</v>
      </c>
      <c r="L253">
        <v>367.52839999999998</v>
      </c>
      <c r="M253">
        <v>0.99986609999999998</v>
      </c>
      <c r="N253">
        <v>0</v>
      </c>
      <c r="O253">
        <v>9.2886140000000006E-3</v>
      </c>
      <c r="P253">
        <v>0.9895389</v>
      </c>
      <c r="Q253">
        <v>-1.5441399999999999E-2</v>
      </c>
      <c r="R253">
        <v>0.14343839999999999</v>
      </c>
      <c r="S253">
        <v>3.0171199999999998</v>
      </c>
      <c r="T253">
        <v>-0.1499827</v>
      </c>
      <c r="U253">
        <v>8.2489010000000001E-2</v>
      </c>
      <c r="V253">
        <v>-0.1342399</v>
      </c>
      <c r="W253">
        <v>-2.0992989999999998E-3</v>
      </c>
      <c r="X253">
        <v>0.99094669999999896</v>
      </c>
      <c r="Y253">
        <v>-1.803215E-2</v>
      </c>
      <c r="Z253" s="1">
        <v>-1.3559449999999999E-5</v>
      </c>
      <c r="AA253">
        <v>0.99983739999999999</v>
      </c>
      <c r="AB253">
        <v>14</v>
      </c>
      <c r="AC253">
        <v>23.150699999999901</v>
      </c>
      <c r="AD253">
        <v>-1.1550209999999901</v>
      </c>
      <c r="AE253">
        <v>0.63440000000002705</v>
      </c>
      <c r="AF253">
        <v>-0.41827482448345699</v>
      </c>
      <c r="AG253">
        <v>-1.1550209999999901</v>
      </c>
      <c r="AH253">
        <v>23.098142668865499</v>
      </c>
      <c r="AI253">
        <v>92.862218499861896</v>
      </c>
      <c r="AJ253">
        <v>91.037432463451907</v>
      </c>
      <c r="AK253">
        <v>23.130785159403899</v>
      </c>
    </row>
    <row r="254" spans="1:37" x14ac:dyDescent="0.2">
      <c r="A254" t="str">
        <f>"20200111155505653"</f>
        <v>20200111155505653</v>
      </c>
      <c r="B254" t="str">
        <f>"1578729305643377"</f>
        <v>1578729305643377</v>
      </c>
      <c r="C254" t="s">
        <v>37</v>
      </c>
      <c r="D254">
        <v>4.8861239999999997</v>
      </c>
      <c r="E254">
        <v>0.54385909999999904</v>
      </c>
      <c r="F254" t="s">
        <v>39</v>
      </c>
      <c r="G254">
        <v>-428.69119999999998</v>
      </c>
      <c r="H254">
        <v>-0.05</v>
      </c>
      <c r="I254">
        <v>368.19659999999999</v>
      </c>
      <c r="J254">
        <v>-452.31779999999998</v>
      </c>
      <c r="K254">
        <v>1.1050180000000001</v>
      </c>
      <c r="L254">
        <v>367.52929999999998</v>
      </c>
      <c r="M254">
        <v>0.99986549999999996</v>
      </c>
      <c r="N254">
        <v>0</v>
      </c>
      <c r="O254">
        <v>9.3704050000000001E-3</v>
      </c>
      <c r="P254">
        <v>0.98949039999999999</v>
      </c>
      <c r="Q254">
        <v>-1.501307E-2</v>
      </c>
      <c r="R254">
        <v>0.14381729999999901</v>
      </c>
      <c r="S254">
        <v>3.0170590000000002</v>
      </c>
      <c r="T254">
        <v>-0.14700729999999901</v>
      </c>
      <c r="U254">
        <v>8.5052489999999994E-2</v>
      </c>
      <c r="V254">
        <v>-0.1345382</v>
      </c>
      <c r="W254">
        <v>-1.6863309999999999E-3</v>
      </c>
      <c r="X254">
        <v>0.99090699999999998</v>
      </c>
      <c r="Y254">
        <v>-1.8799389999999999E-2</v>
      </c>
      <c r="Z254" s="1">
        <v>1.4046379999999899E-6</v>
      </c>
      <c r="AA254">
        <v>0.99982329999999997</v>
      </c>
      <c r="AB254">
        <v>14</v>
      </c>
      <c r="AC254">
        <v>23.6266</v>
      </c>
      <c r="AD254">
        <v>-1.1550180000000001</v>
      </c>
      <c r="AE254">
        <v>0.667300000000011</v>
      </c>
      <c r="AF254">
        <v>-0.44479766587942399</v>
      </c>
      <c r="AG254">
        <v>-1.1550180000000001</v>
      </c>
      <c r="AH254">
        <v>23.575518350974999</v>
      </c>
      <c r="AI254">
        <v>92.804309001315801</v>
      </c>
      <c r="AJ254">
        <v>91.080867252451299</v>
      </c>
      <c r="AK254">
        <v>23.607985451136098</v>
      </c>
    </row>
    <row r="255" spans="1:37" x14ac:dyDescent="0.2">
      <c r="A255" t="str">
        <f>"20200111155505671"</f>
        <v>20200111155505671</v>
      </c>
      <c r="B255" t="str">
        <f>"1578729305662899"</f>
        <v>1578729305662899</v>
      </c>
      <c r="C255" t="s">
        <v>37</v>
      </c>
      <c r="D255">
        <v>4.9051210000000003</v>
      </c>
      <c r="E255">
        <v>0.54404929999999996</v>
      </c>
      <c r="F255" t="s">
        <v>39</v>
      </c>
      <c r="G255">
        <v>-428.35680000000002</v>
      </c>
      <c r="H255">
        <v>-0.05</v>
      </c>
      <c r="I255">
        <v>368.21030000000002</v>
      </c>
      <c r="J255">
        <v>-452.20769999999999</v>
      </c>
      <c r="K255">
        <v>1.1050149999999901</v>
      </c>
      <c r="L255">
        <v>367.53039999999999</v>
      </c>
      <c r="M255">
        <v>0.99986489999999995</v>
      </c>
      <c r="N255">
        <v>0</v>
      </c>
      <c r="O255">
        <v>9.4839739999999992E-3</v>
      </c>
      <c r="P255">
        <v>0.98946259999999997</v>
      </c>
      <c r="Q255">
        <v>-1.436808E-2</v>
      </c>
      <c r="R255">
        <v>0.1440757</v>
      </c>
      <c r="S255">
        <v>3.017242</v>
      </c>
      <c r="T255">
        <v>-0.14544360000000001</v>
      </c>
      <c r="U255">
        <v>8.575439E-2</v>
      </c>
      <c r="V255">
        <v>-0.13468429999999901</v>
      </c>
      <c r="W255">
        <v>-1.0677760000000001E-3</v>
      </c>
      <c r="X255">
        <v>0.99088799999999899</v>
      </c>
      <c r="Y255">
        <v>-1.891675E-2</v>
      </c>
      <c r="Z255" s="1">
        <v>-1.253647E-6</v>
      </c>
      <c r="AA255">
        <v>0.99982109999999902</v>
      </c>
      <c r="AB255">
        <v>14</v>
      </c>
      <c r="AC255">
        <v>23.8508999999999</v>
      </c>
      <c r="AD255">
        <v>-1.1550149999999999</v>
      </c>
      <c r="AE255">
        <v>0.67990000000003104</v>
      </c>
      <c r="AF255">
        <v>-0.45258720262274998</v>
      </c>
      <c r="AG255">
        <v>-1.1550149999999999</v>
      </c>
      <c r="AH255">
        <v>23.8005060684137</v>
      </c>
      <c r="AI255">
        <v>92.777826381724395</v>
      </c>
      <c r="AJ255">
        <v>91.089397492559101</v>
      </c>
      <c r="AK255">
        <v>23.832813177189198</v>
      </c>
    </row>
    <row r="256" spans="1:37" x14ac:dyDescent="0.2">
      <c r="A256" t="str">
        <f>"20200111155505684"</f>
        <v>20200111155505684</v>
      </c>
      <c r="B256" t="str">
        <f>"1578729305672656"</f>
        <v>1578729305672656</v>
      </c>
      <c r="C256" t="s">
        <v>37</v>
      </c>
      <c r="D256">
        <v>4.8870189999999996</v>
      </c>
      <c r="E256">
        <v>0.54403590000000002</v>
      </c>
      <c r="F256" t="s">
        <v>39</v>
      </c>
      <c r="G256">
        <v>-427.94040000000001</v>
      </c>
      <c r="H256">
        <v>-0.05</v>
      </c>
      <c r="I256">
        <v>368.21640000000002</v>
      </c>
      <c r="J256">
        <v>-452.12819999999999</v>
      </c>
      <c r="K256">
        <v>1.105011</v>
      </c>
      <c r="L256">
        <v>367.53120000000001</v>
      </c>
      <c r="M256">
        <v>0.99986439999999999</v>
      </c>
      <c r="N256">
        <v>0</v>
      </c>
      <c r="O256">
        <v>9.5651759999999999E-3</v>
      </c>
      <c r="P256">
        <v>0.98954730000000002</v>
      </c>
      <c r="Q256">
        <v>-1.4009829999999999E-2</v>
      </c>
      <c r="R256">
        <v>0.14352860000000001</v>
      </c>
      <c r="S256">
        <v>3.0174259999999999</v>
      </c>
      <c r="T256">
        <v>-0.14361579999999999</v>
      </c>
      <c r="U256">
        <v>8.5296629999999998E-2</v>
      </c>
      <c r="V256">
        <v>-0.13405590000000001</v>
      </c>
      <c r="W256">
        <v>-7.3205269999999999E-4</v>
      </c>
      <c r="X256">
        <v>0.99097349999999995</v>
      </c>
      <c r="Y256">
        <v>-1.868291E-2</v>
      </c>
      <c r="Z256" s="1">
        <v>-1.0660380000000001E-5</v>
      </c>
      <c r="AA256">
        <v>0.99982549999999903</v>
      </c>
      <c r="AB256">
        <v>14</v>
      </c>
      <c r="AC256">
        <v>24.1877999999999</v>
      </c>
      <c r="AD256">
        <v>-1.155011</v>
      </c>
      <c r="AE256">
        <v>0.68520000000000802</v>
      </c>
      <c r="AF256">
        <v>-0.452755733557061</v>
      </c>
      <c r="AG256">
        <v>-1.155011</v>
      </c>
      <c r="AH256">
        <v>24.138251183728499</v>
      </c>
      <c r="AI256">
        <v>92.739022238287106</v>
      </c>
      <c r="AJ256">
        <v>91.074558010460905</v>
      </c>
      <c r="AK256">
        <v>24.170109813014101</v>
      </c>
    </row>
    <row r="257" spans="1:37" x14ac:dyDescent="0.2">
      <c r="A257" t="str">
        <f>"20200111155505696"</f>
        <v>20200111155505696</v>
      </c>
      <c r="B257" t="str">
        <f>"1578729305693152"</f>
        <v>1578729305693152</v>
      </c>
      <c r="C257" t="s">
        <v>37</v>
      </c>
      <c r="D257">
        <v>4.9015769999999996</v>
      </c>
      <c r="E257">
        <v>0.54416929999999997</v>
      </c>
      <c r="F257" t="s">
        <v>39</v>
      </c>
      <c r="G257">
        <v>-427.66419999999999</v>
      </c>
      <c r="H257">
        <v>-0.05</v>
      </c>
      <c r="I257">
        <v>368.20890000000003</v>
      </c>
      <c r="J257">
        <v>-452.04610000000002</v>
      </c>
      <c r="K257">
        <v>1.10501</v>
      </c>
      <c r="L257">
        <v>367.53210000000001</v>
      </c>
      <c r="M257">
        <v>0.99986390000000003</v>
      </c>
      <c r="N257">
        <v>0</v>
      </c>
      <c r="O257">
        <v>9.6479119999999998E-3</v>
      </c>
      <c r="P257">
        <v>0.98963500000000004</v>
      </c>
      <c r="Q257">
        <v>-1.331018E-2</v>
      </c>
      <c r="R257">
        <v>0.14298749999999999</v>
      </c>
      <c r="S257">
        <v>3.0175169999999998</v>
      </c>
      <c r="T257">
        <v>-0.1424657</v>
      </c>
      <c r="U257">
        <v>8.3587649999999999E-2</v>
      </c>
      <c r="V257">
        <v>-0.1334322</v>
      </c>
      <c r="W257" s="1">
        <v>-6.0663089999999998E-5</v>
      </c>
      <c r="X257">
        <v>0.99105789999999905</v>
      </c>
      <c r="Y257">
        <v>-1.803449E-2</v>
      </c>
      <c r="Z257" s="1">
        <v>-2.9773770000000001E-5</v>
      </c>
      <c r="AA257">
        <v>0.99983729999999904</v>
      </c>
      <c r="AB257">
        <v>14</v>
      </c>
      <c r="AC257">
        <v>24.381900000000002</v>
      </c>
      <c r="AD257">
        <v>-1.1550100000000001</v>
      </c>
      <c r="AE257">
        <v>0.67680000000001395</v>
      </c>
      <c r="AF257">
        <v>-0.44052519279152602</v>
      </c>
      <c r="AG257">
        <v>-1.1550100000000001</v>
      </c>
      <c r="AH257">
        <v>24.3327329871824</v>
      </c>
      <c r="AI257">
        <v>92.717193539167795</v>
      </c>
      <c r="AJ257">
        <v>91.0371821886162</v>
      </c>
      <c r="AK257">
        <v>24.3641130593974</v>
      </c>
    </row>
    <row r="258" spans="1:37" x14ac:dyDescent="0.2">
      <c r="A258" t="str">
        <f>"20200111155505709"</f>
        <v>20200111155505709</v>
      </c>
      <c r="B258" t="str">
        <f>"1578729305702911"</f>
        <v>1578729305702911</v>
      </c>
      <c r="C258" t="s">
        <v>37</v>
      </c>
      <c r="D258">
        <v>4.8395929999999998</v>
      </c>
      <c r="E258">
        <v>0.5442399</v>
      </c>
      <c r="F258" t="s">
        <v>39</v>
      </c>
      <c r="G258">
        <v>-427.03980000000001</v>
      </c>
      <c r="H258">
        <v>-0.05</v>
      </c>
      <c r="I258">
        <v>368.20499999999998</v>
      </c>
      <c r="J258">
        <v>-451.96749999999997</v>
      </c>
      <c r="K258">
        <v>1.1050059999999999</v>
      </c>
      <c r="L258">
        <v>367.53300000000002</v>
      </c>
      <c r="M258">
        <v>0.99986369999999902</v>
      </c>
      <c r="N258">
        <v>0</v>
      </c>
      <c r="O258">
        <v>9.7260409999999995E-3</v>
      </c>
      <c r="P258">
        <v>0.98971169999999997</v>
      </c>
      <c r="Q258">
        <v>-1.312031E-2</v>
      </c>
      <c r="R258">
        <v>0.14247190000000001</v>
      </c>
      <c r="S258">
        <v>3.017792</v>
      </c>
      <c r="T258">
        <v>-0.13938809999999999</v>
      </c>
      <c r="U258">
        <v>8.1207280000000007E-2</v>
      </c>
      <c r="V258">
        <v>-0.13283809999999999</v>
      </c>
      <c r="W258" s="1">
        <v>8.7734080000000003E-5</v>
      </c>
      <c r="X258">
        <v>0.99113770000000001</v>
      </c>
      <c r="Y258">
        <v>-1.7167180000000001E-2</v>
      </c>
      <c r="Z258" s="1">
        <v>-5.2750690000000002E-5</v>
      </c>
      <c r="AA258">
        <v>0.99985270000000004</v>
      </c>
      <c r="AB258">
        <v>14</v>
      </c>
      <c r="AC258">
        <v>24.927699999999898</v>
      </c>
      <c r="AD258">
        <v>-1.155006</v>
      </c>
      <c r="AE258">
        <v>0.67199999999996796</v>
      </c>
      <c r="AF258">
        <v>-0.42857936572344302</v>
      </c>
      <c r="AG258">
        <v>-1.155006</v>
      </c>
      <c r="AH258">
        <v>24.879682766372198</v>
      </c>
      <c r="AI258">
        <v>92.657577881021894</v>
      </c>
      <c r="AJ258">
        <v>90.986883981943507</v>
      </c>
      <c r="AK258">
        <v>24.910165268180702</v>
      </c>
    </row>
    <row r="259" spans="1:37" x14ac:dyDescent="0.2">
      <c r="A259" t="str">
        <f>"20200111155505724"</f>
        <v>20200111155505724</v>
      </c>
      <c r="B259" t="str">
        <f>"1578729305712671"</f>
        <v>1578729305712671</v>
      </c>
      <c r="C259" t="s">
        <v>37</v>
      </c>
      <c r="D259">
        <v>4.9193069999999999</v>
      </c>
      <c r="E259">
        <v>0.54431499999999999</v>
      </c>
      <c r="F259" t="s">
        <v>39</v>
      </c>
      <c r="G259">
        <v>-426.88290000000001</v>
      </c>
      <c r="H259">
        <v>-0.05</v>
      </c>
      <c r="I259">
        <v>368.18920000000003</v>
      </c>
      <c r="J259">
        <v>-451.8698</v>
      </c>
      <c r="K259">
        <v>1.1049949999999999</v>
      </c>
      <c r="L259">
        <v>367.53399999999999</v>
      </c>
      <c r="M259">
        <v>0.99986390000000003</v>
      </c>
      <c r="N259">
        <v>0</v>
      </c>
      <c r="O259">
        <v>9.8217649999999997E-3</v>
      </c>
      <c r="P259">
        <v>0.98985059999999903</v>
      </c>
      <c r="Q259">
        <v>-1.2221920000000001E-2</v>
      </c>
      <c r="R259">
        <v>0.1415854</v>
      </c>
      <c r="S259">
        <v>3.017944</v>
      </c>
      <c r="T259">
        <v>-0.1389599</v>
      </c>
      <c r="U259">
        <v>7.8948969999999993E-2</v>
      </c>
      <c r="V259">
        <v>-0.1318559</v>
      </c>
      <c r="W259">
        <v>9.1821350000000003E-4</v>
      </c>
      <c r="X259">
        <v>0.9912685</v>
      </c>
      <c r="Y259">
        <v>-1.6323500000000001E-2</v>
      </c>
      <c r="Z259" s="1">
        <v>-7.6401020000000004E-5</v>
      </c>
      <c r="AA259">
        <v>0.99986679999999994</v>
      </c>
      <c r="AB259">
        <v>14</v>
      </c>
      <c r="AC259">
        <v>24.986899999999899</v>
      </c>
      <c r="AD259">
        <v>-1.154995</v>
      </c>
      <c r="AE259">
        <v>0.65520000000003598</v>
      </c>
      <c r="AF259">
        <v>-0.40885837568683298</v>
      </c>
      <c r="AG259">
        <v>-1.154995</v>
      </c>
      <c r="AH259">
        <v>24.9388810382648</v>
      </c>
      <c r="AI259">
        <v>92.651290298371194</v>
      </c>
      <c r="AJ259">
        <v>90.939246667547096</v>
      </c>
      <c r="AK259">
        <v>24.9689600516745</v>
      </c>
    </row>
    <row r="260" spans="1:37" x14ac:dyDescent="0.2">
      <c r="A260" t="str">
        <f>"20200111155505739"</f>
        <v>20200111155505739</v>
      </c>
      <c r="B260" t="str">
        <f>"1578729305733169"</f>
        <v>1578729305733169</v>
      </c>
      <c r="C260" t="s">
        <v>37</v>
      </c>
      <c r="D260">
        <v>4.8096940000000004</v>
      </c>
      <c r="E260">
        <v>0.5446029</v>
      </c>
      <c r="F260" t="s">
        <v>39</v>
      </c>
      <c r="G260">
        <v>-426.19920000000002</v>
      </c>
      <c r="H260">
        <v>-0.05</v>
      </c>
      <c r="I260">
        <v>368.1764</v>
      </c>
      <c r="J260">
        <v>-451.77890000000002</v>
      </c>
      <c r="K260">
        <v>1.1049850000000001</v>
      </c>
      <c r="L260">
        <v>367.53500000000003</v>
      </c>
      <c r="M260">
        <v>0.99986409999999903</v>
      </c>
      <c r="N260">
        <v>0</v>
      </c>
      <c r="O260">
        <v>9.9097330000000004E-3</v>
      </c>
      <c r="P260">
        <v>0.99011199999999999</v>
      </c>
      <c r="Q260">
        <v>-1.066427E-2</v>
      </c>
      <c r="R260">
        <v>0.1398739</v>
      </c>
      <c r="S260">
        <v>3.0183110000000002</v>
      </c>
      <c r="T260">
        <v>-0.1358029</v>
      </c>
      <c r="U260">
        <v>7.5531009999999996E-2</v>
      </c>
      <c r="V260">
        <v>-0.130055</v>
      </c>
      <c r="W260">
        <v>2.3930689999999998E-3</v>
      </c>
      <c r="X260">
        <v>0.99150389999999999</v>
      </c>
      <c r="Y260">
        <v>-1.510246E-2</v>
      </c>
      <c r="Z260">
        <v>-1.060652E-4</v>
      </c>
      <c r="AA260">
        <v>0.99988589999999999</v>
      </c>
      <c r="AB260">
        <v>14</v>
      </c>
      <c r="AC260">
        <v>25.579699999999999</v>
      </c>
      <c r="AD260">
        <v>-1.1549849999999999</v>
      </c>
      <c r="AE260">
        <v>0.64139999999997599</v>
      </c>
      <c r="AF260">
        <v>-0.38706986109750102</v>
      </c>
      <c r="AG260">
        <v>-1.1549849999999999</v>
      </c>
      <c r="AH260">
        <v>25.532778423597701</v>
      </c>
      <c r="AI260">
        <v>92.589733700191502</v>
      </c>
      <c r="AJ260">
        <v>90.868521645490105</v>
      </c>
      <c r="AK260">
        <v>25.5618189387244</v>
      </c>
    </row>
    <row r="261" spans="1:37" x14ac:dyDescent="0.2">
      <c r="A261" t="str">
        <f>"20200111155505774"</f>
        <v>20200111155505774</v>
      </c>
      <c r="B261" t="str">
        <f>"1578729305762447"</f>
        <v>1578729305762447</v>
      </c>
      <c r="C261" t="s">
        <v>37</v>
      </c>
      <c r="D261">
        <v>4.7913739999999896</v>
      </c>
      <c r="E261">
        <v>0.54519059999999997</v>
      </c>
      <c r="F261" t="s">
        <v>39</v>
      </c>
      <c r="G261">
        <v>-424.57330000000002</v>
      </c>
      <c r="H261">
        <v>-0.05</v>
      </c>
      <c r="I261">
        <v>368.15050000000002</v>
      </c>
      <c r="J261">
        <v>-451.55309999999997</v>
      </c>
      <c r="K261">
        <v>1.104927</v>
      </c>
      <c r="L261">
        <v>367.5376</v>
      </c>
      <c r="M261">
        <v>0.99986609999999998</v>
      </c>
      <c r="N261">
        <v>0</v>
      </c>
      <c r="O261">
        <v>1.013565E-2</v>
      </c>
      <c r="P261">
        <v>0.99032960000000003</v>
      </c>
      <c r="Q261">
        <v>-8.6301250000000006E-3</v>
      </c>
      <c r="R261">
        <v>0.1384668</v>
      </c>
      <c r="S261">
        <v>3.01892099999999</v>
      </c>
      <c r="T261">
        <v>-0.1281649</v>
      </c>
      <c r="U261">
        <v>6.8298339999999999E-2</v>
      </c>
      <c r="V261">
        <v>-0.12842210000000001</v>
      </c>
      <c r="W261">
        <v>4.1049049999999998E-3</v>
      </c>
      <c r="X261">
        <v>0.99171109999999896</v>
      </c>
      <c r="Y261">
        <v>-1.248048E-2</v>
      </c>
      <c r="Z261">
        <v>-1.6529739999999999E-4</v>
      </c>
      <c r="AA261">
        <v>0.99992209999999904</v>
      </c>
      <c r="AB261">
        <v>14</v>
      </c>
      <c r="AC261">
        <v>26.979799999999901</v>
      </c>
      <c r="AD261">
        <v>-1.154927</v>
      </c>
      <c r="AE261">
        <v>0.61290000000002398</v>
      </c>
      <c r="AF261">
        <v>-0.33876767819387699</v>
      </c>
      <c r="AG261">
        <v>-1.154927</v>
      </c>
      <c r="AH261">
        <v>26.935294488602501</v>
      </c>
      <c r="AI261">
        <v>92.455020906613697</v>
      </c>
      <c r="AJ261">
        <v>90.720576300285202</v>
      </c>
      <c r="AK261">
        <v>26.962171817249001</v>
      </c>
    </row>
    <row r="262" spans="1:37" x14ac:dyDescent="0.2">
      <c r="A262" t="str">
        <f>"20200111155505787"</f>
        <v>20200111155505787</v>
      </c>
      <c r="B262" t="str">
        <f>"1578729305782944"</f>
        <v>1578729305782944</v>
      </c>
      <c r="C262" t="s">
        <v>37</v>
      </c>
      <c r="D262">
        <v>4.7802150000000001</v>
      </c>
      <c r="E262">
        <v>0.54554820000000004</v>
      </c>
      <c r="F262" t="s">
        <v>39</v>
      </c>
      <c r="G262">
        <v>-422.45400000000001</v>
      </c>
      <c r="H262">
        <v>-0.05</v>
      </c>
      <c r="I262">
        <v>368.1053</v>
      </c>
      <c r="J262">
        <v>-451.47390000000001</v>
      </c>
      <c r="K262">
        <v>1.1049020000000001</v>
      </c>
      <c r="L262">
        <v>367.5385</v>
      </c>
      <c r="M262">
        <v>0.99986699999999995</v>
      </c>
      <c r="N262">
        <v>0</v>
      </c>
      <c r="O262">
        <v>1.021649E-2</v>
      </c>
      <c r="P262">
        <v>0.99035720000000005</v>
      </c>
      <c r="Q262">
        <v>-8.0383809999999903E-3</v>
      </c>
      <c r="R262">
        <v>0.13830529999999999</v>
      </c>
      <c r="S262">
        <v>3.0200499999999999</v>
      </c>
      <c r="T262">
        <v>-0.1198642</v>
      </c>
      <c r="U262">
        <v>5.892944E-2</v>
      </c>
      <c r="V262">
        <v>-0.12817970000000001</v>
      </c>
      <c r="W262">
        <v>4.5636180000000002E-3</v>
      </c>
      <c r="X262">
        <v>0.99174050000000002</v>
      </c>
      <c r="Y262">
        <v>-9.293361E-3</v>
      </c>
      <c r="Z262">
        <v>-2.2097229999999999E-4</v>
      </c>
      <c r="AA262">
        <v>0.99995679999999998</v>
      </c>
      <c r="AB262">
        <v>14</v>
      </c>
      <c r="AC262">
        <v>29.0199</v>
      </c>
      <c r="AD262">
        <v>-1.1549020000000001</v>
      </c>
      <c r="AE262">
        <v>0.56679999999999997</v>
      </c>
      <c r="AF262">
        <v>-0.269837732333369</v>
      </c>
      <c r="AG262">
        <v>-1.1549020000000001</v>
      </c>
      <c r="AH262">
        <v>28.978298262826399</v>
      </c>
      <c r="AI262">
        <v>92.282161117652393</v>
      </c>
      <c r="AJ262">
        <v>90.533506703780802</v>
      </c>
      <c r="AK262">
        <v>29.002558184421002</v>
      </c>
    </row>
    <row r="263" spans="1:37" x14ac:dyDescent="0.2">
      <c r="A263" t="str">
        <f>"20200111155505805"</f>
        <v>20200111155505805</v>
      </c>
      <c r="B263" t="str">
        <f>"1578729305792703"</f>
        <v>1578729305792703</v>
      </c>
      <c r="C263" t="s">
        <v>37</v>
      </c>
      <c r="D263">
        <v>4.7451210000000001</v>
      </c>
      <c r="E263">
        <v>0.54579730000000004</v>
      </c>
      <c r="F263" t="s">
        <v>39</v>
      </c>
      <c r="G263">
        <v>-421.57709999999997</v>
      </c>
      <c r="H263">
        <v>-0.05</v>
      </c>
      <c r="I263">
        <v>368.09010000000001</v>
      </c>
      <c r="J263">
        <v>-451.35890000000001</v>
      </c>
      <c r="K263">
        <v>1.10486</v>
      </c>
      <c r="L263">
        <v>367.53980000000001</v>
      </c>
      <c r="M263">
        <v>0.99986849999999905</v>
      </c>
      <c r="N263">
        <v>0</v>
      </c>
      <c r="O263">
        <v>1.033422E-2</v>
      </c>
      <c r="P263">
        <v>0.99030509999999905</v>
      </c>
      <c r="Q263">
        <v>-6.9585699999999999E-3</v>
      </c>
      <c r="R263">
        <v>0.13873469999999999</v>
      </c>
      <c r="S263">
        <v>3.0204469999999999</v>
      </c>
      <c r="T263">
        <v>-0.1166787</v>
      </c>
      <c r="U263">
        <v>5.57251E-2</v>
      </c>
      <c r="V263">
        <v>-0.1284931</v>
      </c>
      <c r="W263">
        <v>5.4333580000000001E-3</v>
      </c>
      <c r="X263">
        <v>0.99169549999999995</v>
      </c>
      <c r="Y263">
        <v>-8.1135559999999992E-3</v>
      </c>
      <c r="Z263">
        <v>-2.4240040000000001E-4</v>
      </c>
      <c r="AA263">
        <v>0.99996700000000005</v>
      </c>
      <c r="AB263">
        <v>14</v>
      </c>
      <c r="AC263">
        <v>29.7818</v>
      </c>
      <c r="AD263">
        <v>-1.15486</v>
      </c>
      <c r="AE263">
        <v>0.55029999999999202</v>
      </c>
      <c r="AF263">
        <v>-0.24211096445264399</v>
      </c>
      <c r="AG263">
        <v>-1.15486</v>
      </c>
      <c r="AH263">
        <v>29.7411906736607</v>
      </c>
      <c r="AI263">
        <v>92.223622767473401</v>
      </c>
      <c r="AJ263">
        <v>90.466411387951794</v>
      </c>
      <c r="AK263">
        <v>29.764588725963499</v>
      </c>
    </row>
    <row r="264" spans="1:37" x14ac:dyDescent="0.2">
      <c r="A264" t="str">
        <f>"20200111155505817"</f>
        <v>20200111155505817</v>
      </c>
      <c r="B264" t="str">
        <f>"1578729305813199"</f>
        <v>1578729305813199</v>
      </c>
      <c r="C264" t="s">
        <v>37</v>
      </c>
      <c r="D264">
        <v>4.8394560000000002</v>
      </c>
      <c r="E264">
        <v>0.54586449999999997</v>
      </c>
      <c r="F264" t="s">
        <v>39</v>
      </c>
      <c r="G264">
        <v>-420.44819999999999</v>
      </c>
      <c r="H264">
        <v>-0.05</v>
      </c>
      <c r="I264">
        <v>368.10660000000001</v>
      </c>
      <c r="J264">
        <v>-451.27850000000001</v>
      </c>
      <c r="K264">
        <v>1.1048260000000001</v>
      </c>
      <c r="L264">
        <v>367.54079999999999</v>
      </c>
      <c r="M264">
        <v>0.99986960000000003</v>
      </c>
      <c r="N264">
        <v>0</v>
      </c>
      <c r="O264">
        <v>1.0416679999999999E-2</v>
      </c>
      <c r="P264">
        <v>0.99020280000000005</v>
      </c>
      <c r="Q264">
        <v>-6.8067619999999896E-3</v>
      </c>
      <c r="R264">
        <v>0.13947100000000001</v>
      </c>
      <c r="S264">
        <v>3.0207820000000001</v>
      </c>
      <c r="T264">
        <v>-0.1128598</v>
      </c>
      <c r="U264">
        <v>5.5389399999999998E-2</v>
      </c>
      <c r="V264">
        <v>-0.1291485</v>
      </c>
      <c r="W264">
        <v>5.4252519999999898E-3</v>
      </c>
      <c r="X264">
        <v>0.991610399999999</v>
      </c>
      <c r="Y264">
        <v>-7.9180529999999995E-3</v>
      </c>
      <c r="Z264">
        <v>-2.411762E-4</v>
      </c>
      <c r="AA264">
        <v>0.99996859999999999</v>
      </c>
      <c r="AB264">
        <v>14</v>
      </c>
      <c r="AC264">
        <v>30.830300000000001</v>
      </c>
      <c r="AD264">
        <v>-1.1548259999999999</v>
      </c>
      <c r="AE264">
        <v>0.56580000000002395</v>
      </c>
      <c r="AF264">
        <v>-0.24425288682084401</v>
      </c>
      <c r="AG264">
        <v>-1.1548259999999999</v>
      </c>
      <c r="AH264">
        <v>30.791333572744101</v>
      </c>
      <c r="AI264">
        <v>92.147798483564003</v>
      </c>
      <c r="AJ264">
        <v>90.4544904165747</v>
      </c>
      <c r="AK264">
        <v>30.813949856371799</v>
      </c>
    </row>
    <row r="265" spans="1:37" x14ac:dyDescent="0.2">
      <c r="A265" t="str">
        <f>"20200111155505830"</f>
        <v>20200111155505830</v>
      </c>
      <c r="B265" t="str">
        <f>"1578729305822960"</f>
        <v>1578729305822960</v>
      </c>
      <c r="C265" t="s">
        <v>37</v>
      </c>
      <c r="D265">
        <v>4.8492329999999999</v>
      </c>
      <c r="E265">
        <v>0.54594419999999899</v>
      </c>
      <c r="F265" t="s">
        <v>39</v>
      </c>
      <c r="G265">
        <v>-420.2466</v>
      </c>
      <c r="H265">
        <v>-0.05</v>
      </c>
      <c r="I265">
        <v>368.12819999999999</v>
      </c>
      <c r="J265">
        <v>-451.19529999999997</v>
      </c>
      <c r="K265">
        <v>1.1047940000000001</v>
      </c>
      <c r="L265">
        <v>367.54169999999999</v>
      </c>
      <c r="M265">
        <v>0.99987099999999995</v>
      </c>
      <c r="N265">
        <v>0</v>
      </c>
      <c r="O265">
        <v>1.05002999999999E-2</v>
      </c>
      <c r="P265">
        <v>0.99011740000000004</v>
      </c>
      <c r="Q265">
        <v>-7.0195479999999996E-3</v>
      </c>
      <c r="R265">
        <v>0.14006649999999901</v>
      </c>
      <c r="S265">
        <v>3.0208439999999999</v>
      </c>
      <c r="T265">
        <v>-0.1124183</v>
      </c>
      <c r="U265">
        <v>5.7189940000000002E-2</v>
      </c>
      <c r="V265">
        <v>-0.12966169999999999</v>
      </c>
      <c r="W265">
        <v>5.0313900000000002E-3</v>
      </c>
      <c r="X265">
        <v>0.99154549999999997</v>
      </c>
      <c r="Y265">
        <v>-8.4295849999999999E-3</v>
      </c>
      <c r="Z265">
        <v>-2.3382200000000001E-4</v>
      </c>
      <c r="AA265">
        <v>0.99996439999999998</v>
      </c>
      <c r="AB265">
        <v>14</v>
      </c>
      <c r="AC265">
        <v>30.948699999999899</v>
      </c>
      <c r="AD265">
        <v>-1.1547940000000001</v>
      </c>
      <c r="AE265">
        <v>0.58650000000000002</v>
      </c>
      <c r="AF265">
        <v>-0.26110961572075397</v>
      </c>
      <c r="AG265">
        <v>-1.1547940000000001</v>
      </c>
      <c r="AH265">
        <v>30.910132562327998</v>
      </c>
      <c r="AI265">
        <v>92.139483147860801</v>
      </c>
      <c r="AJ265">
        <v>90.483987673139495</v>
      </c>
      <c r="AK265">
        <v>30.932798490187501</v>
      </c>
    </row>
    <row r="266" spans="1:37" x14ac:dyDescent="0.2">
      <c r="A266" t="str">
        <f>"20200111155505844"</f>
        <v>20200111155505844</v>
      </c>
      <c r="B266" t="str">
        <f>"1578729305832719"</f>
        <v>1578729305832719</v>
      </c>
      <c r="C266" t="s">
        <v>37</v>
      </c>
      <c r="D266">
        <v>4.8179699999999999</v>
      </c>
      <c r="E266">
        <v>0.5460545</v>
      </c>
      <c r="F266" t="s">
        <v>39</v>
      </c>
      <c r="G266">
        <v>-420.34570000000002</v>
      </c>
      <c r="H266">
        <v>-0.05</v>
      </c>
      <c r="I266">
        <v>368.1395</v>
      </c>
      <c r="J266">
        <v>-451.10629999999998</v>
      </c>
      <c r="K266">
        <v>1.1047559999999901</v>
      </c>
      <c r="L266">
        <v>367.5428</v>
      </c>
      <c r="M266">
        <v>0.99987239999999999</v>
      </c>
      <c r="N266">
        <v>0</v>
      </c>
      <c r="O266">
        <v>1.0588409999999999E-2</v>
      </c>
      <c r="P266">
        <v>0.98994570000000004</v>
      </c>
      <c r="Q266">
        <v>-8.7477449999999995E-3</v>
      </c>
      <c r="R266">
        <v>0.1411771</v>
      </c>
      <c r="S266">
        <v>3.0208439999999999</v>
      </c>
      <c r="T266">
        <v>-0.11307929999999999</v>
      </c>
      <c r="U266">
        <v>5.8532710000000002E-2</v>
      </c>
      <c r="V266">
        <v>-0.13068679999999999</v>
      </c>
      <c r="W266">
        <v>3.10164599999999E-3</v>
      </c>
      <c r="X266">
        <v>0.99141880000000004</v>
      </c>
      <c r="Y266">
        <v>-8.7856380000000001E-3</v>
      </c>
      <c r="Z266">
        <v>-2.318295E-4</v>
      </c>
      <c r="AA266">
        <v>0.9999614</v>
      </c>
      <c r="AB266">
        <v>14</v>
      </c>
      <c r="AC266">
        <v>30.760599999999901</v>
      </c>
      <c r="AD266">
        <v>-1.1547559999999999</v>
      </c>
      <c r="AE266">
        <v>0.59669999999999801</v>
      </c>
      <c r="AF266">
        <v>-0.270556258086525</v>
      </c>
      <c r="AG266">
        <v>-1.1547559999999999</v>
      </c>
      <c r="AH266">
        <v>30.721915054452801</v>
      </c>
      <c r="AI266">
        <v>92.152500946184702</v>
      </c>
      <c r="AJ266">
        <v>90.504569163304495</v>
      </c>
      <c r="AK266">
        <v>30.744799994817701</v>
      </c>
    </row>
    <row r="267" spans="1:37" x14ac:dyDescent="0.2">
      <c r="A267" t="str">
        <f>"20200111155505861"</f>
        <v>20200111155505861</v>
      </c>
      <c r="B267" t="str">
        <f>"1578729305853219"</f>
        <v>1578729305853219</v>
      </c>
      <c r="C267" t="s">
        <v>37</v>
      </c>
      <c r="D267">
        <v>5.0147430000000002</v>
      </c>
      <c r="E267">
        <v>0.54619419999999996</v>
      </c>
      <c r="F267" t="s">
        <v>39</v>
      </c>
      <c r="G267">
        <v>-421.64319999999998</v>
      </c>
      <c r="H267">
        <v>-0.05</v>
      </c>
      <c r="I267">
        <v>368.13810000000001</v>
      </c>
      <c r="J267">
        <v>-450.99950000000001</v>
      </c>
      <c r="K267">
        <v>1.1047039999999999</v>
      </c>
      <c r="L267">
        <v>367.54399999999998</v>
      </c>
      <c r="M267">
        <v>0.99987420000000005</v>
      </c>
      <c r="N267">
        <v>0</v>
      </c>
      <c r="O267">
        <v>1.069031E-2</v>
      </c>
      <c r="P267">
        <v>0.98963919999999905</v>
      </c>
      <c r="Q267">
        <v>-1.1932359999999999E-2</v>
      </c>
      <c r="R267">
        <v>0.14308109999999999</v>
      </c>
      <c r="S267">
        <v>3.020721</v>
      </c>
      <c r="T267">
        <v>-0.118391899999999</v>
      </c>
      <c r="U267">
        <v>6.1035159999999998E-2</v>
      </c>
      <c r="V267">
        <v>-0.13249269999999999</v>
      </c>
      <c r="W267">
        <v>-3.3325489999999999E-4</v>
      </c>
      <c r="X267">
        <v>0.99118390000000001</v>
      </c>
      <c r="Y267">
        <v>-9.5122509999999993E-3</v>
      </c>
      <c r="Z267">
        <v>-2.3247869999999999E-4</v>
      </c>
      <c r="AA267">
        <v>0.99995480000000003</v>
      </c>
      <c r="AB267">
        <v>14</v>
      </c>
      <c r="AC267">
        <v>29.356300000000001</v>
      </c>
      <c r="AD267">
        <v>-1.154704</v>
      </c>
      <c r="AE267">
        <v>0.59409999999996899</v>
      </c>
      <c r="AF267">
        <v>-0.27978385585474402</v>
      </c>
      <c r="AG267">
        <v>-1.154704</v>
      </c>
      <c r="AH267">
        <v>29.3156360377901</v>
      </c>
      <c r="AI267">
        <v>92.255536071451999</v>
      </c>
      <c r="AJ267">
        <v>90.546805377575197</v>
      </c>
      <c r="AK267">
        <v>29.339702395112901</v>
      </c>
    </row>
    <row r="268" spans="1:37" x14ac:dyDescent="0.2">
      <c r="A268" t="str">
        <f>"20200111155505874"</f>
        <v>20200111155505874</v>
      </c>
      <c r="B268" t="str">
        <f>"1578729305872736"</f>
        <v>1578729305872736</v>
      </c>
      <c r="C268" t="s">
        <v>37</v>
      </c>
      <c r="D268">
        <v>4.8120919999999998</v>
      </c>
      <c r="E268">
        <v>0.54646380000000006</v>
      </c>
      <c r="F268" t="s">
        <v>39</v>
      </c>
      <c r="G268">
        <v>-423.61939999999998</v>
      </c>
      <c r="H268">
        <v>-0.05</v>
      </c>
      <c r="I268">
        <v>368.13799999999998</v>
      </c>
      <c r="J268">
        <v>-450.90679999999998</v>
      </c>
      <c r="K268">
        <v>1.10467</v>
      </c>
      <c r="L268">
        <v>367.54520000000002</v>
      </c>
      <c r="M268">
        <v>0.99987599999999999</v>
      </c>
      <c r="N268">
        <v>0</v>
      </c>
      <c r="O268">
        <v>1.077387E-2</v>
      </c>
      <c r="P268">
        <v>0.98945459999999996</v>
      </c>
      <c r="Q268">
        <v>-1.240058E-2</v>
      </c>
      <c r="R268">
        <v>0.14431289999999999</v>
      </c>
      <c r="S268">
        <v>3.0203859999999998</v>
      </c>
      <c r="T268">
        <v>-0.12737879999999999</v>
      </c>
      <c r="U268">
        <v>6.5521239999999994E-2</v>
      </c>
      <c r="V268">
        <v>-0.13364379999999901</v>
      </c>
      <c r="W268">
        <v>-1.01958E-3</v>
      </c>
      <c r="X268">
        <v>0.99102889999999999</v>
      </c>
      <c r="Y268">
        <v>-1.0914480000000001E-2</v>
      </c>
      <c r="Z268">
        <v>-2.2410250000000001E-4</v>
      </c>
      <c r="AA268">
        <v>0.99994039999999995</v>
      </c>
      <c r="AB268">
        <v>14</v>
      </c>
      <c r="AC268">
        <v>27.287399999999899</v>
      </c>
      <c r="AD268">
        <v>-1.1546700000000001</v>
      </c>
      <c r="AE268">
        <v>0.59280000000001098</v>
      </c>
      <c r="AF268">
        <v>-0.29822156250144499</v>
      </c>
      <c r="AG268">
        <v>-1.1546700000000001</v>
      </c>
      <c r="AH268">
        <v>27.2434449063024</v>
      </c>
      <c r="AI268">
        <v>92.426792577799702</v>
      </c>
      <c r="AJ268">
        <v>90.627165709470404</v>
      </c>
      <c r="AK268">
        <v>27.269534086081801</v>
      </c>
    </row>
    <row r="269" spans="1:37" x14ac:dyDescent="0.2">
      <c r="A269" t="str">
        <f>"20200111155505888"</f>
        <v>20200111155505888</v>
      </c>
      <c r="B269" t="str">
        <f>"1578729305882495"</f>
        <v>1578729305882495</v>
      </c>
      <c r="C269" t="s">
        <v>37</v>
      </c>
      <c r="D269">
        <v>4.805688</v>
      </c>
      <c r="E269">
        <v>0.54660169999999997</v>
      </c>
      <c r="F269" t="s">
        <v>39</v>
      </c>
      <c r="G269">
        <v>-423.6232</v>
      </c>
      <c r="H269">
        <v>-0.05</v>
      </c>
      <c r="I269">
        <v>368.1524</v>
      </c>
      <c r="J269">
        <v>-450.82089999999999</v>
      </c>
      <c r="K269">
        <v>1.1046389999999999</v>
      </c>
      <c r="L269">
        <v>367.5462</v>
      </c>
      <c r="M269">
        <v>0.99987760000000003</v>
      </c>
      <c r="N269">
        <v>0</v>
      </c>
      <c r="O269">
        <v>1.0845219999999999E-2</v>
      </c>
      <c r="P269">
        <v>0.98923249999999996</v>
      </c>
      <c r="Q269">
        <v>-1.2487450000000001E-2</v>
      </c>
      <c r="R269">
        <v>0.14581939999999999</v>
      </c>
      <c r="S269">
        <v>3.0205690000000001</v>
      </c>
      <c r="T269">
        <v>-0.127834</v>
      </c>
      <c r="U269">
        <v>6.7230219999999993E-2</v>
      </c>
      <c r="V269">
        <v>-0.1350816</v>
      </c>
      <c r="W269">
        <v>-1.30466E-3</v>
      </c>
      <c r="X269">
        <v>0.99083359999999998</v>
      </c>
      <c r="Y269">
        <v>-1.1406929999999999E-2</v>
      </c>
      <c r="Z269">
        <v>-2.174895E-4</v>
      </c>
      <c r="AA269">
        <v>0.99993489999999996</v>
      </c>
      <c r="AB269">
        <v>14</v>
      </c>
      <c r="AC269">
        <v>27.197700000000001</v>
      </c>
      <c r="AD269">
        <v>-1.154639</v>
      </c>
      <c r="AE269">
        <v>0.60620000000000096</v>
      </c>
      <c r="AF269">
        <v>-0.31062099205203603</v>
      </c>
      <c r="AG269">
        <v>-1.154639</v>
      </c>
      <c r="AH269">
        <v>27.153760024926999</v>
      </c>
      <c r="AI269">
        <v>92.434719585765095</v>
      </c>
      <c r="AJ269">
        <v>90.655397101902807</v>
      </c>
      <c r="AK269">
        <v>27.1800728496513</v>
      </c>
    </row>
    <row r="270" spans="1:37" x14ac:dyDescent="0.2">
      <c r="A270" t="str">
        <f>"20200111155505905"</f>
        <v>20200111155505905</v>
      </c>
      <c r="B270" t="str">
        <f>"1578729305902992"</f>
        <v>1578729305902992</v>
      </c>
      <c r="C270" t="s">
        <v>37</v>
      </c>
      <c r="D270">
        <v>4.7450000000000001</v>
      </c>
      <c r="E270">
        <v>0.54697839999999998</v>
      </c>
      <c r="F270" t="s">
        <v>39</v>
      </c>
      <c r="G270">
        <v>-423.42140000000001</v>
      </c>
      <c r="H270">
        <v>-0.05</v>
      </c>
      <c r="I270">
        <v>368.18699999999899</v>
      </c>
      <c r="J270">
        <v>-450.7088</v>
      </c>
      <c r="K270">
        <v>1.1045989999999899</v>
      </c>
      <c r="L270">
        <v>367.54750000000001</v>
      </c>
      <c r="M270">
        <v>0.99987950000000003</v>
      </c>
      <c r="N270">
        <v>0</v>
      </c>
      <c r="O270">
        <v>1.0928210000000001E-2</v>
      </c>
      <c r="P270">
        <v>0.98872320000000002</v>
      </c>
      <c r="Q270">
        <v>-1.3278160000000001E-2</v>
      </c>
      <c r="R270">
        <v>0.14916550000000001</v>
      </c>
      <c r="S270">
        <v>3.0206300000000001</v>
      </c>
      <c r="T270">
        <v>-0.12729199999999999</v>
      </c>
      <c r="U270">
        <v>7.064819E-2</v>
      </c>
      <c r="V270">
        <v>-0.138351</v>
      </c>
      <c r="W270">
        <v>-2.3535840000000001E-3</v>
      </c>
      <c r="X270">
        <v>0.9903805</v>
      </c>
      <c r="Y270">
        <v>-1.2453530000000001E-2</v>
      </c>
      <c r="Z270">
        <v>-1.980145E-4</v>
      </c>
      <c r="AA270">
        <v>0.99992250000000005</v>
      </c>
      <c r="AB270">
        <v>14</v>
      </c>
      <c r="AC270">
        <v>27.287399999999899</v>
      </c>
      <c r="AD270">
        <v>-1.1545989999999999</v>
      </c>
      <c r="AE270">
        <v>0.639499999999941</v>
      </c>
      <c r="AF270">
        <v>-0.34063172853064699</v>
      </c>
      <c r="AG270">
        <v>-1.1545989999999999</v>
      </c>
      <c r="AH270">
        <v>27.244009809687501</v>
      </c>
      <c r="AI270">
        <v>92.426549054346694</v>
      </c>
      <c r="AJ270">
        <v>90.716331540753103</v>
      </c>
      <c r="AK270">
        <v>27.270592207277598</v>
      </c>
    </row>
    <row r="271" spans="1:37" x14ac:dyDescent="0.2">
      <c r="A271" t="str">
        <f>"20200111155505961"</f>
        <v>20200111155505961</v>
      </c>
      <c r="B271" t="str">
        <f>"1578729305952767"</f>
        <v>1578729305952767</v>
      </c>
      <c r="C271" t="s">
        <v>37</v>
      </c>
      <c r="D271">
        <v>4.7377769999999897</v>
      </c>
      <c r="E271">
        <v>0.54697839999999998</v>
      </c>
      <c r="F271" t="s">
        <v>39</v>
      </c>
      <c r="G271">
        <v>-423.36259999999999</v>
      </c>
      <c r="H271">
        <v>-0.05</v>
      </c>
      <c r="I271">
        <v>368.2534</v>
      </c>
      <c r="J271">
        <v>-450.34230000000002</v>
      </c>
      <c r="K271">
        <v>1.1044430000000001</v>
      </c>
      <c r="L271">
        <v>367.55189999999999</v>
      </c>
      <c r="M271">
        <v>0.99988699999999997</v>
      </c>
      <c r="N271">
        <v>0</v>
      </c>
      <c r="O271">
        <v>1.1063689999999999E-2</v>
      </c>
      <c r="P271">
        <v>0.98803890000000005</v>
      </c>
      <c r="Q271">
        <v>-1.2541480000000001E-2</v>
      </c>
      <c r="R271">
        <v>0.1536951</v>
      </c>
      <c r="S271">
        <v>3.020813</v>
      </c>
      <c r="T271">
        <v>-0.1275434</v>
      </c>
      <c r="U271">
        <v>7.7972410000000006E-2</v>
      </c>
      <c r="V271">
        <v>-0.1427543</v>
      </c>
      <c r="W271">
        <v>-2.4474929999999998E-3</v>
      </c>
      <c r="X271">
        <v>0.98975519999999995</v>
      </c>
      <c r="Y271">
        <v>-1.4737709999999999E-2</v>
      </c>
      <c r="Z271">
        <v>-1.559067E-4</v>
      </c>
      <c r="AA271">
        <v>0.99989139999999999</v>
      </c>
      <c r="AB271">
        <v>15</v>
      </c>
      <c r="AC271">
        <v>26.979700000000001</v>
      </c>
      <c r="AD271">
        <v>-1.1544430000000001</v>
      </c>
      <c r="AE271">
        <v>0.70150000000001</v>
      </c>
      <c r="AF271">
        <v>-0.40221064260957501</v>
      </c>
      <c r="AG271">
        <v>-1.1544430000000001</v>
      </c>
      <c r="AH271">
        <v>26.936524670856599</v>
      </c>
      <c r="AI271">
        <v>92.453802031056995</v>
      </c>
      <c r="AJ271">
        <v>90.855465213748801</v>
      </c>
      <c r="AK271">
        <v>26.964251767570801</v>
      </c>
    </row>
    <row r="272" spans="1:37" x14ac:dyDescent="0.2">
      <c r="A272" t="str">
        <f>"20200111155505986"</f>
        <v>20200111155505986</v>
      </c>
      <c r="B272" t="str">
        <f>"1578729305983024"</f>
        <v>1578729305983024</v>
      </c>
      <c r="C272" t="s">
        <v>37</v>
      </c>
      <c r="D272">
        <v>4.8704219999999996</v>
      </c>
      <c r="E272">
        <v>0.55625329999999995</v>
      </c>
      <c r="F272" t="s">
        <v>39</v>
      </c>
      <c r="G272">
        <v>-422.08049999999997</v>
      </c>
      <c r="H272">
        <v>-0.05</v>
      </c>
      <c r="I272">
        <v>368.4051</v>
      </c>
      <c r="J272">
        <v>-450.17790000000002</v>
      </c>
      <c r="K272">
        <v>1.1043620000000001</v>
      </c>
      <c r="L272">
        <v>367.55369999999999</v>
      </c>
      <c r="M272">
        <v>0.99989110000000003</v>
      </c>
      <c r="N272">
        <v>0</v>
      </c>
      <c r="O272">
        <v>1.104746E-2</v>
      </c>
      <c r="P272">
        <v>0.98794110000000002</v>
      </c>
      <c r="Q272">
        <v>-1.412916E-2</v>
      </c>
      <c r="R272">
        <v>0.1541855</v>
      </c>
      <c r="S272">
        <v>3.0205690000000001</v>
      </c>
      <c r="T272">
        <v>-0.1233847</v>
      </c>
      <c r="U272">
        <v>9.1186519999999993E-2</v>
      </c>
      <c r="V272">
        <v>-0.1432621</v>
      </c>
      <c r="W272">
        <v>-4.422334E-3</v>
      </c>
      <c r="X272">
        <v>0.98967490000000002</v>
      </c>
      <c r="Y272">
        <v>-1.912326E-2</v>
      </c>
      <c r="Z272" s="1">
        <v>-6.065005E-5</v>
      </c>
      <c r="AA272">
        <v>0.99981710000000001</v>
      </c>
      <c r="AB272">
        <v>15</v>
      </c>
      <c r="AC272">
        <v>28.0974</v>
      </c>
      <c r="AD272">
        <v>-1.1543620000000001</v>
      </c>
      <c r="AE272">
        <v>0.85140000000001204</v>
      </c>
      <c r="AF272">
        <v>-0.54001760510322006</v>
      </c>
      <c r="AG272">
        <v>-1.1543620000000001</v>
      </c>
      <c r="AH272">
        <v>28.057775622026199</v>
      </c>
      <c r="AI272">
        <v>92.355516881365702</v>
      </c>
      <c r="AJ272">
        <v>91.1026144914143</v>
      </c>
      <c r="AK272">
        <v>28.0867040340591</v>
      </c>
    </row>
    <row r="273" spans="1:37" x14ac:dyDescent="0.2">
      <c r="A273" t="str">
        <f>"20200111155505999"</f>
        <v>20200111155505999</v>
      </c>
      <c r="B273" t="str">
        <f>"1578729305992784"</f>
        <v>1578729305992784</v>
      </c>
      <c r="C273" t="s">
        <v>37</v>
      </c>
      <c r="D273">
        <v>4.8944049999999999</v>
      </c>
      <c r="E273">
        <v>0.55541439999999997</v>
      </c>
      <c r="F273" t="s">
        <v>39</v>
      </c>
      <c r="G273">
        <v>-414.83519999999999</v>
      </c>
      <c r="H273">
        <v>-0.05</v>
      </c>
      <c r="I273">
        <v>367.78059999999999</v>
      </c>
      <c r="J273">
        <v>-450.08859999999999</v>
      </c>
      <c r="K273">
        <v>1.1043179999999999</v>
      </c>
      <c r="L273">
        <v>367.55459999999999</v>
      </c>
      <c r="M273">
        <v>0.9998937</v>
      </c>
      <c r="N273">
        <v>0</v>
      </c>
      <c r="O273">
        <v>1.102122E-2</v>
      </c>
      <c r="P273">
        <v>0.98792049999999998</v>
      </c>
      <c r="Q273">
        <v>-1.456533E-2</v>
      </c>
      <c r="R273">
        <v>0.154276</v>
      </c>
      <c r="S273">
        <v>3.0321660000000001</v>
      </c>
      <c r="T273">
        <v>-9.903634E-2</v>
      </c>
      <c r="U273">
        <v>1.9470210000000002E-2</v>
      </c>
      <c r="V273">
        <v>-0.14337910000000001</v>
      </c>
      <c r="W273">
        <v>-5.0748909999999998E-3</v>
      </c>
      <c r="X273">
        <v>0.98965479999999995</v>
      </c>
      <c r="Y273">
        <v>4.5924679999999997E-3</v>
      </c>
      <c r="Z273">
        <v>-4.3486089999999903E-4</v>
      </c>
      <c r="AA273">
        <v>0.99998929999999997</v>
      </c>
      <c r="AB273">
        <v>15</v>
      </c>
      <c r="AC273">
        <v>35.253399999999999</v>
      </c>
      <c r="AD273">
        <v>-1.154318</v>
      </c>
      <c r="AE273">
        <v>0.22599999999999901</v>
      </c>
      <c r="AF273">
        <v>0.162392808144007</v>
      </c>
      <c r="AG273">
        <v>-1.154318</v>
      </c>
      <c r="AH273">
        <v>35.2159948808102</v>
      </c>
      <c r="AI273">
        <v>91.877362157176094</v>
      </c>
      <c r="AJ273">
        <v>89.735791744314</v>
      </c>
      <c r="AK273">
        <v>35.235282273802099</v>
      </c>
    </row>
    <row r="274" spans="1:37" x14ac:dyDescent="0.2">
      <c r="A274" t="str">
        <f>"20200111155506017"</f>
        <v>20200111155506017</v>
      </c>
      <c r="B274" t="str">
        <f>"1578729306013280"</f>
        <v>1578729306013280</v>
      </c>
      <c r="C274" t="s">
        <v>37</v>
      </c>
      <c r="D274">
        <v>4.8974799999999998</v>
      </c>
      <c r="E274">
        <v>0.55437169999999902</v>
      </c>
      <c r="F274" t="s">
        <v>39</v>
      </c>
      <c r="G274">
        <v>-417.0111</v>
      </c>
      <c r="H274">
        <v>-0.05</v>
      </c>
      <c r="I274">
        <v>367.84300000000002</v>
      </c>
      <c r="J274">
        <v>-449.97250000000003</v>
      </c>
      <c r="K274">
        <v>1.1042559999999999</v>
      </c>
      <c r="L274">
        <v>367.55579999999998</v>
      </c>
      <c r="M274">
        <v>0.99989719999999904</v>
      </c>
      <c r="N274">
        <v>0</v>
      </c>
      <c r="O274">
        <v>1.0957959999999999E-2</v>
      </c>
      <c r="P274">
        <v>0.98796709999999999</v>
      </c>
      <c r="Q274">
        <v>-1.5779979999999999E-2</v>
      </c>
      <c r="R274">
        <v>0.15385760000000001</v>
      </c>
      <c r="S274">
        <v>3.0309750000000002</v>
      </c>
      <c r="T274">
        <v>-0.105773399999999</v>
      </c>
      <c r="U274">
        <v>2.6428219999999999E-2</v>
      </c>
      <c r="V274">
        <v>-0.1430235</v>
      </c>
      <c r="W274">
        <v>-6.5890840000000003E-3</v>
      </c>
      <c r="X274">
        <v>0.9896973</v>
      </c>
      <c r="Y274">
        <v>2.2314629999999999E-3</v>
      </c>
      <c r="Z274">
        <v>-4.2121120000000002E-4</v>
      </c>
      <c r="AA274">
        <v>0.99999740000000004</v>
      </c>
      <c r="AB274">
        <v>15</v>
      </c>
      <c r="AC274">
        <v>32.961399999999998</v>
      </c>
      <c r="AD274">
        <v>-1.1542559999999999</v>
      </c>
      <c r="AE274">
        <v>0.28720000000004098</v>
      </c>
      <c r="AF274">
        <v>7.39317370685387E-2</v>
      </c>
      <c r="AG274">
        <v>-1.1542559999999999</v>
      </c>
      <c r="AH274">
        <v>32.922199001284604</v>
      </c>
      <c r="AI274">
        <v>92.007968943285704</v>
      </c>
      <c r="AJ274">
        <v>89.871333947487599</v>
      </c>
      <c r="AK274">
        <v>32.942509921004302</v>
      </c>
    </row>
    <row r="275" spans="1:37" x14ac:dyDescent="0.2">
      <c r="A275" t="str">
        <f>"20200111155506030"</f>
        <v>20200111155506030</v>
      </c>
      <c r="B275" t="str">
        <f>"1578729306023041"</f>
        <v>1578729306023041</v>
      </c>
      <c r="C275" t="s">
        <v>37</v>
      </c>
      <c r="D275">
        <v>4.9219010000000001</v>
      </c>
      <c r="E275">
        <v>0.55373640000000002</v>
      </c>
      <c r="F275" t="s">
        <v>39</v>
      </c>
      <c r="G275">
        <v>-419.98129999999998</v>
      </c>
      <c r="H275">
        <v>-0.05</v>
      </c>
      <c r="I275">
        <v>367.88299999999998</v>
      </c>
      <c r="J275">
        <v>-449.88060000000002</v>
      </c>
      <c r="K275">
        <v>1.1042049999999899</v>
      </c>
      <c r="L275">
        <v>367.55680000000001</v>
      </c>
      <c r="M275">
        <v>0.99990040000000002</v>
      </c>
      <c r="N275">
        <v>0</v>
      </c>
      <c r="O275">
        <v>1.0884619999999999E-2</v>
      </c>
      <c r="P275">
        <v>0.98797029999999997</v>
      </c>
      <c r="Q275">
        <v>-1.6276450000000001E-2</v>
      </c>
      <c r="R275">
        <v>0.1537849</v>
      </c>
      <c r="S275">
        <v>3.0295719999999999</v>
      </c>
      <c r="T275">
        <v>-0.116597399999999</v>
      </c>
      <c r="U275">
        <v>3.3050540000000003E-2</v>
      </c>
      <c r="V275">
        <v>-0.1430237</v>
      </c>
      <c r="W275">
        <v>-7.343731E-3</v>
      </c>
      <c r="X275">
        <v>0.98969200000000002</v>
      </c>
      <c r="Y275" s="1">
        <v>-3.1635009999999999E-5</v>
      </c>
      <c r="Z275">
        <v>-4.1813879999999997E-4</v>
      </c>
      <c r="AA275">
        <v>0.99999989999999905</v>
      </c>
      <c r="AB275">
        <v>15</v>
      </c>
      <c r="AC275">
        <v>29.8993</v>
      </c>
      <c r="AD275">
        <v>-1.1542049999999999</v>
      </c>
      <c r="AE275">
        <v>0.32620000000002802</v>
      </c>
      <c r="AF275">
        <v>-7.2394228603106503E-4</v>
      </c>
      <c r="AG275">
        <v>-1.1542049999999999</v>
      </c>
      <c r="AH275">
        <v>29.856592424450302</v>
      </c>
      <c r="AI275">
        <v>92.213854824452895</v>
      </c>
      <c r="AJ275">
        <v>90.001389268976197</v>
      </c>
      <c r="AK275">
        <v>29.878893903654799</v>
      </c>
    </row>
    <row r="276" spans="1:37" x14ac:dyDescent="0.2">
      <c r="A276" t="str">
        <f>"20200111155506045"</f>
        <v>20200111155506045</v>
      </c>
      <c r="B276" t="str">
        <f>"1578729306042559"</f>
        <v>1578729306042559</v>
      </c>
      <c r="C276" t="s">
        <v>37</v>
      </c>
      <c r="D276">
        <v>4.935003</v>
      </c>
      <c r="E276">
        <v>0.55349059999999894</v>
      </c>
      <c r="F276" t="s">
        <v>39</v>
      </c>
      <c r="G276">
        <v>-420.83330000000001</v>
      </c>
      <c r="H276">
        <v>-0.05</v>
      </c>
      <c r="I276">
        <v>367.92270000000002</v>
      </c>
      <c r="J276">
        <v>-449.77929999999998</v>
      </c>
      <c r="K276">
        <v>1.10415</v>
      </c>
      <c r="L276">
        <v>367.55779999999999</v>
      </c>
      <c r="M276">
        <v>0.99990419999999902</v>
      </c>
      <c r="N276">
        <v>0</v>
      </c>
      <c r="O276">
        <v>1.0788809999999999E-2</v>
      </c>
      <c r="P276">
        <v>0.98802999999999996</v>
      </c>
      <c r="Q276">
        <v>-1.5643770000000001E-2</v>
      </c>
      <c r="R276">
        <v>0.15346679999999999</v>
      </c>
      <c r="S276">
        <v>3.0286249999999999</v>
      </c>
      <c r="T276">
        <v>-0.1203434</v>
      </c>
      <c r="U276">
        <v>3.8146970000000002E-2</v>
      </c>
      <c r="V276">
        <v>-0.14280029999999999</v>
      </c>
      <c r="W276">
        <v>-7.0140150000000002E-3</v>
      </c>
      <c r="X276">
        <v>0.98972669999999996</v>
      </c>
      <c r="Y276">
        <v>-1.812464E-3</v>
      </c>
      <c r="Z276">
        <v>-3.925197E-4</v>
      </c>
      <c r="AA276">
        <v>0.99999830000000001</v>
      </c>
      <c r="AB276">
        <v>15</v>
      </c>
      <c r="AC276">
        <v>28.945999999999898</v>
      </c>
      <c r="AD276">
        <v>-1.15415</v>
      </c>
      <c r="AE276">
        <v>0.36490000000003397</v>
      </c>
      <c r="AF276">
        <v>-5.2490687566833297E-2</v>
      </c>
      <c r="AG276">
        <v>-1.15415</v>
      </c>
      <c r="AH276">
        <v>28.902310064357401</v>
      </c>
      <c r="AI276">
        <v>92.286761808057094</v>
      </c>
      <c r="AJ276">
        <v>90.104057134118904</v>
      </c>
      <c r="AK276">
        <v>28.925392729417499</v>
      </c>
    </row>
    <row r="277" spans="1:37" x14ac:dyDescent="0.2">
      <c r="A277" t="str">
        <f>"20200111155506063"</f>
        <v>20200111155506063</v>
      </c>
      <c r="B277" t="str">
        <f>"1578729306053295"</f>
        <v>1578729306053295</v>
      </c>
      <c r="C277" t="s">
        <v>37</v>
      </c>
      <c r="D277">
        <v>4.911886</v>
      </c>
      <c r="E277">
        <v>0.55350919999999904</v>
      </c>
      <c r="F277" t="s">
        <v>39</v>
      </c>
      <c r="G277">
        <v>-420.44199999999898</v>
      </c>
      <c r="H277">
        <v>-0.05</v>
      </c>
      <c r="I277">
        <v>367.93509999999998</v>
      </c>
      <c r="J277">
        <v>-449.6635</v>
      </c>
      <c r="K277">
        <v>1.1040920000000001</v>
      </c>
      <c r="L277">
        <v>367.55889999999999</v>
      </c>
      <c r="M277">
        <v>0.99990879999999904</v>
      </c>
      <c r="N277">
        <v>0</v>
      </c>
      <c r="O277">
        <v>1.065995E-2</v>
      </c>
      <c r="P277">
        <v>0.9881548</v>
      </c>
      <c r="Q277">
        <v>-1.3304059999999999E-2</v>
      </c>
      <c r="R277">
        <v>0.15288270000000001</v>
      </c>
      <c r="S277">
        <v>3.0284119999999999</v>
      </c>
      <c r="T277">
        <v>-0.11913989999999899</v>
      </c>
      <c r="U277">
        <v>3.8940429999999998E-2</v>
      </c>
      <c r="V277">
        <v>-0.14234189999999999</v>
      </c>
      <c r="W277">
        <v>-5.0471789999999997E-3</v>
      </c>
      <c r="X277">
        <v>0.98980469999999898</v>
      </c>
      <c r="Y277">
        <v>-2.2036769999999998E-3</v>
      </c>
      <c r="Z277">
        <v>-3.7586339999999899E-4</v>
      </c>
      <c r="AA277">
        <v>0.99999749999999998</v>
      </c>
      <c r="AB277">
        <v>15</v>
      </c>
      <c r="AC277">
        <v>29.221499999999999</v>
      </c>
      <c r="AD277">
        <v>-1.1540919999999999</v>
      </c>
      <c r="AE277">
        <v>0.37619999999998199</v>
      </c>
      <c r="AF277">
        <v>-6.4567487587751202E-2</v>
      </c>
      <c r="AG277">
        <v>-1.1540919999999999</v>
      </c>
      <c r="AH277">
        <v>29.1783443978522</v>
      </c>
      <c r="AI277">
        <v>92.265035597888897</v>
      </c>
      <c r="AJ277">
        <v>90.126787128279702</v>
      </c>
      <c r="AK277">
        <v>29.201230780646799</v>
      </c>
    </row>
    <row r="278" spans="1:37" x14ac:dyDescent="0.2">
      <c r="A278" t="str">
        <f>"20200111155506078"</f>
        <v>20200111155506078</v>
      </c>
      <c r="B278" t="str">
        <f>"1578729306072816"</f>
        <v>1578729306072816</v>
      </c>
      <c r="C278" t="s">
        <v>37</v>
      </c>
      <c r="D278">
        <v>5.1168829999999996</v>
      </c>
      <c r="E278">
        <v>0.55269299999999999</v>
      </c>
      <c r="F278" t="s">
        <v>39</v>
      </c>
      <c r="G278">
        <v>-418.72669999999999</v>
      </c>
      <c r="H278">
        <v>-0.05</v>
      </c>
      <c r="I278">
        <v>367.93900000000002</v>
      </c>
      <c r="J278">
        <v>-449.55459999999999</v>
      </c>
      <c r="K278">
        <v>1.1040289999999999</v>
      </c>
      <c r="L278">
        <v>367.56</v>
      </c>
      <c r="M278">
        <v>0.9999133</v>
      </c>
      <c r="N278">
        <v>0</v>
      </c>
      <c r="O278">
        <v>1.0524149999999999E-2</v>
      </c>
      <c r="P278">
        <v>0.98824460000000003</v>
      </c>
      <c r="Q278">
        <v>-1.1892170000000001E-2</v>
      </c>
      <c r="R278">
        <v>0.152418</v>
      </c>
      <c r="S278">
        <v>3.0286869999999899</v>
      </c>
      <c r="T278">
        <v>-0.1129844</v>
      </c>
      <c r="U278">
        <v>3.720093E-2</v>
      </c>
      <c r="V278">
        <v>-0.1420102</v>
      </c>
      <c r="W278">
        <v>-4.0090960000000002E-3</v>
      </c>
      <c r="X278">
        <v>0.98985710000000005</v>
      </c>
      <c r="Y278">
        <v>-1.7636609999999999E-3</v>
      </c>
      <c r="Z278">
        <v>-3.5956619999999998E-4</v>
      </c>
      <c r="AA278">
        <v>0.99999839999999995</v>
      </c>
      <c r="AB278">
        <v>15</v>
      </c>
      <c r="AC278">
        <v>30.8279</v>
      </c>
      <c r="AD278">
        <v>-1.154029</v>
      </c>
      <c r="AE278">
        <v>0.37900000000001899</v>
      </c>
      <c r="AF278">
        <v>-5.4455105777390198E-2</v>
      </c>
      <c r="AG278">
        <v>-1.154029</v>
      </c>
      <c r="AH278">
        <v>30.787044609190101</v>
      </c>
      <c r="AI278">
        <v>92.146680417047193</v>
      </c>
      <c r="AJ278">
        <v>90.1013427732303</v>
      </c>
      <c r="AK278">
        <v>30.808714092925801</v>
      </c>
    </row>
    <row r="279" spans="1:37" x14ac:dyDescent="0.2">
      <c r="A279" t="str">
        <f>"20200111155506096"</f>
        <v>20200111155506096</v>
      </c>
      <c r="B279" t="str">
        <f>"1578729306093312"</f>
        <v>1578729306093312</v>
      </c>
      <c r="C279" t="s">
        <v>37</v>
      </c>
      <c r="D279">
        <v>4.9213019999999998</v>
      </c>
      <c r="E279">
        <v>0.55275509999999906</v>
      </c>
      <c r="F279" t="s">
        <v>39</v>
      </c>
      <c r="G279">
        <v>-416.37720000000002</v>
      </c>
      <c r="H279">
        <v>-0.05</v>
      </c>
      <c r="I279">
        <v>368.02109999999999</v>
      </c>
      <c r="J279">
        <v>-449.43189999999998</v>
      </c>
      <c r="K279">
        <v>1.1039589999999999</v>
      </c>
      <c r="L279">
        <v>367.56110000000001</v>
      </c>
      <c r="M279">
        <v>0.99991849999999904</v>
      </c>
      <c r="N279">
        <v>0</v>
      </c>
      <c r="O279">
        <v>1.0357160000000001E-2</v>
      </c>
      <c r="P279">
        <v>0.98851319999999998</v>
      </c>
      <c r="Q279">
        <v>-1.080748E-2</v>
      </c>
      <c r="R279">
        <v>0.15074789999999999</v>
      </c>
      <c r="S279">
        <v>3.0278930000000002</v>
      </c>
      <c r="T279">
        <v>-0.10532080000000001</v>
      </c>
      <c r="U279">
        <v>4.2083740000000001E-2</v>
      </c>
      <c r="V279">
        <v>-0.1405023</v>
      </c>
      <c r="W279">
        <v>-3.3620099999999999E-3</v>
      </c>
      <c r="X279">
        <v>0.99007459999999903</v>
      </c>
      <c r="Y279">
        <v>-3.54427E-3</v>
      </c>
      <c r="Z279">
        <v>-2.9851159999999999E-4</v>
      </c>
      <c r="AA279">
        <v>0.99999369999999999</v>
      </c>
      <c r="AB279">
        <v>15</v>
      </c>
      <c r="AC279">
        <v>33.054699999999897</v>
      </c>
      <c r="AD279">
        <v>-1.153959</v>
      </c>
      <c r="AE279">
        <v>0.45999999999997898</v>
      </c>
      <c r="AF279">
        <v>-0.117469831709545</v>
      </c>
      <c r="AG279">
        <v>-1.153959</v>
      </c>
      <c r="AH279">
        <v>33.017459170552698</v>
      </c>
      <c r="AI279">
        <v>92.001658008654402</v>
      </c>
      <c r="AJ279">
        <v>90.203846611702204</v>
      </c>
      <c r="AK279">
        <v>33.037827268362499</v>
      </c>
    </row>
    <row r="280" spans="1:37" x14ac:dyDescent="0.2">
      <c r="A280" t="str">
        <f>"20200111155506110"</f>
        <v>20200111155506110</v>
      </c>
      <c r="B280" t="str">
        <f>"1578729306103072"</f>
        <v>1578729306103072</v>
      </c>
      <c r="C280" t="s">
        <v>37</v>
      </c>
      <c r="D280">
        <v>4.9406910000000002</v>
      </c>
      <c r="E280">
        <v>0.55277330000000002</v>
      </c>
      <c r="F280" t="s">
        <v>39</v>
      </c>
      <c r="G280">
        <v>-415.80340000000001</v>
      </c>
      <c r="H280">
        <v>-0.05</v>
      </c>
      <c r="I280">
        <v>367.96839999999997</v>
      </c>
      <c r="J280">
        <v>-449.33159999999998</v>
      </c>
      <c r="K280">
        <v>1.1039019999999999</v>
      </c>
      <c r="L280">
        <v>367.56199999999899</v>
      </c>
      <c r="M280">
        <v>0.99992259999999999</v>
      </c>
      <c r="N280">
        <v>0</v>
      </c>
      <c r="O280">
        <v>1.021616E-2</v>
      </c>
      <c r="P280">
        <v>0.9886469</v>
      </c>
      <c r="Q280">
        <v>-1.061995E-2</v>
      </c>
      <c r="R280">
        <v>0.14988189999999901</v>
      </c>
      <c r="S280">
        <v>3.0281370000000001</v>
      </c>
      <c r="T280">
        <v>-0.103910199999999</v>
      </c>
      <c r="U280">
        <v>3.668213E-2</v>
      </c>
      <c r="V280">
        <v>-0.13977519999999999</v>
      </c>
      <c r="W280">
        <v>-3.533787E-3</v>
      </c>
      <c r="X280">
        <v>0.99017699999999997</v>
      </c>
      <c r="Y280">
        <v>-1.9014679999999999E-3</v>
      </c>
      <c r="Z280">
        <v>-3.178357E-4</v>
      </c>
      <c r="AA280">
        <v>0.99999819999999995</v>
      </c>
      <c r="AB280">
        <v>15</v>
      </c>
      <c r="AC280">
        <v>33.528199999999899</v>
      </c>
      <c r="AD280">
        <v>-1.153902</v>
      </c>
      <c r="AE280">
        <v>0.40640000000001902</v>
      </c>
      <c r="AF280">
        <v>-6.3765182814996005E-2</v>
      </c>
      <c r="AG280">
        <v>-1.153902</v>
      </c>
      <c r="AH280">
        <v>33.490939575546598</v>
      </c>
      <c r="AI280">
        <v>91.973293475424995</v>
      </c>
      <c r="AJ280">
        <v>90.109088353053906</v>
      </c>
      <c r="AK280">
        <v>33.510872705392998</v>
      </c>
    </row>
    <row r="281" spans="1:37" x14ac:dyDescent="0.2">
      <c r="A281" t="str">
        <f>"20200111155506126"</f>
        <v>20200111155506126</v>
      </c>
      <c r="B281" t="str">
        <f>"1578729306122592"</f>
        <v>1578729306122592</v>
      </c>
      <c r="C281" t="s">
        <v>37</v>
      </c>
      <c r="D281">
        <v>4.9119789999999997</v>
      </c>
      <c r="E281">
        <v>0.55252950000000001</v>
      </c>
      <c r="F281" t="s">
        <v>39</v>
      </c>
      <c r="G281">
        <v>-415.72489999999999</v>
      </c>
      <c r="H281">
        <v>-0.05</v>
      </c>
      <c r="I281">
        <v>367.93759999999997</v>
      </c>
      <c r="J281">
        <v>-449.2201</v>
      </c>
      <c r="K281">
        <v>1.1038429999999999</v>
      </c>
      <c r="L281">
        <v>367.56290000000001</v>
      </c>
      <c r="M281">
        <v>0.99992700000000001</v>
      </c>
      <c r="N281">
        <v>0</v>
      </c>
      <c r="O281">
        <v>1.0058610000000001E-2</v>
      </c>
      <c r="P281">
        <v>0.98884059999999996</v>
      </c>
      <c r="Q281">
        <v>-1.0944519999999999E-2</v>
      </c>
      <c r="R281">
        <v>0.1485755</v>
      </c>
      <c r="S281">
        <v>3.0281980000000002</v>
      </c>
      <c r="T281">
        <v>-0.1039746</v>
      </c>
      <c r="U281">
        <v>3.3843989999999997E-2</v>
      </c>
      <c r="V281">
        <v>-0.13862269999999999</v>
      </c>
      <c r="W281">
        <v>-4.2532029999999997E-3</v>
      </c>
      <c r="X281">
        <v>0.99033609999999905</v>
      </c>
      <c r="Y281">
        <v>-1.1220799999999999E-3</v>
      </c>
      <c r="Z281">
        <v>-3.2599579999999999E-4</v>
      </c>
      <c r="AA281">
        <v>0.99999930000000004</v>
      </c>
      <c r="AB281">
        <v>16</v>
      </c>
      <c r="AC281">
        <v>33.495199999999997</v>
      </c>
      <c r="AD281">
        <v>-1.153843</v>
      </c>
      <c r="AE281">
        <v>0.37469999999996101</v>
      </c>
      <c r="AF281">
        <v>-3.7713591568289503E-2</v>
      </c>
      <c r="AG281">
        <v>-1.153843</v>
      </c>
      <c r="AH281">
        <v>33.457576496402503</v>
      </c>
      <c r="AI281">
        <v>91.975161044216904</v>
      </c>
      <c r="AJ281">
        <v>90.064584137234107</v>
      </c>
      <c r="AK281">
        <v>33.477487973207701</v>
      </c>
    </row>
    <row r="282" spans="1:37" x14ac:dyDescent="0.2">
      <c r="A282" t="str">
        <f>"20200111155506141"</f>
        <v>20200111155506141</v>
      </c>
      <c r="B282" t="str">
        <f>"1578729306133328"</f>
        <v>1578729306133328</v>
      </c>
      <c r="C282" t="s">
        <v>37</v>
      </c>
      <c r="D282">
        <v>4.9937829999999996</v>
      </c>
      <c r="E282">
        <v>0.55273289999999997</v>
      </c>
      <c r="F282" t="s">
        <v>39</v>
      </c>
      <c r="G282">
        <v>-416.33460000000002</v>
      </c>
      <c r="H282">
        <v>-0.05</v>
      </c>
      <c r="I282">
        <v>367.90989999999999</v>
      </c>
      <c r="J282">
        <v>-449.1173</v>
      </c>
      <c r="K282">
        <v>1.1037870000000001</v>
      </c>
      <c r="L282">
        <v>367.56380000000001</v>
      </c>
      <c r="M282">
        <v>0.99993069999999895</v>
      </c>
      <c r="N282">
        <v>0</v>
      </c>
      <c r="O282">
        <v>9.91415E-3</v>
      </c>
      <c r="P282">
        <v>0.98912019999999901</v>
      </c>
      <c r="Q282">
        <v>-1.26794E-2</v>
      </c>
      <c r="R282">
        <v>0.14656250000000001</v>
      </c>
      <c r="S282">
        <v>3.0278930000000002</v>
      </c>
      <c r="T282">
        <v>-0.10623879999999999</v>
      </c>
      <c r="U282">
        <v>3.1951899999999998E-2</v>
      </c>
      <c r="V282">
        <v>-0.1367514</v>
      </c>
      <c r="W282">
        <v>-6.3446469999999897E-3</v>
      </c>
      <c r="X282">
        <v>0.9905851</v>
      </c>
      <c r="Y282">
        <v>-6.4332180000000003E-4</v>
      </c>
      <c r="Z282">
        <v>-3.3645419999999999E-4</v>
      </c>
      <c r="AA282">
        <v>0.99999979999999999</v>
      </c>
      <c r="AB282">
        <v>16</v>
      </c>
      <c r="AC282">
        <v>32.782699999999899</v>
      </c>
      <c r="AD282">
        <v>-1.1537869999999999</v>
      </c>
      <c r="AE282">
        <v>0.34609999999997798</v>
      </c>
      <c r="AF282">
        <v>-2.1037778222324E-2</v>
      </c>
      <c r="AG282">
        <v>-1.1537869999999999</v>
      </c>
      <c r="AH282">
        <v>32.743965111700703</v>
      </c>
      <c r="AI282">
        <v>92.0180748449134</v>
      </c>
      <c r="AJ282">
        <v>90.036812149429693</v>
      </c>
      <c r="AK282">
        <v>32.764293342993902</v>
      </c>
    </row>
    <row r="283" spans="1:37" x14ac:dyDescent="0.2">
      <c r="A283" t="str">
        <f>"20200111155506152"</f>
        <v>20200111155506152</v>
      </c>
      <c r="B283" t="str">
        <f>"1578729306143088"</f>
        <v>1578729306143088</v>
      </c>
      <c r="C283" t="s">
        <v>37</v>
      </c>
      <c r="D283">
        <v>4.9658749999999996</v>
      </c>
      <c r="E283">
        <v>0.55283930000000003</v>
      </c>
      <c r="F283" t="s">
        <v>39</v>
      </c>
      <c r="G283">
        <v>-417.87979999999999</v>
      </c>
      <c r="H283">
        <v>-0.05</v>
      </c>
      <c r="I283">
        <v>367.8125</v>
      </c>
      <c r="J283">
        <v>-449.02569999999997</v>
      </c>
      <c r="K283">
        <v>1.103748</v>
      </c>
      <c r="L283">
        <v>367.56459999999998</v>
      </c>
      <c r="M283">
        <v>0.99993390000000004</v>
      </c>
      <c r="N283">
        <v>0</v>
      </c>
      <c r="O283">
        <v>9.7883640000000008E-3</v>
      </c>
      <c r="P283">
        <v>0.9892358</v>
      </c>
      <c r="Q283">
        <v>-1.360863E-2</v>
      </c>
      <c r="R283">
        <v>0.14569660000000001</v>
      </c>
      <c r="S283">
        <v>3.0280149999999999</v>
      </c>
      <c r="T283">
        <v>-0.11184230000000001</v>
      </c>
      <c r="U283">
        <v>2.4108890000000001E-2</v>
      </c>
      <c r="V283">
        <v>-0.13600899999999999</v>
      </c>
      <c r="W283">
        <v>-7.5792609999999899E-3</v>
      </c>
      <c r="X283">
        <v>0.99067859999999996</v>
      </c>
      <c r="Y283">
        <v>1.81900799999999E-3</v>
      </c>
      <c r="Z283">
        <v>-3.9499269999999898E-4</v>
      </c>
      <c r="AA283">
        <v>0.99999830000000001</v>
      </c>
      <c r="AB283">
        <v>16</v>
      </c>
      <c r="AC283">
        <v>31.145899999999902</v>
      </c>
      <c r="AD283">
        <v>-1.153748</v>
      </c>
      <c r="AE283">
        <v>0.247900000000015</v>
      </c>
      <c r="AF283">
        <v>5.69067461797821E-2</v>
      </c>
      <c r="AG283">
        <v>-1.153748</v>
      </c>
      <c r="AH283">
        <v>31.104155725164301</v>
      </c>
      <c r="AI283">
        <v>92.124297741568398</v>
      </c>
      <c r="AJ283">
        <v>89.895174369212896</v>
      </c>
      <c r="AK283">
        <v>31.125598407107599</v>
      </c>
    </row>
    <row r="284" spans="1:37" x14ac:dyDescent="0.2">
      <c r="A284" t="str">
        <f>"20200111155506168"</f>
        <v>20200111155506168</v>
      </c>
      <c r="B284" t="str">
        <f>"1578729306162608"</f>
        <v>1578729306162608</v>
      </c>
      <c r="C284" t="s">
        <v>37</v>
      </c>
      <c r="D284">
        <v>5.1684169999999998</v>
      </c>
      <c r="E284">
        <v>0.55274389999999995</v>
      </c>
      <c r="F284" t="s">
        <v>39</v>
      </c>
      <c r="G284">
        <v>-418.57740000000001</v>
      </c>
      <c r="H284">
        <v>-0.05</v>
      </c>
      <c r="I284">
        <v>367.77569999999997</v>
      </c>
      <c r="J284">
        <v>-448.9255</v>
      </c>
      <c r="K284">
        <v>1.1037079999999999</v>
      </c>
      <c r="L284">
        <v>367.56540000000001</v>
      </c>
      <c r="M284">
        <v>0.99993709999999902</v>
      </c>
      <c r="N284">
        <v>0</v>
      </c>
      <c r="O284">
        <v>9.6551799999999993E-3</v>
      </c>
      <c r="P284">
        <v>0.98928249999999995</v>
      </c>
      <c r="Q284">
        <v>-1.4721390000000001E-2</v>
      </c>
      <c r="R284">
        <v>0.1452706</v>
      </c>
      <c r="S284">
        <v>3.0279849999999899</v>
      </c>
      <c r="T284">
        <v>-0.1147367</v>
      </c>
      <c r="U284">
        <v>2.0996089999999999E-2</v>
      </c>
      <c r="V284">
        <v>-0.135715</v>
      </c>
      <c r="W284">
        <v>-9.0087780000000003E-3</v>
      </c>
      <c r="X284">
        <v>0.990707</v>
      </c>
      <c r="Y284">
        <v>2.7127050000000002E-3</v>
      </c>
      <c r="Z284">
        <v>-4.1709400000000002E-4</v>
      </c>
      <c r="AA284">
        <v>0.9999962</v>
      </c>
      <c r="AB284">
        <v>16</v>
      </c>
      <c r="AC284">
        <v>30.348099999999899</v>
      </c>
      <c r="AD284">
        <v>-1.153708</v>
      </c>
      <c r="AE284">
        <v>0.21029999999996099</v>
      </c>
      <c r="AF284">
        <v>8.2611558735461804E-2</v>
      </c>
      <c r="AG284">
        <v>-1.153708</v>
      </c>
      <c r="AH284">
        <v>30.304921221367199</v>
      </c>
      <c r="AI284">
        <v>92.1801887060696</v>
      </c>
      <c r="AJ284">
        <v>89.843811442523403</v>
      </c>
      <c r="AK284">
        <v>30.3269866134466</v>
      </c>
    </row>
    <row r="285" spans="1:37" x14ac:dyDescent="0.2">
      <c r="A285" t="str">
        <f>"20200111155506184"</f>
        <v>20200111155506184</v>
      </c>
      <c r="B285" t="str">
        <f>"1578729306173343"</f>
        <v>1578729306173343</v>
      </c>
      <c r="C285" t="s">
        <v>37</v>
      </c>
      <c r="D285">
        <v>4.9371289999999997</v>
      </c>
      <c r="E285">
        <v>0.55262349999999905</v>
      </c>
      <c r="F285" t="s">
        <v>39</v>
      </c>
      <c r="G285">
        <v>-419.2638</v>
      </c>
      <c r="H285">
        <v>-0.05</v>
      </c>
      <c r="I285">
        <v>367.7627</v>
      </c>
      <c r="J285">
        <v>-448.80149999999998</v>
      </c>
      <c r="K285">
        <v>1.1036649999999999</v>
      </c>
      <c r="L285">
        <v>367.56639999999999</v>
      </c>
      <c r="M285">
        <v>0.99994069999999902</v>
      </c>
      <c r="N285">
        <v>0</v>
      </c>
      <c r="O285">
        <v>9.4968220000000002E-3</v>
      </c>
      <c r="P285">
        <v>0.98927480000000001</v>
      </c>
      <c r="Q285">
        <v>-1.6999690000000001E-2</v>
      </c>
      <c r="R285">
        <v>0.14507410000000001</v>
      </c>
      <c r="S285">
        <v>3.027771</v>
      </c>
      <c r="T285">
        <v>-0.1177665</v>
      </c>
      <c r="U285">
        <v>2.0141599999999999E-2</v>
      </c>
      <c r="V285">
        <v>-0.1356763</v>
      </c>
      <c r="W285">
        <v>-1.165268E-2</v>
      </c>
      <c r="X285">
        <v>0.99068469999999997</v>
      </c>
      <c r="Y285">
        <v>2.835583E-3</v>
      </c>
      <c r="Z285">
        <v>-4.243618E-4</v>
      </c>
      <c r="AA285">
        <v>0.99999590000000005</v>
      </c>
      <c r="AB285">
        <v>16</v>
      </c>
      <c r="AC285">
        <v>29.537699999999901</v>
      </c>
      <c r="AD285">
        <v>-1.1536649999999999</v>
      </c>
      <c r="AE285">
        <v>0.196300000000007</v>
      </c>
      <c r="AF285">
        <v>8.4098830811358494E-2</v>
      </c>
      <c r="AG285">
        <v>-1.1536649999999999</v>
      </c>
      <c r="AH285">
        <v>29.4932428675347</v>
      </c>
      <c r="AI285">
        <v>92.240044796773304</v>
      </c>
      <c r="AJ285">
        <v>89.836623763968802</v>
      </c>
      <c r="AK285">
        <v>29.515917576605201</v>
      </c>
    </row>
    <row r="286" spans="1:37" x14ac:dyDescent="0.2">
      <c r="A286" t="str">
        <f>"20200111155506197"</f>
        <v>20200111155506197</v>
      </c>
      <c r="B286" t="str">
        <f>"1578729306192863"</f>
        <v>1578729306192863</v>
      </c>
      <c r="C286" t="s">
        <v>37</v>
      </c>
      <c r="D286">
        <v>4.9358019999999998</v>
      </c>
      <c r="E286">
        <v>0.55249250000000005</v>
      </c>
      <c r="F286" t="s">
        <v>39</v>
      </c>
      <c r="G286">
        <v>-420.78890000000001</v>
      </c>
      <c r="H286">
        <v>-0.05</v>
      </c>
      <c r="I286">
        <v>367.75560000000002</v>
      </c>
      <c r="J286">
        <v>-448.70150000000001</v>
      </c>
      <c r="K286">
        <v>1.1036379999999999</v>
      </c>
      <c r="L286">
        <v>367.56720000000001</v>
      </c>
      <c r="M286">
        <v>0.99994309999999997</v>
      </c>
      <c r="N286">
        <v>0</v>
      </c>
      <c r="O286">
        <v>9.3741280000000007E-3</v>
      </c>
      <c r="P286">
        <v>0.98921819999999905</v>
      </c>
      <c r="Q286">
        <v>-1.8097769999999999E-2</v>
      </c>
      <c r="R286">
        <v>0.1453274</v>
      </c>
      <c r="S286">
        <v>3.0274049999999999</v>
      </c>
      <c r="T286">
        <v>-0.1246797</v>
      </c>
      <c r="U286">
        <v>2.0446780000000001E-2</v>
      </c>
      <c r="V286">
        <v>-0.1360519</v>
      </c>
      <c r="W286">
        <v>-1.30232E-2</v>
      </c>
      <c r="X286">
        <v>0.9906161</v>
      </c>
      <c r="Y286">
        <v>2.6104320000000002E-3</v>
      </c>
      <c r="Z286">
        <v>-4.3962129999999898E-4</v>
      </c>
      <c r="AA286">
        <v>0.99999649999999995</v>
      </c>
      <c r="AB286">
        <v>16</v>
      </c>
      <c r="AC286">
        <v>27.912600000000001</v>
      </c>
      <c r="AD286">
        <v>-1.1536379999999999</v>
      </c>
      <c r="AE286">
        <v>0.18840000000000101</v>
      </c>
      <c r="AF286">
        <v>7.3143017668075905E-2</v>
      </c>
      <c r="AG286">
        <v>-1.1536379999999999</v>
      </c>
      <c r="AH286">
        <v>27.865541921282901</v>
      </c>
      <c r="AI286">
        <v>92.370692678501001</v>
      </c>
      <c r="AJ286">
        <v>89.849607210207495</v>
      </c>
      <c r="AK286">
        <v>27.889508011129401</v>
      </c>
    </row>
    <row r="287" spans="1:37" x14ac:dyDescent="0.2">
      <c r="A287" t="str">
        <f>"20200111155506210"</f>
        <v>20200111155506210</v>
      </c>
      <c r="B287" t="str">
        <f>"1578729306202624"</f>
        <v>1578729306202624</v>
      </c>
      <c r="C287" t="s">
        <v>37</v>
      </c>
      <c r="D287">
        <v>5.0268040000000003</v>
      </c>
      <c r="E287">
        <v>0.5525272</v>
      </c>
      <c r="F287" t="s">
        <v>39</v>
      </c>
      <c r="G287">
        <v>-421.58179999999999</v>
      </c>
      <c r="H287">
        <v>-0.05</v>
      </c>
      <c r="I287">
        <v>367.7654</v>
      </c>
      <c r="J287">
        <v>-448.61079999999998</v>
      </c>
      <c r="K287">
        <v>1.1036250000000001</v>
      </c>
      <c r="L287">
        <v>367.56799999999998</v>
      </c>
      <c r="M287">
        <v>0.99994530000000004</v>
      </c>
      <c r="N287">
        <v>0</v>
      </c>
      <c r="O287">
        <v>9.2683419999999902E-3</v>
      </c>
      <c r="P287">
        <v>0.98916219999999999</v>
      </c>
      <c r="Q287">
        <v>-1.8798260000000001E-2</v>
      </c>
      <c r="R287">
        <v>0.1456199</v>
      </c>
      <c r="S287">
        <v>3.0271300000000001</v>
      </c>
      <c r="T287">
        <v>-0.12877069999999999</v>
      </c>
      <c r="U287">
        <v>2.2125240000000001E-2</v>
      </c>
      <c r="V287">
        <v>-0.13644990000000001</v>
      </c>
      <c r="W287">
        <v>-1.393893E-2</v>
      </c>
      <c r="X287">
        <v>0.99054889999999995</v>
      </c>
      <c r="Y287">
        <v>1.9495839999999901E-3</v>
      </c>
      <c r="Z287">
        <v>-4.355257E-4</v>
      </c>
      <c r="AA287">
        <v>0.99999799999999905</v>
      </c>
      <c r="AB287">
        <v>16</v>
      </c>
      <c r="AC287">
        <v>27.029</v>
      </c>
      <c r="AD287">
        <v>-1.1536249999999999</v>
      </c>
      <c r="AE287">
        <v>0.197399999999959</v>
      </c>
      <c r="AF287">
        <v>5.3028841967005101E-2</v>
      </c>
      <c r="AG287">
        <v>-1.1536249999999999</v>
      </c>
      <c r="AH287">
        <v>26.980521668705201</v>
      </c>
      <c r="AI287">
        <v>92.448339608178202</v>
      </c>
      <c r="AJ287">
        <v>89.8873882068646</v>
      </c>
      <c r="AK287">
        <v>27.0052256464222</v>
      </c>
    </row>
    <row r="288" spans="1:37" x14ac:dyDescent="0.2">
      <c r="A288" t="str">
        <f>"20200111155506223"</f>
        <v>20200111155506223</v>
      </c>
      <c r="B288" t="str">
        <f>"1578729306213359"</f>
        <v>1578729306213359</v>
      </c>
      <c r="C288" t="s">
        <v>37</v>
      </c>
      <c r="D288">
        <v>5.0299420000000001</v>
      </c>
      <c r="E288">
        <v>0.55256879999999997</v>
      </c>
      <c r="F288" t="s">
        <v>39</v>
      </c>
      <c r="G288">
        <v>-421.80549999999999</v>
      </c>
      <c r="H288">
        <v>-0.05</v>
      </c>
      <c r="I288">
        <v>367.76870000000002</v>
      </c>
      <c r="J288">
        <v>-448.5172</v>
      </c>
      <c r="K288">
        <v>1.103613</v>
      </c>
      <c r="L288">
        <v>367.56869999999998</v>
      </c>
      <c r="M288">
        <v>0.99994719999999904</v>
      </c>
      <c r="N288">
        <v>0</v>
      </c>
      <c r="O288">
        <v>9.1614969999999993E-3</v>
      </c>
      <c r="P288">
        <v>0.98912840000000002</v>
      </c>
      <c r="Q288">
        <v>-1.8718820000000001E-2</v>
      </c>
      <c r="R288">
        <v>0.14585870000000001</v>
      </c>
      <c r="S288">
        <v>3.027069</v>
      </c>
      <c r="T288">
        <v>-0.13027659999999999</v>
      </c>
      <c r="U288">
        <v>2.267456E-2</v>
      </c>
      <c r="V288">
        <v>-0.1367939</v>
      </c>
      <c r="W288">
        <v>-1.406844E-2</v>
      </c>
      <c r="X288">
        <v>0.99049959999999904</v>
      </c>
      <c r="Y288">
        <v>1.6612479999999999E-3</v>
      </c>
      <c r="Z288">
        <v>-4.298247E-4</v>
      </c>
      <c r="AA288">
        <v>0.99999850000000001</v>
      </c>
      <c r="AB288">
        <v>16</v>
      </c>
      <c r="AC288">
        <v>26.7117</v>
      </c>
      <c r="AD288">
        <v>-1.153613</v>
      </c>
      <c r="AE288">
        <v>0.200000000000045</v>
      </c>
      <c r="AF288">
        <v>4.4646934713331199E-2</v>
      </c>
      <c r="AG288">
        <v>-1.153613</v>
      </c>
      <c r="AH288">
        <v>26.662683761301199</v>
      </c>
      <c r="AI288">
        <v>92.477464954047605</v>
      </c>
      <c r="AJ288">
        <v>89.904057725049896</v>
      </c>
      <c r="AK288">
        <v>26.687666096114601</v>
      </c>
    </row>
    <row r="289" spans="1:37" x14ac:dyDescent="0.2">
      <c r="A289" t="str">
        <f>"20200111155506241"</f>
        <v>20200111155506241</v>
      </c>
      <c r="B289" t="str">
        <f>"1578729306232879"</f>
        <v>1578729306232879</v>
      </c>
      <c r="C289" t="s">
        <v>37</v>
      </c>
      <c r="D289">
        <v>4.9366680000000001</v>
      </c>
      <c r="E289">
        <v>0.55246410000000001</v>
      </c>
      <c r="F289" t="s">
        <v>39</v>
      </c>
      <c r="G289">
        <v>-421.65839999999997</v>
      </c>
      <c r="H289">
        <v>-0.05</v>
      </c>
      <c r="I289">
        <v>367.77499999999998</v>
      </c>
      <c r="J289">
        <v>-448.3793</v>
      </c>
      <c r="K289">
        <v>1.103602</v>
      </c>
      <c r="L289">
        <v>367.56979999999999</v>
      </c>
      <c r="M289">
        <v>0.9999498</v>
      </c>
      <c r="N289">
        <v>0</v>
      </c>
      <c r="O289">
        <v>9.0096540000000006E-3</v>
      </c>
      <c r="P289">
        <v>0.98914089999999999</v>
      </c>
      <c r="Q289">
        <v>-1.826001E-2</v>
      </c>
      <c r="R289">
        <v>0.1458325</v>
      </c>
      <c r="S289">
        <v>3.027069</v>
      </c>
      <c r="T289">
        <v>-0.13001599999999999</v>
      </c>
      <c r="U289">
        <v>2.325439E-2</v>
      </c>
      <c r="V289">
        <v>-0.1369185</v>
      </c>
      <c r="W289">
        <v>-1.387827E-2</v>
      </c>
      <c r="X289">
        <v>0.99048510000000001</v>
      </c>
      <c r="Y289">
        <v>1.3183439999999999E-3</v>
      </c>
      <c r="Z289">
        <v>-4.1508579999999999E-4</v>
      </c>
      <c r="AA289">
        <v>0.99999899999999997</v>
      </c>
      <c r="AB289">
        <v>17</v>
      </c>
      <c r="AC289">
        <v>26.7209</v>
      </c>
      <c r="AD289">
        <v>-1.153602</v>
      </c>
      <c r="AE289">
        <v>0.20519999999999</v>
      </c>
      <c r="AF289">
        <v>3.5490561363156502E-2</v>
      </c>
      <c r="AG289">
        <v>-1.153602</v>
      </c>
      <c r="AH289">
        <v>26.671954773455301</v>
      </c>
      <c r="AI289">
        <v>92.476582566849004</v>
      </c>
      <c r="AJ289">
        <v>89.923760436915998</v>
      </c>
      <c r="AK289">
        <v>26.6969142147851</v>
      </c>
    </row>
    <row r="290" spans="1:37" x14ac:dyDescent="0.2">
      <c r="A290" t="str">
        <f>"20200111155506253"</f>
        <v>20200111155506253</v>
      </c>
      <c r="B290" t="str">
        <f>"1578729306242639"</f>
        <v>1578729306242639</v>
      </c>
      <c r="C290" t="s">
        <v>37</v>
      </c>
      <c r="D290">
        <v>5.079752</v>
      </c>
      <c r="E290">
        <v>0.55233940000000004</v>
      </c>
      <c r="F290" t="s">
        <v>39</v>
      </c>
      <c r="G290">
        <v>-421.0403</v>
      </c>
      <c r="H290">
        <v>-0.05</v>
      </c>
      <c r="I290">
        <v>367.78370000000001</v>
      </c>
      <c r="J290">
        <v>-448.2885</v>
      </c>
      <c r="K290">
        <v>1.1035919999999999</v>
      </c>
      <c r="L290">
        <v>367.57049999999998</v>
      </c>
      <c r="M290">
        <v>0.99995140000000005</v>
      </c>
      <c r="N290">
        <v>0</v>
      </c>
      <c r="O290">
        <v>8.9123290000000001E-3</v>
      </c>
      <c r="P290">
        <v>0.98916170000000003</v>
      </c>
      <c r="Q290">
        <v>-1.782678E-2</v>
      </c>
      <c r="R290">
        <v>0.1457435</v>
      </c>
      <c r="S290">
        <v>3.0270999999999999</v>
      </c>
      <c r="T290">
        <v>-0.12773219999999999</v>
      </c>
      <c r="U290">
        <v>2.368164E-2</v>
      </c>
      <c r="V290">
        <v>-0.1369252</v>
      </c>
      <c r="W290">
        <v>-1.3597450000000001E-2</v>
      </c>
      <c r="X290">
        <v>0.99048809999999998</v>
      </c>
      <c r="Y290">
        <v>1.080583E-3</v>
      </c>
      <c r="Z290">
        <v>-3.9867789999999999E-4</v>
      </c>
      <c r="AA290">
        <v>0.99999930000000004</v>
      </c>
      <c r="AB290">
        <v>17</v>
      </c>
      <c r="AC290">
        <v>27.248200000000001</v>
      </c>
      <c r="AD290">
        <v>-1.153592</v>
      </c>
      <c r="AE290">
        <v>0.21320000000002801</v>
      </c>
      <c r="AF290">
        <v>2.9602492525106699E-2</v>
      </c>
      <c r="AG290">
        <v>-1.153592</v>
      </c>
      <c r="AH290">
        <v>27.200267837079899</v>
      </c>
      <c r="AI290">
        <v>92.428517544132504</v>
      </c>
      <c r="AJ290">
        <v>89.937644098753793</v>
      </c>
      <c r="AK290">
        <v>27.2247354664634</v>
      </c>
    </row>
    <row r="291" spans="1:37" x14ac:dyDescent="0.2">
      <c r="A291" t="str">
        <f>"20200111155506265"</f>
        <v>20200111155506265</v>
      </c>
      <c r="B291" t="str">
        <f>"1578729306263136"</f>
        <v>1578729306263136</v>
      </c>
      <c r="C291" t="s">
        <v>37</v>
      </c>
      <c r="D291">
        <v>4.9064360000000002</v>
      </c>
      <c r="E291">
        <v>0.55242709999999995</v>
      </c>
      <c r="F291" t="s">
        <v>39</v>
      </c>
      <c r="G291">
        <v>-420.47680000000003</v>
      </c>
      <c r="H291">
        <v>-0.05</v>
      </c>
      <c r="I291">
        <v>367.79849999999999</v>
      </c>
      <c r="J291">
        <v>-448.2</v>
      </c>
      <c r="K291">
        <v>1.103586</v>
      </c>
      <c r="L291">
        <v>367.57119999999998</v>
      </c>
      <c r="M291">
        <v>0.99995270000000003</v>
      </c>
      <c r="N291">
        <v>0</v>
      </c>
      <c r="O291">
        <v>8.8184660000000005E-3</v>
      </c>
      <c r="P291">
        <v>0.98918099999999998</v>
      </c>
      <c r="Q291">
        <v>-1.7813320000000001E-2</v>
      </c>
      <c r="R291">
        <v>0.14561479999999999</v>
      </c>
      <c r="S291">
        <v>3.0269469999999998</v>
      </c>
      <c r="T291">
        <v>-0.12555369999999999</v>
      </c>
      <c r="U291">
        <v>2.4810789999999999E-2</v>
      </c>
      <c r="V291">
        <v>-0.13688910000000001</v>
      </c>
      <c r="W291">
        <v>-1.371933E-2</v>
      </c>
      <c r="X291">
        <v>0.99049140000000002</v>
      </c>
      <c r="Y291">
        <v>6.1408969999999998E-4</v>
      </c>
      <c r="Z291">
        <v>-3.7834129999999899E-4</v>
      </c>
      <c r="AA291">
        <v>0.99999979999999999</v>
      </c>
      <c r="AB291">
        <v>17</v>
      </c>
      <c r="AC291">
        <v>27.723199999999899</v>
      </c>
      <c r="AD291">
        <v>-1.153586</v>
      </c>
      <c r="AE291">
        <v>0.22730000000001299</v>
      </c>
      <c r="AF291">
        <v>1.7157287338269701E-2</v>
      </c>
      <c r="AG291">
        <v>-1.153586</v>
      </c>
      <c r="AH291">
        <v>27.676209349209099</v>
      </c>
      <c r="AI291">
        <v>92.386792151566297</v>
      </c>
      <c r="AJ291">
        <v>89.964480683967906</v>
      </c>
      <c r="AK291">
        <v>27.700245828749502</v>
      </c>
    </row>
    <row r="292" spans="1:37" x14ac:dyDescent="0.2">
      <c r="A292" t="str">
        <f>"20200111155506278"</f>
        <v>20200111155506278</v>
      </c>
      <c r="B292" t="str">
        <f>"1578729306272896"</f>
        <v>1578729306272896</v>
      </c>
      <c r="C292" t="s">
        <v>37</v>
      </c>
      <c r="D292">
        <v>4.9152259999999997</v>
      </c>
      <c r="E292">
        <v>0.55245489999999997</v>
      </c>
      <c r="F292" t="s">
        <v>39</v>
      </c>
      <c r="G292">
        <v>-420.334</v>
      </c>
      <c r="H292">
        <v>-0.05</v>
      </c>
      <c r="I292">
        <v>367.78579999999999</v>
      </c>
      <c r="J292">
        <v>-448.09199999999998</v>
      </c>
      <c r="K292">
        <v>1.1035820000000001</v>
      </c>
      <c r="L292">
        <v>367.57199999999898</v>
      </c>
      <c r="M292">
        <v>0.99995440000000002</v>
      </c>
      <c r="N292">
        <v>0</v>
      </c>
      <c r="O292">
        <v>8.7046580000000005E-3</v>
      </c>
      <c r="P292">
        <v>0.98921409999999999</v>
      </c>
      <c r="Q292">
        <v>-1.7996649999999999E-2</v>
      </c>
      <c r="R292">
        <v>0.145368</v>
      </c>
      <c r="S292">
        <v>3.0270999999999999</v>
      </c>
      <c r="T292">
        <v>-0.12531489999999901</v>
      </c>
      <c r="U292">
        <v>2.3315430000000002E-2</v>
      </c>
      <c r="V292">
        <v>-0.13675519999999999</v>
      </c>
      <c r="W292">
        <v>-1.405376E-2</v>
      </c>
      <c r="X292">
        <v>0.99050519999999997</v>
      </c>
      <c r="Y292">
        <v>9.9444599999999996E-4</v>
      </c>
      <c r="Z292">
        <v>-3.8076419999999998E-4</v>
      </c>
      <c r="AA292">
        <v>0.99999939999999998</v>
      </c>
      <c r="AB292">
        <v>17</v>
      </c>
      <c r="AC292">
        <v>27.7579999999999</v>
      </c>
      <c r="AD292">
        <v>-1.1535820000000001</v>
      </c>
      <c r="AE292">
        <v>0.21380000000004801</v>
      </c>
      <c r="AF292">
        <v>2.77858742583721E-2</v>
      </c>
      <c r="AG292">
        <v>-1.1535820000000001</v>
      </c>
      <c r="AH292">
        <v>27.710952317532399</v>
      </c>
      <c r="AI292">
        <v>92.383794138391394</v>
      </c>
      <c r="AJ292">
        <v>89.942549329474502</v>
      </c>
      <c r="AK292">
        <v>27.734967132305801</v>
      </c>
    </row>
    <row r="293" spans="1:37" x14ac:dyDescent="0.2">
      <c r="A293" t="str">
        <f>"20200111155506296"</f>
        <v>20200111155506296</v>
      </c>
      <c r="B293" t="str">
        <f>"1578729306293391"</f>
        <v>1578729306293391</v>
      </c>
      <c r="C293" t="s">
        <v>37</v>
      </c>
      <c r="D293">
        <v>4.933897</v>
      </c>
      <c r="E293">
        <v>0.55262359999999999</v>
      </c>
      <c r="F293" t="s">
        <v>39</v>
      </c>
      <c r="G293">
        <v>-420.33339999999998</v>
      </c>
      <c r="H293">
        <v>-0.05</v>
      </c>
      <c r="I293">
        <v>367.77879999999999</v>
      </c>
      <c r="J293">
        <v>-447.95870000000002</v>
      </c>
      <c r="K293">
        <v>1.1035790000000001</v>
      </c>
      <c r="L293">
        <v>367.57299999999998</v>
      </c>
      <c r="M293">
        <v>0.99995630000000002</v>
      </c>
      <c r="N293">
        <v>0</v>
      </c>
      <c r="O293">
        <v>8.5666979999999993E-3</v>
      </c>
      <c r="P293">
        <v>0.98939889999999997</v>
      </c>
      <c r="Q293">
        <v>-1.7578110000000001E-2</v>
      </c>
      <c r="R293">
        <v>0.14415729999999999</v>
      </c>
      <c r="S293">
        <v>3.0270999999999999</v>
      </c>
      <c r="T293">
        <v>-0.1257992</v>
      </c>
      <c r="U293">
        <v>2.2552490000000001E-2</v>
      </c>
      <c r="V293">
        <v>-0.1356792</v>
      </c>
      <c r="W293">
        <v>-1.378943E-2</v>
      </c>
      <c r="X293">
        <v>0.99065689999999995</v>
      </c>
      <c r="Y293">
        <v>1.1084529999999999E-3</v>
      </c>
      <c r="Z293">
        <v>-3.7887209999999899E-4</v>
      </c>
      <c r="AA293">
        <v>0.99999930000000004</v>
      </c>
      <c r="AB293">
        <v>17</v>
      </c>
      <c r="AC293">
        <v>27.625299999999999</v>
      </c>
      <c r="AD293">
        <v>-1.1535789999999999</v>
      </c>
      <c r="AE293">
        <v>0.20579999999995299</v>
      </c>
      <c r="AF293">
        <v>3.0813085041866198E-2</v>
      </c>
      <c r="AG293">
        <v>-1.1535789999999999</v>
      </c>
      <c r="AH293">
        <v>27.577963306438502</v>
      </c>
      <c r="AI293">
        <v>92.395269622089302</v>
      </c>
      <c r="AJ293">
        <v>89.935982981324301</v>
      </c>
      <c r="AK293">
        <v>27.6020969146679</v>
      </c>
    </row>
    <row r="294" spans="1:37" x14ac:dyDescent="0.2">
      <c r="A294" t="str">
        <f>"20200111155506309"</f>
        <v>20200111155506309</v>
      </c>
      <c r="B294" t="str">
        <f>"1578729306303152"</f>
        <v>1578729306303152</v>
      </c>
      <c r="C294" t="s">
        <v>37</v>
      </c>
      <c r="D294">
        <v>5.012124</v>
      </c>
      <c r="E294">
        <v>0.55256769999999999</v>
      </c>
      <c r="F294" t="s">
        <v>39</v>
      </c>
      <c r="G294">
        <v>-419.92430000000002</v>
      </c>
      <c r="H294">
        <v>-0.05</v>
      </c>
      <c r="I294">
        <v>367.73689999999999</v>
      </c>
      <c r="J294">
        <v>-447.8655</v>
      </c>
      <c r="K294">
        <v>1.1035759999999999</v>
      </c>
      <c r="L294">
        <v>367.57369999999997</v>
      </c>
      <c r="M294">
        <v>0.9999574</v>
      </c>
      <c r="N294">
        <v>0</v>
      </c>
      <c r="O294">
        <v>8.4713319999999998E-3</v>
      </c>
      <c r="P294">
        <v>0.98946489999999998</v>
      </c>
      <c r="Q294">
        <v>-1.7096050000000002E-2</v>
      </c>
      <c r="R294">
        <v>0.14376069999999999</v>
      </c>
      <c r="S294">
        <v>3.027374</v>
      </c>
      <c r="T294">
        <v>-0.1245728</v>
      </c>
      <c r="U294">
        <v>1.7700199999999999E-2</v>
      </c>
      <c r="V294">
        <v>-0.13537669999999999</v>
      </c>
      <c r="W294">
        <v>-1.339659E-2</v>
      </c>
      <c r="X294">
        <v>0.99070360000000002</v>
      </c>
      <c r="Y294">
        <v>2.6154559999999999E-3</v>
      </c>
      <c r="Z294">
        <v>-4.0221979999999999E-4</v>
      </c>
      <c r="AA294">
        <v>0.99999649999999995</v>
      </c>
      <c r="AB294">
        <v>17</v>
      </c>
      <c r="AC294">
        <v>27.941199999999899</v>
      </c>
      <c r="AD294">
        <v>-1.1535759999999999</v>
      </c>
      <c r="AE294">
        <v>0.163200000000017</v>
      </c>
      <c r="AF294">
        <v>7.3381551653250901E-2</v>
      </c>
      <c r="AG294">
        <v>-1.1535759999999999</v>
      </c>
      <c r="AH294">
        <v>27.894035577497998</v>
      </c>
      <c r="AI294">
        <v>92.368146613492101</v>
      </c>
      <c r="AJ294">
        <v>89.849270877534494</v>
      </c>
      <c r="AK294">
        <v>27.917975271115701</v>
      </c>
    </row>
    <row r="295" spans="1:37" x14ac:dyDescent="0.2">
      <c r="A295" t="str">
        <f>"20200111155506321"</f>
        <v>20200111155506321</v>
      </c>
      <c r="B295" t="str">
        <f>"1578729306312911"</f>
        <v>1578729306312911</v>
      </c>
      <c r="C295" t="s">
        <v>37</v>
      </c>
      <c r="D295">
        <v>4.880916</v>
      </c>
      <c r="E295">
        <v>0.55262559999999905</v>
      </c>
      <c r="F295" t="s">
        <v>39</v>
      </c>
      <c r="G295">
        <v>-419.41699999999997</v>
      </c>
      <c r="H295">
        <v>-0.05</v>
      </c>
      <c r="I295">
        <v>367.73140000000001</v>
      </c>
      <c r="J295">
        <v>-447.76280000000003</v>
      </c>
      <c r="K295">
        <v>1.103577</v>
      </c>
      <c r="L295">
        <v>367.57440000000003</v>
      </c>
      <c r="M295">
        <v>0.99995849999999897</v>
      </c>
      <c r="N295">
        <v>0</v>
      </c>
      <c r="O295">
        <v>8.3672580000000007E-3</v>
      </c>
      <c r="P295">
        <v>0.98955729999999997</v>
      </c>
      <c r="Q295">
        <v>-1.6887289999999999E-2</v>
      </c>
      <c r="R295">
        <v>0.1431481</v>
      </c>
      <c r="S295">
        <v>3.027374</v>
      </c>
      <c r="T295">
        <v>-0.12275899999999999</v>
      </c>
      <c r="U295">
        <v>1.6784670000000002E-2</v>
      </c>
      <c r="V295">
        <v>-0.13486670000000001</v>
      </c>
      <c r="W295">
        <v>-1.3276080000000001E-2</v>
      </c>
      <c r="X295">
        <v>0.99077479999999996</v>
      </c>
      <c r="Y295">
        <v>2.8139759999999902E-3</v>
      </c>
      <c r="Z295">
        <v>-3.9617379999999999E-4</v>
      </c>
      <c r="AA295">
        <v>0.99999590000000005</v>
      </c>
      <c r="AB295">
        <v>17</v>
      </c>
      <c r="AC295">
        <v>28.345800000000001</v>
      </c>
      <c r="AD295">
        <v>-1.1535770000000001</v>
      </c>
      <c r="AE295">
        <v>0.15699999999998199</v>
      </c>
      <c r="AF295">
        <v>8.0051080565586796E-2</v>
      </c>
      <c r="AG295">
        <v>-1.1535770000000001</v>
      </c>
      <c r="AH295">
        <v>28.2992532739135</v>
      </c>
      <c r="AI295">
        <v>92.334275607281498</v>
      </c>
      <c r="AJ295">
        <v>89.837925870906503</v>
      </c>
      <c r="AK295">
        <v>28.322868568200001</v>
      </c>
    </row>
    <row r="296" spans="1:37" x14ac:dyDescent="0.2">
      <c r="A296" t="str">
        <f>"20200111155506333"</f>
        <v>20200111155506333</v>
      </c>
      <c r="B296" t="str">
        <f>"1578729306322671"</f>
        <v>1578729306322671</v>
      </c>
      <c r="C296" t="s">
        <v>37</v>
      </c>
      <c r="D296">
        <v>4.864719</v>
      </c>
      <c r="E296">
        <v>0.55266490000000001</v>
      </c>
      <c r="F296" t="s">
        <v>39</v>
      </c>
      <c r="G296">
        <v>-419.2002</v>
      </c>
      <c r="H296">
        <v>-0.05</v>
      </c>
      <c r="I296">
        <v>367.71440000000001</v>
      </c>
      <c r="J296">
        <v>-447.66719999999998</v>
      </c>
      <c r="K296">
        <v>1.1035809999999999</v>
      </c>
      <c r="L296">
        <v>367.57510000000002</v>
      </c>
      <c r="M296">
        <v>0.99995959999999995</v>
      </c>
      <c r="N296">
        <v>0</v>
      </c>
      <c r="O296">
        <v>8.2727349999999998E-3</v>
      </c>
      <c r="P296">
        <v>0.98969619999999903</v>
      </c>
      <c r="Q296">
        <v>-1.6316460000000001E-2</v>
      </c>
      <c r="R296">
        <v>0.14225160000000001</v>
      </c>
      <c r="S296">
        <v>3.027466</v>
      </c>
      <c r="T296">
        <v>-0.1222723</v>
      </c>
      <c r="U296">
        <v>1.4831540000000001E-2</v>
      </c>
      <c r="V296">
        <v>-0.1340625</v>
      </c>
      <c r="W296">
        <v>-1.2770510000000001E-2</v>
      </c>
      <c r="X296">
        <v>0.99089059999999995</v>
      </c>
      <c r="Y296">
        <v>3.3644309999999898E-3</v>
      </c>
      <c r="Z296">
        <v>-4.0188849999999999E-4</v>
      </c>
      <c r="AA296">
        <v>0.9999943</v>
      </c>
      <c r="AB296">
        <v>17</v>
      </c>
      <c r="AC296">
        <v>28.466999999999899</v>
      </c>
      <c r="AD296">
        <v>-1.153581</v>
      </c>
      <c r="AE296">
        <v>0.13929999999999099</v>
      </c>
      <c r="AF296">
        <v>9.6048447364571202E-2</v>
      </c>
      <c r="AG296">
        <v>-1.153581</v>
      </c>
      <c r="AH296">
        <v>28.420508639464799</v>
      </c>
      <c r="AI296">
        <v>92.324331507918004</v>
      </c>
      <c r="AJ296">
        <v>89.806366952064806</v>
      </c>
      <c r="AK296">
        <v>28.444072945935499</v>
      </c>
    </row>
    <row r="297" spans="1:37" x14ac:dyDescent="0.2">
      <c r="A297" t="str">
        <f>"20200111155506353"</f>
        <v>20200111155506353</v>
      </c>
      <c r="B297" t="str">
        <f>"1578729306343167"</f>
        <v>1578729306343167</v>
      </c>
      <c r="C297" t="s">
        <v>37</v>
      </c>
      <c r="D297">
        <v>4.8528479999999998</v>
      </c>
      <c r="E297">
        <v>0.55268139999999999</v>
      </c>
      <c r="F297" t="s">
        <v>39</v>
      </c>
      <c r="G297">
        <v>-418.76150000000001</v>
      </c>
      <c r="H297">
        <v>-0.05</v>
      </c>
      <c r="I297">
        <v>367.68639999999999</v>
      </c>
      <c r="J297">
        <v>-447.51389999999998</v>
      </c>
      <c r="K297">
        <v>1.103583</v>
      </c>
      <c r="L297">
        <v>367.57619999999997</v>
      </c>
      <c r="M297">
        <v>0.99996099999999999</v>
      </c>
      <c r="N297">
        <v>0</v>
      </c>
      <c r="O297">
        <v>8.1269830000000008E-3</v>
      </c>
      <c r="P297">
        <v>0.98988829999999906</v>
      </c>
      <c r="Q297">
        <v>-1.4891969999999999E-2</v>
      </c>
      <c r="R297">
        <v>0.141066</v>
      </c>
      <c r="S297">
        <v>3.0275880000000002</v>
      </c>
      <c r="T297">
        <v>-0.120826399999999</v>
      </c>
      <c r="U297">
        <v>1.165771E-2</v>
      </c>
      <c r="V297">
        <v>-0.133019</v>
      </c>
      <c r="W297">
        <v>-1.1425289999999999E-2</v>
      </c>
      <c r="X297">
        <v>0.99104760000000003</v>
      </c>
      <c r="Y297">
        <v>4.266766E-3</v>
      </c>
      <c r="Z297">
        <v>-4.0930900000000001E-4</v>
      </c>
      <c r="AA297">
        <v>0.99999079999999996</v>
      </c>
      <c r="AB297">
        <v>17</v>
      </c>
      <c r="AC297">
        <v>28.752399999999898</v>
      </c>
      <c r="AD297">
        <v>-1.153583</v>
      </c>
      <c r="AE297">
        <v>0.11020000000002</v>
      </c>
      <c r="AF297">
        <v>0.123276863684721</v>
      </c>
      <c r="AG297">
        <v>-1.153583</v>
      </c>
      <c r="AH297">
        <v>28.7061379793596</v>
      </c>
      <c r="AI297">
        <v>92.301225049389799</v>
      </c>
      <c r="AJ297">
        <v>89.753948072512301</v>
      </c>
      <c r="AK297">
        <v>28.729572022796301</v>
      </c>
    </row>
    <row r="298" spans="1:37" x14ac:dyDescent="0.2">
      <c r="A298" t="str">
        <f>"20200111155506369"</f>
        <v>20200111155506369</v>
      </c>
      <c r="B298" t="str">
        <f>"1578729306362688"</f>
        <v>1578729306362688</v>
      </c>
      <c r="C298" t="s">
        <v>37</v>
      </c>
      <c r="D298">
        <v>4.7918339999999997</v>
      </c>
      <c r="E298">
        <v>0.55296369999999995</v>
      </c>
      <c r="F298" t="s">
        <v>39</v>
      </c>
      <c r="G298">
        <v>-417.54849999999999</v>
      </c>
      <c r="H298">
        <v>-0.05</v>
      </c>
      <c r="I298">
        <v>367.65499999999997</v>
      </c>
      <c r="J298">
        <v>-447.39080000000001</v>
      </c>
      <c r="K298">
        <v>1.1035900000000001</v>
      </c>
      <c r="L298">
        <v>367.57709999999997</v>
      </c>
      <c r="M298">
        <v>0.99996200000000002</v>
      </c>
      <c r="N298">
        <v>0</v>
      </c>
      <c r="O298">
        <v>8.0177630000000007E-3</v>
      </c>
      <c r="P298">
        <v>0.99000909999999998</v>
      </c>
      <c r="Q298">
        <v>-1.4336160000000001E-2</v>
      </c>
      <c r="R298">
        <v>0.14027329999999999</v>
      </c>
      <c r="S298">
        <v>3.0278019999999999</v>
      </c>
      <c r="T298">
        <v>-0.1165615</v>
      </c>
      <c r="U298">
        <v>7.9650880000000004E-3</v>
      </c>
      <c r="V298">
        <v>-0.13233349999999999</v>
      </c>
      <c r="W298">
        <v>-1.0910319999999999E-2</v>
      </c>
      <c r="X298">
        <v>0.99114519999999995</v>
      </c>
      <c r="Y298">
        <v>5.3773040000000003E-3</v>
      </c>
      <c r="Z298">
        <v>-4.12011E-4</v>
      </c>
      <c r="AA298">
        <v>0.99998549999999997</v>
      </c>
      <c r="AB298">
        <v>17</v>
      </c>
      <c r="AC298">
        <v>29.842300000000002</v>
      </c>
      <c r="AD298">
        <v>-1.1535899999999999</v>
      </c>
      <c r="AE298">
        <v>7.7899999999999595E-2</v>
      </c>
      <c r="AF298">
        <v>0.161131616480259</v>
      </c>
      <c r="AG298">
        <v>-1.1535899999999999</v>
      </c>
      <c r="AH298">
        <v>29.797439291621998</v>
      </c>
      <c r="AI298">
        <v>92.217032168668894</v>
      </c>
      <c r="AJ298">
        <v>89.690172316707404</v>
      </c>
      <c r="AK298">
        <v>29.8201965389873</v>
      </c>
    </row>
    <row r="299" spans="1:37" x14ac:dyDescent="0.2">
      <c r="A299" t="str">
        <f>"20200111155506387"</f>
        <v>20200111155506387</v>
      </c>
      <c r="B299" t="str">
        <f>"1578729306383184"</f>
        <v>1578729306383184</v>
      </c>
      <c r="C299" t="s">
        <v>37</v>
      </c>
      <c r="D299">
        <v>4.8864580000000002</v>
      </c>
      <c r="E299">
        <v>0.55307450000000002</v>
      </c>
      <c r="F299" t="s">
        <v>39</v>
      </c>
      <c r="G299">
        <v>-416.70499999999998</v>
      </c>
      <c r="H299">
        <v>-0.05</v>
      </c>
      <c r="I299">
        <v>367.60890000000001</v>
      </c>
      <c r="J299">
        <v>-447.25119999999998</v>
      </c>
      <c r="K299">
        <v>1.1036109999999999</v>
      </c>
      <c r="L299">
        <v>367.57799999999997</v>
      </c>
      <c r="M299">
        <v>0.99996309999999999</v>
      </c>
      <c r="N299">
        <v>0</v>
      </c>
      <c r="O299">
        <v>7.9050100000000005E-3</v>
      </c>
      <c r="P299">
        <v>0.99020019999999997</v>
      </c>
      <c r="Q299">
        <v>-1.451761E-2</v>
      </c>
      <c r="R299">
        <v>0.13889949999999901</v>
      </c>
      <c r="S299">
        <v>3.0281370000000001</v>
      </c>
      <c r="T299">
        <v>-0.11383840000000001</v>
      </c>
      <c r="U299">
        <v>3.1433109999999898E-3</v>
      </c>
      <c r="V299">
        <v>-0.13106979999999999</v>
      </c>
      <c r="W299">
        <v>-1.1116569999999999E-2</v>
      </c>
      <c r="X299">
        <v>0.99131080000000005</v>
      </c>
      <c r="Y299">
        <v>6.8566219999999997E-3</v>
      </c>
      <c r="Z299">
        <v>-4.259081E-4</v>
      </c>
      <c r="AA299">
        <v>0.99997639999999999</v>
      </c>
      <c r="AB299">
        <v>18</v>
      </c>
      <c r="AC299">
        <v>30.546199999999999</v>
      </c>
      <c r="AD299">
        <v>-1.1536109999999999</v>
      </c>
      <c r="AE299">
        <v>3.0899999999974101E-2</v>
      </c>
      <c r="AF299">
        <v>0.21027044344648799</v>
      </c>
      <c r="AG299">
        <v>-1.1536109999999999</v>
      </c>
      <c r="AH299">
        <v>30.501985549304699</v>
      </c>
      <c r="AI299">
        <v>92.165891290088695</v>
      </c>
      <c r="AJ299">
        <v>89.605028397013399</v>
      </c>
      <c r="AK299">
        <v>30.5245172680699</v>
      </c>
    </row>
    <row r="300" spans="1:37" x14ac:dyDescent="0.2">
      <c r="A300" t="str">
        <f>"20200111155506409"</f>
        <v>20200111155506409</v>
      </c>
      <c r="B300" t="str">
        <f>"1578729306402703"</f>
        <v>1578729306402703</v>
      </c>
      <c r="C300" t="s">
        <v>37</v>
      </c>
      <c r="D300">
        <v>4.9377009999999997</v>
      </c>
      <c r="E300">
        <v>0.55298440000000004</v>
      </c>
      <c r="F300" t="s">
        <v>39</v>
      </c>
      <c r="G300">
        <v>-416.82740000000001</v>
      </c>
      <c r="H300">
        <v>-0.05</v>
      </c>
      <c r="I300">
        <v>367.56479999999999</v>
      </c>
      <c r="J300">
        <v>-447.06360000000001</v>
      </c>
      <c r="K300">
        <v>1.1036349999999999</v>
      </c>
      <c r="L300">
        <v>367.57929999999999</v>
      </c>
      <c r="M300">
        <v>0.99996390000000002</v>
      </c>
      <c r="N300">
        <v>0</v>
      </c>
      <c r="O300">
        <v>7.778765E-3</v>
      </c>
      <c r="P300">
        <v>0.99036800000000003</v>
      </c>
      <c r="Q300">
        <v>-1.5171799999999999E-2</v>
      </c>
      <c r="R300">
        <v>0.13762739999999901</v>
      </c>
      <c r="S300">
        <v>3.0281980000000002</v>
      </c>
      <c r="T300">
        <v>-0.114823299999999</v>
      </c>
      <c r="U300">
        <v>-1.3122559999999999E-3</v>
      </c>
      <c r="V300">
        <v>-0.1299216</v>
      </c>
      <c r="W300">
        <v>-1.176726E-2</v>
      </c>
      <c r="X300">
        <v>0.99145439999999996</v>
      </c>
      <c r="Y300">
        <v>8.2006590000000008E-3</v>
      </c>
      <c r="Z300">
        <v>-4.502698E-4</v>
      </c>
      <c r="AA300">
        <v>0.99996629999999997</v>
      </c>
      <c r="AB300">
        <v>18</v>
      </c>
      <c r="AC300">
        <v>30.2362</v>
      </c>
      <c r="AD300">
        <v>-1.153635</v>
      </c>
      <c r="AE300">
        <v>-1.4499999999998099E-2</v>
      </c>
      <c r="AF300">
        <v>0.24933825985430799</v>
      </c>
      <c r="AG300">
        <v>-1.153635</v>
      </c>
      <c r="AH300">
        <v>30.1912219797949</v>
      </c>
      <c r="AI300">
        <v>92.188186503466198</v>
      </c>
      <c r="AJ300">
        <v>89.526825870428098</v>
      </c>
      <c r="AK300">
        <v>30.214283508206901</v>
      </c>
    </row>
    <row r="301" spans="1:37" x14ac:dyDescent="0.2">
      <c r="A301" t="str">
        <f>"20200111155506423"</f>
        <v>20200111155506423</v>
      </c>
      <c r="B301" t="str">
        <f>"1578729306412464"</f>
        <v>1578729306412464</v>
      </c>
      <c r="C301" t="s">
        <v>37</v>
      </c>
      <c r="D301">
        <v>4.9188890000000001</v>
      </c>
      <c r="E301">
        <v>0.55292519999999901</v>
      </c>
      <c r="F301" t="s">
        <v>39</v>
      </c>
      <c r="G301">
        <v>-417.346</v>
      </c>
      <c r="H301">
        <v>-0.05</v>
      </c>
      <c r="I301">
        <v>367.53289999999998</v>
      </c>
      <c r="J301">
        <v>-446.9579</v>
      </c>
      <c r="K301">
        <v>1.10365</v>
      </c>
      <c r="L301">
        <v>367.58010000000002</v>
      </c>
      <c r="M301">
        <v>0.99996439999999998</v>
      </c>
      <c r="N301">
        <v>0</v>
      </c>
      <c r="O301">
        <v>7.721019E-3</v>
      </c>
      <c r="P301">
        <v>0.99046250000000002</v>
      </c>
      <c r="Q301">
        <v>-1.5528520000000001E-2</v>
      </c>
      <c r="R301">
        <v>0.13690459999999999</v>
      </c>
      <c r="S301">
        <v>3.028076</v>
      </c>
      <c r="T301">
        <v>-0.1175496</v>
      </c>
      <c r="U301">
        <v>-4.7302250000000002E-3</v>
      </c>
      <c r="V301">
        <v>-0.12925439999999999</v>
      </c>
      <c r="W301">
        <v>-1.2105080000000001E-2</v>
      </c>
      <c r="X301">
        <v>0.99153760000000002</v>
      </c>
      <c r="Y301">
        <v>9.2703309999999997E-3</v>
      </c>
      <c r="Z301">
        <v>-4.794849E-4</v>
      </c>
      <c r="AA301">
        <v>0.99995689999999904</v>
      </c>
      <c r="AB301">
        <v>18</v>
      </c>
      <c r="AC301">
        <v>29.611899999999899</v>
      </c>
      <c r="AD301">
        <v>-1.1536500000000001</v>
      </c>
      <c r="AE301">
        <v>-4.7200000000032098E-2</v>
      </c>
      <c r="AF301">
        <v>0.275415933676466</v>
      </c>
      <c r="AG301">
        <v>-1.1536500000000001</v>
      </c>
      <c r="AH301">
        <v>29.565777966843498</v>
      </c>
      <c r="AI301">
        <v>92.234437971722102</v>
      </c>
      <c r="AJ301">
        <v>89.466284492658602</v>
      </c>
      <c r="AK301">
        <v>29.589558784201401</v>
      </c>
    </row>
    <row r="302" spans="1:37" x14ac:dyDescent="0.2">
      <c r="A302" t="str">
        <f>"20200111155506434"</f>
        <v>20200111155506434</v>
      </c>
      <c r="B302" t="str">
        <f>"1578729306423201"</f>
        <v>1578729306423201</v>
      </c>
      <c r="C302" t="s">
        <v>37</v>
      </c>
      <c r="D302">
        <v>5.1042079999999999</v>
      </c>
      <c r="E302">
        <v>0.55275739999999995</v>
      </c>
      <c r="F302" t="s">
        <v>39</v>
      </c>
      <c r="G302">
        <v>-417.61669999999998</v>
      </c>
      <c r="H302">
        <v>-0.05</v>
      </c>
      <c r="I302">
        <v>367.51830000000001</v>
      </c>
      <c r="J302">
        <v>-446.85730000000001</v>
      </c>
      <c r="K302">
        <v>1.1036699999999999</v>
      </c>
      <c r="L302">
        <v>367.58069999999998</v>
      </c>
      <c r="M302">
        <v>0.99996469999999904</v>
      </c>
      <c r="N302">
        <v>0</v>
      </c>
      <c r="O302">
        <v>7.6768449999999998E-3</v>
      </c>
      <c r="P302">
        <v>0.99050819999999995</v>
      </c>
      <c r="Q302">
        <v>-1.6046830000000002E-2</v>
      </c>
      <c r="R302">
        <v>0.1365142</v>
      </c>
      <c r="S302">
        <v>3.0279240000000001</v>
      </c>
      <c r="T302">
        <v>-0.1190531</v>
      </c>
      <c r="U302">
        <v>-6.3781740000000003E-3</v>
      </c>
      <c r="V302">
        <v>-0.12890750000000001</v>
      </c>
      <c r="W302">
        <v>-1.25933E-2</v>
      </c>
      <c r="X302">
        <v>0.99157669999999998</v>
      </c>
      <c r="Y302">
        <v>9.7697779999999998E-3</v>
      </c>
      <c r="Z302">
        <v>-4.9371620000000001E-4</v>
      </c>
      <c r="AA302">
        <v>0.99995210000000001</v>
      </c>
      <c r="AB302">
        <v>18</v>
      </c>
      <c r="AC302">
        <v>29.240600000000001</v>
      </c>
      <c r="AD302">
        <v>-1.15367</v>
      </c>
      <c r="AE302">
        <v>-6.2399999999968203E-2</v>
      </c>
      <c r="AF302">
        <v>0.28642915679186498</v>
      </c>
      <c r="AG302">
        <v>-1.15367</v>
      </c>
      <c r="AH302">
        <v>29.193814997406001</v>
      </c>
      <c r="AI302">
        <v>92.262906354899798</v>
      </c>
      <c r="AJ302">
        <v>89.437872191179395</v>
      </c>
      <c r="AK302">
        <v>29.218005240493898</v>
      </c>
    </row>
    <row r="303" spans="1:37" x14ac:dyDescent="0.2">
      <c r="A303" t="str">
        <f>"20200111155506453"</f>
        <v>20200111155506453</v>
      </c>
      <c r="B303" t="str">
        <f>"1578729306442722"</f>
        <v>1578729306442722</v>
      </c>
      <c r="C303" t="s">
        <v>37</v>
      </c>
      <c r="D303">
        <v>5.1027800000000001</v>
      </c>
      <c r="E303">
        <v>0.55255319999999997</v>
      </c>
      <c r="F303" t="s">
        <v>39</v>
      </c>
      <c r="G303">
        <v>-417.94889999999998</v>
      </c>
      <c r="H303">
        <v>-0.05</v>
      </c>
      <c r="I303">
        <v>367.52159999999998</v>
      </c>
      <c r="J303">
        <v>-446.71809999999999</v>
      </c>
      <c r="K303">
        <v>1.103694</v>
      </c>
      <c r="L303">
        <v>367.58179999999999</v>
      </c>
      <c r="M303">
        <v>0.99996469999999904</v>
      </c>
      <c r="N303">
        <v>0</v>
      </c>
      <c r="O303">
        <v>7.6359699999999997E-3</v>
      </c>
      <c r="P303">
        <v>0.99063069999999898</v>
      </c>
      <c r="Q303">
        <v>-1.7060120000000002E-2</v>
      </c>
      <c r="R303">
        <v>0.13549900000000001</v>
      </c>
      <c r="S303">
        <v>3.0276179999999999</v>
      </c>
      <c r="T303">
        <v>-0.1208253</v>
      </c>
      <c r="U303">
        <v>-6.1950679999999998E-3</v>
      </c>
      <c r="V303">
        <v>-0.127931399999999</v>
      </c>
      <c r="W303">
        <v>-1.3543060000000001E-2</v>
      </c>
      <c r="X303">
        <v>0.99169059999999898</v>
      </c>
      <c r="Y303">
        <v>9.6683499999999992E-3</v>
      </c>
      <c r="Z303">
        <v>-4.9745659999999995E-4</v>
      </c>
      <c r="AA303">
        <v>0.99995319999999899</v>
      </c>
      <c r="AB303">
        <v>18</v>
      </c>
      <c r="AC303">
        <v>28.769200000000001</v>
      </c>
      <c r="AD303">
        <v>-1.153694</v>
      </c>
      <c r="AE303">
        <v>-6.0200000000008899E-2</v>
      </c>
      <c r="AF303">
        <v>0.27943097896062902</v>
      </c>
      <c r="AG303">
        <v>-1.153694</v>
      </c>
      <c r="AH303">
        <v>28.721713022127101</v>
      </c>
      <c r="AI303">
        <v>92.300112017984901</v>
      </c>
      <c r="AJ303">
        <v>89.442592068077005</v>
      </c>
      <c r="AK303">
        <v>28.746232630434601</v>
      </c>
    </row>
    <row r="304" spans="1:37" x14ac:dyDescent="0.2">
      <c r="A304" t="str">
        <f>"20200111155506466"</f>
        <v>20200111155506466</v>
      </c>
      <c r="B304" t="str">
        <f>"1578729306463215"</f>
        <v>1578729306463215</v>
      </c>
      <c r="C304" t="s">
        <v>37</v>
      </c>
      <c r="D304">
        <v>5.0141650000000002</v>
      </c>
      <c r="E304">
        <v>0.55245480000000002</v>
      </c>
      <c r="F304" t="s">
        <v>39</v>
      </c>
      <c r="G304">
        <v>-418.63760000000002</v>
      </c>
      <c r="H304">
        <v>-0.05</v>
      </c>
      <c r="I304">
        <v>367.50979999999998</v>
      </c>
      <c r="J304">
        <v>-446.60520000000002</v>
      </c>
      <c r="K304">
        <v>1.10372</v>
      </c>
      <c r="L304">
        <v>367.58260000000001</v>
      </c>
      <c r="M304">
        <v>0.99996459999999998</v>
      </c>
      <c r="N304">
        <v>0</v>
      </c>
      <c r="O304">
        <v>7.6157530000000003E-3</v>
      </c>
      <c r="P304">
        <v>0.99069359999999995</v>
      </c>
      <c r="Q304">
        <v>-1.6689969999999998E-2</v>
      </c>
      <c r="R304">
        <v>0.1350847</v>
      </c>
      <c r="S304">
        <v>3.0273129999999999</v>
      </c>
      <c r="T304">
        <v>-0.1243776</v>
      </c>
      <c r="U304">
        <v>-7.7514649999999999E-3</v>
      </c>
      <c r="V304">
        <v>-0.12753629999999999</v>
      </c>
      <c r="W304">
        <v>-1.310477E-2</v>
      </c>
      <c r="X304">
        <v>0.9917473</v>
      </c>
      <c r="Y304">
        <v>1.016121E-2</v>
      </c>
      <c r="Z304">
        <v>-5.2141139999999997E-4</v>
      </c>
      <c r="AA304">
        <v>0.99994830000000001</v>
      </c>
      <c r="AB304">
        <v>18</v>
      </c>
      <c r="AC304">
        <v>27.967600000000001</v>
      </c>
      <c r="AD304">
        <v>-1.1537200000000001</v>
      </c>
      <c r="AE304">
        <v>-7.2800000000029202E-2</v>
      </c>
      <c r="AF304">
        <v>0.28530807165398497</v>
      </c>
      <c r="AG304">
        <v>-1.1537200000000001</v>
      </c>
      <c r="AH304">
        <v>27.9187247050608</v>
      </c>
      <c r="AI304">
        <v>92.366234575264997</v>
      </c>
      <c r="AJ304">
        <v>89.414501216565398</v>
      </c>
      <c r="AK304">
        <v>27.944009370366398</v>
      </c>
    </row>
    <row r="305" spans="1:37" x14ac:dyDescent="0.2">
      <c r="A305" t="str">
        <f>"20200111155506479"</f>
        <v>20200111155506479</v>
      </c>
      <c r="B305" t="str">
        <f>"1578729306472975"</f>
        <v>1578729306472975</v>
      </c>
      <c r="C305" t="s">
        <v>37</v>
      </c>
      <c r="D305">
        <v>4.9331829999999997</v>
      </c>
      <c r="E305">
        <v>0.55233989999999999</v>
      </c>
      <c r="F305" t="s">
        <v>39</v>
      </c>
      <c r="G305">
        <v>-418.40789999999998</v>
      </c>
      <c r="H305">
        <v>-0.05</v>
      </c>
      <c r="I305">
        <v>367.50670000000002</v>
      </c>
      <c r="J305">
        <v>-446.4984</v>
      </c>
      <c r="K305">
        <v>1.103747</v>
      </c>
      <c r="L305">
        <v>367.58339999999998</v>
      </c>
      <c r="M305">
        <v>0.99996430000000003</v>
      </c>
      <c r="N305">
        <v>0</v>
      </c>
      <c r="O305">
        <v>7.6042790000000002E-3</v>
      </c>
      <c r="P305">
        <v>0.99074549999999995</v>
      </c>
      <c r="Q305">
        <v>-1.64447E-2</v>
      </c>
      <c r="R305">
        <v>0.13473350000000001</v>
      </c>
      <c r="S305">
        <v>3.0272519999999998</v>
      </c>
      <c r="T305">
        <v>-0.12386269999999901</v>
      </c>
      <c r="U305">
        <v>-8.1481929999999998E-3</v>
      </c>
      <c r="V305">
        <v>-0.12719539999999999</v>
      </c>
      <c r="W305">
        <v>-1.278465E-2</v>
      </c>
      <c r="X305">
        <v>0.99179530000000005</v>
      </c>
      <c r="Y305">
        <v>1.0280859999999999E-2</v>
      </c>
      <c r="Z305">
        <v>-5.2124300000000001E-4</v>
      </c>
      <c r="AA305">
        <v>0.99994699999999903</v>
      </c>
      <c r="AB305">
        <v>18</v>
      </c>
      <c r="AC305">
        <v>28.090499999999999</v>
      </c>
      <c r="AD305">
        <v>-1.1537470000000001</v>
      </c>
      <c r="AE305">
        <v>-7.66999999999598E-2</v>
      </c>
      <c r="AF305">
        <v>0.28981832593060902</v>
      </c>
      <c r="AG305">
        <v>-1.1537470000000001</v>
      </c>
      <c r="AH305">
        <v>28.041799794016001</v>
      </c>
      <c r="AI305">
        <v>92.3559131962854</v>
      </c>
      <c r="AJ305">
        <v>89.407856278245404</v>
      </c>
      <c r="AK305">
        <v>28.0670209051429</v>
      </c>
    </row>
    <row r="306" spans="1:37" x14ac:dyDescent="0.2">
      <c r="A306" t="str">
        <f>"20200111155506493"</f>
        <v>20200111155506493</v>
      </c>
      <c r="B306" t="str">
        <f>"1578729306483243"</f>
        <v>1578729306483243</v>
      </c>
      <c r="C306" t="s">
        <v>37</v>
      </c>
      <c r="D306">
        <v>4.9529920000000001</v>
      </c>
      <c r="E306">
        <v>0.55238350000000003</v>
      </c>
      <c r="F306" t="s">
        <v>39</v>
      </c>
      <c r="G306">
        <v>-418.226</v>
      </c>
      <c r="H306">
        <v>-0.05</v>
      </c>
      <c r="I306">
        <v>367.5052</v>
      </c>
      <c r="J306">
        <v>-446.38170000000002</v>
      </c>
      <c r="K306">
        <v>1.103777</v>
      </c>
      <c r="L306">
        <v>367.58429999999998</v>
      </c>
      <c r="M306">
        <v>0.99996390000000002</v>
      </c>
      <c r="N306">
        <v>0</v>
      </c>
      <c r="O306">
        <v>7.6080089999999998E-3</v>
      </c>
      <c r="P306">
        <v>0.99084249999999996</v>
      </c>
      <c r="Q306">
        <v>-1.531357E-2</v>
      </c>
      <c r="R306">
        <v>0.13415150000000001</v>
      </c>
      <c r="S306">
        <v>3.027161</v>
      </c>
      <c r="T306">
        <v>-0.123533399999999</v>
      </c>
      <c r="U306">
        <v>-8.3618159999999993E-3</v>
      </c>
      <c r="V306">
        <v>-0.12660850000000001</v>
      </c>
      <c r="W306">
        <v>-1.1551809999999999E-2</v>
      </c>
      <c r="X306">
        <v>0.99188549999999998</v>
      </c>
      <c r="Y306">
        <v>1.035526E-2</v>
      </c>
      <c r="Z306">
        <v>-5.2154329999999996E-4</v>
      </c>
      <c r="AA306">
        <v>0.99994620000000001</v>
      </c>
      <c r="AB306">
        <v>18</v>
      </c>
      <c r="AC306">
        <v>28.1557</v>
      </c>
      <c r="AD306">
        <v>-1.1537770000000001</v>
      </c>
      <c r="AE306">
        <v>-7.9099999999982601E-2</v>
      </c>
      <c r="AF306">
        <v>0.292816359961656</v>
      </c>
      <c r="AG306">
        <v>-1.1537770000000001</v>
      </c>
      <c r="AH306">
        <v>28.107085339919301</v>
      </c>
      <c r="AI306">
        <v>92.350506193748899</v>
      </c>
      <c r="AJ306">
        <v>89.403120797448906</v>
      </c>
      <c r="AK306">
        <v>28.1322801971667</v>
      </c>
    </row>
    <row r="307" spans="1:37" x14ac:dyDescent="0.2">
      <c r="A307" t="str">
        <f>"20200111155506510"</f>
        <v>20200111155506510</v>
      </c>
      <c r="B307" t="str">
        <f>"1578729306502763"</f>
        <v>1578729306502763</v>
      </c>
      <c r="C307" t="s">
        <v>37</v>
      </c>
      <c r="D307">
        <v>4.9975540000000001</v>
      </c>
      <c r="E307">
        <v>0.55231589999999997</v>
      </c>
      <c r="F307" t="s">
        <v>39</v>
      </c>
      <c r="G307">
        <v>-417.25779999999997</v>
      </c>
      <c r="H307">
        <v>-0.05</v>
      </c>
      <c r="I307">
        <v>367.48270000000002</v>
      </c>
      <c r="J307">
        <v>-446.24470000000002</v>
      </c>
      <c r="K307">
        <v>1.1038129999999999</v>
      </c>
      <c r="L307">
        <v>367.58530000000002</v>
      </c>
      <c r="M307">
        <v>0.9999633</v>
      </c>
      <c r="N307">
        <v>0</v>
      </c>
      <c r="O307">
        <v>7.6257460000000001E-3</v>
      </c>
      <c r="P307">
        <v>0.99094919999999997</v>
      </c>
      <c r="Q307">
        <v>-1.486958E-2</v>
      </c>
      <c r="R307">
        <v>0.13341320000000001</v>
      </c>
      <c r="S307">
        <v>3.0273129999999999</v>
      </c>
      <c r="T307">
        <v>-0.11993039999999899</v>
      </c>
      <c r="U307">
        <v>-1.055908E-2</v>
      </c>
      <c r="V307">
        <v>-0.12585199999999999</v>
      </c>
      <c r="W307">
        <v>-1.097654E-2</v>
      </c>
      <c r="X307">
        <v>0.99198829999999905</v>
      </c>
      <c r="Y307">
        <v>1.109888E-2</v>
      </c>
      <c r="Z307">
        <v>-5.2174470000000001E-4</v>
      </c>
      <c r="AA307">
        <v>0.9999382</v>
      </c>
      <c r="AB307">
        <v>18</v>
      </c>
      <c r="AC307">
        <v>28.986899999999999</v>
      </c>
      <c r="AD307">
        <v>-1.153813</v>
      </c>
      <c r="AE307">
        <v>-0.102599999999995</v>
      </c>
      <c r="AF307">
        <v>0.32313346939599402</v>
      </c>
      <c r="AG307">
        <v>-1.153813</v>
      </c>
      <c r="AH307">
        <v>28.939423434647502</v>
      </c>
      <c r="AI307">
        <v>92.283027703991493</v>
      </c>
      <c r="AJ307">
        <v>89.360270093559194</v>
      </c>
      <c r="AK307">
        <v>28.964218070022799</v>
      </c>
    </row>
    <row r="308" spans="1:37" x14ac:dyDescent="0.2">
      <c r="A308" t="str">
        <f>"20200111155506524"</f>
        <v>20200111155506524</v>
      </c>
      <c r="B308" t="str">
        <f>"1578729306512523"</f>
        <v>1578729306512523</v>
      </c>
      <c r="C308" t="s">
        <v>37</v>
      </c>
      <c r="D308">
        <v>4.9771900000000002</v>
      </c>
      <c r="E308">
        <v>0.55218409999999996</v>
      </c>
      <c r="F308" t="s">
        <v>39</v>
      </c>
      <c r="G308">
        <v>-416.84320000000002</v>
      </c>
      <c r="H308">
        <v>-0.05</v>
      </c>
      <c r="I308">
        <v>367.46969999999999</v>
      </c>
      <c r="J308">
        <v>-446.12520000000001</v>
      </c>
      <c r="K308">
        <v>1.1038379999999901</v>
      </c>
      <c r="L308">
        <v>367.58629999999999</v>
      </c>
      <c r="M308">
        <v>0.99996240000000003</v>
      </c>
      <c r="N308">
        <v>0</v>
      </c>
      <c r="O308">
        <v>7.6545679999999996E-3</v>
      </c>
      <c r="P308">
        <v>0.99103529999999995</v>
      </c>
      <c r="Q308">
        <v>-1.4572160000000001E-2</v>
      </c>
      <c r="R308">
        <v>0.13280320000000001</v>
      </c>
      <c r="S308">
        <v>3.0272220000000001</v>
      </c>
      <c r="T308">
        <v>-0.1187984</v>
      </c>
      <c r="U308">
        <v>-1.190186E-2</v>
      </c>
      <c r="V308">
        <v>-0.12521260000000001</v>
      </c>
      <c r="W308">
        <v>-1.0555429999999999E-2</v>
      </c>
      <c r="X308">
        <v>0.99207380000000001</v>
      </c>
      <c r="Y308">
        <v>1.157124E-2</v>
      </c>
      <c r="Z308">
        <v>-5.2723470000000004E-4</v>
      </c>
      <c r="AA308">
        <v>0.99993290000000001</v>
      </c>
      <c r="AB308">
        <v>18</v>
      </c>
      <c r="AC308">
        <v>29.281999999999901</v>
      </c>
      <c r="AD308">
        <v>-1.1538379999999999</v>
      </c>
      <c r="AE308">
        <v>-0.11660000000000501</v>
      </c>
      <c r="AF308">
        <v>0.34021126676911501</v>
      </c>
      <c r="AG308">
        <v>-1.1538379999999999</v>
      </c>
      <c r="AH308">
        <v>29.234857280575699</v>
      </c>
      <c r="AI308">
        <v>92.260017320437001</v>
      </c>
      <c r="AJ308">
        <v>89.333268854764199</v>
      </c>
      <c r="AK308">
        <v>29.259596136172298</v>
      </c>
    </row>
    <row r="309" spans="1:37" x14ac:dyDescent="0.2">
      <c r="A309" t="str">
        <f>"20200111155506955"</f>
        <v>20200111155506955</v>
      </c>
      <c r="B309" t="str">
        <f>"1578729306953211"</f>
        <v>1578729306953211</v>
      </c>
      <c r="C309" t="s">
        <v>37</v>
      </c>
      <c r="D309">
        <v>5.1883419999999996</v>
      </c>
      <c r="E309">
        <v>0.55268240000000002</v>
      </c>
      <c r="F309" t="s">
        <v>39</v>
      </c>
      <c r="G309">
        <v>-416.6277</v>
      </c>
      <c r="H309">
        <v>-0.05</v>
      </c>
      <c r="I309">
        <v>367.46019999999999</v>
      </c>
      <c r="J309">
        <v>-442.45940000000002</v>
      </c>
      <c r="K309">
        <v>1.1048069999999901</v>
      </c>
      <c r="L309">
        <v>367.62290000000002</v>
      </c>
      <c r="M309">
        <v>0.99987009999999898</v>
      </c>
      <c r="N309">
        <v>0</v>
      </c>
      <c r="O309">
        <v>1.0653940000000001E-2</v>
      </c>
      <c r="P309">
        <v>0.99001539999999999</v>
      </c>
      <c r="Q309">
        <v>-1.3533440000000001E-2</v>
      </c>
      <c r="R309">
        <v>0.14030789999999899</v>
      </c>
      <c r="S309">
        <v>3.0271300000000001</v>
      </c>
      <c r="T309">
        <v>-0.118410899999999</v>
      </c>
      <c r="U309">
        <v>-1.293945E-2</v>
      </c>
      <c r="V309">
        <v>-0.12975119999999901</v>
      </c>
      <c r="W309">
        <v>-1.56007E-3</v>
      </c>
      <c r="X309">
        <v>0.99154540000000002</v>
      </c>
      <c r="Y309">
        <v>1.490928E-2</v>
      </c>
      <c r="Z309">
        <v>-7.0809829999999999E-4</v>
      </c>
      <c r="AA309">
        <v>0.99988860000000002</v>
      </c>
      <c r="AB309">
        <v>19</v>
      </c>
      <c r="AC309">
        <v>25.831700000000001</v>
      </c>
      <c r="AD309">
        <v>-1.1548069999999999</v>
      </c>
      <c r="AE309">
        <v>-0.16270000000002899</v>
      </c>
      <c r="AF309">
        <v>0.43704685614076999</v>
      </c>
      <c r="AG309">
        <v>-1.1548069999999999</v>
      </c>
      <c r="AH309">
        <v>25.776985895883399</v>
      </c>
      <c r="AI309">
        <v>92.564763237037695</v>
      </c>
      <c r="AJ309">
        <v>89.028647440811199</v>
      </c>
      <c r="AK309">
        <v>25.8065416326613</v>
      </c>
    </row>
    <row r="310" spans="1:37" x14ac:dyDescent="0.2">
      <c r="A310" t="str">
        <f>"20200111155506967"</f>
        <v>20200111155506967</v>
      </c>
      <c r="B310" t="str">
        <f>"1578729306962971"</f>
        <v>1578729306962971</v>
      </c>
      <c r="C310" t="s">
        <v>37</v>
      </c>
      <c r="D310">
        <v>5.1239410000000003</v>
      </c>
      <c r="E310">
        <v>0.5528286</v>
      </c>
      <c r="F310" t="s">
        <v>39</v>
      </c>
      <c r="G310">
        <v>-410.54840000000002</v>
      </c>
      <c r="H310">
        <v>-0.05</v>
      </c>
      <c r="I310">
        <v>367.68009999999998</v>
      </c>
      <c r="J310">
        <v>-442.35640000000001</v>
      </c>
      <c r="K310">
        <v>1.104811</v>
      </c>
      <c r="L310">
        <v>367.6241</v>
      </c>
      <c r="M310">
        <v>0.99986730000000001</v>
      </c>
      <c r="N310">
        <v>0</v>
      </c>
      <c r="O310">
        <v>1.074168E-2</v>
      </c>
      <c r="P310">
        <v>0.98994950000000004</v>
      </c>
      <c r="Q310">
        <v>-1.3701899999999999E-2</v>
      </c>
      <c r="R310">
        <v>0.14075589999999999</v>
      </c>
      <c r="S310">
        <v>3.0279849999999899</v>
      </c>
      <c r="T310">
        <v>-0.1095781</v>
      </c>
      <c r="U310">
        <v>5.432129E-3</v>
      </c>
      <c r="V310">
        <v>-0.13011329999999999</v>
      </c>
      <c r="W310">
        <v>-1.5755610000000001E-3</v>
      </c>
      <c r="X310">
        <v>0.99149789999999904</v>
      </c>
      <c r="Y310">
        <v>8.9357199999999994E-3</v>
      </c>
      <c r="Z310">
        <v>-5.5025180000000003E-4</v>
      </c>
      <c r="AA310">
        <v>0.99995990000000001</v>
      </c>
      <c r="AB310">
        <v>19</v>
      </c>
      <c r="AC310">
        <v>31.808</v>
      </c>
      <c r="AD310">
        <v>-1.154811</v>
      </c>
      <c r="AE310">
        <v>5.5999999999983098E-2</v>
      </c>
      <c r="AF310">
        <v>0.28532413156263098</v>
      </c>
      <c r="AG310">
        <v>-1.154811</v>
      </c>
      <c r="AH310">
        <v>31.764896936671299</v>
      </c>
      <c r="AI310">
        <v>92.081983897954402</v>
      </c>
      <c r="AJ310">
        <v>89.485361815574095</v>
      </c>
      <c r="AK310">
        <v>31.787162120943101</v>
      </c>
    </row>
    <row r="311" spans="1:37" x14ac:dyDescent="0.2">
      <c r="A311" t="str">
        <f>"20200111155506980"</f>
        <v>20200111155506980</v>
      </c>
      <c r="B311" t="str">
        <f>"1578729306972731"</f>
        <v>1578729306972731</v>
      </c>
      <c r="C311" t="s">
        <v>37</v>
      </c>
      <c r="D311">
        <v>5.100149</v>
      </c>
      <c r="E311">
        <v>0.55299069999999995</v>
      </c>
      <c r="F311" t="s">
        <v>39</v>
      </c>
      <c r="G311">
        <v>-410.6191</v>
      </c>
      <c r="H311">
        <v>-0.05</v>
      </c>
      <c r="I311">
        <v>367.68610000000001</v>
      </c>
      <c r="J311">
        <v>-442.24489999999997</v>
      </c>
      <c r="K311">
        <v>1.1048149999999901</v>
      </c>
      <c r="L311">
        <v>367.62540000000001</v>
      </c>
      <c r="M311">
        <v>0.99986430000000004</v>
      </c>
      <c r="N311">
        <v>0</v>
      </c>
      <c r="O311">
        <v>1.083666E-2</v>
      </c>
      <c r="P311">
        <v>0.9898728</v>
      </c>
      <c r="Q311">
        <v>-1.390402E-2</v>
      </c>
      <c r="R311">
        <v>0.14127629999999999</v>
      </c>
      <c r="S311">
        <v>3.028076</v>
      </c>
      <c r="T311">
        <v>-0.110181399999999</v>
      </c>
      <c r="U311">
        <v>5.9204100000000001E-3</v>
      </c>
      <c r="V311">
        <v>-0.1305402</v>
      </c>
      <c r="W311">
        <v>-1.620788E-3</v>
      </c>
      <c r="X311">
        <v>0.99144169999999998</v>
      </c>
      <c r="Y311">
        <v>8.8693769999999995E-3</v>
      </c>
      <c r="Z311">
        <v>-5.5551139999999999E-4</v>
      </c>
      <c r="AA311">
        <v>0.99996049999999903</v>
      </c>
      <c r="AB311">
        <v>19</v>
      </c>
      <c r="AC311">
        <v>31.625799999999899</v>
      </c>
      <c r="AD311">
        <v>-1.1548149999999999</v>
      </c>
      <c r="AE311">
        <v>6.0699999999996999E-2</v>
      </c>
      <c r="AF311">
        <v>0.28167242557686201</v>
      </c>
      <c r="AG311">
        <v>-1.1548149999999999</v>
      </c>
      <c r="AH311">
        <v>31.582490407616501</v>
      </c>
      <c r="AI311">
        <v>92.094006284626801</v>
      </c>
      <c r="AJ311">
        <v>89.489013909177302</v>
      </c>
      <c r="AK311">
        <v>31.604851484965799</v>
      </c>
    </row>
    <row r="312" spans="1:37" x14ac:dyDescent="0.2">
      <c r="A312" t="str">
        <f>"20200111155506994"</f>
        <v>20200111155506994</v>
      </c>
      <c r="B312" t="str">
        <f>"1578729306982493"</f>
        <v>1578729306982493</v>
      </c>
      <c r="C312" t="s">
        <v>37</v>
      </c>
      <c r="D312">
        <v>5.1399739999999996</v>
      </c>
      <c r="E312">
        <v>0.55316430000000005</v>
      </c>
      <c r="F312" t="s">
        <v>39</v>
      </c>
      <c r="G312">
        <v>-410.70850000000002</v>
      </c>
      <c r="H312">
        <v>-0.05</v>
      </c>
      <c r="I312">
        <v>367.68699999999899</v>
      </c>
      <c r="J312">
        <v>-442.13690000000003</v>
      </c>
      <c r="K312">
        <v>1.104822</v>
      </c>
      <c r="L312">
        <v>367.6266</v>
      </c>
      <c r="M312">
        <v>0.99986160000000002</v>
      </c>
      <c r="N312">
        <v>0</v>
      </c>
      <c r="O312">
        <v>1.092829E-2</v>
      </c>
      <c r="P312">
        <v>0.98981019999999897</v>
      </c>
      <c r="Q312">
        <v>-1.4397210000000001E-2</v>
      </c>
      <c r="R312">
        <v>0.14166409999999999</v>
      </c>
      <c r="S312">
        <v>3.0282900000000001</v>
      </c>
      <c r="T312">
        <v>-0.1108912</v>
      </c>
      <c r="U312">
        <v>5.9204100000000001E-3</v>
      </c>
      <c r="V312">
        <v>-0.1308375</v>
      </c>
      <c r="W312">
        <v>-1.9759479999999999E-3</v>
      </c>
      <c r="X312">
        <v>0.99140189999999995</v>
      </c>
      <c r="Y312">
        <v>8.9608810000000004E-3</v>
      </c>
      <c r="Z312">
        <v>-5.6407829999999997E-4</v>
      </c>
      <c r="AA312">
        <v>0.99995970000000001</v>
      </c>
      <c r="AB312">
        <v>19</v>
      </c>
      <c r="AC312">
        <v>31.4284</v>
      </c>
      <c r="AD312">
        <v>-1.154822</v>
      </c>
      <c r="AE312">
        <v>6.0399999999958702E-2</v>
      </c>
      <c r="AF312">
        <v>0.28270760282811103</v>
      </c>
      <c r="AG312">
        <v>-1.154822</v>
      </c>
      <c r="AH312">
        <v>31.3848086736282</v>
      </c>
      <c r="AI312">
        <v>92.107194910913904</v>
      </c>
      <c r="AJ312">
        <v>89.4839059059927</v>
      </c>
      <c r="AK312">
        <v>31.407320053144101</v>
      </c>
    </row>
    <row r="313" spans="1:37" x14ac:dyDescent="0.2">
      <c r="A313" t="str">
        <f>"20200111155507011"</f>
        <v>20200111155507011</v>
      </c>
      <c r="B313" t="str">
        <f>"1578729307002987"</f>
        <v>1578729307002987</v>
      </c>
      <c r="C313" t="s">
        <v>37</v>
      </c>
      <c r="D313">
        <v>5.2331589999999997</v>
      </c>
      <c r="E313">
        <v>0.55343249999999999</v>
      </c>
      <c r="F313" t="s">
        <v>39</v>
      </c>
      <c r="G313">
        <v>-411.02390000000003</v>
      </c>
      <c r="H313">
        <v>-0.05</v>
      </c>
      <c r="I313">
        <v>367.68619999999999</v>
      </c>
      <c r="J313">
        <v>-441.9923</v>
      </c>
      <c r="K313">
        <v>1.1048229999999899</v>
      </c>
      <c r="L313">
        <v>367.6284</v>
      </c>
      <c r="M313">
        <v>0.99985809999999997</v>
      </c>
      <c r="N313">
        <v>0</v>
      </c>
      <c r="O313">
        <v>1.105077E-2</v>
      </c>
      <c r="P313">
        <v>0.98969839999999998</v>
      </c>
      <c r="Q313">
        <v>-1.492275E-2</v>
      </c>
      <c r="R313">
        <v>0.1423885</v>
      </c>
      <c r="S313">
        <v>3.028381</v>
      </c>
      <c r="T313">
        <v>-0.112404399999999</v>
      </c>
      <c r="U313">
        <v>5.7983399999999999E-3</v>
      </c>
      <c r="V313">
        <v>-0.13144159999999999</v>
      </c>
      <c r="W313">
        <v>-2.3332629999999999E-3</v>
      </c>
      <c r="X313">
        <v>0.99132109999999996</v>
      </c>
      <c r="Y313">
        <v>9.1232029999999999E-3</v>
      </c>
      <c r="Z313">
        <v>-5.7930999999999998E-4</v>
      </c>
      <c r="AA313">
        <v>0.99995820000000002</v>
      </c>
      <c r="AB313">
        <v>19</v>
      </c>
      <c r="AC313">
        <v>30.9683999999999</v>
      </c>
      <c r="AD313">
        <v>-1.1548229999999999</v>
      </c>
      <c r="AE313">
        <v>5.7799999999986001E-2</v>
      </c>
      <c r="AF313">
        <v>0.28406085548920801</v>
      </c>
      <c r="AG313">
        <v>-1.1548229999999999</v>
      </c>
      <c r="AH313">
        <v>30.924145415142199</v>
      </c>
      <c r="AI313">
        <v>92.138554317331099</v>
      </c>
      <c r="AJ313">
        <v>89.473711231574001</v>
      </c>
      <c r="AK313">
        <v>30.947004320092301</v>
      </c>
    </row>
    <row r="314" spans="1:37" x14ac:dyDescent="0.2">
      <c r="A314" t="str">
        <f>"20200111155507024"</f>
        <v>20200111155507024</v>
      </c>
      <c r="B314" t="str">
        <f>"1578729307012748"</f>
        <v>1578729307012748</v>
      </c>
      <c r="C314" t="s">
        <v>37</v>
      </c>
      <c r="D314">
        <v>5.1281299999999996</v>
      </c>
      <c r="E314">
        <v>0.55360600000000004</v>
      </c>
      <c r="F314" t="s">
        <v>39</v>
      </c>
      <c r="G314">
        <v>-411.05509999999998</v>
      </c>
      <c r="H314">
        <v>-0.05</v>
      </c>
      <c r="I314">
        <v>367.68669999999997</v>
      </c>
      <c r="J314">
        <v>-441.88310000000001</v>
      </c>
      <c r="K314">
        <v>1.1048290000000001</v>
      </c>
      <c r="L314">
        <v>367.62970000000001</v>
      </c>
      <c r="M314">
        <v>0.99985550000000001</v>
      </c>
      <c r="N314">
        <v>0</v>
      </c>
      <c r="O314">
        <v>1.1143419999999999E-2</v>
      </c>
      <c r="P314">
        <v>0.98963699999999999</v>
      </c>
      <c r="Q314">
        <v>-1.5173580000000001E-2</v>
      </c>
      <c r="R314">
        <v>0.14278859999999999</v>
      </c>
      <c r="S314">
        <v>3.0287169999999999</v>
      </c>
      <c r="T314">
        <v>-0.113055999999999</v>
      </c>
      <c r="U314">
        <v>5.7067869999999996E-3</v>
      </c>
      <c r="V314">
        <v>-0.13175020000000001</v>
      </c>
      <c r="W314">
        <v>-2.4679049999999998E-3</v>
      </c>
      <c r="X314">
        <v>0.99127989999999999</v>
      </c>
      <c r="Y314">
        <v>9.246008E-3</v>
      </c>
      <c r="Z314">
        <v>-5.8835059999999995E-4</v>
      </c>
      <c r="AA314">
        <v>0.99995710000000004</v>
      </c>
      <c r="AB314">
        <v>19</v>
      </c>
      <c r="AC314">
        <v>30.827999999999999</v>
      </c>
      <c r="AD314">
        <v>-1.1548290000000001</v>
      </c>
      <c r="AE314">
        <v>5.69999999999595E-2</v>
      </c>
      <c r="AF314">
        <v>0.28615964131987198</v>
      </c>
      <c r="AG314">
        <v>-1.1548290000000001</v>
      </c>
      <c r="AH314">
        <v>30.783523019449301</v>
      </c>
      <c r="AI314">
        <v>92.148323294283799</v>
      </c>
      <c r="AJ314">
        <v>89.467401198386199</v>
      </c>
      <c r="AK314">
        <v>30.806505917557899</v>
      </c>
    </row>
    <row r="315" spans="1:37" x14ac:dyDescent="0.2">
      <c r="A315" t="str">
        <f>"20200111155507037"</f>
        <v>20200111155507037</v>
      </c>
      <c r="B315" t="str">
        <f>"1578729307033243"</f>
        <v>1578729307033243</v>
      </c>
      <c r="C315" t="s">
        <v>37</v>
      </c>
      <c r="D315">
        <v>5.1303830000000001</v>
      </c>
      <c r="E315">
        <v>0.55392229999999998</v>
      </c>
      <c r="F315" t="s">
        <v>39</v>
      </c>
      <c r="G315">
        <v>-411.07569999999998</v>
      </c>
      <c r="H315">
        <v>-0.05</v>
      </c>
      <c r="I315">
        <v>367.68959999999998</v>
      </c>
      <c r="J315">
        <v>-441.77820000000003</v>
      </c>
      <c r="K315">
        <v>1.104833</v>
      </c>
      <c r="L315">
        <v>367.63099999999997</v>
      </c>
      <c r="M315">
        <v>0.999853199999999</v>
      </c>
      <c r="N315">
        <v>0</v>
      </c>
      <c r="O315">
        <v>1.123274E-2</v>
      </c>
      <c r="P315">
        <v>0.989604699999999</v>
      </c>
      <c r="Q315">
        <v>-1.533256E-2</v>
      </c>
      <c r="R315">
        <v>0.14299500000000001</v>
      </c>
      <c r="S315">
        <v>3.0288089999999999</v>
      </c>
      <c r="T315">
        <v>-0.1135364</v>
      </c>
      <c r="U315">
        <v>5.8898930000000002E-3</v>
      </c>
      <c r="V315">
        <v>-0.13186879999999901</v>
      </c>
      <c r="W315">
        <v>-2.5228999999999998E-3</v>
      </c>
      <c r="X315">
        <v>0.99126399999999903</v>
      </c>
      <c r="Y315">
        <v>9.2747609999999994E-3</v>
      </c>
      <c r="Z315">
        <v>-5.9471730000000003E-4</v>
      </c>
      <c r="AA315">
        <v>0.99995679999999998</v>
      </c>
      <c r="AB315">
        <v>19</v>
      </c>
      <c r="AC315">
        <v>30.702500000000001</v>
      </c>
      <c r="AD315">
        <v>-1.154833</v>
      </c>
      <c r="AE315">
        <v>5.86000000000126E-2</v>
      </c>
      <c r="AF315">
        <v>0.285901279915871</v>
      </c>
      <c r="AG315">
        <v>-1.154833</v>
      </c>
      <c r="AH315">
        <v>30.657846824543299</v>
      </c>
      <c r="AI315">
        <v>92.157128516350397</v>
      </c>
      <c r="AJ315">
        <v>89.465700838215099</v>
      </c>
      <c r="AK315">
        <v>30.680921608010799</v>
      </c>
    </row>
    <row r="316" spans="1:37" x14ac:dyDescent="0.2">
      <c r="A316" t="str">
        <f>"20200111155507049"</f>
        <v>20200111155507049</v>
      </c>
      <c r="B316" t="str">
        <f>"1578729307043003"</f>
        <v>1578729307043003</v>
      </c>
      <c r="C316" t="s">
        <v>37</v>
      </c>
      <c r="D316">
        <v>5.1884969999999999</v>
      </c>
      <c r="E316">
        <v>0.55407729999999999</v>
      </c>
      <c r="F316" t="s">
        <v>39</v>
      </c>
      <c r="G316">
        <v>-411.02910000000003</v>
      </c>
      <c r="H316">
        <v>-0.05</v>
      </c>
      <c r="I316">
        <v>367.6728</v>
      </c>
      <c r="J316">
        <v>-441.6755</v>
      </c>
      <c r="K316">
        <v>1.1048389999999999</v>
      </c>
      <c r="L316">
        <v>367.63220000000001</v>
      </c>
      <c r="M316">
        <v>0.99985089999999999</v>
      </c>
      <c r="N316">
        <v>0</v>
      </c>
      <c r="O316">
        <v>1.1321319999999999E-2</v>
      </c>
      <c r="P316">
        <v>0.98956299999999997</v>
      </c>
      <c r="Q316">
        <v>-1.554821E-2</v>
      </c>
      <c r="R316">
        <v>0.14325969999999999</v>
      </c>
      <c r="S316">
        <v>3.0291139999999999</v>
      </c>
      <c r="T316">
        <v>-0.11376359999999899</v>
      </c>
      <c r="U316">
        <v>4.1198729999999996E-3</v>
      </c>
      <c r="V316">
        <v>-0.132046</v>
      </c>
      <c r="W316">
        <v>-2.6480219999999999E-3</v>
      </c>
      <c r="X316">
        <v>0.99124000000000001</v>
      </c>
      <c r="Y316">
        <v>9.9472699999999994E-3</v>
      </c>
      <c r="Z316">
        <v>-6.1179750000000003E-4</v>
      </c>
      <c r="AA316">
        <v>0.99995029999999996</v>
      </c>
      <c r="AB316">
        <v>19</v>
      </c>
      <c r="AC316">
        <v>30.6463999999999</v>
      </c>
      <c r="AD316">
        <v>-1.1548389999999999</v>
      </c>
      <c r="AE316">
        <v>4.0599999999983503E-2</v>
      </c>
      <c r="AF316">
        <v>0.30595534834924498</v>
      </c>
      <c r="AG316">
        <v>-1.1548389999999999</v>
      </c>
      <c r="AH316">
        <v>30.6014417465978</v>
      </c>
      <c r="AI316">
        <v>92.161097994129904</v>
      </c>
      <c r="AJ316">
        <v>89.427171887718799</v>
      </c>
      <c r="AK316">
        <v>30.624753040008802</v>
      </c>
    </row>
    <row r="317" spans="1:37" x14ac:dyDescent="0.2">
      <c r="A317" t="str">
        <f>"20200111155507061"</f>
        <v>20200111155507061</v>
      </c>
      <c r="B317" t="str">
        <f>"1578729307052764"</f>
        <v>1578729307052764</v>
      </c>
      <c r="C317" t="s">
        <v>37</v>
      </c>
      <c r="D317">
        <v>5.1740579999999996</v>
      </c>
      <c r="E317">
        <v>0.55424269999999998</v>
      </c>
      <c r="F317" t="s">
        <v>39</v>
      </c>
      <c r="G317">
        <v>-411.12849999999997</v>
      </c>
      <c r="H317">
        <v>-0.05</v>
      </c>
      <c r="I317">
        <v>367.66879999999998</v>
      </c>
      <c r="J317">
        <v>-441.5736</v>
      </c>
      <c r="K317">
        <v>1.104843</v>
      </c>
      <c r="L317">
        <v>367.63350000000003</v>
      </c>
      <c r="M317">
        <v>0.99984899999999999</v>
      </c>
      <c r="N317">
        <v>0</v>
      </c>
      <c r="O317">
        <v>1.140998E-2</v>
      </c>
      <c r="P317">
        <v>0.98956719999999898</v>
      </c>
      <c r="Q317">
        <v>-1.5667380000000002E-2</v>
      </c>
      <c r="R317">
        <v>0.14321800000000001</v>
      </c>
      <c r="S317">
        <v>3.0293269999999999</v>
      </c>
      <c r="T317">
        <v>-0.1145248</v>
      </c>
      <c r="U317">
        <v>3.6315919999999999E-3</v>
      </c>
      <c r="V317">
        <v>-0.13191600000000001</v>
      </c>
      <c r="W317">
        <v>-2.6813039999999998E-3</v>
      </c>
      <c r="X317">
        <v>0.99125730000000001</v>
      </c>
      <c r="Y317">
        <v>1.0196790000000001E-2</v>
      </c>
      <c r="Z317">
        <v>-6.2391129999999999E-4</v>
      </c>
      <c r="AA317">
        <v>0.99994780000000005</v>
      </c>
      <c r="AB317">
        <v>19</v>
      </c>
      <c r="AC317">
        <v>30.4451</v>
      </c>
      <c r="AD317">
        <v>-1.1548430000000001</v>
      </c>
      <c r="AE317">
        <v>3.5299999999949698E-2</v>
      </c>
      <c r="AF317">
        <v>0.31166169293791102</v>
      </c>
      <c r="AG317">
        <v>-1.1548430000000001</v>
      </c>
      <c r="AH317">
        <v>30.399780395741999</v>
      </c>
      <c r="AI317">
        <v>92.175422160844505</v>
      </c>
      <c r="AJ317">
        <v>89.412618320657401</v>
      </c>
      <c r="AK317">
        <v>30.423304282652001</v>
      </c>
    </row>
    <row r="318" spans="1:37" x14ac:dyDescent="0.2">
      <c r="A318" t="str">
        <f>"20200111155507078"</f>
        <v>20200111155507078</v>
      </c>
      <c r="B318" t="str">
        <f>"1578729307073259"</f>
        <v>1578729307073259</v>
      </c>
      <c r="C318" t="s">
        <v>37</v>
      </c>
      <c r="D318">
        <v>5.1528260000000001</v>
      </c>
      <c r="E318">
        <v>0.55454609999999904</v>
      </c>
      <c r="F318" t="s">
        <v>39</v>
      </c>
      <c r="G318">
        <v>-411.17039999999997</v>
      </c>
      <c r="H318">
        <v>-0.05</v>
      </c>
      <c r="I318">
        <v>367.65429999999998</v>
      </c>
      <c r="J318">
        <v>-441.43380000000002</v>
      </c>
      <c r="K318">
        <v>1.1048519999999999</v>
      </c>
      <c r="L318">
        <v>367.6352</v>
      </c>
      <c r="M318">
        <v>0.99984609999999996</v>
      </c>
      <c r="N318">
        <v>0</v>
      </c>
      <c r="O318">
        <v>1.153465E-2</v>
      </c>
      <c r="P318">
        <v>0.98953930000000001</v>
      </c>
      <c r="Q318">
        <v>-1.61589E-2</v>
      </c>
      <c r="R318">
        <v>0.14335629999999999</v>
      </c>
      <c r="S318">
        <v>3.02948</v>
      </c>
      <c r="T318">
        <v>-0.115072699999999</v>
      </c>
      <c r="U318">
        <v>2.0751950000000002E-3</v>
      </c>
      <c r="V318">
        <v>-0.13193150000000001</v>
      </c>
      <c r="W318">
        <v>-3.067017E-3</v>
      </c>
      <c r="X318">
        <v>0.99125409999999903</v>
      </c>
      <c r="Y318">
        <v>1.083456E-2</v>
      </c>
      <c r="Z318">
        <v>-6.4370539999999998E-4</v>
      </c>
      <c r="AA318">
        <v>0.99994110000000003</v>
      </c>
      <c r="AB318">
        <v>19</v>
      </c>
      <c r="AC318">
        <v>30.263400000000001</v>
      </c>
      <c r="AD318">
        <v>-1.154852</v>
      </c>
      <c r="AE318">
        <v>1.9099999999980299E-2</v>
      </c>
      <c r="AF318">
        <v>0.32952964186317202</v>
      </c>
      <c r="AG318">
        <v>-1.154852</v>
      </c>
      <c r="AH318">
        <v>30.217604194981199</v>
      </c>
      <c r="AI318">
        <v>92.188526588017794</v>
      </c>
      <c r="AJ318">
        <v>89.375201647974094</v>
      </c>
      <c r="AK318">
        <v>30.241459558217699</v>
      </c>
    </row>
    <row r="319" spans="1:37" x14ac:dyDescent="0.2">
      <c r="A319" t="str">
        <f>"20200111155507091"</f>
        <v>20200111155507091</v>
      </c>
      <c r="B319" t="str">
        <f>"1578729307082570"</f>
        <v>1578729307082570</v>
      </c>
      <c r="C319" t="s">
        <v>37</v>
      </c>
      <c r="D319">
        <v>5.1675019999999998</v>
      </c>
      <c r="E319">
        <v>0.55471099999999995</v>
      </c>
      <c r="F319" t="s">
        <v>39</v>
      </c>
      <c r="G319">
        <v>-411.42469999999997</v>
      </c>
      <c r="H319">
        <v>-0.05</v>
      </c>
      <c r="I319">
        <v>367.63729999999998</v>
      </c>
      <c r="J319">
        <v>-441.32229999999998</v>
      </c>
      <c r="K319">
        <v>1.1048549999999999</v>
      </c>
      <c r="L319">
        <v>367.63659999999999</v>
      </c>
      <c r="M319">
        <v>0.99984379999999995</v>
      </c>
      <c r="N319">
        <v>0</v>
      </c>
      <c r="O319">
        <v>1.1638620000000001E-2</v>
      </c>
      <c r="P319">
        <v>0.9895524</v>
      </c>
      <c r="Q319">
        <v>-1.6134450000000002E-2</v>
      </c>
      <c r="R319">
        <v>0.14326829999999999</v>
      </c>
      <c r="S319">
        <v>3.029785</v>
      </c>
      <c r="T319">
        <v>-0.11659609999999999</v>
      </c>
      <c r="U319">
        <v>2.13623E-4</v>
      </c>
      <c r="V319">
        <v>-0.13174</v>
      </c>
      <c r="W319">
        <v>-2.9688599999999998E-3</v>
      </c>
      <c r="X319">
        <v>0.99127980000000004</v>
      </c>
      <c r="Y319">
        <v>1.155198E-2</v>
      </c>
      <c r="Z319">
        <v>-6.6995550000000003E-4</v>
      </c>
      <c r="AA319">
        <v>0.99993310000000002</v>
      </c>
      <c r="AB319">
        <v>19</v>
      </c>
      <c r="AC319">
        <v>29.897600000000001</v>
      </c>
      <c r="AD319">
        <v>-1.154855</v>
      </c>
      <c r="AE319">
        <v>6.9999999999481501E-4</v>
      </c>
      <c r="AF319">
        <v>0.34678022552577298</v>
      </c>
      <c r="AG319">
        <v>-1.154855</v>
      </c>
      <c r="AH319">
        <v>29.851043658647701</v>
      </c>
      <c r="AI319">
        <v>92.215362337233202</v>
      </c>
      <c r="AJ319">
        <v>89.334423619134597</v>
      </c>
      <c r="AK319">
        <v>29.875387095506099</v>
      </c>
    </row>
    <row r="320" spans="1:37" x14ac:dyDescent="0.2">
      <c r="A320" t="str">
        <f>"20200111155507105"</f>
        <v>20200111155507105</v>
      </c>
      <c r="B320" t="str">
        <f>"1578729307103066"</f>
        <v>1578729307103066</v>
      </c>
      <c r="C320" t="s">
        <v>37</v>
      </c>
      <c r="D320">
        <v>5.1759129999999898</v>
      </c>
      <c r="E320">
        <v>0.55499089999999995</v>
      </c>
      <c r="F320" t="s">
        <v>39</v>
      </c>
      <c r="G320">
        <v>-411.25420000000003</v>
      </c>
      <c r="H320">
        <v>-0.05</v>
      </c>
      <c r="I320">
        <v>367.62419999999997</v>
      </c>
      <c r="J320">
        <v>-441.21789999999999</v>
      </c>
      <c r="K320">
        <v>1.1048180000000001</v>
      </c>
      <c r="L320">
        <v>367.6379</v>
      </c>
      <c r="M320">
        <v>0.99984409999999901</v>
      </c>
      <c r="N320">
        <v>0</v>
      </c>
      <c r="O320">
        <v>1.1741420000000001E-2</v>
      </c>
      <c r="P320">
        <v>0.98955369999999998</v>
      </c>
      <c r="Q320">
        <v>-1.586862E-2</v>
      </c>
      <c r="R320">
        <v>0.14328940000000001</v>
      </c>
      <c r="S320">
        <v>3.029938</v>
      </c>
      <c r="T320">
        <v>-0.1163738</v>
      </c>
      <c r="U320">
        <v>-1.2512210000000001E-3</v>
      </c>
      <c r="V320">
        <v>-0.13165929999999901</v>
      </c>
      <c r="W320">
        <v>-2.810894E-3</v>
      </c>
      <c r="X320">
        <v>0.99129100000000003</v>
      </c>
      <c r="Y320">
        <v>1.2137759999999999E-2</v>
      </c>
      <c r="Z320">
        <v>-6.8383729999999996E-4</v>
      </c>
      <c r="AA320">
        <v>0.99992610000000004</v>
      </c>
      <c r="AB320">
        <v>19</v>
      </c>
      <c r="AC320">
        <v>29.9636999999999</v>
      </c>
      <c r="AD320">
        <v>-1.1548179999999999</v>
      </c>
      <c r="AE320">
        <v>-1.37000000000284E-2</v>
      </c>
      <c r="AF320">
        <v>0.36500387129546702</v>
      </c>
      <c r="AG320">
        <v>-1.1548179999999999</v>
      </c>
      <c r="AH320">
        <v>29.917035269039101</v>
      </c>
      <c r="AI320">
        <v>92.210394405308904</v>
      </c>
      <c r="AJ320">
        <v>89.300995450520603</v>
      </c>
      <c r="AK320">
        <v>29.941540236402499</v>
      </c>
    </row>
    <row r="321" spans="1:37" x14ac:dyDescent="0.2">
      <c r="A321" t="str">
        <f>"20200111155507124"</f>
        <v>20200111155507124</v>
      </c>
      <c r="B321" t="str">
        <f>"1578729307112827"</f>
        <v>1578729307112827</v>
      </c>
      <c r="C321" t="s">
        <v>37</v>
      </c>
      <c r="D321">
        <v>5.2325269999999904</v>
      </c>
      <c r="E321">
        <v>0.55513040000000002</v>
      </c>
      <c r="F321" t="s">
        <v>39</v>
      </c>
      <c r="G321">
        <v>-410.94670000000002</v>
      </c>
      <c r="H321">
        <v>-0.05</v>
      </c>
      <c r="I321">
        <v>367.59980000000002</v>
      </c>
      <c r="J321">
        <v>-441.05759999999998</v>
      </c>
      <c r="K321">
        <v>1.1046670000000001</v>
      </c>
      <c r="L321">
        <v>367.64</v>
      </c>
      <c r="M321">
        <v>0.99984789999999901</v>
      </c>
      <c r="N321">
        <v>0</v>
      </c>
      <c r="O321">
        <v>1.191124E-2</v>
      </c>
      <c r="P321">
        <v>0.98961259999999995</v>
      </c>
      <c r="Q321">
        <v>-1.527834E-2</v>
      </c>
      <c r="R321">
        <v>0.1429463</v>
      </c>
      <c r="S321">
        <v>3.0303339999999999</v>
      </c>
      <c r="T321">
        <v>-0.1156046</v>
      </c>
      <c r="U321">
        <v>-3.8146970000000001E-3</v>
      </c>
      <c r="V321">
        <v>-0.1311474</v>
      </c>
      <c r="W321">
        <v>-2.6719109999999999E-3</v>
      </c>
      <c r="X321">
        <v>0.99135930000000005</v>
      </c>
      <c r="Y321">
        <v>1.315271E-2</v>
      </c>
      <c r="Z321">
        <v>-7.0505850000000001E-4</v>
      </c>
      <c r="AA321">
        <v>0.9999133</v>
      </c>
      <c r="AB321">
        <v>18</v>
      </c>
      <c r="AC321">
        <v>30.110899999999901</v>
      </c>
      <c r="AD321">
        <v>-1.1546670000000001</v>
      </c>
      <c r="AE321">
        <v>-4.0199999999970197E-2</v>
      </c>
      <c r="AF321">
        <v>0.39829871415343998</v>
      </c>
      <c r="AG321">
        <v>-1.1546670000000001</v>
      </c>
      <c r="AH321">
        <v>30.0640754285436</v>
      </c>
      <c r="AI321">
        <v>92.199277631433802</v>
      </c>
      <c r="AJ321">
        <v>89.240971160275393</v>
      </c>
      <c r="AK321">
        <v>30.088877166151299</v>
      </c>
    </row>
    <row r="322" spans="1:37" x14ac:dyDescent="0.2">
      <c r="A322" t="str">
        <f>"20200111155507138"</f>
        <v>20200111155507138</v>
      </c>
      <c r="B322" t="str">
        <f>"1578729307132346"</f>
        <v>1578729307132346</v>
      </c>
      <c r="C322" t="s">
        <v>37</v>
      </c>
      <c r="D322">
        <v>5.2048559999999897</v>
      </c>
      <c r="E322">
        <v>0.55535819999999902</v>
      </c>
      <c r="F322" t="s">
        <v>39</v>
      </c>
      <c r="G322">
        <v>-410.48329999999999</v>
      </c>
      <c r="H322">
        <v>-0.05</v>
      </c>
      <c r="I322">
        <v>367.58359999999999</v>
      </c>
      <c r="J322">
        <v>-440.93729999999999</v>
      </c>
      <c r="K322">
        <v>1.1045020000000001</v>
      </c>
      <c r="L322">
        <v>367.64150000000001</v>
      </c>
      <c r="M322">
        <v>0.99985089999999999</v>
      </c>
      <c r="N322">
        <v>0</v>
      </c>
      <c r="O322">
        <v>1.2046799999999899E-2</v>
      </c>
      <c r="P322">
        <v>0.98963120000000004</v>
      </c>
      <c r="Q322">
        <v>-1.4942540000000001E-2</v>
      </c>
      <c r="R322">
        <v>0.1428529</v>
      </c>
      <c r="S322">
        <v>3.030548</v>
      </c>
      <c r="T322">
        <v>-0.1144515</v>
      </c>
      <c r="U322">
        <v>-5.5847169999999899E-3</v>
      </c>
      <c r="V322">
        <v>-0.13091910000000001</v>
      </c>
      <c r="W322">
        <v>-2.6936439999999998E-3</v>
      </c>
      <c r="X322">
        <v>0.99138939999999998</v>
      </c>
      <c r="Y322">
        <v>1.38719E-2</v>
      </c>
      <c r="Z322">
        <v>-7.1667300000000003E-4</v>
      </c>
      <c r="AA322">
        <v>0.99990349999999995</v>
      </c>
      <c r="AB322">
        <v>19</v>
      </c>
      <c r="AC322">
        <v>30.454000000000001</v>
      </c>
      <c r="AD322">
        <v>-1.1545019999999999</v>
      </c>
      <c r="AE322">
        <v>-5.7900000000017798E-2</v>
      </c>
      <c r="AF322">
        <v>0.42418750676211697</v>
      </c>
      <c r="AG322">
        <v>-1.1545019999999999</v>
      </c>
      <c r="AH322">
        <v>30.407392509474999</v>
      </c>
      <c r="AI322">
        <v>92.174139328237302</v>
      </c>
      <c r="AJ322">
        <v>89.200767462916502</v>
      </c>
      <c r="AK322">
        <v>30.432258035416499</v>
      </c>
    </row>
    <row r="323" spans="1:37" x14ac:dyDescent="0.2">
      <c r="A323" t="str">
        <f>"20200111155507149"</f>
        <v>20200111155507149</v>
      </c>
      <c r="B323" t="str">
        <f>"1578729307143082"</f>
        <v>1578729307143082</v>
      </c>
      <c r="C323" t="s">
        <v>37</v>
      </c>
      <c r="D323">
        <v>5.2136959999999997</v>
      </c>
      <c r="E323">
        <v>0.55546240000000002</v>
      </c>
      <c r="F323" t="s">
        <v>39</v>
      </c>
      <c r="G323">
        <v>-410.25349999999997</v>
      </c>
      <c r="H323">
        <v>-0.05</v>
      </c>
      <c r="I323">
        <v>367.5652</v>
      </c>
      <c r="J323">
        <v>-440.83800000000002</v>
      </c>
      <c r="K323">
        <v>1.104339</v>
      </c>
      <c r="L323">
        <v>367.6429</v>
      </c>
      <c r="M323">
        <v>0.99984989999999996</v>
      </c>
      <c r="N323">
        <v>0</v>
      </c>
      <c r="O323">
        <v>1.216717E-2</v>
      </c>
      <c r="P323">
        <v>0.98970369999999996</v>
      </c>
      <c r="Q323">
        <v>-1.4866219999999999E-2</v>
      </c>
      <c r="R323">
        <v>0.1423584</v>
      </c>
      <c r="S323">
        <v>3.0307919999999999</v>
      </c>
      <c r="T323">
        <v>-0.11403629999999999</v>
      </c>
      <c r="U323">
        <v>-7.5378419999999899E-3</v>
      </c>
      <c r="V323">
        <v>-0.13030449999999999</v>
      </c>
      <c r="W323">
        <v>-2.6626429999999902E-3</v>
      </c>
      <c r="X323">
        <v>0.99147050000000003</v>
      </c>
      <c r="Y323">
        <v>1.463599E-2</v>
      </c>
      <c r="Z323">
        <v>-7.3291449999999896E-4</v>
      </c>
      <c r="AA323">
        <v>0.99989259999999902</v>
      </c>
      <c r="AB323">
        <v>19</v>
      </c>
      <c r="AC323">
        <v>30.584499999999998</v>
      </c>
      <c r="AD323">
        <v>-1.154339</v>
      </c>
      <c r="AE323">
        <v>-7.7699999999992997E-2</v>
      </c>
      <c r="AF323">
        <v>0.449209471869708</v>
      </c>
      <c r="AG323">
        <v>-1.154339</v>
      </c>
      <c r="AH323">
        <v>30.537789293852899</v>
      </c>
      <c r="AI323">
        <v>92.164535675922806</v>
      </c>
      <c r="AJ323">
        <v>89.157242508846295</v>
      </c>
      <c r="AK323">
        <v>30.562900101794899</v>
      </c>
    </row>
    <row r="324" spans="1:37" x14ac:dyDescent="0.2">
      <c r="A324" t="str">
        <f>"20200111155507167"</f>
        <v>20200111155507167</v>
      </c>
      <c r="B324" t="str">
        <f>"1578729307162602"</f>
        <v>1578729307162602</v>
      </c>
      <c r="C324" t="s">
        <v>37</v>
      </c>
      <c r="D324">
        <v>5.2400580000000003</v>
      </c>
      <c r="E324">
        <v>0.55562239999999996</v>
      </c>
      <c r="F324" t="s">
        <v>39</v>
      </c>
      <c r="G324">
        <v>-410.16829999999999</v>
      </c>
      <c r="H324">
        <v>-0.05</v>
      </c>
      <c r="I324">
        <v>367.54160000000002</v>
      </c>
      <c r="J324">
        <v>-440.6875</v>
      </c>
      <c r="K324">
        <v>1.1040509999999999</v>
      </c>
      <c r="L324">
        <v>367.64490000000001</v>
      </c>
      <c r="M324">
        <v>0.99984519999999899</v>
      </c>
      <c r="N324">
        <v>0</v>
      </c>
      <c r="O324">
        <v>1.235852E-2</v>
      </c>
      <c r="P324">
        <v>0.98982230000000004</v>
      </c>
      <c r="Q324">
        <v>-1.523089E-2</v>
      </c>
      <c r="R324">
        <v>0.14149320000000001</v>
      </c>
      <c r="S324">
        <v>3.030945</v>
      </c>
      <c r="T324">
        <v>-0.114078</v>
      </c>
      <c r="U324">
        <v>-1.0009769999999999E-2</v>
      </c>
      <c r="V324">
        <v>-0.12924820000000001</v>
      </c>
      <c r="W324">
        <v>-2.8373459999999902E-3</v>
      </c>
      <c r="X324">
        <v>0.99160820000000005</v>
      </c>
      <c r="Y324">
        <v>1.5641849999999999E-2</v>
      </c>
      <c r="Z324">
        <v>-7.5926809999999896E-4</v>
      </c>
      <c r="AA324">
        <v>0.99987739999999903</v>
      </c>
      <c r="AB324">
        <v>19</v>
      </c>
      <c r="AC324">
        <v>30.519200000000001</v>
      </c>
      <c r="AD324">
        <v>-1.1540509999999999</v>
      </c>
      <c r="AE324">
        <v>-0.10329999999999</v>
      </c>
      <c r="AF324">
        <v>0.47980776909060602</v>
      </c>
      <c r="AG324">
        <v>-1.1540509999999999</v>
      </c>
      <c r="AH324">
        <v>30.472020917833401</v>
      </c>
      <c r="AI324">
        <v>92.168628124985105</v>
      </c>
      <c r="AJ324">
        <v>89.097903988761601</v>
      </c>
      <c r="AK324">
        <v>30.497641023901402</v>
      </c>
    </row>
    <row r="325" spans="1:37" x14ac:dyDescent="0.2">
      <c r="A325" t="str">
        <f>"20200111155507180"</f>
        <v>20200111155507180</v>
      </c>
      <c r="B325" t="str">
        <f>"1578729307172363"</f>
        <v>1578729307172363</v>
      </c>
      <c r="C325" t="s">
        <v>37</v>
      </c>
      <c r="D325">
        <v>5.3067260000000003</v>
      </c>
      <c r="E325">
        <v>0.55574290000000004</v>
      </c>
      <c r="F325" t="s">
        <v>39</v>
      </c>
      <c r="G325">
        <v>-410.38670000000002</v>
      </c>
      <c r="H325">
        <v>-0.05</v>
      </c>
      <c r="I325">
        <v>367.50670000000002</v>
      </c>
      <c r="J325">
        <v>-440.5806</v>
      </c>
      <c r="K325">
        <v>1.103799</v>
      </c>
      <c r="L325">
        <v>367.64640000000003</v>
      </c>
      <c r="M325">
        <v>0.99983909999999998</v>
      </c>
      <c r="N325">
        <v>0</v>
      </c>
      <c r="O325">
        <v>1.250162E-2</v>
      </c>
      <c r="P325">
        <v>0.98987250000000004</v>
      </c>
      <c r="Q325">
        <v>-1.5630140000000001E-2</v>
      </c>
      <c r="R325">
        <v>0.14109739999999901</v>
      </c>
      <c r="S325">
        <v>3.0310359999999998</v>
      </c>
      <c r="T325">
        <v>-0.11544119999999999</v>
      </c>
      <c r="U325">
        <v>-1.382446E-2</v>
      </c>
      <c r="V325">
        <v>-0.12870960000000001</v>
      </c>
      <c r="W325">
        <v>-2.9022190000000002E-3</v>
      </c>
      <c r="X325">
        <v>0.99167809999999901</v>
      </c>
      <c r="Y325">
        <v>1.7041669999999998E-2</v>
      </c>
      <c r="Z325">
        <v>-8.0040850000000002E-4</v>
      </c>
      <c r="AA325">
        <v>0.99985440000000003</v>
      </c>
      <c r="AB325">
        <v>19</v>
      </c>
      <c r="AC325">
        <v>30.1938999999999</v>
      </c>
      <c r="AD325">
        <v>-1.153799</v>
      </c>
      <c r="AE325">
        <v>-0.13970000000000399</v>
      </c>
      <c r="AF325">
        <v>0.51643887715512304</v>
      </c>
      <c r="AG325">
        <v>-1.153799</v>
      </c>
      <c r="AH325">
        <v>30.145774501156701</v>
      </c>
      <c r="AI325">
        <v>92.191546830473399</v>
      </c>
      <c r="AJ325">
        <v>89.018539933861504</v>
      </c>
      <c r="AK325">
        <v>30.1722667613958</v>
      </c>
    </row>
    <row r="326" spans="1:37" x14ac:dyDescent="0.2">
      <c r="A326" t="str">
        <f>"20200111155507194"</f>
        <v>20200111155507194</v>
      </c>
      <c r="B326" t="str">
        <f>"1578729307183098"</f>
        <v>1578729307183098</v>
      </c>
      <c r="C326" t="s">
        <v>37</v>
      </c>
      <c r="D326">
        <v>5.3956379999999999</v>
      </c>
      <c r="E326">
        <v>0.55589480000000002</v>
      </c>
      <c r="F326" t="s">
        <v>39</v>
      </c>
      <c r="G326">
        <v>-410.57799999999997</v>
      </c>
      <c r="H326">
        <v>-0.05</v>
      </c>
      <c r="I326">
        <v>367.4896</v>
      </c>
      <c r="J326">
        <v>-440.46589999999998</v>
      </c>
      <c r="K326">
        <v>1.103424</v>
      </c>
      <c r="L326">
        <v>367.64800000000002</v>
      </c>
      <c r="M326">
        <v>0.99982939999999998</v>
      </c>
      <c r="N326">
        <v>0</v>
      </c>
      <c r="O326">
        <v>1.2665259999999999E-2</v>
      </c>
      <c r="P326">
        <v>0.98992630000000004</v>
      </c>
      <c r="Q326">
        <v>-1.6615979999999999E-2</v>
      </c>
      <c r="R326">
        <v>0.1406065</v>
      </c>
      <c r="S326">
        <v>3.0310969999999999</v>
      </c>
      <c r="T326">
        <v>-0.11656569999999999</v>
      </c>
      <c r="U326">
        <v>-1.5838620000000001E-2</v>
      </c>
      <c r="V326">
        <v>-0.12805539999999899</v>
      </c>
      <c r="W326">
        <v>-3.3182929999999999E-3</v>
      </c>
      <c r="X326">
        <v>0.99176139999999902</v>
      </c>
      <c r="Y326">
        <v>1.7868539999999999E-2</v>
      </c>
      <c r="Z326">
        <v>-8.3037029999999997E-4</v>
      </c>
      <c r="AA326">
        <v>0.99983999999999995</v>
      </c>
      <c r="AB326">
        <v>19</v>
      </c>
      <c r="AC326">
        <v>29.887899999999899</v>
      </c>
      <c r="AD326">
        <v>-1.153424</v>
      </c>
      <c r="AE326">
        <v>-0.15840000000002799</v>
      </c>
      <c r="AF326">
        <v>0.53616104310878898</v>
      </c>
      <c r="AG326">
        <v>-1.153424</v>
      </c>
      <c r="AH326">
        <v>29.839057401570599</v>
      </c>
      <c r="AI326">
        <v>92.213300188500597</v>
      </c>
      <c r="AJ326">
        <v>88.970595517509196</v>
      </c>
      <c r="AK326">
        <v>29.866154794384801</v>
      </c>
    </row>
    <row r="327" spans="1:37" x14ac:dyDescent="0.2">
      <c r="A327" t="str">
        <f>"20200111155507207"</f>
        <v>20200111155507207</v>
      </c>
      <c r="B327" t="str">
        <f>"1578729307202619"</f>
        <v>1578729307202619</v>
      </c>
      <c r="C327" t="s">
        <v>37</v>
      </c>
      <c r="D327">
        <v>5.2794629999999998</v>
      </c>
      <c r="E327">
        <v>0.5559731</v>
      </c>
      <c r="F327" t="s">
        <v>39</v>
      </c>
      <c r="G327">
        <v>-411.12869999999998</v>
      </c>
      <c r="H327">
        <v>-0.05</v>
      </c>
      <c r="I327">
        <v>367.46550000000002</v>
      </c>
      <c r="J327">
        <v>-440.35879999999997</v>
      </c>
      <c r="K327">
        <v>1.102986</v>
      </c>
      <c r="L327">
        <v>367.64949999999999</v>
      </c>
      <c r="M327">
        <v>0.99981799999999998</v>
      </c>
      <c r="N327">
        <v>0</v>
      </c>
      <c r="O327">
        <v>1.2820979999999999E-2</v>
      </c>
      <c r="P327">
        <v>0.98995859999999902</v>
      </c>
      <c r="Q327">
        <v>-1.7659439999999998E-2</v>
      </c>
      <c r="R327">
        <v>0.14025090000000001</v>
      </c>
      <c r="S327">
        <v>3.0312189999999899</v>
      </c>
      <c r="T327">
        <v>-0.1191753</v>
      </c>
      <c r="U327">
        <v>-1.8859859999999999E-2</v>
      </c>
      <c r="V327">
        <v>-0.12754499999999999</v>
      </c>
      <c r="W327">
        <v>-3.6986219999999999E-3</v>
      </c>
      <c r="X327">
        <v>0.99182590000000004</v>
      </c>
      <c r="Y327">
        <v>1.9018650000000002E-2</v>
      </c>
      <c r="Z327">
        <v>-8.7763459999999995E-4</v>
      </c>
      <c r="AA327">
        <v>0.99981869999999995</v>
      </c>
      <c r="AB327">
        <v>19</v>
      </c>
      <c r="AC327">
        <v>29.2301</v>
      </c>
      <c r="AD327">
        <v>-1.1529860000000001</v>
      </c>
      <c r="AE327">
        <v>-0.18399999999996899</v>
      </c>
      <c r="AF327">
        <v>0.557912771980691</v>
      </c>
      <c r="AG327">
        <v>-1.1529860000000001</v>
      </c>
      <c r="AH327">
        <v>29.179937868985501</v>
      </c>
      <c r="AI327">
        <v>92.2623362496346</v>
      </c>
      <c r="AJ327">
        <v>88.904653157507099</v>
      </c>
      <c r="AK327">
        <v>29.208036863424901</v>
      </c>
    </row>
    <row r="328" spans="1:37" x14ac:dyDescent="0.2">
      <c r="A328" t="str">
        <f>"20200111155507223"</f>
        <v>20200111155507223</v>
      </c>
      <c r="B328" t="str">
        <f>"1578729307212379"</f>
        <v>1578729307212379</v>
      </c>
      <c r="C328" t="s">
        <v>37</v>
      </c>
      <c r="D328">
        <v>5.2903989999999999</v>
      </c>
      <c r="E328">
        <v>0.55589219999999995</v>
      </c>
      <c r="F328" t="s">
        <v>39</v>
      </c>
      <c r="G328">
        <v>-411.83449999999999</v>
      </c>
      <c r="H328">
        <v>-0.05</v>
      </c>
      <c r="I328">
        <v>367.45510000000002</v>
      </c>
      <c r="J328">
        <v>-440.22899999999998</v>
      </c>
      <c r="K328">
        <v>1.1023609999999999</v>
      </c>
      <c r="L328">
        <v>367.65140000000002</v>
      </c>
      <c r="M328">
        <v>0.99980149999999901</v>
      </c>
      <c r="N328">
        <v>0</v>
      </c>
      <c r="O328">
        <v>1.3011409999999999E-2</v>
      </c>
      <c r="P328">
        <v>0.98998430000000004</v>
      </c>
      <c r="Q328">
        <v>-1.942172E-2</v>
      </c>
      <c r="R328">
        <v>0.13983499999999999</v>
      </c>
      <c r="S328">
        <v>3.0310969999999999</v>
      </c>
      <c r="T328">
        <v>-0.122520899999999</v>
      </c>
      <c r="U328">
        <v>-2.0660399999999999E-2</v>
      </c>
      <c r="V328">
        <v>-0.1269392</v>
      </c>
      <c r="W328">
        <v>-4.5056719999999996E-3</v>
      </c>
      <c r="X328">
        <v>0.99190029999999996</v>
      </c>
      <c r="Y328">
        <v>1.9801200000000001E-2</v>
      </c>
      <c r="Z328">
        <v>-9.257992E-4</v>
      </c>
      <c r="AA328">
        <v>0.99980349999999996</v>
      </c>
      <c r="AB328">
        <v>19</v>
      </c>
      <c r="AC328">
        <v>28.394500000000001</v>
      </c>
      <c r="AD328">
        <v>-1.152361</v>
      </c>
      <c r="AE328">
        <v>-0.196300000000007</v>
      </c>
      <c r="AF328">
        <v>0.56484763110672498</v>
      </c>
      <c r="AG328">
        <v>-1.152361</v>
      </c>
      <c r="AH328">
        <v>28.342861291889498</v>
      </c>
      <c r="AI328">
        <v>92.327781575315797</v>
      </c>
      <c r="AJ328">
        <v>88.858297987592806</v>
      </c>
      <c r="AK328">
        <v>28.371901151173802</v>
      </c>
    </row>
    <row r="329" spans="1:37" x14ac:dyDescent="0.2">
      <c r="A329" t="str">
        <f>"20200111155507235"</f>
        <v>20200111155507235</v>
      </c>
      <c r="B329" t="str">
        <f>"1578729307232874"</f>
        <v>1578729307232874</v>
      </c>
      <c r="C329" t="s">
        <v>37</v>
      </c>
      <c r="D329">
        <v>5.2996749999999997</v>
      </c>
      <c r="E329">
        <v>0.55546099999999998</v>
      </c>
      <c r="F329" t="s">
        <v>39</v>
      </c>
      <c r="G329">
        <v>-412.9837</v>
      </c>
      <c r="H329">
        <v>-0.05</v>
      </c>
      <c r="I329">
        <v>367.46069999999997</v>
      </c>
      <c r="J329">
        <v>-440.12220000000002</v>
      </c>
      <c r="K329">
        <v>1.101756</v>
      </c>
      <c r="L329">
        <v>367.65300000000002</v>
      </c>
      <c r="M329">
        <v>0.99978440000000002</v>
      </c>
      <c r="N329">
        <v>0</v>
      </c>
      <c r="O329">
        <v>1.3170090000000001E-2</v>
      </c>
      <c r="P329">
        <v>0.98993850000000005</v>
      </c>
      <c r="Q329">
        <v>-2.0767919999999999E-2</v>
      </c>
      <c r="R329">
        <v>0.13996529999999999</v>
      </c>
      <c r="S329">
        <v>3.0308229999999998</v>
      </c>
      <c r="T329">
        <v>-0.12819079999999999</v>
      </c>
      <c r="U329">
        <v>-2.1209720000000001E-2</v>
      </c>
      <c r="V329">
        <v>-0.126912</v>
      </c>
      <c r="W329">
        <v>-4.8989910000000001E-3</v>
      </c>
      <c r="X329">
        <v>0.9919019</v>
      </c>
      <c r="Y329">
        <v>2.0138920000000001E-2</v>
      </c>
      <c r="Z329">
        <v>-9.8254810000000001E-4</v>
      </c>
      <c r="AA329">
        <v>0.99979669999999898</v>
      </c>
      <c r="AB329">
        <v>19</v>
      </c>
      <c r="AC329">
        <v>27.138500000000001</v>
      </c>
      <c r="AD329">
        <v>-1.151756</v>
      </c>
      <c r="AE329">
        <v>-0.19230000000004499</v>
      </c>
      <c r="AF329">
        <v>0.54875752388599597</v>
      </c>
      <c r="AG329">
        <v>-1.151756</v>
      </c>
      <c r="AH329">
        <v>27.084831424847899</v>
      </c>
      <c r="AI329">
        <v>92.434481026327703</v>
      </c>
      <c r="AJ329">
        <v>88.839306456769293</v>
      </c>
      <c r="AK329">
        <v>27.114862529911299</v>
      </c>
    </row>
    <row r="330" spans="1:37" x14ac:dyDescent="0.2">
      <c r="A330" t="str">
        <f>"20200111155507248"</f>
        <v>20200111155507248</v>
      </c>
      <c r="B330" t="str">
        <f>"1578729307242634"</f>
        <v>1578729307242634</v>
      </c>
      <c r="C330" t="s">
        <v>37</v>
      </c>
      <c r="D330">
        <v>5.2643050000000002</v>
      </c>
      <c r="E330">
        <v>0.55527950000000004</v>
      </c>
      <c r="F330" t="s">
        <v>39</v>
      </c>
      <c r="G330">
        <v>-413.90260000000001</v>
      </c>
      <c r="H330">
        <v>-0.05</v>
      </c>
      <c r="I330">
        <v>367.50139999999999</v>
      </c>
      <c r="J330">
        <v>-440.01900000000001</v>
      </c>
      <c r="K330">
        <v>1.101094</v>
      </c>
      <c r="L330">
        <v>367.65449999999998</v>
      </c>
      <c r="M330">
        <v>0.9997644</v>
      </c>
      <c r="N330">
        <v>0</v>
      </c>
      <c r="O330">
        <v>1.33273E-2</v>
      </c>
      <c r="P330">
        <v>0.98984369999999999</v>
      </c>
      <c r="Q330">
        <v>-2.2158029999999999E-2</v>
      </c>
      <c r="R330">
        <v>0.14042279999999999</v>
      </c>
      <c r="S330">
        <v>3.0301819999999999</v>
      </c>
      <c r="T330">
        <v>-0.1331078</v>
      </c>
      <c r="U330">
        <v>-1.7517089999999999E-2</v>
      </c>
      <c r="V330">
        <v>-0.12721450000000001</v>
      </c>
      <c r="W330">
        <v>-5.2247689999999998E-3</v>
      </c>
      <c r="X330">
        <v>0.99186149999999995</v>
      </c>
      <c r="Y330">
        <v>1.9078040000000001E-2</v>
      </c>
      <c r="Z330">
        <v>-1.0040419999999999E-3</v>
      </c>
      <c r="AA330">
        <v>0.99981749999999903</v>
      </c>
      <c r="AB330">
        <v>19</v>
      </c>
      <c r="AC330">
        <v>26.116399999999999</v>
      </c>
      <c r="AD330">
        <v>-1.1510940000000001</v>
      </c>
      <c r="AE330">
        <v>-0.15309999999999399</v>
      </c>
      <c r="AF330">
        <v>0.50022685736680395</v>
      </c>
      <c r="AG330">
        <v>-1.1510940000000001</v>
      </c>
      <c r="AH330">
        <v>26.061412639997101</v>
      </c>
      <c r="AI330">
        <v>92.528560858696594</v>
      </c>
      <c r="AJ330">
        <v>88.900390811768901</v>
      </c>
      <c r="AK330">
        <v>26.091616912293201</v>
      </c>
    </row>
    <row r="331" spans="1:37" x14ac:dyDescent="0.2">
      <c r="A331" t="str">
        <f>"20200111155507261"</f>
        <v>20200111155507261</v>
      </c>
      <c r="B331" t="str">
        <f>"1578729307252394"</f>
        <v>1578729307252394</v>
      </c>
      <c r="C331" t="s">
        <v>37</v>
      </c>
      <c r="D331">
        <v>5.2405609999999996</v>
      </c>
      <c r="E331">
        <v>0.55509039999999998</v>
      </c>
      <c r="F331" t="s">
        <v>39</v>
      </c>
      <c r="G331">
        <v>-414.64589999999998</v>
      </c>
      <c r="H331">
        <v>-0.05</v>
      </c>
      <c r="I331">
        <v>367.53390000000002</v>
      </c>
      <c r="J331">
        <v>-439.91559999999998</v>
      </c>
      <c r="K331">
        <v>1.1003959999999999</v>
      </c>
      <c r="L331">
        <v>367.65609999999998</v>
      </c>
      <c r="M331">
        <v>0.99974219999999903</v>
      </c>
      <c r="N331">
        <v>0</v>
      </c>
      <c r="O331">
        <v>1.34878999999999E-2</v>
      </c>
      <c r="P331">
        <v>0.98972510000000002</v>
      </c>
      <c r="Q331">
        <v>-2.3545340000000001E-2</v>
      </c>
      <c r="R331">
        <v>0.14103199999999999</v>
      </c>
      <c r="S331">
        <v>3.02975499999999</v>
      </c>
      <c r="T331">
        <v>-0.13745019999999999</v>
      </c>
      <c r="U331">
        <v>-1.44043E-2</v>
      </c>
      <c r="V331">
        <v>-0.12766549999999999</v>
      </c>
      <c r="W331">
        <v>-5.4904699999999999E-3</v>
      </c>
      <c r="X331">
        <v>0.99180210000000002</v>
      </c>
      <c r="Y331">
        <v>1.8211189999999999E-2</v>
      </c>
      <c r="Z331">
        <v>-1.0245549999999999E-3</v>
      </c>
      <c r="AA331">
        <v>0.99983359999999899</v>
      </c>
      <c r="AB331">
        <v>18</v>
      </c>
      <c r="AC331">
        <v>25.2697</v>
      </c>
      <c r="AD331">
        <v>-1.150396</v>
      </c>
      <c r="AE331">
        <v>-0.122199999999963</v>
      </c>
      <c r="AF331">
        <v>0.46212320616973701</v>
      </c>
      <c r="AG331">
        <v>-1.150396</v>
      </c>
      <c r="AH331">
        <v>25.213498301434299</v>
      </c>
      <c r="AI331">
        <v>92.611938594623993</v>
      </c>
      <c r="AJ331">
        <v>88.949977320872904</v>
      </c>
      <c r="AK331">
        <v>25.2439589884575</v>
      </c>
    </row>
    <row r="332" spans="1:37" x14ac:dyDescent="0.2">
      <c r="A332" t="str">
        <f>"20200111155507273"</f>
        <v>20200111155507273</v>
      </c>
      <c r="B332" t="str">
        <f>"1578729307263130"</f>
        <v>1578729307263130</v>
      </c>
      <c r="C332" t="s">
        <v>37</v>
      </c>
      <c r="D332">
        <v>5.1878890000000002</v>
      </c>
      <c r="E332">
        <v>0.55489860000000002</v>
      </c>
      <c r="F332" t="s">
        <v>39</v>
      </c>
      <c r="G332">
        <v>-415.3252</v>
      </c>
      <c r="H332">
        <v>-0.05</v>
      </c>
      <c r="I332">
        <v>367.56569999999999</v>
      </c>
      <c r="J332">
        <v>-439.80799999999999</v>
      </c>
      <c r="K332">
        <v>1.099593</v>
      </c>
      <c r="L332">
        <v>367.65780000000001</v>
      </c>
      <c r="M332">
        <v>0.99971639999999995</v>
      </c>
      <c r="N332">
        <v>0</v>
      </c>
      <c r="O332">
        <v>1.366331E-2</v>
      </c>
      <c r="P332">
        <v>0.98956999999999995</v>
      </c>
      <c r="Q332">
        <v>-2.496609E-2</v>
      </c>
      <c r="R332">
        <v>0.14187230000000001</v>
      </c>
      <c r="S332">
        <v>3.0293580000000002</v>
      </c>
      <c r="T332">
        <v>-0.1417205</v>
      </c>
      <c r="U332">
        <v>-1.113892E-2</v>
      </c>
      <c r="V332">
        <v>-0.12833359999999999</v>
      </c>
      <c r="W332">
        <v>-5.68018E-3</v>
      </c>
      <c r="X332">
        <v>0.99171480000000001</v>
      </c>
      <c r="Y332">
        <v>1.7308560000000001E-2</v>
      </c>
      <c r="Z332">
        <v>-1.0436060000000001E-3</v>
      </c>
      <c r="AA332">
        <v>0.99984969999999995</v>
      </c>
      <c r="AB332">
        <v>18</v>
      </c>
      <c r="AC332">
        <v>24.482800000000001</v>
      </c>
      <c r="AD332">
        <v>-1.1495930000000001</v>
      </c>
      <c r="AE332">
        <v>-9.2100000000016197E-2</v>
      </c>
      <c r="AF332">
        <v>0.425732499305088</v>
      </c>
      <c r="AG332">
        <v>-1.1495930000000001</v>
      </c>
      <c r="AH332">
        <v>24.425403118444201</v>
      </c>
      <c r="AI332">
        <v>92.694255455690595</v>
      </c>
      <c r="AJ332">
        <v>89.001441017563295</v>
      </c>
      <c r="AK332">
        <v>24.4561470744089</v>
      </c>
    </row>
    <row r="333" spans="1:37" x14ac:dyDescent="0.2">
      <c r="A333" t="str">
        <f>"20200111155507292"</f>
        <v>20200111155507292</v>
      </c>
      <c r="B333" t="str">
        <f>"1578729307283244"</f>
        <v>1578729307283244</v>
      </c>
      <c r="C333" t="s">
        <v>37</v>
      </c>
      <c r="D333">
        <v>5.1424059999999896</v>
      </c>
      <c r="E333">
        <v>0.5544808</v>
      </c>
      <c r="F333" t="s">
        <v>39</v>
      </c>
      <c r="G333">
        <v>-416.03519999999997</v>
      </c>
      <c r="H333">
        <v>-0.05</v>
      </c>
      <c r="I333">
        <v>367.60120000000001</v>
      </c>
      <c r="J333">
        <v>-439.6617</v>
      </c>
      <c r="K333">
        <v>1.09842</v>
      </c>
      <c r="L333">
        <v>367.6601</v>
      </c>
      <c r="M333">
        <v>0.99967999999999901</v>
      </c>
      <c r="N333">
        <v>0</v>
      </c>
      <c r="O333">
        <v>1.39139E-2</v>
      </c>
      <c r="P333">
        <v>0.98929460000000002</v>
      </c>
      <c r="Q333">
        <v>-2.658365E-2</v>
      </c>
      <c r="R333">
        <v>0.1434916</v>
      </c>
      <c r="S333">
        <v>3.0289609999999998</v>
      </c>
      <c r="T333">
        <v>-0.14647309999999999</v>
      </c>
      <c r="U333">
        <v>-7.2021480000000002E-3</v>
      </c>
      <c r="V333">
        <v>-0.12970719999999999</v>
      </c>
      <c r="W333">
        <v>-5.6888119999999997E-3</v>
      </c>
      <c r="X333">
        <v>0.99153599999999997</v>
      </c>
      <c r="Y333">
        <v>1.625923E-2</v>
      </c>
      <c r="Z333">
        <v>-1.0654830000000001E-3</v>
      </c>
      <c r="AA333">
        <v>0.99986730000000001</v>
      </c>
      <c r="AB333">
        <v>18</v>
      </c>
      <c r="AC333">
        <v>23.6265</v>
      </c>
      <c r="AD333">
        <v>-1.14842</v>
      </c>
      <c r="AE333">
        <v>-5.8899999999994103E-2</v>
      </c>
      <c r="AF333">
        <v>0.38679058435497898</v>
      </c>
      <c r="AG333">
        <v>-1.14842</v>
      </c>
      <c r="AH333">
        <v>23.567709821634601</v>
      </c>
      <c r="AI333">
        <v>92.789357775596997</v>
      </c>
      <c r="AJ333">
        <v>89.059752568345502</v>
      </c>
      <c r="AK333">
        <v>23.598843651529201</v>
      </c>
    </row>
    <row r="334" spans="1:37" x14ac:dyDescent="0.2">
      <c r="A334" t="str">
        <f>"20200111155507305"</f>
        <v>20200111155507305</v>
      </c>
      <c r="B334" t="str">
        <f>"1578729307302764"</f>
        <v>1578729307302764</v>
      </c>
      <c r="C334" t="s">
        <v>37</v>
      </c>
      <c r="D334">
        <v>3.302416</v>
      </c>
      <c r="E334">
        <v>0.5540834</v>
      </c>
      <c r="F334" t="s">
        <v>39</v>
      </c>
      <c r="G334">
        <v>-416.90120000000002</v>
      </c>
      <c r="H334">
        <v>-0.05</v>
      </c>
      <c r="I334">
        <v>367.66770000000002</v>
      </c>
      <c r="J334">
        <v>-439.55149999999998</v>
      </c>
      <c r="K334">
        <v>1.0974870000000001</v>
      </c>
      <c r="L334">
        <v>367.66180000000003</v>
      </c>
      <c r="M334">
        <v>0.99965269999999995</v>
      </c>
      <c r="N334">
        <v>0</v>
      </c>
      <c r="O334">
        <v>1.4108590000000001E-2</v>
      </c>
      <c r="P334">
        <v>0.98912730000000004</v>
      </c>
      <c r="Q334">
        <v>-2.8044179999999998E-2</v>
      </c>
      <c r="R334">
        <v>0.1443632</v>
      </c>
      <c r="S334">
        <v>3.0281980000000002</v>
      </c>
      <c r="T334">
        <v>-0.15279319999999999</v>
      </c>
      <c r="U334">
        <v>1.00708E-3</v>
      </c>
      <c r="V334">
        <v>-0.1303877</v>
      </c>
      <c r="W334">
        <v>-6.0322589999999999E-3</v>
      </c>
      <c r="X334">
        <v>0.99144469999999996</v>
      </c>
      <c r="Y334">
        <v>1.374412E-2</v>
      </c>
      <c r="Z334">
        <v>-1.058102E-3</v>
      </c>
      <c r="AA334">
        <v>0.99990499999999904</v>
      </c>
      <c r="AB334">
        <v>18</v>
      </c>
      <c r="AC334">
        <v>22.650299999999898</v>
      </c>
      <c r="AD334">
        <v>-1.1474869999999999</v>
      </c>
      <c r="AE334">
        <v>5.8999999999968999E-3</v>
      </c>
      <c r="AF334">
        <v>0.31294040005644103</v>
      </c>
      <c r="AG334">
        <v>-1.1474869999999999</v>
      </c>
      <c r="AH334">
        <v>22.590149270772699</v>
      </c>
      <c r="AI334">
        <v>92.907612994843802</v>
      </c>
      <c r="AJ334">
        <v>89.206334711646704</v>
      </c>
      <c r="AK334">
        <v>22.621438994567701</v>
      </c>
    </row>
    <row r="335" spans="1:37" x14ac:dyDescent="0.2">
      <c r="A335" t="str">
        <f>"20200111155507319"</f>
        <v>20200111155507319</v>
      </c>
      <c r="B335" t="str">
        <f>"1578729307312524"</f>
        <v>1578729307312524</v>
      </c>
      <c r="C335" t="s">
        <v>37</v>
      </c>
      <c r="D335">
        <v>4.990246</v>
      </c>
      <c r="E335">
        <v>0.553956</v>
      </c>
      <c r="F335" t="s">
        <v>39</v>
      </c>
      <c r="G335">
        <v>-418.32709999999997</v>
      </c>
      <c r="H335">
        <v>-0.05</v>
      </c>
      <c r="I335">
        <v>367.7106</v>
      </c>
      <c r="J335">
        <v>-439.43720000000002</v>
      </c>
      <c r="K335">
        <v>1.096489</v>
      </c>
      <c r="L335">
        <v>367.66370000000001</v>
      </c>
      <c r="M335">
        <v>0.99962499999999999</v>
      </c>
      <c r="N335">
        <v>0</v>
      </c>
      <c r="O335">
        <v>1.4312739999999999E-2</v>
      </c>
      <c r="P335">
        <v>0.98903149999999995</v>
      </c>
      <c r="Q335">
        <v>-2.9449079999999999E-2</v>
      </c>
      <c r="R335">
        <v>0.14474000000000001</v>
      </c>
      <c r="S335">
        <v>3.0273439999999998</v>
      </c>
      <c r="T335">
        <v>-0.16367200000000001</v>
      </c>
      <c r="U335">
        <v>6.9580079999999999E-3</v>
      </c>
      <c r="V335">
        <v>-0.13056329999999999</v>
      </c>
      <c r="W335">
        <v>-6.3663269999999998E-3</v>
      </c>
      <c r="X335">
        <v>0.99141959999999996</v>
      </c>
      <c r="Y335">
        <v>1.1980060000000001E-2</v>
      </c>
      <c r="Z335">
        <v>-1.097046E-3</v>
      </c>
      <c r="AA335">
        <v>0.99992760000000003</v>
      </c>
      <c r="AB335">
        <v>18</v>
      </c>
      <c r="AC335">
        <v>21.110099999999999</v>
      </c>
      <c r="AD335">
        <v>-1.1464890000000001</v>
      </c>
      <c r="AE335">
        <v>4.6899999999993697E-2</v>
      </c>
      <c r="AF335">
        <v>0.25457965020013601</v>
      </c>
      <c r="AG335">
        <v>-1.1464890000000001</v>
      </c>
      <c r="AH335">
        <v>21.046529933021802</v>
      </c>
      <c r="AI335">
        <v>93.117821805956495</v>
      </c>
      <c r="AJ335">
        <v>89.306981805588507</v>
      </c>
      <c r="AK335">
        <v>21.079271098569802</v>
      </c>
    </row>
    <row r="336" spans="1:37" x14ac:dyDescent="0.2">
      <c r="A336" t="str">
        <f>"20200111155507335"</f>
        <v>20200111155507335</v>
      </c>
      <c r="B336" t="str">
        <f>"1578729307333020"</f>
        <v>1578729307333020</v>
      </c>
      <c r="C336" t="s">
        <v>37</v>
      </c>
      <c r="D336">
        <v>5.0702259999999999</v>
      </c>
      <c r="E336">
        <v>0.55367259999999996</v>
      </c>
      <c r="F336" t="s">
        <v>39</v>
      </c>
      <c r="G336">
        <v>-418.80489999999998</v>
      </c>
      <c r="H336">
        <v>-0.05</v>
      </c>
      <c r="I336">
        <v>367.7253</v>
      </c>
      <c r="J336">
        <v>-439.30360000000002</v>
      </c>
      <c r="K336">
        <v>1.0952979999999899</v>
      </c>
      <c r="L336">
        <v>367.66590000000002</v>
      </c>
      <c r="M336">
        <v>0.99959549999999997</v>
      </c>
      <c r="N336">
        <v>0</v>
      </c>
      <c r="O336">
        <v>1.454942E-2</v>
      </c>
      <c r="P336">
        <v>0.98891189999999995</v>
      </c>
      <c r="Q336">
        <v>-3.07065999999999E-2</v>
      </c>
      <c r="R336">
        <v>0.145294799999999</v>
      </c>
      <c r="S336">
        <v>3.0269469999999998</v>
      </c>
      <c r="T336">
        <v>-0.16820009999999999</v>
      </c>
      <c r="U336">
        <v>9.0332030000000001E-3</v>
      </c>
      <c r="V336">
        <v>-0.1308841</v>
      </c>
      <c r="W336">
        <v>-6.5412839999999996E-3</v>
      </c>
      <c r="X336">
        <v>0.99137609999999998</v>
      </c>
      <c r="Y336">
        <v>1.152953E-2</v>
      </c>
      <c r="Z336">
        <v>-1.128153E-3</v>
      </c>
      <c r="AA336">
        <v>0.99993290000000001</v>
      </c>
      <c r="AB336">
        <v>18</v>
      </c>
      <c r="AC336">
        <v>20.498699999999999</v>
      </c>
      <c r="AD336">
        <v>-1.1452979999999999</v>
      </c>
      <c r="AE336">
        <v>5.93999999999823E-2</v>
      </c>
      <c r="AF336">
        <v>0.238196016561011</v>
      </c>
      <c r="AG336">
        <v>-1.1452979999999999</v>
      </c>
      <c r="AH336">
        <v>20.433607384341698</v>
      </c>
      <c r="AI336">
        <v>93.207838350811997</v>
      </c>
      <c r="AJ336">
        <v>89.332129268232705</v>
      </c>
      <c r="AK336">
        <v>20.4670651435063</v>
      </c>
    </row>
    <row r="337" spans="1:37" x14ac:dyDescent="0.2">
      <c r="A337" t="str">
        <f>"20200111155507350"</f>
        <v>20200111155507350</v>
      </c>
      <c r="B337" t="str">
        <f>"1578729307342780"</f>
        <v>1578729307342780</v>
      </c>
      <c r="C337" t="s">
        <v>37</v>
      </c>
      <c r="D337">
        <v>4.9512089999999898</v>
      </c>
      <c r="E337">
        <v>0.55350580000000005</v>
      </c>
      <c r="F337" t="s">
        <v>39</v>
      </c>
      <c r="G337">
        <v>-419.20240000000001</v>
      </c>
      <c r="H337">
        <v>-0.05</v>
      </c>
      <c r="I337">
        <v>367.75279999999998</v>
      </c>
      <c r="J337">
        <v>-439.19150000000002</v>
      </c>
      <c r="K337">
        <v>1.0943240000000001</v>
      </c>
      <c r="L337">
        <v>367.6678</v>
      </c>
      <c r="M337">
        <v>0.99957199999999902</v>
      </c>
      <c r="N337">
        <v>0</v>
      </c>
      <c r="O337">
        <v>1.474321E-2</v>
      </c>
      <c r="P337">
        <v>0.988842</v>
      </c>
      <c r="Q337">
        <v>-3.1378219999999998E-2</v>
      </c>
      <c r="R337">
        <v>0.14562720000000001</v>
      </c>
      <c r="S337">
        <v>3.026367</v>
      </c>
      <c r="T337">
        <v>-0.1724329</v>
      </c>
      <c r="U337">
        <v>1.3092039999999999E-2</v>
      </c>
      <c r="V337">
        <v>-0.13102520000000001</v>
      </c>
      <c r="W337">
        <v>-6.387322E-3</v>
      </c>
      <c r="X337">
        <v>0.99135849999999903</v>
      </c>
      <c r="Y337">
        <v>1.038154E-2</v>
      </c>
      <c r="Z337">
        <v>-1.135088E-3</v>
      </c>
      <c r="AA337">
        <v>0.99994550000000004</v>
      </c>
      <c r="AB337">
        <v>18</v>
      </c>
      <c r="AC337">
        <v>19.989100000000001</v>
      </c>
      <c r="AD337">
        <v>-1.1443239999999999</v>
      </c>
      <c r="AE337">
        <v>8.4999999999979495E-2</v>
      </c>
      <c r="AF337">
        <v>0.20912153154207699</v>
      </c>
      <c r="AG337">
        <v>-1.1443239999999999</v>
      </c>
      <c r="AH337">
        <v>19.9228882297468</v>
      </c>
      <c r="AI337">
        <v>93.287142712054404</v>
      </c>
      <c r="AJ337">
        <v>89.398614246453306</v>
      </c>
      <c r="AK337">
        <v>19.956820504451901</v>
      </c>
    </row>
    <row r="338" spans="1:37" x14ac:dyDescent="0.2">
      <c r="A338" t="str">
        <f>"20200111155507365"</f>
        <v>20200111155507365</v>
      </c>
      <c r="B338" t="str">
        <f>"1578729307363277"</f>
        <v>1578729307363277</v>
      </c>
      <c r="C338" t="s">
        <v>37</v>
      </c>
      <c r="D338">
        <v>4.880878</v>
      </c>
      <c r="E338">
        <v>0.55320550000000002</v>
      </c>
      <c r="F338" t="s">
        <v>39</v>
      </c>
      <c r="G338">
        <v>-419.38459999999998</v>
      </c>
      <c r="H338">
        <v>-0.05</v>
      </c>
      <c r="I338">
        <v>367.76940000000002</v>
      </c>
      <c r="J338">
        <v>-439.06889999999999</v>
      </c>
      <c r="K338">
        <v>1.0932919999999999</v>
      </c>
      <c r="L338">
        <v>367.66980000000001</v>
      </c>
      <c r="M338">
        <v>0.99954679999999996</v>
      </c>
      <c r="N338">
        <v>0</v>
      </c>
      <c r="O338">
        <v>1.495375E-2</v>
      </c>
      <c r="P338">
        <v>0.98873750000000005</v>
      </c>
      <c r="Q338">
        <v>-3.2263930000000003E-2</v>
      </c>
      <c r="R338">
        <v>0.146141299999999</v>
      </c>
      <c r="S338">
        <v>3.02597</v>
      </c>
      <c r="T338">
        <v>-0.174822799999999</v>
      </c>
      <c r="U338">
        <v>1.5533450000000001E-2</v>
      </c>
      <c r="V338">
        <v>-0.1313319</v>
      </c>
      <c r="W338">
        <v>-6.4217600000000003E-3</v>
      </c>
      <c r="X338">
        <v>0.99131759999999902</v>
      </c>
      <c r="Y338">
        <v>9.7846719999999995E-3</v>
      </c>
      <c r="Z338">
        <v>-1.1458900000000001E-3</v>
      </c>
      <c r="AA338">
        <v>0.99995149999999999</v>
      </c>
      <c r="AB338">
        <v>18</v>
      </c>
      <c r="AC338">
        <v>19.6843</v>
      </c>
      <c r="AD338">
        <v>-1.143292</v>
      </c>
      <c r="AE338">
        <v>9.9600000000009403E-2</v>
      </c>
      <c r="AF338">
        <v>0.194210613754909</v>
      </c>
      <c r="AG338">
        <v>-1.143292</v>
      </c>
      <c r="AH338">
        <v>19.6174107513433</v>
      </c>
      <c r="AI338">
        <v>93.335230914056297</v>
      </c>
      <c r="AJ338">
        <v>89.432795431566603</v>
      </c>
      <c r="AK338">
        <v>19.6516574096608</v>
      </c>
    </row>
    <row r="339" spans="1:37" x14ac:dyDescent="0.2">
      <c r="A339" t="str">
        <f>"20200111155507381"</f>
        <v>20200111155507381</v>
      </c>
      <c r="B339" t="str">
        <f>"1578729307373036"</f>
        <v>1578729307373036</v>
      </c>
      <c r="C339" t="s">
        <v>37</v>
      </c>
      <c r="D339">
        <v>5.0429490000000001</v>
      </c>
      <c r="E339">
        <v>0.55312039999999996</v>
      </c>
      <c r="F339" t="s">
        <v>39</v>
      </c>
      <c r="G339">
        <v>-419.61579999999998</v>
      </c>
      <c r="H339">
        <v>-0.05</v>
      </c>
      <c r="I339">
        <v>367.79500000000002</v>
      </c>
      <c r="J339">
        <v>-438.94040000000001</v>
      </c>
      <c r="K339">
        <v>1.092244</v>
      </c>
      <c r="L339">
        <v>367.671999999999</v>
      </c>
      <c r="M339">
        <v>0.99952109999999905</v>
      </c>
      <c r="N339">
        <v>0</v>
      </c>
      <c r="O339">
        <v>1.517309E-2</v>
      </c>
      <c r="P339">
        <v>0.98857240000000002</v>
      </c>
      <c r="Q339">
        <v>-3.32205E-2</v>
      </c>
      <c r="R339">
        <v>0.14704210000000001</v>
      </c>
      <c r="S339">
        <v>3.0255130000000001</v>
      </c>
      <c r="T339">
        <v>-0.1778148</v>
      </c>
      <c r="U339">
        <v>1.9470210000000002E-2</v>
      </c>
      <c r="V339">
        <v>-0.1320172</v>
      </c>
      <c r="W339">
        <v>-6.5435769999999897E-3</v>
      </c>
      <c r="X339">
        <v>0.99122579999999905</v>
      </c>
      <c r="Y339">
        <v>8.7026220000000001E-3</v>
      </c>
      <c r="Z339">
        <v>-1.146771E-3</v>
      </c>
      <c r="AA339">
        <v>0.99996149999999995</v>
      </c>
      <c r="AB339">
        <v>18</v>
      </c>
      <c r="AC339">
        <v>19.3246</v>
      </c>
      <c r="AD339">
        <v>-1.142244</v>
      </c>
      <c r="AE339">
        <v>0.123000000000047</v>
      </c>
      <c r="AF339">
        <v>0.169741739409486</v>
      </c>
      <c r="AG339">
        <v>-1.142244</v>
      </c>
      <c r="AH339">
        <v>19.2569636879741</v>
      </c>
      <c r="AI339">
        <v>93.394441378079506</v>
      </c>
      <c r="AJ339">
        <v>89.494975762230894</v>
      </c>
      <c r="AK339">
        <v>19.291557326809698</v>
      </c>
    </row>
    <row r="340" spans="1:37" x14ac:dyDescent="0.2">
      <c r="A340" t="str">
        <f>"20200111155507396"</f>
        <v>20200111155507396</v>
      </c>
      <c r="B340" t="str">
        <f>"1578729307392858"</f>
        <v>1578729307392858</v>
      </c>
      <c r="C340" t="s">
        <v>37</v>
      </c>
      <c r="D340">
        <v>4.7855109999999996</v>
      </c>
      <c r="E340">
        <v>0.55285769999999901</v>
      </c>
      <c r="F340" t="s">
        <v>39</v>
      </c>
      <c r="G340">
        <v>-419.7774</v>
      </c>
      <c r="H340">
        <v>-0.05</v>
      </c>
      <c r="I340">
        <v>367.81560000000002</v>
      </c>
      <c r="J340">
        <v>-438.81220000000002</v>
      </c>
      <c r="K340">
        <v>1.0912599999999999</v>
      </c>
      <c r="L340">
        <v>367.67419999999998</v>
      </c>
      <c r="M340">
        <v>0.99949650000000001</v>
      </c>
      <c r="N340">
        <v>0</v>
      </c>
      <c r="O340">
        <v>1.539082E-2</v>
      </c>
      <c r="P340">
        <v>0.98844529999999997</v>
      </c>
      <c r="Q340">
        <v>-3.4048699999999897E-2</v>
      </c>
      <c r="R340">
        <v>0.14770469999999999</v>
      </c>
      <c r="S340">
        <v>3.0252379999999999</v>
      </c>
      <c r="T340">
        <v>-0.1803246</v>
      </c>
      <c r="U340">
        <v>2.267456E-2</v>
      </c>
      <c r="V340">
        <v>-0.13246620000000001</v>
      </c>
      <c r="W340">
        <v>-6.6016779999999997E-3</v>
      </c>
      <c r="X340">
        <v>0.99116550000000003</v>
      </c>
      <c r="Y340">
        <v>7.8610069999999997E-3</v>
      </c>
      <c r="Z340">
        <v>-1.1509560000000001E-3</v>
      </c>
      <c r="AA340">
        <v>0.99996849999999904</v>
      </c>
      <c r="AB340">
        <v>18</v>
      </c>
      <c r="AC340">
        <v>19.034800000000001</v>
      </c>
      <c r="AD340">
        <v>-1.1412599999999999</v>
      </c>
      <c r="AE340">
        <v>0.141400000000032</v>
      </c>
      <c r="AF340">
        <v>0.151147465499716</v>
      </c>
      <c r="AG340">
        <v>-1.1412599999999999</v>
      </c>
      <c r="AH340">
        <v>18.966543944843899</v>
      </c>
      <c r="AI340">
        <v>93.443356114819593</v>
      </c>
      <c r="AJ340">
        <v>89.543410303853094</v>
      </c>
      <c r="AK340">
        <v>19.001450185594301</v>
      </c>
    </row>
    <row r="341" spans="1:37" x14ac:dyDescent="0.2">
      <c r="A341" t="str">
        <f>"20200111155507414"</f>
        <v>20200111155507414</v>
      </c>
      <c r="B341" t="str">
        <f>"1578729307402617"</f>
        <v>1578729307402617</v>
      </c>
      <c r="C341" t="s">
        <v>37</v>
      </c>
      <c r="D341">
        <v>4.7612649999999999</v>
      </c>
      <c r="E341">
        <v>0.55275920000000001</v>
      </c>
      <c r="F341" t="s">
        <v>39</v>
      </c>
      <c r="G341">
        <v>-419.92140000000001</v>
      </c>
      <c r="H341">
        <v>-0.05</v>
      </c>
      <c r="I341">
        <v>367.84339999999997</v>
      </c>
      <c r="J341">
        <v>-438.6798</v>
      </c>
      <c r="K341">
        <v>1.0902700000000001</v>
      </c>
      <c r="L341">
        <v>367.67649999999998</v>
      </c>
      <c r="M341">
        <v>0.99947169999999896</v>
      </c>
      <c r="N341">
        <v>0</v>
      </c>
      <c r="O341">
        <v>1.5855870000000001E-2</v>
      </c>
      <c r="P341">
        <v>0.98820509999999995</v>
      </c>
      <c r="Q341">
        <v>-3.4269699999999903E-2</v>
      </c>
      <c r="R341">
        <v>0.1492541</v>
      </c>
      <c r="S341">
        <v>3.02475</v>
      </c>
      <c r="T341">
        <v>-0.18273639999999999</v>
      </c>
      <c r="U341">
        <v>2.709961E-2</v>
      </c>
      <c r="V341">
        <v>-0.1335586</v>
      </c>
      <c r="W341">
        <v>-6.1965529999999996E-3</v>
      </c>
      <c r="X341">
        <v>0.9910215</v>
      </c>
      <c r="Y341">
        <v>6.8623859999999998E-3</v>
      </c>
      <c r="Z341">
        <v>-1.164457E-3</v>
      </c>
      <c r="AA341">
        <v>0.99997579999999997</v>
      </c>
      <c r="AB341">
        <v>18</v>
      </c>
      <c r="AC341">
        <v>18.758399999999899</v>
      </c>
      <c r="AD341">
        <v>-1.1402699999999999</v>
      </c>
      <c r="AE341">
        <v>0.16689999999999799</v>
      </c>
      <c r="AF341">
        <v>0.13019049903018801</v>
      </c>
      <c r="AG341">
        <v>-1.1402699999999999</v>
      </c>
      <c r="AH341">
        <v>18.6896331329982</v>
      </c>
      <c r="AI341">
        <v>93.491250812342201</v>
      </c>
      <c r="AJ341">
        <v>89.600888608958698</v>
      </c>
      <c r="AK341">
        <v>18.724837833343202</v>
      </c>
    </row>
    <row r="342" spans="1:37" x14ac:dyDescent="0.2">
      <c r="A342" t="str">
        <f>"20200111155507435"</f>
        <v>20200111155507435</v>
      </c>
      <c r="B342" t="str">
        <f>"1578729307432874"</f>
        <v>1578729307432874</v>
      </c>
      <c r="C342" t="s">
        <v>37</v>
      </c>
      <c r="D342">
        <v>4.6849639999999999</v>
      </c>
      <c r="E342">
        <v>0.55247369999999996</v>
      </c>
      <c r="F342" t="s">
        <v>39</v>
      </c>
      <c r="G342">
        <v>-419.863</v>
      </c>
      <c r="H342">
        <v>-0.05</v>
      </c>
      <c r="I342">
        <v>367.87699999999899</v>
      </c>
      <c r="J342">
        <v>-438.4984</v>
      </c>
      <c r="K342">
        <v>1.0890070000000001</v>
      </c>
      <c r="L342">
        <v>367.67959999999999</v>
      </c>
      <c r="M342">
        <v>0.99944679999999997</v>
      </c>
      <c r="N342">
        <v>0</v>
      </c>
      <c r="O342">
        <v>1.6399939999999998E-2</v>
      </c>
      <c r="P342">
        <v>0.98796810000000002</v>
      </c>
      <c r="Q342">
        <v>-3.4080399999999997E-2</v>
      </c>
      <c r="R342">
        <v>0.15085709999999999</v>
      </c>
      <c r="S342">
        <v>3.0245669999999998</v>
      </c>
      <c r="T342">
        <v>-0.1832849</v>
      </c>
      <c r="U342">
        <v>3.2226560000000001E-2</v>
      </c>
      <c r="V342">
        <v>-0.1346252</v>
      </c>
      <c r="W342">
        <v>-5.4672660000000001E-3</v>
      </c>
      <c r="X342">
        <v>0.99088149999999997</v>
      </c>
      <c r="Y342">
        <v>5.7124169999999896E-3</v>
      </c>
      <c r="Z342">
        <v>-1.1661569999999999E-3</v>
      </c>
      <c r="AA342">
        <v>0.99998299999999996</v>
      </c>
      <c r="AB342">
        <v>18</v>
      </c>
      <c r="AC342">
        <v>18.635399999999901</v>
      </c>
      <c r="AD342">
        <v>-1.1390070000000001</v>
      </c>
      <c r="AE342">
        <v>0.197399999999959</v>
      </c>
      <c r="AF342">
        <v>0.107970710896846</v>
      </c>
      <c r="AG342">
        <v>-1.1390070000000001</v>
      </c>
      <c r="AH342">
        <v>18.566777699737202</v>
      </c>
      <c r="AI342">
        <v>93.510437476932694</v>
      </c>
      <c r="AJ342">
        <v>89.666813681263505</v>
      </c>
      <c r="AK342">
        <v>18.601995290073599</v>
      </c>
    </row>
    <row r="343" spans="1:37" x14ac:dyDescent="0.2">
      <c r="A343" t="str">
        <f>"20200111155507449"</f>
        <v>20200111155507449</v>
      </c>
      <c r="B343" t="str">
        <f>"1578729307442634"</f>
        <v>1578729307442634</v>
      </c>
      <c r="C343" t="s">
        <v>37</v>
      </c>
      <c r="D343">
        <v>4.7257939999999996</v>
      </c>
      <c r="E343">
        <v>0.55236450000000004</v>
      </c>
      <c r="F343" t="s">
        <v>39</v>
      </c>
      <c r="G343">
        <v>-419.606999999999</v>
      </c>
      <c r="H343">
        <v>-0.05</v>
      </c>
      <c r="I343">
        <v>367.92469999999997</v>
      </c>
      <c r="J343">
        <v>-438.39240000000001</v>
      </c>
      <c r="K343">
        <v>1.088327</v>
      </c>
      <c r="L343">
        <v>367.68150000000003</v>
      </c>
      <c r="M343">
        <v>0.99943919999999997</v>
      </c>
      <c r="N343">
        <v>0</v>
      </c>
      <c r="O343">
        <v>1.6521259999999999E-2</v>
      </c>
      <c r="P343">
        <v>0.98791649999999998</v>
      </c>
      <c r="Q343">
        <v>-3.376403E-2</v>
      </c>
      <c r="R343">
        <v>0.1512647</v>
      </c>
      <c r="S343">
        <v>3.0242</v>
      </c>
      <c r="T343">
        <v>-0.18233679999999999</v>
      </c>
      <c r="U343">
        <v>3.924561E-2</v>
      </c>
      <c r="V343">
        <v>-0.1349128</v>
      </c>
      <c r="W343">
        <v>-4.9930159999999899E-3</v>
      </c>
      <c r="X343">
        <v>0.99084490000000003</v>
      </c>
      <c r="Y343">
        <v>3.5161720000000001E-3</v>
      </c>
      <c r="Z343">
        <v>-1.1014250000000001E-3</v>
      </c>
      <c r="AA343">
        <v>0.99999319999999903</v>
      </c>
      <c r="AB343">
        <v>18</v>
      </c>
      <c r="AC343">
        <v>18.785399999999999</v>
      </c>
      <c r="AD343">
        <v>-1.1383270000000001</v>
      </c>
      <c r="AE343">
        <v>0.24319999999994399</v>
      </c>
      <c r="AF343">
        <v>6.7077165885906398E-2</v>
      </c>
      <c r="AG343">
        <v>-1.1383270000000001</v>
      </c>
      <c r="AH343">
        <v>18.718133600728098</v>
      </c>
      <c r="AI343">
        <v>93.480084657928103</v>
      </c>
      <c r="AJ343">
        <v>89.794679205856696</v>
      </c>
      <c r="AK343">
        <v>18.752834804365399</v>
      </c>
    </row>
    <row r="344" spans="1:37" x14ac:dyDescent="0.2">
      <c r="A344" t="str">
        <f>"20200111155507462"</f>
        <v>20200111155507462</v>
      </c>
      <c r="B344" t="str">
        <f>"1578729307452394"</f>
        <v>1578729307452394</v>
      </c>
      <c r="C344" t="s">
        <v>37</v>
      </c>
      <c r="D344">
        <v>4.6092629999999897</v>
      </c>
      <c r="E344">
        <v>0.5522648</v>
      </c>
      <c r="F344" t="s">
        <v>39</v>
      </c>
      <c r="G344">
        <v>-419.41289999999998</v>
      </c>
      <c r="H344">
        <v>-0.05</v>
      </c>
      <c r="I344">
        <v>367.94080000000002</v>
      </c>
      <c r="J344">
        <v>-438.28840000000002</v>
      </c>
      <c r="K344">
        <v>1.087656</v>
      </c>
      <c r="L344">
        <v>367.68329999999997</v>
      </c>
      <c r="M344">
        <v>0.99943409999999999</v>
      </c>
      <c r="N344">
        <v>0</v>
      </c>
      <c r="O344">
        <v>1.6562460000000001E-2</v>
      </c>
      <c r="P344">
        <v>0.98791870000000004</v>
      </c>
      <c r="Q344">
        <v>-3.3095099999999898E-2</v>
      </c>
      <c r="R344">
        <v>0.15139949999999999</v>
      </c>
      <c r="S344">
        <v>3.0242</v>
      </c>
      <c r="T344">
        <v>-0.18138180000000001</v>
      </c>
      <c r="U344">
        <v>4.1320799999999998E-2</v>
      </c>
      <c r="V344">
        <v>-0.13500589999999901</v>
      </c>
      <c r="W344">
        <v>-4.2029190000000003E-3</v>
      </c>
      <c r="X344">
        <v>0.99083589999999999</v>
      </c>
      <c r="Y344">
        <v>2.8728579999999998E-3</v>
      </c>
      <c r="Z344">
        <v>-1.0788600000000001E-3</v>
      </c>
      <c r="AA344">
        <v>0.99999530000000003</v>
      </c>
      <c r="AB344">
        <v>18</v>
      </c>
      <c r="AC344">
        <v>18.875499999999999</v>
      </c>
      <c r="AD344">
        <v>-1.137656</v>
      </c>
      <c r="AE344">
        <v>0.25750000000005002</v>
      </c>
      <c r="AF344">
        <v>5.5094035380120497E-2</v>
      </c>
      <c r="AG344">
        <v>-1.137656</v>
      </c>
      <c r="AH344">
        <v>18.808861821784699</v>
      </c>
      <c r="AI344">
        <v>93.461309566256205</v>
      </c>
      <c r="AJ344">
        <v>89.832172371427205</v>
      </c>
      <c r="AK344">
        <v>18.843316575328799</v>
      </c>
    </row>
    <row r="345" spans="1:37" x14ac:dyDescent="0.2">
      <c r="A345" t="str">
        <f>"20200111155507479"</f>
        <v>20200111155507479</v>
      </c>
      <c r="B345" t="str">
        <f>"1578729307472889"</f>
        <v>1578729307472889</v>
      </c>
      <c r="C345" t="s">
        <v>37</v>
      </c>
      <c r="D345">
        <v>4.6018720000000002</v>
      </c>
      <c r="E345">
        <v>0.55211100000000002</v>
      </c>
      <c r="F345" t="s">
        <v>39</v>
      </c>
      <c r="G345">
        <v>-419.11410000000001</v>
      </c>
      <c r="H345">
        <v>-0.05</v>
      </c>
      <c r="I345">
        <v>367.95650000000001</v>
      </c>
      <c r="J345">
        <v>-438.14479999999998</v>
      </c>
      <c r="K345">
        <v>1.086687</v>
      </c>
      <c r="L345">
        <v>367.6859</v>
      </c>
      <c r="M345">
        <v>0.99943009999999999</v>
      </c>
      <c r="N345">
        <v>0</v>
      </c>
      <c r="O345">
        <v>1.6489210000000001E-2</v>
      </c>
      <c r="P345">
        <v>0.98801649999999996</v>
      </c>
      <c r="Q345">
        <v>-3.2729099999999997E-2</v>
      </c>
      <c r="R345">
        <v>0.1508381</v>
      </c>
      <c r="S345">
        <v>3.0240779999999998</v>
      </c>
      <c r="T345">
        <v>-0.179425799999999</v>
      </c>
      <c r="U345">
        <v>4.3090820000000002E-2</v>
      </c>
      <c r="V345">
        <v>-0.134514299999999</v>
      </c>
      <c r="W345">
        <v>-3.7030190000000001E-3</v>
      </c>
      <c r="X345">
        <v>0.99090469999999897</v>
      </c>
      <c r="Y345">
        <v>2.2159379999999898E-3</v>
      </c>
      <c r="Z345">
        <v>-1.0434750000000001E-3</v>
      </c>
      <c r="AA345">
        <v>0.99999699999999903</v>
      </c>
      <c r="AB345">
        <v>18</v>
      </c>
      <c r="AC345">
        <v>19.0306999999999</v>
      </c>
      <c r="AD345">
        <v>-1.136687</v>
      </c>
      <c r="AE345">
        <v>0.27060000000000101</v>
      </c>
      <c r="AF345">
        <v>4.3220083688867802E-2</v>
      </c>
      <c r="AG345">
        <v>-1.136687</v>
      </c>
      <c r="AH345">
        <v>18.964929329</v>
      </c>
      <c r="AI345">
        <v>93.429982725289094</v>
      </c>
      <c r="AJ345">
        <v>89.869426136232406</v>
      </c>
      <c r="AK345">
        <v>18.999012336581298</v>
      </c>
    </row>
    <row r="346" spans="1:37" x14ac:dyDescent="0.2">
      <c r="A346" t="str">
        <f>"20200111155507492"</f>
        <v>20200111155507492</v>
      </c>
      <c r="B346" t="str">
        <f>"1578729307482650"</f>
        <v>1578729307482650</v>
      </c>
      <c r="C346" t="s">
        <v>37</v>
      </c>
      <c r="D346">
        <v>4.5949220000000004</v>
      </c>
      <c r="E346">
        <v>0.55203250000000004</v>
      </c>
      <c r="F346" t="s">
        <v>39</v>
      </c>
      <c r="G346">
        <v>-418.85239999999999</v>
      </c>
      <c r="H346">
        <v>-0.05</v>
      </c>
      <c r="I346">
        <v>367.9554</v>
      </c>
      <c r="J346">
        <v>-438.04140000000001</v>
      </c>
      <c r="K346">
        <v>1.085877</v>
      </c>
      <c r="L346">
        <v>367.68790000000001</v>
      </c>
      <c r="M346">
        <v>0.99942799999999998</v>
      </c>
      <c r="N346">
        <v>0</v>
      </c>
      <c r="O346">
        <v>1.648519E-2</v>
      </c>
      <c r="P346">
        <v>0.98811039999999895</v>
      </c>
      <c r="Q346">
        <v>-3.2543849999999999E-2</v>
      </c>
      <c r="R346">
        <v>0.15026229999999999</v>
      </c>
      <c r="S346">
        <v>3.0240480000000001</v>
      </c>
      <c r="T346">
        <v>-0.1781732</v>
      </c>
      <c r="U346">
        <v>4.2236330000000002E-2</v>
      </c>
      <c r="V346">
        <v>-0.13394129999999899</v>
      </c>
      <c r="W346">
        <v>-3.4584379999999999E-3</v>
      </c>
      <c r="X346">
        <v>0.99098319999999995</v>
      </c>
      <c r="Y346">
        <v>2.494296E-3</v>
      </c>
      <c r="Z346">
        <v>-1.0441739999999999E-3</v>
      </c>
      <c r="AA346">
        <v>0.99999640000000001</v>
      </c>
      <c r="AB346">
        <v>18</v>
      </c>
      <c r="AC346">
        <v>19.189</v>
      </c>
      <c r="AD346">
        <v>-1.135877</v>
      </c>
      <c r="AE346">
        <v>0.26749999999998397</v>
      </c>
      <c r="AF346">
        <v>4.8837599915895799E-2</v>
      </c>
      <c r="AG346">
        <v>-1.135877</v>
      </c>
      <c r="AH346">
        <v>19.123805998979801</v>
      </c>
      <c r="AI346">
        <v>93.399133814665504</v>
      </c>
      <c r="AJ346">
        <v>89.853680680826102</v>
      </c>
      <c r="AK346">
        <v>19.1575718074319</v>
      </c>
    </row>
    <row r="347" spans="1:37" x14ac:dyDescent="0.2">
      <c r="A347" t="str">
        <f>"20200111155507505"</f>
        <v>20200111155507505</v>
      </c>
      <c r="B347" t="str">
        <f>"1578729307503145"</f>
        <v>1578729307503145</v>
      </c>
      <c r="C347" t="s">
        <v>37</v>
      </c>
      <c r="D347">
        <v>4.6689470000000002</v>
      </c>
      <c r="E347">
        <v>0.55191400000000002</v>
      </c>
      <c r="F347" t="s">
        <v>39</v>
      </c>
      <c r="G347">
        <v>-418.68079999999998</v>
      </c>
      <c r="H347">
        <v>-0.05</v>
      </c>
      <c r="I347">
        <v>367.95319999999998</v>
      </c>
      <c r="J347">
        <v>-437.93950000000001</v>
      </c>
      <c r="K347">
        <v>1.085</v>
      </c>
      <c r="L347">
        <v>367.68970000000002</v>
      </c>
      <c r="M347">
        <v>0.99942690000000001</v>
      </c>
      <c r="N347">
        <v>0</v>
      </c>
      <c r="O347">
        <v>1.6565960000000001E-2</v>
      </c>
      <c r="P347">
        <v>0.98817940000000004</v>
      </c>
      <c r="Q347">
        <v>-3.2473330000000002E-2</v>
      </c>
      <c r="R347">
        <v>0.1498226</v>
      </c>
      <c r="S347">
        <v>3.0239560000000001</v>
      </c>
      <c r="T347">
        <v>-0.17741389999999899</v>
      </c>
      <c r="U347">
        <v>4.144287E-2</v>
      </c>
      <c r="V347">
        <v>-0.1334206</v>
      </c>
      <c r="W347">
        <v>-3.398519E-3</v>
      </c>
      <c r="X347">
        <v>0.99105370000000004</v>
      </c>
      <c r="Y347">
        <v>2.8365779999999902E-3</v>
      </c>
      <c r="Z347">
        <v>-1.0545330000000001E-3</v>
      </c>
      <c r="AA347">
        <v>0.99999539999999998</v>
      </c>
      <c r="AB347">
        <v>18</v>
      </c>
      <c r="AC347">
        <v>19.258700000000001</v>
      </c>
      <c r="AD347">
        <v>-1.135</v>
      </c>
      <c r="AE347">
        <v>0.26349999999996498</v>
      </c>
      <c r="AF347">
        <v>5.55213425918945E-2</v>
      </c>
      <c r="AG347">
        <v>-1.135</v>
      </c>
      <c r="AH347">
        <v>19.1937694050449</v>
      </c>
      <c r="AI347">
        <v>93.384160558968702</v>
      </c>
      <c r="AJ347">
        <v>89.8342623763197</v>
      </c>
      <c r="AK347">
        <v>19.227378697927598</v>
      </c>
    </row>
    <row r="348" spans="1:37" x14ac:dyDescent="0.2">
      <c r="A348" t="str">
        <f>"20200111155507517"</f>
        <v>20200111155507517</v>
      </c>
      <c r="B348" t="str">
        <f>"1578729307512905"</f>
        <v>1578729307512905</v>
      </c>
      <c r="C348" t="s">
        <v>37</v>
      </c>
      <c r="D348">
        <v>4.7525719999999998</v>
      </c>
      <c r="E348">
        <v>0.5518168</v>
      </c>
      <c r="F348" t="s">
        <v>39</v>
      </c>
      <c r="G348">
        <v>-418.52519999999998</v>
      </c>
      <c r="H348">
        <v>-0.05</v>
      </c>
      <c r="I348">
        <v>367.95359999999999</v>
      </c>
      <c r="J348">
        <v>-437.83949999999999</v>
      </c>
      <c r="K348">
        <v>1.084076</v>
      </c>
      <c r="L348">
        <v>367.69150000000002</v>
      </c>
      <c r="M348">
        <v>0.9994265</v>
      </c>
      <c r="N348">
        <v>0</v>
      </c>
      <c r="O348">
        <v>1.6713769999999999E-2</v>
      </c>
      <c r="P348">
        <v>0.98828359999999904</v>
      </c>
      <c r="Q348">
        <v>-3.2272990000000001E-2</v>
      </c>
      <c r="R348">
        <v>0.1491787</v>
      </c>
      <c r="S348">
        <v>3.0238649999999998</v>
      </c>
      <c r="T348">
        <v>-0.17678139999999901</v>
      </c>
      <c r="U348">
        <v>4.110718E-2</v>
      </c>
      <c r="V348">
        <v>-0.13262850000000001</v>
      </c>
      <c r="W348">
        <v>-3.2632479999999998E-3</v>
      </c>
      <c r="X348">
        <v>0.9911605</v>
      </c>
      <c r="Y348">
        <v>3.0945600000000001E-3</v>
      </c>
      <c r="Z348">
        <v>-1.066981E-3</v>
      </c>
      <c r="AA348">
        <v>0.99999459999999996</v>
      </c>
      <c r="AB348">
        <v>18</v>
      </c>
      <c r="AC348">
        <v>19.314299999999999</v>
      </c>
      <c r="AD348">
        <v>-1.1340760000000001</v>
      </c>
      <c r="AE348">
        <v>0.26209999999997502</v>
      </c>
      <c r="AF348">
        <v>6.06823198015604E-2</v>
      </c>
      <c r="AG348">
        <v>-1.1340760000000001</v>
      </c>
      <c r="AH348">
        <v>19.249628073124001</v>
      </c>
      <c r="AI348">
        <v>93.371619749999098</v>
      </c>
      <c r="AJ348">
        <v>89.819382001280601</v>
      </c>
      <c r="AK348">
        <v>19.283101194344098</v>
      </c>
    </row>
    <row r="349" spans="1:37" x14ac:dyDescent="0.2">
      <c r="A349" t="str">
        <f>"20200111155507530"</f>
        <v>20200111155507530</v>
      </c>
      <c r="B349" t="str">
        <f>"1578729307522666"</f>
        <v>1578729307522666</v>
      </c>
      <c r="C349" t="s">
        <v>37</v>
      </c>
      <c r="D349">
        <v>4.5318949999999996</v>
      </c>
      <c r="E349">
        <v>0.55176990000000004</v>
      </c>
      <c r="F349" t="s">
        <v>39</v>
      </c>
      <c r="G349">
        <v>-418.3229</v>
      </c>
      <c r="H349">
        <v>-0.05</v>
      </c>
      <c r="I349">
        <v>367.94819999999999</v>
      </c>
      <c r="J349">
        <v>-437.74419999999998</v>
      </c>
      <c r="K349">
        <v>1.0830850000000001</v>
      </c>
      <c r="L349">
        <v>367.69319999999999</v>
      </c>
      <c r="M349">
        <v>0.99942949999999997</v>
      </c>
      <c r="N349">
        <v>0</v>
      </c>
      <c r="O349">
        <v>1.6961029999999998E-2</v>
      </c>
      <c r="P349">
        <v>0.98837529999999996</v>
      </c>
      <c r="Q349">
        <v>-3.175658E-2</v>
      </c>
      <c r="R349">
        <v>0.14868039999999999</v>
      </c>
      <c r="S349">
        <v>3.0237729999999998</v>
      </c>
      <c r="T349">
        <v>-0.17570649999999999</v>
      </c>
      <c r="U349">
        <v>3.9764399999999998E-2</v>
      </c>
      <c r="V349">
        <v>-0.13188420000000001</v>
      </c>
      <c r="W349">
        <v>-2.979228E-3</v>
      </c>
      <c r="X349">
        <v>0.99126059999999905</v>
      </c>
      <c r="Y349">
        <v>3.7842499999999999E-3</v>
      </c>
      <c r="Z349">
        <v>-1.0949130000000001E-3</v>
      </c>
      <c r="AA349">
        <v>0.99999229999999995</v>
      </c>
      <c r="AB349">
        <v>18</v>
      </c>
      <c r="AC349">
        <v>19.421299999999899</v>
      </c>
      <c r="AD349">
        <v>-1.1330849999999999</v>
      </c>
      <c r="AE349">
        <v>0.25499999999999501</v>
      </c>
      <c r="AF349">
        <v>7.4329583642602004E-2</v>
      </c>
      <c r="AG349">
        <v>-1.1330849999999999</v>
      </c>
      <c r="AH349">
        <v>19.356954291437098</v>
      </c>
      <c r="AI349">
        <v>93.350036984638606</v>
      </c>
      <c r="AJ349">
        <v>89.779988605662297</v>
      </c>
      <c r="AK349">
        <v>19.390231714577698</v>
      </c>
    </row>
    <row r="350" spans="1:37" x14ac:dyDescent="0.2">
      <c r="A350" t="str">
        <f>"20200111155507548"</f>
        <v>20200111155507548</v>
      </c>
      <c r="B350" t="str">
        <f>"1578729307543161"</f>
        <v>1578729307543161</v>
      </c>
      <c r="C350" t="s">
        <v>37</v>
      </c>
      <c r="D350">
        <v>4.6093769999999896</v>
      </c>
      <c r="E350">
        <v>0.55167060000000001</v>
      </c>
      <c r="F350" t="s">
        <v>39</v>
      </c>
      <c r="G350">
        <v>-418.02140000000003</v>
      </c>
      <c r="H350">
        <v>-0.05</v>
      </c>
      <c r="I350">
        <v>367.94369999999998</v>
      </c>
      <c r="J350">
        <v>-437.6037</v>
      </c>
      <c r="K350">
        <v>1.081577</v>
      </c>
      <c r="L350">
        <v>367.69560000000001</v>
      </c>
      <c r="M350">
        <v>0.99943769999999998</v>
      </c>
      <c r="N350">
        <v>0</v>
      </c>
      <c r="O350">
        <v>1.7298480000000001E-2</v>
      </c>
      <c r="P350">
        <v>0.98849549999999997</v>
      </c>
      <c r="Q350">
        <v>-3.0907049999999998E-2</v>
      </c>
      <c r="R350">
        <v>0.14805969999999999</v>
      </c>
      <c r="S350">
        <v>3.0239259999999999</v>
      </c>
      <c r="T350">
        <v>-0.17372660000000001</v>
      </c>
      <c r="U350">
        <v>3.8421629999999998E-2</v>
      </c>
      <c r="V350">
        <v>-0.13092760000000001</v>
      </c>
      <c r="W350">
        <v>-2.608151E-3</v>
      </c>
      <c r="X350">
        <v>0.99138850000000001</v>
      </c>
      <c r="Y350">
        <v>4.5652180000000002E-3</v>
      </c>
      <c r="Z350">
        <v>-1.1243200000000001E-3</v>
      </c>
      <c r="AA350">
        <v>0.99998899999999902</v>
      </c>
      <c r="AB350">
        <v>18</v>
      </c>
      <c r="AC350">
        <v>19.582299999999901</v>
      </c>
      <c r="AD350">
        <v>-1.1315770000000001</v>
      </c>
      <c r="AE350">
        <v>0.24809999999996499</v>
      </c>
      <c r="AF350">
        <v>9.0518794308610401E-2</v>
      </c>
      <c r="AG350">
        <v>-1.1315770000000001</v>
      </c>
      <c r="AH350">
        <v>19.518495548455501</v>
      </c>
      <c r="AI350">
        <v>93.317950396411604</v>
      </c>
      <c r="AJ350">
        <v>89.7342875281158</v>
      </c>
      <c r="AK350">
        <v>19.5514789372602</v>
      </c>
    </row>
    <row r="351" spans="1:37" x14ac:dyDescent="0.2">
      <c r="A351" t="str">
        <f>"20200111155507561"</f>
        <v>20200111155507561</v>
      </c>
      <c r="B351" t="str">
        <f>"1578729307552921"</f>
        <v>1578729307552921</v>
      </c>
      <c r="C351" t="s">
        <v>37</v>
      </c>
      <c r="D351">
        <v>4.4979389999999997</v>
      </c>
      <c r="E351">
        <v>0.55162769999999905</v>
      </c>
      <c r="F351" t="s">
        <v>39</v>
      </c>
      <c r="G351">
        <v>-417.51749999999998</v>
      </c>
      <c r="H351">
        <v>-0.05</v>
      </c>
      <c r="I351">
        <v>367.94310000000002</v>
      </c>
      <c r="J351">
        <v>-437.49209999999999</v>
      </c>
      <c r="K351">
        <v>1.0803370000000001</v>
      </c>
      <c r="L351">
        <v>367.6977</v>
      </c>
      <c r="M351">
        <v>0.99944769999999905</v>
      </c>
      <c r="N351">
        <v>0</v>
      </c>
      <c r="O351">
        <v>1.7516190000000001E-2</v>
      </c>
      <c r="P351">
        <v>0.98856509999999997</v>
      </c>
      <c r="Q351">
        <v>-3.0262770000000001E-2</v>
      </c>
      <c r="R351">
        <v>0.14772679999999999</v>
      </c>
      <c r="S351">
        <v>3.023987</v>
      </c>
      <c r="T351">
        <v>-0.17035929999999999</v>
      </c>
      <c r="U351">
        <v>3.7261959999999997E-2</v>
      </c>
      <c r="V351">
        <v>-0.13037789999999999</v>
      </c>
      <c r="W351">
        <v>-2.4552570000000002E-3</v>
      </c>
      <c r="X351">
        <v>0.99146129999999999</v>
      </c>
      <c r="Y351">
        <v>5.1665729999999998E-3</v>
      </c>
      <c r="Z351">
        <v>-1.131712E-3</v>
      </c>
      <c r="AA351">
        <v>0.99998600000000004</v>
      </c>
      <c r="AB351">
        <v>18</v>
      </c>
      <c r="AC351">
        <v>19.974599999999999</v>
      </c>
      <c r="AD351">
        <v>-1.1303369999999999</v>
      </c>
      <c r="AE351">
        <v>0.24540000000001699</v>
      </c>
      <c r="AF351">
        <v>0.104322143405689</v>
      </c>
      <c r="AG351">
        <v>-1.1303369999999999</v>
      </c>
      <c r="AH351">
        <v>19.912078746607602</v>
      </c>
      <c r="AI351">
        <v>93.248943688290694</v>
      </c>
      <c r="AJ351">
        <v>89.699822207658002</v>
      </c>
      <c r="AK351">
        <v>19.944408360597599</v>
      </c>
    </row>
    <row r="352" spans="1:37" x14ac:dyDescent="0.2">
      <c r="A352" t="str">
        <f>"20200111155507574"</f>
        <v>20200111155507574</v>
      </c>
      <c r="B352" t="str">
        <f>"1578729307562681"</f>
        <v>1578729307562681</v>
      </c>
      <c r="C352" t="s">
        <v>37</v>
      </c>
      <c r="D352">
        <v>4.5032829999999997</v>
      </c>
      <c r="E352">
        <v>0.55159179999999997</v>
      </c>
      <c r="F352" t="s">
        <v>39</v>
      </c>
      <c r="G352">
        <v>-417.14</v>
      </c>
      <c r="H352">
        <v>-0.05</v>
      </c>
      <c r="I352">
        <v>367.94349999999997</v>
      </c>
      <c r="J352">
        <v>-437.38720000000001</v>
      </c>
      <c r="K352">
        <v>1.0791280000000001</v>
      </c>
      <c r="L352">
        <v>367.69959999999998</v>
      </c>
      <c r="M352">
        <v>0.99946000000000002</v>
      </c>
      <c r="N352">
        <v>0</v>
      </c>
      <c r="O352">
        <v>1.7640490000000002E-2</v>
      </c>
      <c r="P352">
        <v>0.98860339999999902</v>
      </c>
      <c r="Q352">
        <v>-2.975682E-2</v>
      </c>
      <c r="R352">
        <v>0.14757400000000001</v>
      </c>
      <c r="S352">
        <v>3.0240779999999998</v>
      </c>
      <c r="T352">
        <v>-0.1679542</v>
      </c>
      <c r="U352">
        <v>3.6529539999999999E-2</v>
      </c>
      <c r="V352">
        <v>-0.1301013</v>
      </c>
      <c r="W352">
        <v>-2.467908E-3</v>
      </c>
      <c r="X352">
        <v>0.99149759999999998</v>
      </c>
      <c r="Y352">
        <v>5.5334750000000004E-3</v>
      </c>
      <c r="Z352">
        <v>-1.132795E-3</v>
      </c>
      <c r="AA352">
        <v>0.99998399999999998</v>
      </c>
      <c r="AB352">
        <v>18</v>
      </c>
      <c r="AC352">
        <v>20.247199999999999</v>
      </c>
      <c r="AD352">
        <v>-1.1291279999999999</v>
      </c>
      <c r="AE352">
        <v>0.24389999999999601</v>
      </c>
      <c r="AF352">
        <v>0.11309416768186201</v>
      </c>
      <c r="AG352">
        <v>-1.1291279999999999</v>
      </c>
      <c r="AH352">
        <v>20.185583687921199</v>
      </c>
      <c r="AI352">
        <v>93.201587245975603</v>
      </c>
      <c r="AJ352">
        <v>89.678991165395004</v>
      </c>
      <c r="AK352">
        <v>20.217455555861001</v>
      </c>
    </row>
    <row r="353" spans="1:37" x14ac:dyDescent="0.2">
      <c r="A353" t="str">
        <f>"20200111155507591"</f>
        <v>20200111155507591</v>
      </c>
      <c r="B353" t="str">
        <f>"1578729307583177"</f>
        <v>1578729307583177</v>
      </c>
      <c r="C353" t="s">
        <v>37</v>
      </c>
      <c r="D353">
        <v>4.4762589999999998</v>
      </c>
      <c r="E353">
        <v>0.55147460000000004</v>
      </c>
      <c r="F353" t="s">
        <v>39</v>
      </c>
      <c r="G353">
        <v>-416.82580000000002</v>
      </c>
      <c r="H353">
        <v>-0.05</v>
      </c>
      <c r="I353">
        <v>367.94979999999998</v>
      </c>
      <c r="J353">
        <v>-437.25510000000003</v>
      </c>
      <c r="K353">
        <v>1.0775440000000001</v>
      </c>
      <c r="L353">
        <v>367.7022</v>
      </c>
      <c r="M353">
        <v>0.99947559999999902</v>
      </c>
      <c r="N353">
        <v>0</v>
      </c>
      <c r="O353">
        <v>1.7765550000000001E-2</v>
      </c>
      <c r="P353">
        <v>0.98860840000000005</v>
      </c>
      <c r="Q353">
        <v>-2.9016399999999901E-2</v>
      </c>
      <c r="R353">
        <v>0.1476867</v>
      </c>
      <c r="S353">
        <v>3.0240779999999998</v>
      </c>
      <c r="T353">
        <v>-0.16606660000000001</v>
      </c>
      <c r="U353">
        <v>3.6804199999999898E-2</v>
      </c>
      <c r="V353">
        <v>-0.13009000000000001</v>
      </c>
      <c r="W353">
        <v>-2.3872160000000002E-3</v>
      </c>
      <c r="X353">
        <v>0.99149929999999997</v>
      </c>
      <c r="Y353">
        <v>5.5680319999999997E-3</v>
      </c>
      <c r="Z353">
        <v>-1.127877E-3</v>
      </c>
      <c r="AA353">
        <v>0.99998379999999998</v>
      </c>
      <c r="AB353">
        <v>18</v>
      </c>
      <c r="AC353">
        <v>20.429300000000001</v>
      </c>
      <c r="AD353">
        <v>-1.1275440000000001</v>
      </c>
      <c r="AE353">
        <v>0.24759999999997701</v>
      </c>
      <c r="AF353">
        <v>0.11515918134077099</v>
      </c>
      <c r="AG353">
        <v>-1.1275440000000001</v>
      </c>
      <c r="AH353">
        <v>20.368436400912799</v>
      </c>
      <c r="AI353">
        <v>93.168461809349395</v>
      </c>
      <c r="AJ353">
        <v>89.676064248123097</v>
      </c>
      <c r="AK353">
        <v>20.399946532454798</v>
      </c>
    </row>
    <row r="354" spans="1:37" x14ac:dyDescent="0.2">
      <c r="A354" t="str">
        <f>"20200111155507605"</f>
        <v>20200111155507605</v>
      </c>
      <c r="B354" t="str">
        <f>"1578729307592938"</f>
        <v>1578729307592938</v>
      </c>
      <c r="C354" t="s">
        <v>37</v>
      </c>
      <c r="D354">
        <v>4.5367379999999997</v>
      </c>
      <c r="E354">
        <v>0.55142579999999997</v>
      </c>
      <c r="F354" t="s">
        <v>39</v>
      </c>
      <c r="G354">
        <v>-416.35680000000002</v>
      </c>
      <c r="H354">
        <v>-0.05</v>
      </c>
      <c r="I354">
        <v>367.9633</v>
      </c>
      <c r="J354">
        <v>-437.15300000000002</v>
      </c>
      <c r="K354">
        <v>1.076276</v>
      </c>
      <c r="L354">
        <v>367.70429999999999</v>
      </c>
      <c r="M354">
        <v>0.99948760000000003</v>
      </c>
      <c r="N354">
        <v>0</v>
      </c>
      <c r="O354">
        <v>1.7885789999999999E-2</v>
      </c>
      <c r="P354">
        <v>0.98859759999999997</v>
      </c>
      <c r="Q354">
        <v>-2.8362890000000002E-2</v>
      </c>
      <c r="R354">
        <v>0.14788789999999999</v>
      </c>
      <c r="S354">
        <v>3.0241389999999999</v>
      </c>
      <c r="T354">
        <v>-0.163164</v>
      </c>
      <c r="U354">
        <v>3.7780759999999997E-2</v>
      </c>
      <c r="V354">
        <v>-0.130172699999999</v>
      </c>
      <c r="W354">
        <v>-2.252029E-3</v>
      </c>
      <c r="X354">
        <v>0.99148879999999995</v>
      </c>
      <c r="Y354">
        <v>5.3667979999999999E-3</v>
      </c>
      <c r="Z354">
        <v>-1.109213E-3</v>
      </c>
      <c r="AA354">
        <v>0.99998500000000001</v>
      </c>
      <c r="AB354">
        <v>18</v>
      </c>
      <c r="AC354">
        <v>20.796199999999999</v>
      </c>
      <c r="AD354">
        <v>-1.1262760000000001</v>
      </c>
      <c r="AE354">
        <v>0.259000000000014</v>
      </c>
      <c r="AF354">
        <v>0.112798248729537</v>
      </c>
      <c r="AG354">
        <v>-1.1262760000000001</v>
      </c>
      <c r="AH354">
        <v>20.736692438472499</v>
      </c>
      <c r="AI354">
        <v>93.108816320523403</v>
      </c>
      <c r="AJ354">
        <v>89.688339889959707</v>
      </c>
      <c r="AK354">
        <v>20.767562070712501</v>
      </c>
    </row>
    <row r="355" spans="1:37" x14ac:dyDescent="0.2">
      <c r="A355" t="str">
        <f>"20200111155507617"</f>
        <v>20200111155507617</v>
      </c>
      <c r="B355" t="str">
        <f>"1578729307613433"</f>
        <v>1578729307613433</v>
      </c>
      <c r="C355" t="s">
        <v>37</v>
      </c>
      <c r="D355">
        <v>4.5371870000000003</v>
      </c>
      <c r="E355">
        <v>0.55135649999999903</v>
      </c>
      <c r="F355" t="s">
        <v>39</v>
      </c>
      <c r="G355">
        <v>-415.97899999999998</v>
      </c>
      <c r="H355">
        <v>-0.05</v>
      </c>
      <c r="I355">
        <v>367.97519999999997</v>
      </c>
      <c r="J355">
        <v>-437.05149999999998</v>
      </c>
      <c r="K355">
        <v>1.074991</v>
      </c>
      <c r="L355">
        <v>367.7063</v>
      </c>
      <c r="M355">
        <v>0.99949889999999997</v>
      </c>
      <c r="N355">
        <v>0</v>
      </c>
      <c r="O355">
        <v>1.803461E-2</v>
      </c>
      <c r="P355">
        <v>0.98855469999999901</v>
      </c>
      <c r="Q355">
        <v>-2.8079320000000001E-2</v>
      </c>
      <c r="R355">
        <v>0.14822669999999999</v>
      </c>
      <c r="S355">
        <v>3.0242</v>
      </c>
      <c r="T355">
        <v>-0.1608617</v>
      </c>
      <c r="U355">
        <v>3.8696290000000001E-2</v>
      </c>
      <c r="V355">
        <v>-0.1303646</v>
      </c>
      <c r="W355">
        <v>-2.491437E-3</v>
      </c>
      <c r="X355">
        <v>0.99146299999999898</v>
      </c>
      <c r="Y355">
        <v>5.2139559999999996E-3</v>
      </c>
      <c r="Z355">
        <v>-1.097394E-3</v>
      </c>
      <c r="AA355">
        <v>0.99998580000000004</v>
      </c>
      <c r="AB355">
        <v>18</v>
      </c>
      <c r="AC355">
        <v>21.072499999999899</v>
      </c>
      <c r="AD355">
        <v>-1.1249910000000001</v>
      </c>
      <c r="AE355">
        <v>0.26889999999997299</v>
      </c>
      <c r="AF355">
        <v>0.110990445474413</v>
      </c>
      <c r="AG355">
        <v>-1.1249910000000001</v>
      </c>
      <c r="AH355">
        <v>21.014038493385399</v>
      </c>
      <c r="AI355">
        <v>93.064373701915102</v>
      </c>
      <c r="AJ355">
        <v>89.697382063866499</v>
      </c>
      <c r="AK355">
        <v>21.044422953137701</v>
      </c>
    </row>
    <row r="356" spans="1:37" x14ac:dyDescent="0.2">
      <c r="A356" t="str">
        <f>"20200111155507630"</f>
        <v>20200111155507630</v>
      </c>
      <c r="B356" t="str">
        <f>"1578729307623194"</f>
        <v>1578729307623194</v>
      </c>
      <c r="C356" t="s">
        <v>37</v>
      </c>
      <c r="D356">
        <v>4.5005709999999999</v>
      </c>
      <c r="E356">
        <v>0.55131770000000002</v>
      </c>
      <c r="F356" t="s">
        <v>39</v>
      </c>
      <c r="G356">
        <v>-415.7133</v>
      </c>
      <c r="H356">
        <v>-0.05</v>
      </c>
      <c r="I356">
        <v>367.99180000000001</v>
      </c>
      <c r="J356">
        <v>-436.95929999999998</v>
      </c>
      <c r="K356">
        <v>1.073812</v>
      </c>
      <c r="L356">
        <v>367.70819999999998</v>
      </c>
      <c r="M356">
        <v>0.99950890000000003</v>
      </c>
      <c r="N356">
        <v>0</v>
      </c>
      <c r="O356">
        <v>1.8246289999999998E-2</v>
      </c>
      <c r="P356">
        <v>0.98846080000000003</v>
      </c>
      <c r="Q356">
        <v>-2.76999E-2</v>
      </c>
      <c r="R356">
        <v>0.14892339999999901</v>
      </c>
      <c r="S356">
        <v>3.0241090000000002</v>
      </c>
      <c r="T356">
        <v>-0.15943679999999999</v>
      </c>
      <c r="U356">
        <v>4.0466309999999998E-2</v>
      </c>
      <c r="V356">
        <v>-0.13085339999999901</v>
      </c>
      <c r="W356">
        <v>-2.6287459999999999E-3</v>
      </c>
      <c r="X356">
        <v>0.99139829999999995</v>
      </c>
      <c r="Y356">
        <v>4.8407090000000003E-3</v>
      </c>
      <c r="Z356">
        <v>-1.0890229999999999E-3</v>
      </c>
      <c r="AA356">
        <v>0.99998770000000003</v>
      </c>
      <c r="AB356">
        <v>18</v>
      </c>
      <c r="AC356">
        <v>21.245999999999899</v>
      </c>
      <c r="AD356">
        <v>-1.123812</v>
      </c>
      <c r="AE356">
        <v>0.28360000000003499</v>
      </c>
      <c r="AF356">
        <v>0.103943013431125</v>
      </c>
      <c r="AG356">
        <v>-1.123812</v>
      </c>
      <c r="AH356">
        <v>21.188364579997899</v>
      </c>
      <c r="AI356">
        <v>93.036035849446506</v>
      </c>
      <c r="AJ356">
        <v>89.7189283682753</v>
      </c>
      <c r="AK356">
        <v>21.218401238931602</v>
      </c>
    </row>
    <row r="357" spans="1:37" x14ac:dyDescent="0.2">
      <c r="A357" t="str">
        <f>"20200111155507642"</f>
        <v>20200111155507642</v>
      </c>
      <c r="B357" t="str">
        <f>"1578729307632953"</f>
        <v>1578729307632953</v>
      </c>
      <c r="C357" t="s">
        <v>37</v>
      </c>
      <c r="D357">
        <v>4.5008269999999904</v>
      </c>
      <c r="E357">
        <v>0.55127990000000004</v>
      </c>
      <c r="F357" t="s">
        <v>39</v>
      </c>
      <c r="G357">
        <v>-415.44740000000002</v>
      </c>
      <c r="H357">
        <v>-0.05</v>
      </c>
      <c r="I357">
        <v>368.01319999999998</v>
      </c>
      <c r="J357">
        <v>-436.85840000000002</v>
      </c>
      <c r="K357">
        <v>1.0725279999999999</v>
      </c>
      <c r="L357">
        <v>367.71030000000002</v>
      </c>
      <c r="M357">
        <v>0.99951939999999995</v>
      </c>
      <c r="N357">
        <v>0</v>
      </c>
      <c r="O357">
        <v>1.8494099999999899E-2</v>
      </c>
      <c r="P357">
        <v>0.98839909999999997</v>
      </c>
      <c r="Q357">
        <v>-2.7111619999999999E-2</v>
      </c>
      <c r="R357">
        <v>0.14943979999999901</v>
      </c>
      <c r="S357">
        <v>3.0241389999999999</v>
      </c>
      <c r="T357">
        <v>-0.15798470000000001</v>
      </c>
      <c r="U357">
        <v>4.2877199999999997E-2</v>
      </c>
      <c r="V357">
        <v>-0.13112570000000001</v>
      </c>
      <c r="W357">
        <v>-2.6206989999999898E-3</v>
      </c>
      <c r="X357">
        <v>0.99136229999999903</v>
      </c>
      <c r="Y357">
        <v>4.2924360000000002E-3</v>
      </c>
      <c r="Z357">
        <v>-1.077712E-3</v>
      </c>
      <c r="AA357">
        <v>0.99999020000000005</v>
      </c>
      <c r="AB357">
        <v>18</v>
      </c>
      <c r="AC357">
        <v>21.411000000000001</v>
      </c>
      <c r="AD357">
        <v>-1.122528</v>
      </c>
      <c r="AE357">
        <v>0.30289999999996498</v>
      </c>
      <c r="AF357">
        <v>9.2996048714276205E-2</v>
      </c>
      <c r="AG357">
        <v>-1.122528</v>
      </c>
      <c r="AH357">
        <v>21.354255627421502</v>
      </c>
      <c r="AI357">
        <v>93.009066038487006</v>
      </c>
      <c r="AJ357">
        <v>89.750483111568499</v>
      </c>
      <c r="AK357">
        <v>21.383941422879001</v>
      </c>
    </row>
    <row r="358" spans="1:37" x14ac:dyDescent="0.2">
      <c r="A358" t="str">
        <f>"20200111155507659"</f>
        <v>20200111155507659</v>
      </c>
      <c r="B358" t="str">
        <f>"1578729307653449"</f>
        <v>1578729307653449</v>
      </c>
      <c r="C358" t="s">
        <v>37</v>
      </c>
      <c r="D358">
        <v>4.5539079999999998</v>
      </c>
      <c r="E358">
        <v>0.55121229999999999</v>
      </c>
      <c r="F358" t="s">
        <v>39</v>
      </c>
      <c r="G358">
        <v>-415.09339999999997</v>
      </c>
      <c r="H358">
        <v>-0.05</v>
      </c>
      <c r="I358">
        <v>368.03199999999998</v>
      </c>
      <c r="J358">
        <v>-436.72969999999998</v>
      </c>
      <c r="K358">
        <v>1.070927</v>
      </c>
      <c r="L358">
        <v>367.71300000000002</v>
      </c>
      <c r="M358">
        <v>0.99953259999999899</v>
      </c>
      <c r="N358">
        <v>0</v>
      </c>
      <c r="O358">
        <v>1.883866E-2</v>
      </c>
      <c r="P358">
        <v>0.98819880000000004</v>
      </c>
      <c r="Q358">
        <v>-2.706124E-2</v>
      </c>
      <c r="R358">
        <v>0.15076729999999899</v>
      </c>
      <c r="S358">
        <v>3.0241699999999998</v>
      </c>
      <c r="T358">
        <v>-0.1559711</v>
      </c>
      <c r="U358">
        <v>4.4708249999999998E-2</v>
      </c>
      <c r="V358">
        <v>-0.1321148</v>
      </c>
      <c r="W358">
        <v>-3.3498299999999998E-3</v>
      </c>
      <c r="X358">
        <v>0.99122880000000002</v>
      </c>
      <c r="Y358">
        <v>4.0322639999999998E-3</v>
      </c>
      <c r="Z358">
        <v>-1.075014E-3</v>
      </c>
      <c r="AA358">
        <v>0.99999130000000003</v>
      </c>
      <c r="AB358">
        <v>17</v>
      </c>
      <c r="AC358">
        <v>21.636299999999999</v>
      </c>
      <c r="AD358">
        <v>-1.120927</v>
      </c>
      <c r="AE358">
        <v>0.31899999999995998</v>
      </c>
      <c r="AF358">
        <v>8.8536151396796506E-2</v>
      </c>
      <c r="AG358">
        <v>-1.120927</v>
      </c>
      <c r="AH358">
        <v>21.5805589452929</v>
      </c>
      <c r="AI358">
        <v>92.973332768912201</v>
      </c>
      <c r="AJ358">
        <v>89.764940316776901</v>
      </c>
      <c r="AK358">
        <v>21.6098320303674</v>
      </c>
    </row>
    <row r="359" spans="1:37" x14ac:dyDescent="0.2">
      <c r="A359" t="str">
        <f>"20200111155507671"</f>
        <v>20200111155507671</v>
      </c>
      <c r="B359" t="str">
        <f>"1578729307663210"</f>
        <v>1578729307663210</v>
      </c>
      <c r="C359" t="s">
        <v>37</v>
      </c>
      <c r="D359">
        <v>4.45174</v>
      </c>
      <c r="E359">
        <v>0.55117649999999996</v>
      </c>
      <c r="F359" t="s">
        <v>39</v>
      </c>
      <c r="G359">
        <v>-414.85610000000003</v>
      </c>
      <c r="H359">
        <v>-0.05</v>
      </c>
      <c r="I359">
        <v>368.07</v>
      </c>
      <c r="J359">
        <v>-436.6266</v>
      </c>
      <c r="K359">
        <v>1.0697239999999999</v>
      </c>
      <c r="L359">
        <v>367.71519999999998</v>
      </c>
      <c r="M359">
        <v>0.99954310000000002</v>
      </c>
      <c r="N359">
        <v>0</v>
      </c>
      <c r="O359">
        <v>1.9086269999999999E-2</v>
      </c>
      <c r="P359">
        <v>0.98810940000000003</v>
      </c>
      <c r="Q359">
        <v>-2.6582939999999999E-2</v>
      </c>
      <c r="R359">
        <v>0.15143619999999999</v>
      </c>
      <c r="S359">
        <v>3.0240480000000001</v>
      </c>
      <c r="T359">
        <v>-0.15496940000000001</v>
      </c>
      <c r="U359">
        <v>4.9346920000000002E-2</v>
      </c>
      <c r="V359">
        <v>-0.13254050000000001</v>
      </c>
      <c r="W359">
        <v>-3.4979339999999999E-3</v>
      </c>
      <c r="X359">
        <v>0.99117140000000004</v>
      </c>
      <c r="Y359">
        <v>2.7473009999999902E-3</v>
      </c>
      <c r="Z359">
        <v>-1.0479109999999999E-3</v>
      </c>
      <c r="AA359">
        <v>0.99999559999999998</v>
      </c>
      <c r="AB359">
        <v>17</v>
      </c>
      <c r="AC359">
        <v>21.770499999999899</v>
      </c>
      <c r="AD359">
        <v>-1.1197239999999999</v>
      </c>
      <c r="AE359">
        <v>0.354800000000011</v>
      </c>
      <c r="AF359">
        <v>6.0735851167460497E-2</v>
      </c>
      <c r="AG359">
        <v>-1.1197239999999999</v>
      </c>
      <c r="AH359">
        <v>21.715874684027401</v>
      </c>
      <c r="AI359">
        <v>92.951685998382402</v>
      </c>
      <c r="AJ359">
        <v>89.839753225966902</v>
      </c>
      <c r="AK359">
        <v>21.744808207298</v>
      </c>
    </row>
    <row r="360" spans="1:37" x14ac:dyDescent="0.2">
      <c r="A360" t="str">
        <f>"20200111155507683"</f>
        <v>20200111155507683</v>
      </c>
      <c r="B360" t="str">
        <f>"1578729307672970"</f>
        <v>1578729307672970</v>
      </c>
      <c r="C360" t="s">
        <v>37</v>
      </c>
      <c r="D360">
        <v>4.4528049999999997</v>
      </c>
      <c r="E360">
        <v>0.55112830000000002</v>
      </c>
      <c r="F360" t="s">
        <v>39</v>
      </c>
      <c r="G360">
        <v>-414.50540000000001</v>
      </c>
      <c r="H360">
        <v>-0.05</v>
      </c>
      <c r="I360">
        <v>368.09339999999997</v>
      </c>
      <c r="J360">
        <v>-436.53890000000001</v>
      </c>
      <c r="K360">
        <v>1.06874</v>
      </c>
      <c r="L360">
        <v>367.71719999999999</v>
      </c>
      <c r="M360">
        <v>0.99955179999999999</v>
      </c>
      <c r="N360">
        <v>0</v>
      </c>
      <c r="O360">
        <v>1.92728E-2</v>
      </c>
      <c r="P360">
        <v>0.98801079999999997</v>
      </c>
      <c r="Q360">
        <v>-2.5937620000000002E-2</v>
      </c>
      <c r="R360">
        <v>0.15219059999999901</v>
      </c>
      <c r="S360">
        <v>3.0240480000000001</v>
      </c>
      <c r="T360">
        <v>-0.15307019999999999</v>
      </c>
      <c r="U360">
        <v>5.1696779999999998E-2</v>
      </c>
      <c r="V360">
        <v>-0.13311199999999901</v>
      </c>
      <c r="W360">
        <v>-3.371607E-3</v>
      </c>
      <c r="X360">
        <v>0.99109519999999995</v>
      </c>
      <c r="Y360">
        <v>2.1580589999999999E-3</v>
      </c>
      <c r="Z360">
        <v>-1.0295980000000001E-3</v>
      </c>
      <c r="AA360">
        <v>0.99999709999999997</v>
      </c>
      <c r="AB360">
        <v>17</v>
      </c>
      <c r="AC360">
        <v>22.0335</v>
      </c>
      <c r="AD360">
        <v>-1.1187400000000001</v>
      </c>
      <c r="AE360">
        <v>0.37619999999998199</v>
      </c>
      <c r="AF360">
        <v>4.8503604169256302E-2</v>
      </c>
      <c r="AG360">
        <v>-1.1187400000000001</v>
      </c>
      <c r="AH360">
        <v>21.980008681712398</v>
      </c>
      <c r="AI360">
        <v>92.913723080572296</v>
      </c>
      <c r="AJ360">
        <v>89.873564777003395</v>
      </c>
      <c r="AK360">
        <v>22.0085145667619</v>
      </c>
    </row>
    <row r="361" spans="1:37" x14ac:dyDescent="0.2">
      <c r="A361" t="str">
        <f>"20200111155507696"</f>
        <v>20200111155507696</v>
      </c>
      <c r="B361" t="str">
        <f>"1578729307693466"</f>
        <v>1578729307693466</v>
      </c>
      <c r="C361" t="s">
        <v>37</v>
      </c>
      <c r="D361">
        <v>4.446917</v>
      </c>
      <c r="E361">
        <v>0.55106390000000005</v>
      </c>
      <c r="F361" t="s">
        <v>39</v>
      </c>
      <c r="G361">
        <v>-414.084</v>
      </c>
      <c r="H361">
        <v>-0.05</v>
      </c>
      <c r="I361">
        <v>368.1191</v>
      </c>
      <c r="J361">
        <v>-436.44170000000003</v>
      </c>
      <c r="K361">
        <v>1.0676950000000001</v>
      </c>
      <c r="L361">
        <v>367.71929999999998</v>
      </c>
      <c r="M361">
        <v>0.99956129999999999</v>
      </c>
      <c r="N361">
        <v>0</v>
      </c>
      <c r="O361">
        <v>1.9450640000000002E-2</v>
      </c>
      <c r="P361">
        <v>0.98794409999999899</v>
      </c>
      <c r="Q361">
        <v>-2.4954509999999999E-2</v>
      </c>
      <c r="R361">
        <v>0.15278720000000001</v>
      </c>
      <c r="S361">
        <v>3.0241090000000002</v>
      </c>
      <c r="T361">
        <v>-0.1506661</v>
      </c>
      <c r="U361">
        <v>5.4138180000000001E-2</v>
      </c>
      <c r="V361">
        <v>-0.13353470000000001</v>
      </c>
      <c r="W361">
        <v>-2.9444009999999902E-3</v>
      </c>
      <c r="X361">
        <v>0.99103980000000003</v>
      </c>
      <c r="Y361">
        <v>1.5304189999999899E-3</v>
      </c>
      <c r="Z361">
        <v>-1.0066350000000001E-3</v>
      </c>
      <c r="AA361">
        <v>0.99999830000000001</v>
      </c>
      <c r="AB361">
        <v>17</v>
      </c>
      <c r="AC361">
        <v>22.357700000000001</v>
      </c>
      <c r="AD361">
        <v>-1.1176950000000001</v>
      </c>
      <c r="AE361">
        <v>0.39980000000002702</v>
      </c>
      <c r="AF361">
        <v>3.5167899714447601E-2</v>
      </c>
      <c r="AG361">
        <v>-1.1176950000000001</v>
      </c>
      <c r="AH361">
        <v>22.3055195045361</v>
      </c>
      <c r="AI361">
        <v>92.868599842237302</v>
      </c>
      <c r="AJ361">
        <v>89.909664934817698</v>
      </c>
      <c r="AK361">
        <v>22.333532619391701</v>
      </c>
    </row>
    <row r="362" spans="1:37" x14ac:dyDescent="0.2">
      <c r="A362" t="str">
        <f>"20200111155507708"</f>
        <v>20200111155507708</v>
      </c>
      <c r="B362" t="str">
        <f>"1578729307703225"</f>
        <v>1578729307703225</v>
      </c>
      <c r="C362" t="s">
        <v>37</v>
      </c>
      <c r="D362">
        <v>4.4207109999999998</v>
      </c>
      <c r="E362">
        <v>0.55104319999999996</v>
      </c>
      <c r="F362" t="s">
        <v>39</v>
      </c>
      <c r="G362">
        <v>-413.43639999999999</v>
      </c>
      <c r="H362">
        <v>-0.05</v>
      </c>
      <c r="I362">
        <v>368.15089999999998</v>
      </c>
      <c r="J362">
        <v>-436.34870000000001</v>
      </c>
      <c r="K362">
        <v>1.0667740000000001</v>
      </c>
      <c r="L362">
        <v>367.72140000000002</v>
      </c>
      <c r="M362">
        <v>0.99956970000000001</v>
      </c>
      <c r="N362">
        <v>0</v>
      </c>
      <c r="O362">
        <v>1.9588669999999999E-2</v>
      </c>
      <c r="P362">
        <v>0.9878574</v>
      </c>
      <c r="Q362">
        <v>-2.417213E-2</v>
      </c>
      <c r="R362">
        <v>0.1534713</v>
      </c>
      <c r="S362">
        <v>3.0241389999999999</v>
      </c>
      <c r="T362">
        <v>-0.146925799999999</v>
      </c>
      <c r="U362">
        <v>5.673218E-2</v>
      </c>
      <c r="V362">
        <v>-0.13408429999999999</v>
      </c>
      <c r="W362">
        <v>-2.6532940000000001E-3</v>
      </c>
      <c r="X362">
        <v>0.99096640000000003</v>
      </c>
      <c r="Y362">
        <v>8.1296429999999902E-4</v>
      </c>
      <c r="Z362">
        <v>-9.7093099999999996E-4</v>
      </c>
      <c r="AA362">
        <v>0.99999919999999998</v>
      </c>
      <c r="AB362">
        <v>17</v>
      </c>
      <c r="AC362">
        <v>22.912299999999998</v>
      </c>
      <c r="AD362">
        <v>-1.1167739999999999</v>
      </c>
      <c r="AE362">
        <v>0.42949999999996102</v>
      </c>
      <c r="AF362">
        <v>1.9464722199449499E-2</v>
      </c>
      <c r="AG362">
        <v>-1.1167739999999999</v>
      </c>
      <c r="AH362">
        <v>22.8620224825831</v>
      </c>
      <c r="AI362">
        <v>92.796585138610794</v>
      </c>
      <c r="AJ362">
        <v>89.951218394488095</v>
      </c>
      <c r="AK362">
        <v>22.889290837346199</v>
      </c>
    </row>
    <row r="363" spans="1:37" x14ac:dyDescent="0.2">
      <c r="A363" t="str">
        <f>"20200111155507726"</f>
        <v>20200111155507726</v>
      </c>
      <c r="B363" t="str">
        <f>"1578729307722745"</f>
        <v>1578729307722745</v>
      </c>
      <c r="C363" t="s">
        <v>37</v>
      </c>
      <c r="D363">
        <v>4.6345260000000001</v>
      </c>
      <c r="E363">
        <v>0.55093599999999998</v>
      </c>
      <c r="F363" t="s">
        <v>39</v>
      </c>
      <c r="G363">
        <v>-412.89150000000001</v>
      </c>
      <c r="H363">
        <v>-0.05</v>
      </c>
      <c r="I363">
        <v>368.1773</v>
      </c>
      <c r="J363">
        <v>-436.2131</v>
      </c>
      <c r="K363">
        <v>1.065501</v>
      </c>
      <c r="L363">
        <v>367.7244</v>
      </c>
      <c r="M363">
        <v>0.99958069999999899</v>
      </c>
      <c r="N363">
        <v>0</v>
      </c>
      <c r="O363">
        <v>1.9778150000000001E-2</v>
      </c>
      <c r="P363">
        <v>0.98765419999999904</v>
      </c>
      <c r="Q363">
        <v>-2.268332E-2</v>
      </c>
      <c r="R363">
        <v>0.1549992</v>
      </c>
      <c r="S363">
        <v>3.0242</v>
      </c>
      <c r="T363">
        <v>-0.1439792</v>
      </c>
      <c r="U363">
        <v>5.877686E-2</v>
      </c>
      <c r="V363">
        <v>-0.1354292</v>
      </c>
      <c r="W363">
        <v>-1.8420559999999999E-3</v>
      </c>
      <c r="X363">
        <v>0.99078529999999998</v>
      </c>
      <c r="Y363">
        <v>3.280394E-4</v>
      </c>
      <c r="Z363">
        <v>-9.4891919999999996E-4</v>
      </c>
      <c r="AA363">
        <v>0.99999950000000004</v>
      </c>
      <c r="AB363">
        <v>17</v>
      </c>
      <c r="AC363">
        <v>23.321599999999901</v>
      </c>
      <c r="AD363">
        <v>-1.1155010000000001</v>
      </c>
      <c r="AE363">
        <v>0.45289999999999903</v>
      </c>
      <c r="AF363">
        <v>8.5304074524258297E-3</v>
      </c>
      <c r="AG363">
        <v>-1.1155010000000001</v>
      </c>
      <c r="AH363">
        <v>23.272771613716898</v>
      </c>
      <c r="AI363">
        <v>92.744177518728804</v>
      </c>
      <c r="AJ363">
        <v>89.978998791773705</v>
      </c>
      <c r="AK363">
        <v>23.299491707611999</v>
      </c>
    </row>
    <row r="364" spans="1:37" x14ac:dyDescent="0.2">
      <c r="A364" t="str">
        <f>"20200111155508039"</f>
        <v>20200111155508039</v>
      </c>
      <c r="B364" t="str">
        <f>"1578729308033113"</f>
        <v>1578729308033113</v>
      </c>
      <c r="C364" t="s">
        <v>37</v>
      </c>
      <c r="D364">
        <v>4.3375849999999998</v>
      </c>
      <c r="E364">
        <v>0.55101009999999995</v>
      </c>
      <c r="F364" t="s">
        <v>39</v>
      </c>
      <c r="G364">
        <v>-411.8605</v>
      </c>
      <c r="H364">
        <v>-0.05</v>
      </c>
      <c r="I364">
        <v>368.24119999999999</v>
      </c>
      <c r="J364">
        <v>-433.8252</v>
      </c>
      <c r="K364">
        <v>1.056073</v>
      </c>
      <c r="L364">
        <v>367.78129999999999</v>
      </c>
      <c r="M364">
        <v>0.99960419999999905</v>
      </c>
      <c r="N364">
        <v>0</v>
      </c>
      <c r="O364">
        <v>2.3716000000000001E-2</v>
      </c>
      <c r="P364">
        <v>0.98682289999999995</v>
      </c>
      <c r="Q364">
        <v>-1.6285109999999998E-2</v>
      </c>
      <c r="R364">
        <v>0.1609833</v>
      </c>
      <c r="S364">
        <v>3.0242309999999999</v>
      </c>
      <c r="T364">
        <v>-0.13852879999999901</v>
      </c>
      <c r="U364">
        <v>6.4178470000000001E-2</v>
      </c>
      <c r="V364">
        <v>-0.1375314</v>
      </c>
      <c r="W364">
        <v>-1.3300439999999901E-3</v>
      </c>
      <c r="X364">
        <v>0.9904965</v>
      </c>
      <c r="Y364">
        <v>2.4752590000000001E-3</v>
      </c>
      <c r="Z364">
        <v>-1.142285E-3</v>
      </c>
      <c r="AA364">
        <v>0.99999629999999995</v>
      </c>
      <c r="AB364">
        <v>17</v>
      </c>
      <c r="AC364">
        <v>21.964700000000001</v>
      </c>
      <c r="AD364">
        <v>-1.1060730000000001</v>
      </c>
      <c r="AE364">
        <v>0.45990000000000397</v>
      </c>
      <c r="AF364">
        <v>6.1049120456005197E-2</v>
      </c>
      <c r="AG364">
        <v>-1.1060730000000001</v>
      </c>
      <c r="AH364">
        <v>21.913883810059801</v>
      </c>
      <c r="AI364">
        <v>92.889462031155503</v>
      </c>
      <c r="AJ364">
        <v>89.8403821099688</v>
      </c>
      <c r="AK364">
        <v>21.941864736554201</v>
      </c>
    </row>
    <row r="365" spans="1:37" x14ac:dyDescent="0.2">
      <c r="A365" t="str">
        <f>"20200111155508064"</f>
        <v>20200111155508064</v>
      </c>
      <c r="B365" t="str">
        <f>"1578729308052634"</f>
        <v>1578729308052634</v>
      </c>
      <c r="C365" t="s">
        <v>37</v>
      </c>
      <c r="D365">
        <v>4.4345220000000003</v>
      </c>
      <c r="E365">
        <v>0.55110019999999904</v>
      </c>
      <c r="F365" t="s">
        <v>39</v>
      </c>
      <c r="G365">
        <v>-405.0034</v>
      </c>
      <c r="H365">
        <v>-0.05</v>
      </c>
      <c r="I365">
        <v>368.56150000000002</v>
      </c>
      <c r="J365">
        <v>-433.64830000000001</v>
      </c>
      <c r="K365">
        <v>1.0559069999999999</v>
      </c>
      <c r="L365">
        <v>367.78590000000003</v>
      </c>
      <c r="M365">
        <v>0.99959929999999997</v>
      </c>
      <c r="N365">
        <v>0</v>
      </c>
      <c r="O365">
        <v>2.4013739999999999E-2</v>
      </c>
      <c r="P365">
        <v>0.98680140000000005</v>
      </c>
      <c r="Q365">
        <v>-1.6984760000000002E-2</v>
      </c>
      <c r="R365">
        <v>0.16104279999999899</v>
      </c>
      <c r="S365">
        <v>3.02475</v>
      </c>
      <c r="T365">
        <v>-0.116078399999999</v>
      </c>
      <c r="U365">
        <v>8.1878660000000006E-2</v>
      </c>
      <c r="V365">
        <v>-0.13729649999999999</v>
      </c>
      <c r="W365">
        <v>-2.1846700000000001E-3</v>
      </c>
      <c r="X365">
        <v>0.99052759999999995</v>
      </c>
      <c r="Y365">
        <v>-3.0596149999999999E-3</v>
      </c>
      <c r="Z365">
        <v>-8.6233459999999996E-4</v>
      </c>
      <c r="AA365">
        <v>0.99999490000000002</v>
      </c>
      <c r="AB365">
        <v>17</v>
      </c>
      <c r="AC365">
        <v>28.6449</v>
      </c>
      <c r="AD365">
        <v>-1.105907</v>
      </c>
      <c r="AE365">
        <v>0.77559999999999696</v>
      </c>
      <c r="AF365">
        <v>-8.7297828699267305E-2</v>
      </c>
      <c r="AG365">
        <v>-1.105907</v>
      </c>
      <c r="AH365">
        <v>28.612647971625801</v>
      </c>
      <c r="AI365">
        <v>92.213426189722298</v>
      </c>
      <c r="AJ365">
        <v>90.1748101619267</v>
      </c>
      <c r="AK365">
        <v>28.634145266651899</v>
      </c>
    </row>
    <row r="366" spans="1:37" x14ac:dyDescent="0.2">
      <c r="A366" t="str">
        <f>"20200111155508076"</f>
        <v>20200111155508076</v>
      </c>
      <c r="B366" t="str">
        <f>"1578729308073129"</f>
        <v>1578729308073129</v>
      </c>
      <c r="C366" t="s">
        <v>37</v>
      </c>
      <c r="D366">
        <v>4.3933450000000001</v>
      </c>
      <c r="E366">
        <v>0.55124549999999894</v>
      </c>
      <c r="F366" t="s">
        <v>39</v>
      </c>
      <c r="G366">
        <v>-405.17079999999999</v>
      </c>
      <c r="H366">
        <v>-0.05</v>
      </c>
      <c r="I366">
        <v>368.54750000000001</v>
      </c>
      <c r="J366">
        <v>-433.55430000000001</v>
      </c>
      <c r="K366">
        <v>1.0558299999999901</v>
      </c>
      <c r="L366">
        <v>367.78829999999999</v>
      </c>
      <c r="M366">
        <v>0.99959679999999995</v>
      </c>
      <c r="N366">
        <v>0</v>
      </c>
      <c r="O366">
        <v>2.4171700000000001E-2</v>
      </c>
      <c r="P366">
        <v>0.9867707</v>
      </c>
      <c r="Q366">
        <v>-1.7462330000000002E-2</v>
      </c>
      <c r="R366">
        <v>0.16117889999999899</v>
      </c>
      <c r="S366">
        <v>3.0248719999999998</v>
      </c>
      <c r="T366">
        <v>-0.1174694</v>
      </c>
      <c r="U366">
        <v>8.0902100000000005E-2</v>
      </c>
      <c r="V366">
        <v>-0.13727690000000001</v>
      </c>
      <c r="W366">
        <v>-2.737887E-3</v>
      </c>
      <c r="X366">
        <v>0.99052890000000005</v>
      </c>
      <c r="Y366">
        <v>-2.5787679999999999E-3</v>
      </c>
      <c r="Z366">
        <v>-8.8809019999999998E-4</v>
      </c>
      <c r="AA366">
        <v>0.99999629999999995</v>
      </c>
      <c r="AB366">
        <v>17</v>
      </c>
      <c r="AC366">
        <v>28.383500000000002</v>
      </c>
      <c r="AD366">
        <v>-1.1058299999999901</v>
      </c>
      <c r="AE366">
        <v>0.75920000000002097</v>
      </c>
      <c r="AF366">
        <v>-7.2714231906754995E-2</v>
      </c>
      <c r="AG366">
        <v>-1.1058299999999901</v>
      </c>
      <c r="AH366">
        <v>28.3505556012204</v>
      </c>
      <c r="AI366">
        <v>92.233715682896204</v>
      </c>
      <c r="AJ366">
        <v>90.146953362108405</v>
      </c>
      <c r="AK366">
        <v>28.372207355902201</v>
      </c>
    </row>
    <row r="367" spans="1:37" x14ac:dyDescent="0.2">
      <c r="A367" t="str">
        <f>"20200111155508087"</f>
        <v>20200111155508087</v>
      </c>
      <c r="B367" t="str">
        <f>"1578729308082890"</f>
        <v>1578729308082890</v>
      </c>
      <c r="C367" t="s">
        <v>37</v>
      </c>
      <c r="D367">
        <v>4.4207470000000004</v>
      </c>
      <c r="E367">
        <v>0.55127869999999901</v>
      </c>
      <c r="F367" t="s">
        <v>39</v>
      </c>
      <c r="G367">
        <v>-405.07709999999997</v>
      </c>
      <c r="H367">
        <v>-0.05</v>
      </c>
      <c r="I367">
        <v>368.54390000000001</v>
      </c>
      <c r="J367">
        <v>-433.4658</v>
      </c>
      <c r="K367">
        <v>1.055766</v>
      </c>
      <c r="L367">
        <v>367.79059999999998</v>
      </c>
      <c r="M367">
        <v>0.99959409999999904</v>
      </c>
      <c r="N367">
        <v>0</v>
      </c>
      <c r="O367">
        <v>2.4319879999999999E-2</v>
      </c>
      <c r="P367">
        <v>0.98676569999999997</v>
      </c>
      <c r="Q367">
        <v>-1.768577E-2</v>
      </c>
      <c r="R367">
        <v>0.16118560000000001</v>
      </c>
      <c r="S367">
        <v>3.0250240000000002</v>
      </c>
      <c r="T367">
        <v>-0.1174684</v>
      </c>
      <c r="U367">
        <v>8.0261230000000003E-2</v>
      </c>
      <c r="V367">
        <v>-0.13713699999999901</v>
      </c>
      <c r="W367">
        <v>-3.0260619999999999E-3</v>
      </c>
      <c r="X367">
        <v>0.99054750000000003</v>
      </c>
      <c r="Y367">
        <v>-2.2178860000000001E-3</v>
      </c>
      <c r="Z367">
        <v>-9.0079179999999904E-4</v>
      </c>
      <c r="AA367">
        <v>0.99999709999999997</v>
      </c>
      <c r="AB367">
        <v>17</v>
      </c>
      <c r="AC367">
        <v>28.3887</v>
      </c>
      <c r="AD367">
        <v>-1.105766</v>
      </c>
      <c r="AE367">
        <v>0.75330000000002395</v>
      </c>
      <c r="AF367">
        <v>-6.2496597683276998E-2</v>
      </c>
      <c r="AG367">
        <v>-1.105766</v>
      </c>
      <c r="AH367">
        <v>28.355633584102101</v>
      </c>
      <c r="AI367">
        <v>92.233188866537503</v>
      </c>
      <c r="AJ367">
        <v>90.126281272199193</v>
      </c>
      <c r="AK367">
        <v>28.377254628087901</v>
      </c>
    </row>
    <row r="368" spans="1:37" x14ac:dyDescent="0.2">
      <c r="A368" t="str">
        <f>"20200111155508117"</f>
        <v>20200111155508117</v>
      </c>
      <c r="B368" t="str">
        <f>"1578729308113145"</f>
        <v>1578729308113145</v>
      </c>
      <c r="C368" t="s">
        <v>37</v>
      </c>
      <c r="D368">
        <v>4.3900769999999998</v>
      </c>
      <c r="E368">
        <v>0.55140449999999996</v>
      </c>
      <c r="F368" t="s">
        <v>39</v>
      </c>
      <c r="G368">
        <v>-405.0718</v>
      </c>
      <c r="H368">
        <v>-0.05</v>
      </c>
      <c r="I368">
        <v>368.54399999999998</v>
      </c>
      <c r="J368">
        <v>-433.24880000000002</v>
      </c>
      <c r="K368">
        <v>1.0556299999999901</v>
      </c>
      <c r="L368">
        <v>367.79629999999997</v>
      </c>
      <c r="M368">
        <v>0.99958749999999996</v>
      </c>
      <c r="N368">
        <v>0</v>
      </c>
      <c r="O368">
        <v>2.4680210000000001E-2</v>
      </c>
      <c r="P368">
        <v>0.98686450000000003</v>
      </c>
      <c r="Q368">
        <v>-1.68389E-2</v>
      </c>
      <c r="R368">
        <v>0.160670799999999</v>
      </c>
      <c r="S368">
        <v>3.025055</v>
      </c>
      <c r="T368">
        <v>-0.11780689999999901</v>
      </c>
      <c r="U368">
        <v>8.0261230000000003E-2</v>
      </c>
      <c r="V368">
        <v>-0.13626289999999999</v>
      </c>
      <c r="W368">
        <v>-2.3224320000000001E-3</v>
      </c>
      <c r="X368">
        <v>0.99067000000000005</v>
      </c>
      <c r="Y368">
        <v>-1.857834E-3</v>
      </c>
      <c r="Z368">
        <v>-9.2440229999999897E-4</v>
      </c>
      <c r="AA368">
        <v>0.999997899999999</v>
      </c>
      <c r="AB368">
        <v>17</v>
      </c>
      <c r="AC368">
        <v>28.177</v>
      </c>
      <c r="AD368">
        <v>-1.1056299999999999</v>
      </c>
      <c r="AE368">
        <v>0.74770000000006498</v>
      </c>
      <c r="AF368">
        <v>-5.1903045895955097E-2</v>
      </c>
      <c r="AG368">
        <v>-1.1056299999999999</v>
      </c>
      <c r="AH368">
        <v>28.143569173715399</v>
      </c>
      <c r="AI368">
        <v>92.249724112342506</v>
      </c>
      <c r="AJ368">
        <v>90.105666132247606</v>
      </c>
      <c r="AK368">
        <v>28.165326155732298</v>
      </c>
    </row>
    <row r="369" spans="1:37" x14ac:dyDescent="0.2">
      <c r="A369" t="str">
        <f>"20200111155508150"</f>
        <v>20200111155508150</v>
      </c>
      <c r="B369" t="str">
        <f>"1578729308143401"</f>
        <v>1578729308143401</v>
      </c>
      <c r="C369" t="s">
        <v>37</v>
      </c>
      <c r="D369">
        <v>4.4004719999999997</v>
      </c>
      <c r="E369">
        <v>0.55146030000000001</v>
      </c>
      <c r="F369" t="s">
        <v>39</v>
      </c>
      <c r="G369">
        <v>-403.95699999999999</v>
      </c>
      <c r="H369">
        <v>-0.05</v>
      </c>
      <c r="I369">
        <v>368.5489</v>
      </c>
      <c r="J369">
        <v>-433.00819999999999</v>
      </c>
      <c r="K369">
        <v>1.0555060000000001</v>
      </c>
      <c r="L369">
        <v>367.80270000000002</v>
      </c>
      <c r="M369">
        <v>0.99957980000000002</v>
      </c>
      <c r="N369">
        <v>0</v>
      </c>
      <c r="O369">
        <v>2.5070510000000001E-2</v>
      </c>
      <c r="P369">
        <v>0.98706019999999906</v>
      </c>
      <c r="Q369">
        <v>-1.5653839999999999E-2</v>
      </c>
      <c r="R369">
        <v>0.15958420000000001</v>
      </c>
      <c r="S369">
        <v>3.0253299999999999</v>
      </c>
      <c r="T369">
        <v>-0.1141925</v>
      </c>
      <c r="U369">
        <v>7.7728270000000002E-2</v>
      </c>
      <c r="V369">
        <v>-0.13478489999999901</v>
      </c>
      <c r="W369">
        <v>-1.2673019999999899E-3</v>
      </c>
      <c r="X369">
        <v>0.99087409999999998</v>
      </c>
      <c r="Y369">
        <v>-6.2844080000000002E-4</v>
      </c>
      <c r="Z369">
        <v>-9.3390110000000004E-4</v>
      </c>
      <c r="AA369">
        <v>0.99999930000000004</v>
      </c>
      <c r="AB369">
        <v>17</v>
      </c>
      <c r="AC369">
        <v>29.051199999999898</v>
      </c>
      <c r="AD369">
        <v>-1.1055060000000001</v>
      </c>
      <c r="AE369">
        <v>0.74619999999998698</v>
      </c>
      <c r="AF369">
        <v>-1.7534530650792999E-2</v>
      </c>
      <c r="AG369">
        <v>-1.1055060000000001</v>
      </c>
      <c r="AH369">
        <v>29.0187824860318</v>
      </c>
      <c r="AI369">
        <v>92.181697337455105</v>
      </c>
      <c r="AJ369">
        <v>90.034620834979705</v>
      </c>
      <c r="AK369">
        <v>29.039837946300999</v>
      </c>
    </row>
    <row r="370" spans="1:37" x14ac:dyDescent="0.2">
      <c r="A370" t="str">
        <f>"20200111155508161"</f>
        <v>20200111155508161</v>
      </c>
      <c r="B370" t="str">
        <f>"1578729308153161"</f>
        <v>1578729308153161</v>
      </c>
      <c r="C370" t="s">
        <v>37</v>
      </c>
      <c r="D370">
        <v>4.4572599999999998</v>
      </c>
      <c r="E370">
        <v>0.55149150000000002</v>
      </c>
      <c r="F370" t="s">
        <v>39</v>
      </c>
      <c r="G370">
        <v>-402.69150000000002</v>
      </c>
      <c r="H370">
        <v>-0.05</v>
      </c>
      <c r="I370">
        <v>368.54329999999999</v>
      </c>
      <c r="J370">
        <v>-432.9212</v>
      </c>
      <c r="K370">
        <v>1.055472</v>
      </c>
      <c r="L370">
        <v>367.80509999999998</v>
      </c>
      <c r="M370">
        <v>0.99957689999999999</v>
      </c>
      <c r="N370">
        <v>0</v>
      </c>
      <c r="O370">
        <v>2.5208959999999999E-2</v>
      </c>
      <c r="P370">
        <v>0.98714259999999998</v>
      </c>
      <c r="Q370">
        <v>-1.535221E-2</v>
      </c>
      <c r="R370">
        <v>0.15910299999999999</v>
      </c>
      <c r="S370">
        <v>3.0256349999999999</v>
      </c>
      <c r="T370">
        <v>-0.11033079999999899</v>
      </c>
      <c r="U370">
        <v>7.3913569999999998E-2</v>
      </c>
      <c r="V370">
        <v>-0.13416459999999999</v>
      </c>
      <c r="W370">
        <v>-1.007509E-3</v>
      </c>
      <c r="X370">
        <v>0.99095859999999902</v>
      </c>
      <c r="Y370">
        <v>7.7277249999999997E-4</v>
      </c>
      <c r="Z370">
        <v>-9.3284649999999896E-4</v>
      </c>
      <c r="AA370">
        <v>0.99999930000000004</v>
      </c>
      <c r="AB370">
        <v>17</v>
      </c>
      <c r="AC370">
        <v>30.229699999999902</v>
      </c>
      <c r="AD370">
        <v>-1.105472</v>
      </c>
      <c r="AE370">
        <v>0.73820000000000596</v>
      </c>
      <c r="AF370">
        <v>2.41419096933904E-2</v>
      </c>
      <c r="AG370">
        <v>-1.105472</v>
      </c>
      <c r="AH370">
        <v>30.198342222349002</v>
      </c>
      <c r="AI370">
        <v>92.096492219862199</v>
      </c>
      <c r="AJ370">
        <v>89.9541951929032</v>
      </c>
      <c r="AK370">
        <v>30.218579122002001</v>
      </c>
    </row>
    <row r="371" spans="1:37" x14ac:dyDescent="0.2">
      <c r="A371" t="str">
        <f>"20200111155508174"</f>
        <v>20200111155508174</v>
      </c>
      <c r="B371" t="str">
        <f>"1578729308162922"</f>
        <v>1578729308162922</v>
      </c>
      <c r="C371" t="s">
        <v>37</v>
      </c>
      <c r="D371">
        <v>4.432086</v>
      </c>
      <c r="E371">
        <v>0.55154190000000003</v>
      </c>
      <c r="F371" t="s">
        <v>39</v>
      </c>
      <c r="G371">
        <v>-402.24759999999998</v>
      </c>
      <c r="H371">
        <v>-0.05</v>
      </c>
      <c r="I371">
        <v>368.53699999999998</v>
      </c>
      <c r="J371">
        <v>-432.82389999999998</v>
      </c>
      <c r="K371">
        <v>1.0554349999999999</v>
      </c>
      <c r="L371">
        <v>367.80770000000001</v>
      </c>
      <c r="M371">
        <v>0.99957369999999901</v>
      </c>
      <c r="N371">
        <v>0</v>
      </c>
      <c r="O371">
        <v>2.5361519999999999E-2</v>
      </c>
      <c r="P371">
        <v>0.98721190000000003</v>
      </c>
      <c r="Q371">
        <v>-1.568429E-2</v>
      </c>
      <c r="R371">
        <v>0.15864039999999999</v>
      </c>
      <c r="S371">
        <v>3.025757</v>
      </c>
      <c r="T371">
        <v>-0.1090478</v>
      </c>
      <c r="U371">
        <v>7.2204589999999999E-2</v>
      </c>
      <c r="V371">
        <v>-0.13354929999999901</v>
      </c>
      <c r="W371">
        <v>-1.3824589999999999E-3</v>
      </c>
      <c r="X371">
        <v>0.99104119999999996</v>
      </c>
      <c r="Y371">
        <v>1.4906829999999901E-3</v>
      </c>
      <c r="Z371">
        <v>-9.4040080000000004E-4</v>
      </c>
      <c r="AA371">
        <v>0.99999850000000001</v>
      </c>
      <c r="AB371">
        <v>17</v>
      </c>
      <c r="AC371">
        <v>30.5763</v>
      </c>
      <c r="AD371">
        <v>-1.1054349999999999</v>
      </c>
      <c r="AE371">
        <v>0.72929999999996598</v>
      </c>
      <c r="AF371">
        <v>4.6416571711807401E-2</v>
      </c>
      <c r="AG371">
        <v>-1.1054349999999999</v>
      </c>
      <c r="AH371">
        <v>30.545059390874101</v>
      </c>
      <c r="AI371">
        <v>92.072644756346904</v>
      </c>
      <c r="AJ371">
        <v>89.912932838747295</v>
      </c>
      <c r="AK371">
        <v>30.565091104549001</v>
      </c>
    </row>
    <row r="372" spans="1:37" x14ac:dyDescent="0.2">
      <c r="A372" t="str">
        <f>"20200111155508187"</f>
        <v>20200111155508187</v>
      </c>
      <c r="B372" t="str">
        <f>"1578729308183417"</f>
        <v>1578729308183417</v>
      </c>
      <c r="C372" t="s">
        <v>37</v>
      </c>
      <c r="D372">
        <v>4.4199299999999999</v>
      </c>
      <c r="E372">
        <v>0.55165730000000002</v>
      </c>
      <c r="F372" t="s">
        <v>39</v>
      </c>
      <c r="G372">
        <v>-402.34960000000001</v>
      </c>
      <c r="H372">
        <v>-0.05</v>
      </c>
      <c r="I372">
        <v>368.51710000000003</v>
      </c>
      <c r="J372">
        <v>-432.73140000000001</v>
      </c>
      <c r="K372">
        <v>1.055399</v>
      </c>
      <c r="L372">
        <v>367.81020000000001</v>
      </c>
      <c r="M372">
        <v>0.99957079999999998</v>
      </c>
      <c r="N372">
        <v>0</v>
      </c>
      <c r="O372">
        <v>2.5503370000000001E-2</v>
      </c>
      <c r="P372">
        <v>0.98730300000000004</v>
      </c>
      <c r="Q372">
        <v>-1.550954E-2</v>
      </c>
      <c r="R372">
        <v>0.15809029999999999</v>
      </c>
      <c r="S372">
        <v>3.025757</v>
      </c>
      <c r="T372">
        <v>-0.109757199999999</v>
      </c>
      <c r="U372">
        <v>7.0434570000000002E-2</v>
      </c>
      <c r="V372">
        <v>-0.1328569</v>
      </c>
      <c r="W372">
        <v>-1.2450779999999999E-3</v>
      </c>
      <c r="X372">
        <v>0.99113449999999903</v>
      </c>
      <c r="Y372">
        <v>2.2164369999999999E-3</v>
      </c>
      <c r="Z372">
        <v>-9.6482130000000003E-4</v>
      </c>
      <c r="AA372">
        <v>0.99999709999999997</v>
      </c>
      <c r="AB372">
        <v>17</v>
      </c>
      <c r="AC372">
        <v>30.381799999999998</v>
      </c>
      <c r="AD372">
        <v>-1.105399</v>
      </c>
      <c r="AE372">
        <v>0.70690000000001796</v>
      </c>
      <c r="AF372">
        <v>6.8158602151519795E-2</v>
      </c>
      <c r="AG372">
        <v>-1.105399</v>
      </c>
      <c r="AH372">
        <v>30.349791774329098</v>
      </c>
      <c r="AI372">
        <v>92.085897487235002</v>
      </c>
      <c r="AJ372">
        <v>89.871327167428603</v>
      </c>
      <c r="AK372">
        <v>30.369991986982601</v>
      </c>
    </row>
    <row r="373" spans="1:37" x14ac:dyDescent="0.2">
      <c r="A373" t="str">
        <f>"20200111155508200"</f>
        <v>20200111155508200</v>
      </c>
      <c r="B373" t="str">
        <f>"1578729308193177"</f>
        <v>1578729308193177</v>
      </c>
      <c r="C373" t="s">
        <v>37</v>
      </c>
      <c r="D373">
        <v>4.4438269999999997</v>
      </c>
      <c r="E373">
        <v>0.55169979999999996</v>
      </c>
      <c r="F373" t="s">
        <v>39</v>
      </c>
      <c r="G373">
        <v>-401.82850000000002</v>
      </c>
      <c r="H373">
        <v>-0.05</v>
      </c>
      <c r="I373">
        <v>368.50240000000002</v>
      </c>
      <c r="J373">
        <v>-432.63409999999999</v>
      </c>
      <c r="K373">
        <v>1.055364</v>
      </c>
      <c r="L373">
        <v>367.81290000000001</v>
      </c>
      <c r="M373">
        <v>0.9995676</v>
      </c>
      <c r="N373">
        <v>0</v>
      </c>
      <c r="O373">
        <v>2.565069E-2</v>
      </c>
      <c r="P373">
        <v>0.98736259999999998</v>
      </c>
      <c r="Q373">
        <v>-1.5764569999999999E-2</v>
      </c>
      <c r="R373">
        <v>0.15769269999999999</v>
      </c>
      <c r="S373">
        <v>3.026062</v>
      </c>
      <c r="T373">
        <v>-0.1082424</v>
      </c>
      <c r="U373">
        <v>6.7779539999999999E-2</v>
      </c>
      <c r="V373">
        <v>-0.1323115</v>
      </c>
      <c r="W373">
        <v>-1.5378189999999999E-3</v>
      </c>
      <c r="X373">
        <v>0.99120699999999995</v>
      </c>
      <c r="Y373">
        <v>3.2428370000000001E-3</v>
      </c>
      <c r="Z373">
        <v>-9.7504440000000003E-4</v>
      </c>
      <c r="AA373">
        <v>0.9999943</v>
      </c>
      <c r="AB373">
        <v>17</v>
      </c>
      <c r="AC373">
        <v>30.805599999999899</v>
      </c>
      <c r="AD373">
        <v>-1.105364</v>
      </c>
      <c r="AE373">
        <v>0.68950000000000899</v>
      </c>
      <c r="AF373">
        <v>0.100863673446621</v>
      </c>
      <c r="AG373">
        <v>-1.105364</v>
      </c>
      <c r="AH373">
        <v>30.773548347591099</v>
      </c>
      <c r="AI373">
        <v>92.057128266527101</v>
      </c>
      <c r="AJ373">
        <v>89.812207483022604</v>
      </c>
      <c r="AK373">
        <v>30.7935590822926</v>
      </c>
    </row>
    <row r="374" spans="1:37" x14ac:dyDescent="0.2">
      <c r="A374" t="str">
        <f>"20200111155508217"</f>
        <v>20200111155508217</v>
      </c>
      <c r="B374" t="str">
        <f>"1578729308212697"</f>
        <v>1578729308212697</v>
      </c>
      <c r="C374" t="s">
        <v>37</v>
      </c>
      <c r="D374">
        <v>4.4522599999999999</v>
      </c>
      <c r="E374">
        <v>0.55182719999999996</v>
      </c>
      <c r="F374" t="s">
        <v>39</v>
      </c>
      <c r="G374">
        <v>-401.83839999999998</v>
      </c>
      <c r="H374">
        <v>-0.05</v>
      </c>
      <c r="I374">
        <v>368.48680000000002</v>
      </c>
      <c r="J374">
        <v>-432.50779999999997</v>
      </c>
      <c r="K374">
        <v>1.0553189999999999</v>
      </c>
      <c r="L374">
        <v>367.81630000000001</v>
      </c>
      <c r="M374">
        <v>0.99956350000000005</v>
      </c>
      <c r="N374">
        <v>0</v>
      </c>
      <c r="O374">
        <v>2.5837329999999999E-2</v>
      </c>
      <c r="P374">
        <v>0.98749219999999904</v>
      </c>
      <c r="Q374">
        <v>-1.6618919999999999E-2</v>
      </c>
      <c r="R374">
        <v>0.15678979999999901</v>
      </c>
      <c r="S374">
        <v>3.0260929999999999</v>
      </c>
      <c r="T374">
        <v>-0.1086172</v>
      </c>
      <c r="U374">
        <v>6.622314E-2</v>
      </c>
      <c r="V374">
        <v>-0.13122029999999901</v>
      </c>
      <c r="W374">
        <v>-2.4356159999999998E-3</v>
      </c>
      <c r="X374">
        <v>0.99135019999999996</v>
      </c>
      <c r="Y374">
        <v>3.9431300000000004E-3</v>
      </c>
      <c r="Z374">
        <v>-9.9767140000000002E-4</v>
      </c>
      <c r="AA374">
        <v>0.99999169999999904</v>
      </c>
      <c r="AB374">
        <v>17</v>
      </c>
      <c r="AC374">
        <v>30.6694</v>
      </c>
      <c r="AD374">
        <v>-1.1053189999999999</v>
      </c>
      <c r="AE374">
        <v>0.67050000000000398</v>
      </c>
      <c r="AF374">
        <v>0.122062158209338</v>
      </c>
      <c r="AG374">
        <v>-1.1053189999999999</v>
      </c>
      <c r="AH374">
        <v>30.636710942160001</v>
      </c>
      <c r="AI374">
        <v>92.066219040827207</v>
      </c>
      <c r="AJ374">
        <v>89.771724532955702</v>
      </c>
      <c r="AK374">
        <v>30.656886446860401</v>
      </c>
    </row>
    <row r="375" spans="1:37" x14ac:dyDescent="0.2">
      <c r="A375" t="str">
        <f>"20200111155508230"</f>
        <v>20200111155508230</v>
      </c>
      <c r="B375" t="str">
        <f>"1578729308223433"</f>
        <v>1578729308223433</v>
      </c>
      <c r="C375" t="s">
        <v>37</v>
      </c>
      <c r="D375">
        <v>4.4471590000000001</v>
      </c>
      <c r="E375">
        <v>0.55189169999999999</v>
      </c>
      <c r="F375" t="s">
        <v>39</v>
      </c>
      <c r="G375">
        <v>-402.21780000000001</v>
      </c>
      <c r="H375">
        <v>-0.05</v>
      </c>
      <c r="I375">
        <v>368.44069999999999</v>
      </c>
      <c r="J375">
        <v>-432.41879999999998</v>
      </c>
      <c r="K375">
        <v>1.0552919999999999</v>
      </c>
      <c r="L375">
        <v>367.81880000000001</v>
      </c>
      <c r="M375">
        <v>0.99956060000000002</v>
      </c>
      <c r="N375">
        <v>0</v>
      </c>
      <c r="O375">
        <v>2.596408E-2</v>
      </c>
      <c r="P375">
        <v>0.98754189999999997</v>
      </c>
      <c r="Q375">
        <v>-1.6935169999999999E-2</v>
      </c>
      <c r="R375">
        <v>0.15644229999999901</v>
      </c>
      <c r="S375">
        <v>3.0262449999999999</v>
      </c>
      <c r="T375">
        <v>-0.110431399999999</v>
      </c>
      <c r="U375">
        <v>6.2377929999999998E-2</v>
      </c>
      <c r="V375">
        <v>-0.1307461</v>
      </c>
      <c r="W375">
        <v>-2.7798319999999999E-3</v>
      </c>
      <c r="X375">
        <v>0.99141199999999996</v>
      </c>
      <c r="Y375">
        <v>5.3394069999999896E-3</v>
      </c>
      <c r="Z375">
        <v>-1.0443780000000001E-3</v>
      </c>
      <c r="AA375">
        <v>0.99998519999999902</v>
      </c>
      <c r="AB375">
        <v>17</v>
      </c>
      <c r="AC375">
        <v>30.200999999999901</v>
      </c>
      <c r="AD375">
        <v>-1.1052919999999999</v>
      </c>
      <c r="AE375">
        <v>0.62189999999998202</v>
      </c>
      <c r="AF375">
        <v>0.162313748989973</v>
      </c>
      <c r="AG375">
        <v>-1.1052919999999999</v>
      </c>
      <c r="AH375">
        <v>30.166577070487101</v>
      </c>
      <c r="AI375">
        <v>92.098326740964197</v>
      </c>
      <c r="AJ375">
        <v>89.691718320979106</v>
      </c>
      <c r="AK375">
        <v>30.187255395415001</v>
      </c>
    </row>
    <row r="376" spans="1:37" x14ac:dyDescent="0.2">
      <c r="A376" t="str">
        <f>"20200111155508241"</f>
        <v>20200111155508241</v>
      </c>
      <c r="B376" t="str">
        <f>"1578729308233193"</f>
        <v>1578729308233193</v>
      </c>
      <c r="C376" t="s">
        <v>37</v>
      </c>
      <c r="D376">
        <v>4.5132979999999998</v>
      </c>
      <c r="E376">
        <v>0.55196519999999905</v>
      </c>
      <c r="F376" t="s">
        <v>39</v>
      </c>
      <c r="G376">
        <v>-402.29809999999998</v>
      </c>
      <c r="H376">
        <v>-0.05</v>
      </c>
      <c r="I376">
        <v>368.42450000000002</v>
      </c>
      <c r="J376">
        <v>-432.3263</v>
      </c>
      <c r="K376">
        <v>1.0552680000000001</v>
      </c>
      <c r="L376">
        <v>367.82139999999998</v>
      </c>
      <c r="M376">
        <v>0.99955769999999899</v>
      </c>
      <c r="N376">
        <v>0</v>
      </c>
      <c r="O376">
        <v>2.6093870000000002E-2</v>
      </c>
      <c r="P376">
        <v>0.98757549999999905</v>
      </c>
      <c r="Q376">
        <v>-1.7385370000000001E-2</v>
      </c>
      <c r="R376">
        <v>0.15618099999999999</v>
      </c>
      <c r="S376">
        <v>3.0263369999999998</v>
      </c>
      <c r="T376">
        <v>-0.1110525</v>
      </c>
      <c r="U376">
        <v>6.0852049999999998E-2</v>
      </c>
      <c r="V376">
        <v>-0.1303549</v>
      </c>
      <c r="W376">
        <v>-3.2581479999999898E-3</v>
      </c>
      <c r="X376">
        <v>0.99146209999999901</v>
      </c>
      <c r="Y376">
        <v>5.9730929999999996E-3</v>
      </c>
      <c r="Z376">
        <v>-1.066603E-3</v>
      </c>
      <c r="AA376">
        <v>0.99998159999999903</v>
      </c>
      <c r="AB376">
        <v>16</v>
      </c>
      <c r="AC376">
        <v>30.028199999999998</v>
      </c>
      <c r="AD376">
        <v>-1.1052679999999999</v>
      </c>
      <c r="AE376">
        <v>0.60310000000004005</v>
      </c>
      <c r="AF376">
        <v>0.180492656850927</v>
      </c>
      <c r="AG376">
        <v>-1.1052679999999999</v>
      </c>
      <c r="AH376">
        <v>29.993093650972899</v>
      </c>
      <c r="AI376">
        <v>92.110399313318297</v>
      </c>
      <c r="AJ376">
        <v>89.655209203878698</v>
      </c>
      <c r="AK376">
        <v>30.0139944310488</v>
      </c>
    </row>
    <row r="377" spans="1:37" x14ac:dyDescent="0.2">
      <c r="A377" t="str">
        <f>"20200111155508277"</f>
        <v>20200111155508277</v>
      </c>
      <c r="B377" t="str">
        <f>"1578729308273209"</f>
        <v>1578729308273209</v>
      </c>
      <c r="C377" t="s">
        <v>37</v>
      </c>
      <c r="D377">
        <v>4.6014429999999997</v>
      </c>
      <c r="E377">
        <v>0.55194319999999997</v>
      </c>
      <c r="F377" t="s">
        <v>39</v>
      </c>
      <c r="G377">
        <v>-402.4529</v>
      </c>
      <c r="H377">
        <v>-0.05</v>
      </c>
      <c r="I377">
        <v>368.40820000000002</v>
      </c>
      <c r="J377">
        <v>-432.06760000000003</v>
      </c>
      <c r="K377">
        <v>1.055207</v>
      </c>
      <c r="L377">
        <v>367.82850000000002</v>
      </c>
      <c r="M377">
        <v>0.99954969999999999</v>
      </c>
      <c r="N377">
        <v>0</v>
      </c>
      <c r="O377">
        <v>2.643322E-2</v>
      </c>
      <c r="P377">
        <v>0.98769889999999905</v>
      </c>
      <c r="Q377">
        <v>-1.7646370000000001E-2</v>
      </c>
      <c r="R377">
        <v>0.15537000000000001</v>
      </c>
      <c r="S377">
        <v>3.026367</v>
      </c>
      <c r="T377">
        <v>-0.1119708</v>
      </c>
      <c r="U377">
        <v>5.9448239999999999E-2</v>
      </c>
      <c r="V377">
        <v>-0.1292044</v>
      </c>
      <c r="W377">
        <v>-3.5869579999999999E-3</v>
      </c>
      <c r="X377">
        <v>0.99161149999999998</v>
      </c>
      <c r="Y377">
        <v>6.77530199999999E-3</v>
      </c>
      <c r="Z377">
        <v>-1.102792E-3</v>
      </c>
      <c r="AA377">
        <v>0.99997649999999905</v>
      </c>
      <c r="AB377">
        <v>16</v>
      </c>
      <c r="AC377">
        <v>29.614699999999999</v>
      </c>
      <c r="AD377">
        <v>-1.1052070000000001</v>
      </c>
      <c r="AE377">
        <v>0.57970000000000199</v>
      </c>
      <c r="AF377">
        <v>0.20311065705253301</v>
      </c>
      <c r="AG377">
        <v>-1.1052070000000001</v>
      </c>
      <c r="AH377">
        <v>29.578495253462599</v>
      </c>
      <c r="AI377">
        <v>92.139823540034698</v>
      </c>
      <c r="AJ377">
        <v>89.606565499207406</v>
      </c>
      <c r="AK377">
        <v>29.5998330723497</v>
      </c>
    </row>
    <row r="378" spans="1:37" x14ac:dyDescent="0.2">
      <c r="A378" t="str">
        <f>"20200111155508289"</f>
        <v>20200111155508289</v>
      </c>
      <c r="B378" t="str">
        <f>"1578729308282970"</f>
        <v>1578729308282970</v>
      </c>
      <c r="C378" t="s">
        <v>37</v>
      </c>
      <c r="D378">
        <v>4.6436159999999997</v>
      </c>
      <c r="E378">
        <v>0.55192089999999905</v>
      </c>
      <c r="F378" t="s">
        <v>39</v>
      </c>
      <c r="G378">
        <v>-402.53530000000001</v>
      </c>
      <c r="H378">
        <v>-0.05</v>
      </c>
      <c r="I378">
        <v>368.38749999999999</v>
      </c>
      <c r="J378">
        <v>-431.97859999999997</v>
      </c>
      <c r="K378">
        <v>1.055191</v>
      </c>
      <c r="L378">
        <v>367.83099999999899</v>
      </c>
      <c r="M378">
        <v>0.99954719999999997</v>
      </c>
      <c r="N378">
        <v>0</v>
      </c>
      <c r="O378">
        <v>2.6541370000000002E-2</v>
      </c>
      <c r="P378">
        <v>0.98768230000000001</v>
      </c>
      <c r="Q378">
        <v>-1.783332E-2</v>
      </c>
      <c r="R378">
        <v>0.15545300000000001</v>
      </c>
      <c r="S378">
        <v>3.0263369999999998</v>
      </c>
      <c r="T378">
        <v>-0.1132567</v>
      </c>
      <c r="U378">
        <v>5.7281489999999997E-2</v>
      </c>
      <c r="V378">
        <v>-0.12918070000000001</v>
      </c>
      <c r="W378">
        <v>-3.7944200000000002E-3</v>
      </c>
      <c r="X378">
        <v>0.99161379999999999</v>
      </c>
      <c r="Y378">
        <v>7.5977889999999998E-3</v>
      </c>
      <c r="Z378">
        <v>-1.134896E-3</v>
      </c>
      <c r="AA378">
        <v>0.99997049999999998</v>
      </c>
      <c r="AB378">
        <v>16</v>
      </c>
      <c r="AC378">
        <v>29.443299999999901</v>
      </c>
      <c r="AD378">
        <v>-1.105191</v>
      </c>
      <c r="AE378">
        <v>0.55650000000002797</v>
      </c>
      <c r="AF378">
        <v>0.22492333769610801</v>
      </c>
      <c r="AG378">
        <v>-1.105191</v>
      </c>
      <c r="AH378">
        <v>29.406279495490502</v>
      </c>
      <c r="AI378">
        <v>92.1523001772008</v>
      </c>
      <c r="AJ378">
        <v>89.561763443889603</v>
      </c>
      <c r="AK378">
        <v>29.427900221069599</v>
      </c>
    </row>
    <row r="379" spans="1:37" x14ac:dyDescent="0.2">
      <c r="A379" t="str">
        <f>"20200111155508307"</f>
        <v>20200111155508307</v>
      </c>
      <c r="B379" t="str">
        <f>"1578729308303465"</f>
        <v>1578729308303465</v>
      </c>
      <c r="C379" t="s">
        <v>37</v>
      </c>
      <c r="D379">
        <v>4.6578589999999904</v>
      </c>
      <c r="E379">
        <v>0.5519056</v>
      </c>
      <c r="F379" t="s">
        <v>39</v>
      </c>
      <c r="G379">
        <v>-402.68239999999997</v>
      </c>
      <c r="H379">
        <v>-0.05</v>
      </c>
      <c r="I379">
        <v>368.39030000000002</v>
      </c>
      <c r="J379">
        <v>-431.85</v>
      </c>
      <c r="K379">
        <v>1.055177</v>
      </c>
      <c r="L379">
        <v>367.83460000000002</v>
      </c>
      <c r="M379">
        <v>0.99954370000000003</v>
      </c>
      <c r="N379">
        <v>0</v>
      </c>
      <c r="O379">
        <v>2.6690709999999999E-2</v>
      </c>
      <c r="P379">
        <v>0.98761540000000003</v>
      </c>
      <c r="Q379">
        <v>-1.7140969999999998E-2</v>
      </c>
      <c r="R379">
        <v>0.1559566</v>
      </c>
      <c r="S379">
        <v>3.0262449999999999</v>
      </c>
      <c r="T379">
        <v>-0.1141645</v>
      </c>
      <c r="U379">
        <v>5.776978E-2</v>
      </c>
      <c r="V379">
        <v>-0.12953799999999999</v>
      </c>
      <c r="W379">
        <v>-3.1302470000000001E-3</v>
      </c>
      <c r="X379">
        <v>0.99156949999999999</v>
      </c>
      <c r="Y379">
        <v>7.5848440000000003E-3</v>
      </c>
      <c r="Z379">
        <v>-1.149403E-3</v>
      </c>
      <c r="AA379">
        <v>0.99997060000000004</v>
      </c>
      <c r="AB379">
        <v>16</v>
      </c>
      <c r="AC379">
        <v>29.1676</v>
      </c>
      <c r="AD379">
        <v>-1.1051770000000001</v>
      </c>
      <c r="AE379">
        <v>0.55570000000000097</v>
      </c>
      <c r="AF379">
        <v>0.22276012812754201</v>
      </c>
      <c r="AG379">
        <v>-1.1051770000000001</v>
      </c>
      <c r="AH379">
        <v>29.130233204753001</v>
      </c>
      <c r="AI379">
        <v>92.172649058204996</v>
      </c>
      <c r="AJ379">
        <v>89.561865285506499</v>
      </c>
      <c r="AK379">
        <v>29.152041520952</v>
      </c>
    </row>
    <row r="380" spans="1:37" x14ac:dyDescent="0.2">
      <c r="A380" t="str">
        <f>"20200111155508320"</f>
        <v>20200111155508320</v>
      </c>
      <c r="B380" t="str">
        <f>"1578729308313225"</f>
        <v>1578729308313225</v>
      </c>
      <c r="C380" t="s">
        <v>37</v>
      </c>
      <c r="D380">
        <v>4.6186530000000001</v>
      </c>
      <c r="E380">
        <v>0.55193639999999999</v>
      </c>
      <c r="F380" t="s">
        <v>39</v>
      </c>
      <c r="G380">
        <v>-402.1191</v>
      </c>
      <c r="H380">
        <v>-0.05</v>
      </c>
      <c r="I380">
        <v>368.41829999999999</v>
      </c>
      <c r="J380">
        <v>-431.75830000000002</v>
      </c>
      <c r="K380">
        <v>1.055161</v>
      </c>
      <c r="L380">
        <v>367.8372</v>
      </c>
      <c r="M380">
        <v>0.99954120000000002</v>
      </c>
      <c r="N380">
        <v>0</v>
      </c>
      <c r="O380">
        <v>2.679167E-2</v>
      </c>
      <c r="P380">
        <v>0.98765650000000005</v>
      </c>
      <c r="Q380">
        <v>-1.6165120000000002E-2</v>
      </c>
      <c r="R380">
        <v>0.15579970000000001</v>
      </c>
      <c r="S380">
        <v>3.0263059999999999</v>
      </c>
      <c r="T380">
        <v>-0.112496</v>
      </c>
      <c r="U380">
        <v>5.941772E-2</v>
      </c>
      <c r="V380">
        <v>-0.12928010000000001</v>
      </c>
      <c r="W380">
        <v>-2.171863E-3</v>
      </c>
      <c r="X380">
        <v>0.99160579999999998</v>
      </c>
      <c r="Y380">
        <v>7.1428430000000003E-3</v>
      </c>
      <c r="Z380">
        <v>-1.128125E-3</v>
      </c>
      <c r="AA380">
        <v>0.99997380000000002</v>
      </c>
      <c r="AB380">
        <v>16</v>
      </c>
      <c r="AC380">
        <v>29.639199999999999</v>
      </c>
      <c r="AD380">
        <v>-1.1051610000000001</v>
      </c>
      <c r="AE380">
        <v>0.58109999999999196</v>
      </c>
      <c r="AF380">
        <v>0.21297556655672401</v>
      </c>
      <c r="AG380">
        <v>-1.1051610000000001</v>
      </c>
      <c r="AH380">
        <v>29.602986615859798</v>
      </c>
      <c r="AI380">
        <v>92.137961024487097</v>
      </c>
      <c r="AJ380">
        <v>89.587798665883298</v>
      </c>
      <c r="AK380">
        <v>29.624374356375</v>
      </c>
    </row>
    <row r="381" spans="1:37" x14ac:dyDescent="0.2">
      <c r="A381" t="str">
        <f>"20200111155508332"</f>
        <v>20200111155508332</v>
      </c>
      <c r="B381" t="str">
        <f>"1578729308322985"</f>
        <v>1578729308322985</v>
      </c>
      <c r="C381" t="s">
        <v>37</v>
      </c>
      <c r="D381">
        <v>4.7089019999999904</v>
      </c>
      <c r="E381">
        <v>0.55206119999999903</v>
      </c>
      <c r="F381" t="s">
        <v>39</v>
      </c>
      <c r="G381">
        <v>-401.12699999999899</v>
      </c>
      <c r="H381">
        <v>-0.05</v>
      </c>
      <c r="I381">
        <v>368.42989999999998</v>
      </c>
      <c r="J381">
        <v>-431.6669</v>
      </c>
      <c r="K381">
        <v>1.0551549999999901</v>
      </c>
      <c r="L381">
        <v>367.83969999999999</v>
      </c>
      <c r="M381">
        <v>0.99953910000000001</v>
      </c>
      <c r="N381">
        <v>0</v>
      </c>
      <c r="O381">
        <v>2.68841999999999E-2</v>
      </c>
      <c r="P381">
        <v>0.98774459999999997</v>
      </c>
      <c r="Q381">
        <v>-1.8469670000000001E-2</v>
      </c>
      <c r="R381">
        <v>0.15498299999999901</v>
      </c>
      <c r="S381">
        <v>3.02648899999999</v>
      </c>
      <c r="T381">
        <v>-0.10919429999999999</v>
      </c>
      <c r="U381">
        <v>5.8563230000000001E-2</v>
      </c>
      <c r="V381">
        <v>-0.12836889999999901</v>
      </c>
      <c r="W381">
        <v>-4.4909829999999996E-3</v>
      </c>
      <c r="X381">
        <v>0.9917163</v>
      </c>
      <c r="Y381">
        <v>7.51986199999999E-3</v>
      </c>
      <c r="Z381">
        <v>-1.105108E-3</v>
      </c>
      <c r="AA381">
        <v>0.999971099999999</v>
      </c>
      <c r="AB381">
        <v>16</v>
      </c>
      <c r="AC381">
        <v>30.539899999999999</v>
      </c>
      <c r="AD381">
        <v>-1.1051549999999899</v>
      </c>
      <c r="AE381">
        <v>0.59019999999998096</v>
      </c>
      <c r="AF381">
        <v>0.23083361425513901</v>
      </c>
      <c r="AG381">
        <v>-1.1051549999999899</v>
      </c>
      <c r="AH381">
        <v>30.504796291736699</v>
      </c>
      <c r="AI381">
        <v>92.074795859429202</v>
      </c>
      <c r="AJ381">
        <v>89.566443935360994</v>
      </c>
      <c r="AK381">
        <v>30.525681786519499</v>
      </c>
    </row>
    <row r="382" spans="1:37" x14ac:dyDescent="0.2">
      <c r="A382" t="str">
        <f>"20200111155508346"</f>
        <v>20200111155508346</v>
      </c>
      <c r="B382" t="str">
        <f>"1578729308343480"</f>
        <v>1578729308343480</v>
      </c>
      <c r="C382" t="s">
        <v>37</v>
      </c>
      <c r="D382">
        <v>4.6248680000000002</v>
      </c>
      <c r="E382">
        <v>0.58171439999999996</v>
      </c>
      <c r="F382" t="s">
        <v>39</v>
      </c>
      <c r="G382">
        <v>-402.83069999999998</v>
      </c>
      <c r="H382">
        <v>-0.05</v>
      </c>
      <c r="I382">
        <v>368.36720000000003</v>
      </c>
      <c r="J382">
        <v>-431.56979999999999</v>
      </c>
      <c r="K382">
        <v>1.05514</v>
      </c>
      <c r="L382">
        <v>367.8424</v>
      </c>
      <c r="M382">
        <v>0.99953689999999995</v>
      </c>
      <c r="N382">
        <v>0</v>
      </c>
      <c r="O382">
        <v>2.697629E-2</v>
      </c>
      <c r="P382">
        <v>0.98790210000000001</v>
      </c>
      <c r="Q382">
        <v>-1.8479590000000001E-2</v>
      </c>
      <c r="R382">
        <v>0.153975</v>
      </c>
      <c r="S382">
        <v>3.026367</v>
      </c>
      <c r="T382">
        <v>-0.1159864</v>
      </c>
      <c r="U382">
        <v>5.5358890000000001E-2</v>
      </c>
      <c r="V382">
        <v>-0.12726599999999999</v>
      </c>
      <c r="W382">
        <v>-4.5145330000000003E-3</v>
      </c>
      <c r="X382">
        <v>0.99185840000000003</v>
      </c>
      <c r="Y382">
        <v>8.6658269999999992E-3</v>
      </c>
      <c r="Z382">
        <v>-1.199339E-3</v>
      </c>
      <c r="AA382">
        <v>0.99996169999999995</v>
      </c>
      <c r="AB382">
        <v>16</v>
      </c>
      <c r="AC382">
        <v>28.739100000000001</v>
      </c>
      <c r="AD382">
        <v>-1.10514</v>
      </c>
      <c r="AE382">
        <v>0.52480000000002702</v>
      </c>
      <c r="AF382">
        <v>0.250372080024441</v>
      </c>
      <c r="AG382">
        <v>-1.10514</v>
      </c>
      <c r="AH382">
        <v>28.7003716776365</v>
      </c>
      <c r="AI382">
        <v>92.205064985722501</v>
      </c>
      <c r="AJ382">
        <v>89.5001841868322</v>
      </c>
      <c r="AK382">
        <v>28.722732374071501</v>
      </c>
    </row>
    <row r="383" spans="1:37" x14ac:dyDescent="0.2">
      <c r="A383" t="str">
        <f>"20200111155508363"</f>
        <v>20200111155508363</v>
      </c>
      <c r="B383" t="str">
        <f>"1578729308353241"</f>
        <v>1578729308353241</v>
      </c>
      <c r="C383" t="s">
        <v>37</v>
      </c>
      <c r="D383">
        <v>4.6786240000000001</v>
      </c>
      <c r="E383">
        <v>0.58354189999999995</v>
      </c>
      <c r="F383" t="s">
        <v>38</v>
      </c>
      <c r="G383">
        <v>-341.58510000000001</v>
      </c>
      <c r="H383" s="1">
        <v>-5.2223479999999996E-6</v>
      </c>
      <c r="I383">
        <v>362.49</v>
      </c>
      <c r="J383">
        <v>-431.44659999999999</v>
      </c>
      <c r="K383">
        <v>1.0551159999999999</v>
      </c>
      <c r="L383">
        <v>367.84589999999997</v>
      </c>
      <c r="M383">
        <v>0.99953419999999904</v>
      </c>
      <c r="N383">
        <v>0</v>
      </c>
      <c r="O383">
        <v>2.7082720000000001E-2</v>
      </c>
      <c r="P383">
        <v>0.98823850000000002</v>
      </c>
      <c r="Q383">
        <v>-1.9017849999999999E-2</v>
      </c>
      <c r="R383">
        <v>0.1517348</v>
      </c>
      <c r="S383">
        <v>3.064514</v>
      </c>
      <c r="T383">
        <v>-3.5933970000000003E-2</v>
      </c>
      <c r="U383">
        <v>-0.18228150000000001</v>
      </c>
      <c r="V383">
        <v>-0.12491240000000001</v>
      </c>
      <c r="W383">
        <v>-5.0664849999999999E-3</v>
      </c>
      <c r="X383">
        <v>0.9921548</v>
      </c>
      <c r="Y383">
        <v>8.638448E-2</v>
      </c>
      <c r="Z383">
        <v>-8.2334259999999903E-4</v>
      </c>
      <c r="AA383">
        <v>0.99626150000000002</v>
      </c>
      <c r="AB383">
        <v>16</v>
      </c>
      <c r="AC383">
        <v>89.861499999999893</v>
      </c>
      <c r="AD383">
        <v>-1.055121222348</v>
      </c>
      <c r="AE383">
        <v>-5.3558999999999601</v>
      </c>
      <c r="AF383">
        <v>7.78680001373968</v>
      </c>
      <c r="AG383">
        <v>-1.055121222348</v>
      </c>
      <c r="AH383">
        <v>89.671146361331395</v>
      </c>
      <c r="AI383">
        <v>90.671616062594794</v>
      </c>
      <c r="AJ383">
        <v>85.037039122457202</v>
      </c>
      <c r="AK383">
        <v>90.014787812909702</v>
      </c>
    </row>
    <row r="384" spans="1:37" x14ac:dyDescent="0.2">
      <c r="A384" t="str">
        <f>"20200111155508378"</f>
        <v>20200111155508378</v>
      </c>
      <c r="B384" t="str">
        <f>"1578729308372762"</f>
        <v>1578729308372762</v>
      </c>
      <c r="C384" t="s">
        <v>37</v>
      </c>
      <c r="D384">
        <v>4.8945639999999999</v>
      </c>
      <c r="E384">
        <v>0.58211820000000003</v>
      </c>
      <c r="F384" t="s">
        <v>38</v>
      </c>
      <c r="G384">
        <v>-337.10649999999998</v>
      </c>
      <c r="H384" s="1">
        <v>-3.1088889999999999E-6</v>
      </c>
      <c r="I384">
        <v>361.5804</v>
      </c>
      <c r="J384">
        <v>-431.33429999999998</v>
      </c>
      <c r="K384">
        <v>1.0550979999999901</v>
      </c>
      <c r="L384">
        <v>367.84899999999999</v>
      </c>
      <c r="M384">
        <v>0.99953199999999998</v>
      </c>
      <c r="N384">
        <v>0</v>
      </c>
      <c r="O384">
        <v>2.7168790000000002E-2</v>
      </c>
      <c r="P384">
        <v>0.98827229999999999</v>
      </c>
      <c r="Q384">
        <v>-1.9711039999999999E-2</v>
      </c>
      <c r="R384">
        <v>0.15142410000000001</v>
      </c>
      <c r="S384">
        <v>3.0663450000000001</v>
      </c>
      <c r="T384">
        <v>-3.4294610000000003E-2</v>
      </c>
      <c r="U384">
        <v>-0.20364379999999899</v>
      </c>
      <c r="V384">
        <v>-0.1245154</v>
      </c>
      <c r="W384">
        <v>-5.7738059999999898E-3</v>
      </c>
      <c r="X384">
        <v>0.99220090000000005</v>
      </c>
      <c r="Y384">
        <v>9.3346349999999995E-2</v>
      </c>
      <c r="Z384">
        <v>-8.2499910000000001E-4</v>
      </c>
      <c r="AA384">
        <v>0.9956334</v>
      </c>
      <c r="AB384">
        <v>16</v>
      </c>
      <c r="AC384">
        <v>94.227800000000002</v>
      </c>
      <c r="AD384">
        <v>-1.0551011088889899</v>
      </c>
      <c r="AE384">
        <v>-6.2685999999999904</v>
      </c>
      <c r="AF384">
        <v>8.8254922139684595</v>
      </c>
      <c r="AG384">
        <v>-1.0551011088889899</v>
      </c>
      <c r="AH384">
        <v>94.010947586448694</v>
      </c>
      <c r="AI384">
        <v>90.640198842273705</v>
      </c>
      <c r="AJ384">
        <v>84.636945873346207</v>
      </c>
      <c r="AK384">
        <v>94.430190179151893</v>
      </c>
    </row>
    <row r="385" spans="1:37" x14ac:dyDescent="0.2">
      <c r="A385" t="str">
        <f>"20200111155508398"</f>
        <v>20200111155508398</v>
      </c>
      <c r="B385" t="str">
        <f>"1578729308393257"</f>
        <v>1578729308393257</v>
      </c>
      <c r="C385" t="s">
        <v>37</v>
      </c>
      <c r="D385">
        <v>4.65543</v>
      </c>
      <c r="E385">
        <v>0.58237709999999998</v>
      </c>
      <c r="F385" t="s">
        <v>38</v>
      </c>
      <c r="G385">
        <v>-337.92149999999998</v>
      </c>
      <c r="H385" s="1">
        <v>-2.7340960000000001E-6</v>
      </c>
      <c r="I385">
        <v>361.94670000000002</v>
      </c>
      <c r="J385">
        <v>-431.2</v>
      </c>
      <c r="K385">
        <v>1.0550729999999999</v>
      </c>
      <c r="L385">
        <v>367.8528</v>
      </c>
      <c r="M385">
        <v>0.99953019999999904</v>
      </c>
      <c r="N385">
        <v>0</v>
      </c>
      <c r="O385">
        <v>2.725083E-2</v>
      </c>
      <c r="P385">
        <v>0.98834219999999895</v>
      </c>
      <c r="Q385">
        <v>-2.00819E-2</v>
      </c>
      <c r="R385">
        <v>0.15091979999999999</v>
      </c>
      <c r="S385">
        <v>3.0646059999999999</v>
      </c>
      <c r="T385">
        <v>-3.4614800000000001E-2</v>
      </c>
      <c r="U385">
        <v>-0.193634</v>
      </c>
      <c r="V385">
        <v>-0.123928</v>
      </c>
      <c r="W385">
        <v>-6.1588340000000002E-3</v>
      </c>
      <c r="X385">
        <v>0.99227209999999999</v>
      </c>
      <c r="Y385">
        <v>9.022666E-2</v>
      </c>
      <c r="Z385">
        <v>-8.1658289999999895E-4</v>
      </c>
      <c r="AA385">
        <v>0.9959209</v>
      </c>
      <c r="AB385">
        <v>16</v>
      </c>
      <c r="AC385">
        <v>93.278499999999994</v>
      </c>
      <c r="AD385">
        <v>-1.055075734096</v>
      </c>
      <c r="AE385">
        <v>-5.9060999999999799</v>
      </c>
      <c r="AF385">
        <v>8.4449967414850295</v>
      </c>
      <c r="AG385">
        <v>-1.055075734096</v>
      </c>
      <c r="AH385">
        <v>93.0710302154706</v>
      </c>
      <c r="AI385">
        <v>90.646833929798902</v>
      </c>
      <c r="AJ385">
        <v>84.815343989663404</v>
      </c>
      <c r="AK385">
        <v>93.459337789957701</v>
      </c>
    </row>
    <row r="386" spans="1:37" x14ac:dyDescent="0.2">
      <c r="A386" t="str">
        <f>"20200111155508410"</f>
        <v>20200111155508410</v>
      </c>
      <c r="B386" t="str">
        <f>"1578729308403018"</f>
        <v>1578729308403018</v>
      </c>
      <c r="C386" t="s">
        <v>37</v>
      </c>
      <c r="D386">
        <v>4.6678449999999998</v>
      </c>
      <c r="E386">
        <v>0.58241980000000004</v>
      </c>
      <c r="F386" t="s">
        <v>38</v>
      </c>
      <c r="G386">
        <v>-340.15839999999997</v>
      </c>
      <c r="H386" s="1">
        <v>-5.9833699999999998E-6</v>
      </c>
      <c r="I386">
        <v>362.00170000000003</v>
      </c>
      <c r="J386">
        <v>-431.09859999999998</v>
      </c>
      <c r="K386">
        <v>1.0550549999999901</v>
      </c>
      <c r="L386">
        <v>367.85559999999998</v>
      </c>
      <c r="M386">
        <v>0.99952919999999901</v>
      </c>
      <c r="N386">
        <v>0</v>
      </c>
      <c r="O386">
        <v>2.7296810000000001E-2</v>
      </c>
      <c r="P386">
        <v>0.98834339999999998</v>
      </c>
      <c r="Q386">
        <v>-2.0995900000000001E-2</v>
      </c>
      <c r="R386">
        <v>0.1507878</v>
      </c>
      <c r="S386">
        <v>3.0646969999999998</v>
      </c>
      <c r="T386">
        <v>-3.5516739999999998E-2</v>
      </c>
      <c r="U386">
        <v>-0.19696040000000001</v>
      </c>
      <c r="V386">
        <v>-0.12375070000000001</v>
      </c>
      <c r="W386">
        <v>-7.0825599999999999E-3</v>
      </c>
      <c r="X386">
        <v>0.99228809999999901</v>
      </c>
      <c r="Y386">
        <v>9.1346640000000007E-2</v>
      </c>
      <c r="Z386">
        <v>-8.4482100000000005E-4</v>
      </c>
      <c r="AA386">
        <v>0.9958188</v>
      </c>
      <c r="AB386">
        <v>16</v>
      </c>
      <c r="AC386">
        <v>90.940200000000004</v>
      </c>
      <c r="AD386">
        <v>-1.05506098336999</v>
      </c>
      <c r="AE386">
        <v>-5.8538999999999497</v>
      </c>
      <c r="AF386">
        <v>8.3332222252309691</v>
      </c>
      <c r="AG386">
        <v>-1.05506098336999</v>
      </c>
      <c r="AH386">
        <v>90.734335666232198</v>
      </c>
      <c r="AI386">
        <v>90.663414833484694</v>
      </c>
      <c r="AJ386">
        <v>84.752562336932101</v>
      </c>
      <c r="AK386">
        <v>91.122310194190106</v>
      </c>
    </row>
    <row r="387" spans="1:37" x14ac:dyDescent="0.2">
      <c r="A387" t="str">
        <f>"20200111155508424"</f>
        <v>20200111155508424</v>
      </c>
      <c r="B387" t="str">
        <f>"1578729308412778"</f>
        <v>1578729308412778</v>
      </c>
      <c r="C387" t="s">
        <v>37</v>
      </c>
      <c r="D387">
        <v>4.793056</v>
      </c>
      <c r="E387">
        <v>0.58213029999999999</v>
      </c>
      <c r="F387" t="s">
        <v>38</v>
      </c>
      <c r="G387">
        <v>-345.00470000000001</v>
      </c>
      <c r="H387" s="1">
        <v>-3.8493279999999996E-6</v>
      </c>
      <c r="I387">
        <v>362.29950000000002</v>
      </c>
      <c r="J387">
        <v>-431.00209999999998</v>
      </c>
      <c r="K387">
        <v>1.055037</v>
      </c>
      <c r="L387">
        <v>367.85820000000001</v>
      </c>
      <c r="M387">
        <v>0.99952830000000004</v>
      </c>
      <c r="N387">
        <v>0</v>
      </c>
      <c r="O387">
        <v>2.733008E-2</v>
      </c>
      <c r="P387">
        <v>0.98833449999999901</v>
      </c>
      <c r="Q387">
        <v>-2.1273540000000001E-2</v>
      </c>
      <c r="R387">
        <v>0.15080579999999999</v>
      </c>
      <c r="S387">
        <v>3.0647579999999999</v>
      </c>
      <c r="T387">
        <v>-3.7557840000000002E-2</v>
      </c>
      <c r="U387">
        <v>-0.1977844</v>
      </c>
      <c r="V387">
        <v>-0.12373579999999899</v>
      </c>
      <c r="W387">
        <v>-7.3688679999999998E-3</v>
      </c>
      <c r="X387">
        <v>0.99228780000000005</v>
      </c>
      <c r="Y387">
        <v>9.164419E-2</v>
      </c>
      <c r="Z387">
        <v>-8.9557199999999997E-4</v>
      </c>
      <c r="AA387">
        <v>0.99579139999999999</v>
      </c>
      <c r="AB387">
        <v>16</v>
      </c>
      <c r="AC387">
        <v>85.997399999999899</v>
      </c>
      <c r="AD387">
        <v>-1.0550408493279999</v>
      </c>
      <c r="AE387">
        <v>-5.5586999999999804</v>
      </c>
      <c r="AF387">
        <v>7.9059847034745703</v>
      </c>
      <c r="AG387">
        <v>-1.0550408493279999</v>
      </c>
      <c r="AH387">
        <v>85.800475734961793</v>
      </c>
      <c r="AI387">
        <v>90.701527347590996</v>
      </c>
      <c r="AJ387">
        <v>84.735413311209101</v>
      </c>
      <c r="AK387">
        <v>86.170408735662207</v>
      </c>
    </row>
    <row r="388" spans="1:37" x14ac:dyDescent="0.2">
      <c r="A388" t="str">
        <f>"20200111155508442"</f>
        <v>20200111155508442</v>
      </c>
      <c r="B388" t="str">
        <f>"1578729308433276"</f>
        <v>1578729308433276</v>
      </c>
      <c r="C388" t="s">
        <v>37</v>
      </c>
      <c r="D388">
        <v>4.8848440000000002</v>
      </c>
      <c r="E388">
        <v>0.5817658</v>
      </c>
      <c r="F388" t="s">
        <v>38</v>
      </c>
      <c r="G388">
        <v>-343.41180000000003</v>
      </c>
      <c r="H388" s="1">
        <v>-4.4676530000000002E-6</v>
      </c>
      <c r="I388">
        <v>362.27460000000002</v>
      </c>
      <c r="J388">
        <v>-430.87880000000001</v>
      </c>
      <c r="K388">
        <v>1.055007</v>
      </c>
      <c r="L388">
        <v>367.86160000000001</v>
      </c>
      <c r="M388">
        <v>0.99952790000000002</v>
      </c>
      <c r="N388">
        <v>0</v>
      </c>
      <c r="O388">
        <v>2.7355379999999999E-2</v>
      </c>
      <c r="P388">
        <v>0.9883419</v>
      </c>
      <c r="Q388">
        <v>-2.1134400000000001E-2</v>
      </c>
      <c r="R388">
        <v>0.1507773</v>
      </c>
      <c r="S388">
        <v>3.064362</v>
      </c>
      <c r="T388">
        <v>-3.6910770000000002E-2</v>
      </c>
      <c r="U388">
        <v>-0.19534299999999999</v>
      </c>
      <c r="V388">
        <v>-0.123682399999999</v>
      </c>
      <c r="W388">
        <v>-7.2395380000000002E-3</v>
      </c>
      <c r="X388">
        <v>0.99229539999999905</v>
      </c>
      <c r="Y388">
        <v>9.0887880000000004E-2</v>
      </c>
      <c r="Z388">
        <v>-8.7603300000000002E-4</v>
      </c>
      <c r="AA388">
        <v>0.99586079999999999</v>
      </c>
      <c r="AB388">
        <v>16</v>
      </c>
      <c r="AC388">
        <v>87.466999999999899</v>
      </c>
      <c r="AD388">
        <v>-1.055011467653</v>
      </c>
      <c r="AE388">
        <v>-5.5869999999999802</v>
      </c>
      <c r="AF388">
        <v>7.9766801187479901</v>
      </c>
      <c r="AG388">
        <v>-1.055011467653</v>
      </c>
      <c r="AH388">
        <v>87.268766564139995</v>
      </c>
      <c r="AI388">
        <v>90.689752603051801</v>
      </c>
      <c r="AJ388">
        <v>84.777470856136006</v>
      </c>
      <c r="AK388">
        <v>87.6389074129753</v>
      </c>
    </row>
    <row r="389" spans="1:37" x14ac:dyDescent="0.2">
      <c r="A389" t="str">
        <f>"20200111155508453"</f>
        <v>20200111155508453</v>
      </c>
      <c r="B389" t="str">
        <f>"1578729308443033"</f>
        <v>1578729308443033</v>
      </c>
      <c r="C389" t="s">
        <v>37</v>
      </c>
      <c r="D389">
        <v>4.7163550000000001</v>
      </c>
      <c r="E389">
        <v>0.58171989999999996</v>
      </c>
      <c r="F389" t="s">
        <v>38</v>
      </c>
      <c r="G389">
        <v>-337.8279</v>
      </c>
      <c r="H389" s="1">
        <v>-2.7501440000000001E-6</v>
      </c>
      <c r="I389">
        <v>362.0061</v>
      </c>
      <c r="J389">
        <v>-430.78829999999999</v>
      </c>
      <c r="K389">
        <v>1.0549930000000001</v>
      </c>
      <c r="L389">
        <v>367.86419999999998</v>
      </c>
      <c r="M389">
        <v>0.99952779999999997</v>
      </c>
      <c r="N389">
        <v>0</v>
      </c>
      <c r="O389">
        <v>2.7362609999999999E-2</v>
      </c>
      <c r="P389">
        <v>0.98832209999999998</v>
      </c>
      <c r="Q389">
        <v>-2.1061389999999999E-2</v>
      </c>
      <c r="R389">
        <v>0.1509172</v>
      </c>
      <c r="S389">
        <v>3.0640259999999899</v>
      </c>
      <c r="T389">
        <v>-3.4739850000000003E-2</v>
      </c>
      <c r="U389">
        <v>-0.19281010000000001</v>
      </c>
      <c r="V389">
        <v>-0.1238155</v>
      </c>
      <c r="W389">
        <v>-7.1734149999999998E-3</v>
      </c>
      <c r="X389">
        <v>0.99227940000000003</v>
      </c>
      <c r="Y389">
        <v>9.0083029999999994E-2</v>
      </c>
      <c r="Z389">
        <v>-8.2014679999999995E-4</v>
      </c>
      <c r="AA389">
        <v>0.99593390000000004</v>
      </c>
      <c r="AB389">
        <v>16</v>
      </c>
      <c r="AC389">
        <v>92.960400000000007</v>
      </c>
      <c r="AD389">
        <v>-1.0549957501439999</v>
      </c>
      <c r="AE389">
        <v>-5.8580999999999701</v>
      </c>
      <c r="AF389">
        <v>8.3987164971040205</v>
      </c>
      <c r="AG389">
        <v>-1.0549957501439999</v>
      </c>
      <c r="AH389">
        <v>92.753378704984996</v>
      </c>
      <c r="AI389">
        <v>90.649010727565894</v>
      </c>
      <c r="AJ389">
        <v>84.826039964368107</v>
      </c>
      <c r="AK389">
        <v>93.138824965864401</v>
      </c>
    </row>
    <row r="390" spans="1:37" x14ac:dyDescent="0.2">
      <c r="A390" t="str">
        <f>"20200111155508466"</f>
        <v>20200111155508466</v>
      </c>
      <c r="B390" t="str">
        <f>"1578729308463530"</f>
        <v>1578729308463530</v>
      </c>
      <c r="C390" t="s">
        <v>37</v>
      </c>
      <c r="D390">
        <v>4.7674510000000003</v>
      </c>
      <c r="E390">
        <v>0.58172769999999996</v>
      </c>
      <c r="F390" t="s">
        <v>38</v>
      </c>
      <c r="G390">
        <v>-335.9556</v>
      </c>
      <c r="H390" s="1">
        <v>-3.409432E-6</v>
      </c>
      <c r="I390">
        <v>361.923</v>
      </c>
      <c r="J390">
        <v>-430.69990000000001</v>
      </c>
      <c r="K390">
        <v>1.0549839999999999</v>
      </c>
      <c r="L390">
        <v>367.86660000000001</v>
      </c>
      <c r="M390">
        <v>0.99952790000000002</v>
      </c>
      <c r="N390">
        <v>0</v>
      </c>
      <c r="O390">
        <v>2.7362359999999999E-2</v>
      </c>
      <c r="P390">
        <v>0.988236</v>
      </c>
      <c r="Q390">
        <v>-2.1001010000000001E-2</v>
      </c>
      <c r="R390">
        <v>0.15148819999999999</v>
      </c>
      <c r="S390">
        <v>3.0640259999999899</v>
      </c>
      <c r="T390">
        <v>-3.4086699999999998E-2</v>
      </c>
      <c r="U390">
        <v>-0.1919556</v>
      </c>
      <c r="V390">
        <v>-0.124388899999999</v>
      </c>
      <c r="W390">
        <v>-7.1206109999999998E-3</v>
      </c>
      <c r="X390">
        <v>0.99220799999999998</v>
      </c>
      <c r="Y390">
        <v>8.9806419999999998E-2</v>
      </c>
      <c r="Z390">
        <v>-8.0319509999999996E-4</v>
      </c>
      <c r="AA390">
        <v>0.99595889999999998</v>
      </c>
      <c r="AB390">
        <v>16</v>
      </c>
      <c r="AC390">
        <v>94.744299999999996</v>
      </c>
      <c r="AD390">
        <v>-1.054987409432</v>
      </c>
      <c r="AE390">
        <v>-5.9436</v>
      </c>
      <c r="AF390">
        <v>8.5330011063119997</v>
      </c>
      <c r="AG390">
        <v>-1.054987409432</v>
      </c>
      <c r="AH390">
        <v>94.534496724816904</v>
      </c>
      <c r="AI390">
        <v>90.6367950471857</v>
      </c>
      <c r="AJ390">
        <v>84.842267742727202</v>
      </c>
      <c r="AK390">
        <v>94.924686869795906</v>
      </c>
    </row>
    <row r="391" spans="1:37" x14ac:dyDescent="0.2">
      <c r="A391" t="str">
        <f>"20200111155508480"</f>
        <v>20200111155508480</v>
      </c>
      <c r="B391" t="str">
        <f>"1578729308473289"</f>
        <v>1578729308473289</v>
      </c>
      <c r="C391" t="s">
        <v>37</v>
      </c>
      <c r="D391">
        <v>4.7415900000000004</v>
      </c>
      <c r="E391">
        <v>0.58165349999999905</v>
      </c>
      <c r="F391" t="s">
        <v>38</v>
      </c>
      <c r="G391">
        <v>-331.38690000000003</v>
      </c>
      <c r="H391" s="1">
        <v>-5.0814569999999901E-6</v>
      </c>
      <c r="I391">
        <v>361.70049999999998</v>
      </c>
      <c r="J391">
        <v>-430.60599999999999</v>
      </c>
      <c r="K391">
        <v>1.0549740000000001</v>
      </c>
      <c r="L391">
        <v>367.8691</v>
      </c>
      <c r="M391">
        <v>0.99952819999999998</v>
      </c>
      <c r="N391">
        <v>0</v>
      </c>
      <c r="O391">
        <v>2.7357309999999999E-2</v>
      </c>
      <c r="P391">
        <v>0.98823309999999998</v>
      </c>
      <c r="Q391">
        <v>-2.0410020000000001E-2</v>
      </c>
      <c r="R391">
        <v>0.15158779999999999</v>
      </c>
      <c r="S391">
        <v>3.064209</v>
      </c>
      <c r="T391">
        <v>-3.255069E-2</v>
      </c>
      <c r="U391">
        <v>-0.19024659999999999</v>
      </c>
      <c r="V391">
        <v>-0.12449449999999999</v>
      </c>
      <c r="W391">
        <v>-6.5368259999999999E-3</v>
      </c>
      <c r="X391">
        <v>0.99219880000000005</v>
      </c>
      <c r="Y391">
        <v>8.924501E-2</v>
      </c>
      <c r="Z391">
        <v>-7.6393809999999996E-4</v>
      </c>
      <c r="AA391">
        <v>0.99600940000000004</v>
      </c>
      <c r="AB391">
        <v>16</v>
      </c>
      <c r="AC391">
        <v>99.219099999999898</v>
      </c>
      <c r="AD391">
        <v>-1.0549790814569999</v>
      </c>
      <c r="AE391">
        <v>-6.1686000000000201</v>
      </c>
      <c r="AF391">
        <v>8.8799229923627703</v>
      </c>
      <c r="AG391">
        <v>-1.0549790814569999</v>
      </c>
      <c r="AH391">
        <v>99.002034386550093</v>
      </c>
      <c r="AI391">
        <v>90.608087504064301</v>
      </c>
      <c r="AJ391">
        <v>84.874607734498795</v>
      </c>
      <c r="AK391">
        <v>99.405074447375497</v>
      </c>
    </row>
    <row r="392" spans="1:37" x14ac:dyDescent="0.2">
      <c r="A392" t="str">
        <f>"20200111155508496"</f>
        <v>20200111155508496</v>
      </c>
      <c r="B392" t="str">
        <f>"1578729308492809"</f>
        <v>1578729308492809</v>
      </c>
      <c r="C392" t="s">
        <v>37</v>
      </c>
      <c r="D392">
        <v>4.7469080000000003</v>
      </c>
      <c r="E392">
        <v>0.58171269999999997</v>
      </c>
      <c r="F392" t="s">
        <v>38</v>
      </c>
      <c r="G392">
        <v>-323.90030000000002</v>
      </c>
      <c r="H392" s="1">
        <v>-4.2782699999999998E-6</v>
      </c>
      <c r="I392">
        <v>361.28620000000001</v>
      </c>
      <c r="J392">
        <v>-430.4853</v>
      </c>
      <c r="K392">
        <v>1.054967</v>
      </c>
      <c r="L392">
        <v>367.87240000000003</v>
      </c>
      <c r="M392">
        <v>0.9995288</v>
      </c>
      <c r="N392">
        <v>0</v>
      </c>
      <c r="O392">
        <v>2.7342539999999999E-2</v>
      </c>
      <c r="P392">
        <v>0.98804099999999995</v>
      </c>
      <c r="Q392">
        <v>-1.9973560000000001E-2</v>
      </c>
      <c r="R392">
        <v>0.15289259999999999</v>
      </c>
      <c r="S392">
        <v>3.0640559999999999</v>
      </c>
      <c r="T392">
        <v>-3.02937E-2</v>
      </c>
      <c r="U392">
        <v>-0.1890259</v>
      </c>
      <c r="V392">
        <v>-0.1258185</v>
      </c>
      <c r="W392">
        <v>-6.1122269999999996E-3</v>
      </c>
      <c r="X392">
        <v>0.99203439999999998</v>
      </c>
      <c r="Y392">
        <v>8.883895E-2</v>
      </c>
      <c r="Z392">
        <v>-7.0886339999999895E-4</v>
      </c>
      <c r="AA392">
        <v>0.99604579999999998</v>
      </c>
      <c r="AB392">
        <v>16</v>
      </c>
      <c r="AC392">
        <v>106.584999999999</v>
      </c>
      <c r="AD392">
        <v>-1.05497127827</v>
      </c>
      <c r="AE392">
        <v>-6.5862000000000096</v>
      </c>
      <c r="AF392">
        <v>9.4973983547795804</v>
      </c>
      <c r="AG392">
        <v>-1.05497127827</v>
      </c>
      <c r="AH392">
        <v>106.354661754698</v>
      </c>
      <c r="AI392">
        <v>90.566067033065494</v>
      </c>
      <c r="AJ392">
        <v>84.897061694638495</v>
      </c>
      <c r="AK392">
        <v>106.78308675470799</v>
      </c>
    </row>
    <row r="393" spans="1:37" x14ac:dyDescent="0.2">
      <c r="A393" t="str">
        <f>"20200111155508509"</f>
        <v>20200111155508509</v>
      </c>
      <c r="B393" t="str">
        <f>"1578729308502570"</f>
        <v>1578729308502570</v>
      </c>
      <c r="C393" t="s">
        <v>37</v>
      </c>
      <c r="D393">
        <v>4.8005339999999999</v>
      </c>
      <c r="E393">
        <v>0.58167819999999903</v>
      </c>
      <c r="F393" t="s">
        <v>39</v>
      </c>
      <c r="G393">
        <v>-310.04820000000001</v>
      </c>
      <c r="H393">
        <v>-0.05</v>
      </c>
      <c r="I393">
        <v>360.57780000000002</v>
      </c>
      <c r="J393">
        <v>-430.3981</v>
      </c>
      <c r="K393">
        <v>1.0549649999999999</v>
      </c>
      <c r="L393">
        <v>367.87479999999999</v>
      </c>
      <c r="M393">
        <v>0.99952919999999901</v>
      </c>
      <c r="N393">
        <v>0</v>
      </c>
      <c r="O393">
        <v>2.7328120000000001E-2</v>
      </c>
      <c r="P393">
        <v>0.98793180000000003</v>
      </c>
      <c r="Q393">
        <v>-1.990952E-2</v>
      </c>
      <c r="R393">
        <v>0.153604399999999</v>
      </c>
      <c r="S393">
        <v>3.0644529999999999</v>
      </c>
      <c r="T393">
        <v>-2.8115270000000001E-2</v>
      </c>
      <c r="U393">
        <v>-0.18560789999999999</v>
      </c>
      <c r="V393">
        <v>-0.12654699999999999</v>
      </c>
      <c r="W393">
        <v>-6.0568039999999998E-3</v>
      </c>
      <c r="X393">
        <v>0.99194210000000005</v>
      </c>
      <c r="Y393">
        <v>8.7710629999999998E-2</v>
      </c>
      <c r="Z393">
        <v>-6.525239E-4</v>
      </c>
      <c r="AA393">
        <v>0.99614579999999997</v>
      </c>
      <c r="AB393">
        <v>16</v>
      </c>
      <c r="AC393">
        <v>120.34990000000001</v>
      </c>
      <c r="AD393">
        <v>-1.104965</v>
      </c>
      <c r="AE393">
        <v>-7.2969999999999597</v>
      </c>
      <c r="AF393">
        <v>10.5826418521644</v>
      </c>
      <c r="AG393">
        <v>-1.104965</v>
      </c>
      <c r="AH393">
        <v>120.095423487879</v>
      </c>
      <c r="AI393">
        <v>90.525113186906793</v>
      </c>
      <c r="AJ393">
        <v>84.9641828266099</v>
      </c>
      <c r="AK393">
        <v>120.565849223382</v>
      </c>
    </row>
    <row r="394" spans="1:37" x14ac:dyDescent="0.2">
      <c r="A394" t="str">
        <f>"20200111155508522"</f>
        <v>20200111155508522</v>
      </c>
      <c r="B394" t="str">
        <f>"1578729308513305"</f>
        <v>1578729308513305</v>
      </c>
      <c r="C394" t="s">
        <v>37</v>
      </c>
      <c r="D394">
        <v>4.8609989999999996</v>
      </c>
      <c r="E394">
        <v>0.58174289999999995</v>
      </c>
      <c r="F394" t="s">
        <v>39</v>
      </c>
      <c r="G394">
        <v>-313.18200000000002</v>
      </c>
      <c r="H394">
        <v>-0.05</v>
      </c>
      <c r="I394">
        <v>360.863</v>
      </c>
      <c r="J394">
        <v>-430.30239999999998</v>
      </c>
      <c r="K394">
        <v>1.054961</v>
      </c>
      <c r="L394">
        <v>367.87740000000002</v>
      </c>
      <c r="M394">
        <v>0.99952980000000002</v>
      </c>
      <c r="N394">
        <v>0</v>
      </c>
      <c r="O394">
        <v>2.7310620000000001E-2</v>
      </c>
      <c r="P394">
        <v>0.98781969999999997</v>
      </c>
      <c r="Q394">
        <v>-1.9623999999999999E-2</v>
      </c>
      <c r="R394">
        <v>0.15436169999999999</v>
      </c>
      <c r="S394">
        <v>3.064575</v>
      </c>
      <c r="T394">
        <v>-2.8888939999999998E-2</v>
      </c>
      <c r="U394">
        <v>-0.18331910000000001</v>
      </c>
      <c r="V394">
        <v>-0.1273243</v>
      </c>
      <c r="W394">
        <v>-5.7807580000000004E-3</v>
      </c>
      <c r="X394">
        <v>0.99184430000000001</v>
      </c>
      <c r="Y394">
        <v>8.6949239999999997E-2</v>
      </c>
      <c r="Z394">
        <v>-6.6671669999999897E-4</v>
      </c>
      <c r="AA394">
        <v>0.99621249999999995</v>
      </c>
      <c r="AB394">
        <v>16</v>
      </c>
      <c r="AC394">
        <v>117.12039999999899</v>
      </c>
      <c r="AD394">
        <v>-1.1049610000000001</v>
      </c>
      <c r="AE394">
        <v>-7.0143999999999602</v>
      </c>
      <c r="AF394">
        <v>10.209819126393</v>
      </c>
      <c r="AG394">
        <v>-1.1049610000000001</v>
      </c>
      <c r="AH394">
        <v>116.874753236614</v>
      </c>
      <c r="AI394">
        <v>90.539616504093104</v>
      </c>
      <c r="AJ394">
        <v>85.007490775401607</v>
      </c>
      <c r="AK394">
        <v>117.32505823362899</v>
      </c>
    </row>
    <row r="395" spans="1:37" x14ac:dyDescent="0.2">
      <c r="A395" t="str">
        <f>"20200111155508533"</f>
        <v>20200111155508533</v>
      </c>
      <c r="B395" t="str">
        <f>"1578729308523065"</f>
        <v>1578729308523065</v>
      </c>
      <c r="C395" t="s">
        <v>37</v>
      </c>
      <c r="D395">
        <v>4.8516389999999996</v>
      </c>
      <c r="E395">
        <v>0.58173019999999998</v>
      </c>
      <c r="F395" t="s">
        <v>39</v>
      </c>
      <c r="G395">
        <v>-308.14109999999999</v>
      </c>
      <c r="H395">
        <v>-0.05</v>
      </c>
      <c r="I395">
        <v>360.6481</v>
      </c>
      <c r="J395">
        <v>-430.21699999999998</v>
      </c>
      <c r="K395">
        <v>1.0549649999999999</v>
      </c>
      <c r="L395">
        <v>367.87970000000001</v>
      </c>
      <c r="M395">
        <v>0.99953040000000004</v>
      </c>
      <c r="N395">
        <v>0</v>
      </c>
      <c r="O395">
        <v>2.729326E-2</v>
      </c>
      <c r="P395">
        <v>0.9877338</v>
      </c>
      <c r="Q395">
        <v>-1.9304200000000001E-2</v>
      </c>
      <c r="R395">
        <v>0.15494939999999999</v>
      </c>
      <c r="S395">
        <v>3.0647579999999999</v>
      </c>
      <c r="T395">
        <v>-2.7721050000000001E-2</v>
      </c>
      <c r="U395">
        <v>-0.181366</v>
      </c>
      <c r="V395">
        <v>-0.12793170000000001</v>
      </c>
      <c r="W395">
        <v>-5.4692609999999996E-3</v>
      </c>
      <c r="X395">
        <v>0.99176790000000004</v>
      </c>
      <c r="Y395">
        <v>8.6296139999999993E-2</v>
      </c>
      <c r="Z395">
        <v>-6.3662980000000005E-4</v>
      </c>
      <c r="AA395">
        <v>0.99626930000000002</v>
      </c>
      <c r="AB395">
        <v>16</v>
      </c>
      <c r="AC395">
        <v>122.0759</v>
      </c>
      <c r="AD395">
        <v>-1.104965</v>
      </c>
      <c r="AE395">
        <v>-7.23160000000001</v>
      </c>
      <c r="AF395">
        <v>10.5602159351801</v>
      </c>
      <c r="AG395">
        <v>-1.104965</v>
      </c>
      <c r="AH395">
        <v>121.823075164275</v>
      </c>
      <c r="AI395">
        <v>90.517731004742203</v>
      </c>
      <c r="AJ395">
        <v>85.045708024585593</v>
      </c>
      <c r="AK395">
        <v>122.28491628459101</v>
      </c>
    </row>
    <row r="396" spans="1:37" x14ac:dyDescent="0.2">
      <c r="A396" t="str">
        <f>"20200111155508553"</f>
        <v>20200111155508553</v>
      </c>
      <c r="B396" t="str">
        <f>"1578729308542585"</f>
        <v>1578729308542585</v>
      </c>
      <c r="C396" t="s">
        <v>37</v>
      </c>
      <c r="D396">
        <v>4.7775809999999996</v>
      </c>
      <c r="E396">
        <v>0.58174809999999999</v>
      </c>
      <c r="F396" t="s">
        <v>39</v>
      </c>
      <c r="G396">
        <v>-302.33960000000002</v>
      </c>
      <c r="H396">
        <v>-0.05</v>
      </c>
      <c r="I396">
        <v>360.38639999999998</v>
      </c>
      <c r="J396">
        <v>-430.0847</v>
      </c>
      <c r="K396">
        <v>1.054983</v>
      </c>
      <c r="L396">
        <v>367.88319999999999</v>
      </c>
      <c r="M396">
        <v>0.99953139999999996</v>
      </c>
      <c r="N396">
        <v>0</v>
      </c>
      <c r="O396">
        <v>2.7265169999999998E-2</v>
      </c>
      <c r="P396">
        <v>0.98775249999999903</v>
      </c>
      <c r="Q396">
        <v>-1.818999E-2</v>
      </c>
      <c r="R396">
        <v>0.15496559999999901</v>
      </c>
      <c r="S396">
        <v>3.06488</v>
      </c>
      <c r="T396">
        <v>-2.6483059999999999E-2</v>
      </c>
      <c r="U396">
        <v>-0.179595899999999</v>
      </c>
      <c r="V396">
        <v>-0.12797449999999999</v>
      </c>
      <c r="W396">
        <v>-4.366099E-3</v>
      </c>
      <c r="X396">
        <v>0.99176779999999998</v>
      </c>
      <c r="Y396">
        <v>8.5692850000000001E-2</v>
      </c>
      <c r="Z396">
        <v>-6.0533869999999999E-4</v>
      </c>
      <c r="AA396">
        <v>0.99632140000000002</v>
      </c>
      <c r="AB396">
        <v>16</v>
      </c>
      <c r="AC396">
        <v>127.745099999999</v>
      </c>
      <c r="AD396">
        <v>-1.104983</v>
      </c>
      <c r="AE396">
        <v>-7.4968000000000004</v>
      </c>
      <c r="AF396">
        <v>10.9765230218015</v>
      </c>
      <c r="AG396">
        <v>-1.104983</v>
      </c>
      <c r="AH396">
        <v>127.483672777495</v>
      </c>
      <c r="AI396">
        <v>90.494776419842495</v>
      </c>
      <c r="AJ396">
        <v>85.078889882395899</v>
      </c>
      <c r="AK396">
        <v>127.960118278774</v>
      </c>
    </row>
    <row r="397" spans="1:37" x14ac:dyDescent="0.2">
      <c r="A397" t="str">
        <f>"20200111155508566"</f>
        <v>20200111155508566</v>
      </c>
      <c r="B397" t="str">
        <f>"1578729308563081"</f>
        <v>1578729308563081</v>
      </c>
      <c r="C397" t="s">
        <v>37</v>
      </c>
      <c r="D397">
        <v>4.79779</v>
      </c>
      <c r="E397">
        <v>0.58186019999999905</v>
      </c>
      <c r="F397" t="s">
        <v>39</v>
      </c>
      <c r="G397">
        <v>-299.21899999999999</v>
      </c>
      <c r="H397">
        <v>-0.05</v>
      </c>
      <c r="I397">
        <v>360.20710000000003</v>
      </c>
      <c r="J397">
        <v>-429.99090000000001</v>
      </c>
      <c r="K397">
        <v>1.054994</v>
      </c>
      <c r="L397">
        <v>367.88580000000002</v>
      </c>
      <c r="M397">
        <v>0.99953189999999903</v>
      </c>
      <c r="N397">
        <v>0</v>
      </c>
      <c r="O397">
        <v>2.724615E-2</v>
      </c>
      <c r="P397">
        <v>0.98783539999999903</v>
      </c>
      <c r="Q397">
        <v>-1.7288459999999999E-2</v>
      </c>
      <c r="R397">
        <v>0.1545396</v>
      </c>
      <c r="S397">
        <v>3.0649410000000001</v>
      </c>
      <c r="T397">
        <v>-2.5879260000000001E-2</v>
      </c>
      <c r="U397">
        <v>-0.1797791</v>
      </c>
      <c r="V397">
        <v>-0.1275654</v>
      </c>
      <c r="W397">
        <v>-3.4712499999999999E-3</v>
      </c>
      <c r="X397">
        <v>0.99182409999999999</v>
      </c>
      <c r="Y397">
        <v>8.5732230000000006E-2</v>
      </c>
      <c r="Z397">
        <v>-5.9153069999999996E-4</v>
      </c>
      <c r="AA397">
        <v>0.99631800000000004</v>
      </c>
      <c r="AB397">
        <v>16</v>
      </c>
      <c r="AC397">
        <v>130.77189999999999</v>
      </c>
      <c r="AD397">
        <v>-1.104994</v>
      </c>
      <c r="AE397">
        <v>-7.6786999999999903</v>
      </c>
      <c r="AF397">
        <v>11.238424918671299</v>
      </c>
      <c r="AG397">
        <v>-1.104994</v>
      </c>
      <c r="AH397">
        <v>130.50482100589301</v>
      </c>
      <c r="AI397">
        <v>90.483327289796193</v>
      </c>
      <c r="AJ397">
        <v>85.078115553084601</v>
      </c>
      <c r="AK397">
        <v>130.99248647221299</v>
      </c>
    </row>
    <row r="398" spans="1:37" x14ac:dyDescent="0.2">
      <c r="A398" t="str">
        <f>"20200111155508580"</f>
        <v>20200111155508580</v>
      </c>
      <c r="B398" t="str">
        <f>"1578729308572843"</f>
        <v>1578729308572843</v>
      </c>
      <c r="C398" t="s">
        <v>37</v>
      </c>
      <c r="D398">
        <v>4.8166949999999904</v>
      </c>
      <c r="E398">
        <v>0.58190129999999995</v>
      </c>
      <c r="F398" t="s">
        <v>39</v>
      </c>
      <c r="G398">
        <v>-296.50830000000002</v>
      </c>
      <c r="H398">
        <v>-0.05</v>
      </c>
      <c r="I398">
        <v>359.96559999999999</v>
      </c>
      <c r="J398">
        <v>-429.88990000000001</v>
      </c>
      <c r="K398">
        <v>1.0550059999999899</v>
      </c>
      <c r="L398">
        <v>367.88850000000002</v>
      </c>
      <c r="M398">
        <v>0.99953250000000005</v>
      </c>
      <c r="N398">
        <v>0</v>
      </c>
      <c r="O398">
        <v>2.7226770000000001E-2</v>
      </c>
      <c r="P398">
        <v>0.98795040000000001</v>
      </c>
      <c r="Q398">
        <v>-1.5883029999999999E-2</v>
      </c>
      <c r="R398">
        <v>0.153953799999999</v>
      </c>
      <c r="S398">
        <v>3.0649109999999999</v>
      </c>
      <c r="T398">
        <v>-2.5371910000000001E-2</v>
      </c>
      <c r="U398">
        <v>-0.18185419999999999</v>
      </c>
      <c r="V398">
        <v>-0.12699549999999901</v>
      </c>
      <c r="W398">
        <v>-2.07237E-3</v>
      </c>
      <c r="X398">
        <v>0.99190109999999998</v>
      </c>
      <c r="Y398">
        <v>8.6385870000000003E-2</v>
      </c>
      <c r="Z398">
        <v>-5.8247180000000004E-4</v>
      </c>
      <c r="AA398">
        <v>0.99626159999999997</v>
      </c>
      <c r="AB398">
        <v>16</v>
      </c>
      <c r="AC398">
        <v>133.38159999999999</v>
      </c>
      <c r="AD398">
        <v>-1.1050059999999999</v>
      </c>
      <c r="AE398">
        <v>-7.9229000000000198</v>
      </c>
      <c r="AF398">
        <v>11.551073791175099</v>
      </c>
      <c r="AG398">
        <v>-1.1050059999999999</v>
      </c>
      <c r="AH398">
        <v>133.10730419938201</v>
      </c>
      <c r="AI398">
        <v>90.473855923417204</v>
      </c>
      <c r="AJ398">
        <v>85.040288102945397</v>
      </c>
      <c r="AK398">
        <v>133.61213558362201</v>
      </c>
    </row>
    <row r="399" spans="1:37" x14ac:dyDescent="0.2">
      <c r="A399" t="str">
        <f>"20200111155508594"</f>
        <v>20200111155508594</v>
      </c>
      <c r="B399" t="str">
        <f>"1578729308582601"</f>
        <v>1578729308582601</v>
      </c>
      <c r="C399" t="s">
        <v>37</v>
      </c>
      <c r="D399">
        <v>4.8462750000000003</v>
      </c>
      <c r="E399">
        <v>0.58199009999999995</v>
      </c>
      <c r="F399" t="s">
        <v>39</v>
      </c>
      <c r="G399">
        <v>-280.3175</v>
      </c>
      <c r="H399">
        <v>-0.05</v>
      </c>
      <c r="I399">
        <v>358.9153</v>
      </c>
      <c r="J399">
        <v>-429.78969999999998</v>
      </c>
      <c r="K399">
        <v>1.0550189999999999</v>
      </c>
      <c r="L399">
        <v>367.8913</v>
      </c>
      <c r="M399">
        <v>0.99953309999999995</v>
      </c>
      <c r="N399">
        <v>0</v>
      </c>
      <c r="O399">
        <v>2.721107E-2</v>
      </c>
      <c r="P399">
        <v>0.98805489999999996</v>
      </c>
      <c r="Q399">
        <v>-1.467384E-2</v>
      </c>
      <c r="R399">
        <v>0.15340290000000001</v>
      </c>
      <c r="S399">
        <v>3.06488</v>
      </c>
      <c r="T399">
        <v>-2.2642610000000001E-2</v>
      </c>
      <c r="U399">
        <v>-0.18386839999999999</v>
      </c>
      <c r="V399">
        <v>-0.1264575</v>
      </c>
      <c r="W399">
        <v>-8.6908310000000002E-4</v>
      </c>
      <c r="X399">
        <v>0.99197169999999901</v>
      </c>
      <c r="Y399">
        <v>8.7023939999999994E-2</v>
      </c>
      <c r="Z399">
        <v>-5.2205049999999999E-4</v>
      </c>
      <c r="AA399">
        <v>0.99620609999999998</v>
      </c>
      <c r="AB399">
        <v>16</v>
      </c>
      <c r="AC399">
        <v>149.47219999999999</v>
      </c>
      <c r="AD399">
        <v>-1.105019</v>
      </c>
      <c r="AE399">
        <v>-8.9759999999999902</v>
      </c>
      <c r="AF399">
        <v>13.039656866555299</v>
      </c>
      <c r="AG399">
        <v>-1.105019</v>
      </c>
      <c r="AH399">
        <v>149.16444805359899</v>
      </c>
      <c r="AI399">
        <v>90.422830257826107</v>
      </c>
      <c r="AJ399">
        <v>85.004018317167606</v>
      </c>
      <c r="AK399">
        <v>149.73739105955701</v>
      </c>
    </row>
    <row r="400" spans="1:37" x14ac:dyDescent="0.2">
      <c r="A400" t="str">
        <f>"20200111155508609"</f>
        <v>20200111155508609</v>
      </c>
      <c r="B400" t="str">
        <f>"1578729308603098"</f>
        <v>1578729308603098</v>
      </c>
      <c r="C400" t="s">
        <v>37</v>
      </c>
      <c r="D400">
        <v>4.8067960000000003</v>
      </c>
      <c r="E400">
        <v>0.5821326</v>
      </c>
      <c r="F400" t="s">
        <v>39</v>
      </c>
      <c r="G400">
        <v>-263.18119999999999</v>
      </c>
      <c r="H400">
        <v>-0.05</v>
      </c>
      <c r="I400">
        <v>357.76179999999999</v>
      </c>
      <c r="J400">
        <v>-429.68239999999997</v>
      </c>
      <c r="K400">
        <v>1.0550379999999999</v>
      </c>
      <c r="L400">
        <v>367.89409999999998</v>
      </c>
      <c r="M400">
        <v>0.99953349999999996</v>
      </c>
      <c r="N400">
        <v>0</v>
      </c>
      <c r="O400">
        <v>2.7196729999999999E-2</v>
      </c>
      <c r="P400">
        <v>0.98833300000000002</v>
      </c>
      <c r="Q400">
        <v>-1.0876749999999999E-2</v>
      </c>
      <c r="R400">
        <v>0.15192069999999999</v>
      </c>
      <c r="S400">
        <v>3.0649109999999999</v>
      </c>
      <c r="T400">
        <v>-2.0327810000000002E-2</v>
      </c>
      <c r="U400">
        <v>-0.18634029999999999</v>
      </c>
      <c r="V400">
        <v>-0.1249825</v>
      </c>
      <c r="W400">
        <v>2.9242629999999999E-3</v>
      </c>
      <c r="X400">
        <v>0.99215469999999895</v>
      </c>
      <c r="Y400">
        <v>8.7810159999999998E-2</v>
      </c>
      <c r="Z400">
        <v>-4.7117559999999999E-4</v>
      </c>
      <c r="AA400">
        <v>0.996137099999999</v>
      </c>
      <c r="AB400">
        <v>16</v>
      </c>
      <c r="AC400">
        <v>166.50119999999899</v>
      </c>
      <c r="AD400">
        <v>-1.105038</v>
      </c>
      <c r="AE400">
        <v>-10.132299999999899</v>
      </c>
      <c r="AF400">
        <v>14.6566336361902</v>
      </c>
      <c r="AG400">
        <v>-1.105038</v>
      </c>
      <c r="AH400">
        <v>166.156715596982</v>
      </c>
      <c r="AI400">
        <v>90.379570559755194</v>
      </c>
      <c r="AJ400">
        <v>84.959004177061004</v>
      </c>
      <c r="AK400">
        <v>166.80555193549</v>
      </c>
    </row>
    <row r="401" spans="1:37" x14ac:dyDescent="0.2">
      <c r="A401" t="str">
        <f>"20200111155508631"</f>
        <v>20200111155508631</v>
      </c>
      <c r="B401" t="str">
        <f>"1578729308622616"</f>
        <v>1578729308622616</v>
      </c>
      <c r="C401" t="s">
        <v>37</v>
      </c>
      <c r="D401">
        <v>4.8471279999999997</v>
      </c>
      <c r="E401">
        <v>0.58218819999999905</v>
      </c>
      <c r="F401" t="s">
        <v>39</v>
      </c>
      <c r="G401">
        <v>-138.91470000000001</v>
      </c>
      <c r="H401">
        <v>-0.05</v>
      </c>
      <c r="I401">
        <v>349.67680000000001</v>
      </c>
      <c r="J401">
        <v>-429.52820000000003</v>
      </c>
      <c r="K401">
        <v>1.0550409999999999</v>
      </c>
      <c r="L401">
        <v>367.89830000000001</v>
      </c>
      <c r="M401">
        <v>0.99953409999999998</v>
      </c>
      <c r="N401">
        <v>0</v>
      </c>
      <c r="O401">
        <v>2.7179020000000002E-2</v>
      </c>
      <c r="P401">
        <v>0.98854629999999999</v>
      </c>
      <c r="Q401">
        <v>-1.0782699999999999E-2</v>
      </c>
      <c r="R401">
        <v>0.1505319</v>
      </c>
      <c r="S401">
        <v>3.06478899999999</v>
      </c>
      <c r="T401">
        <v>-1.164746E-2</v>
      </c>
      <c r="U401">
        <v>-0.19201660000000001</v>
      </c>
      <c r="V401">
        <v>-0.1236056</v>
      </c>
      <c r="W401">
        <v>3.0110470000000002E-3</v>
      </c>
      <c r="X401">
        <v>0.99232690000000001</v>
      </c>
      <c r="Y401">
        <v>8.9634370000000005E-2</v>
      </c>
      <c r="Z401">
        <v>-2.7336869999999998E-4</v>
      </c>
      <c r="AA401">
        <v>0.99597469999999999</v>
      </c>
      <c r="AB401">
        <v>16</v>
      </c>
      <c r="AC401">
        <v>290.61349999999999</v>
      </c>
      <c r="AD401">
        <v>-1.1050409999999999</v>
      </c>
      <c r="AE401">
        <v>-18.221499999999899</v>
      </c>
      <c r="AF401">
        <v>26.113743260026499</v>
      </c>
      <c r="AG401">
        <v>-1.1050409999999999</v>
      </c>
      <c r="AH401">
        <v>290.00665454258802</v>
      </c>
      <c r="AI401">
        <v>90.217438984306895</v>
      </c>
      <c r="AJ401">
        <v>84.854659426740696</v>
      </c>
      <c r="AK401">
        <v>291.18208801649598</v>
      </c>
    </row>
    <row r="402" spans="1:37" x14ac:dyDescent="0.2">
      <c r="A402" t="str">
        <f>"20200111155508646"</f>
        <v>20200111155508646</v>
      </c>
      <c r="B402" t="str">
        <f>"1578729308633354"</f>
        <v>1578729308633354</v>
      </c>
      <c r="C402" t="s">
        <v>37</v>
      </c>
      <c r="D402">
        <v>4.8443659999999999</v>
      </c>
      <c r="E402">
        <v>0.58213549999999903</v>
      </c>
      <c r="F402" t="s">
        <v>39</v>
      </c>
      <c r="G402">
        <v>-190.34280000000001</v>
      </c>
      <c r="H402">
        <v>-0.05</v>
      </c>
      <c r="I402">
        <v>352.5471</v>
      </c>
      <c r="J402">
        <v>-429.43</v>
      </c>
      <c r="K402">
        <v>1.0550409999999999</v>
      </c>
      <c r="L402">
        <v>367.90089999999998</v>
      </c>
      <c r="M402">
        <v>0.99953449999999899</v>
      </c>
      <c r="N402">
        <v>0</v>
      </c>
      <c r="O402">
        <v>2.7169120000000001E-2</v>
      </c>
      <c r="P402">
        <v>0.98862890000000003</v>
      </c>
      <c r="Q402">
        <v>-1.1120720000000001E-2</v>
      </c>
      <c r="R402">
        <v>0.14996409999999999</v>
      </c>
      <c r="S402">
        <v>3.0645449999999999</v>
      </c>
      <c r="T402">
        <v>-1.4158250000000001E-2</v>
      </c>
      <c r="U402">
        <v>-0.19668579999999999</v>
      </c>
      <c r="V402">
        <v>-0.123045499999999</v>
      </c>
      <c r="W402">
        <v>2.6691570000000001E-3</v>
      </c>
      <c r="X402">
        <v>0.99239739999999999</v>
      </c>
      <c r="Y402">
        <v>9.114034E-2</v>
      </c>
      <c r="Z402">
        <v>-3.3573739999999999E-4</v>
      </c>
      <c r="AA402">
        <v>0.995837999999999</v>
      </c>
      <c r="AB402">
        <v>16</v>
      </c>
      <c r="AC402">
        <v>239.0872</v>
      </c>
      <c r="AD402">
        <v>-1.1050409999999999</v>
      </c>
      <c r="AE402">
        <v>-15.3537999999999</v>
      </c>
      <c r="AF402">
        <v>21.844080888072401</v>
      </c>
      <c r="AG402">
        <v>-1.1050409999999999</v>
      </c>
      <c r="AH402">
        <v>238.57665928406499</v>
      </c>
      <c r="AI402">
        <v>90.264275670279702</v>
      </c>
      <c r="AJ402">
        <v>84.768584147919199</v>
      </c>
      <c r="AK402">
        <v>239.577142775769</v>
      </c>
    </row>
    <row r="403" spans="1:37" x14ac:dyDescent="0.2">
      <c r="A403" t="str">
        <f>"20200111155508659"</f>
        <v>20200111155508659</v>
      </c>
      <c r="B403" t="str">
        <f>"1578729308652874"</f>
        <v>1578729308652874</v>
      </c>
      <c r="C403" t="s">
        <v>37</v>
      </c>
      <c r="D403">
        <v>5.010885</v>
      </c>
      <c r="E403">
        <v>0.58191219999999999</v>
      </c>
      <c r="F403" t="s">
        <v>38</v>
      </c>
      <c r="G403">
        <v>-252.6414</v>
      </c>
      <c r="H403">
        <v>7.9986199999999993E-2</v>
      </c>
      <c r="I403">
        <v>356.4588</v>
      </c>
      <c r="J403">
        <v>-429.32839999999999</v>
      </c>
      <c r="K403">
        <v>1.0550389999999901</v>
      </c>
      <c r="L403">
        <v>367.90359999999998</v>
      </c>
      <c r="M403">
        <v>0.99953479999999995</v>
      </c>
      <c r="N403">
        <v>0</v>
      </c>
      <c r="O403">
        <v>2.7159030000000001E-2</v>
      </c>
      <c r="P403">
        <v>0.98871149999999997</v>
      </c>
      <c r="Q403">
        <v>-1.075336E-2</v>
      </c>
      <c r="R403">
        <v>0.1494463</v>
      </c>
      <c r="S403">
        <v>3.0643919999999998</v>
      </c>
      <c r="T403">
        <v>-1.690125E-2</v>
      </c>
      <c r="U403">
        <v>-0.1983337</v>
      </c>
      <c r="V403">
        <v>-0.1225362</v>
      </c>
      <c r="W403">
        <v>3.031551E-3</v>
      </c>
      <c r="X403">
        <v>0.99245939999999999</v>
      </c>
      <c r="Y403">
        <v>9.1666230000000001E-2</v>
      </c>
      <c r="Z403">
        <v>-4.0218829999999999E-4</v>
      </c>
      <c r="AA403">
        <v>0.995789699999999</v>
      </c>
      <c r="AB403">
        <v>16</v>
      </c>
      <c r="AC403">
        <v>176.68699999999899</v>
      </c>
      <c r="AD403">
        <v>-0.97505279999999905</v>
      </c>
      <c r="AE403">
        <v>-11.444799999999899</v>
      </c>
      <c r="AF403">
        <v>16.239194646509699</v>
      </c>
      <c r="AG403">
        <v>-0.97505279999999905</v>
      </c>
      <c r="AH403">
        <v>176.30560570736699</v>
      </c>
      <c r="AI403">
        <v>90.315533710808694</v>
      </c>
      <c r="AJ403">
        <v>84.737436891741595</v>
      </c>
      <c r="AK403">
        <v>177.054592639026</v>
      </c>
    </row>
    <row r="404" spans="1:37" x14ac:dyDescent="0.2">
      <c r="A404" t="str">
        <f>"20200111155508675"</f>
        <v>20200111155508675</v>
      </c>
      <c r="B404" t="str">
        <f>"1578729308662634"</f>
        <v>1578729308662634</v>
      </c>
      <c r="C404" t="s">
        <v>37</v>
      </c>
      <c r="D404">
        <v>4.8178650000000003</v>
      </c>
      <c r="E404">
        <v>0.58190169999999997</v>
      </c>
      <c r="F404" t="s">
        <v>38</v>
      </c>
      <c r="G404">
        <v>-264.06490000000002</v>
      </c>
      <c r="H404">
        <v>7.9985749999999994E-2</v>
      </c>
      <c r="I404">
        <v>357.2192</v>
      </c>
      <c r="J404">
        <v>-429.21690000000001</v>
      </c>
      <c r="K404">
        <v>1.055048</v>
      </c>
      <c r="L404">
        <v>367.90660000000003</v>
      </c>
      <c r="M404">
        <v>0.99953539999999996</v>
      </c>
      <c r="N404">
        <v>0</v>
      </c>
      <c r="O404">
        <v>2.7145249999999999E-2</v>
      </c>
      <c r="P404">
        <v>0.98887930000000002</v>
      </c>
      <c r="Q404">
        <v>-9.0783700000000005E-3</v>
      </c>
      <c r="R404">
        <v>0.14844379999999999</v>
      </c>
      <c r="S404">
        <v>3.0640259999999899</v>
      </c>
      <c r="T404">
        <v>-1.807773E-2</v>
      </c>
      <c r="U404">
        <v>-0.1980896</v>
      </c>
      <c r="V404">
        <v>-0.121542899999999</v>
      </c>
      <c r="W404">
        <v>4.703329E-3</v>
      </c>
      <c r="X404">
        <v>0.99257499999999999</v>
      </c>
      <c r="Y404">
        <v>9.1580889999999998E-2</v>
      </c>
      <c r="Z404">
        <v>-4.2990339999999898E-4</v>
      </c>
      <c r="AA404">
        <v>0.99579759999999995</v>
      </c>
      <c r="AB404">
        <v>16</v>
      </c>
      <c r="AC404">
        <v>165.15199999999999</v>
      </c>
      <c r="AD404">
        <v>-0.97506225000000002</v>
      </c>
      <c r="AE404">
        <v>-10.6874</v>
      </c>
      <c r="AF404">
        <v>15.166457507935</v>
      </c>
      <c r="AG404">
        <v>-0.97506225000000002</v>
      </c>
      <c r="AH404">
        <v>164.79526933635</v>
      </c>
      <c r="AI404">
        <v>90.337577689909693</v>
      </c>
      <c r="AJ404">
        <v>84.741760340048302</v>
      </c>
      <c r="AK404">
        <v>165.49457083352101</v>
      </c>
    </row>
    <row r="405" spans="1:37" x14ac:dyDescent="0.2">
      <c r="A405" t="str">
        <f>"20200111155508688"</f>
        <v>20200111155508688</v>
      </c>
      <c r="B405" t="str">
        <f>"1578729308683130"</f>
        <v>1578729308683130</v>
      </c>
      <c r="C405" t="s">
        <v>37</v>
      </c>
      <c r="D405">
        <v>4.8775789999999999</v>
      </c>
      <c r="E405">
        <v>0.58191000000000004</v>
      </c>
      <c r="F405" t="s">
        <v>38</v>
      </c>
      <c r="G405">
        <v>-232.39420000000001</v>
      </c>
      <c r="H405">
        <v>7.9986329999999994E-2</v>
      </c>
      <c r="I405">
        <v>354.98680000000002</v>
      </c>
      <c r="J405">
        <v>-429.13060000000002</v>
      </c>
      <c r="K405">
        <v>1.055045</v>
      </c>
      <c r="L405">
        <v>367.90890000000002</v>
      </c>
      <c r="M405">
        <v>0.99953559999999997</v>
      </c>
      <c r="N405">
        <v>0</v>
      </c>
      <c r="O405">
        <v>2.7133290000000001E-2</v>
      </c>
      <c r="P405">
        <v>0.9889715</v>
      </c>
      <c r="Q405">
        <v>-8.1435090000000002E-3</v>
      </c>
      <c r="R405">
        <v>0.1478817</v>
      </c>
      <c r="S405">
        <v>3.0637509999999999</v>
      </c>
      <c r="T405">
        <v>-1.517785E-2</v>
      </c>
      <c r="U405">
        <v>-0.20111080000000001</v>
      </c>
      <c r="V405">
        <v>-0.1209905</v>
      </c>
      <c r="W405">
        <v>5.6350580000000001E-3</v>
      </c>
      <c r="X405">
        <v>0.99263769999999996</v>
      </c>
      <c r="Y405">
        <v>9.2553109999999994E-2</v>
      </c>
      <c r="Z405">
        <v>-3.6331019999999897E-4</v>
      </c>
      <c r="AA405">
        <v>0.99570769999999997</v>
      </c>
      <c r="AB405">
        <v>16</v>
      </c>
      <c r="AC405">
        <v>196.7364</v>
      </c>
      <c r="AD405">
        <v>-0.97505867000000002</v>
      </c>
      <c r="AE405">
        <v>-12.9221</v>
      </c>
      <c r="AF405">
        <v>18.255514300638801</v>
      </c>
      <c r="AG405">
        <v>-0.97505867000000002</v>
      </c>
      <c r="AH405">
        <v>196.308498394559</v>
      </c>
      <c r="AI405">
        <v>90.283361568351907</v>
      </c>
      <c r="AJ405">
        <v>84.687115667513794</v>
      </c>
      <c r="AK405">
        <v>197.157909006252</v>
      </c>
    </row>
    <row r="406" spans="1:37" x14ac:dyDescent="0.2">
      <c r="A406" t="str">
        <f>"20200111155508700"</f>
        <v>20200111155508700</v>
      </c>
      <c r="B406" t="str">
        <f>"1578729308692890"</f>
        <v>1578729308692890</v>
      </c>
      <c r="C406" t="s">
        <v>37</v>
      </c>
      <c r="D406">
        <v>4.8687259999999997</v>
      </c>
      <c r="E406">
        <v>0.58191649999999995</v>
      </c>
      <c r="F406" t="s">
        <v>38</v>
      </c>
      <c r="G406">
        <v>-237.25239999999999</v>
      </c>
      <c r="H406">
        <v>7.9986360000000006E-2</v>
      </c>
      <c r="I406">
        <v>355.21019999999999</v>
      </c>
      <c r="J406">
        <v>-429.03890000000001</v>
      </c>
      <c r="K406">
        <v>1.055042</v>
      </c>
      <c r="L406">
        <v>367.91140000000001</v>
      </c>
      <c r="M406">
        <v>0.99953609999999904</v>
      </c>
      <c r="N406">
        <v>0</v>
      </c>
      <c r="O406">
        <v>2.7119009999999999E-2</v>
      </c>
      <c r="P406">
        <v>0.98901499999999998</v>
      </c>
      <c r="Q406">
        <v>-7.8787119999999995E-3</v>
      </c>
      <c r="R406">
        <v>0.14760589999999901</v>
      </c>
      <c r="S406">
        <v>3.0636899999999998</v>
      </c>
      <c r="T406">
        <v>-1.556861E-2</v>
      </c>
      <c r="U406">
        <v>-0.20275879999999999</v>
      </c>
      <c r="V406">
        <v>-0.1207276</v>
      </c>
      <c r="W406">
        <v>5.8973119999999896E-3</v>
      </c>
      <c r="X406">
        <v>0.992668199999999</v>
      </c>
      <c r="Y406">
        <v>9.3073349999999999E-2</v>
      </c>
      <c r="Z406">
        <v>-3.7391269999999998E-4</v>
      </c>
      <c r="AA406">
        <v>0.99565919999999897</v>
      </c>
      <c r="AB406">
        <v>16</v>
      </c>
      <c r="AC406">
        <v>191.78649999999999</v>
      </c>
      <c r="AD406">
        <v>-0.97505564</v>
      </c>
      <c r="AE406">
        <v>-12.7012</v>
      </c>
      <c r="AF406">
        <v>17.897626919911101</v>
      </c>
      <c r="AG406">
        <v>-0.97505564</v>
      </c>
      <c r="AH406">
        <v>191.366547810013</v>
      </c>
      <c r="AI406">
        <v>90.290663939984</v>
      </c>
      <c r="AJ406">
        <v>84.656933521481804</v>
      </c>
      <c r="AK406">
        <v>192.204139923122</v>
      </c>
    </row>
    <row r="407" spans="1:37" x14ac:dyDescent="0.2">
      <c r="A407" t="str">
        <f>"20200111155508713"</f>
        <v>20200111155508713</v>
      </c>
      <c r="B407" t="str">
        <f>"1578729308702650"</f>
        <v>1578729308702650</v>
      </c>
      <c r="C407" t="s">
        <v>37</v>
      </c>
      <c r="D407">
        <v>4.9066689999999999</v>
      </c>
      <c r="E407">
        <v>0.58191139999999997</v>
      </c>
      <c r="F407" t="s">
        <v>38</v>
      </c>
      <c r="G407">
        <v>-248.3733</v>
      </c>
      <c r="H407">
        <v>7.9985920000000002E-2</v>
      </c>
      <c r="I407">
        <v>355.90559999999999</v>
      </c>
      <c r="J407">
        <v>-428.94970000000001</v>
      </c>
      <c r="K407">
        <v>1.0550360000000001</v>
      </c>
      <c r="L407">
        <v>367.91390000000001</v>
      </c>
      <c r="M407">
        <v>0.9995366</v>
      </c>
      <c r="N407">
        <v>0</v>
      </c>
      <c r="O407">
        <v>2.710189E-2</v>
      </c>
      <c r="P407">
        <v>0.98901240000000001</v>
      </c>
      <c r="Q407">
        <v>-8.1654239999999993E-3</v>
      </c>
      <c r="R407">
        <v>0.14760760000000001</v>
      </c>
      <c r="S407">
        <v>3.0635379999999999</v>
      </c>
      <c r="T407">
        <v>-1.6533969999999999E-2</v>
      </c>
      <c r="U407">
        <v>-0.20358280000000001</v>
      </c>
      <c r="V407">
        <v>-0.1207462</v>
      </c>
      <c r="W407">
        <v>5.6069240000000001E-3</v>
      </c>
      <c r="X407">
        <v>0.99266759999999998</v>
      </c>
      <c r="Y407">
        <v>9.3325980000000003E-2</v>
      </c>
      <c r="Z407">
        <v>-3.9770259999999998E-4</v>
      </c>
      <c r="AA407">
        <v>0.99563550000000001</v>
      </c>
      <c r="AB407">
        <v>16</v>
      </c>
      <c r="AC407">
        <v>180.57640000000001</v>
      </c>
      <c r="AD407">
        <v>-0.97505008000000004</v>
      </c>
      <c r="AE407">
        <v>-12.0083</v>
      </c>
      <c r="AF407">
        <v>16.897829506663498</v>
      </c>
      <c r="AG407">
        <v>-0.97505008000000004</v>
      </c>
      <c r="AH407">
        <v>180.179348154237</v>
      </c>
      <c r="AI407">
        <v>90.308701550416203</v>
      </c>
      <c r="AJ407">
        <v>84.642278704929595</v>
      </c>
      <c r="AK407">
        <v>180.972608054315</v>
      </c>
    </row>
    <row r="408" spans="1:37" x14ac:dyDescent="0.2">
      <c r="A408" t="str">
        <f>"20200111155508730"</f>
        <v>20200111155508730</v>
      </c>
      <c r="B408" t="str">
        <f>"1578729308723145"</f>
        <v>1578729308723145</v>
      </c>
      <c r="C408" t="s">
        <v>37</v>
      </c>
      <c r="D408">
        <v>4.8966769999999897</v>
      </c>
      <c r="E408">
        <v>0.58189709999999994</v>
      </c>
      <c r="F408" t="s">
        <v>38</v>
      </c>
      <c r="G408">
        <v>-274.05560000000003</v>
      </c>
      <c r="H408">
        <v>7.9985730000000005E-2</v>
      </c>
      <c r="I408">
        <v>357.6266</v>
      </c>
      <c r="J408">
        <v>-428.82650000000001</v>
      </c>
      <c r="K408">
        <v>1.055026</v>
      </c>
      <c r="L408">
        <v>367.9171</v>
      </c>
      <c r="M408">
        <v>0.99953740000000002</v>
      </c>
      <c r="N408">
        <v>0</v>
      </c>
      <c r="O408">
        <v>2.7073259999999998E-2</v>
      </c>
      <c r="P408">
        <v>0.98907259999999997</v>
      </c>
      <c r="Q408">
        <v>-9.2597280000000001E-3</v>
      </c>
      <c r="R408">
        <v>0.1471375</v>
      </c>
      <c r="S408">
        <v>3.063507</v>
      </c>
      <c r="T408">
        <v>-1.9284610000000001E-2</v>
      </c>
      <c r="U408">
        <v>-0.20346069999999999</v>
      </c>
      <c r="V408">
        <v>-0.12030339999999901</v>
      </c>
      <c r="W408">
        <v>4.509735E-3</v>
      </c>
      <c r="X408">
        <v>0.99272689999999997</v>
      </c>
      <c r="Y408">
        <v>9.3257980000000004E-2</v>
      </c>
      <c r="Z408">
        <v>-4.634754E-4</v>
      </c>
      <c r="AA408">
        <v>0.99564189999999997</v>
      </c>
      <c r="AB408">
        <v>16</v>
      </c>
      <c r="AC408">
        <v>154.77089999999899</v>
      </c>
      <c r="AD408">
        <v>-0.97504027000000004</v>
      </c>
      <c r="AE408">
        <v>-10.2905</v>
      </c>
      <c r="AF408">
        <v>14.4767104622102</v>
      </c>
      <c r="AG408">
        <v>-0.97504027000000004</v>
      </c>
      <c r="AH408">
        <v>154.429431899782</v>
      </c>
      <c r="AI408">
        <v>90.360171614362699</v>
      </c>
      <c r="AJ408">
        <v>84.644560680734401</v>
      </c>
      <c r="AK408">
        <v>155.10955897759499</v>
      </c>
    </row>
    <row r="409" spans="1:37" x14ac:dyDescent="0.2">
      <c r="A409" t="str">
        <f>"20200111155508745"</f>
        <v>20200111155508745</v>
      </c>
      <c r="B409" t="str">
        <f>"1578729308742666"</f>
        <v>1578729308742666</v>
      </c>
      <c r="C409" t="s">
        <v>37</v>
      </c>
      <c r="D409">
        <v>4.9173989999999996</v>
      </c>
      <c r="E409">
        <v>0.58179840000000005</v>
      </c>
      <c r="F409" t="s">
        <v>39</v>
      </c>
      <c r="G409">
        <v>-289.82240000000002</v>
      </c>
      <c r="H409">
        <v>-0.05</v>
      </c>
      <c r="I409">
        <v>358.62540000000001</v>
      </c>
      <c r="J409">
        <v>-428.73009999999999</v>
      </c>
      <c r="K409">
        <v>1.055018</v>
      </c>
      <c r="L409">
        <v>367.91969999999998</v>
      </c>
      <c r="M409">
        <v>0.99953819999999904</v>
      </c>
      <c r="N409">
        <v>0</v>
      </c>
      <c r="O409">
        <v>2.7045799999999998E-2</v>
      </c>
      <c r="P409">
        <v>0.9891356</v>
      </c>
      <c r="Q409">
        <v>-1.0107379999999999E-2</v>
      </c>
      <c r="R409">
        <v>0.1466586</v>
      </c>
      <c r="S409">
        <v>3.0633849999999998</v>
      </c>
      <c r="T409">
        <v>-2.435267E-2</v>
      </c>
      <c r="U409">
        <v>-0.20477290000000001</v>
      </c>
      <c r="V409">
        <v>-0.11984980000000001</v>
      </c>
      <c r="W409">
        <v>3.6604959999999901E-3</v>
      </c>
      <c r="X409">
        <v>0.99278529999999998</v>
      </c>
      <c r="Y409">
        <v>9.3656450000000002E-2</v>
      </c>
      <c r="Z409">
        <v>-5.866542E-4</v>
      </c>
      <c r="AA409">
        <v>0.99560439999999994</v>
      </c>
      <c r="AB409">
        <v>16</v>
      </c>
      <c r="AC409">
        <v>138.90769999999901</v>
      </c>
      <c r="AD409">
        <v>-1.1050180000000001</v>
      </c>
      <c r="AE409">
        <v>-9.2942999999999607</v>
      </c>
      <c r="AF409">
        <v>13.047307876819399</v>
      </c>
      <c r="AG409">
        <v>-1.1050180000000001</v>
      </c>
      <c r="AH409">
        <v>138.59674956560701</v>
      </c>
      <c r="AI409">
        <v>90.454793154351904</v>
      </c>
      <c r="AJ409">
        <v>84.622102998686103</v>
      </c>
      <c r="AK409">
        <v>139.21390842068999</v>
      </c>
    </row>
    <row r="410" spans="1:37" x14ac:dyDescent="0.2">
      <c r="A410" t="str">
        <f>"20200111155508757"</f>
        <v>20200111155508757</v>
      </c>
      <c r="B410" t="str">
        <f>"1578729308753401"</f>
        <v>1578729308753401</v>
      </c>
      <c r="C410" t="s">
        <v>37</v>
      </c>
      <c r="D410">
        <v>4.9860809999999898</v>
      </c>
      <c r="E410">
        <v>0.58179139999999996</v>
      </c>
      <c r="F410" t="s">
        <v>38</v>
      </c>
      <c r="G410">
        <v>-323.41609999999997</v>
      </c>
      <c r="H410" s="1">
        <v>-4.5574879999999997E-6</v>
      </c>
      <c r="I410">
        <v>360.85610000000003</v>
      </c>
      <c r="J410">
        <v>-428.64060000000001</v>
      </c>
      <c r="K410">
        <v>1.0550139999999999</v>
      </c>
      <c r="L410">
        <v>367.9221</v>
      </c>
      <c r="M410">
        <v>0.99953910000000001</v>
      </c>
      <c r="N410">
        <v>0</v>
      </c>
      <c r="O410">
        <v>2.7016129999999999E-2</v>
      </c>
      <c r="P410">
        <v>0.98918459999999997</v>
      </c>
      <c r="Q410">
        <v>-1.0924420000000001E-2</v>
      </c>
      <c r="R410">
        <v>0.14626919999999999</v>
      </c>
      <c r="S410">
        <v>3.0630799999999998</v>
      </c>
      <c r="T410">
        <v>-3.0685540000000001E-2</v>
      </c>
      <c r="U410">
        <v>-0.205444299999999</v>
      </c>
      <c r="V410">
        <v>-0.1194889</v>
      </c>
      <c r="W410">
        <v>2.8417709999999999E-3</v>
      </c>
      <c r="X410">
        <v>0.99283149999999998</v>
      </c>
      <c r="Y410">
        <v>9.3848500000000001E-2</v>
      </c>
      <c r="Z410">
        <v>-7.3993810000000002E-4</v>
      </c>
      <c r="AA410">
        <v>0.99558619999999898</v>
      </c>
      <c r="AB410">
        <v>16</v>
      </c>
      <c r="AC410">
        <v>105.22450000000001</v>
      </c>
      <c r="AD410">
        <v>-1.055018557488</v>
      </c>
      <c r="AE410">
        <v>-7.0659999999999696</v>
      </c>
      <c r="AF410">
        <v>9.9054604067487801</v>
      </c>
      <c r="AG410">
        <v>-1.055018557488</v>
      </c>
      <c r="AH410">
        <v>104.984664671548</v>
      </c>
      <c r="AI410">
        <v>90.573215387727302</v>
      </c>
      <c r="AJ410">
        <v>84.610013819915906</v>
      </c>
      <c r="AK410">
        <v>105.45620430407899</v>
      </c>
    </row>
    <row r="411" spans="1:37" x14ac:dyDescent="0.2">
      <c r="A411" t="str">
        <f>"20200111155508775"</f>
        <v>20200111155508775</v>
      </c>
      <c r="B411" t="str">
        <f>"1578729308772921"</f>
        <v>1578729308772921</v>
      </c>
      <c r="C411" t="s">
        <v>37</v>
      </c>
      <c r="D411">
        <v>4.8980519999999999</v>
      </c>
      <c r="E411">
        <v>0.58171549999999905</v>
      </c>
      <c r="F411" t="s">
        <v>38</v>
      </c>
      <c r="G411">
        <v>-335.53320000000002</v>
      </c>
      <c r="H411" s="1">
        <v>-3.6277629999999998E-6</v>
      </c>
      <c r="I411">
        <v>361.64260000000002</v>
      </c>
      <c r="J411">
        <v>-428.517</v>
      </c>
      <c r="K411">
        <v>1.0550040000000001</v>
      </c>
      <c r="L411">
        <v>367.92540000000002</v>
      </c>
      <c r="M411">
        <v>0.99954050000000005</v>
      </c>
      <c r="N411">
        <v>0</v>
      </c>
      <c r="O411">
        <v>2.6964490000000001E-2</v>
      </c>
      <c r="P411">
        <v>0.98922770000000004</v>
      </c>
      <c r="Q411">
        <v>-1.236979E-2</v>
      </c>
      <c r="R411">
        <v>0.1458624</v>
      </c>
      <c r="S411">
        <v>3.0629580000000001</v>
      </c>
      <c r="T411">
        <v>-3.470695E-2</v>
      </c>
      <c r="U411">
        <v>-0.20657349999999999</v>
      </c>
      <c r="V411">
        <v>-0.1191323</v>
      </c>
      <c r="W411">
        <v>1.394574E-3</v>
      </c>
      <c r="X411">
        <v>0.99287739999999902</v>
      </c>
      <c r="Y411">
        <v>9.4163369999999996E-2</v>
      </c>
      <c r="Z411">
        <v>-8.3812329999999997E-4</v>
      </c>
      <c r="AA411">
        <v>0.99555640000000001</v>
      </c>
      <c r="AB411">
        <v>16</v>
      </c>
      <c r="AC411">
        <v>92.983799999999903</v>
      </c>
      <c r="AD411">
        <v>-1.0550076277630001</v>
      </c>
      <c r="AE411">
        <v>-6.2827999999999999</v>
      </c>
      <c r="AF411">
        <v>8.7868901536897202</v>
      </c>
      <c r="AG411">
        <v>-1.0550076277630001</v>
      </c>
      <c r="AH411">
        <v>92.768666829662806</v>
      </c>
      <c r="AI411">
        <v>90.648662661569006</v>
      </c>
      <c r="AJ411">
        <v>84.589183943916396</v>
      </c>
      <c r="AK411">
        <v>93.189849366873801</v>
      </c>
    </row>
    <row r="412" spans="1:37" x14ac:dyDescent="0.2">
      <c r="A412" t="str">
        <f>"20200111155508800"</f>
        <v>20200111155508800</v>
      </c>
      <c r="B412" t="str">
        <f>"1578729308793418"</f>
        <v>1578729308793418</v>
      </c>
      <c r="C412" t="s">
        <v>37</v>
      </c>
      <c r="D412">
        <v>5.0611920000000001</v>
      </c>
      <c r="E412">
        <v>0.58158949999999998</v>
      </c>
      <c r="F412" t="s">
        <v>38</v>
      </c>
      <c r="G412">
        <v>-351.14319999999998</v>
      </c>
      <c r="H412" s="1">
        <v>-5.0105169999999902E-6</v>
      </c>
      <c r="I412">
        <v>362.68970000000002</v>
      </c>
      <c r="J412">
        <v>-428.35079999999999</v>
      </c>
      <c r="K412">
        <v>1.0549949999999999</v>
      </c>
      <c r="L412">
        <v>367.92970000000003</v>
      </c>
      <c r="M412">
        <v>0.99954310000000002</v>
      </c>
      <c r="N412">
        <v>0</v>
      </c>
      <c r="O412">
        <v>2.6875779999999998E-2</v>
      </c>
      <c r="P412">
        <v>0.98931239999999998</v>
      </c>
      <c r="Q412">
        <v>-1.103754E-2</v>
      </c>
      <c r="R412">
        <v>0.14539379999999999</v>
      </c>
      <c r="S412">
        <v>3.0627439999999999</v>
      </c>
      <c r="T412">
        <v>-4.1761159999999999E-2</v>
      </c>
      <c r="U412">
        <v>-0.20724490000000001</v>
      </c>
      <c r="V412">
        <v>-0.11874990000000001</v>
      </c>
      <c r="W412">
        <v>2.713979E-3</v>
      </c>
      <c r="X412">
        <v>0.99292049999999998</v>
      </c>
      <c r="Y412">
        <v>9.4293440000000006E-2</v>
      </c>
      <c r="Z412">
        <v>-1.0081980000000001E-3</v>
      </c>
      <c r="AA412">
        <v>0.99554399999999998</v>
      </c>
      <c r="AB412">
        <v>16</v>
      </c>
      <c r="AC412">
        <v>77.207599999999999</v>
      </c>
      <c r="AD412">
        <v>-1.0550000105170001</v>
      </c>
      <c r="AE412">
        <v>-5.24</v>
      </c>
      <c r="AF412">
        <v>7.3119607982478696</v>
      </c>
      <c r="AG412">
        <v>-1.0550000105170001</v>
      </c>
      <c r="AH412">
        <v>77.024547369339103</v>
      </c>
      <c r="AI412">
        <v>90.781215613296297</v>
      </c>
      <c r="AJ412">
        <v>84.577147234164698</v>
      </c>
      <c r="AK412">
        <v>77.378024614155606</v>
      </c>
    </row>
    <row r="413" spans="1:37" x14ac:dyDescent="0.2">
      <c r="A413" t="str">
        <f>"20200111155508811"</f>
        <v>20200111155508811</v>
      </c>
      <c r="B413" t="str">
        <f>"1578729308803178"</f>
        <v>1578729308803178</v>
      </c>
      <c r="C413" t="s">
        <v>37</v>
      </c>
      <c r="D413">
        <v>4.9975809999999896</v>
      </c>
      <c r="E413">
        <v>0.58152209999999904</v>
      </c>
      <c r="F413" t="s">
        <v>38</v>
      </c>
      <c r="G413">
        <v>-342.19740000000002</v>
      </c>
      <c r="H413" s="1">
        <v>-5.0041390000000001E-6</v>
      </c>
      <c r="I413">
        <v>362.08850000000001</v>
      </c>
      <c r="J413">
        <v>-428.2627</v>
      </c>
      <c r="K413">
        <v>1.0549850000000001</v>
      </c>
      <c r="L413">
        <v>367.93199999999899</v>
      </c>
      <c r="M413">
        <v>0.99954529999999997</v>
      </c>
      <c r="N413">
        <v>0</v>
      </c>
      <c r="O413">
        <v>2.6815410000000001E-2</v>
      </c>
      <c r="P413">
        <v>0.98939619999999995</v>
      </c>
      <c r="Q413">
        <v>-9.8863549999999994E-3</v>
      </c>
      <c r="R413">
        <v>0.14490510000000001</v>
      </c>
      <c r="S413">
        <v>3.0625309999999999</v>
      </c>
      <c r="T413">
        <v>-3.7502529999999999E-2</v>
      </c>
      <c r="U413">
        <v>-0.20764160000000001</v>
      </c>
      <c r="V413">
        <v>-0.1183186</v>
      </c>
      <c r="W413">
        <v>3.8316800000000001E-3</v>
      </c>
      <c r="X413">
        <v>0.99296830000000003</v>
      </c>
      <c r="Y413">
        <v>9.4368519999999997E-2</v>
      </c>
      <c r="Z413">
        <v>-9.0517369999999905E-4</v>
      </c>
      <c r="AA413">
        <v>0.99553689999999995</v>
      </c>
      <c r="AB413">
        <v>16</v>
      </c>
      <c r="AC413">
        <v>86.065299999999894</v>
      </c>
      <c r="AD413">
        <v>-1.0549900041389999</v>
      </c>
      <c r="AE413">
        <v>-5.8434999999999402</v>
      </c>
      <c r="AF413">
        <v>8.1482752896775299</v>
      </c>
      <c r="AG413">
        <v>-1.0549900041389999</v>
      </c>
      <c r="AH413">
        <v>85.864791723038195</v>
      </c>
      <c r="AI413">
        <v>90.700789299635204</v>
      </c>
      <c r="AJ413">
        <v>84.579059947826806</v>
      </c>
      <c r="AK413">
        <v>86.256998856590897</v>
      </c>
    </row>
    <row r="414" spans="1:37" x14ac:dyDescent="0.2">
      <c r="A414" t="str">
        <f>"20200111155508826"</f>
        <v>20200111155508826</v>
      </c>
      <c r="B414" t="str">
        <f>"1578729308822698"</f>
        <v>1578729308822698</v>
      </c>
      <c r="C414" t="s">
        <v>37</v>
      </c>
      <c r="D414">
        <v>5.0205760000000001</v>
      </c>
      <c r="E414">
        <v>0.58139949999999996</v>
      </c>
      <c r="F414" t="s">
        <v>38</v>
      </c>
      <c r="G414">
        <v>-333.5829</v>
      </c>
      <c r="H414" s="1">
        <v>-4.3321910000000002E-6</v>
      </c>
      <c r="I414">
        <v>361.4896</v>
      </c>
      <c r="J414">
        <v>-428.16739999999999</v>
      </c>
      <c r="K414">
        <v>1.0549649999999999</v>
      </c>
      <c r="L414">
        <v>367.93450000000001</v>
      </c>
      <c r="M414">
        <v>0.9995482</v>
      </c>
      <c r="N414">
        <v>0</v>
      </c>
      <c r="O414">
        <v>2.6741350000000001E-2</v>
      </c>
      <c r="P414">
        <v>0.98947649999999998</v>
      </c>
      <c r="Q414">
        <v>-9.3813560000000004E-3</v>
      </c>
      <c r="R414">
        <v>0.1443894</v>
      </c>
      <c r="S414">
        <v>3.0623469999999999</v>
      </c>
      <c r="T414">
        <v>-3.4122819999999998E-2</v>
      </c>
      <c r="U414">
        <v>-0.208373999999999</v>
      </c>
      <c r="V414">
        <v>-0.117874299999999</v>
      </c>
      <c r="W414">
        <v>4.2727499999999996E-3</v>
      </c>
      <c r="X414">
        <v>0.99301930000000005</v>
      </c>
      <c r="Y414">
        <v>9.4537309999999999E-2</v>
      </c>
      <c r="Z414">
        <v>-8.2376270000000004E-4</v>
      </c>
      <c r="AA414">
        <v>0.99552090000000004</v>
      </c>
      <c r="AB414">
        <v>16</v>
      </c>
      <c r="AC414">
        <v>94.584500000000006</v>
      </c>
      <c r="AD414">
        <v>-1.0549693321910001</v>
      </c>
      <c r="AE414">
        <v>-6.4449000000000103</v>
      </c>
      <c r="AF414">
        <v>8.9710392741490299</v>
      </c>
      <c r="AG414">
        <v>-1.0549693321910001</v>
      </c>
      <c r="AH414">
        <v>94.366621871323304</v>
      </c>
      <c r="AI414">
        <v>90.637635479158504</v>
      </c>
      <c r="AJ414">
        <v>84.569450657675702</v>
      </c>
      <c r="AK414">
        <v>94.797952664366704</v>
      </c>
    </row>
    <row r="415" spans="1:37" x14ac:dyDescent="0.2">
      <c r="A415" t="str">
        <f>"20200111155508843"</f>
        <v>20200111155508843</v>
      </c>
      <c r="B415" t="str">
        <f>"1578729308832457"</f>
        <v>1578729308832457</v>
      </c>
      <c r="C415" t="s">
        <v>37</v>
      </c>
      <c r="D415">
        <v>4.9879369999999996</v>
      </c>
      <c r="E415">
        <v>0.58134249999999998</v>
      </c>
      <c r="F415" t="s">
        <v>38</v>
      </c>
      <c r="G415">
        <v>-332.27719999999999</v>
      </c>
      <c r="H415" s="1">
        <v>-4.8017339999999998E-6</v>
      </c>
      <c r="I415">
        <v>361.39479999999998</v>
      </c>
      <c r="J415">
        <v>-428.05290000000002</v>
      </c>
      <c r="K415">
        <v>1.0549249999999999</v>
      </c>
      <c r="L415">
        <v>367.93740000000003</v>
      </c>
      <c r="M415">
        <v>0.99955260000000001</v>
      </c>
      <c r="N415">
        <v>0</v>
      </c>
      <c r="O415">
        <v>2.6640509999999999E-2</v>
      </c>
      <c r="P415">
        <v>0.98963299999999998</v>
      </c>
      <c r="Q415">
        <v>-9.0274399999999994E-3</v>
      </c>
      <c r="R415">
        <v>0.143335299999999</v>
      </c>
      <c r="S415">
        <v>3.062103</v>
      </c>
      <c r="T415">
        <v>-3.3688780000000002E-2</v>
      </c>
      <c r="U415">
        <v>-0.20883179999999901</v>
      </c>
      <c r="V415">
        <v>-0.1169167</v>
      </c>
      <c r="W415">
        <v>4.5044909999999898E-3</v>
      </c>
      <c r="X415">
        <v>0.99313149999999994</v>
      </c>
      <c r="Y415">
        <v>9.4590530000000006E-2</v>
      </c>
      <c r="Z415">
        <v>-8.1252919999999897E-4</v>
      </c>
      <c r="AA415">
        <v>0.99551590000000001</v>
      </c>
      <c r="AB415">
        <v>16</v>
      </c>
      <c r="AC415">
        <v>95.775700000000001</v>
      </c>
      <c r="AD415">
        <v>-1.0549298017340001</v>
      </c>
      <c r="AE415">
        <v>-6.5426000000000499</v>
      </c>
      <c r="AF415">
        <v>9.0909290551552804</v>
      </c>
      <c r="AG415">
        <v>-1.0549298017340001</v>
      </c>
      <c r="AH415">
        <v>95.555847458390204</v>
      </c>
      <c r="AI415">
        <v>90.629672689885794</v>
      </c>
      <c r="AJ415">
        <v>84.565389038049702</v>
      </c>
      <c r="AK415">
        <v>95.993113562711301</v>
      </c>
    </row>
    <row r="416" spans="1:37" x14ac:dyDescent="0.2">
      <c r="A416" t="str">
        <f>"20200111155508855"</f>
        <v>20200111155508855</v>
      </c>
      <c r="B416" t="str">
        <f>"1578729308852954"</f>
        <v>1578729308852954</v>
      </c>
      <c r="C416" t="s">
        <v>37</v>
      </c>
      <c r="D416">
        <v>5.0027980000000003</v>
      </c>
      <c r="E416">
        <v>0.58118970000000003</v>
      </c>
      <c r="F416" t="s">
        <v>38</v>
      </c>
      <c r="G416">
        <v>-329.8603</v>
      </c>
      <c r="H416" s="1">
        <v>-2.288913E-6</v>
      </c>
      <c r="I416">
        <v>361.14019999999999</v>
      </c>
      <c r="J416">
        <v>-427.95780000000002</v>
      </c>
      <c r="K416">
        <v>1.054886</v>
      </c>
      <c r="L416">
        <v>367.93990000000002</v>
      </c>
      <c r="M416">
        <v>0.99955709999999998</v>
      </c>
      <c r="N416">
        <v>0</v>
      </c>
      <c r="O416">
        <v>2.654747E-2</v>
      </c>
      <c r="P416">
        <v>0.98968060000000002</v>
      </c>
      <c r="Q416">
        <v>-9.1264509999999903E-3</v>
      </c>
      <c r="R416">
        <v>0.14300009999999999</v>
      </c>
      <c r="S416">
        <v>3.061798</v>
      </c>
      <c r="T416">
        <v>-3.289425E-2</v>
      </c>
      <c r="U416">
        <v>-0.21194459999999901</v>
      </c>
      <c r="V416">
        <v>-0.1166729</v>
      </c>
      <c r="W416">
        <v>4.2541539999999996E-3</v>
      </c>
      <c r="X416">
        <v>0.99316130000000002</v>
      </c>
      <c r="Y416">
        <v>9.5512150000000004E-2</v>
      </c>
      <c r="Z416">
        <v>-7.9736499999999997E-4</v>
      </c>
      <c r="AA416">
        <v>0.99542799999999998</v>
      </c>
      <c r="AB416">
        <v>16</v>
      </c>
      <c r="AC416">
        <v>98.097499999999997</v>
      </c>
      <c r="AD416">
        <v>-1.054888288913</v>
      </c>
      <c r="AE416">
        <v>-6.7997000000000298</v>
      </c>
      <c r="AF416">
        <v>9.4006971071648504</v>
      </c>
      <c r="AG416">
        <v>-1.054888288913</v>
      </c>
      <c r="AH416">
        <v>97.871125086868005</v>
      </c>
      <c r="AI416">
        <v>90.614700626237195</v>
      </c>
      <c r="AJ416">
        <v>84.513469114042294</v>
      </c>
      <c r="AK416">
        <v>98.327224211670497</v>
      </c>
    </row>
    <row r="417" spans="1:37" x14ac:dyDescent="0.2">
      <c r="A417" t="str">
        <f>"20200111155508868"</f>
        <v>20200111155508868</v>
      </c>
      <c r="B417" t="str">
        <f>"1578729308862713"</f>
        <v>1578729308862713</v>
      </c>
      <c r="C417" t="s">
        <v>37</v>
      </c>
      <c r="D417">
        <v>4.9678370000000003</v>
      </c>
      <c r="E417">
        <v>0.58111979999999996</v>
      </c>
      <c r="F417" t="s">
        <v>38</v>
      </c>
      <c r="G417">
        <v>-333.61630000000002</v>
      </c>
      <c r="H417" s="1">
        <v>-4.3413009999999997E-6</v>
      </c>
      <c r="I417">
        <v>361.41250000000002</v>
      </c>
      <c r="J417">
        <v>-427.87310000000002</v>
      </c>
      <c r="K417">
        <v>1.0548389999999901</v>
      </c>
      <c r="L417">
        <v>367.94199999999898</v>
      </c>
      <c r="M417">
        <v>0.99956209999999901</v>
      </c>
      <c r="N417">
        <v>0</v>
      </c>
      <c r="O417">
        <v>2.645517E-2</v>
      </c>
      <c r="P417">
        <v>0.98970689999999995</v>
      </c>
      <c r="Q417">
        <v>-8.2898539999999993E-3</v>
      </c>
      <c r="R417">
        <v>0.1428712</v>
      </c>
      <c r="S417">
        <v>3.0615839999999999</v>
      </c>
      <c r="T417">
        <v>-3.4233449999999999E-2</v>
      </c>
      <c r="U417">
        <v>-0.2118225</v>
      </c>
      <c r="V417">
        <v>-0.116635199999999</v>
      </c>
      <c r="W417">
        <v>4.9112289999999996E-3</v>
      </c>
      <c r="X417">
        <v>0.99316269999999995</v>
      </c>
      <c r="Y417">
        <v>9.5384869999999997E-2</v>
      </c>
      <c r="Z417">
        <v>-8.281416E-4</v>
      </c>
      <c r="AA417">
        <v>0.99544009999999905</v>
      </c>
      <c r="AB417">
        <v>16</v>
      </c>
      <c r="AC417">
        <v>94.256799999999998</v>
      </c>
      <c r="AD417">
        <v>-1.0548433413009899</v>
      </c>
      <c r="AE417">
        <v>-6.5294999999999197</v>
      </c>
      <c r="AF417">
        <v>9.0198888006161102</v>
      </c>
      <c r="AG417">
        <v>-1.0548433413009899</v>
      </c>
      <c r="AH417">
        <v>94.039328738396094</v>
      </c>
      <c r="AI417">
        <v>90.639726630266793</v>
      </c>
      <c r="AJ417">
        <v>84.521170915088305</v>
      </c>
      <c r="AK417">
        <v>94.476803703439799</v>
      </c>
    </row>
    <row r="418" spans="1:37" x14ac:dyDescent="0.2">
      <c r="A418" t="str">
        <f>"20200111155508881"</f>
        <v>20200111155508881</v>
      </c>
      <c r="B418" t="str">
        <f>"1578729308872473"</f>
        <v>1578729308872473</v>
      </c>
      <c r="C418" t="s">
        <v>37</v>
      </c>
      <c r="D418">
        <v>4.9546099999999997</v>
      </c>
      <c r="E418">
        <v>0.58111979999999996</v>
      </c>
      <c r="F418" t="s">
        <v>38</v>
      </c>
      <c r="G418">
        <v>-327.51960000000003</v>
      </c>
      <c r="H418" s="1">
        <v>-3.1233859999999899E-6</v>
      </c>
      <c r="I418">
        <v>360.99770000000001</v>
      </c>
      <c r="J418">
        <v>-427.7851</v>
      </c>
      <c r="K418">
        <v>1.0547850000000001</v>
      </c>
      <c r="L418">
        <v>367.94420000000002</v>
      </c>
      <c r="M418">
        <v>0.9995676</v>
      </c>
      <c r="N418">
        <v>0</v>
      </c>
      <c r="O418">
        <v>2.6354820000000001E-2</v>
      </c>
      <c r="P418">
        <v>0.98975480000000005</v>
      </c>
      <c r="Q418">
        <v>-8.1263840000000004E-3</v>
      </c>
      <c r="R418">
        <v>0.1425467</v>
      </c>
      <c r="S418">
        <v>3.0615540000000001</v>
      </c>
      <c r="T418">
        <v>-3.2180790000000001E-2</v>
      </c>
      <c r="U418">
        <v>-0.21185300000000001</v>
      </c>
      <c r="V418">
        <v>-0.11640879999999899</v>
      </c>
      <c r="W418">
        <v>4.8673600000000003E-3</v>
      </c>
      <c r="X418">
        <v>0.99318949999999995</v>
      </c>
      <c r="Y418">
        <v>9.52963E-2</v>
      </c>
      <c r="Z418">
        <v>-7.7697659999999996E-4</v>
      </c>
      <c r="AA418">
        <v>0.99544859999999902</v>
      </c>
      <c r="AB418">
        <v>16</v>
      </c>
      <c r="AC418">
        <v>100.26549999999899</v>
      </c>
      <c r="AD418">
        <v>-1.0547881233859999</v>
      </c>
      <c r="AE418">
        <v>-6.9465000000000101</v>
      </c>
      <c r="AF418">
        <v>9.5857348453085507</v>
      </c>
      <c r="AG418">
        <v>-1.0547881233859999</v>
      </c>
      <c r="AH418">
        <v>100.03655957484401</v>
      </c>
      <c r="AI418">
        <v>90.6013515562381</v>
      </c>
      <c r="AJ418">
        <v>84.526497289533097</v>
      </c>
      <c r="AK418">
        <v>100.50030916410699</v>
      </c>
    </row>
    <row r="419" spans="1:37" x14ac:dyDescent="0.2">
      <c r="A419" t="str">
        <f>"20200111155508898"</f>
        <v>20200111155508898</v>
      </c>
      <c r="B419" t="str">
        <f>"1578729308892969"</f>
        <v>1578729308892969</v>
      </c>
      <c r="C419" t="s">
        <v>37</v>
      </c>
      <c r="D419">
        <v>5.3451740000000001</v>
      </c>
      <c r="E419">
        <v>0.55582830000000005</v>
      </c>
      <c r="F419" t="s">
        <v>38</v>
      </c>
      <c r="G419">
        <v>-325.01900000000001</v>
      </c>
      <c r="H419" s="1">
        <v>-4.0248230000000004E-6</v>
      </c>
      <c r="I419">
        <v>360.80799999999999</v>
      </c>
      <c r="J419">
        <v>-427.66039999999998</v>
      </c>
      <c r="K419">
        <v>1.054692</v>
      </c>
      <c r="L419">
        <v>367.94740000000002</v>
      </c>
      <c r="M419">
        <v>0.99957629999999997</v>
      </c>
      <c r="N419">
        <v>0</v>
      </c>
      <c r="O419">
        <v>2.619724E-2</v>
      </c>
      <c r="P419">
        <v>0.98979200000000001</v>
      </c>
      <c r="Q419">
        <v>-9.9948650000000003E-3</v>
      </c>
      <c r="R419">
        <v>0.1421693</v>
      </c>
      <c r="S419">
        <v>3.061401</v>
      </c>
      <c r="T419">
        <v>-3.1422140000000001E-2</v>
      </c>
      <c r="U419">
        <v>-0.21258539999999901</v>
      </c>
      <c r="V419">
        <v>-0.1161881</v>
      </c>
      <c r="W419">
        <v>2.6429309999999998E-3</v>
      </c>
      <c r="X419">
        <v>0.99322369999999904</v>
      </c>
      <c r="Y419">
        <v>9.5380019999999996E-2</v>
      </c>
      <c r="Z419">
        <v>-7.5750440000000002E-4</v>
      </c>
      <c r="AA419">
        <v>0.99544069999999996</v>
      </c>
      <c r="AB419">
        <v>16</v>
      </c>
      <c r="AC419">
        <v>102.641399999999</v>
      </c>
      <c r="AD419">
        <v>-1.054696024823</v>
      </c>
      <c r="AE419">
        <v>-7.1393999999999602</v>
      </c>
      <c r="AF419">
        <v>9.8250546889217194</v>
      </c>
      <c r="AG419">
        <v>-1.054696024823</v>
      </c>
      <c r="AH419">
        <v>102.408358593834</v>
      </c>
      <c r="AI419">
        <v>90.587367263483898</v>
      </c>
      <c r="AJ419">
        <v>84.519817721970497</v>
      </c>
      <c r="AK419">
        <v>102.883992891161</v>
      </c>
    </row>
    <row r="420" spans="1:37" x14ac:dyDescent="0.2">
      <c r="A420" t="str">
        <f>"20200111155508912"</f>
        <v>20200111155508912</v>
      </c>
      <c r="B420" t="str">
        <f>"1578729308902729"</f>
        <v>1578729308902729</v>
      </c>
      <c r="C420" t="s">
        <v>37</v>
      </c>
      <c r="D420">
        <v>5.1846509999999997</v>
      </c>
      <c r="E420">
        <v>0.55217269999999996</v>
      </c>
      <c r="F420" t="s">
        <v>39</v>
      </c>
      <c r="G420">
        <v>-401.40929999999997</v>
      </c>
      <c r="H420">
        <v>-0.05</v>
      </c>
      <c r="I420">
        <v>367.83920000000001</v>
      </c>
      <c r="J420">
        <v>-427.56509999999997</v>
      </c>
      <c r="K420">
        <v>1.0546229999999901</v>
      </c>
      <c r="L420">
        <v>367.94970000000001</v>
      </c>
      <c r="M420">
        <v>0.99958389999999997</v>
      </c>
      <c r="N420">
        <v>0</v>
      </c>
      <c r="O420">
        <v>2.6062979999999999E-2</v>
      </c>
      <c r="P420">
        <v>0.98973599999999995</v>
      </c>
      <c r="Q420">
        <v>-1.123117E-2</v>
      </c>
      <c r="R420">
        <v>0.14246719999999999</v>
      </c>
      <c r="S420">
        <v>3.0314329999999998</v>
      </c>
      <c r="T420">
        <v>-0.12756819999999999</v>
      </c>
      <c r="U420">
        <v>-1.248169E-2</v>
      </c>
      <c r="V420">
        <v>-0.1166214</v>
      </c>
      <c r="W420">
        <v>1.0903519999999999E-3</v>
      </c>
      <c r="X420">
        <v>0.9931759</v>
      </c>
      <c r="Y420">
        <v>3.013101E-2</v>
      </c>
      <c r="Z420">
        <v>-1.729995E-3</v>
      </c>
      <c r="AA420">
        <v>0.9995444</v>
      </c>
      <c r="AB420">
        <v>16</v>
      </c>
      <c r="AC420">
        <v>26.155799999999999</v>
      </c>
      <c r="AD420">
        <v>-1.1046229999999999</v>
      </c>
      <c r="AE420">
        <v>-0.110500000000001</v>
      </c>
      <c r="AF420">
        <v>0.79080218762186405</v>
      </c>
      <c r="AG420">
        <v>-1.1046229999999999</v>
      </c>
      <c r="AH420">
        <v>26.097487334247099</v>
      </c>
      <c r="AI420">
        <v>92.422589380617296</v>
      </c>
      <c r="AJ420">
        <v>88.264362885389204</v>
      </c>
      <c r="AK420">
        <v>26.1328223740426</v>
      </c>
    </row>
    <row r="421" spans="1:37" x14ac:dyDescent="0.2">
      <c r="A421" t="str">
        <f>"20200111155508925"</f>
        <v>20200111155508925</v>
      </c>
      <c r="B421" t="str">
        <f>"1578729308912490"</f>
        <v>1578729308912490</v>
      </c>
      <c r="C421" t="s">
        <v>37</v>
      </c>
      <c r="D421">
        <v>5.0652619999999997</v>
      </c>
      <c r="E421">
        <v>0.54932819999999905</v>
      </c>
      <c r="F421" t="s">
        <v>39</v>
      </c>
      <c r="G421">
        <v>-402.61630000000002</v>
      </c>
      <c r="H421">
        <v>-0.05</v>
      </c>
      <c r="I421">
        <v>368.09109999999998</v>
      </c>
      <c r="J421">
        <v>-427.47859999999997</v>
      </c>
      <c r="K421">
        <v>1.054557</v>
      </c>
      <c r="L421">
        <v>367.95179999999999</v>
      </c>
      <c r="M421">
        <v>0.9995908</v>
      </c>
      <c r="N421">
        <v>0</v>
      </c>
      <c r="O421">
        <v>2.5935739999999999E-2</v>
      </c>
      <c r="P421">
        <v>0.98968989999999901</v>
      </c>
      <c r="Q421">
        <v>-1.128855E-2</v>
      </c>
      <c r="R421">
        <v>0.14278079999999899</v>
      </c>
      <c r="S421">
        <v>3.0270999999999999</v>
      </c>
      <c r="T421">
        <v>-0.1340267</v>
      </c>
      <c r="U421">
        <v>1.715088E-2</v>
      </c>
      <c r="V421">
        <v>-0.11706229999999999</v>
      </c>
      <c r="W421">
        <v>7.3272399999999905E-4</v>
      </c>
      <c r="X421">
        <v>0.99312429999999996</v>
      </c>
      <c r="Y421">
        <v>2.0228220000000002E-2</v>
      </c>
      <c r="Z421">
        <v>-1.5953009999999999E-3</v>
      </c>
      <c r="AA421">
        <v>0.99979409999999902</v>
      </c>
      <c r="AB421">
        <v>16</v>
      </c>
      <c r="AC421">
        <v>24.862299999999902</v>
      </c>
      <c r="AD421">
        <v>-1.104557</v>
      </c>
      <c r="AE421">
        <v>0.13929999999999099</v>
      </c>
      <c r="AF421">
        <v>0.504619986833441</v>
      </c>
      <c r="AG421">
        <v>-1.104557</v>
      </c>
      <c r="AH421">
        <v>24.808583940833199</v>
      </c>
      <c r="AI421">
        <v>92.548780061179599</v>
      </c>
      <c r="AJ421">
        <v>88.8347336086116</v>
      </c>
      <c r="AK421">
        <v>24.838287474114001</v>
      </c>
    </row>
    <row r="422" spans="1:37" x14ac:dyDescent="0.2">
      <c r="A422" t="str">
        <f>"20200111155508937"</f>
        <v>20200111155508937</v>
      </c>
      <c r="B422" t="str">
        <f>"1578729308932985"</f>
        <v>1578729308932985</v>
      </c>
      <c r="C422" t="s">
        <v>37</v>
      </c>
      <c r="D422">
        <v>5.0037159999999998</v>
      </c>
      <c r="E422">
        <v>0.546025599999999</v>
      </c>
      <c r="F422" t="s">
        <v>39</v>
      </c>
      <c r="G422">
        <v>-403.49849999999998</v>
      </c>
      <c r="H422">
        <v>-0.05</v>
      </c>
      <c r="I422">
        <v>368.2747</v>
      </c>
      <c r="J422">
        <v>-427.38529999999997</v>
      </c>
      <c r="K422">
        <v>1.054492</v>
      </c>
      <c r="L422">
        <v>367.95409999999998</v>
      </c>
      <c r="M422">
        <v>0.999598599999999</v>
      </c>
      <c r="N422">
        <v>0</v>
      </c>
      <c r="O422">
        <v>2.5792889999999999E-2</v>
      </c>
      <c r="P422">
        <v>0.98970000000000002</v>
      </c>
      <c r="Q422">
        <v>-1.1122740000000001E-2</v>
      </c>
      <c r="R422">
        <v>0.142724499999999</v>
      </c>
      <c r="S422">
        <v>3.0238040000000002</v>
      </c>
      <c r="T422">
        <v>-0.13928099999999999</v>
      </c>
      <c r="U422">
        <v>4.0710450000000002E-2</v>
      </c>
      <c r="V422">
        <v>-0.117147499999999</v>
      </c>
      <c r="W422">
        <v>5.6249299999999996E-4</v>
      </c>
      <c r="X422">
        <v>0.99311439999999995</v>
      </c>
      <c r="Y422">
        <v>1.2294329999999999E-2</v>
      </c>
      <c r="Z422">
        <v>-1.4702929999999999E-3</v>
      </c>
      <c r="AA422">
        <v>0.99992329999999996</v>
      </c>
      <c r="AB422">
        <v>16</v>
      </c>
      <c r="AC422">
        <v>23.886799999999901</v>
      </c>
      <c r="AD422">
        <v>-1.104492</v>
      </c>
      <c r="AE422">
        <v>0.32060000000001299</v>
      </c>
      <c r="AF422">
        <v>0.29502794274969202</v>
      </c>
      <c r="AG422">
        <v>-1.104492</v>
      </c>
      <c r="AH422">
        <v>23.836169004103802</v>
      </c>
      <c r="AI422">
        <v>92.652802992373196</v>
      </c>
      <c r="AJ422">
        <v>89.290867889822394</v>
      </c>
      <c r="AK422">
        <v>23.863568401587901</v>
      </c>
    </row>
    <row r="423" spans="1:37" x14ac:dyDescent="0.2">
      <c r="A423" t="str">
        <f>"20200111155508955"</f>
        <v>20200111155508955</v>
      </c>
      <c r="B423" t="str">
        <f>"1578729308942745"</f>
        <v>1578729308942745</v>
      </c>
      <c r="C423" t="s">
        <v>37</v>
      </c>
      <c r="D423">
        <v>5.0756540000000001</v>
      </c>
      <c r="E423">
        <v>0.54485360000000005</v>
      </c>
      <c r="F423" t="s">
        <v>39</v>
      </c>
      <c r="G423">
        <v>-403.80020000000002</v>
      </c>
      <c r="H423">
        <v>-0.05</v>
      </c>
      <c r="I423">
        <v>368.47390000000001</v>
      </c>
      <c r="J423">
        <v>-427.2645</v>
      </c>
      <c r="K423">
        <v>1.054405</v>
      </c>
      <c r="L423">
        <v>367.95699999999999</v>
      </c>
      <c r="M423">
        <v>0.99960910000000003</v>
      </c>
      <c r="N423">
        <v>0</v>
      </c>
      <c r="O423">
        <v>2.5596629999999999E-2</v>
      </c>
      <c r="P423">
        <v>0.98974200000000001</v>
      </c>
      <c r="Q423">
        <v>-1.087435E-2</v>
      </c>
      <c r="R423">
        <v>0.1424512</v>
      </c>
      <c r="S423">
        <v>3.0200499999999999</v>
      </c>
      <c r="T423">
        <v>-0.14142969999999999</v>
      </c>
      <c r="U423">
        <v>6.6558839999999994E-2</v>
      </c>
      <c r="V423">
        <v>-0.117068899999999</v>
      </c>
      <c r="W423">
        <v>3.4887010000000002E-4</v>
      </c>
      <c r="X423">
        <v>0.99312369999999905</v>
      </c>
      <c r="Y423">
        <v>3.5337139999999999E-3</v>
      </c>
      <c r="Z423">
        <v>-1.2804750000000001E-3</v>
      </c>
      <c r="AA423">
        <v>0.99999289999999996</v>
      </c>
      <c r="AB423">
        <v>16</v>
      </c>
      <c r="AC423">
        <v>23.464299999999898</v>
      </c>
      <c r="AD423">
        <v>-1.1044050000000001</v>
      </c>
      <c r="AE423">
        <v>0.51690000000002101</v>
      </c>
      <c r="AF423">
        <v>8.3728968933912504E-2</v>
      </c>
      <c r="AG423">
        <v>-1.1044050000000001</v>
      </c>
      <c r="AH423">
        <v>23.417988965873299</v>
      </c>
      <c r="AI423">
        <v>92.700082063120902</v>
      </c>
      <c r="AJ423">
        <v>89.795144830422402</v>
      </c>
      <c r="AK423">
        <v>23.444166185855799</v>
      </c>
    </row>
    <row r="424" spans="1:37" x14ac:dyDescent="0.2">
      <c r="A424" t="str">
        <f>"20200111155508967"</f>
        <v>20200111155508967</v>
      </c>
      <c r="B424" t="str">
        <f>"1578729308963241"</f>
        <v>1578729308963241</v>
      </c>
      <c r="C424" t="s">
        <v>37</v>
      </c>
      <c r="D424">
        <v>5.0107850000000003</v>
      </c>
      <c r="E424">
        <v>0.54398329999999995</v>
      </c>
      <c r="F424" t="s">
        <v>39</v>
      </c>
      <c r="G424">
        <v>-403.9803</v>
      </c>
      <c r="H424">
        <v>-0.05</v>
      </c>
      <c r="I424">
        <v>368.53539999999998</v>
      </c>
      <c r="J424">
        <v>-427.17919999999998</v>
      </c>
      <c r="K424">
        <v>1.0543469999999999</v>
      </c>
      <c r="L424">
        <v>367.959</v>
      </c>
      <c r="M424">
        <v>0.99961639999999996</v>
      </c>
      <c r="N424">
        <v>0</v>
      </c>
      <c r="O424">
        <v>2.5453630000000001E-2</v>
      </c>
      <c r="P424">
        <v>0.98978279999999996</v>
      </c>
      <c r="Q424">
        <v>-1.104772E-2</v>
      </c>
      <c r="R424">
        <v>0.142154799999999</v>
      </c>
      <c r="S424">
        <v>3.0187379999999999</v>
      </c>
      <c r="T424">
        <v>-0.14318329999999899</v>
      </c>
      <c r="U424">
        <v>7.4981690000000004E-2</v>
      </c>
      <c r="V424">
        <v>-0.11691359999999899</v>
      </c>
      <c r="W424">
        <v>-1.6313219999999901E-4</v>
      </c>
      <c r="X424">
        <v>0.99314210000000003</v>
      </c>
      <c r="Y424">
        <v>5.949878E-4</v>
      </c>
      <c r="Z424">
        <v>-1.2204200000000001E-3</v>
      </c>
      <c r="AA424">
        <v>0.99999910000000003</v>
      </c>
      <c r="AB424">
        <v>16</v>
      </c>
      <c r="AC424">
        <v>23.198899999999899</v>
      </c>
      <c r="AD424">
        <v>-1.104347</v>
      </c>
      <c r="AE424">
        <v>0.57639999999997804</v>
      </c>
      <c r="AF424">
        <v>1.42858242598207E-2</v>
      </c>
      <c r="AG424">
        <v>-1.104347</v>
      </c>
      <c r="AH424">
        <v>23.1536193814669</v>
      </c>
      <c r="AI424">
        <v>92.730739083847794</v>
      </c>
      <c r="AJ424">
        <v>89.964648406817005</v>
      </c>
      <c r="AK424">
        <v>23.179945574634701</v>
      </c>
    </row>
    <row r="425" spans="1:37" x14ac:dyDescent="0.2">
      <c r="A425" t="str">
        <f>"20200111155508978"</f>
        <v>20200111155508978</v>
      </c>
      <c r="B425" t="str">
        <f>"1578729308973001"</f>
        <v>1578729308973001</v>
      </c>
      <c r="C425" t="s">
        <v>37</v>
      </c>
      <c r="D425">
        <v>5.0050720000000002</v>
      </c>
      <c r="E425">
        <v>0.54345100000000002</v>
      </c>
      <c r="F425" t="s">
        <v>39</v>
      </c>
      <c r="G425">
        <v>-404.38060000000002</v>
      </c>
      <c r="H425">
        <v>-0.05</v>
      </c>
      <c r="I425">
        <v>368.57139999999998</v>
      </c>
      <c r="J425">
        <v>-427.0908</v>
      </c>
      <c r="K425">
        <v>1.0542830000000001</v>
      </c>
      <c r="L425">
        <v>367.96120000000002</v>
      </c>
      <c r="M425">
        <v>0.99962410000000002</v>
      </c>
      <c r="N425">
        <v>0</v>
      </c>
      <c r="O425">
        <v>2.5302990000000001E-2</v>
      </c>
      <c r="P425">
        <v>0.98979629999999996</v>
      </c>
      <c r="Q425">
        <v>-1.110215E-2</v>
      </c>
      <c r="R425">
        <v>0.14205499999999999</v>
      </c>
      <c r="S425">
        <v>3.0177</v>
      </c>
      <c r="T425">
        <v>-0.14617459999999999</v>
      </c>
      <c r="U425">
        <v>8.1054689999999999E-2</v>
      </c>
      <c r="V425">
        <v>-0.11696330000000001</v>
      </c>
      <c r="W425">
        <v>-5.7495690000000004E-4</v>
      </c>
      <c r="X425">
        <v>0.99313600000000002</v>
      </c>
      <c r="Y425">
        <v>-1.5739879999999999E-3</v>
      </c>
      <c r="Z425">
        <v>-1.186489E-3</v>
      </c>
      <c r="AA425">
        <v>0.99999799999999905</v>
      </c>
      <c r="AB425">
        <v>16</v>
      </c>
      <c r="AC425">
        <v>22.710199999999901</v>
      </c>
      <c r="AD425">
        <v>-1.1042829999999999</v>
      </c>
      <c r="AE425">
        <v>0.61019999999996299</v>
      </c>
      <c r="AF425">
        <v>-3.5253338475569898E-2</v>
      </c>
      <c r="AG425">
        <v>-1.1042829999999999</v>
      </c>
      <c r="AH425">
        <v>22.6648189867431</v>
      </c>
      <c r="AI425">
        <v>92.789375230374503</v>
      </c>
      <c r="AJ425">
        <v>90.089118994538097</v>
      </c>
      <c r="AK425">
        <v>22.691732050325999</v>
      </c>
    </row>
    <row r="426" spans="1:37" x14ac:dyDescent="0.2">
      <c r="A426" t="str">
        <f>"20200111155508992"</f>
        <v>20200111155508992</v>
      </c>
      <c r="B426" t="str">
        <f>"1578729308982761"</f>
        <v>1578729308982761</v>
      </c>
      <c r="C426" t="s">
        <v>37</v>
      </c>
      <c r="D426">
        <v>5.0092850000000002</v>
      </c>
      <c r="E426">
        <v>0.54312139999999998</v>
      </c>
      <c r="F426" t="s">
        <v>39</v>
      </c>
      <c r="G426">
        <v>-404.44659999999999</v>
      </c>
      <c r="H426">
        <v>-0.05</v>
      </c>
      <c r="I426">
        <v>368.59969999999998</v>
      </c>
      <c r="J426">
        <v>-426.99259999999998</v>
      </c>
      <c r="K426">
        <v>1.054222</v>
      </c>
      <c r="L426">
        <v>367.96339999999998</v>
      </c>
      <c r="M426">
        <v>0.99963269999999904</v>
      </c>
      <c r="N426">
        <v>0</v>
      </c>
      <c r="O426">
        <v>2.5131299999999999E-2</v>
      </c>
      <c r="P426">
        <v>0.98979439999999996</v>
      </c>
      <c r="Q426">
        <v>-1.162233E-2</v>
      </c>
      <c r="R426">
        <v>0.1420284</v>
      </c>
      <c r="S426">
        <v>3.0170590000000002</v>
      </c>
      <c r="T426">
        <v>-0.14713219999999999</v>
      </c>
      <c r="U426">
        <v>8.5083010000000001E-2</v>
      </c>
      <c r="V426">
        <v>-0.11710810000000001</v>
      </c>
      <c r="W426">
        <v>-1.501849E-3</v>
      </c>
      <c r="X426">
        <v>0.99311799999999995</v>
      </c>
      <c r="Y426">
        <v>-3.084098E-3</v>
      </c>
      <c r="Z426">
        <v>-1.1493180000000001E-3</v>
      </c>
      <c r="AA426">
        <v>0.99999459999999996</v>
      </c>
      <c r="AB426">
        <v>16</v>
      </c>
      <c r="AC426">
        <v>22.5459999999999</v>
      </c>
      <c r="AD426">
        <v>-1.104222</v>
      </c>
      <c r="AE426">
        <v>0.63630000000000497</v>
      </c>
      <c r="AF426">
        <v>-6.9293489214623E-2</v>
      </c>
      <c r="AG426">
        <v>-1.104222</v>
      </c>
      <c r="AH426">
        <v>22.5009404012598</v>
      </c>
      <c r="AI426">
        <v>92.809493476602299</v>
      </c>
      <c r="AJ426">
        <v>90.176446488814804</v>
      </c>
      <c r="AK426">
        <v>22.528125238332098</v>
      </c>
    </row>
    <row r="427" spans="1:37" x14ac:dyDescent="0.2">
      <c r="A427" t="str">
        <f>"20200111155509005"</f>
        <v>20200111155509005</v>
      </c>
      <c r="B427" t="str">
        <f>"1578729308992521"</f>
        <v>1578729308992521</v>
      </c>
      <c r="C427" t="s">
        <v>37</v>
      </c>
      <c r="D427">
        <v>4.9787080000000001</v>
      </c>
      <c r="E427">
        <v>0.54285939999999999</v>
      </c>
      <c r="F427" t="s">
        <v>39</v>
      </c>
      <c r="G427">
        <v>-404.46980000000002</v>
      </c>
      <c r="H427">
        <v>-0.05</v>
      </c>
      <c r="I427">
        <v>368.6173</v>
      </c>
      <c r="J427">
        <v>-426.90069999999997</v>
      </c>
      <c r="K427">
        <v>1.054165</v>
      </c>
      <c r="L427">
        <v>367.96550000000002</v>
      </c>
      <c r="M427">
        <v>0.99964050000000004</v>
      </c>
      <c r="N427">
        <v>0</v>
      </c>
      <c r="O427">
        <v>2.4969870000000002E-2</v>
      </c>
      <c r="P427">
        <v>0.98977890000000002</v>
      </c>
      <c r="Q427">
        <v>-1.180231E-2</v>
      </c>
      <c r="R427">
        <v>0.14212049999999901</v>
      </c>
      <c r="S427">
        <v>3.016632</v>
      </c>
      <c r="T427">
        <v>-0.14789639999999901</v>
      </c>
      <c r="U427">
        <v>8.7585449999999995E-2</v>
      </c>
      <c r="V427">
        <v>-0.117360899999999</v>
      </c>
      <c r="W427">
        <v>-2.0588970000000001E-3</v>
      </c>
      <c r="X427">
        <v>0.99308719999999995</v>
      </c>
      <c r="Y427">
        <v>-4.0774319999999998E-3</v>
      </c>
      <c r="Z427">
        <v>-1.123186E-3</v>
      </c>
      <c r="AA427">
        <v>0.99999110000000002</v>
      </c>
      <c r="AB427">
        <v>16</v>
      </c>
      <c r="AC427">
        <v>22.430899999999902</v>
      </c>
      <c r="AD427">
        <v>-1.1041650000000001</v>
      </c>
      <c r="AE427">
        <v>0.65179999999997995</v>
      </c>
      <c r="AF427">
        <v>-9.1252454306542996E-2</v>
      </c>
      <c r="AG427">
        <v>-1.1041650000000001</v>
      </c>
      <c r="AH427">
        <v>22.3859834946395</v>
      </c>
      <c r="AI427">
        <v>92.823741957351103</v>
      </c>
      <c r="AJ427">
        <v>90.233554694819404</v>
      </c>
      <c r="AK427">
        <v>22.413383599535202</v>
      </c>
    </row>
    <row r="428" spans="1:37" x14ac:dyDescent="0.2">
      <c r="A428" t="str">
        <f>"20200111155509021"</f>
        <v>20200111155509021</v>
      </c>
      <c r="B428" t="str">
        <f>"1578729309013017"</f>
        <v>1578729309013017</v>
      </c>
      <c r="C428" t="s">
        <v>37</v>
      </c>
      <c r="D428">
        <v>4.956054</v>
      </c>
      <c r="E428">
        <v>0.54232159999999996</v>
      </c>
      <c r="F428" t="s">
        <v>39</v>
      </c>
      <c r="G428">
        <v>-404.48180000000002</v>
      </c>
      <c r="H428">
        <v>-0.05</v>
      </c>
      <c r="I428">
        <v>368.63459999999998</v>
      </c>
      <c r="J428">
        <v>-426.7792</v>
      </c>
      <c r="K428">
        <v>1.0540959999999999</v>
      </c>
      <c r="L428">
        <v>367.96839999999997</v>
      </c>
      <c r="M428">
        <v>0.9996507</v>
      </c>
      <c r="N428">
        <v>0</v>
      </c>
      <c r="O428">
        <v>2.4754459999999999E-2</v>
      </c>
      <c r="P428">
        <v>0.989784199999999</v>
      </c>
      <c r="Q428">
        <v>-1.1938509999999999E-2</v>
      </c>
      <c r="R428">
        <v>0.14207400000000001</v>
      </c>
      <c r="S428">
        <v>3.0162960000000001</v>
      </c>
      <c r="T428">
        <v>-0.14855750000000001</v>
      </c>
      <c r="U428">
        <v>9.002686E-2</v>
      </c>
      <c r="V428">
        <v>-0.1175293</v>
      </c>
      <c r="W428">
        <v>-2.6866049999999999E-3</v>
      </c>
      <c r="X428">
        <v>0.9930658</v>
      </c>
      <c r="Y428">
        <v>-5.1036750000000002E-3</v>
      </c>
      <c r="Z428">
        <v>-1.092457E-3</v>
      </c>
      <c r="AA428">
        <v>0.99998639999999905</v>
      </c>
      <c r="AB428">
        <v>16</v>
      </c>
      <c r="AC428">
        <v>22.2973999999999</v>
      </c>
      <c r="AD428">
        <v>-1.104096</v>
      </c>
      <c r="AE428">
        <v>0.66620000000000301</v>
      </c>
      <c r="AF428">
        <v>-0.113733469195246</v>
      </c>
      <c r="AG428">
        <v>-1.104096</v>
      </c>
      <c r="AH428">
        <v>22.2525460931586</v>
      </c>
      <c r="AI428">
        <v>92.840456174031999</v>
      </c>
      <c r="AJ428">
        <v>90.292837997305696</v>
      </c>
      <c r="AK428">
        <v>22.280210297647098</v>
      </c>
    </row>
    <row r="429" spans="1:37" x14ac:dyDescent="0.2">
      <c r="A429" t="str">
        <f>"20200111155509034"</f>
        <v>20200111155509034</v>
      </c>
      <c r="B429" t="str">
        <f>"1578729309022777"</f>
        <v>1578729309022777</v>
      </c>
      <c r="C429" t="s">
        <v>37</v>
      </c>
      <c r="D429">
        <v>4.9412070000000003</v>
      </c>
      <c r="E429">
        <v>0.54213630000000002</v>
      </c>
      <c r="F429" t="s">
        <v>39</v>
      </c>
      <c r="G429">
        <v>-404.47379999999998</v>
      </c>
      <c r="H429">
        <v>-0.05</v>
      </c>
      <c r="I429">
        <v>368.66269999999997</v>
      </c>
      <c r="J429">
        <v>-426.6857</v>
      </c>
      <c r="K429">
        <v>1.0540529999999999</v>
      </c>
      <c r="L429">
        <v>367.97050000000002</v>
      </c>
      <c r="M429">
        <v>0.99965820000000005</v>
      </c>
      <c r="N429">
        <v>0</v>
      </c>
      <c r="O429">
        <v>2.458925E-2</v>
      </c>
      <c r="P429">
        <v>0.98977329999999997</v>
      </c>
      <c r="Q429">
        <v>-1.1288609999999999E-2</v>
      </c>
      <c r="R429">
        <v>0.142202</v>
      </c>
      <c r="S429">
        <v>3.0156860000000001</v>
      </c>
      <c r="T429">
        <v>-0.14927370000000001</v>
      </c>
      <c r="U429">
        <v>9.3872070000000002E-2</v>
      </c>
      <c r="V429">
        <v>-0.1178211</v>
      </c>
      <c r="W429">
        <v>-2.402946E-3</v>
      </c>
      <c r="X429">
        <v>0.99303189999999997</v>
      </c>
      <c r="Y429">
        <v>-6.5471979999999997E-3</v>
      </c>
      <c r="Z429">
        <v>-1.054045E-3</v>
      </c>
      <c r="AA429">
        <v>0.99997800000000003</v>
      </c>
      <c r="AB429">
        <v>16</v>
      </c>
      <c r="AC429">
        <v>22.2119</v>
      </c>
      <c r="AD429">
        <v>-1.104053</v>
      </c>
      <c r="AE429">
        <v>0.69219999999995696</v>
      </c>
      <c r="AF429">
        <v>-0.14543622113327201</v>
      </c>
      <c r="AG429">
        <v>-1.104053</v>
      </c>
      <c r="AH429">
        <v>22.167490181259801</v>
      </c>
      <c r="AI429">
        <v>92.851202010259399</v>
      </c>
      <c r="AJ429">
        <v>90.375900114725297</v>
      </c>
      <c r="AK429">
        <v>22.195443353478499</v>
      </c>
    </row>
    <row r="430" spans="1:37" x14ac:dyDescent="0.2">
      <c r="A430" t="str">
        <f>"20200111155509048"</f>
        <v>20200111155509048</v>
      </c>
      <c r="B430" t="str">
        <f>"1578729309043273"</f>
        <v>1578729309043273</v>
      </c>
      <c r="C430" t="s">
        <v>37</v>
      </c>
      <c r="D430">
        <v>4.9470589999999897</v>
      </c>
      <c r="E430">
        <v>0.5417286</v>
      </c>
      <c r="F430" t="s">
        <v>39</v>
      </c>
      <c r="G430">
        <v>-404.19290000000001</v>
      </c>
      <c r="H430">
        <v>-0.05</v>
      </c>
      <c r="I430">
        <v>368.6857</v>
      </c>
      <c r="J430">
        <v>-426.58730000000003</v>
      </c>
      <c r="K430">
        <v>1.0540179999999999</v>
      </c>
      <c r="L430">
        <v>367.97269999999997</v>
      </c>
      <c r="M430">
        <v>0.99966559999999904</v>
      </c>
      <c r="N430">
        <v>0</v>
      </c>
      <c r="O430">
        <v>2.4416179999999999E-2</v>
      </c>
      <c r="P430">
        <v>0.98975679999999999</v>
      </c>
      <c r="Q430">
        <v>-1.073524E-2</v>
      </c>
      <c r="R430">
        <v>0.1423596</v>
      </c>
      <c r="S430">
        <v>3.015533</v>
      </c>
      <c r="T430">
        <v>-0.1480166</v>
      </c>
      <c r="U430">
        <v>9.5886230000000003E-2</v>
      </c>
      <c r="V430">
        <v>-0.1181511</v>
      </c>
      <c r="W430">
        <v>-2.2193410000000001E-3</v>
      </c>
      <c r="X430">
        <v>0.99299309999999996</v>
      </c>
      <c r="Y430">
        <v>-7.3876430000000002E-3</v>
      </c>
      <c r="Z430">
        <v>-1.0161199999999999E-3</v>
      </c>
      <c r="AA430">
        <v>0.99997219999999998</v>
      </c>
      <c r="AB430">
        <v>16</v>
      </c>
      <c r="AC430">
        <v>22.394400000000001</v>
      </c>
      <c r="AD430">
        <v>-1.1040179999999999</v>
      </c>
      <c r="AE430">
        <v>0.71300000000002195</v>
      </c>
      <c r="AF430">
        <v>-0.16557987771385199</v>
      </c>
      <c r="AG430">
        <v>-1.1040179999999999</v>
      </c>
      <c r="AH430">
        <v>22.350866680208402</v>
      </c>
      <c r="AI430">
        <v>92.827741391381196</v>
      </c>
      <c r="AJ430">
        <v>90.424451308867404</v>
      </c>
      <c r="AK430">
        <v>22.378729047840899</v>
      </c>
    </row>
    <row r="431" spans="1:37" x14ac:dyDescent="0.2">
      <c r="A431" t="str">
        <f>"20200111155509059"</f>
        <v>20200111155509059</v>
      </c>
      <c r="B431" t="str">
        <f>"1578729309053033"</f>
        <v>1578729309053033</v>
      </c>
      <c r="C431" t="s">
        <v>37</v>
      </c>
      <c r="D431">
        <v>4.9366699999999897</v>
      </c>
      <c r="E431">
        <v>0.54151859999999996</v>
      </c>
      <c r="F431" t="s">
        <v>39</v>
      </c>
      <c r="G431">
        <v>-403.85610000000003</v>
      </c>
      <c r="H431">
        <v>-0.05</v>
      </c>
      <c r="I431">
        <v>368.72480000000002</v>
      </c>
      <c r="J431">
        <v>-426.49579999999997</v>
      </c>
      <c r="K431">
        <v>1.0539860000000001</v>
      </c>
      <c r="L431">
        <v>367.97469999999998</v>
      </c>
      <c r="M431">
        <v>0.99967229999999996</v>
      </c>
      <c r="N431">
        <v>0</v>
      </c>
      <c r="O431">
        <v>2.4255519999999999E-2</v>
      </c>
      <c r="P431">
        <v>0.9897338</v>
      </c>
      <c r="Q431">
        <v>-9.6233840000000005E-3</v>
      </c>
      <c r="R431">
        <v>0.1425999</v>
      </c>
      <c r="S431">
        <v>3.0151059999999998</v>
      </c>
      <c r="T431">
        <v>-0.1464387</v>
      </c>
      <c r="U431">
        <v>9.9761959999999997E-2</v>
      </c>
      <c r="V431">
        <v>-0.118551399999999</v>
      </c>
      <c r="W431">
        <v>-1.4422739999999999E-3</v>
      </c>
      <c r="X431">
        <v>0.99294689999999997</v>
      </c>
      <c r="Y431">
        <v>-8.8346380000000006E-3</v>
      </c>
      <c r="Z431">
        <v>-9.6251300000000002E-4</v>
      </c>
      <c r="AA431">
        <v>0.99996049999999903</v>
      </c>
      <c r="AB431">
        <v>17</v>
      </c>
      <c r="AC431">
        <v>22.639699999999898</v>
      </c>
      <c r="AD431">
        <v>-1.1039859999999999</v>
      </c>
      <c r="AE431">
        <v>0.75010000000003096</v>
      </c>
      <c r="AF431">
        <v>-0.20024757859700401</v>
      </c>
      <c r="AG431">
        <v>-1.1039859999999999</v>
      </c>
      <c r="AH431">
        <v>22.5975585886031</v>
      </c>
      <c r="AI431">
        <v>92.796806981783504</v>
      </c>
      <c r="AJ431">
        <v>90.507711519513094</v>
      </c>
      <c r="AK431">
        <v>22.625395871592598</v>
      </c>
    </row>
    <row r="432" spans="1:37" x14ac:dyDescent="0.2">
      <c r="A432" t="str">
        <f>"20200111155509077"</f>
        <v>20200111155509077</v>
      </c>
      <c r="B432" t="str">
        <f>"1578729309072554"</f>
        <v>1578729309072554</v>
      </c>
      <c r="C432" t="s">
        <v>37</v>
      </c>
      <c r="D432">
        <v>5.2599080000000002</v>
      </c>
      <c r="E432">
        <v>0.54098250000000003</v>
      </c>
      <c r="F432" t="s">
        <v>39</v>
      </c>
      <c r="G432">
        <v>-403.22710000000001</v>
      </c>
      <c r="H432">
        <v>-0.05</v>
      </c>
      <c r="I432">
        <v>368.76339999999999</v>
      </c>
      <c r="J432">
        <v>-426.36540000000002</v>
      </c>
      <c r="K432">
        <v>1.0539419999999999</v>
      </c>
      <c r="L432">
        <v>367.97770000000003</v>
      </c>
      <c r="M432">
        <v>0.9996815</v>
      </c>
      <c r="N432">
        <v>0</v>
      </c>
      <c r="O432">
        <v>2.4027630000000001E-2</v>
      </c>
      <c r="P432">
        <v>0.98955949999999904</v>
      </c>
      <c r="Q432">
        <v>-8.6847230000000001E-3</v>
      </c>
      <c r="R432">
        <v>0.1438642</v>
      </c>
      <c r="S432">
        <v>3.015015</v>
      </c>
      <c r="T432">
        <v>-0.1430476</v>
      </c>
      <c r="U432">
        <v>0.1022034</v>
      </c>
      <c r="V432">
        <v>-0.1200456</v>
      </c>
      <c r="W432">
        <v>-9.5134289999999997E-4</v>
      </c>
      <c r="X432">
        <v>0.99276790000000004</v>
      </c>
      <c r="Y432">
        <v>-9.8702400000000006E-3</v>
      </c>
      <c r="Z432">
        <v>-9.0491309999999995E-4</v>
      </c>
      <c r="AA432">
        <v>0.99995089999999998</v>
      </c>
      <c r="AB432">
        <v>17</v>
      </c>
      <c r="AC432">
        <v>23.138300000000001</v>
      </c>
      <c r="AD432">
        <v>-1.103942</v>
      </c>
      <c r="AE432">
        <v>0.78569999999996298</v>
      </c>
      <c r="AF432">
        <v>-0.228977457976062</v>
      </c>
      <c r="AG432">
        <v>-1.103942</v>
      </c>
      <c r="AH432">
        <v>23.097981132799699</v>
      </c>
      <c r="AI432">
        <v>92.736170823083199</v>
      </c>
      <c r="AJ432">
        <v>90.567972245284096</v>
      </c>
      <c r="AK432">
        <v>23.1254805577483</v>
      </c>
    </row>
    <row r="433" spans="1:37" x14ac:dyDescent="0.2">
      <c r="A433" t="str">
        <f>"20200111155509088"</f>
        <v>20200111155509088</v>
      </c>
      <c r="B433" t="str">
        <f>"1578729309083289"</f>
        <v>1578729309083289</v>
      </c>
      <c r="C433" t="s">
        <v>37</v>
      </c>
      <c r="D433">
        <v>4.9389329999999996</v>
      </c>
      <c r="E433">
        <v>0.54080629999999996</v>
      </c>
      <c r="F433" t="s">
        <v>39</v>
      </c>
      <c r="G433">
        <v>-402.72320000000002</v>
      </c>
      <c r="H433">
        <v>-0.05</v>
      </c>
      <c r="I433">
        <v>368.84480000000002</v>
      </c>
      <c r="J433">
        <v>-426.27760000000001</v>
      </c>
      <c r="K433">
        <v>1.0539179999999999</v>
      </c>
      <c r="L433">
        <v>367.9796</v>
      </c>
      <c r="M433">
        <v>0.999687199999999</v>
      </c>
      <c r="N433">
        <v>0</v>
      </c>
      <c r="O433">
        <v>2.3876729999999999E-2</v>
      </c>
      <c r="P433">
        <v>0.98952150000000005</v>
      </c>
      <c r="Q433">
        <v>-8.9255310000000004E-3</v>
      </c>
      <c r="R433">
        <v>0.14411019999999999</v>
      </c>
      <c r="S433">
        <v>3.0143430000000002</v>
      </c>
      <c r="T433">
        <v>-0.1407514</v>
      </c>
      <c r="U433">
        <v>0.1105652</v>
      </c>
      <c r="V433">
        <v>-0.1204422</v>
      </c>
      <c r="W433">
        <v>-1.469955E-3</v>
      </c>
      <c r="X433">
        <v>0.99271919999999902</v>
      </c>
      <c r="Y433">
        <v>-1.27952999999999E-2</v>
      </c>
      <c r="Z433">
        <v>-8.1527759999999998E-4</v>
      </c>
      <c r="AA433">
        <v>0.99991779999999997</v>
      </c>
      <c r="AB433">
        <v>17</v>
      </c>
      <c r="AC433">
        <v>23.554399999999902</v>
      </c>
      <c r="AD433">
        <v>-1.103918</v>
      </c>
      <c r="AE433">
        <v>0.86520000000001496</v>
      </c>
      <c r="AF433">
        <v>-0.30187352804578199</v>
      </c>
      <c r="AG433">
        <v>-1.103918</v>
      </c>
      <c r="AH433">
        <v>23.5167584676465</v>
      </c>
      <c r="AI433">
        <v>92.687370675840398</v>
      </c>
      <c r="AJ433">
        <v>90.735438484259802</v>
      </c>
      <c r="AK433">
        <v>23.5445894294906</v>
      </c>
    </row>
    <row r="434" spans="1:37" x14ac:dyDescent="0.2">
      <c r="A434" t="str">
        <f>"20200111155509102"</f>
        <v>20200111155509102</v>
      </c>
      <c r="B434" t="str">
        <f>"1578729309092650"</f>
        <v>1578729309092650</v>
      </c>
      <c r="C434" t="s">
        <v>37</v>
      </c>
      <c r="D434">
        <v>4.9108289999999997</v>
      </c>
      <c r="E434">
        <v>0.54072929999999997</v>
      </c>
      <c r="F434" t="s">
        <v>39</v>
      </c>
      <c r="G434">
        <v>-402.8134</v>
      </c>
      <c r="H434">
        <v>-0.05</v>
      </c>
      <c r="I434">
        <v>368.8562</v>
      </c>
      <c r="J434">
        <v>-426.17840000000001</v>
      </c>
      <c r="K434">
        <v>1.053893</v>
      </c>
      <c r="L434">
        <v>367.98180000000002</v>
      </c>
      <c r="M434">
        <v>0.99969330000000001</v>
      </c>
      <c r="N434">
        <v>0</v>
      </c>
      <c r="O434">
        <v>2.370688E-2</v>
      </c>
      <c r="P434">
        <v>0.98950479999999996</v>
      </c>
      <c r="Q434">
        <v>-9.3856979999999996E-3</v>
      </c>
      <c r="R434">
        <v>0.14419570000000001</v>
      </c>
      <c r="S434">
        <v>3.0140380000000002</v>
      </c>
      <c r="T434">
        <v>-0.14180139999999999</v>
      </c>
      <c r="U434">
        <v>0.1126099</v>
      </c>
      <c r="V434">
        <v>-0.12069769999999901</v>
      </c>
      <c r="W434">
        <v>-2.233213E-3</v>
      </c>
      <c r="X434">
        <v>0.99268679999999998</v>
      </c>
      <c r="Y434">
        <v>-1.36454E-2</v>
      </c>
      <c r="Z434">
        <v>-7.9346099999999997E-4</v>
      </c>
      <c r="AA434">
        <v>0.99990659999999898</v>
      </c>
      <c r="AB434">
        <v>17</v>
      </c>
      <c r="AC434">
        <v>23.364999999999998</v>
      </c>
      <c r="AD434">
        <v>-1.103893</v>
      </c>
      <c r="AE434">
        <v>0.87439999999997997</v>
      </c>
      <c r="AF434">
        <v>-0.31951657282319201</v>
      </c>
      <c r="AG434">
        <v>-1.103893</v>
      </c>
      <c r="AH434">
        <v>23.327166021298599</v>
      </c>
      <c r="AI434">
        <v>92.709087830987997</v>
      </c>
      <c r="AJ434">
        <v>90.784741976186993</v>
      </c>
      <c r="AK434">
        <v>23.355456432726498</v>
      </c>
    </row>
    <row r="435" spans="1:37" x14ac:dyDescent="0.2">
      <c r="A435" t="str">
        <f>"20200111155509115"</f>
        <v>20200111155509115</v>
      </c>
      <c r="B435" t="str">
        <f>"1578729309103387"</f>
        <v>1578729309103387</v>
      </c>
      <c r="C435" t="s">
        <v>37</v>
      </c>
      <c r="D435">
        <v>4.9128369999999997</v>
      </c>
      <c r="E435">
        <v>0.54065109999999905</v>
      </c>
      <c r="F435" t="s">
        <v>39</v>
      </c>
      <c r="G435">
        <v>-402.90410000000003</v>
      </c>
      <c r="H435">
        <v>-0.05</v>
      </c>
      <c r="I435">
        <v>368.85579999999999</v>
      </c>
      <c r="J435">
        <v>-426.08019999999999</v>
      </c>
      <c r="K435">
        <v>1.0538730000000001</v>
      </c>
      <c r="L435">
        <v>367.98390000000001</v>
      </c>
      <c r="M435">
        <v>0.99969929999999996</v>
      </c>
      <c r="N435">
        <v>0</v>
      </c>
      <c r="O435">
        <v>2.3540040000000002E-2</v>
      </c>
      <c r="P435">
        <v>0.98957289999999998</v>
      </c>
      <c r="Q435">
        <v>-9.234885E-3</v>
      </c>
      <c r="R435">
        <v>0.1437368</v>
      </c>
      <c r="S435">
        <v>3.0139469999999999</v>
      </c>
      <c r="T435">
        <v>-0.14295050000000001</v>
      </c>
      <c r="U435">
        <v>0.113189699999999</v>
      </c>
      <c r="V435">
        <v>-0.1204027</v>
      </c>
      <c r="W435">
        <v>-2.360432E-3</v>
      </c>
      <c r="X435">
        <v>0.99272229999999995</v>
      </c>
      <c r="Y435">
        <v>-1.4005139999999999E-2</v>
      </c>
      <c r="Z435">
        <v>-7.8347629999999996E-4</v>
      </c>
      <c r="AA435">
        <v>0.99990159999999995</v>
      </c>
      <c r="AB435">
        <v>17</v>
      </c>
      <c r="AC435">
        <v>23.176099999999899</v>
      </c>
      <c r="AD435">
        <v>-1.1038730000000001</v>
      </c>
      <c r="AE435">
        <v>0.87189999999998202</v>
      </c>
      <c r="AF435">
        <v>-0.32534216289293799</v>
      </c>
      <c r="AG435">
        <v>-1.1038730000000001</v>
      </c>
      <c r="AH435">
        <v>23.137786379301399</v>
      </c>
      <c r="AI435">
        <v>92.731164729478195</v>
      </c>
      <c r="AJ435">
        <v>90.805587196685494</v>
      </c>
      <c r="AK435">
        <v>23.166388187571801</v>
      </c>
    </row>
    <row r="436" spans="1:37" x14ac:dyDescent="0.2">
      <c r="A436" t="str">
        <f>"20200111155509133"</f>
        <v>20200111155509133</v>
      </c>
      <c r="B436" t="str">
        <f>"1578729309122906"</f>
        <v>1578729309122906</v>
      </c>
      <c r="C436" t="s">
        <v>37</v>
      </c>
      <c r="D436">
        <v>4.9320839999999997</v>
      </c>
      <c r="E436">
        <v>0.54055200000000003</v>
      </c>
      <c r="F436" t="s">
        <v>39</v>
      </c>
      <c r="G436">
        <v>-402.77519999999998</v>
      </c>
      <c r="H436">
        <v>-0.05</v>
      </c>
      <c r="I436">
        <v>368.85489999999999</v>
      </c>
      <c r="J436">
        <v>-425.94240000000002</v>
      </c>
      <c r="K436">
        <v>1.053852</v>
      </c>
      <c r="L436">
        <v>367.98689999999999</v>
      </c>
      <c r="M436">
        <v>0.99970720000000002</v>
      </c>
      <c r="N436">
        <v>0</v>
      </c>
      <c r="O436">
        <v>2.330805E-2</v>
      </c>
      <c r="P436">
        <v>0.9897338</v>
      </c>
      <c r="Q436">
        <v>-8.3126090000000003E-3</v>
      </c>
      <c r="R436">
        <v>0.14268159999999999</v>
      </c>
      <c r="S436">
        <v>3.013916</v>
      </c>
      <c r="T436">
        <v>-0.14275850000000001</v>
      </c>
      <c r="U436">
        <v>0.1126404</v>
      </c>
      <c r="V436">
        <v>-0.1195739</v>
      </c>
      <c r="W436">
        <v>-1.793626E-3</v>
      </c>
      <c r="X436">
        <v>0.99282369999999898</v>
      </c>
      <c r="Y436">
        <v>-1.405528E-2</v>
      </c>
      <c r="Z436">
        <v>-7.7027330000000002E-4</v>
      </c>
      <c r="AA436">
        <v>0.99990089999999998</v>
      </c>
      <c r="AB436">
        <v>17</v>
      </c>
      <c r="AC436">
        <v>23.167200000000001</v>
      </c>
      <c r="AD436">
        <v>-1.1038520000000001</v>
      </c>
      <c r="AE436">
        <v>0.867999999999994</v>
      </c>
      <c r="AF436">
        <v>-0.32702911903197801</v>
      </c>
      <c r="AG436">
        <v>-1.1038520000000001</v>
      </c>
      <c r="AH436">
        <v>23.1287032829316</v>
      </c>
      <c r="AI436">
        <v>92.732180770021401</v>
      </c>
      <c r="AJ436">
        <v>90.810081720495504</v>
      </c>
      <c r="AK436">
        <v>23.1573390706378</v>
      </c>
    </row>
    <row r="437" spans="1:37" x14ac:dyDescent="0.2">
      <c r="A437" t="str">
        <f>"20200111155509146"</f>
        <v>20200111155509146</v>
      </c>
      <c r="B437" t="str">
        <f>"1578729309143401"</f>
        <v>1578729309143401</v>
      </c>
      <c r="C437" t="s">
        <v>37</v>
      </c>
      <c r="D437">
        <v>4.9297979999999999</v>
      </c>
      <c r="E437">
        <v>0.54050830000000005</v>
      </c>
      <c r="F437" t="s">
        <v>39</v>
      </c>
      <c r="G437">
        <v>-402.041</v>
      </c>
      <c r="H437">
        <v>-0.05</v>
      </c>
      <c r="I437">
        <v>368.86149999999998</v>
      </c>
      <c r="J437">
        <v>-425.84289999999999</v>
      </c>
      <c r="K437">
        <v>1.0538430000000001</v>
      </c>
      <c r="L437">
        <v>367.98899999999998</v>
      </c>
      <c r="M437">
        <v>0.9997125</v>
      </c>
      <c r="N437">
        <v>0</v>
      </c>
      <c r="O437">
        <v>2.3141800000000001E-2</v>
      </c>
      <c r="P437">
        <v>0.9898382</v>
      </c>
      <c r="Q437">
        <v>-7.288363E-3</v>
      </c>
      <c r="R437">
        <v>0.14201269999999999</v>
      </c>
      <c r="S437">
        <v>3.0140380000000002</v>
      </c>
      <c r="T437">
        <v>-0.13919899999999999</v>
      </c>
      <c r="U437">
        <v>0.1102905</v>
      </c>
      <c r="V437">
        <v>-0.11906799999999999</v>
      </c>
      <c r="W437">
        <v>-1.0015309999999999E-3</v>
      </c>
      <c r="X437">
        <v>0.99288559999999904</v>
      </c>
      <c r="Y437">
        <v>-1.344156E-2</v>
      </c>
      <c r="Z437">
        <v>-7.5756049999999996E-4</v>
      </c>
      <c r="AA437">
        <v>0.99990939999999995</v>
      </c>
      <c r="AB437">
        <v>17</v>
      </c>
      <c r="AC437">
        <v>23.8018999999999</v>
      </c>
      <c r="AD437">
        <v>-1.1038429999999999</v>
      </c>
      <c r="AE437">
        <v>0.87249999999994499</v>
      </c>
      <c r="AF437">
        <v>-0.320747750307466</v>
      </c>
      <c r="AG437">
        <v>-1.1038429999999999</v>
      </c>
      <c r="AH437">
        <v>23.764673591775001</v>
      </c>
      <c r="AI437">
        <v>92.659172752060698</v>
      </c>
      <c r="AJ437">
        <v>90.773264422234405</v>
      </c>
      <c r="AK437">
        <v>23.792458036352201</v>
      </c>
    </row>
    <row r="438" spans="1:37" x14ac:dyDescent="0.2">
      <c r="A438" t="str">
        <f>"20200111155509166"</f>
        <v>20200111155509166</v>
      </c>
      <c r="B438" t="str">
        <f>"1578729309162922"</f>
        <v>1578729309162922</v>
      </c>
      <c r="C438" t="s">
        <v>37</v>
      </c>
      <c r="D438">
        <v>4.9251040000000001</v>
      </c>
      <c r="E438">
        <v>0.54042690000000004</v>
      </c>
      <c r="F438" t="s">
        <v>39</v>
      </c>
      <c r="G438">
        <v>-401.26580000000001</v>
      </c>
      <c r="H438">
        <v>-0.05</v>
      </c>
      <c r="I438">
        <v>368.87479999999999</v>
      </c>
      <c r="J438">
        <v>-425.68060000000003</v>
      </c>
      <c r="K438">
        <v>1.0538319999999901</v>
      </c>
      <c r="L438">
        <v>367.99250000000001</v>
      </c>
      <c r="M438">
        <v>0.99972079999999997</v>
      </c>
      <c r="N438">
        <v>0</v>
      </c>
      <c r="O438">
        <v>2.2871599999999999E-2</v>
      </c>
      <c r="P438">
        <v>0.99000239999999995</v>
      </c>
      <c r="Q438">
        <v>-5.7173049999999998E-3</v>
      </c>
      <c r="R438">
        <v>0.1409348</v>
      </c>
      <c r="S438">
        <v>3.0141909999999998</v>
      </c>
      <c r="T438">
        <v>-0.13537759999999999</v>
      </c>
      <c r="U438">
        <v>0.10864260000000001</v>
      </c>
      <c r="V438">
        <v>-0.1182546</v>
      </c>
      <c r="W438">
        <v>2.33952099999999E-4</v>
      </c>
      <c r="X438">
        <v>0.99298330000000001</v>
      </c>
      <c r="Y438">
        <v>-1.31635E-2</v>
      </c>
      <c r="Z438">
        <v>-7.3087259999999904E-4</v>
      </c>
      <c r="AA438">
        <v>0.999913099999999</v>
      </c>
      <c r="AB438">
        <v>17</v>
      </c>
      <c r="AC438">
        <v>24.4148</v>
      </c>
      <c r="AD438">
        <v>-1.1038319999999999</v>
      </c>
      <c r="AE438">
        <v>0.88229999999998598</v>
      </c>
      <c r="AF438">
        <v>-0.32299445242490799</v>
      </c>
      <c r="AG438">
        <v>-1.1038319999999999</v>
      </c>
      <c r="AH438">
        <v>24.378825619136698</v>
      </c>
      <c r="AI438">
        <v>92.592258142027603</v>
      </c>
      <c r="AJ438">
        <v>90.759065941132903</v>
      </c>
      <c r="AK438">
        <v>24.405940036573</v>
      </c>
    </row>
    <row r="439" spans="1:37" x14ac:dyDescent="0.2">
      <c r="A439" t="str">
        <f>"20200111155509178"</f>
        <v>20200111155509178</v>
      </c>
      <c r="B439" t="str">
        <f>"1578729309172682"</f>
        <v>1578729309172682</v>
      </c>
      <c r="C439" t="s">
        <v>37</v>
      </c>
      <c r="D439">
        <v>4.9498439999999997</v>
      </c>
      <c r="E439">
        <v>0.54039510000000002</v>
      </c>
      <c r="F439" t="s">
        <v>39</v>
      </c>
      <c r="G439">
        <v>-400.16480000000001</v>
      </c>
      <c r="H439">
        <v>-0.05</v>
      </c>
      <c r="I439">
        <v>368.88909999999998</v>
      </c>
      <c r="J439">
        <v>-425.58839999999998</v>
      </c>
      <c r="K439">
        <v>1.0538259999999999</v>
      </c>
      <c r="L439">
        <v>367.99439999999998</v>
      </c>
      <c r="M439">
        <v>0.99972519999999998</v>
      </c>
      <c r="N439">
        <v>0</v>
      </c>
      <c r="O439">
        <v>2.2718849999999999E-2</v>
      </c>
      <c r="P439">
        <v>0.99006000000000005</v>
      </c>
      <c r="Q439">
        <v>-4.8457639999999998E-3</v>
      </c>
      <c r="R439">
        <v>0.14056299999999999</v>
      </c>
      <c r="S439">
        <v>3.01443499999999</v>
      </c>
      <c r="T439">
        <v>-0.130407</v>
      </c>
      <c r="U439">
        <v>0.10592650000000001</v>
      </c>
      <c r="V439">
        <v>-0.118033</v>
      </c>
      <c r="W439">
        <v>9.3299520000000001E-4</v>
      </c>
      <c r="X439">
        <v>0.99300919999999904</v>
      </c>
      <c r="Y439">
        <v>-1.241343E-2</v>
      </c>
      <c r="Z439">
        <v>-7.1363030000000003E-4</v>
      </c>
      <c r="AA439">
        <v>0.99992269999999905</v>
      </c>
      <c r="AB439">
        <v>17</v>
      </c>
      <c r="AC439">
        <v>25.423599999999901</v>
      </c>
      <c r="AD439">
        <v>-1.103826</v>
      </c>
      <c r="AE439">
        <v>0.89470000000000005</v>
      </c>
      <c r="AF439">
        <v>-0.31626901849366801</v>
      </c>
      <c r="AG439">
        <v>-1.103826</v>
      </c>
      <c r="AH439">
        <v>25.389562816354701</v>
      </c>
      <c r="AI439">
        <v>92.489206805734</v>
      </c>
      <c r="AJ439">
        <v>90.713676832760498</v>
      </c>
      <c r="AK439">
        <v>25.4155141190564</v>
      </c>
    </row>
    <row r="440" spans="1:37" x14ac:dyDescent="0.2">
      <c r="A440" t="str">
        <f>"20200111155509190"</f>
        <v>20200111155509190</v>
      </c>
      <c r="B440" t="str">
        <f>"1578729309183418"</f>
        <v>1578729309183418</v>
      </c>
      <c r="C440" t="s">
        <v>37</v>
      </c>
      <c r="D440">
        <v>5.0333589999999999</v>
      </c>
      <c r="E440">
        <v>0.54020769999999996</v>
      </c>
      <c r="F440" t="s">
        <v>39</v>
      </c>
      <c r="G440">
        <v>-399.4572</v>
      </c>
      <c r="H440">
        <v>-0.05</v>
      </c>
      <c r="I440">
        <v>368.90679999999998</v>
      </c>
      <c r="J440">
        <v>-425.49630000000002</v>
      </c>
      <c r="K440">
        <v>1.053823</v>
      </c>
      <c r="L440">
        <v>367.99630000000002</v>
      </c>
      <c r="M440">
        <v>0.9997296</v>
      </c>
      <c r="N440">
        <v>0</v>
      </c>
      <c r="O440">
        <v>2.2566289999999999E-2</v>
      </c>
      <c r="P440">
        <v>0.99010669999999901</v>
      </c>
      <c r="Q440">
        <v>-4.2175809999999998E-3</v>
      </c>
      <c r="R440">
        <v>0.14025489999999999</v>
      </c>
      <c r="S440">
        <v>3.0145569999999999</v>
      </c>
      <c r="T440">
        <v>-0.12734010000000001</v>
      </c>
      <c r="U440">
        <v>0.1052551</v>
      </c>
      <c r="V440">
        <v>-0.117875299999999</v>
      </c>
      <c r="W440">
        <v>1.4155539999999901E-3</v>
      </c>
      <c r="X440">
        <v>0.99302739999999901</v>
      </c>
      <c r="Y440">
        <v>-1.2341670000000001E-2</v>
      </c>
      <c r="Z440">
        <v>-6.9191420000000003E-4</v>
      </c>
      <c r="AA440">
        <v>0.99992359999999902</v>
      </c>
      <c r="AB440">
        <v>17</v>
      </c>
      <c r="AC440">
        <v>26.039100000000001</v>
      </c>
      <c r="AD440">
        <v>-1.103823</v>
      </c>
      <c r="AE440">
        <v>0.91049999999995601</v>
      </c>
      <c r="AF440">
        <v>-0.32207493860868203</v>
      </c>
      <c r="AG440">
        <v>-1.103823</v>
      </c>
      <c r="AH440">
        <v>26.006339634607201</v>
      </c>
      <c r="AI440">
        <v>92.430238992903895</v>
      </c>
      <c r="AJ440">
        <v>90.709542041537603</v>
      </c>
      <c r="AK440">
        <v>26.031747130608601</v>
      </c>
    </row>
    <row r="441" spans="1:37" x14ac:dyDescent="0.2">
      <c r="A441" t="str">
        <f>"20200111155509202"</f>
        <v>20200111155509202</v>
      </c>
      <c r="B441" t="str">
        <f>"1578729309193178"</f>
        <v>1578729309193178</v>
      </c>
      <c r="C441" t="s">
        <v>37</v>
      </c>
      <c r="D441">
        <v>5.0131940000000004</v>
      </c>
      <c r="E441">
        <v>0.54016379999999997</v>
      </c>
      <c r="F441" t="s">
        <v>39</v>
      </c>
      <c r="G441">
        <v>-398.95429999999999</v>
      </c>
      <c r="H441">
        <v>-0.05</v>
      </c>
      <c r="I441">
        <v>368.92790000000002</v>
      </c>
      <c r="J441">
        <v>-425.39920000000001</v>
      </c>
      <c r="K441">
        <v>1.0538179999999999</v>
      </c>
      <c r="L441">
        <v>367.99829999999997</v>
      </c>
      <c r="M441">
        <v>0.99973400000000001</v>
      </c>
      <c r="N441">
        <v>0</v>
      </c>
      <c r="O441">
        <v>2.240574E-2</v>
      </c>
      <c r="P441">
        <v>0.99013909999999905</v>
      </c>
      <c r="Q441">
        <v>-3.6606830000000001E-3</v>
      </c>
      <c r="R441">
        <v>0.1400409</v>
      </c>
      <c r="S441">
        <v>3.014465</v>
      </c>
      <c r="T441">
        <v>-0.12536510000000001</v>
      </c>
      <c r="U441">
        <v>0.10580439999999899</v>
      </c>
      <c r="V441">
        <v>-0.1178202</v>
      </c>
      <c r="W441">
        <v>1.8289720000000001E-3</v>
      </c>
      <c r="X441">
        <v>0.99303319999999995</v>
      </c>
      <c r="Y441">
        <v>-1.2684610000000001E-2</v>
      </c>
      <c r="Z441">
        <v>-6.6741350000000001E-4</v>
      </c>
      <c r="AA441">
        <v>0.99991929999999996</v>
      </c>
      <c r="AB441">
        <v>17</v>
      </c>
      <c r="AC441">
        <v>26.444900000000001</v>
      </c>
      <c r="AD441">
        <v>-1.103818</v>
      </c>
      <c r="AE441">
        <v>0.92960000000005005</v>
      </c>
      <c r="AF441">
        <v>-0.33625509226621703</v>
      </c>
      <c r="AG441">
        <v>-1.103818</v>
      </c>
      <c r="AH441">
        <v>26.413128214946202</v>
      </c>
      <c r="AI441">
        <v>92.392833514703</v>
      </c>
      <c r="AJ441">
        <v>90.729370514866702</v>
      </c>
      <c r="AK441">
        <v>26.438321122253399</v>
      </c>
    </row>
    <row r="442" spans="1:37" x14ac:dyDescent="0.2">
      <c r="A442" t="str">
        <f>"20200111155509214"</f>
        <v>20200111155509214</v>
      </c>
      <c r="B442" t="str">
        <f>"1578729309202938"</f>
        <v>1578729309202938</v>
      </c>
      <c r="C442" t="s">
        <v>37</v>
      </c>
      <c r="D442">
        <v>4.9274339999999999</v>
      </c>
      <c r="E442">
        <v>0.54013089999999997</v>
      </c>
      <c r="F442" t="s">
        <v>38</v>
      </c>
      <c r="G442">
        <v>-399.80270000000002</v>
      </c>
      <c r="H442" s="1">
        <v>-2.4501570000000003E-7</v>
      </c>
      <c r="I442">
        <v>368.8954</v>
      </c>
      <c r="J442">
        <v>-425.2987</v>
      </c>
      <c r="K442">
        <v>1.0538129999999899</v>
      </c>
      <c r="L442">
        <v>368.00040000000001</v>
      </c>
      <c r="M442">
        <v>0.99973849999999997</v>
      </c>
      <c r="N442">
        <v>0</v>
      </c>
      <c r="O442">
        <v>2.2240059999999999E-2</v>
      </c>
      <c r="P442">
        <v>0.99015750000000002</v>
      </c>
      <c r="Q442">
        <v>-3.3899429999999999E-3</v>
      </c>
      <c r="R442">
        <v>0.13991789999999901</v>
      </c>
      <c r="S442">
        <v>3.01443499999999</v>
      </c>
      <c r="T442">
        <v>-0.12410499999999999</v>
      </c>
      <c r="U442">
        <v>0.10565190000000001</v>
      </c>
      <c r="V442">
        <v>-0.11786089999999901</v>
      </c>
      <c r="W442">
        <v>1.9701150000000001E-3</v>
      </c>
      <c r="X442">
        <v>0.99302819999999903</v>
      </c>
      <c r="Y442">
        <v>-1.279973E-2</v>
      </c>
      <c r="Z442">
        <v>-6.5153620000000005E-4</v>
      </c>
      <c r="AA442">
        <v>0.99991790000000003</v>
      </c>
      <c r="AB442">
        <v>18</v>
      </c>
      <c r="AC442">
        <v>25.495999999999899</v>
      </c>
      <c r="AD442">
        <v>-1.0538132450156901</v>
      </c>
      <c r="AE442">
        <v>0.89499999999998103</v>
      </c>
      <c r="AF442">
        <v>-0.32717976930905301</v>
      </c>
      <c r="AG442">
        <v>-1.0538132450156901</v>
      </c>
      <c r="AH442">
        <v>25.466146574301099</v>
      </c>
      <c r="AI442">
        <v>92.369406321746197</v>
      </c>
      <c r="AJ442">
        <v>90.736074794592</v>
      </c>
      <c r="AK442">
        <v>25.490041002332799</v>
      </c>
    </row>
    <row r="443" spans="1:37" x14ac:dyDescent="0.2">
      <c r="A443" t="str">
        <f>"20200111155509227"</f>
        <v>20200111155509227</v>
      </c>
      <c r="B443" t="str">
        <f>"1578729309222457"</f>
        <v>1578729309222457</v>
      </c>
      <c r="C443" t="s">
        <v>37</v>
      </c>
      <c r="D443">
        <v>4.9684839999999904</v>
      </c>
      <c r="E443">
        <v>0.54006480000000001</v>
      </c>
      <c r="F443" t="s">
        <v>38</v>
      </c>
      <c r="G443">
        <v>-399.60719999999998</v>
      </c>
      <c r="H443" s="1">
        <v>-3.1029610000000001E-7</v>
      </c>
      <c r="I443">
        <v>368.9</v>
      </c>
      <c r="J443">
        <v>-425.20139999999998</v>
      </c>
      <c r="K443">
        <v>1.053806</v>
      </c>
      <c r="L443">
        <v>368.00240000000002</v>
      </c>
      <c r="M443">
        <v>0.99974259999999904</v>
      </c>
      <c r="N443">
        <v>0</v>
      </c>
      <c r="O443">
        <v>2.2079310000000001E-2</v>
      </c>
      <c r="P443">
        <v>0.99015390000000003</v>
      </c>
      <c r="Q443">
        <v>-3.006795E-3</v>
      </c>
      <c r="R443">
        <v>0.13995179999999999</v>
      </c>
      <c r="S443">
        <v>3.014465</v>
      </c>
      <c r="T443">
        <v>-0.1236469</v>
      </c>
      <c r="U443">
        <v>0.1055603</v>
      </c>
      <c r="V443">
        <v>-0.11805450000000001</v>
      </c>
      <c r="W443">
        <v>2.2495409999999999E-3</v>
      </c>
      <c r="X443">
        <v>0.99300460000000002</v>
      </c>
      <c r="Y443">
        <v>-1.292953E-2</v>
      </c>
      <c r="Z443">
        <v>-6.3987980000000005E-4</v>
      </c>
      <c r="AA443">
        <v>0.99991620000000003</v>
      </c>
      <c r="AB443">
        <v>18</v>
      </c>
      <c r="AC443">
        <v>25.594200000000001</v>
      </c>
      <c r="AD443">
        <v>-1.0538063102960999</v>
      </c>
      <c r="AE443">
        <v>0.89759999999995399</v>
      </c>
      <c r="AF443">
        <v>-0.33170956100603799</v>
      </c>
      <c r="AG443">
        <v>-1.0538063102960999</v>
      </c>
      <c r="AH443">
        <v>25.564493753411</v>
      </c>
      <c r="AI443">
        <v>92.360282088273905</v>
      </c>
      <c r="AJ443">
        <v>90.743394004292298</v>
      </c>
      <c r="AK443">
        <v>25.588354379300601</v>
      </c>
    </row>
    <row r="444" spans="1:37" x14ac:dyDescent="0.2">
      <c r="A444" t="str">
        <f>"20200111155509244"</f>
        <v>20200111155509244</v>
      </c>
      <c r="B444" t="str">
        <f>"1578729309233194"</f>
        <v>1578729309233194</v>
      </c>
      <c r="C444" t="s">
        <v>37</v>
      </c>
      <c r="D444">
        <v>4.9710049999999999</v>
      </c>
      <c r="E444">
        <v>0.54003800000000002</v>
      </c>
      <c r="F444" t="s">
        <v>38</v>
      </c>
      <c r="G444">
        <v>-399.33019999999999</v>
      </c>
      <c r="H444" s="1">
        <v>-4.0097340000000002E-7</v>
      </c>
      <c r="I444">
        <v>368.9135</v>
      </c>
      <c r="J444">
        <v>-425.06330000000003</v>
      </c>
      <c r="K444">
        <v>1.053801</v>
      </c>
      <c r="L444">
        <v>368.0052</v>
      </c>
      <c r="M444">
        <v>0.99974830000000003</v>
      </c>
      <c r="N444">
        <v>0</v>
      </c>
      <c r="O444">
        <v>2.1850950000000001E-2</v>
      </c>
      <c r="P444">
        <v>0.99017230000000001</v>
      </c>
      <c r="Q444">
        <v>-2.877835E-3</v>
      </c>
      <c r="R444">
        <v>0.1398247</v>
      </c>
      <c r="S444">
        <v>3.0144959999999998</v>
      </c>
      <c r="T444">
        <v>-0.12278840000000001</v>
      </c>
      <c r="U444">
        <v>0.10617069999999899</v>
      </c>
      <c r="V444">
        <v>-0.118154</v>
      </c>
      <c r="W444">
        <v>2.2547859999999999E-3</v>
      </c>
      <c r="X444">
        <v>0.99299269999999995</v>
      </c>
      <c r="Y444">
        <v>-1.335915E-2</v>
      </c>
      <c r="Z444">
        <v>-6.1739620000000005E-4</v>
      </c>
      <c r="AA444">
        <v>0.99991059999999998</v>
      </c>
      <c r="AB444">
        <v>18</v>
      </c>
      <c r="AC444">
        <v>25.7331</v>
      </c>
      <c r="AD444">
        <v>-1.0538014009734</v>
      </c>
      <c r="AE444">
        <v>0.908299999999997</v>
      </c>
      <c r="AF444">
        <v>-0.345204983873513</v>
      </c>
      <c r="AG444">
        <v>-1.0538014009734</v>
      </c>
      <c r="AH444">
        <v>25.703751686521102</v>
      </c>
      <c r="AI444">
        <v>92.347483883713394</v>
      </c>
      <c r="AJ444">
        <v>90.769444081737205</v>
      </c>
      <c r="AK444">
        <v>25.727660496747799</v>
      </c>
    </row>
    <row r="445" spans="1:37" x14ac:dyDescent="0.2">
      <c r="A445" t="str">
        <f>"20200111155509257"</f>
        <v>20200111155509257</v>
      </c>
      <c r="B445" t="str">
        <f>"1578729309252714"</f>
        <v>1578729309252714</v>
      </c>
      <c r="C445" t="s">
        <v>37</v>
      </c>
      <c r="D445">
        <v>4.9452499999999997</v>
      </c>
      <c r="E445">
        <v>0.53993089999999999</v>
      </c>
      <c r="F445" t="s">
        <v>38</v>
      </c>
      <c r="G445">
        <v>-399.17720000000003</v>
      </c>
      <c r="H445" s="1">
        <v>-4.5984789999999998E-7</v>
      </c>
      <c r="I445">
        <v>368.91399999999999</v>
      </c>
      <c r="J445">
        <v>-424.9615</v>
      </c>
      <c r="K445">
        <v>1.053806</v>
      </c>
      <c r="L445">
        <v>368.00729999999999</v>
      </c>
      <c r="M445">
        <v>0.99975230000000004</v>
      </c>
      <c r="N445">
        <v>0</v>
      </c>
      <c r="O445">
        <v>2.168289E-2</v>
      </c>
      <c r="P445">
        <v>0.99015769999999903</v>
      </c>
      <c r="Q445">
        <v>-2.8006629999999901E-3</v>
      </c>
      <c r="R445">
        <v>0.13992859999999999</v>
      </c>
      <c r="S445">
        <v>3.014465</v>
      </c>
      <c r="T445">
        <v>-0.1227162</v>
      </c>
      <c r="U445">
        <v>0.105834999999999</v>
      </c>
      <c r="V445">
        <v>-0.1184253</v>
      </c>
      <c r="W445">
        <v>2.2590779999999999E-3</v>
      </c>
      <c r="X445">
        <v>0.99296039999999997</v>
      </c>
      <c r="Y445">
        <v>-1.34162E-2</v>
      </c>
      <c r="Z445">
        <v>-6.0904589999999999E-4</v>
      </c>
      <c r="AA445">
        <v>0.99990979999999996</v>
      </c>
      <c r="AB445">
        <v>18</v>
      </c>
      <c r="AC445">
        <v>25.784299999999899</v>
      </c>
      <c r="AD445">
        <v>-1.0538064598479</v>
      </c>
      <c r="AE445">
        <v>0.90669999999999995</v>
      </c>
      <c r="AF445">
        <v>-0.34682304038904599</v>
      </c>
      <c r="AG445">
        <v>-1.0538064598479</v>
      </c>
      <c r="AH445">
        <v>25.75493107534</v>
      </c>
      <c r="AI445">
        <v>92.342834338061294</v>
      </c>
      <c r="AJ445">
        <v>90.771514214303295</v>
      </c>
      <c r="AK445">
        <v>25.778814343791598</v>
      </c>
    </row>
    <row r="446" spans="1:37" x14ac:dyDescent="0.2">
      <c r="A446" t="str">
        <f>"20200111155509270"</f>
        <v>20200111155509270</v>
      </c>
      <c r="B446" t="str">
        <f>"1578729309262474"</f>
        <v>1578729309262474</v>
      </c>
      <c r="C446" t="s">
        <v>37</v>
      </c>
      <c r="D446">
        <v>4.9590399999999999</v>
      </c>
      <c r="E446">
        <v>0.53989659999999995</v>
      </c>
      <c r="F446" t="s">
        <v>38</v>
      </c>
      <c r="G446">
        <v>-399.171999999999</v>
      </c>
      <c r="H446" s="1">
        <v>-4.6040279999999901E-7</v>
      </c>
      <c r="I446">
        <v>368.92360000000002</v>
      </c>
      <c r="J446">
        <v>-424.86250000000001</v>
      </c>
      <c r="K446">
        <v>1.0538069999999999</v>
      </c>
      <c r="L446">
        <v>368.00920000000002</v>
      </c>
      <c r="M446">
        <v>0.99975609999999904</v>
      </c>
      <c r="N446">
        <v>0</v>
      </c>
      <c r="O446">
        <v>2.1519590000000002E-2</v>
      </c>
      <c r="P446">
        <v>0.99018719999999905</v>
      </c>
      <c r="Q446">
        <v>-2.4988520000000002E-3</v>
      </c>
      <c r="R446">
        <v>0.13972609999999999</v>
      </c>
      <c r="S446">
        <v>3.014313</v>
      </c>
      <c r="T446">
        <v>-0.123169499999999</v>
      </c>
      <c r="U446">
        <v>0.1071167</v>
      </c>
      <c r="V446">
        <v>-0.118383999999999</v>
      </c>
      <c r="W446">
        <v>2.509416E-3</v>
      </c>
      <c r="X446">
        <v>0.99296469999999903</v>
      </c>
      <c r="Y446">
        <v>-1.400537E-2</v>
      </c>
      <c r="Z446">
        <v>-5.9262520000000001E-4</v>
      </c>
      <c r="AA446">
        <v>0.99990179999999995</v>
      </c>
      <c r="AB446">
        <v>18</v>
      </c>
      <c r="AC446">
        <v>25.6905</v>
      </c>
      <c r="AD446">
        <v>-1.0538074604028</v>
      </c>
      <c r="AE446">
        <v>0.91439999999999999</v>
      </c>
      <c r="AF446">
        <v>-0.36072621883931799</v>
      </c>
      <c r="AG446">
        <v>-1.0538074604028</v>
      </c>
      <c r="AH446">
        <v>25.661105974921199</v>
      </c>
      <c r="AI446">
        <v>92.351374011709694</v>
      </c>
      <c r="AJ446">
        <v>90.805371704828403</v>
      </c>
      <c r="AK446">
        <v>25.685268023220999</v>
      </c>
    </row>
    <row r="447" spans="1:37" x14ac:dyDescent="0.2">
      <c r="A447" t="str">
        <f>"20200111155509281"</f>
        <v>20200111155509281</v>
      </c>
      <c r="B447" t="str">
        <f>"1578729309273210"</f>
        <v>1578729309273210</v>
      </c>
      <c r="C447" t="s">
        <v>37</v>
      </c>
      <c r="D447">
        <v>4.9858390000000004</v>
      </c>
      <c r="E447">
        <v>0.53984100000000002</v>
      </c>
      <c r="F447" t="s">
        <v>38</v>
      </c>
      <c r="G447">
        <v>-398.95620000000002</v>
      </c>
      <c r="H447" s="1">
        <v>-5.5234899999999997E-7</v>
      </c>
      <c r="I447">
        <v>368.92720000000003</v>
      </c>
      <c r="J447">
        <v>-424.7638</v>
      </c>
      <c r="K447">
        <v>1.053809</v>
      </c>
      <c r="L447">
        <v>368.01119999999997</v>
      </c>
      <c r="M447">
        <v>0.99975959999999997</v>
      </c>
      <c r="N447">
        <v>0</v>
      </c>
      <c r="O447">
        <v>2.135662E-2</v>
      </c>
      <c r="P447">
        <v>0.99020140000000001</v>
      </c>
      <c r="Q447">
        <v>-2.2733359999999999E-3</v>
      </c>
      <c r="R447">
        <v>0.13962839999999899</v>
      </c>
      <c r="S447">
        <v>3.0143430000000002</v>
      </c>
      <c r="T447">
        <v>-0.12261569999999999</v>
      </c>
      <c r="U447">
        <v>0.1068115</v>
      </c>
      <c r="V447">
        <v>-0.11844789999999999</v>
      </c>
      <c r="W447">
        <v>2.6910909999999901E-3</v>
      </c>
      <c r="X447">
        <v>0.99295659999999897</v>
      </c>
      <c r="Y447">
        <v>-1.406665E-2</v>
      </c>
      <c r="Z447">
        <v>-5.8209039999999998E-4</v>
      </c>
      <c r="AA447">
        <v>0.99990089999999998</v>
      </c>
      <c r="AB447">
        <v>18</v>
      </c>
      <c r="AC447">
        <v>25.807599999999901</v>
      </c>
      <c r="AD447">
        <v>-1.0538095523490001</v>
      </c>
      <c r="AE447">
        <v>0.91600000000005299</v>
      </c>
      <c r="AF447">
        <v>-0.36401499900138501</v>
      </c>
      <c r="AG447">
        <v>-1.0538095523490001</v>
      </c>
      <c r="AH447">
        <v>25.7783489248568</v>
      </c>
      <c r="AI447">
        <v>92.340694154592796</v>
      </c>
      <c r="AJ447">
        <v>90.809017562569693</v>
      </c>
      <c r="AK447">
        <v>25.802447457243002</v>
      </c>
    </row>
    <row r="448" spans="1:37" x14ac:dyDescent="0.2">
      <c r="A448" t="str">
        <f>"20200111155509517"</f>
        <v>20200111155509517</v>
      </c>
      <c r="B448" t="str">
        <f>"1578729309513210"</f>
        <v>1578729309513210</v>
      </c>
      <c r="C448" t="s">
        <v>37</v>
      </c>
      <c r="D448">
        <v>5.2039980000000003</v>
      </c>
      <c r="E448">
        <v>0.53984100000000002</v>
      </c>
      <c r="F448" t="s">
        <v>38</v>
      </c>
      <c r="G448">
        <v>-398.7876</v>
      </c>
      <c r="H448" s="1">
        <v>-6.2411009999999999E-7</v>
      </c>
      <c r="I448">
        <v>368.93020000000001</v>
      </c>
      <c r="J448">
        <v>-422.78320000000002</v>
      </c>
      <c r="K448">
        <v>1.053903</v>
      </c>
      <c r="L448">
        <v>368.04689999999999</v>
      </c>
      <c r="M448">
        <v>0.99982059999999995</v>
      </c>
      <c r="N448">
        <v>0</v>
      </c>
      <c r="O448">
        <v>1.8069060000000001E-2</v>
      </c>
      <c r="P448">
        <v>0.98961650000000001</v>
      </c>
      <c r="Q448">
        <v>1.8951079999999999E-3</v>
      </c>
      <c r="R448">
        <v>0.14372109999999999</v>
      </c>
      <c r="S448">
        <v>3.0143740000000001</v>
      </c>
      <c r="T448">
        <v>-0.122287799999999</v>
      </c>
      <c r="U448">
        <v>0.1066589</v>
      </c>
      <c r="V448">
        <v>-0.12581249999999999</v>
      </c>
      <c r="W448">
        <v>7.6010130000000002E-3</v>
      </c>
      <c r="X448">
        <v>0.99202489999999999</v>
      </c>
      <c r="Y448">
        <v>-1.729812E-2</v>
      </c>
      <c r="Z448">
        <v>-3.8179949999999903E-4</v>
      </c>
      <c r="AA448">
        <v>0.99985029999999997</v>
      </c>
      <c r="AB448">
        <v>19</v>
      </c>
      <c r="AC448">
        <v>23.9956</v>
      </c>
      <c r="AD448">
        <v>-1.0539036241101001</v>
      </c>
      <c r="AE448">
        <v>0.88330000000001896</v>
      </c>
      <c r="AF448">
        <v>-0.44870645917357899</v>
      </c>
      <c r="AG448">
        <v>-1.0539036241101001</v>
      </c>
      <c r="AH448">
        <v>23.961483211780401</v>
      </c>
      <c r="AI448">
        <v>92.5179898833766</v>
      </c>
      <c r="AJ448">
        <v>91.072804285187999</v>
      </c>
      <c r="AK448">
        <v>23.988845908960499</v>
      </c>
    </row>
    <row r="449" spans="1:37" x14ac:dyDescent="0.2">
      <c r="A449" t="str">
        <f>"20200111155509715"</f>
        <v>20200111155509715</v>
      </c>
      <c r="B449" t="str">
        <f>"1578729309713290"</f>
        <v>1578729309713290</v>
      </c>
      <c r="C449" t="s">
        <v>37</v>
      </c>
      <c r="D449">
        <v>4.3505659999999997</v>
      </c>
      <c r="E449">
        <v>0.54042349999999995</v>
      </c>
      <c r="F449" t="s">
        <v>38</v>
      </c>
      <c r="G449">
        <v>-392.38069999999999</v>
      </c>
      <c r="H449" s="1">
        <v>-3.3193900000000001E-6</v>
      </c>
      <c r="I449">
        <v>369.23050000000001</v>
      </c>
      <c r="J449">
        <v>-421.03879999999998</v>
      </c>
      <c r="K449">
        <v>1.0539399999999901</v>
      </c>
      <c r="L449">
        <v>368.07279999999997</v>
      </c>
      <c r="M449">
        <v>0.99986090000000005</v>
      </c>
      <c r="N449">
        <v>0</v>
      </c>
      <c r="O449">
        <v>1.5180219999999999E-2</v>
      </c>
      <c r="P449">
        <v>0.99102259999999998</v>
      </c>
      <c r="Q449">
        <v>-3.3834690000000001E-3</v>
      </c>
      <c r="R449">
        <v>0.13365250000000001</v>
      </c>
      <c r="S449">
        <v>3.0147089999999999</v>
      </c>
      <c r="T449">
        <v>-0.10450519999999899</v>
      </c>
      <c r="U449">
        <v>0.11737060000000001</v>
      </c>
      <c r="V449">
        <v>-0.1185915</v>
      </c>
      <c r="W449">
        <v>3.5307979999999999E-3</v>
      </c>
      <c r="X449">
        <v>0.99293679999999995</v>
      </c>
      <c r="Y449">
        <v>-2.3724470000000001E-2</v>
      </c>
      <c r="Z449">
        <v>-1.148987E-4</v>
      </c>
      <c r="AA449">
        <v>0.99971849999999995</v>
      </c>
      <c r="AB449">
        <v>20</v>
      </c>
      <c r="AC449">
        <v>28.658099999999902</v>
      </c>
      <c r="AD449">
        <v>-1.0539433193899901</v>
      </c>
      <c r="AE449">
        <v>1.1577000000000299</v>
      </c>
      <c r="AF449">
        <v>-0.72154564247127895</v>
      </c>
      <c r="AG449">
        <v>-1.0539433193899901</v>
      </c>
      <c r="AH449">
        <v>28.6337080273629</v>
      </c>
      <c r="AI449">
        <v>92.107310646557494</v>
      </c>
      <c r="AJ449">
        <v>91.443500532202506</v>
      </c>
      <c r="AK449">
        <v>28.662181703961799</v>
      </c>
    </row>
    <row r="450" spans="1:37" x14ac:dyDescent="0.2">
      <c r="A450" t="str">
        <f>"20200111155509763"</f>
        <v>20200111155509763</v>
      </c>
      <c r="B450" t="str">
        <f>"1578729309753305"</f>
        <v>1578729309753305</v>
      </c>
      <c r="C450" t="s">
        <v>37</v>
      </c>
      <c r="D450">
        <v>5.0883789999999998</v>
      </c>
      <c r="E450">
        <v>0.54102430000000001</v>
      </c>
      <c r="F450" t="s">
        <v>38</v>
      </c>
      <c r="G450">
        <v>-391.9837</v>
      </c>
      <c r="H450" s="1">
        <v>-3.5537719999999998E-6</v>
      </c>
      <c r="I450">
        <v>368.86930000000001</v>
      </c>
      <c r="J450">
        <v>-420.6148</v>
      </c>
      <c r="K450">
        <v>1.0539419999999999</v>
      </c>
      <c r="L450">
        <v>368.07830000000001</v>
      </c>
      <c r="M450">
        <v>0.99987000000000004</v>
      </c>
      <c r="N450">
        <v>0</v>
      </c>
      <c r="O450">
        <v>1.4478980000000001E-2</v>
      </c>
      <c r="P450">
        <v>0.99117429999999995</v>
      </c>
      <c r="Q450">
        <v>-3.9673759999999999E-3</v>
      </c>
      <c r="R450">
        <v>0.13250670000000001</v>
      </c>
      <c r="S450">
        <v>3.0156860000000001</v>
      </c>
      <c r="T450">
        <v>-0.10939069999999999</v>
      </c>
      <c r="U450">
        <v>8.2672120000000002E-2</v>
      </c>
      <c r="V450">
        <v>-0.11813989999999901</v>
      </c>
      <c r="W450">
        <v>3.1436070000000001E-3</v>
      </c>
      <c r="X450">
        <v>0.99299199999999999</v>
      </c>
      <c r="Y450">
        <v>-1.292798E-2</v>
      </c>
      <c r="Z450">
        <v>-2.9055849999999898E-4</v>
      </c>
      <c r="AA450">
        <v>0.99991640000000004</v>
      </c>
      <c r="AB450">
        <v>20</v>
      </c>
      <c r="AC450">
        <v>28.6311</v>
      </c>
      <c r="AD450">
        <v>-1.0539455537719999</v>
      </c>
      <c r="AE450">
        <v>0.79099999999999604</v>
      </c>
      <c r="AF450">
        <v>-0.37584860813892101</v>
      </c>
      <c r="AG450">
        <v>-1.0539455537719999</v>
      </c>
      <c r="AH450">
        <v>28.600825296168299</v>
      </c>
      <c r="AI450">
        <v>92.110222820892304</v>
      </c>
      <c r="AJ450">
        <v>90.752890844349196</v>
      </c>
      <c r="AK450">
        <v>28.622705515525499</v>
      </c>
    </row>
    <row r="451" spans="1:37" x14ac:dyDescent="0.2">
      <c r="A451" t="str">
        <f>"20200111155509805"</f>
        <v>20200111155509805</v>
      </c>
      <c r="B451" t="str">
        <f>"1578729309793321"</f>
        <v>1578729309793321</v>
      </c>
      <c r="C451" t="s">
        <v>37</v>
      </c>
      <c r="D451">
        <v>4.814978</v>
      </c>
      <c r="E451">
        <v>0.54129519999999998</v>
      </c>
      <c r="F451" t="s">
        <v>38</v>
      </c>
      <c r="G451">
        <v>-392.1071</v>
      </c>
      <c r="H451" s="1">
        <v>-3.5166489999999998E-6</v>
      </c>
      <c r="I451">
        <v>368.78030000000001</v>
      </c>
      <c r="J451">
        <v>-420.236999999999</v>
      </c>
      <c r="K451">
        <v>1.053947</v>
      </c>
      <c r="L451">
        <v>368.08300000000003</v>
      </c>
      <c r="M451">
        <v>0.99987780000000004</v>
      </c>
      <c r="N451">
        <v>0</v>
      </c>
      <c r="O451">
        <v>1.38548E-2</v>
      </c>
      <c r="P451">
        <v>0.9913168</v>
      </c>
      <c r="Q451">
        <v>-4.3416619999999996E-3</v>
      </c>
      <c r="R451">
        <v>0.13142470000000001</v>
      </c>
      <c r="S451">
        <v>3.0162960000000001</v>
      </c>
      <c r="T451">
        <v>-0.11151369999999999</v>
      </c>
      <c r="U451">
        <v>7.4279789999999998E-2</v>
      </c>
      <c r="V451">
        <v>-0.117676</v>
      </c>
      <c r="W451">
        <v>2.9333240000000002E-3</v>
      </c>
      <c r="X451">
        <v>0.99304769999999898</v>
      </c>
      <c r="Y451">
        <v>-1.0767469999999999E-2</v>
      </c>
      <c r="Z451">
        <v>-3.1300399999999997E-4</v>
      </c>
      <c r="AA451">
        <v>0.999942</v>
      </c>
      <c r="AB451">
        <v>20</v>
      </c>
      <c r="AC451">
        <v>28.1298999999999</v>
      </c>
      <c r="AD451">
        <v>-1.053950516649</v>
      </c>
      <c r="AE451">
        <v>0.69729999999998404</v>
      </c>
      <c r="AF451">
        <v>-0.30705793022359801</v>
      </c>
      <c r="AG451">
        <v>-1.053950516649</v>
      </c>
      <c r="AH451">
        <v>28.0974422288106</v>
      </c>
      <c r="AI451">
        <v>92.148060914400702</v>
      </c>
      <c r="AJ451">
        <v>90.626121872687904</v>
      </c>
      <c r="AK451">
        <v>28.118878997310802</v>
      </c>
    </row>
    <row r="452" spans="1:37" x14ac:dyDescent="0.2">
      <c r="A452" t="str">
        <f>"20200111155509819"</f>
        <v>20200111155509819</v>
      </c>
      <c r="B452" t="str">
        <f>"1578729309812841"</f>
        <v>1578729309812841</v>
      </c>
      <c r="C452" t="s">
        <v>37</v>
      </c>
      <c r="D452">
        <v>5.0463629999999897</v>
      </c>
      <c r="E452">
        <v>0.54163799999999995</v>
      </c>
      <c r="F452" t="s">
        <v>38</v>
      </c>
      <c r="G452">
        <v>-391.65230000000003</v>
      </c>
      <c r="H452" s="1">
        <v>-3.71991E-6</v>
      </c>
      <c r="I452">
        <v>368.73419999999999</v>
      </c>
      <c r="J452">
        <v>-420.10230000000001</v>
      </c>
      <c r="K452">
        <v>1.053952</v>
      </c>
      <c r="L452">
        <v>368.08460000000002</v>
      </c>
      <c r="M452">
        <v>0.99988029999999894</v>
      </c>
      <c r="N452">
        <v>0</v>
      </c>
      <c r="O452">
        <v>1.363223E-2</v>
      </c>
      <c r="P452">
        <v>0.99137189999999997</v>
      </c>
      <c r="Q452">
        <v>-4.5659639999999996E-3</v>
      </c>
      <c r="R452">
        <v>0.13100110000000001</v>
      </c>
      <c r="S452">
        <v>3.0166930000000001</v>
      </c>
      <c r="T452">
        <v>-0.1112286</v>
      </c>
      <c r="U452">
        <v>6.8725590000000003E-2</v>
      </c>
      <c r="V452">
        <v>-0.11747290000000001</v>
      </c>
      <c r="W452">
        <v>2.7707220000000002E-3</v>
      </c>
      <c r="X452">
        <v>0.99307219999999996</v>
      </c>
      <c r="Y452">
        <v>-9.1477219999999901E-3</v>
      </c>
      <c r="Z452">
        <v>-3.3381699999999998E-4</v>
      </c>
      <c r="AA452">
        <v>0.99995809999999996</v>
      </c>
      <c r="AB452">
        <v>20</v>
      </c>
      <c r="AC452">
        <v>28.4499999999999</v>
      </c>
      <c r="AD452">
        <v>-1.05395571991</v>
      </c>
      <c r="AE452">
        <v>0.64959999999996398</v>
      </c>
      <c r="AF452">
        <v>-0.26133383877621702</v>
      </c>
      <c r="AG452">
        <v>-1.05395571991</v>
      </c>
      <c r="AH452">
        <v>28.417232486825402</v>
      </c>
      <c r="AI452">
        <v>92.123957661325704</v>
      </c>
      <c r="AJ452">
        <v>90.526895218422297</v>
      </c>
      <c r="AK452">
        <v>28.437971450951</v>
      </c>
    </row>
    <row r="453" spans="1:37" x14ac:dyDescent="0.2">
      <c r="A453" t="str">
        <f>"20200111155509832"</f>
        <v>20200111155509832</v>
      </c>
      <c r="B453" t="str">
        <f>"1578729309822601"</f>
        <v>1578729309822601</v>
      </c>
      <c r="C453" t="s">
        <v>37</v>
      </c>
      <c r="D453">
        <v>4.8618870000000003</v>
      </c>
      <c r="E453">
        <v>0.54179900000000003</v>
      </c>
      <c r="F453" t="s">
        <v>38</v>
      </c>
      <c r="G453">
        <v>-391.17140000000001</v>
      </c>
      <c r="H453" s="1">
        <v>-3.9314360000000003E-6</v>
      </c>
      <c r="I453">
        <v>368.70460000000003</v>
      </c>
      <c r="J453">
        <v>-419.9796</v>
      </c>
      <c r="K453">
        <v>1.053957</v>
      </c>
      <c r="L453">
        <v>368.08600000000001</v>
      </c>
      <c r="M453">
        <v>0.99988250000000001</v>
      </c>
      <c r="N453">
        <v>0</v>
      </c>
      <c r="O453">
        <v>1.343022E-2</v>
      </c>
      <c r="P453">
        <v>0.99136669999999905</v>
      </c>
      <c r="Q453">
        <v>-4.4333530000000001E-3</v>
      </c>
      <c r="R453">
        <v>0.13104399999999999</v>
      </c>
      <c r="S453">
        <v>3.01709</v>
      </c>
      <c r="T453">
        <v>-0.10991289999999999</v>
      </c>
      <c r="U453">
        <v>6.4666749999999995E-2</v>
      </c>
      <c r="V453">
        <v>-0.11771619999999999</v>
      </c>
      <c r="W453">
        <v>2.9647940000000002E-3</v>
      </c>
      <c r="X453">
        <v>0.9930428</v>
      </c>
      <c r="Y453">
        <v>-8.0027269999999994E-3</v>
      </c>
      <c r="Z453">
        <v>-3.433256E-4</v>
      </c>
      <c r="AA453">
        <v>0.99996790000000002</v>
      </c>
      <c r="AB453">
        <v>20</v>
      </c>
      <c r="AC453">
        <v>28.808199999999999</v>
      </c>
      <c r="AD453">
        <v>-1.0539609314359999</v>
      </c>
      <c r="AE453">
        <v>0.61860000000001403</v>
      </c>
      <c r="AF453">
        <v>-0.23132369322530399</v>
      </c>
      <c r="AG453">
        <v>-1.0539609314359999</v>
      </c>
      <c r="AH453">
        <v>28.775411826755199</v>
      </c>
      <c r="AI453">
        <v>92.097574917192006</v>
      </c>
      <c r="AJ453">
        <v>90.460587181369306</v>
      </c>
      <c r="AK453">
        <v>28.795636303013101</v>
      </c>
    </row>
    <row r="454" spans="1:37" x14ac:dyDescent="0.2">
      <c r="A454" t="str">
        <f>"20200111155509849"</f>
        <v>20200111155509849</v>
      </c>
      <c r="B454" t="str">
        <f>"1578729309843097"</f>
        <v>1578729309843097</v>
      </c>
      <c r="C454" t="s">
        <v>37</v>
      </c>
      <c r="D454">
        <v>4.7402009999999999</v>
      </c>
      <c r="E454">
        <v>0.54218730000000004</v>
      </c>
      <c r="F454" t="s">
        <v>38</v>
      </c>
      <c r="G454">
        <v>-390.62199999999899</v>
      </c>
      <c r="H454" s="1">
        <v>-4.1671719999999997E-6</v>
      </c>
      <c r="I454">
        <v>368.7045</v>
      </c>
      <c r="J454">
        <v>-419.83109999999999</v>
      </c>
      <c r="K454">
        <v>1.053963</v>
      </c>
      <c r="L454">
        <v>368.08780000000002</v>
      </c>
      <c r="M454">
        <v>0.99988529999999998</v>
      </c>
      <c r="N454">
        <v>0</v>
      </c>
      <c r="O454">
        <v>1.3184929999999999E-2</v>
      </c>
      <c r="P454">
        <v>0.99139200000000005</v>
      </c>
      <c r="Q454">
        <v>-4.1565769999999998E-3</v>
      </c>
      <c r="R454">
        <v>0.13086229999999999</v>
      </c>
      <c r="S454">
        <v>3.017242</v>
      </c>
      <c r="T454">
        <v>-0.108321</v>
      </c>
      <c r="U454">
        <v>6.3568120000000006E-2</v>
      </c>
      <c r="V454">
        <v>-0.1177776</v>
      </c>
      <c r="W454">
        <v>3.318129E-3</v>
      </c>
      <c r="X454">
        <v>0.99303439999999998</v>
      </c>
      <c r="Y454">
        <v>-7.8828189999999992E-3</v>
      </c>
      <c r="Z454">
        <v>-3.3169120000000002E-4</v>
      </c>
      <c r="AA454">
        <v>0.99996890000000005</v>
      </c>
      <c r="AB454">
        <v>20</v>
      </c>
      <c r="AC454">
        <v>29.209099999999999</v>
      </c>
      <c r="AD454">
        <v>-1.0539671671719999</v>
      </c>
      <c r="AE454">
        <v>0.61669999999998004</v>
      </c>
      <c r="AF454">
        <v>-0.231214843124181</v>
      </c>
      <c r="AG454">
        <v>-1.0539671671719999</v>
      </c>
      <c r="AH454">
        <v>29.176720470368998</v>
      </c>
      <c r="AI454">
        <v>92.068763364500001</v>
      </c>
      <c r="AJ454">
        <v>90.454038601743903</v>
      </c>
      <c r="AK454">
        <v>29.196666325099599</v>
      </c>
    </row>
    <row r="455" spans="1:37" x14ac:dyDescent="0.2">
      <c r="A455" t="str">
        <f>"20200111155509864"</f>
        <v>20200111155509864</v>
      </c>
      <c r="B455" t="str">
        <f>"1578729309852858"</f>
        <v>1578729309852858</v>
      </c>
      <c r="C455" t="s">
        <v>37</v>
      </c>
      <c r="D455">
        <v>4.745698</v>
      </c>
      <c r="E455">
        <v>0.54235349999999904</v>
      </c>
      <c r="F455" t="s">
        <v>38</v>
      </c>
      <c r="G455">
        <v>-389.80799999999999</v>
      </c>
      <c r="H455" s="1">
        <v>-2.9878269999999998E-7</v>
      </c>
      <c r="I455">
        <v>368.68650000000002</v>
      </c>
      <c r="J455">
        <v>-419.69699999999898</v>
      </c>
      <c r="K455">
        <v>1.0539670000000001</v>
      </c>
      <c r="L455">
        <v>368.08929999999998</v>
      </c>
      <c r="M455">
        <v>0.99988750000000004</v>
      </c>
      <c r="N455">
        <v>0</v>
      </c>
      <c r="O455">
        <v>1.2963570000000001E-2</v>
      </c>
      <c r="P455">
        <v>0.99141259999999998</v>
      </c>
      <c r="Q455">
        <v>-4.0890329999999997E-3</v>
      </c>
      <c r="R455">
        <v>0.13070689999999999</v>
      </c>
      <c r="S455">
        <v>3.0177309999999999</v>
      </c>
      <c r="T455">
        <v>-0.1059375</v>
      </c>
      <c r="U455">
        <v>6.0180659999999997E-2</v>
      </c>
      <c r="V455">
        <v>-0.117842</v>
      </c>
      <c r="W455">
        <v>3.456888E-3</v>
      </c>
      <c r="X455">
        <v>0.99302630000000003</v>
      </c>
      <c r="Y455">
        <v>-6.979046E-3</v>
      </c>
      <c r="Z455">
        <v>-3.324399E-4</v>
      </c>
      <c r="AA455">
        <v>0.99997559999999996</v>
      </c>
      <c r="AB455">
        <v>20</v>
      </c>
      <c r="AC455">
        <v>29.8889999999998</v>
      </c>
      <c r="AD455">
        <v>-1.0539672987827</v>
      </c>
      <c r="AE455">
        <v>0.59720000000004303</v>
      </c>
      <c r="AF455">
        <v>-0.209410350673922</v>
      </c>
      <c r="AG455">
        <v>-1.0539672987827</v>
      </c>
      <c r="AH455">
        <v>29.857119040222301</v>
      </c>
      <c r="AI455">
        <v>92.021672947411403</v>
      </c>
      <c r="AJ455">
        <v>90.4018516497284</v>
      </c>
      <c r="AK455">
        <v>29.876449875175599</v>
      </c>
    </row>
    <row r="456" spans="1:37" x14ac:dyDescent="0.2">
      <c r="A456" t="str">
        <f>"20200111155509878"</f>
        <v>20200111155509878</v>
      </c>
      <c r="B456" t="str">
        <f>"1578729309873353"</f>
        <v>1578729309873353</v>
      </c>
      <c r="C456" t="s">
        <v>37</v>
      </c>
      <c r="D456">
        <v>4.7758019999999997</v>
      </c>
      <c r="E456">
        <v>0.54269299999999998</v>
      </c>
      <c r="F456" t="s">
        <v>38</v>
      </c>
      <c r="G456">
        <v>-389.57310000000001</v>
      </c>
      <c r="H456" s="1">
        <v>-3.826845E-7</v>
      </c>
      <c r="I456">
        <v>368.67169999999999</v>
      </c>
      <c r="J456">
        <v>-419.56349999999998</v>
      </c>
      <c r="K456">
        <v>1.053974</v>
      </c>
      <c r="L456">
        <v>368.0908</v>
      </c>
      <c r="M456">
        <v>0.9998899</v>
      </c>
      <c r="N456">
        <v>0</v>
      </c>
      <c r="O456">
        <v>1.2743330000000001E-2</v>
      </c>
      <c r="P456">
        <v>0.99140159999999999</v>
      </c>
      <c r="Q456">
        <v>-4.2016060000000001E-3</v>
      </c>
      <c r="R456">
        <v>0.1307875</v>
      </c>
      <c r="S456">
        <v>3.0178529999999899</v>
      </c>
      <c r="T456">
        <v>-0.10558769999999899</v>
      </c>
      <c r="U456">
        <v>5.8349610000000003E-2</v>
      </c>
      <c r="V456">
        <v>-0.1181413</v>
      </c>
      <c r="W456">
        <v>3.415403E-3</v>
      </c>
      <c r="X456">
        <v>0.99299090000000001</v>
      </c>
      <c r="Y456">
        <v>-6.5920730000000004E-3</v>
      </c>
      <c r="Z456">
        <v>-3.3039699999999898E-4</v>
      </c>
      <c r="AA456">
        <v>0.99997819999999904</v>
      </c>
      <c r="AB456">
        <v>20</v>
      </c>
      <c r="AC456">
        <v>29.990399999999902</v>
      </c>
      <c r="AD456">
        <v>-1.0539743826845001</v>
      </c>
      <c r="AE456">
        <v>0.58089999999998498</v>
      </c>
      <c r="AF456">
        <v>-0.19841924788049001</v>
      </c>
      <c r="AG456">
        <v>-1.0539743826845001</v>
      </c>
      <c r="AH456">
        <v>29.958380304718801</v>
      </c>
      <c r="AI456">
        <v>92.014864095964001</v>
      </c>
      <c r="AJ456">
        <v>90.379473761060694</v>
      </c>
      <c r="AK456">
        <v>29.977571327234699</v>
      </c>
    </row>
    <row r="457" spans="1:37" x14ac:dyDescent="0.2">
      <c r="A457" t="str">
        <f>"20200111155509892"</f>
        <v>20200111155509892</v>
      </c>
      <c r="B457" t="str">
        <f>"1578729309883113"</f>
        <v>1578729309883113</v>
      </c>
      <c r="C457" t="s">
        <v>37</v>
      </c>
      <c r="D457">
        <v>4.8153220000000001</v>
      </c>
      <c r="E457">
        <v>0.54284869999999996</v>
      </c>
      <c r="F457" t="s">
        <v>38</v>
      </c>
      <c r="G457">
        <v>-389.22550000000001</v>
      </c>
      <c r="H457" s="1">
        <v>-5.0528329999999898E-7</v>
      </c>
      <c r="I457">
        <v>368.65550000000002</v>
      </c>
      <c r="J457">
        <v>-419.43049999999999</v>
      </c>
      <c r="K457">
        <v>1.0539849999999999</v>
      </c>
      <c r="L457">
        <v>368.09219999999999</v>
      </c>
      <c r="M457">
        <v>0.99989209999999995</v>
      </c>
      <c r="N457">
        <v>0</v>
      </c>
      <c r="O457">
        <v>1.252405E-2</v>
      </c>
      <c r="P457">
        <v>0.99138989999999905</v>
      </c>
      <c r="Q457">
        <v>-4.396924E-3</v>
      </c>
      <c r="R457">
        <v>0.13086909999999999</v>
      </c>
      <c r="S457">
        <v>3.0181580000000001</v>
      </c>
      <c r="T457">
        <v>-0.10485369999999999</v>
      </c>
      <c r="U457">
        <v>5.6182860000000001E-2</v>
      </c>
      <c r="V457">
        <v>-0.11844059999999999</v>
      </c>
      <c r="W457">
        <v>3.2890429999999902E-3</v>
      </c>
      <c r="X457">
        <v>0.992955699999999</v>
      </c>
      <c r="Y457">
        <v>-6.0918959999999899E-3</v>
      </c>
      <c r="Z457">
        <v>-3.2914229999999998E-4</v>
      </c>
      <c r="AA457">
        <v>0.99998140000000002</v>
      </c>
      <c r="AB457">
        <v>20</v>
      </c>
      <c r="AC457">
        <v>30.204999999999899</v>
      </c>
      <c r="AD457">
        <v>-1.0539855052833</v>
      </c>
      <c r="AE457">
        <v>0.563300000000026</v>
      </c>
      <c r="AF457">
        <v>-0.18473088635724999</v>
      </c>
      <c r="AG457">
        <v>-1.0539855052833</v>
      </c>
      <c r="AH457">
        <v>30.172959507182298</v>
      </c>
      <c r="AI457">
        <v>92.000574267744696</v>
      </c>
      <c r="AJ457">
        <v>90.350783219921198</v>
      </c>
      <c r="AK457">
        <v>30.191927668961199</v>
      </c>
    </row>
    <row r="458" spans="1:37" x14ac:dyDescent="0.2">
      <c r="A458" t="str">
        <f>"20200111155509915"</f>
        <v>20200111155509915</v>
      </c>
      <c r="B458" t="str">
        <f>"1578729309903610"</f>
        <v>1578729309903610</v>
      </c>
      <c r="C458" t="s">
        <v>37</v>
      </c>
      <c r="D458">
        <v>4.9394289999999996</v>
      </c>
      <c r="E458">
        <v>0.54310439999999904</v>
      </c>
      <c r="F458" t="s">
        <v>38</v>
      </c>
      <c r="G458">
        <v>-389.1737</v>
      </c>
      <c r="H458" s="1">
        <v>-5.2593080000000004E-7</v>
      </c>
      <c r="I458">
        <v>368.64400000000001</v>
      </c>
      <c r="J458">
        <v>-419.22859999999997</v>
      </c>
      <c r="K458">
        <v>1.0539940000000001</v>
      </c>
      <c r="L458">
        <v>368.09429999999998</v>
      </c>
      <c r="M458">
        <v>0.99989550000000005</v>
      </c>
      <c r="N458">
        <v>0</v>
      </c>
      <c r="O458">
        <v>1.219107E-2</v>
      </c>
      <c r="P458">
        <v>0.99143979999999998</v>
      </c>
      <c r="Q458">
        <v>-4.5529699999999999E-3</v>
      </c>
      <c r="R458">
        <v>0.13048599999999999</v>
      </c>
      <c r="S458">
        <v>3.0183110000000002</v>
      </c>
      <c r="T458">
        <v>-0.1051416</v>
      </c>
      <c r="U458">
        <v>5.5053709999999999E-2</v>
      </c>
      <c r="V458">
        <v>-0.11838799999999999</v>
      </c>
      <c r="W458">
        <v>3.2375440000000002E-3</v>
      </c>
      <c r="X458">
        <v>0.99296209999999996</v>
      </c>
      <c r="Y458">
        <v>-6.0498289999999996E-3</v>
      </c>
      <c r="Z458">
        <v>-3.1916909999999999E-4</v>
      </c>
      <c r="AA458">
        <v>0.99998159999999903</v>
      </c>
      <c r="AB458">
        <v>20</v>
      </c>
      <c r="AC458">
        <v>30.0548999999999</v>
      </c>
      <c r="AD458">
        <v>-1.0539945259307999</v>
      </c>
      <c r="AE458">
        <v>0.54970000000002905</v>
      </c>
      <c r="AF458">
        <v>-0.18302168687072901</v>
      </c>
      <c r="AG458">
        <v>-1.0539945259307999</v>
      </c>
      <c r="AH458">
        <v>30.022457741577899</v>
      </c>
      <c r="AI458">
        <v>92.010612397478198</v>
      </c>
      <c r="AJ458">
        <v>90.349279876018102</v>
      </c>
      <c r="AK458">
        <v>30.0415107849687</v>
      </c>
    </row>
    <row r="459" spans="1:37" x14ac:dyDescent="0.2">
      <c r="A459" t="str">
        <f>"20200111155509928"</f>
        <v>20200111155509928</v>
      </c>
      <c r="B459" t="str">
        <f>"1578729309923129"</f>
        <v>1578729309923129</v>
      </c>
      <c r="C459" t="s">
        <v>37</v>
      </c>
      <c r="D459">
        <v>4.7809419999999996</v>
      </c>
      <c r="E459">
        <v>0.54342250000000003</v>
      </c>
      <c r="F459" t="s">
        <v>38</v>
      </c>
      <c r="G459">
        <v>-388.83780000000002</v>
      </c>
      <c r="H459" s="1">
        <v>-6.5870719999999895E-7</v>
      </c>
      <c r="I459">
        <v>368.61380000000003</v>
      </c>
      <c r="J459">
        <v>-419.10789999999997</v>
      </c>
      <c r="K459">
        <v>1.053995</v>
      </c>
      <c r="L459">
        <v>368.09559999999999</v>
      </c>
      <c r="M459">
        <v>0.99989719999999904</v>
      </c>
      <c r="N459">
        <v>0</v>
      </c>
      <c r="O459">
        <v>1.199191E-2</v>
      </c>
      <c r="P459">
        <v>0.99147019999999997</v>
      </c>
      <c r="Q459">
        <v>-4.6085179999999998E-3</v>
      </c>
      <c r="R459">
        <v>0.13025139999999999</v>
      </c>
      <c r="S459">
        <v>3.0186459999999999</v>
      </c>
      <c r="T459">
        <v>-0.10469049999999901</v>
      </c>
      <c r="U459">
        <v>5.160522E-2</v>
      </c>
      <c r="V459">
        <v>-0.1183501</v>
      </c>
      <c r="W459">
        <v>3.2427889999999998E-3</v>
      </c>
      <c r="X459">
        <v>0.99296669999999998</v>
      </c>
      <c r="Y459">
        <v>-5.1053699999999997E-3</v>
      </c>
      <c r="Z459">
        <v>-3.2723680000000001E-4</v>
      </c>
      <c r="AA459">
        <v>0.99998690000000001</v>
      </c>
      <c r="AB459">
        <v>21</v>
      </c>
      <c r="AC459">
        <v>30.2700999999999</v>
      </c>
      <c r="AD459">
        <v>-1.0539956587071999</v>
      </c>
      <c r="AE459">
        <v>0.51820000000003497</v>
      </c>
      <c r="AF459">
        <v>-0.154967378105686</v>
      </c>
      <c r="AG459">
        <v>-1.0539956587071999</v>
      </c>
      <c r="AH459">
        <v>30.237488149484701</v>
      </c>
      <c r="AI459">
        <v>91.996338782125406</v>
      </c>
      <c r="AJ459">
        <v>90.293638775398605</v>
      </c>
      <c r="AK459">
        <v>30.256249128520199</v>
      </c>
    </row>
    <row r="460" spans="1:37" x14ac:dyDescent="0.2">
      <c r="A460" t="str">
        <f>"20200111155509941"</f>
        <v>20200111155509941</v>
      </c>
      <c r="B460" t="str">
        <f>"1578729309932890"</f>
        <v>1578729309932890</v>
      </c>
      <c r="C460" t="s">
        <v>37</v>
      </c>
      <c r="D460">
        <v>4.7660150000000003</v>
      </c>
      <c r="E460">
        <v>0.54358209999999996</v>
      </c>
      <c r="F460" t="s">
        <v>38</v>
      </c>
      <c r="G460">
        <v>-388.60989999999998</v>
      </c>
      <c r="H460" s="1">
        <v>-7.6140240000000005E-7</v>
      </c>
      <c r="I460">
        <v>368.58600000000001</v>
      </c>
      <c r="J460">
        <v>-418.98719999999997</v>
      </c>
      <c r="K460">
        <v>1.054</v>
      </c>
      <c r="L460">
        <v>368.09679999999997</v>
      </c>
      <c r="M460">
        <v>0.99989910000000004</v>
      </c>
      <c r="N460">
        <v>0</v>
      </c>
      <c r="O460">
        <v>1.179257E-2</v>
      </c>
      <c r="P460">
        <v>0.99152719999999905</v>
      </c>
      <c r="Q460">
        <v>-4.3532609999999998E-3</v>
      </c>
      <c r="R460">
        <v>0.1298269</v>
      </c>
      <c r="S460">
        <v>3.01892099999999</v>
      </c>
      <c r="T460">
        <v>-0.1043323</v>
      </c>
      <c r="U460">
        <v>4.8553470000000001E-2</v>
      </c>
      <c r="V460">
        <v>-0.1181232</v>
      </c>
      <c r="W460">
        <v>3.5584530000000001E-3</v>
      </c>
      <c r="X460">
        <v>0.9929926</v>
      </c>
      <c r="Y460">
        <v>-4.2929170000000003E-3</v>
      </c>
      <c r="Z460">
        <v>-3.3323940000000001E-4</v>
      </c>
      <c r="AA460">
        <v>0.99999069999999901</v>
      </c>
      <c r="AB460">
        <v>21</v>
      </c>
      <c r="AC460">
        <v>30.377299999999899</v>
      </c>
      <c r="AD460">
        <v>-1.0540007614024001</v>
      </c>
      <c r="AE460">
        <v>0.48920000000003899</v>
      </c>
      <c r="AF460">
        <v>-0.13077091758398199</v>
      </c>
      <c r="AG460">
        <v>-1.0540007614024001</v>
      </c>
      <c r="AH460">
        <v>30.3444350821818</v>
      </c>
      <c r="AI460">
        <v>91.989325751792606</v>
      </c>
      <c r="AJ460">
        <v>90.246917606339395</v>
      </c>
      <c r="AK460">
        <v>30.363016304291399</v>
      </c>
    </row>
    <row r="461" spans="1:37" x14ac:dyDescent="0.2">
      <c r="A461" t="str">
        <f>"20200111155509953"</f>
        <v>20200111155509953</v>
      </c>
      <c r="B461" t="str">
        <f>"1578729309943626"</f>
        <v>1578729309943626</v>
      </c>
      <c r="C461" t="s">
        <v>37</v>
      </c>
      <c r="D461">
        <v>4.7197430000000002</v>
      </c>
      <c r="E461">
        <v>0.54370249999999998</v>
      </c>
      <c r="F461" t="s">
        <v>38</v>
      </c>
      <c r="G461">
        <v>-388.13909999999998</v>
      </c>
      <c r="H461" s="1">
        <v>-9.6641830000000007E-7</v>
      </c>
      <c r="I461">
        <v>368.56880000000001</v>
      </c>
      <c r="J461">
        <v>-418.87009999999998</v>
      </c>
      <c r="K461">
        <v>1.0540039999999999</v>
      </c>
      <c r="L461">
        <v>368.09800000000001</v>
      </c>
      <c r="M461">
        <v>0.99990109999999999</v>
      </c>
      <c r="N461">
        <v>0</v>
      </c>
      <c r="O461">
        <v>1.1598549999999999E-2</v>
      </c>
      <c r="P461">
        <v>0.9915988</v>
      </c>
      <c r="Q461">
        <v>-4.1699650000000003E-3</v>
      </c>
      <c r="R461">
        <v>0.1292845</v>
      </c>
      <c r="S461">
        <v>3.019104</v>
      </c>
      <c r="T461">
        <v>-0.1031548</v>
      </c>
      <c r="U461">
        <v>4.6203609999999999E-2</v>
      </c>
      <c r="V461">
        <v>-0.11777269999999899</v>
      </c>
      <c r="W461">
        <v>3.79830099999999E-3</v>
      </c>
      <c r="X461">
        <v>0.99303330000000001</v>
      </c>
      <c r="Y461">
        <v>-3.7079740000000002E-3</v>
      </c>
      <c r="Z461">
        <v>-3.328265E-4</v>
      </c>
      <c r="AA461">
        <v>0.99999309999999997</v>
      </c>
      <c r="AB461">
        <v>21</v>
      </c>
      <c r="AC461">
        <v>30.730999999999899</v>
      </c>
      <c r="AD461">
        <v>-1.0540049664183</v>
      </c>
      <c r="AE461">
        <v>0.470799999999997</v>
      </c>
      <c r="AF461">
        <v>-0.114187722335792</v>
      </c>
      <c r="AG461">
        <v>-1.0540049664183</v>
      </c>
      <c r="AH461">
        <v>30.698290429302201</v>
      </c>
      <c r="AI461">
        <v>91.966425642255501</v>
      </c>
      <c r="AJ461">
        <v>90.213120805651499</v>
      </c>
      <c r="AK461">
        <v>30.7165916173483</v>
      </c>
    </row>
    <row r="462" spans="1:37" x14ac:dyDescent="0.2">
      <c r="A462" t="str">
        <f>"20200111155509970"</f>
        <v>20200111155509970</v>
      </c>
      <c r="B462" t="str">
        <f>"1578729309963145"</f>
        <v>1578729309963145</v>
      </c>
      <c r="C462" t="s">
        <v>37</v>
      </c>
      <c r="D462">
        <v>4.7654269999999999</v>
      </c>
      <c r="E462">
        <v>0.54396610000000001</v>
      </c>
      <c r="F462" t="s">
        <v>38</v>
      </c>
      <c r="G462">
        <v>-387.70420000000001</v>
      </c>
      <c r="H462" s="1">
        <v>-1.1564170000000001E-6</v>
      </c>
      <c r="I462">
        <v>368.54969999999997</v>
      </c>
      <c r="J462">
        <v>-418.7097</v>
      </c>
      <c r="K462">
        <v>1.054014</v>
      </c>
      <c r="L462">
        <v>368.09949999999998</v>
      </c>
      <c r="M462">
        <v>0.99990349999999995</v>
      </c>
      <c r="N462">
        <v>0</v>
      </c>
      <c r="O462">
        <v>1.1331910000000001E-2</v>
      </c>
      <c r="P462">
        <v>0.99171559999999903</v>
      </c>
      <c r="Q462">
        <v>-3.8196809999999901E-3</v>
      </c>
      <c r="R462">
        <v>0.12839680000000001</v>
      </c>
      <c r="S462">
        <v>3.0192570000000001</v>
      </c>
      <c r="T462">
        <v>-0.1021085</v>
      </c>
      <c r="U462">
        <v>4.3762210000000003E-2</v>
      </c>
      <c r="V462">
        <v>-0.1171479</v>
      </c>
      <c r="W462">
        <v>4.2212509999999996E-3</v>
      </c>
      <c r="X462">
        <v>0.99310549999999997</v>
      </c>
      <c r="Y462">
        <v>-3.165494E-3</v>
      </c>
      <c r="Z462">
        <v>-3.2959459999999999E-4</v>
      </c>
      <c r="AA462">
        <v>0.99999490000000002</v>
      </c>
      <c r="AB462">
        <v>21</v>
      </c>
      <c r="AC462">
        <v>31.005499999999898</v>
      </c>
      <c r="AD462">
        <v>-1.0540151564169999</v>
      </c>
      <c r="AE462">
        <v>0.45019999999999499</v>
      </c>
      <c r="AF462">
        <v>-9.8694181449650906E-2</v>
      </c>
      <c r="AG462">
        <v>-1.0540151564169999</v>
      </c>
      <c r="AH462">
        <v>30.9728254866233</v>
      </c>
      <c r="AI462">
        <v>91.949031674245305</v>
      </c>
      <c r="AJ462">
        <v>90.182571038710506</v>
      </c>
      <c r="AK462">
        <v>30.990911685786699</v>
      </c>
    </row>
    <row r="463" spans="1:37" x14ac:dyDescent="0.2">
      <c r="A463" t="str">
        <f>"20200111155510211"</f>
        <v>20200111155510211</v>
      </c>
      <c r="B463" t="str">
        <f>"1578729310203241"</f>
        <v>1578729310203241</v>
      </c>
      <c r="C463" t="s">
        <v>37</v>
      </c>
      <c r="D463">
        <v>4.5338690000000001</v>
      </c>
      <c r="E463">
        <v>0.54435389999999995</v>
      </c>
      <c r="F463" t="s">
        <v>38</v>
      </c>
      <c r="G463">
        <v>-387.05529999999999</v>
      </c>
      <c r="H463" s="1">
        <v>-1.442586E-6</v>
      </c>
      <c r="I463">
        <v>368.50580000000002</v>
      </c>
      <c r="J463">
        <v>-416.44560000000001</v>
      </c>
      <c r="K463">
        <v>1.0539969999999901</v>
      </c>
      <c r="L463">
        <v>368.11590000000001</v>
      </c>
      <c r="M463">
        <v>0.99993840000000001</v>
      </c>
      <c r="N463">
        <v>0</v>
      </c>
      <c r="O463">
        <v>7.015271E-3</v>
      </c>
      <c r="P463">
        <v>0.99276330000000002</v>
      </c>
      <c r="Q463">
        <v>-3.7945279999999902E-3</v>
      </c>
      <c r="R463">
        <v>0.12002839999999999</v>
      </c>
      <c r="S463">
        <v>3.0196230000000002</v>
      </c>
      <c r="T463">
        <v>-0.100546</v>
      </c>
      <c r="U463">
        <v>3.8757319999999998E-2</v>
      </c>
      <c r="V463">
        <v>-0.11305750000000001</v>
      </c>
      <c r="W463">
        <v>4.845902E-3</v>
      </c>
      <c r="X463">
        <v>0.99357659999999903</v>
      </c>
      <c r="Y463">
        <v>-5.81949099999999E-3</v>
      </c>
      <c r="Z463">
        <v>-1.3666500000000001E-4</v>
      </c>
      <c r="AA463">
        <v>0.99998310000000001</v>
      </c>
      <c r="AB463">
        <v>21</v>
      </c>
      <c r="AC463">
        <v>29.3903</v>
      </c>
      <c r="AD463">
        <v>-1.0539984425859901</v>
      </c>
      <c r="AE463">
        <v>0.38990000000001102</v>
      </c>
      <c r="AF463">
        <v>-0.183465945854493</v>
      </c>
      <c r="AG463">
        <v>-1.0539984425859901</v>
      </c>
      <c r="AH463">
        <v>29.354566067811501</v>
      </c>
      <c r="AI463">
        <v>92.056325833994805</v>
      </c>
      <c r="AJ463">
        <v>90.358093779624795</v>
      </c>
      <c r="AK463">
        <v>29.374055244378098</v>
      </c>
    </row>
    <row r="464" spans="1:37" x14ac:dyDescent="0.2">
      <c r="A464" t="str">
        <f>"20200111155510241"</f>
        <v>20200111155510241</v>
      </c>
      <c r="B464" t="str">
        <f>"1578729310233497"</f>
        <v>1578729310233497</v>
      </c>
      <c r="C464" t="s">
        <v>37</v>
      </c>
      <c r="D464">
        <v>4.6849369999999997</v>
      </c>
      <c r="E464">
        <v>0.54443560000000002</v>
      </c>
      <c r="F464" t="s">
        <v>38</v>
      </c>
      <c r="G464">
        <v>-385.27530000000002</v>
      </c>
      <c r="H464" s="1">
        <v>-2.2562250000000002E-6</v>
      </c>
      <c r="I464">
        <v>368.2235</v>
      </c>
      <c r="J464">
        <v>-416.16250000000002</v>
      </c>
      <c r="K464">
        <v>1.05399</v>
      </c>
      <c r="L464">
        <v>368.11720000000003</v>
      </c>
      <c r="M464">
        <v>0.999942199999999</v>
      </c>
      <c r="N464">
        <v>0</v>
      </c>
      <c r="O464">
        <v>6.3970880000000004E-3</v>
      </c>
      <c r="P464">
        <v>0.99295689999999903</v>
      </c>
      <c r="Q464">
        <v>-3.8040190000000001E-3</v>
      </c>
      <c r="R464">
        <v>0.1184172</v>
      </c>
      <c r="S464">
        <v>3.020203</v>
      </c>
      <c r="T464">
        <v>-0.10212589999999901</v>
      </c>
      <c r="U464">
        <v>1.043701E-2</v>
      </c>
      <c r="V464">
        <v>-0.112059199999999</v>
      </c>
      <c r="W464">
        <v>4.8730830000000003E-3</v>
      </c>
      <c r="X464">
        <v>0.99368959999999995</v>
      </c>
      <c r="Y464">
        <v>2.9363129999999999E-3</v>
      </c>
      <c r="Z464">
        <v>-2.6588700000000002E-4</v>
      </c>
      <c r="AA464">
        <v>0.99999559999999998</v>
      </c>
      <c r="AB464">
        <v>21</v>
      </c>
      <c r="AC464">
        <v>30.8872</v>
      </c>
      <c r="AD464">
        <v>-1.0539922562249999</v>
      </c>
      <c r="AE464">
        <v>0.106299999999976</v>
      </c>
      <c r="AF464">
        <v>9.1191503521485098E-2</v>
      </c>
      <c r="AG464">
        <v>-1.0539922562249999</v>
      </c>
      <c r="AH464">
        <v>30.851323844510802</v>
      </c>
      <c r="AI464">
        <v>91.956660488010698</v>
      </c>
      <c r="AJ464">
        <v>89.830643472900107</v>
      </c>
      <c r="AK464">
        <v>30.869457373355001</v>
      </c>
    </row>
    <row r="465" spans="1:37" x14ac:dyDescent="0.2">
      <c r="A465" t="str">
        <f>"20200111155510252"</f>
        <v>20200111155510252</v>
      </c>
      <c r="B465" t="str">
        <f>"1578729310243257"</f>
        <v>1578729310243257</v>
      </c>
      <c r="C465" t="s">
        <v>37</v>
      </c>
      <c r="D465">
        <v>4.6355259999999996</v>
      </c>
      <c r="E465">
        <v>0.54448289999999999</v>
      </c>
      <c r="F465" t="s">
        <v>38</v>
      </c>
      <c r="G465">
        <v>-385.06819999999999</v>
      </c>
      <c r="H465" s="1">
        <v>-2.354841E-6</v>
      </c>
      <c r="I465">
        <v>368.16860000000003</v>
      </c>
      <c r="J465">
        <v>-416.05119999999999</v>
      </c>
      <c r="K465">
        <v>1.05399</v>
      </c>
      <c r="L465">
        <v>368.11759999999998</v>
      </c>
      <c r="M465">
        <v>0.99994369999999999</v>
      </c>
      <c r="N465">
        <v>0</v>
      </c>
      <c r="O465">
        <v>6.1525310000000001E-3</v>
      </c>
      <c r="P465">
        <v>0.99302009999999996</v>
      </c>
      <c r="Q465">
        <v>-3.727307E-3</v>
      </c>
      <c r="R465">
        <v>0.1178886</v>
      </c>
      <c r="S465">
        <v>3.0202939999999998</v>
      </c>
      <c r="T465">
        <v>-0.1023775</v>
      </c>
      <c r="U465">
        <v>5.0048829999999999E-3</v>
      </c>
      <c r="V465">
        <v>-0.111773</v>
      </c>
      <c r="W465">
        <v>4.9622499999999996E-3</v>
      </c>
      <c r="X465">
        <v>0.99372139999999998</v>
      </c>
      <c r="Y465">
        <v>4.4895899999999999E-3</v>
      </c>
      <c r="Z465">
        <v>-2.8456489999999999E-4</v>
      </c>
      <c r="AA465">
        <v>0.99998989999999999</v>
      </c>
      <c r="AB465">
        <v>21</v>
      </c>
      <c r="AC465">
        <v>30.983000000000001</v>
      </c>
      <c r="AD465">
        <v>-1.053992354841</v>
      </c>
      <c r="AE465">
        <v>5.1000000000044503E-2</v>
      </c>
      <c r="AF465">
        <v>0.13947055548005799</v>
      </c>
      <c r="AG465">
        <v>-1.053992354841</v>
      </c>
      <c r="AH465">
        <v>30.946914046750301</v>
      </c>
      <c r="AI465">
        <v>91.950610247456297</v>
      </c>
      <c r="AJ465">
        <v>89.741782974489098</v>
      </c>
      <c r="AK465">
        <v>30.965171417850399</v>
      </c>
    </row>
    <row r="466" spans="1:37" x14ac:dyDescent="0.2">
      <c r="A466" t="str">
        <f>"20200111155510265"</f>
        <v>20200111155510265</v>
      </c>
      <c r="B466" t="str">
        <f>"1578729310253018"</f>
        <v>1578729310253018</v>
      </c>
      <c r="C466" t="s">
        <v>37</v>
      </c>
      <c r="D466">
        <v>4.6126420000000001</v>
      </c>
      <c r="E466">
        <v>0.54451609999999995</v>
      </c>
      <c r="F466" t="s">
        <v>38</v>
      </c>
      <c r="G466">
        <v>-384.97160000000002</v>
      </c>
      <c r="H466" s="1">
        <v>-2.3997399999999999E-6</v>
      </c>
      <c r="I466">
        <v>368.14890000000003</v>
      </c>
      <c r="J466">
        <v>-415.9307</v>
      </c>
      <c r="K466">
        <v>1.054</v>
      </c>
      <c r="L466">
        <v>368.11810000000003</v>
      </c>
      <c r="M466">
        <v>0.99994519999999998</v>
      </c>
      <c r="N466">
        <v>0</v>
      </c>
      <c r="O466">
        <v>5.8877039999999997E-3</v>
      </c>
      <c r="P466">
        <v>0.99307479999999904</v>
      </c>
      <c r="Q466">
        <v>-3.1816639999999998E-3</v>
      </c>
      <c r="R466">
        <v>0.11744110000000001</v>
      </c>
      <c r="S466">
        <v>3.0203549999999999</v>
      </c>
      <c r="T466">
        <v>-0.102428399999999</v>
      </c>
      <c r="U466">
        <v>3.0517579999999999E-3</v>
      </c>
      <c r="V466">
        <v>-0.111587799999999</v>
      </c>
      <c r="W466">
        <v>5.5220479999999999E-3</v>
      </c>
      <c r="X466">
        <v>0.99373919999999905</v>
      </c>
      <c r="Y466">
        <v>4.8713580000000001E-3</v>
      </c>
      <c r="Z466">
        <v>-2.8219379999999997E-4</v>
      </c>
      <c r="AA466">
        <v>0.99998809999999905</v>
      </c>
      <c r="AB466">
        <v>21</v>
      </c>
      <c r="AC466">
        <v>30.9590999999999</v>
      </c>
      <c r="AD466">
        <v>-1.0540023997400001</v>
      </c>
      <c r="AE466">
        <v>3.07999999999992E-2</v>
      </c>
      <c r="AF466">
        <v>0.15131000294765901</v>
      </c>
      <c r="AG466">
        <v>-1.0540023997400001</v>
      </c>
      <c r="AH466">
        <v>30.922903187262801</v>
      </c>
      <c r="AI466">
        <v>91.952138723923895</v>
      </c>
      <c r="AJ466">
        <v>89.719646136540405</v>
      </c>
      <c r="AK466">
        <v>30.941230701193401</v>
      </c>
    </row>
    <row r="467" spans="1:37" x14ac:dyDescent="0.2">
      <c r="A467" t="str">
        <f>"20200111155510278"</f>
        <v>20200111155510278</v>
      </c>
      <c r="B467" t="str">
        <f>"1578729310273513"</f>
        <v>1578729310273513</v>
      </c>
      <c r="C467" t="s">
        <v>37</v>
      </c>
      <c r="D467">
        <v>4.6170019999999896</v>
      </c>
      <c r="E467">
        <v>0.54444090000000001</v>
      </c>
      <c r="F467" t="s">
        <v>38</v>
      </c>
      <c r="G467">
        <v>-384.45920000000001</v>
      </c>
      <c r="H467" s="1">
        <v>-2.6227679999999899E-6</v>
      </c>
      <c r="I467">
        <v>368.13099999999997</v>
      </c>
      <c r="J467">
        <v>-415.79860000000002</v>
      </c>
      <c r="K467">
        <v>1.054001</v>
      </c>
      <c r="L467">
        <v>368.11849999999998</v>
      </c>
      <c r="M467">
        <v>0.99994649999999996</v>
      </c>
      <c r="N467">
        <v>0</v>
      </c>
      <c r="O467">
        <v>5.5974819999999896E-3</v>
      </c>
      <c r="P467">
        <v>0.9931276</v>
      </c>
      <c r="Q467">
        <v>-2.7759029999999902E-3</v>
      </c>
      <c r="R467">
        <v>0.117003199999999</v>
      </c>
      <c r="S467">
        <v>3.0204469999999999</v>
      </c>
      <c r="T467">
        <v>-0.1011565</v>
      </c>
      <c r="U467">
        <v>1.2512210000000001E-3</v>
      </c>
      <c r="V467">
        <v>-0.111437799999999</v>
      </c>
      <c r="W467">
        <v>5.943566E-3</v>
      </c>
      <c r="X467">
        <v>0.99375360000000001</v>
      </c>
      <c r="Y467">
        <v>5.1774079999999997E-3</v>
      </c>
      <c r="Z467">
        <v>-2.7408949999999999E-4</v>
      </c>
      <c r="AA467">
        <v>0.99998659999999995</v>
      </c>
      <c r="AB467">
        <v>21</v>
      </c>
      <c r="AC467">
        <v>31.339400000000001</v>
      </c>
      <c r="AD467">
        <v>-1.0540036227680001</v>
      </c>
      <c r="AE467">
        <v>1.24999999999886E-2</v>
      </c>
      <c r="AF467">
        <v>0.16274447924407501</v>
      </c>
      <c r="AG467">
        <v>-1.0540036227680001</v>
      </c>
      <c r="AH467">
        <v>31.3035713554582</v>
      </c>
      <c r="AI467">
        <v>91.928416969951996</v>
      </c>
      <c r="AJ467">
        <v>89.702127029374694</v>
      </c>
      <c r="AK467">
        <v>31.3217334930332</v>
      </c>
    </row>
    <row r="468" spans="1:37" x14ac:dyDescent="0.2">
      <c r="A468" t="str">
        <f>"20200111155510294"</f>
        <v>20200111155510294</v>
      </c>
      <c r="B468" t="str">
        <f>"1578729310283273"</f>
        <v>1578729310283273</v>
      </c>
      <c r="C468" t="s">
        <v>37</v>
      </c>
      <c r="D468">
        <v>4.6121119999999998</v>
      </c>
      <c r="E468">
        <v>0.54443560000000002</v>
      </c>
      <c r="F468" t="s">
        <v>38</v>
      </c>
      <c r="G468">
        <v>-384.42399999999998</v>
      </c>
      <c r="H468" s="1">
        <v>-2.6393049999999998E-6</v>
      </c>
      <c r="I468">
        <v>368.12279999999998</v>
      </c>
      <c r="J468">
        <v>-415.64350000000002</v>
      </c>
      <c r="K468">
        <v>1.0540099999999999</v>
      </c>
      <c r="L468">
        <v>368.11900000000003</v>
      </c>
      <c r="M468">
        <v>0.99994830000000001</v>
      </c>
      <c r="N468">
        <v>0</v>
      </c>
      <c r="O468">
        <v>5.2571129999999999E-3</v>
      </c>
      <c r="P468">
        <v>0.99319590000000002</v>
      </c>
      <c r="Q468">
        <v>-2.3468569999999999E-3</v>
      </c>
      <c r="R468">
        <v>0.11643289999999901</v>
      </c>
      <c r="S468">
        <v>3.0204469999999999</v>
      </c>
      <c r="T468">
        <v>-0.1014694</v>
      </c>
      <c r="U468">
        <v>4.2724609999999998E-4</v>
      </c>
      <c r="V468">
        <v>-0.11120530000000001</v>
      </c>
      <c r="W468">
        <v>6.3936919999999899E-3</v>
      </c>
      <c r="X468">
        <v>0.99377689999999996</v>
      </c>
      <c r="Y468">
        <v>5.1100159999999898E-3</v>
      </c>
      <c r="Z468">
        <v>-2.6237379999999999E-4</v>
      </c>
      <c r="AA468">
        <v>0.99998690000000001</v>
      </c>
      <c r="AB468">
        <v>22</v>
      </c>
      <c r="AC468">
        <v>31.219499999999901</v>
      </c>
      <c r="AD468">
        <v>-1.054012639305</v>
      </c>
      <c r="AE468">
        <v>3.7999999999556102E-3</v>
      </c>
      <c r="AF468">
        <v>0.16014816766946499</v>
      </c>
      <c r="AG468">
        <v>-1.054012639305</v>
      </c>
      <c r="AH468">
        <v>31.183544619813201</v>
      </c>
      <c r="AI468">
        <v>91.935851068685693</v>
      </c>
      <c r="AJ468">
        <v>89.705750787905401</v>
      </c>
      <c r="AK468">
        <v>31.201763493996602</v>
      </c>
    </row>
    <row r="469" spans="1:37" x14ac:dyDescent="0.2">
      <c r="A469" t="str">
        <f>"20200111155510306"</f>
        <v>20200111155510306</v>
      </c>
      <c r="B469" t="str">
        <f>"1578729310302793"</f>
        <v>1578729310302793</v>
      </c>
      <c r="C469" t="s">
        <v>37</v>
      </c>
      <c r="D469">
        <v>4.5504639999999998</v>
      </c>
      <c r="E469">
        <v>0.54445549999999998</v>
      </c>
      <c r="F469" t="s">
        <v>38</v>
      </c>
      <c r="G469">
        <v>-384.12450000000001</v>
      </c>
      <c r="H469" s="1">
        <v>-2.7699559999999998E-6</v>
      </c>
      <c r="I469">
        <v>368.11059999999998</v>
      </c>
      <c r="J469">
        <v>-415.5317</v>
      </c>
      <c r="K469">
        <v>1.0540129999999901</v>
      </c>
      <c r="L469">
        <v>368.11930000000001</v>
      </c>
      <c r="M469">
        <v>0.99994950000000005</v>
      </c>
      <c r="N469">
        <v>0</v>
      </c>
      <c r="O469">
        <v>5.0127280000000001E-3</v>
      </c>
      <c r="P469">
        <v>0.99322459999999901</v>
      </c>
      <c r="Q469">
        <v>-2.3802879999999999E-3</v>
      </c>
      <c r="R469">
        <v>0.116186699999999</v>
      </c>
      <c r="S469">
        <v>3.020416</v>
      </c>
      <c r="T469">
        <v>-0.10100439999999999</v>
      </c>
      <c r="U469">
        <v>-7.9345700000000002E-4</v>
      </c>
      <c r="V469">
        <v>-0.111202</v>
      </c>
      <c r="W469">
        <v>6.375571E-3</v>
      </c>
      <c r="X469">
        <v>0.99377739999999903</v>
      </c>
      <c r="Y469">
        <v>5.2698650000000003E-3</v>
      </c>
      <c r="Z469">
        <v>-2.5567629999999998E-4</v>
      </c>
      <c r="AA469">
        <v>0.99998609999999899</v>
      </c>
      <c r="AB469">
        <v>22</v>
      </c>
      <c r="AC469">
        <v>31.4071999999999</v>
      </c>
      <c r="AD469">
        <v>-1.05401576995599</v>
      </c>
      <c r="AE469">
        <v>-8.7000000000330095E-3</v>
      </c>
      <c r="AF469">
        <v>0.16595470730032999</v>
      </c>
      <c r="AG469">
        <v>-1.05401576995599</v>
      </c>
      <c r="AH469">
        <v>31.3714296148197</v>
      </c>
      <c r="AI469">
        <v>91.924270070590595</v>
      </c>
      <c r="AJ469">
        <v>89.696908437345897</v>
      </c>
      <c r="AK469">
        <v>31.3895697053301</v>
      </c>
    </row>
    <row r="470" spans="1:37" x14ac:dyDescent="0.2">
      <c r="A470" t="str">
        <f>"20200111155510318"</f>
        <v>20200111155510318</v>
      </c>
      <c r="B470" t="str">
        <f>"1578729310313529"</f>
        <v>1578729310313529</v>
      </c>
      <c r="C470" t="s">
        <v>37</v>
      </c>
      <c r="D470">
        <v>4.823334</v>
      </c>
      <c r="E470">
        <v>0.54445080000000001</v>
      </c>
      <c r="F470" t="s">
        <v>38</v>
      </c>
      <c r="G470">
        <v>-384.31349999999998</v>
      </c>
      <c r="H470" s="1">
        <v>-2.6909249999999898E-6</v>
      </c>
      <c r="I470">
        <v>368.09899999999999</v>
      </c>
      <c r="J470">
        <v>-415.41419999999999</v>
      </c>
      <c r="K470">
        <v>1.0540160000000001</v>
      </c>
      <c r="L470">
        <v>368.11959999999999</v>
      </c>
      <c r="M470">
        <v>0.99995049999999996</v>
      </c>
      <c r="N470">
        <v>0</v>
      </c>
      <c r="O470">
        <v>4.7563570000000001E-3</v>
      </c>
      <c r="P470">
        <v>0.99327589999999999</v>
      </c>
      <c r="Q470">
        <v>-2.1521370000000001E-3</v>
      </c>
      <c r="R470">
        <v>0.1157517</v>
      </c>
      <c r="S470">
        <v>3.020416</v>
      </c>
      <c r="T470">
        <v>-0.10197769999999901</v>
      </c>
      <c r="U470">
        <v>-1.953125E-3</v>
      </c>
      <c r="V470">
        <v>-0.1110213</v>
      </c>
      <c r="W470">
        <v>6.6201849999999998E-3</v>
      </c>
      <c r="X470">
        <v>0.99379599999999901</v>
      </c>
      <c r="Y470">
        <v>5.3973859999999997E-3</v>
      </c>
      <c r="Z470">
        <v>-2.516374E-4</v>
      </c>
      <c r="AA470">
        <v>0.99998539999999903</v>
      </c>
      <c r="AB470">
        <v>22</v>
      </c>
      <c r="AC470">
        <v>31.1007</v>
      </c>
      <c r="AD470">
        <v>-1.054018690925</v>
      </c>
      <c r="AE470">
        <v>-2.06000000000017E-2</v>
      </c>
      <c r="AF470">
        <v>0.16833810084939799</v>
      </c>
      <c r="AG470">
        <v>-1.054018690925</v>
      </c>
      <c r="AH470">
        <v>31.064570470173599</v>
      </c>
      <c r="AI470">
        <v>91.943267753648499</v>
      </c>
      <c r="AJ470">
        <v>89.689518697486704</v>
      </c>
      <c r="AK470">
        <v>31.082902560948099</v>
      </c>
    </row>
    <row r="471" spans="1:37" x14ac:dyDescent="0.2">
      <c r="A471" t="str">
        <f>"20200111155510331"</f>
        <v>20200111155510331</v>
      </c>
      <c r="B471" t="str">
        <f>"1578729310323289"</f>
        <v>1578729310323289</v>
      </c>
      <c r="C471" t="s">
        <v>37</v>
      </c>
      <c r="D471">
        <v>4.57681</v>
      </c>
      <c r="E471">
        <v>0.54445569999999999</v>
      </c>
      <c r="F471" t="s">
        <v>38</v>
      </c>
      <c r="G471">
        <v>-383.98869999999999</v>
      </c>
      <c r="H471" s="1">
        <v>-2.8318219999999999E-6</v>
      </c>
      <c r="I471">
        <v>368.09030000000001</v>
      </c>
      <c r="J471">
        <v>-415.29309999999998</v>
      </c>
      <c r="K471">
        <v>1.0540179999999999</v>
      </c>
      <c r="L471">
        <v>368.1198</v>
      </c>
      <c r="M471">
        <v>0.99995149999999999</v>
      </c>
      <c r="N471">
        <v>0</v>
      </c>
      <c r="O471">
        <v>4.4928900000000003E-3</v>
      </c>
      <c r="P471">
        <v>0.99332469999999995</v>
      </c>
      <c r="Q471">
        <v>-1.881242E-3</v>
      </c>
      <c r="R471">
        <v>0.1153367</v>
      </c>
      <c r="S471">
        <v>3.0204469999999999</v>
      </c>
      <c r="T471">
        <v>-0.1013062</v>
      </c>
      <c r="U471">
        <v>-2.8076170000000001E-3</v>
      </c>
      <c r="V471">
        <v>-0.1108676</v>
      </c>
      <c r="W471">
        <v>6.90771099999999E-3</v>
      </c>
      <c r="X471">
        <v>0.99381119999999901</v>
      </c>
      <c r="Y471">
        <v>5.4170160000000002E-3</v>
      </c>
      <c r="Z471">
        <v>-2.41473499999999E-4</v>
      </c>
      <c r="AA471">
        <v>0.99998529999999997</v>
      </c>
      <c r="AB471">
        <v>22</v>
      </c>
      <c r="AC471">
        <v>31.304399999999902</v>
      </c>
      <c r="AD471">
        <v>-1.0540208318219999</v>
      </c>
      <c r="AE471">
        <v>-2.94999999999845E-2</v>
      </c>
      <c r="AF471">
        <v>0.16995965151105699</v>
      </c>
      <c r="AG471">
        <v>-1.0540208318219999</v>
      </c>
      <c r="AH471">
        <v>31.268503261055901</v>
      </c>
      <c r="AI471">
        <v>91.930607153377494</v>
      </c>
      <c r="AJ471">
        <v>89.688572403413204</v>
      </c>
      <c r="AK471">
        <v>31.2867246988834</v>
      </c>
    </row>
    <row r="472" spans="1:37" x14ac:dyDescent="0.2">
      <c r="A472" t="str">
        <f>"20200111155510342"</f>
        <v>20200111155510342</v>
      </c>
      <c r="B472" t="str">
        <f>"1578729310333050"</f>
        <v>1578729310333050</v>
      </c>
      <c r="C472" t="s">
        <v>37</v>
      </c>
      <c r="D472">
        <v>4.5713229999999996</v>
      </c>
      <c r="E472">
        <v>0.54444150000000002</v>
      </c>
      <c r="F472" t="s">
        <v>38</v>
      </c>
      <c r="G472">
        <v>-383.52170000000001</v>
      </c>
      <c r="H472" s="1">
        <v>-3.0345569999999898E-6</v>
      </c>
      <c r="I472">
        <v>368.07679999999999</v>
      </c>
      <c r="J472">
        <v>-415.18220000000002</v>
      </c>
      <c r="K472">
        <v>1.0540179999999999</v>
      </c>
      <c r="L472">
        <v>368.12009999999998</v>
      </c>
      <c r="M472">
        <v>0.99995259999999997</v>
      </c>
      <c r="N472">
        <v>0</v>
      </c>
      <c r="O472">
        <v>4.2526159999999999E-3</v>
      </c>
      <c r="P472">
        <v>0.99335209999999996</v>
      </c>
      <c r="Q472">
        <v>-1.848609E-3</v>
      </c>
      <c r="R472">
        <v>0.1151016</v>
      </c>
      <c r="S472">
        <v>3.0204469999999999</v>
      </c>
      <c r="T472">
        <v>-0.1002038</v>
      </c>
      <c r="U472">
        <v>-4.0893550000000002E-3</v>
      </c>
      <c r="V472">
        <v>-0.11087129999999901</v>
      </c>
      <c r="W472">
        <v>6.9549169999999997E-3</v>
      </c>
      <c r="X472">
        <v>0.99381039999999998</v>
      </c>
      <c r="Y472">
        <v>5.6012329999999997E-3</v>
      </c>
      <c r="Z472">
        <v>-2.3393289999999999E-4</v>
      </c>
      <c r="AA472">
        <v>0.99998430000000005</v>
      </c>
      <c r="AB472">
        <v>22</v>
      </c>
      <c r="AC472">
        <v>31.660499999999999</v>
      </c>
      <c r="AD472">
        <v>-1.054021034557</v>
      </c>
      <c r="AE472">
        <v>-4.3299999999987897E-2</v>
      </c>
      <c r="AF472">
        <v>0.17774772190639601</v>
      </c>
      <c r="AG472">
        <v>-1.054021034557</v>
      </c>
      <c r="AH472">
        <v>31.624979187774699</v>
      </c>
      <c r="AI472">
        <v>91.908860008107894</v>
      </c>
      <c r="AJ472">
        <v>89.677973320209801</v>
      </c>
      <c r="AK472">
        <v>31.643038147768301</v>
      </c>
    </row>
    <row r="473" spans="1:37" x14ac:dyDescent="0.2">
      <c r="A473" t="str">
        <f>"20200111155510355"</f>
        <v>20200111155510355</v>
      </c>
      <c r="B473" t="str">
        <f>"1578729310342810"</f>
        <v>1578729310342810</v>
      </c>
      <c r="C473" t="s">
        <v>37</v>
      </c>
      <c r="D473">
        <v>4.5705400000000003</v>
      </c>
      <c r="E473">
        <v>0.5444428</v>
      </c>
      <c r="F473" t="s">
        <v>38</v>
      </c>
      <c r="G473">
        <v>-383.57859999999999</v>
      </c>
      <c r="H473" s="1">
        <v>-3.0108839999999998E-6</v>
      </c>
      <c r="I473">
        <v>368.0727</v>
      </c>
      <c r="J473">
        <v>-415.05599999999998</v>
      </c>
      <c r="K473">
        <v>1.0540179999999999</v>
      </c>
      <c r="L473">
        <v>368.12029999999999</v>
      </c>
      <c r="M473">
        <v>0.99995339999999999</v>
      </c>
      <c r="N473">
        <v>0</v>
      </c>
      <c r="O473">
        <v>3.9796709999999997E-3</v>
      </c>
      <c r="P473">
        <v>0.99340490000000004</v>
      </c>
      <c r="Q473">
        <v>-1.4825649999999999E-3</v>
      </c>
      <c r="R473">
        <v>0.11464969999999999</v>
      </c>
      <c r="S473">
        <v>3.0203859999999998</v>
      </c>
      <c r="T473">
        <v>-0.1007335</v>
      </c>
      <c r="U473">
        <v>-4.5166019999999998E-3</v>
      </c>
      <c r="V473">
        <v>-0.1106905</v>
      </c>
      <c r="W473">
        <v>7.3373290000000001E-3</v>
      </c>
      <c r="X473">
        <v>0.99382780000000004</v>
      </c>
      <c r="Y473">
        <v>5.469926E-3</v>
      </c>
      <c r="Z473">
        <v>-2.238838E-4</v>
      </c>
      <c r="AA473">
        <v>0.99998500000000001</v>
      </c>
      <c r="AB473">
        <v>22</v>
      </c>
      <c r="AC473">
        <v>31.4773999999999</v>
      </c>
      <c r="AD473">
        <v>-1.054021010884</v>
      </c>
      <c r="AE473">
        <v>-4.7599999999988499E-2</v>
      </c>
      <c r="AF473">
        <v>0.17268054778469299</v>
      </c>
      <c r="AG473">
        <v>-1.054021010884</v>
      </c>
      <c r="AH473">
        <v>31.4417074720327</v>
      </c>
      <c r="AI473">
        <v>91.919979653910303</v>
      </c>
      <c r="AJ473">
        <v>89.685329840104004</v>
      </c>
      <c r="AK473">
        <v>31.459843413784501</v>
      </c>
    </row>
    <row r="474" spans="1:37" x14ac:dyDescent="0.2">
      <c r="A474" t="str">
        <f>"20200111155510374"</f>
        <v>20200111155510374</v>
      </c>
      <c r="B474" t="str">
        <f>"1578729310363306"</f>
        <v>1578729310363306</v>
      </c>
      <c r="C474" t="s">
        <v>37</v>
      </c>
      <c r="D474">
        <v>4.5689330000000004</v>
      </c>
      <c r="E474">
        <v>0.5444234</v>
      </c>
      <c r="F474" t="s">
        <v>38</v>
      </c>
      <c r="G474">
        <v>-383.30829999999997</v>
      </c>
      <c r="H474" s="1">
        <v>-3.1292890000000002E-6</v>
      </c>
      <c r="I474">
        <v>368.05900000000003</v>
      </c>
      <c r="J474">
        <v>-414.87920000000003</v>
      </c>
      <c r="K474">
        <v>1.054019</v>
      </c>
      <c r="L474">
        <v>368.12049999999999</v>
      </c>
      <c r="M474">
        <v>0.99995480000000003</v>
      </c>
      <c r="N474">
        <v>0</v>
      </c>
      <c r="O474">
        <v>3.5978020000000002E-3</v>
      </c>
      <c r="P474">
        <v>0.99347770000000002</v>
      </c>
      <c r="Q474">
        <v>-1.4975419999999999E-3</v>
      </c>
      <c r="R474">
        <v>0.11401749999999999</v>
      </c>
      <c r="S474">
        <v>3.0204469999999999</v>
      </c>
      <c r="T474">
        <v>-0.1002781</v>
      </c>
      <c r="U474">
        <v>-5.8288569999999998E-3</v>
      </c>
      <c r="V474">
        <v>-0.11043689999999901</v>
      </c>
      <c r="W474">
        <v>7.3444819999999899E-3</v>
      </c>
      <c r="X474">
        <v>0.99385599999999996</v>
      </c>
      <c r="Y474">
        <v>5.5226939999999999E-3</v>
      </c>
      <c r="Z474">
        <v>-2.11068499999999E-4</v>
      </c>
      <c r="AA474">
        <v>0.99998469999999995</v>
      </c>
      <c r="AB474">
        <v>22</v>
      </c>
      <c r="AC474">
        <v>31.570900000000002</v>
      </c>
      <c r="AD474">
        <v>-1.054022129289</v>
      </c>
      <c r="AE474">
        <v>-6.1499999999966803E-2</v>
      </c>
      <c r="AF474">
        <v>0.17489490813831901</v>
      </c>
      <c r="AG474">
        <v>-1.054022129289</v>
      </c>
      <c r="AH474">
        <v>31.535324715281099</v>
      </c>
      <c r="AI474">
        <v>91.914285619821698</v>
      </c>
      <c r="AJ474">
        <v>89.682240869649107</v>
      </c>
      <c r="AK474">
        <v>31.5534190821873</v>
      </c>
    </row>
    <row r="475" spans="1:37" x14ac:dyDescent="0.2">
      <c r="A475" t="str">
        <f>"20200111155510387"</f>
        <v>20200111155510387</v>
      </c>
      <c r="B475" t="str">
        <f>"1578729310382826"</f>
        <v>1578729310382826</v>
      </c>
      <c r="C475" t="s">
        <v>37</v>
      </c>
      <c r="D475">
        <v>4.5418859999999999</v>
      </c>
      <c r="E475">
        <v>0.54438989999999998</v>
      </c>
      <c r="F475" t="s">
        <v>38</v>
      </c>
      <c r="G475">
        <v>-383.44589999999999</v>
      </c>
      <c r="H475" s="1">
        <v>-3.0729689999999998E-6</v>
      </c>
      <c r="I475">
        <v>368.04360000000003</v>
      </c>
      <c r="J475">
        <v>-414.73869999999999</v>
      </c>
      <c r="K475">
        <v>1.0540179999999999</v>
      </c>
      <c r="L475">
        <v>368.1207</v>
      </c>
      <c r="M475">
        <v>0.9999555</v>
      </c>
      <c r="N475">
        <v>0</v>
      </c>
      <c r="O475">
        <v>3.2952909999999901E-3</v>
      </c>
      <c r="P475">
        <v>0.99354519999999902</v>
      </c>
      <c r="Q475">
        <v>-1.4083609999999999E-3</v>
      </c>
      <c r="R475">
        <v>0.1134279</v>
      </c>
      <c r="S475">
        <v>3.0203859999999998</v>
      </c>
      <c r="T475">
        <v>-0.1012796</v>
      </c>
      <c r="U475">
        <v>-7.385254E-3</v>
      </c>
      <c r="V475">
        <v>-0.110147699999999</v>
      </c>
      <c r="W475">
        <v>7.44986E-3</v>
      </c>
      <c r="X475">
        <v>0.99388729999999903</v>
      </c>
      <c r="Y475">
        <v>5.7354499999999996E-3</v>
      </c>
      <c r="Z475">
        <v>-2.0660430000000001E-4</v>
      </c>
      <c r="AA475">
        <v>0.99998349999999903</v>
      </c>
      <c r="AB475">
        <v>22</v>
      </c>
      <c r="AC475">
        <v>31.2928</v>
      </c>
      <c r="AD475">
        <v>-1.0540210729690001</v>
      </c>
      <c r="AE475">
        <v>-7.7099999999972996E-2</v>
      </c>
      <c r="AF475">
        <v>0.18001826066155399</v>
      </c>
      <c r="AG475">
        <v>-1.0540210729690001</v>
      </c>
      <c r="AH475">
        <v>31.256914823701901</v>
      </c>
      <c r="AI475">
        <v>91.931319323756895</v>
      </c>
      <c r="AJ475">
        <v>89.670019495167395</v>
      </c>
      <c r="AK475">
        <v>31.2751993006055</v>
      </c>
    </row>
    <row r="476" spans="1:37" x14ac:dyDescent="0.2">
      <c r="A476" t="str">
        <f>"20200111155510402"</f>
        <v>20200111155510402</v>
      </c>
      <c r="B476" t="str">
        <f>"1578729310393562"</f>
        <v>1578729310393562</v>
      </c>
      <c r="C476" t="s">
        <v>37</v>
      </c>
      <c r="D476">
        <v>4.5481699999999998</v>
      </c>
      <c r="E476">
        <v>0.54436430000000002</v>
      </c>
      <c r="F476" t="s">
        <v>38</v>
      </c>
      <c r="G476">
        <v>-383.43560000000002</v>
      </c>
      <c r="H476" s="1">
        <v>-3.0800810000000001E-6</v>
      </c>
      <c r="I476">
        <v>368.0283</v>
      </c>
      <c r="J476">
        <v>-414.60340000000002</v>
      </c>
      <c r="K476">
        <v>1.054014</v>
      </c>
      <c r="L476">
        <v>368.12090000000001</v>
      </c>
      <c r="M476">
        <v>0.99995639999999997</v>
      </c>
      <c r="N476">
        <v>0</v>
      </c>
      <c r="O476">
        <v>3.0043489999999999E-3</v>
      </c>
      <c r="P476">
        <v>0.99360469999999901</v>
      </c>
      <c r="Q476">
        <v>-1.6178E-3</v>
      </c>
      <c r="R476">
        <v>0.1129035</v>
      </c>
      <c r="S476">
        <v>3.0203549999999999</v>
      </c>
      <c r="T476">
        <v>-0.101699699999999</v>
      </c>
      <c r="U476">
        <v>-8.9111329999999999E-3</v>
      </c>
      <c r="V476">
        <v>-0.10991279999999901</v>
      </c>
      <c r="W476">
        <v>7.25531599999999E-3</v>
      </c>
      <c r="X476">
        <v>0.99391469999999904</v>
      </c>
      <c r="Y476">
        <v>5.9497109999999999E-3</v>
      </c>
      <c r="Z476">
        <v>-2.0127489999999999E-4</v>
      </c>
      <c r="AA476">
        <v>0.99998229999999999</v>
      </c>
      <c r="AB476">
        <v>22</v>
      </c>
      <c r="AC476">
        <v>31.1678</v>
      </c>
      <c r="AD476">
        <v>-1.054017080081</v>
      </c>
      <c r="AE476">
        <v>-9.2600000000004401E-2</v>
      </c>
      <c r="AF476">
        <v>0.18602944527264101</v>
      </c>
      <c r="AG476">
        <v>-1.054017080081</v>
      </c>
      <c r="AH476">
        <v>31.131778399730699</v>
      </c>
      <c r="AI476">
        <v>91.939066687936204</v>
      </c>
      <c r="AJ476">
        <v>89.657630377516796</v>
      </c>
      <c r="AK476">
        <v>31.150171513003698</v>
      </c>
    </row>
    <row r="477" spans="1:37" x14ac:dyDescent="0.2">
      <c r="A477" t="str">
        <f>"20200111155510473"</f>
        <v>20200111155510473</v>
      </c>
      <c r="B477" t="str">
        <f>"1578729310462858"</f>
        <v>1578729310462858</v>
      </c>
      <c r="C477" t="s">
        <v>37</v>
      </c>
      <c r="D477">
        <v>4.6211190000000002</v>
      </c>
      <c r="E477">
        <v>0.54427190000000003</v>
      </c>
      <c r="F477" t="s">
        <v>38</v>
      </c>
      <c r="G477">
        <v>-383.6533</v>
      </c>
      <c r="H477" s="1">
        <v>-2.9892079999999999E-6</v>
      </c>
      <c r="I477">
        <v>368.01420000000002</v>
      </c>
      <c r="J477">
        <v>-413.90030000000002</v>
      </c>
      <c r="K477">
        <v>1.0539959999999999</v>
      </c>
      <c r="L477">
        <v>368.12079999999997</v>
      </c>
      <c r="M477">
        <v>0.9999593</v>
      </c>
      <c r="N477">
        <v>0</v>
      </c>
      <c r="O477">
        <v>1.4917889999999899E-3</v>
      </c>
      <c r="P477">
        <v>0.99388920000000003</v>
      </c>
      <c r="Q477">
        <v>-3.5050440000000001E-3</v>
      </c>
      <c r="R477">
        <v>0.110328</v>
      </c>
      <c r="S477">
        <v>3.0203250000000001</v>
      </c>
      <c r="T477">
        <v>-0.10285809999999999</v>
      </c>
      <c r="U477">
        <v>-1.0406489999999999E-2</v>
      </c>
      <c r="V477">
        <v>-0.10884149999999999</v>
      </c>
      <c r="W477">
        <v>5.43669599999999E-3</v>
      </c>
      <c r="X477">
        <v>0.99404419999999905</v>
      </c>
      <c r="Y477">
        <v>4.9335789999999996E-3</v>
      </c>
      <c r="Z477">
        <v>-1.3477319999999999E-4</v>
      </c>
      <c r="AA477">
        <v>0.99998779999999998</v>
      </c>
      <c r="AB477">
        <v>22</v>
      </c>
      <c r="AC477">
        <v>30.247</v>
      </c>
      <c r="AD477">
        <v>-1.0539989892079999</v>
      </c>
      <c r="AE477">
        <v>-0.10659999999995701</v>
      </c>
      <c r="AF477">
        <v>0.15153980142399101</v>
      </c>
      <c r="AG477">
        <v>-1.0539989892079999</v>
      </c>
      <c r="AH477">
        <v>30.210124474600399</v>
      </c>
      <c r="AI477">
        <v>91.998152967702694</v>
      </c>
      <c r="AJ477">
        <v>89.712595748027596</v>
      </c>
      <c r="AK477">
        <v>30.2288851754661</v>
      </c>
    </row>
    <row r="478" spans="1:37" x14ac:dyDescent="0.2">
      <c r="A478" t="str">
        <f>"20200111155510486"</f>
        <v>20200111155510486</v>
      </c>
      <c r="B478" t="str">
        <f>"1578729310483353"</f>
        <v>1578729310483353</v>
      </c>
      <c r="C478" t="s">
        <v>37</v>
      </c>
      <c r="D478">
        <v>4.6459950000000001</v>
      </c>
      <c r="E478">
        <v>0.54418459999999902</v>
      </c>
      <c r="F478" t="s">
        <v>38</v>
      </c>
      <c r="G478">
        <v>-385.39339999999999</v>
      </c>
      <c r="H478" s="1">
        <v>-2.2525929999999998E-6</v>
      </c>
      <c r="I478">
        <v>367.95859999999999</v>
      </c>
      <c r="J478">
        <v>-413.77749999999997</v>
      </c>
      <c r="K478">
        <v>1.053992</v>
      </c>
      <c r="L478">
        <v>368.1207</v>
      </c>
      <c r="M478">
        <v>0.999959499999999</v>
      </c>
      <c r="N478">
        <v>0</v>
      </c>
      <c r="O478">
        <v>1.2274510000000001E-3</v>
      </c>
      <c r="P478">
        <v>0.99395730000000004</v>
      </c>
      <c r="Q478">
        <v>-3.7544409999999999E-3</v>
      </c>
      <c r="R478">
        <v>0.109704</v>
      </c>
      <c r="S478">
        <v>3.01992799999999</v>
      </c>
      <c r="T478">
        <v>-0.1116567</v>
      </c>
      <c r="U478">
        <v>-1.7181399999999999E-2</v>
      </c>
      <c r="V478">
        <v>-0.10847999999999999</v>
      </c>
      <c r="W478">
        <v>5.1973269999999998E-3</v>
      </c>
      <c r="X478">
        <v>0.99408510000000005</v>
      </c>
      <c r="Y478">
        <v>6.9111629999999997E-3</v>
      </c>
      <c r="Z478">
        <v>-1.7308849999999999E-4</v>
      </c>
      <c r="AA478">
        <v>0.99997610000000003</v>
      </c>
      <c r="AB478">
        <v>22</v>
      </c>
      <c r="AC478">
        <v>28.384099999999901</v>
      </c>
      <c r="AD478">
        <v>-1.0539942525929999</v>
      </c>
      <c r="AE478">
        <v>-0.16210000000000899</v>
      </c>
      <c r="AF478">
        <v>0.196670179058445</v>
      </c>
      <c r="AG478">
        <v>-1.0539942525929999</v>
      </c>
      <c r="AH478">
        <v>28.344796861418299</v>
      </c>
      <c r="AI478">
        <v>92.129497010393195</v>
      </c>
      <c r="AJ478">
        <v>89.602460005391606</v>
      </c>
      <c r="AK478">
        <v>28.365068167711101</v>
      </c>
    </row>
    <row r="479" spans="1:37" x14ac:dyDescent="0.2">
      <c r="A479" t="str">
        <f>"20200111155510498"</f>
        <v>20200111155510498</v>
      </c>
      <c r="B479" t="str">
        <f>"1578729310493113"</f>
        <v>1578729310493113</v>
      </c>
      <c r="C479" t="s">
        <v>37</v>
      </c>
      <c r="D479">
        <v>4.642182</v>
      </c>
      <c r="E479">
        <v>0.54416719999999996</v>
      </c>
      <c r="F479" t="s">
        <v>38</v>
      </c>
      <c r="G479">
        <v>-385.7285</v>
      </c>
      <c r="H479" s="1">
        <v>-2.1095989999999999E-6</v>
      </c>
      <c r="I479">
        <v>367.95429999999999</v>
      </c>
      <c r="J479">
        <v>-413.65370000000001</v>
      </c>
      <c r="K479">
        <v>1.053987</v>
      </c>
      <c r="L479">
        <v>368.12049999999999</v>
      </c>
      <c r="M479">
        <v>0.99995959999999995</v>
      </c>
      <c r="N479">
        <v>0</v>
      </c>
      <c r="O479">
        <v>9.6132659999999997E-4</v>
      </c>
      <c r="P479">
        <v>0.99402000000000001</v>
      </c>
      <c r="Q479">
        <v>-4.1069510000000002E-3</v>
      </c>
      <c r="R479">
        <v>0.109121</v>
      </c>
      <c r="S479">
        <v>3.0197449999999999</v>
      </c>
      <c r="T479">
        <v>-0.113472499999999</v>
      </c>
      <c r="U479">
        <v>-1.791382E-2</v>
      </c>
      <c r="V479">
        <v>-0.1081621</v>
      </c>
      <c r="W479">
        <v>4.8554389999999996E-3</v>
      </c>
      <c r="X479">
        <v>0.99412140000000004</v>
      </c>
      <c r="Y479">
        <v>6.8879299999999996E-3</v>
      </c>
      <c r="Z479">
        <v>-1.654786E-4</v>
      </c>
      <c r="AA479">
        <v>0.99997630000000004</v>
      </c>
      <c r="AB479">
        <v>22</v>
      </c>
      <c r="AC479">
        <v>27.9252</v>
      </c>
      <c r="AD479">
        <v>-1.0539891095989999</v>
      </c>
      <c r="AE479">
        <v>-0.16620000000000301</v>
      </c>
      <c r="AF479">
        <v>0.192771628613365</v>
      </c>
      <c r="AG479">
        <v>-1.0539891095989999</v>
      </c>
      <c r="AH479">
        <v>27.885304533272102</v>
      </c>
      <c r="AI479">
        <v>92.164543452798895</v>
      </c>
      <c r="AJ479">
        <v>89.603919520582807</v>
      </c>
      <c r="AK479">
        <v>27.9058822268223</v>
      </c>
    </row>
    <row r="480" spans="1:37" x14ac:dyDescent="0.2">
      <c r="A480" t="str">
        <f>"20200111155510510"</f>
        <v>20200111155510510</v>
      </c>
      <c r="B480" t="str">
        <f>"1578729310502874"</f>
        <v>1578729310502874</v>
      </c>
      <c r="C480" t="s">
        <v>37</v>
      </c>
      <c r="D480">
        <v>4.6479509999999999</v>
      </c>
      <c r="E480">
        <v>0.54412830000000001</v>
      </c>
      <c r="F480" t="s">
        <v>38</v>
      </c>
      <c r="G480">
        <v>-385.99509999999998</v>
      </c>
      <c r="H480" s="1">
        <v>-1.9979509999999999E-6</v>
      </c>
      <c r="I480">
        <v>367.93880000000001</v>
      </c>
      <c r="J480">
        <v>-413.52699999999999</v>
      </c>
      <c r="K480">
        <v>1.053984</v>
      </c>
      <c r="L480">
        <v>368.12029999999999</v>
      </c>
      <c r="M480">
        <v>0.99995979999999995</v>
      </c>
      <c r="N480">
        <v>0</v>
      </c>
      <c r="O480">
        <v>6.8828839999999895E-4</v>
      </c>
      <c r="P480">
        <v>0.99410599999999905</v>
      </c>
      <c r="Q480">
        <v>-4.5653880000000001E-3</v>
      </c>
      <c r="R480">
        <v>0.108317699999999</v>
      </c>
      <c r="S480">
        <v>3.0197449999999999</v>
      </c>
      <c r="T480">
        <v>-0.11507339999999899</v>
      </c>
      <c r="U480">
        <v>-1.9836429999999999E-2</v>
      </c>
      <c r="V480">
        <v>-0.107630399999999</v>
      </c>
      <c r="W480">
        <v>4.4062629999999997E-3</v>
      </c>
      <c r="X480">
        <v>0.99418119999999999</v>
      </c>
      <c r="Y480">
        <v>7.2513029999999997E-3</v>
      </c>
      <c r="Z480">
        <v>-1.643309E-4</v>
      </c>
      <c r="AA480">
        <v>0.99997369999999997</v>
      </c>
      <c r="AB480">
        <v>22</v>
      </c>
      <c r="AC480">
        <v>27.5319</v>
      </c>
      <c r="AD480">
        <v>-1.053985997951</v>
      </c>
      <c r="AE480">
        <v>-0.18149999999997099</v>
      </c>
      <c r="AF480">
        <v>0.20015727622802201</v>
      </c>
      <c r="AG480">
        <v>-1.053985997951</v>
      </c>
      <c r="AH480">
        <v>27.491480468698999</v>
      </c>
      <c r="AI480">
        <v>92.195508886287101</v>
      </c>
      <c r="AJ480">
        <v>89.582853875441202</v>
      </c>
      <c r="AK480">
        <v>27.5124053434076</v>
      </c>
    </row>
    <row r="481" spans="1:37" x14ac:dyDescent="0.2">
      <c r="A481" t="str">
        <f>"20200111155510523"</f>
        <v>20200111155510523</v>
      </c>
      <c r="B481" t="str">
        <f>"1578729310513609"</f>
        <v>1578729310513609</v>
      </c>
      <c r="C481" t="s">
        <v>37</v>
      </c>
      <c r="D481">
        <v>4.6420370000000002</v>
      </c>
      <c r="E481">
        <v>0.54408489999999998</v>
      </c>
      <c r="F481" t="s">
        <v>38</v>
      </c>
      <c r="G481">
        <v>-386.34019999999998</v>
      </c>
      <c r="H481" s="1">
        <v>-1.8525639999999999E-6</v>
      </c>
      <c r="I481">
        <v>367.92380000000003</v>
      </c>
      <c r="J481">
        <v>-413.41059999999999</v>
      </c>
      <c r="K481">
        <v>1.0539799999999999</v>
      </c>
      <c r="L481">
        <v>368.12009999999998</v>
      </c>
      <c r="M481">
        <v>0.99995990000000001</v>
      </c>
      <c r="N481">
        <v>0</v>
      </c>
      <c r="O481">
        <v>4.3760669999999899E-4</v>
      </c>
      <c r="P481">
        <v>0.99419080000000004</v>
      </c>
      <c r="Q481">
        <v>-4.8627219999999999E-3</v>
      </c>
      <c r="R481">
        <v>0.1075226</v>
      </c>
      <c r="S481">
        <v>3.0195919999999998</v>
      </c>
      <c r="T481">
        <v>-0.1170644</v>
      </c>
      <c r="U481">
        <v>-2.182007E-2</v>
      </c>
      <c r="V481">
        <v>-0.1070849</v>
      </c>
      <c r="W481">
        <v>4.1182559999999998E-3</v>
      </c>
      <c r="X481">
        <v>0.99424140000000005</v>
      </c>
      <c r="Y481">
        <v>7.6575069999999896E-3</v>
      </c>
      <c r="Z481">
        <v>-1.6533579999999999E-4</v>
      </c>
      <c r="AA481">
        <v>0.99997069999999999</v>
      </c>
      <c r="AB481">
        <v>22</v>
      </c>
      <c r="AC481">
        <v>27.070399999999999</v>
      </c>
      <c r="AD481">
        <v>-1.0539818525639999</v>
      </c>
      <c r="AE481">
        <v>-0.19629999999995101</v>
      </c>
      <c r="AF481">
        <v>0.20783160355020799</v>
      </c>
      <c r="AG481">
        <v>-1.0539818525639999</v>
      </c>
      <c r="AH481">
        <v>27.029339280488401</v>
      </c>
      <c r="AI481">
        <v>92.232993899066301</v>
      </c>
      <c r="AJ481">
        <v>89.559455044629303</v>
      </c>
      <c r="AK481">
        <v>27.050679356731901</v>
      </c>
    </row>
    <row r="482" spans="1:37" x14ac:dyDescent="0.2">
      <c r="A482" t="str">
        <f>"20200111155510552"</f>
        <v>20200111155510552</v>
      </c>
      <c r="B482" t="str">
        <f>"1578729310542889"</f>
        <v>1578729310542889</v>
      </c>
      <c r="C482" t="s">
        <v>37</v>
      </c>
      <c r="D482">
        <v>4.6521869999999996</v>
      </c>
      <c r="E482">
        <v>0.54404629999999998</v>
      </c>
      <c r="F482" t="s">
        <v>38</v>
      </c>
      <c r="G482">
        <v>-386.56959999999998</v>
      </c>
      <c r="H482" s="1">
        <v>-1.7566069999999901E-6</v>
      </c>
      <c r="I482">
        <v>367.9101</v>
      </c>
      <c r="J482">
        <v>-413.11660000000001</v>
      </c>
      <c r="K482">
        <v>1.0539700000000001</v>
      </c>
      <c r="L482">
        <v>368.11950000000002</v>
      </c>
      <c r="M482">
        <v>0.99995970000000001</v>
      </c>
      <c r="N482">
        <v>0</v>
      </c>
      <c r="O482">
        <v>-1.9496450000000001E-4</v>
      </c>
      <c r="P482">
        <v>0.99438099999999996</v>
      </c>
      <c r="Q482">
        <v>-6.5172269999999996E-3</v>
      </c>
      <c r="R482">
        <v>0.10565910000000001</v>
      </c>
      <c r="S482">
        <v>3.019501</v>
      </c>
      <c r="T482">
        <v>-0.1185682</v>
      </c>
      <c r="U482">
        <v>-2.362061E-2</v>
      </c>
      <c r="V482">
        <v>-0.1058513</v>
      </c>
      <c r="W482">
        <v>2.4846209999999998E-3</v>
      </c>
      <c r="X482">
        <v>0.99437889999999995</v>
      </c>
      <c r="Y482">
        <v>7.6217569999999998E-3</v>
      </c>
      <c r="Z482">
        <v>-1.4193069999999901E-4</v>
      </c>
      <c r="AA482">
        <v>0.99997099999999906</v>
      </c>
      <c r="AB482">
        <v>22</v>
      </c>
      <c r="AC482">
        <v>26.547000000000001</v>
      </c>
      <c r="AD482">
        <v>-1.0539717566069999</v>
      </c>
      <c r="AE482">
        <v>-0.20940000000001599</v>
      </c>
      <c r="AF482">
        <v>0.20390268189952701</v>
      </c>
      <c r="AG482">
        <v>-1.0539717566069999</v>
      </c>
      <c r="AH482">
        <v>26.505263812516699</v>
      </c>
      <c r="AI482">
        <v>92.277077899749301</v>
      </c>
      <c r="AJ482">
        <v>89.559237262094101</v>
      </c>
      <c r="AK482">
        <v>26.5269946005672</v>
      </c>
    </row>
    <row r="483" spans="1:37" x14ac:dyDescent="0.2">
      <c r="A483" t="str">
        <f>"20200111155510564"</f>
        <v>20200111155510564</v>
      </c>
      <c r="B483" t="str">
        <f>"1578729310553625"</f>
        <v>1578729310553625</v>
      </c>
      <c r="C483" t="s">
        <v>37</v>
      </c>
      <c r="D483">
        <v>4.6629440000000004</v>
      </c>
      <c r="E483">
        <v>0.54401299999999997</v>
      </c>
      <c r="F483" t="s">
        <v>38</v>
      </c>
      <c r="G483">
        <v>-387.56130000000002</v>
      </c>
      <c r="H483" s="1">
        <v>-1.337444E-6</v>
      </c>
      <c r="I483">
        <v>367.87450000000001</v>
      </c>
      <c r="J483">
        <v>-413.00279999999998</v>
      </c>
      <c r="K483">
        <v>1.053973</v>
      </c>
      <c r="L483">
        <v>368.11919999999998</v>
      </c>
      <c r="M483">
        <v>0.99995959999999995</v>
      </c>
      <c r="N483">
        <v>0</v>
      </c>
      <c r="O483">
        <v>-4.3985960000000001E-4</v>
      </c>
      <c r="P483">
        <v>0.99441769999999996</v>
      </c>
      <c r="Q483">
        <v>-7.0510569999999899E-3</v>
      </c>
      <c r="R483">
        <v>0.10528</v>
      </c>
      <c r="S483">
        <v>3.019196</v>
      </c>
      <c r="T483">
        <v>-0.12452009999999999</v>
      </c>
      <c r="U483">
        <v>-2.893066E-2</v>
      </c>
      <c r="V483">
        <v>-0.1057158</v>
      </c>
      <c r="W483">
        <v>1.9586709999999999E-3</v>
      </c>
      <c r="X483">
        <v>0.99439449999999996</v>
      </c>
      <c r="Y483">
        <v>9.1345530000000001E-3</v>
      </c>
      <c r="Z483">
        <v>-1.7014929999999999E-4</v>
      </c>
      <c r="AA483">
        <v>0.99995829999999997</v>
      </c>
      <c r="AB483">
        <v>22</v>
      </c>
      <c r="AC483">
        <v>25.441499999999898</v>
      </c>
      <c r="AD483">
        <v>-1.053974337444</v>
      </c>
      <c r="AE483">
        <v>-0.244699999999966</v>
      </c>
      <c r="AF483">
        <v>0.23310880672836301</v>
      </c>
      <c r="AG483">
        <v>-1.053974337444</v>
      </c>
      <c r="AH483">
        <v>25.398020448495998</v>
      </c>
      <c r="AI483">
        <v>92.376213259866205</v>
      </c>
      <c r="AJ483">
        <v>89.474141073363398</v>
      </c>
      <c r="AK483">
        <v>25.420948926465901</v>
      </c>
    </row>
    <row r="484" spans="1:37" x14ac:dyDescent="0.2">
      <c r="A484" t="str">
        <f>"20200111155510577"</f>
        <v>20200111155510577</v>
      </c>
      <c r="B484" t="str">
        <f>"1578729310573145"</f>
        <v>1578729310573145</v>
      </c>
      <c r="C484" t="s">
        <v>37</v>
      </c>
      <c r="D484">
        <v>4.6540280000000003</v>
      </c>
      <c r="E484">
        <v>0.54388760000000003</v>
      </c>
      <c r="F484" t="s">
        <v>38</v>
      </c>
      <c r="G484">
        <v>-387.86380000000003</v>
      </c>
      <c r="H484" s="1">
        <v>-1.2082740000000001E-6</v>
      </c>
      <c r="I484">
        <v>367.87130000000002</v>
      </c>
      <c r="J484">
        <v>-412.87889999999999</v>
      </c>
      <c r="K484">
        <v>1.0539689999999999</v>
      </c>
      <c r="L484">
        <v>368.11880000000002</v>
      </c>
      <c r="M484">
        <v>0.9999593</v>
      </c>
      <c r="N484">
        <v>0</v>
      </c>
      <c r="O484">
        <v>-7.0633399999999998E-4</v>
      </c>
      <c r="P484">
        <v>0.99449909999999997</v>
      </c>
      <c r="Q484">
        <v>-7.4747989999999999E-3</v>
      </c>
      <c r="R484">
        <v>0.1044793</v>
      </c>
      <c r="S484">
        <v>3.019104</v>
      </c>
      <c r="T484">
        <v>-0.12657789999999999</v>
      </c>
      <c r="U484">
        <v>-2.9754639999999999E-2</v>
      </c>
      <c r="V484">
        <v>-0.105181</v>
      </c>
      <c r="W484">
        <v>1.54287E-3</v>
      </c>
      <c r="X484">
        <v>0.99445190000000006</v>
      </c>
      <c r="Y484">
        <v>9.1412360000000005E-3</v>
      </c>
      <c r="Z484">
        <v>-1.619364E-4</v>
      </c>
      <c r="AA484">
        <v>0.99995820000000002</v>
      </c>
      <c r="AB484">
        <v>22</v>
      </c>
      <c r="AC484">
        <v>25.015099999999901</v>
      </c>
      <c r="AD484">
        <v>-1.0539702082739999</v>
      </c>
      <c r="AE484">
        <v>-0.247500000000002</v>
      </c>
      <c r="AF484">
        <v>0.22942297147785301</v>
      </c>
      <c r="AG484">
        <v>-1.0539702082739999</v>
      </c>
      <c r="AH484">
        <v>24.9709440037504</v>
      </c>
      <c r="AI484">
        <v>92.416796032525497</v>
      </c>
      <c r="AJ484">
        <v>89.473604276165602</v>
      </c>
      <c r="AK484">
        <v>24.994229984902699</v>
      </c>
    </row>
    <row r="485" spans="1:37" x14ac:dyDescent="0.2">
      <c r="A485" t="str">
        <f>"20200111155510589"</f>
        <v>20200111155510589</v>
      </c>
      <c r="B485" t="str">
        <f>"1578729310582908"</f>
        <v>1578729310582908</v>
      </c>
      <c r="C485" t="s">
        <v>37</v>
      </c>
      <c r="D485">
        <v>4.6192950000000002</v>
      </c>
      <c r="E485">
        <v>0.54383890000000001</v>
      </c>
      <c r="F485" t="s">
        <v>38</v>
      </c>
      <c r="G485">
        <v>-388.13299999999998</v>
      </c>
      <c r="H485" s="1">
        <v>-1.0942010000000001E-6</v>
      </c>
      <c r="I485">
        <v>367.86340000000001</v>
      </c>
      <c r="J485">
        <v>-412.74759999999998</v>
      </c>
      <c r="K485">
        <v>1.053965</v>
      </c>
      <c r="L485">
        <v>368.11840000000001</v>
      </c>
      <c r="M485">
        <v>0.99995909999999999</v>
      </c>
      <c r="N485">
        <v>0</v>
      </c>
      <c r="O485">
        <v>-9.8902090000000005E-4</v>
      </c>
      <c r="P485">
        <v>0.99455090000000002</v>
      </c>
      <c r="Q485">
        <v>-8.0637209999999994E-3</v>
      </c>
      <c r="R485">
        <v>0.1039388</v>
      </c>
      <c r="S485">
        <v>3.0188599999999899</v>
      </c>
      <c r="T485">
        <v>-0.12857789999999999</v>
      </c>
      <c r="U485">
        <v>-3.1158450000000001E-2</v>
      </c>
      <c r="V485">
        <v>-0.10492169999999899</v>
      </c>
      <c r="W485">
        <v>9.6208259999999897E-4</v>
      </c>
      <c r="X485">
        <v>0.99447999999999903</v>
      </c>
      <c r="Y485">
        <v>9.3241450000000007E-3</v>
      </c>
      <c r="Z485">
        <v>-1.563642E-4</v>
      </c>
      <c r="AA485">
        <v>0.99995650000000003</v>
      </c>
      <c r="AB485">
        <v>22</v>
      </c>
      <c r="AC485">
        <v>24.6145999999999</v>
      </c>
      <c r="AD485">
        <v>-1.0539660942010001</v>
      </c>
      <c r="AE485">
        <v>-0.25499999999999501</v>
      </c>
      <c r="AF485">
        <v>0.23023246451652901</v>
      </c>
      <c r="AG485">
        <v>-1.0539660942010001</v>
      </c>
      <c r="AH485">
        <v>24.5697976502987</v>
      </c>
      <c r="AI485">
        <v>92.456192917849506</v>
      </c>
      <c r="AJ485">
        <v>89.463122870059195</v>
      </c>
      <c r="AK485">
        <v>24.593470842727001</v>
      </c>
    </row>
    <row r="486" spans="1:37" x14ac:dyDescent="0.2">
      <c r="A486" t="str">
        <f>"20200111155510617"</f>
        <v>20200111155510617</v>
      </c>
      <c r="B486" t="str">
        <f>"1578729310612693"</f>
        <v>1578729310612693</v>
      </c>
      <c r="C486" t="s">
        <v>37</v>
      </c>
      <c r="D486">
        <v>4.5638170000000002</v>
      </c>
      <c r="E486">
        <v>0.54374659999999997</v>
      </c>
      <c r="F486" t="s">
        <v>38</v>
      </c>
      <c r="G486">
        <v>-388.42250000000001</v>
      </c>
      <c r="H486" s="1">
        <v>-9.9121170000000002E-7</v>
      </c>
      <c r="I486">
        <v>367.8562</v>
      </c>
      <c r="J486">
        <v>-412.46449999999999</v>
      </c>
      <c r="K486">
        <v>1.0539609999999999</v>
      </c>
      <c r="L486">
        <v>368.11739999999998</v>
      </c>
      <c r="M486">
        <v>0.99995820000000002</v>
      </c>
      <c r="N486">
        <v>0</v>
      </c>
      <c r="O486">
        <v>-1.5982679999999999E-3</v>
      </c>
      <c r="P486">
        <v>0.99466189999999999</v>
      </c>
      <c r="Q486">
        <v>-8.9785090000000008E-3</v>
      </c>
      <c r="R486">
        <v>0.1027971</v>
      </c>
      <c r="S486">
        <v>3.018799</v>
      </c>
      <c r="T486">
        <v>-0.1307992</v>
      </c>
      <c r="U486">
        <v>-3.2531740000000003E-2</v>
      </c>
      <c r="V486">
        <v>-0.10438689999999901</v>
      </c>
      <c r="W486" s="1">
        <v>6.4392219999999896E-5</v>
      </c>
      <c r="X486">
        <v>0.9945368</v>
      </c>
      <c r="Y486">
        <v>9.1704040000000001E-3</v>
      </c>
      <c r="Z486">
        <v>-1.2935139999999999E-4</v>
      </c>
      <c r="AA486">
        <v>0.99995789999999996</v>
      </c>
      <c r="AB486">
        <v>22</v>
      </c>
      <c r="AC486">
        <v>24.041999999999899</v>
      </c>
      <c r="AD486">
        <v>-1.0539619912117</v>
      </c>
      <c r="AE486">
        <v>-0.26119999999997301</v>
      </c>
      <c r="AF486">
        <v>0.222345296656588</v>
      </c>
      <c r="AG486">
        <v>-1.0539619912117</v>
      </c>
      <c r="AH486">
        <v>23.996276118363699</v>
      </c>
      <c r="AI486">
        <v>92.514815191165297</v>
      </c>
      <c r="AJ486">
        <v>89.469122522802095</v>
      </c>
      <c r="AK486">
        <v>24.020440063800201</v>
      </c>
    </row>
    <row r="487" spans="1:37" x14ac:dyDescent="0.2">
      <c r="A487" t="str">
        <f>"20200111155510629"</f>
        <v>20200111155510629</v>
      </c>
      <c r="B487" t="str">
        <f>"1578729310623429"</f>
        <v>1578729310623429</v>
      </c>
      <c r="C487" t="s">
        <v>37</v>
      </c>
      <c r="D487">
        <v>4.5574250000000003</v>
      </c>
      <c r="E487">
        <v>0.543695699999999</v>
      </c>
      <c r="F487" t="s">
        <v>38</v>
      </c>
      <c r="G487">
        <v>-388.75689999999997</v>
      </c>
      <c r="H487" s="1">
        <v>-8.8106859999999899E-7</v>
      </c>
      <c r="I487">
        <v>367.8424</v>
      </c>
      <c r="J487">
        <v>-412.3528</v>
      </c>
      <c r="K487">
        <v>1.0539620000000001</v>
      </c>
      <c r="L487">
        <v>368.11689999999999</v>
      </c>
      <c r="M487">
        <v>0.99995769999999995</v>
      </c>
      <c r="N487">
        <v>0</v>
      </c>
      <c r="O487">
        <v>-1.8383970000000001E-3</v>
      </c>
      <c r="P487">
        <v>0.994695199999999</v>
      </c>
      <c r="Q487">
        <v>-9.2138259999999996E-3</v>
      </c>
      <c r="R487">
        <v>0.102454399999999</v>
      </c>
      <c r="S487">
        <v>3.018494</v>
      </c>
      <c r="T487">
        <v>-0.134191899999999</v>
      </c>
      <c r="U487">
        <v>-3.5003659999999999E-2</v>
      </c>
      <c r="V487">
        <v>-0.1042835</v>
      </c>
      <c r="W487">
        <v>-1.628604E-4</v>
      </c>
      <c r="X487">
        <v>0.99454759999999998</v>
      </c>
      <c r="Y487">
        <v>9.749443E-3</v>
      </c>
      <c r="Z487">
        <v>-1.3491039999999999E-4</v>
      </c>
      <c r="AA487">
        <v>0.99995239999999996</v>
      </c>
      <c r="AB487">
        <v>22</v>
      </c>
      <c r="AC487">
        <v>23.5959</v>
      </c>
      <c r="AD487">
        <v>-1.0539628810685999</v>
      </c>
      <c r="AE487">
        <v>-0.27449999999998898</v>
      </c>
      <c r="AF487">
        <v>0.230659003502483</v>
      </c>
      <c r="AG487">
        <v>-1.0539628810685999</v>
      </c>
      <c r="AH487">
        <v>23.549386368451199</v>
      </c>
      <c r="AI487">
        <v>92.562464339368702</v>
      </c>
      <c r="AJ487">
        <v>89.438823390059497</v>
      </c>
      <c r="AK487">
        <v>23.574088310286001</v>
      </c>
    </row>
    <row r="488" spans="1:37" x14ac:dyDescent="0.2">
      <c r="A488" t="str">
        <f>"20200111155510641"</f>
        <v>20200111155510641</v>
      </c>
      <c r="B488" t="str">
        <f>"1578729310633189"</f>
        <v>1578729310633189</v>
      </c>
      <c r="C488" t="s">
        <v>37</v>
      </c>
      <c r="D488">
        <v>4.5212459999999997</v>
      </c>
      <c r="E488">
        <v>0.54362769999999905</v>
      </c>
      <c r="F488" t="s">
        <v>38</v>
      </c>
      <c r="G488">
        <v>-388.834</v>
      </c>
      <c r="H488" s="1">
        <v>-8.5602099999999903E-7</v>
      </c>
      <c r="I488">
        <v>367.83800000000002</v>
      </c>
      <c r="J488">
        <v>-412.22859999999997</v>
      </c>
      <c r="K488">
        <v>1.0539620000000001</v>
      </c>
      <c r="L488">
        <v>368.1164</v>
      </c>
      <c r="M488">
        <v>0.99995710000000004</v>
      </c>
      <c r="N488">
        <v>0</v>
      </c>
      <c r="O488">
        <v>-2.1057139999999998E-3</v>
      </c>
      <c r="P488">
        <v>0.99472490000000002</v>
      </c>
      <c r="Q488">
        <v>-9.190953E-3</v>
      </c>
      <c r="R488">
        <v>0.1021672</v>
      </c>
      <c r="S488">
        <v>3.0184329999999999</v>
      </c>
      <c r="T488">
        <v>-0.13526649999999901</v>
      </c>
      <c r="U488">
        <v>-3.5797120000000002E-2</v>
      </c>
      <c r="V488">
        <v>-0.1042621</v>
      </c>
      <c r="W488">
        <v>-1.3036840000000001E-4</v>
      </c>
      <c r="X488">
        <v>0.99454989999999999</v>
      </c>
      <c r="Y488">
        <v>9.7453290000000005E-3</v>
      </c>
      <c r="Z488">
        <v>-1.239267E-4</v>
      </c>
      <c r="AA488">
        <v>0.99995249999999902</v>
      </c>
      <c r="AB488">
        <v>22</v>
      </c>
      <c r="AC488">
        <v>23.394599999999901</v>
      </c>
      <c r="AD488">
        <v>-1.0539628560209999</v>
      </c>
      <c r="AE488">
        <v>-0.278399999999976</v>
      </c>
      <c r="AF488">
        <v>0.22867098733177599</v>
      </c>
      <c r="AG488">
        <v>-1.0539628560209999</v>
      </c>
      <c r="AH488">
        <v>23.347753521330201</v>
      </c>
      <c r="AI488">
        <v>92.584564035376502</v>
      </c>
      <c r="AJ488">
        <v>89.438855496288795</v>
      </c>
      <c r="AK488">
        <v>23.372649028621201</v>
      </c>
    </row>
    <row r="489" spans="1:37" x14ac:dyDescent="0.2">
      <c r="A489" t="str">
        <f>"20200111155510653"</f>
        <v>20200111155510653</v>
      </c>
      <c r="B489" t="str">
        <f>"1578729310642948"</f>
        <v>1578729310642948</v>
      </c>
      <c r="C489" t="s">
        <v>37</v>
      </c>
      <c r="D489">
        <v>4.5290160000000004</v>
      </c>
      <c r="E489">
        <v>0.54356139999999997</v>
      </c>
      <c r="F489" t="s">
        <v>38</v>
      </c>
      <c r="G489">
        <v>-388.73630000000003</v>
      </c>
      <c r="H489" s="1">
        <v>-8.898316E-7</v>
      </c>
      <c r="I489">
        <v>367.83580000000001</v>
      </c>
      <c r="J489">
        <v>-412.10599999999999</v>
      </c>
      <c r="K489">
        <v>1.0539620000000001</v>
      </c>
      <c r="L489">
        <v>368.11590000000001</v>
      </c>
      <c r="M489">
        <v>0.99995630000000002</v>
      </c>
      <c r="N489">
        <v>0</v>
      </c>
      <c r="O489">
        <v>-2.3692229999999902E-3</v>
      </c>
      <c r="P489">
        <v>0.99475179999999996</v>
      </c>
      <c r="Q489">
        <v>-8.9655619999999998E-3</v>
      </c>
      <c r="R489">
        <v>0.1019241</v>
      </c>
      <c r="S489">
        <v>3.0183719999999998</v>
      </c>
      <c r="T489">
        <v>-0.13541639999999999</v>
      </c>
      <c r="U489">
        <v>-3.6041259999999999E-2</v>
      </c>
      <c r="V489">
        <v>-0.1042806</v>
      </c>
      <c r="W489">
        <v>1.06159899999999E-4</v>
      </c>
      <c r="X489">
        <v>0.99454789999999904</v>
      </c>
      <c r="Y489">
        <v>9.5633599999999999E-3</v>
      </c>
      <c r="Z489">
        <v>-1.081705E-4</v>
      </c>
      <c r="AA489">
        <v>0.99995429999999996</v>
      </c>
      <c r="AB489">
        <v>22</v>
      </c>
      <c r="AC489">
        <v>23.369699999999899</v>
      </c>
      <c r="AD489">
        <v>-1.0539628898316</v>
      </c>
      <c r="AE489">
        <v>-0.28010000000000401</v>
      </c>
      <c r="AF489">
        <v>0.22427282030770199</v>
      </c>
      <c r="AG489">
        <v>-1.0539628898316</v>
      </c>
      <c r="AH489">
        <v>23.322866873116901</v>
      </c>
      <c r="AI489">
        <v>92.587322696083305</v>
      </c>
      <c r="AJ489">
        <v>89.449060439734396</v>
      </c>
      <c r="AK489">
        <v>23.3477462563778</v>
      </c>
    </row>
    <row r="490" spans="1:37" x14ac:dyDescent="0.2">
      <c r="A490" t="str">
        <f>"20200111155510666"</f>
        <v>20200111155510666</v>
      </c>
      <c r="B490" t="str">
        <f>"1578729310663445"</f>
        <v>1578729310663445</v>
      </c>
      <c r="C490" t="s">
        <v>37</v>
      </c>
      <c r="D490">
        <v>4.4818339999999903</v>
      </c>
      <c r="E490">
        <v>0.54342109999999899</v>
      </c>
      <c r="F490" t="s">
        <v>38</v>
      </c>
      <c r="G490">
        <v>-388.5104</v>
      </c>
      <c r="H490" s="1">
        <v>-9.6724089999999995E-7</v>
      </c>
      <c r="I490">
        <v>367.8338</v>
      </c>
      <c r="J490">
        <v>-411.97989999999999</v>
      </c>
      <c r="K490">
        <v>1.05396</v>
      </c>
      <c r="L490">
        <v>368.11520000000002</v>
      </c>
      <c r="M490">
        <v>0.99995560000000006</v>
      </c>
      <c r="N490">
        <v>0</v>
      </c>
      <c r="O490">
        <v>-2.6407240000000001E-3</v>
      </c>
      <c r="P490">
        <v>0.99477680000000002</v>
      </c>
      <c r="Q490">
        <v>-8.9643029999999999E-3</v>
      </c>
      <c r="R490">
        <v>0.10168049999999999</v>
      </c>
      <c r="S490">
        <v>3.0183110000000002</v>
      </c>
      <c r="T490">
        <v>-0.13482069999999999</v>
      </c>
      <c r="U490">
        <v>-3.6071779999999998E-2</v>
      </c>
      <c r="V490">
        <v>-0.104307199999999</v>
      </c>
      <c r="W490">
        <v>1.199881E-4</v>
      </c>
      <c r="X490">
        <v>0.99454509999999996</v>
      </c>
      <c r="Y490">
        <v>9.3028039999999996E-3</v>
      </c>
      <c r="Z490" s="1">
        <v>-8.9759989999999994E-5</v>
      </c>
      <c r="AA490">
        <v>0.99995669999999903</v>
      </c>
      <c r="AB490">
        <v>22</v>
      </c>
      <c r="AC490">
        <v>23.469499999999901</v>
      </c>
      <c r="AD490">
        <v>-1.0539609672409</v>
      </c>
      <c r="AE490">
        <v>-0.28140000000001902</v>
      </c>
      <c r="AF490">
        <v>0.21897846061665799</v>
      </c>
      <c r="AG490">
        <v>-1.0539609672409</v>
      </c>
      <c r="AH490">
        <v>23.4229310478513</v>
      </c>
      <c r="AI490">
        <v>92.576286244498505</v>
      </c>
      <c r="AJ490">
        <v>89.464363530717506</v>
      </c>
      <c r="AK490">
        <v>23.447654129125102</v>
      </c>
    </row>
    <row r="491" spans="1:37" x14ac:dyDescent="0.2">
      <c r="A491" t="str">
        <f>"20200111155510680"</f>
        <v>20200111155510680</v>
      </c>
      <c r="B491" t="str">
        <f>"1578729310673205"</f>
        <v>1578729310673205</v>
      </c>
      <c r="C491" t="s">
        <v>37</v>
      </c>
      <c r="D491">
        <v>4.5143190000000004</v>
      </c>
      <c r="E491">
        <v>0.54335959999999905</v>
      </c>
      <c r="F491" t="s">
        <v>38</v>
      </c>
      <c r="G491">
        <v>-388.3913</v>
      </c>
      <c r="H491" s="1">
        <v>-1.007291E-6</v>
      </c>
      <c r="I491">
        <v>367.8356</v>
      </c>
      <c r="J491">
        <v>-411.84769999999997</v>
      </c>
      <c r="K491">
        <v>1.05396</v>
      </c>
      <c r="L491">
        <v>368.1146</v>
      </c>
      <c r="M491">
        <v>0.99995449999999997</v>
      </c>
      <c r="N491">
        <v>0</v>
      </c>
      <c r="O491">
        <v>-2.925104E-3</v>
      </c>
      <c r="P491">
        <v>0.99479030000000002</v>
      </c>
      <c r="Q491">
        <v>-8.8361240000000008E-3</v>
      </c>
      <c r="R491">
        <v>0.1015588</v>
      </c>
      <c r="S491">
        <v>3.0181879999999999</v>
      </c>
      <c r="T491">
        <v>-0.1348549</v>
      </c>
      <c r="U491">
        <v>-3.5766600000000003E-2</v>
      </c>
      <c r="V491">
        <v>-0.104467899999999</v>
      </c>
      <c r="W491">
        <v>2.6113180000000001E-4</v>
      </c>
      <c r="X491">
        <v>0.99452819999999997</v>
      </c>
      <c r="Y491">
        <v>8.9184750000000004E-3</v>
      </c>
      <c r="Z491" s="1">
        <v>-6.8504989999999995E-5</v>
      </c>
      <c r="AA491">
        <v>0.99996019999999897</v>
      </c>
      <c r="AB491">
        <v>22</v>
      </c>
      <c r="AC491">
        <v>23.456399999999899</v>
      </c>
      <c r="AD491">
        <v>-1.053961007291</v>
      </c>
      <c r="AE491">
        <v>-0.27899999999999597</v>
      </c>
      <c r="AF491">
        <v>0.20995972938329799</v>
      </c>
      <c r="AG491">
        <v>-1.053961007291</v>
      </c>
      <c r="AH491">
        <v>23.409859043053199</v>
      </c>
      <c r="AI491">
        <v>92.577731953393595</v>
      </c>
      <c r="AJ491">
        <v>89.4861359996289</v>
      </c>
      <c r="AK491">
        <v>23.434513378956101</v>
      </c>
    </row>
    <row r="492" spans="1:37" x14ac:dyDescent="0.2">
      <c r="A492" t="str">
        <f>"20200111155510763"</f>
        <v>20200111155510763</v>
      </c>
      <c r="B492" t="str">
        <f>"1578729310752768"</f>
        <v>1578729310752768</v>
      </c>
      <c r="C492" t="s">
        <v>37</v>
      </c>
      <c r="D492">
        <v>4.4204660000000002</v>
      </c>
      <c r="E492">
        <v>0.54328759999999998</v>
      </c>
      <c r="F492" t="s">
        <v>38</v>
      </c>
      <c r="G492">
        <v>-388.18819999999999</v>
      </c>
      <c r="H492" s="1">
        <v>-1.0760139999999999E-6</v>
      </c>
      <c r="I492">
        <v>367.83710000000002</v>
      </c>
      <c r="J492">
        <v>-411.00380000000001</v>
      </c>
      <c r="K492">
        <v>1.053987</v>
      </c>
      <c r="L492">
        <v>368.10950000000003</v>
      </c>
      <c r="M492">
        <v>0.99994699999999903</v>
      </c>
      <c r="N492">
        <v>0</v>
      </c>
      <c r="O492">
        <v>-4.7370099999999998E-3</v>
      </c>
      <c r="P492">
        <v>0.99506459999999997</v>
      </c>
      <c r="Q492">
        <v>-6.5976159999999997E-3</v>
      </c>
      <c r="R492">
        <v>9.9010390000000004E-2</v>
      </c>
      <c r="S492">
        <v>3.0181580000000001</v>
      </c>
      <c r="T492">
        <v>-0.13444970000000001</v>
      </c>
      <c r="U492">
        <v>-3.5400389999999997E-2</v>
      </c>
      <c r="V492">
        <v>-0.1037216</v>
      </c>
      <c r="W492">
        <v>2.5799880000000001E-3</v>
      </c>
      <c r="X492">
        <v>0.99460300000000001</v>
      </c>
      <c r="Y492">
        <v>6.9890849999999999E-3</v>
      </c>
      <c r="Z492" s="1">
        <v>5.5325550000000001E-5</v>
      </c>
      <c r="AA492">
        <v>0.99997559999999996</v>
      </c>
      <c r="AB492">
        <v>23</v>
      </c>
      <c r="AC492">
        <v>22.8156</v>
      </c>
      <c r="AD492">
        <v>-1.0539880760139999</v>
      </c>
      <c r="AE492">
        <v>-0.27240000000000397</v>
      </c>
      <c r="AF492">
        <v>0.16396484075766901</v>
      </c>
      <c r="AG492">
        <v>-1.0539880760139999</v>
      </c>
      <c r="AH492">
        <v>22.768052834410199</v>
      </c>
      <c r="AI492">
        <v>92.650398961265196</v>
      </c>
      <c r="AJ492">
        <v>89.5873897943126</v>
      </c>
      <c r="AK492">
        <v>22.793025363121</v>
      </c>
    </row>
    <row r="493" spans="1:37" x14ac:dyDescent="0.2">
      <c r="A493" t="str">
        <f>"20200111155510775"</f>
        <v>20200111155510775</v>
      </c>
      <c r="B493" t="str">
        <f>"1578729310763504"</f>
        <v>1578729310763504</v>
      </c>
      <c r="C493" t="s">
        <v>37</v>
      </c>
      <c r="D493">
        <v>4.4671159999999999</v>
      </c>
      <c r="E493">
        <v>0.54322740000000003</v>
      </c>
      <c r="F493" t="s">
        <v>38</v>
      </c>
      <c r="G493">
        <v>-386.16899999999998</v>
      </c>
      <c r="H493" s="1">
        <v>-1.9556360000000001E-6</v>
      </c>
      <c r="I493">
        <v>367.75689999999997</v>
      </c>
      <c r="J493">
        <v>-410.88220000000001</v>
      </c>
      <c r="K493">
        <v>1.05399</v>
      </c>
      <c r="L493">
        <v>368.10860000000002</v>
      </c>
      <c r="M493">
        <v>0.99994559999999999</v>
      </c>
      <c r="N493">
        <v>0</v>
      </c>
      <c r="O493">
        <v>-4.995373E-3</v>
      </c>
      <c r="P493">
        <v>0.99513419999999897</v>
      </c>
      <c r="Q493">
        <v>-6.2896030000000004E-3</v>
      </c>
      <c r="R493">
        <v>9.8329189999999997E-2</v>
      </c>
      <c r="S493">
        <v>3.0183110000000002</v>
      </c>
      <c r="T493">
        <v>-0.1280965</v>
      </c>
      <c r="U493">
        <v>-4.2846679999999998E-2</v>
      </c>
      <c r="V493">
        <v>-0.1032971</v>
      </c>
      <c r="W493">
        <v>2.8980379999999999E-3</v>
      </c>
      <c r="X493">
        <v>0.99464629999999998</v>
      </c>
      <c r="Y493">
        <v>9.1951159999999997E-3</v>
      </c>
      <c r="Z493" s="1">
        <v>1.6881110000000001E-5</v>
      </c>
      <c r="AA493">
        <v>0.99995769999999995</v>
      </c>
      <c r="AB493">
        <v>23</v>
      </c>
      <c r="AC493">
        <v>24.713199999999901</v>
      </c>
      <c r="AD493">
        <v>-1.053991955636</v>
      </c>
      <c r="AE493">
        <v>-0.35170000000004997</v>
      </c>
      <c r="AF493">
        <v>0.22782447037915199</v>
      </c>
      <c r="AG493">
        <v>-1.053991955636</v>
      </c>
      <c r="AH493">
        <v>24.669784983201801</v>
      </c>
      <c r="AI493">
        <v>92.446313049756796</v>
      </c>
      <c r="AJ493">
        <v>89.470890825890507</v>
      </c>
      <c r="AK493">
        <v>24.693341089234199</v>
      </c>
    </row>
    <row r="494" spans="1:37" x14ac:dyDescent="0.2">
      <c r="A494" t="str">
        <f>"20200111155510787"</f>
        <v>20200111155510787</v>
      </c>
      <c r="B494" t="str">
        <f>"1578729310783024"</f>
        <v>1578729310783024</v>
      </c>
      <c r="C494" t="s">
        <v>37</v>
      </c>
      <c r="D494">
        <v>4.3519110000000003</v>
      </c>
      <c r="E494">
        <v>0.54325159999999995</v>
      </c>
      <c r="F494" t="s">
        <v>38</v>
      </c>
      <c r="G494">
        <v>-385.89499999999998</v>
      </c>
      <c r="H494" s="1">
        <v>-2.0756079999999999E-6</v>
      </c>
      <c r="I494">
        <v>367.7432</v>
      </c>
      <c r="J494">
        <v>-410.75729999999999</v>
      </c>
      <c r="K494">
        <v>1.053993</v>
      </c>
      <c r="L494">
        <v>368.10770000000002</v>
      </c>
      <c r="M494">
        <v>0.99994419999999995</v>
      </c>
      <c r="N494">
        <v>0</v>
      </c>
      <c r="O494">
        <v>-5.2569380000000001E-3</v>
      </c>
      <c r="P494">
        <v>0.99517299999999997</v>
      </c>
      <c r="Q494">
        <v>-5.8624130000000003E-3</v>
      </c>
      <c r="R494">
        <v>9.7960930000000002E-2</v>
      </c>
      <c r="S494">
        <v>3.0181879999999999</v>
      </c>
      <c r="T494">
        <v>-0.12731039999999999</v>
      </c>
      <c r="U494">
        <v>-4.4128420000000002E-2</v>
      </c>
      <c r="V494">
        <v>-0.1031888</v>
      </c>
      <c r="W494">
        <v>3.3348179999999998E-3</v>
      </c>
      <c r="X494">
        <v>0.99465619999999999</v>
      </c>
      <c r="Y494">
        <v>9.3588219999999993E-3</v>
      </c>
      <c r="Z494" s="1">
        <v>2.4354989999999999E-5</v>
      </c>
      <c r="AA494">
        <v>0.99995619999999996</v>
      </c>
      <c r="AB494">
        <v>23</v>
      </c>
      <c r="AC494">
        <v>24.862300000000001</v>
      </c>
      <c r="AD494">
        <v>-1.0539950756080001</v>
      </c>
      <c r="AE494">
        <v>-0.36450000000001997</v>
      </c>
      <c r="AF494">
        <v>0.23337058444459999</v>
      </c>
      <c r="AG494">
        <v>-1.0539950756080001</v>
      </c>
      <c r="AH494">
        <v>24.819277233704199</v>
      </c>
      <c r="AI494">
        <v>92.431599470704299</v>
      </c>
      <c r="AJ494">
        <v>89.461275387393897</v>
      </c>
      <c r="AK494">
        <v>24.842743203047402</v>
      </c>
    </row>
    <row r="495" spans="1:37" x14ac:dyDescent="0.2">
      <c r="A495" t="str">
        <f>"20200111155510812"</f>
        <v>20200111155510812</v>
      </c>
      <c r="B495" t="str">
        <f>"1578729310803052"</f>
        <v>1578729310803052</v>
      </c>
      <c r="C495" t="s">
        <v>37</v>
      </c>
      <c r="D495">
        <v>8.3764079999999996</v>
      </c>
      <c r="E495">
        <v>0.54325159999999995</v>
      </c>
      <c r="F495" t="s">
        <v>38</v>
      </c>
      <c r="G495">
        <v>-385.2937</v>
      </c>
      <c r="H495" s="1">
        <v>-2.3367380000000002E-6</v>
      </c>
      <c r="I495">
        <v>367.7253</v>
      </c>
      <c r="J495">
        <v>-410.4973</v>
      </c>
      <c r="K495">
        <v>1.054003</v>
      </c>
      <c r="L495">
        <v>368.10570000000001</v>
      </c>
      <c r="M495">
        <v>0.99994110000000003</v>
      </c>
      <c r="N495">
        <v>0</v>
      </c>
      <c r="O495">
        <v>-5.7884729999999997E-3</v>
      </c>
      <c r="P495">
        <v>0.99528739999999905</v>
      </c>
      <c r="Q495">
        <v>-5.6597180000000002E-3</v>
      </c>
      <c r="R495">
        <v>9.6805240000000001E-2</v>
      </c>
      <c r="S495">
        <v>3.0182799999999999</v>
      </c>
      <c r="T495">
        <v>-0.1249329</v>
      </c>
      <c r="U495">
        <v>-4.5318600000000001E-2</v>
      </c>
      <c r="V495">
        <v>-0.1025626</v>
      </c>
      <c r="W495">
        <v>3.5546390000000001E-3</v>
      </c>
      <c r="X495">
        <v>0.99472019999999906</v>
      </c>
      <c r="Y495">
        <v>9.2217619999999997E-3</v>
      </c>
      <c r="Z495" s="1">
        <v>4.8725879999999999E-5</v>
      </c>
      <c r="AA495">
        <v>0.99995750000000005</v>
      </c>
      <c r="AB495">
        <v>23</v>
      </c>
      <c r="AC495">
        <v>25.203599999999899</v>
      </c>
      <c r="AD495">
        <v>-1.054005336738</v>
      </c>
      <c r="AE495">
        <v>-0.38040000000000801</v>
      </c>
      <c r="AF495">
        <v>0.23408782074464601</v>
      </c>
      <c r="AG495">
        <v>-1.054005336738</v>
      </c>
      <c r="AH495">
        <v>25.161385479951601</v>
      </c>
      <c r="AI495">
        <v>92.398602515563198</v>
      </c>
      <c r="AJ495">
        <v>89.466966664753102</v>
      </c>
      <c r="AK495">
        <v>25.184539774004399</v>
      </c>
    </row>
    <row r="496" spans="1:37" x14ac:dyDescent="0.2">
      <c r="A496" t="str">
        <f>"20200111155510999"</f>
        <v>20200111155510999</v>
      </c>
      <c r="B496" t="str">
        <f>"1578729310992904"</f>
        <v>1578729310992904</v>
      </c>
      <c r="C496" t="s">
        <v>37</v>
      </c>
      <c r="D496">
        <v>4.3108699999999898</v>
      </c>
      <c r="E496">
        <v>0.54364129999999999</v>
      </c>
      <c r="F496" t="s">
        <v>38</v>
      </c>
      <c r="G496">
        <v>-384.93610000000001</v>
      </c>
      <c r="H496" s="1">
        <v>-2.4964279999999999E-6</v>
      </c>
      <c r="I496">
        <v>367.68979999999999</v>
      </c>
      <c r="J496">
        <v>-408.5831</v>
      </c>
      <c r="K496">
        <v>1.054189</v>
      </c>
      <c r="L496">
        <v>368.089</v>
      </c>
      <c r="M496">
        <v>0.99992130000000001</v>
      </c>
      <c r="N496">
        <v>0</v>
      </c>
      <c r="O496">
        <v>-8.3790159999999995E-3</v>
      </c>
      <c r="P496">
        <v>0.995314699999999</v>
      </c>
      <c r="Q496">
        <v>-8.9623110000000006E-3</v>
      </c>
      <c r="R496">
        <v>9.6272800000000006E-2</v>
      </c>
      <c r="S496">
        <v>3.0182500000000001</v>
      </c>
      <c r="T496">
        <v>-0.12445589999999999</v>
      </c>
      <c r="U496">
        <v>-4.9102779999999999E-2</v>
      </c>
      <c r="V496">
        <v>-0.1046097</v>
      </c>
      <c r="W496">
        <v>3.5936010000000001E-4</v>
      </c>
      <c r="X496">
        <v>0.99451329999999905</v>
      </c>
      <c r="Y496">
        <v>7.8880510000000001E-3</v>
      </c>
      <c r="Z496">
        <v>1.8279090000000001E-4</v>
      </c>
      <c r="AA496">
        <v>0.99996890000000005</v>
      </c>
      <c r="AB496">
        <v>23</v>
      </c>
      <c r="AC496">
        <v>23.646999999999899</v>
      </c>
      <c r="AD496">
        <v>-1.0541914964279999</v>
      </c>
      <c r="AE496">
        <v>-0.39920000000000699</v>
      </c>
      <c r="AF496">
        <v>0.20064011561783901</v>
      </c>
      <c r="AG496">
        <v>-1.0541914964279999</v>
      </c>
      <c r="AH496">
        <v>23.6026201999851</v>
      </c>
      <c r="AI496">
        <v>92.557276645745603</v>
      </c>
      <c r="AJ496">
        <v>89.512954289255902</v>
      </c>
      <c r="AK496">
        <v>23.627002697588999</v>
      </c>
    </row>
    <row r="497" spans="1:37" x14ac:dyDescent="0.2">
      <c r="A497" t="str">
        <f>"20200111155511011"</f>
        <v>20200111155511011</v>
      </c>
      <c r="B497" t="str">
        <f>"1578729311003171"</f>
        <v>1578729311003171</v>
      </c>
      <c r="C497" t="s">
        <v>37</v>
      </c>
      <c r="D497">
        <v>4.4956959999999997</v>
      </c>
      <c r="E497">
        <v>0.54364129999999999</v>
      </c>
      <c r="F497" t="s">
        <v>38</v>
      </c>
      <c r="G497">
        <v>-384.923</v>
      </c>
      <c r="H497" s="1">
        <v>-2.5055719999999999E-6</v>
      </c>
      <c r="I497">
        <v>367.67</v>
      </c>
      <c r="J497">
        <v>-408.45069999999998</v>
      </c>
      <c r="K497">
        <v>1.0542020000000001</v>
      </c>
      <c r="L497">
        <v>368.08780000000002</v>
      </c>
      <c r="M497">
        <v>0.99992060000000005</v>
      </c>
      <c r="N497">
        <v>0</v>
      </c>
      <c r="O497">
        <v>-8.4526900000000006E-3</v>
      </c>
      <c r="P497">
        <v>0.99531859999999905</v>
      </c>
      <c r="Q497">
        <v>-8.736789E-3</v>
      </c>
      <c r="R497">
        <v>9.6253030000000003E-2</v>
      </c>
      <c r="S497">
        <v>3.0180660000000001</v>
      </c>
      <c r="T497">
        <v>-0.13447149999999999</v>
      </c>
      <c r="U497">
        <v>-5.3436280000000003E-2</v>
      </c>
      <c r="V497">
        <v>-0.104662799999999</v>
      </c>
      <c r="W497">
        <v>5.8919589999999905E-4</v>
      </c>
      <c r="X497">
        <v>0.99450759999999905</v>
      </c>
      <c r="Y497">
        <v>9.2495370000000004E-3</v>
      </c>
      <c r="Z497">
        <v>1.704632E-4</v>
      </c>
      <c r="AA497">
        <v>0.99995719999999999</v>
      </c>
      <c r="AB497">
        <v>23</v>
      </c>
      <c r="AC497">
        <v>23.5276999999999</v>
      </c>
      <c r="AD497">
        <v>-1.054204505572</v>
      </c>
      <c r="AE497">
        <v>-0.41779999999999901</v>
      </c>
      <c r="AF497">
        <v>0.21846556560198599</v>
      </c>
      <c r="AG497">
        <v>-1.054204505572</v>
      </c>
      <c r="AH497">
        <v>23.4832594906803</v>
      </c>
      <c r="AI497">
        <v>92.570270729351094</v>
      </c>
      <c r="AJ497">
        <v>89.466990781387693</v>
      </c>
      <c r="AK497">
        <v>23.507925273182899</v>
      </c>
    </row>
    <row r="498" spans="1:37" x14ac:dyDescent="0.2">
      <c r="A498" t="str">
        <f>"20200111155511066"</f>
        <v>20200111155511066</v>
      </c>
      <c r="B498" t="str">
        <f>"1578729311062707"</f>
        <v>1578729311062707</v>
      </c>
      <c r="C498" t="s">
        <v>37</v>
      </c>
      <c r="D498">
        <v>4.8214509999999997</v>
      </c>
      <c r="E498">
        <v>0.54386049999999997</v>
      </c>
      <c r="F498" t="s">
        <v>38</v>
      </c>
      <c r="G498">
        <v>-384.66719999999998</v>
      </c>
      <c r="H498" s="1">
        <v>-2.6162060000000002E-6</v>
      </c>
      <c r="I498">
        <v>367.66489999999999</v>
      </c>
      <c r="J498">
        <v>-407.89389999999997</v>
      </c>
      <c r="K498">
        <v>1.054217</v>
      </c>
      <c r="L498">
        <v>368.08269999999999</v>
      </c>
      <c r="M498">
        <v>0.9999188</v>
      </c>
      <c r="N498">
        <v>0</v>
      </c>
      <c r="O498">
        <v>-8.6790069999999903E-3</v>
      </c>
      <c r="P498">
        <v>0.99531999999999998</v>
      </c>
      <c r="Q498">
        <v>-8.5955579999999997E-3</v>
      </c>
      <c r="R498">
        <v>9.6251149999999994E-2</v>
      </c>
      <c r="S498">
        <v>3.0181580000000001</v>
      </c>
      <c r="T498">
        <v>-0.13377929999999999</v>
      </c>
      <c r="U498">
        <v>-5.36499E-2</v>
      </c>
      <c r="V498">
        <v>-0.1048862</v>
      </c>
      <c r="W498">
        <v>6.9266979999999998E-4</v>
      </c>
      <c r="X498">
        <v>0.99448400000000003</v>
      </c>
      <c r="Y498">
        <v>9.0938129999999992E-3</v>
      </c>
      <c r="Z498">
        <v>1.830561E-4</v>
      </c>
      <c r="AA498">
        <v>0.99995859999999903</v>
      </c>
      <c r="AB498">
        <v>23</v>
      </c>
      <c r="AC498">
        <v>23.226699999999902</v>
      </c>
      <c r="AD498">
        <v>-1.054219616206</v>
      </c>
      <c r="AE498">
        <v>-0.41779999999999901</v>
      </c>
      <c r="AF498">
        <v>0.21574648023896101</v>
      </c>
      <c r="AG498">
        <v>-1.054219616206</v>
      </c>
      <c r="AH498">
        <v>23.181710307863</v>
      </c>
      <c r="AI498">
        <v>92.603696441085106</v>
      </c>
      <c r="AJ498">
        <v>89.466777656999398</v>
      </c>
      <c r="AK498">
        <v>23.2066718497205</v>
      </c>
    </row>
    <row r="499" spans="1:37" x14ac:dyDescent="0.2">
      <c r="A499" t="str">
        <f>"20200111155511079"</f>
        <v>20200111155511079</v>
      </c>
      <c r="B499" t="str">
        <f>"1578729311073443"</f>
        <v>1578729311073443</v>
      </c>
      <c r="C499" t="s">
        <v>37</v>
      </c>
      <c r="D499">
        <v>4.5301439999999999</v>
      </c>
      <c r="E499">
        <v>0.54415009999999997</v>
      </c>
      <c r="F499" t="s">
        <v>38</v>
      </c>
      <c r="G499">
        <v>-383.9744</v>
      </c>
      <c r="H499" s="1">
        <v>-2.917337E-6</v>
      </c>
      <c r="I499">
        <v>367.64269999999999</v>
      </c>
      <c r="J499">
        <v>-407.75459999999998</v>
      </c>
      <c r="K499">
        <v>1.054211</v>
      </c>
      <c r="L499">
        <v>368.08150000000001</v>
      </c>
      <c r="M499">
        <v>0.9999188</v>
      </c>
      <c r="N499">
        <v>0</v>
      </c>
      <c r="O499">
        <v>-8.722601E-3</v>
      </c>
      <c r="P499">
        <v>0.99533300000000002</v>
      </c>
      <c r="Q499">
        <v>-8.7945339999999997E-3</v>
      </c>
      <c r="R499">
        <v>9.6100190000000002E-2</v>
      </c>
      <c r="S499">
        <v>3.0183409999999999</v>
      </c>
      <c r="T499">
        <v>-0.13302929999999999</v>
      </c>
      <c r="U499">
        <v>-5.551147E-2</v>
      </c>
      <c r="V499">
        <v>-0.1047786</v>
      </c>
      <c r="W499">
        <v>4.676026E-4</v>
      </c>
      <c r="X499">
        <v>0.99449549999999998</v>
      </c>
      <c r="Y499">
        <v>9.6651600000000008E-3</v>
      </c>
      <c r="Z499">
        <v>1.713551E-4</v>
      </c>
      <c r="AA499">
        <v>0.99995330000000004</v>
      </c>
      <c r="AB499">
        <v>23</v>
      </c>
      <c r="AC499">
        <v>23.780199999999901</v>
      </c>
      <c r="AD499">
        <v>-1.054213917337</v>
      </c>
      <c r="AE499">
        <v>-0.43880000000001401</v>
      </c>
      <c r="AF499">
        <v>0.23089553511970601</v>
      </c>
      <c r="AG499">
        <v>-1.054213917337</v>
      </c>
      <c r="AH499">
        <v>23.736489712911101</v>
      </c>
      <c r="AI499">
        <v>92.542898673673804</v>
      </c>
      <c r="AJ499">
        <v>89.442675703671995</v>
      </c>
      <c r="AK499">
        <v>23.7610105766312</v>
      </c>
    </row>
    <row r="500" spans="1:37" x14ac:dyDescent="0.2">
      <c r="A500" t="str">
        <f>"20200111155511092"</f>
        <v>20200111155511092</v>
      </c>
      <c r="B500" t="str">
        <f>"1578729311083204"</f>
        <v>1578729311083204</v>
      </c>
      <c r="C500" t="s">
        <v>37</v>
      </c>
      <c r="D500">
        <v>4.5155500000000002</v>
      </c>
      <c r="E500">
        <v>0.54441819999999996</v>
      </c>
      <c r="F500" t="s">
        <v>38</v>
      </c>
      <c r="G500">
        <v>-383.8997</v>
      </c>
      <c r="H500" s="1">
        <v>-2.95308E-6</v>
      </c>
      <c r="I500">
        <v>367.62199999999899</v>
      </c>
      <c r="J500">
        <v>-407.60849999999999</v>
      </c>
      <c r="K500">
        <v>1.0542049999999901</v>
      </c>
      <c r="L500">
        <v>368.08010000000002</v>
      </c>
      <c r="M500">
        <v>0.9999188</v>
      </c>
      <c r="N500">
        <v>0</v>
      </c>
      <c r="O500">
        <v>-8.7655819999999992E-3</v>
      </c>
      <c r="P500">
        <v>0.99533300000000002</v>
      </c>
      <c r="Q500">
        <v>-8.2606850000000002E-3</v>
      </c>
      <c r="R500">
        <v>9.6147789999999997E-2</v>
      </c>
      <c r="S500">
        <v>3.018494</v>
      </c>
      <c r="T500">
        <v>-0.13339519999999999</v>
      </c>
      <c r="U500">
        <v>-5.8135989999999999E-2</v>
      </c>
      <c r="V500">
        <v>-0.10486910000000001</v>
      </c>
      <c r="W500">
        <v>9.6685070000000002E-4</v>
      </c>
      <c r="X500">
        <v>0.99448559999999997</v>
      </c>
      <c r="Y500">
        <v>1.048961E-2</v>
      </c>
      <c r="Z500">
        <v>1.555068E-4</v>
      </c>
      <c r="AA500">
        <v>0.99994499999999997</v>
      </c>
      <c r="AB500">
        <v>23</v>
      </c>
      <c r="AC500">
        <v>23.7088</v>
      </c>
      <c r="AD500">
        <v>-1.0542079530799999</v>
      </c>
      <c r="AE500">
        <v>-0.45810000000005802</v>
      </c>
      <c r="AF500">
        <v>0.24975845890447801</v>
      </c>
      <c r="AG500">
        <v>-1.0542079530799999</v>
      </c>
      <c r="AH500">
        <v>23.665133361407701</v>
      </c>
      <c r="AI500">
        <v>92.550520290260806</v>
      </c>
      <c r="AJ500">
        <v>89.395330923993896</v>
      </c>
      <c r="AK500">
        <v>23.689919179037801</v>
      </c>
    </row>
    <row r="501" spans="1:37" x14ac:dyDescent="0.2">
      <c r="A501" t="str">
        <f>"20200111155511110"</f>
        <v>20200111155511110</v>
      </c>
      <c r="B501" t="str">
        <f>"1578729311103143"</f>
        <v>1578729311103143</v>
      </c>
      <c r="C501" t="s">
        <v>37</v>
      </c>
      <c r="D501">
        <v>4.5308820000000001</v>
      </c>
      <c r="E501">
        <v>0.54493119999999995</v>
      </c>
      <c r="F501" t="s">
        <v>38</v>
      </c>
      <c r="G501">
        <v>-383.4307</v>
      </c>
      <c r="H501" s="1">
        <v>-3.158773E-6</v>
      </c>
      <c r="I501">
        <v>367.59660000000002</v>
      </c>
      <c r="J501">
        <v>-407.42790000000002</v>
      </c>
      <c r="K501">
        <v>1.0541959999999999</v>
      </c>
      <c r="L501">
        <v>368.07850000000002</v>
      </c>
      <c r="M501">
        <v>0.99991869999999905</v>
      </c>
      <c r="N501">
        <v>0</v>
      </c>
      <c r="O501">
        <v>-8.8176920000000002E-3</v>
      </c>
      <c r="P501">
        <v>0.99536979999999997</v>
      </c>
      <c r="Q501">
        <v>-7.5390689999999998E-3</v>
      </c>
      <c r="R501">
        <v>9.5824129999999993E-2</v>
      </c>
      <c r="S501">
        <v>3.0187680000000001</v>
      </c>
      <c r="T501">
        <v>-0.13162489999999999</v>
      </c>
      <c r="U501">
        <v>-6.0363769999999997E-2</v>
      </c>
      <c r="V501">
        <v>-0.104597699999999</v>
      </c>
      <c r="W501">
        <v>1.6391909999999999E-3</v>
      </c>
      <c r="X501">
        <v>0.99451329999999905</v>
      </c>
      <c r="Y501">
        <v>1.117284E-2</v>
      </c>
      <c r="Z501">
        <v>1.4081369999999999E-4</v>
      </c>
      <c r="AA501">
        <v>0.99993759999999998</v>
      </c>
      <c r="AB501">
        <v>23</v>
      </c>
      <c r="AC501">
        <v>23.997199999999999</v>
      </c>
      <c r="AD501">
        <v>-1.054199158773</v>
      </c>
      <c r="AE501">
        <v>-0.481899999999996</v>
      </c>
      <c r="AF501">
        <v>0.26975199669181499</v>
      </c>
      <c r="AG501">
        <v>-1.054199158773</v>
      </c>
      <c r="AH501">
        <v>23.9543067656967</v>
      </c>
      <c r="AI501">
        <v>92.519730250075199</v>
      </c>
      <c r="AJ501">
        <v>89.354813403568201</v>
      </c>
      <c r="AK501">
        <v>23.9790098759557</v>
      </c>
    </row>
    <row r="502" spans="1:37" x14ac:dyDescent="0.2">
      <c r="A502" t="str">
        <f>"20200111155511126"</f>
        <v>20200111155511126</v>
      </c>
      <c r="B502" t="str">
        <f>"1578729311122663"</f>
        <v>1578729311122663</v>
      </c>
      <c r="C502" t="s">
        <v>37</v>
      </c>
      <c r="D502">
        <v>4.4799610000000003</v>
      </c>
      <c r="E502">
        <v>0.54544809999999999</v>
      </c>
      <c r="F502" t="s">
        <v>38</v>
      </c>
      <c r="G502">
        <v>-382.81689999999998</v>
      </c>
      <c r="H502" s="1">
        <v>-3.4309629999999999E-6</v>
      </c>
      <c r="I502">
        <v>367.54660000000001</v>
      </c>
      <c r="J502">
        <v>-407.27190000000002</v>
      </c>
      <c r="K502">
        <v>1.054181</v>
      </c>
      <c r="L502">
        <v>368.07709999999997</v>
      </c>
      <c r="M502">
        <v>0.9999188</v>
      </c>
      <c r="N502">
        <v>0</v>
      </c>
      <c r="O502">
        <v>-8.8631439999999999E-3</v>
      </c>
      <c r="P502">
        <v>0.99539909999999998</v>
      </c>
      <c r="Q502">
        <v>-7.26603199999999E-3</v>
      </c>
      <c r="R502">
        <v>9.5540520000000004E-2</v>
      </c>
      <c r="S502">
        <v>3.01922599999999</v>
      </c>
      <c r="T502">
        <v>-0.12932660000000001</v>
      </c>
      <c r="U502">
        <v>-6.5246579999999998E-2</v>
      </c>
      <c r="V502">
        <v>-0.104359199999999</v>
      </c>
      <c r="W502">
        <v>1.86378E-3</v>
      </c>
      <c r="X502">
        <v>0.99453789999999997</v>
      </c>
      <c r="Y502">
        <v>1.2739479999999999E-2</v>
      </c>
      <c r="Z502">
        <v>1.067452E-4</v>
      </c>
      <c r="AA502">
        <v>0.9999188</v>
      </c>
      <c r="AB502">
        <v>23</v>
      </c>
      <c r="AC502">
        <v>24.454999999999998</v>
      </c>
      <c r="AD502">
        <v>-1.054184430963</v>
      </c>
      <c r="AE502">
        <v>-0.53049999999996</v>
      </c>
      <c r="AF502">
        <v>0.313140277266381</v>
      </c>
      <c r="AG502">
        <v>-1.054184430963</v>
      </c>
      <c r="AH502">
        <v>24.413397259115801</v>
      </c>
      <c r="AI502">
        <v>92.472325390842002</v>
      </c>
      <c r="AJ502">
        <v>89.265131670729602</v>
      </c>
      <c r="AK502">
        <v>24.4381531090043</v>
      </c>
    </row>
    <row r="503" spans="1:37" x14ac:dyDescent="0.2">
      <c r="A503" t="str">
        <f>"20200111155511142"</f>
        <v>20200111155511142</v>
      </c>
      <c r="B503" t="str">
        <f>"1578729311133399"</f>
        <v>1578729311133399</v>
      </c>
      <c r="C503" t="s">
        <v>37</v>
      </c>
      <c r="D503">
        <v>4.5725610000000003</v>
      </c>
      <c r="E503">
        <v>0.54589390000000004</v>
      </c>
      <c r="F503" t="s">
        <v>38</v>
      </c>
      <c r="G503">
        <v>-382.62909999999999</v>
      </c>
      <c r="H503" s="1">
        <v>-3.5187849999999999E-6</v>
      </c>
      <c r="I503">
        <v>367.50569999999999</v>
      </c>
      <c r="J503">
        <v>-407.10469999999998</v>
      </c>
      <c r="K503">
        <v>1.0541670000000001</v>
      </c>
      <c r="L503">
        <v>368.07549999999998</v>
      </c>
      <c r="M503">
        <v>0.9999188</v>
      </c>
      <c r="N503">
        <v>0</v>
      </c>
      <c r="O503">
        <v>-8.9130939999999999E-3</v>
      </c>
      <c r="P503">
        <v>0.99542649999999999</v>
      </c>
      <c r="Q503">
        <v>-7.1567019999999896E-3</v>
      </c>
      <c r="R503">
        <v>9.5263570000000006E-2</v>
      </c>
      <c r="S503">
        <v>3.0196230000000002</v>
      </c>
      <c r="T503">
        <v>-0.12917509999999999</v>
      </c>
      <c r="U503">
        <v>-7.0007319999999998E-2</v>
      </c>
      <c r="V503">
        <v>-0.104131999999999</v>
      </c>
      <c r="W503">
        <v>1.9162329999999901E-3</v>
      </c>
      <c r="X503">
        <v>0.99456160000000005</v>
      </c>
      <c r="Y503">
        <v>1.4261019999999999E-2</v>
      </c>
      <c r="Z503" s="1">
        <v>7.6213419999999999E-5</v>
      </c>
      <c r="AA503">
        <v>0.99989830000000002</v>
      </c>
      <c r="AB503">
        <v>23</v>
      </c>
      <c r="AC503">
        <v>24.475599999999901</v>
      </c>
      <c r="AD503">
        <v>-1.0541705187849999</v>
      </c>
      <c r="AE503">
        <v>-0.56979999999998598</v>
      </c>
      <c r="AF503">
        <v>0.35096428952564601</v>
      </c>
      <c r="AG503">
        <v>-1.0541705187849999</v>
      </c>
      <c r="AH503">
        <v>24.434404153038901</v>
      </c>
      <c r="AI503">
        <v>92.470118403057995</v>
      </c>
      <c r="AJ503">
        <v>89.177086958701494</v>
      </c>
      <c r="AK503">
        <v>24.459651627307402</v>
      </c>
    </row>
    <row r="504" spans="1:37" x14ac:dyDescent="0.2">
      <c r="A504" t="str">
        <f>"20200111155511154"</f>
        <v>20200111155511154</v>
      </c>
      <c r="B504" t="str">
        <f>"1578729311143159"</f>
        <v>1578729311143159</v>
      </c>
      <c r="C504" t="s">
        <v>37</v>
      </c>
      <c r="D504">
        <v>4.5360699999999996</v>
      </c>
      <c r="E504">
        <v>0.54589390000000004</v>
      </c>
      <c r="F504" t="s">
        <v>38</v>
      </c>
      <c r="G504">
        <v>-382.8571</v>
      </c>
      <c r="H504" s="1">
        <v>-3.425942E-6</v>
      </c>
      <c r="I504">
        <v>367.4776</v>
      </c>
      <c r="J504">
        <v>-406.96260000000001</v>
      </c>
      <c r="K504">
        <v>1.0541499999999999</v>
      </c>
      <c r="L504">
        <v>368.07420000000002</v>
      </c>
      <c r="M504">
        <v>0.99991909999999895</v>
      </c>
      <c r="N504">
        <v>0</v>
      </c>
      <c r="O504">
        <v>-8.9572219999999904E-3</v>
      </c>
      <c r="P504">
        <v>0.99547289999999899</v>
      </c>
      <c r="Q504">
        <v>-6.9670959999999999E-3</v>
      </c>
      <c r="R504">
        <v>9.4790799999999995E-2</v>
      </c>
      <c r="S504">
        <v>3.0199579999999999</v>
      </c>
      <c r="T504">
        <v>-0.1312933</v>
      </c>
      <c r="U504">
        <v>-7.4462890000000004E-2</v>
      </c>
      <c r="V504">
        <v>-0.1037037</v>
      </c>
      <c r="W504">
        <v>2.0526070000000001E-3</v>
      </c>
      <c r="X504">
        <v>0.99460609999999905</v>
      </c>
      <c r="Y504">
        <v>1.568723E-2</v>
      </c>
      <c r="Z504" s="1">
        <v>4.838541E-5</v>
      </c>
      <c r="AA504">
        <v>0.99987700000000002</v>
      </c>
      <c r="AB504">
        <v>23</v>
      </c>
      <c r="AC504">
        <v>24.105499999999999</v>
      </c>
      <c r="AD504">
        <v>-1.054153425942</v>
      </c>
      <c r="AE504">
        <v>-0.596600000000023</v>
      </c>
      <c r="AF504">
        <v>0.37992282962872798</v>
      </c>
      <c r="AG504">
        <v>-1.054153425942</v>
      </c>
      <c r="AH504">
        <v>24.063885738087802</v>
      </c>
      <c r="AI504">
        <v>92.508008911901499</v>
      </c>
      <c r="AJ504">
        <v>89.0954841404467</v>
      </c>
      <c r="AK504">
        <v>24.089960099959502</v>
      </c>
    </row>
    <row r="505" spans="1:37" x14ac:dyDescent="0.2">
      <c r="A505" t="str">
        <f>"20200111155511168"</f>
        <v>20200111155511168</v>
      </c>
      <c r="B505" t="str">
        <f>"1578729311162679"</f>
        <v>1578729311162679</v>
      </c>
      <c r="C505" t="s">
        <v>37</v>
      </c>
      <c r="D505">
        <v>4.5337389999999997</v>
      </c>
      <c r="E505">
        <v>0.58863009999999905</v>
      </c>
      <c r="F505" t="s">
        <v>38</v>
      </c>
      <c r="G505">
        <v>-382.67090000000002</v>
      </c>
      <c r="H505" s="1">
        <v>-3.508063E-6</v>
      </c>
      <c r="I505">
        <v>367.46510000000001</v>
      </c>
      <c r="J505">
        <v>-406.82209999999998</v>
      </c>
      <c r="K505">
        <v>1.054136</v>
      </c>
      <c r="L505">
        <v>368.0729</v>
      </c>
      <c r="M505">
        <v>0.99991909999999895</v>
      </c>
      <c r="N505">
        <v>0</v>
      </c>
      <c r="O505">
        <v>-9.0025299999999999E-3</v>
      </c>
      <c r="P505">
        <v>0.99550890000000003</v>
      </c>
      <c r="Q505">
        <v>-7.1207600000000003E-3</v>
      </c>
      <c r="R505">
        <v>9.4402059999999996E-2</v>
      </c>
      <c r="S505">
        <v>3.01992799999999</v>
      </c>
      <c r="T505">
        <v>-0.13105129999999901</v>
      </c>
      <c r="U505">
        <v>-7.5714110000000001E-2</v>
      </c>
      <c r="V505">
        <v>-0.10336089999999901</v>
      </c>
      <c r="W505">
        <v>1.8442300000000001E-3</v>
      </c>
      <c r="X505">
        <v>0.99464219999999903</v>
      </c>
      <c r="Y505">
        <v>1.605591E-2</v>
      </c>
      <c r="Z505" s="1">
        <v>4.2266530000000001E-5</v>
      </c>
      <c r="AA505">
        <v>0.99987109999999901</v>
      </c>
      <c r="AB505">
        <v>23</v>
      </c>
      <c r="AC505">
        <v>24.1511999999999</v>
      </c>
      <c r="AD505">
        <v>-1.0541395080630001</v>
      </c>
      <c r="AE505">
        <v>-0.60779999999999701</v>
      </c>
      <c r="AF505">
        <v>0.38960292212368403</v>
      </c>
      <c r="AG505">
        <v>-1.0541395080630001</v>
      </c>
      <c r="AH505">
        <v>24.109790593411901</v>
      </c>
      <c r="AI505">
        <v>92.503191924801897</v>
      </c>
      <c r="AJ505">
        <v>89.074207620993803</v>
      </c>
      <c r="AK505">
        <v>24.1359690710267</v>
      </c>
    </row>
    <row r="506" spans="1:37" x14ac:dyDescent="0.2">
      <c r="A506" t="str">
        <f>"20200111155511183"</f>
        <v>20200111155511183</v>
      </c>
      <c r="B506" t="str">
        <f>"1578729311173415"</f>
        <v>1578729311173415</v>
      </c>
      <c r="C506" t="s">
        <v>37</v>
      </c>
      <c r="D506">
        <v>4.5746560000000001</v>
      </c>
      <c r="E506">
        <v>0.58844750000000001</v>
      </c>
      <c r="F506" t="s">
        <v>40</v>
      </c>
      <c r="G506">
        <v>-406.04</v>
      </c>
      <c r="H506">
        <v>0.89343090000000003</v>
      </c>
      <c r="I506">
        <v>367.97050000000002</v>
      </c>
      <c r="J506">
        <v>-406.6728</v>
      </c>
      <c r="K506">
        <v>1.054125</v>
      </c>
      <c r="L506">
        <v>368.07150000000001</v>
      </c>
      <c r="M506">
        <v>0.99991919999999901</v>
      </c>
      <c r="N506">
        <v>0</v>
      </c>
      <c r="O506">
        <v>-9.0522209999999992E-3</v>
      </c>
      <c r="P506">
        <v>0.9955446</v>
      </c>
      <c r="Q506">
        <v>-7.4198789999999999E-3</v>
      </c>
      <c r="R506">
        <v>9.4001760000000004E-2</v>
      </c>
      <c r="S506">
        <v>3.0466609999999998</v>
      </c>
      <c r="T506">
        <v>-0.62620980000000004</v>
      </c>
      <c r="U506">
        <v>-0.39657589999999998</v>
      </c>
      <c r="V506">
        <v>-0.103009899999999</v>
      </c>
      <c r="W506">
        <v>1.4827879999999901E-3</v>
      </c>
      <c r="X506">
        <v>0.99467919999999999</v>
      </c>
      <c r="Y506">
        <v>0.117859899999999</v>
      </c>
      <c r="Z506">
        <v>-1.010469E-2</v>
      </c>
      <c r="AA506">
        <v>0.99297880000000005</v>
      </c>
      <c r="AB506">
        <v>24</v>
      </c>
      <c r="AC506">
        <v>0.63279999999997405</v>
      </c>
      <c r="AD506">
        <v>-0.16069409999999901</v>
      </c>
      <c r="AE506">
        <v>-0.10099999999999899</v>
      </c>
      <c r="AF506">
        <v>8.9631008267189102E-2</v>
      </c>
      <c r="AG506">
        <v>-0.16069409999999901</v>
      </c>
      <c r="AH506">
        <v>0.59619697587799503</v>
      </c>
      <c r="AI506">
        <v>104.924462696967</v>
      </c>
      <c r="AJ506">
        <v>81.450300454379303</v>
      </c>
      <c r="AK506">
        <v>0.62394482565678</v>
      </c>
    </row>
    <row r="507" spans="1:37" x14ac:dyDescent="0.2">
      <c r="A507" t="str">
        <f>"20200111155511200"</f>
        <v>20200111155511200</v>
      </c>
      <c r="B507" t="str">
        <f>"1578729311192935"</f>
        <v>1578729311192935</v>
      </c>
      <c r="C507" t="s">
        <v>37</v>
      </c>
      <c r="D507">
        <v>4.5859550000000002</v>
      </c>
      <c r="E507">
        <v>0.58807860000000001</v>
      </c>
      <c r="F507" t="s">
        <v>40</v>
      </c>
      <c r="G507">
        <v>-405.83420000000001</v>
      </c>
      <c r="H507">
        <v>0.88061250000000002</v>
      </c>
      <c r="I507">
        <v>367.9622</v>
      </c>
      <c r="J507">
        <v>-406.49079999999998</v>
      </c>
      <c r="K507">
        <v>1.0541129999999901</v>
      </c>
      <c r="L507">
        <v>368.06979999999999</v>
      </c>
      <c r="M507">
        <v>0.99991929999999996</v>
      </c>
      <c r="N507">
        <v>0</v>
      </c>
      <c r="O507">
        <v>-9.1148240000000005E-3</v>
      </c>
      <c r="P507">
        <v>0.99558069999999899</v>
      </c>
      <c r="Q507">
        <v>-7.511696E-3</v>
      </c>
      <c r="R507">
        <v>9.3608899999999995E-2</v>
      </c>
      <c r="S507">
        <v>3.0461119999999999</v>
      </c>
      <c r="T507">
        <v>-0.63032429999999995</v>
      </c>
      <c r="U507">
        <v>-0.39578249999999998</v>
      </c>
      <c r="V507">
        <v>-0.1026799</v>
      </c>
      <c r="W507">
        <v>1.31065E-3</v>
      </c>
      <c r="X507">
        <v>0.99471359999999998</v>
      </c>
      <c r="Y507">
        <v>0.1175441</v>
      </c>
      <c r="Z507">
        <v>-1.0126720000000001E-2</v>
      </c>
      <c r="AA507">
        <v>0.99301600000000001</v>
      </c>
      <c r="AB507">
        <v>24</v>
      </c>
      <c r="AC507">
        <v>0.65659999999996899</v>
      </c>
      <c r="AD507">
        <v>-0.173500499999999</v>
      </c>
      <c r="AE507">
        <v>-0.10759999999999</v>
      </c>
      <c r="AF507">
        <v>9.5141174332951994E-2</v>
      </c>
      <c r="AG507">
        <v>-0.173500499999999</v>
      </c>
      <c r="AH507">
        <v>0.615688461283596</v>
      </c>
      <c r="AI507">
        <v>105.562186186948</v>
      </c>
      <c r="AJ507">
        <v>81.215671866474693</v>
      </c>
      <c r="AK507">
        <v>0.64670437443353102</v>
      </c>
    </row>
    <row r="508" spans="1:37" x14ac:dyDescent="0.2">
      <c r="A508" t="str">
        <f>"20200111155511212"</f>
        <v>20200111155511212</v>
      </c>
      <c r="B508" t="str">
        <f>"1578729311203202"</f>
        <v>1578729311203202</v>
      </c>
      <c r="C508" t="s">
        <v>37</v>
      </c>
      <c r="D508">
        <v>4.6191750000000003</v>
      </c>
      <c r="E508">
        <v>0.58782040000000002</v>
      </c>
      <c r="F508" t="s">
        <v>40</v>
      </c>
      <c r="G508">
        <v>-405.62509999999997</v>
      </c>
      <c r="H508">
        <v>0.87347790000000003</v>
      </c>
      <c r="I508">
        <v>367.95729999999998</v>
      </c>
      <c r="J508">
        <v>-406.34370000000001</v>
      </c>
      <c r="K508">
        <v>1.0540969999999901</v>
      </c>
      <c r="L508">
        <v>368.0684</v>
      </c>
      <c r="M508">
        <v>0.99991960000000002</v>
      </c>
      <c r="N508">
        <v>0</v>
      </c>
      <c r="O508">
        <v>-9.1675739999999995E-3</v>
      </c>
      <c r="P508">
        <v>0.99559609999999998</v>
      </c>
      <c r="Q508">
        <v>-7.3901899999999996E-3</v>
      </c>
      <c r="R508">
        <v>9.3457540000000006E-2</v>
      </c>
      <c r="S508">
        <v>3.045563</v>
      </c>
      <c r="T508">
        <v>-0.63553210000000004</v>
      </c>
      <c r="U508">
        <v>-0.3941345</v>
      </c>
      <c r="V508">
        <v>-0.102581199999999</v>
      </c>
      <c r="W508">
        <v>1.3621479999999899E-3</v>
      </c>
      <c r="X508">
        <v>0.99472369999999899</v>
      </c>
      <c r="Y508">
        <v>0.1169616</v>
      </c>
      <c r="Z508">
        <v>-1.0140039999999999E-2</v>
      </c>
      <c r="AA508">
        <v>0.99308469999999904</v>
      </c>
      <c r="AB508">
        <v>24</v>
      </c>
      <c r="AC508">
        <v>0.71860000000003699</v>
      </c>
      <c r="AD508">
        <v>-0.18061909999999901</v>
      </c>
      <c r="AE508">
        <v>-0.111100000000021</v>
      </c>
      <c r="AF508">
        <v>9.8433771065696105E-2</v>
      </c>
      <c r="AG508">
        <v>-0.18061909999999901</v>
      </c>
      <c r="AH508">
        <v>0.67776914216191297</v>
      </c>
      <c r="AI508">
        <v>104.773884182934</v>
      </c>
      <c r="AJ508">
        <v>81.736594052436601</v>
      </c>
      <c r="AK508">
        <v>0.70829617861309901</v>
      </c>
    </row>
    <row r="509" spans="1:37" x14ac:dyDescent="0.2">
      <c r="A509" t="str">
        <f>"20200111155511226"</f>
        <v>20200111155511226</v>
      </c>
      <c r="B509" t="str">
        <f>"1578729311222721"</f>
        <v>1578729311222721</v>
      </c>
      <c r="C509" t="s">
        <v>37</v>
      </c>
      <c r="D509">
        <v>4.6019829999999997</v>
      </c>
      <c r="E509">
        <v>0.58783640000000004</v>
      </c>
      <c r="F509" t="s">
        <v>40</v>
      </c>
      <c r="G509">
        <v>-405.6121</v>
      </c>
      <c r="H509">
        <v>0.90156780000000003</v>
      </c>
      <c r="I509">
        <v>367.97359999999998</v>
      </c>
      <c r="J509">
        <v>-406.20549999999997</v>
      </c>
      <c r="K509">
        <v>1.054087</v>
      </c>
      <c r="L509">
        <v>368.06699999999898</v>
      </c>
      <c r="M509">
        <v>0.99991960000000002</v>
      </c>
      <c r="N509">
        <v>0</v>
      </c>
      <c r="O509">
        <v>-9.217711E-3</v>
      </c>
      <c r="P509">
        <v>0.99559549999999997</v>
      </c>
      <c r="Q509">
        <v>-7.517274E-3</v>
      </c>
      <c r="R509">
        <v>9.3451399999999907E-2</v>
      </c>
      <c r="S509">
        <v>3.04541</v>
      </c>
      <c r="T509">
        <v>-0.63506949999999995</v>
      </c>
      <c r="U509">
        <v>-0.39266970000000001</v>
      </c>
      <c r="V509">
        <v>-0.10262490000000001</v>
      </c>
      <c r="W509">
        <v>1.1671229999999999E-3</v>
      </c>
      <c r="X509">
        <v>0.99471939999999903</v>
      </c>
      <c r="Y509">
        <v>0.116462699999999</v>
      </c>
      <c r="Z509">
        <v>-1.0072060000000001E-2</v>
      </c>
      <c r="AA509">
        <v>0.99314400000000003</v>
      </c>
      <c r="AB509">
        <v>24</v>
      </c>
      <c r="AC509">
        <v>0.59339999999997395</v>
      </c>
      <c r="AD509">
        <v>-0.15251919999999899</v>
      </c>
      <c r="AE509">
        <v>-9.3399999999974101E-2</v>
      </c>
      <c r="AF509">
        <v>8.2601130559584193E-2</v>
      </c>
      <c r="AG509">
        <v>-0.15251919999999899</v>
      </c>
      <c r="AH509">
        <v>0.55824813893615099</v>
      </c>
      <c r="AI509">
        <v>105.12387826836699</v>
      </c>
      <c r="AJ509">
        <v>81.583305056640995</v>
      </c>
      <c r="AK509">
        <v>0.584573380991675</v>
      </c>
    </row>
    <row r="510" spans="1:37" x14ac:dyDescent="0.2">
      <c r="A510" t="str">
        <f>"20200111155511239"</f>
        <v>20200111155511239</v>
      </c>
      <c r="B510" t="str">
        <f>"1578729311233457"</f>
        <v>1578729311233457</v>
      </c>
      <c r="C510" t="s">
        <v>37</v>
      </c>
      <c r="D510">
        <v>4.6059279999999996</v>
      </c>
      <c r="E510">
        <v>0.58785100000000001</v>
      </c>
      <c r="F510" t="s">
        <v>40</v>
      </c>
      <c r="G510">
        <v>-405.40589999999997</v>
      </c>
      <c r="H510">
        <v>0.88722279999999998</v>
      </c>
      <c r="I510">
        <v>367.96359999999999</v>
      </c>
      <c r="J510">
        <v>-406.06810000000002</v>
      </c>
      <c r="K510">
        <v>1.0540750000000001</v>
      </c>
      <c r="L510">
        <v>368.06569999999999</v>
      </c>
      <c r="M510">
        <v>0.99991980000000003</v>
      </c>
      <c r="N510">
        <v>0</v>
      </c>
      <c r="O510">
        <v>-9.2683190000000006E-3</v>
      </c>
      <c r="P510">
        <v>0.99559589999999998</v>
      </c>
      <c r="Q510">
        <v>-7.5911729999999997E-3</v>
      </c>
      <c r="R510">
        <v>9.3443360000000003E-2</v>
      </c>
      <c r="S510">
        <v>3.04537999999999</v>
      </c>
      <c r="T510">
        <v>-0.63554849999999996</v>
      </c>
      <c r="U510">
        <v>-0.39263920000000002</v>
      </c>
      <c r="V510">
        <v>-0.1026676</v>
      </c>
      <c r="W510">
        <v>1.0240710000000001E-3</v>
      </c>
      <c r="X510">
        <v>0.99471520000000002</v>
      </c>
      <c r="Y510">
        <v>0.1164029</v>
      </c>
      <c r="Z510">
        <v>-1.0063040000000001E-2</v>
      </c>
      <c r="AA510">
        <v>0.99315109999999995</v>
      </c>
      <c r="AB510">
        <v>24</v>
      </c>
      <c r="AC510">
        <v>0.66220000000004098</v>
      </c>
      <c r="AD510">
        <v>-0.16685220000000001</v>
      </c>
      <c r="AE510">
        <v>-0.102100000000007</v>
      </c>
      <c r="AF510">
        <v>9.0354744333757897E-2</v>
      </c>
      <c r="AG510">
        <v>-0.16685220000000001</v>
      </c>
      <c r="AH510">
        <v>0.62439719930906001</v>
      </c>
      <c r="AI510">
        <v>104.813667562097</v>
      </c>
      <c r="AJ510">
        <v>81.766046544472999</v>
      </c>
      <c r="AK510">
        <v>0.65259137212612395</v>
      </c>
    </row>
    <row r="511" spans="1:37" x14ac:dyDescent="0.2">
      <c r="A511" t="str">
        <f>"20200111155511254"</f>
        <v>20200111155511254</v>
      </c>
      <c r="B511" t="str">
        <f>"1578729311243218"</f>
        <v>1578729311243218</v>
      </c>
      <c r="C511" t="s">
        <v>37</v>
      </c>
      <c r="D511">
        <v>4.6241750000000001</v>
      </c>
      <c r="E511">
        <v>0.58778790000000003</v>
      </c>
      <c r="F511" t="s">
        <v>40</v>
      </c>
      <c r="G511">
        <v>-405.1986</v>
      </c>
      <c r="H511">
        <v>0.87301949999999995</v>
      </c>
      <c r="I511">
        <v>367.95299999999997</v>
      </c>
      <c r="J511">
        <v>-405.90210000000002</v>
      </c>
      <c r="K511">
        <v>1.05406</v>
      </c>
      <c r="L511">
        <v>368.06420000000003</v>
      </c>
      <c r="M511">
        <v>0.99992000000000003</v>
      </c>
      <c r="N511">
        <v>0</v>
      </c>
      <c r="O511">
        <v>-9.3300439999999991E-3</v>
      </c>
      <c r="P511">
        <v>0.99556679999999997</v>
      </c>
      <c r="Q511">
        <v>-7.3628330000000001E-3</v>
      </c>
      <c r="R511">
        <v>9.3770060000000002E-2</v>
      </c>
      <c r="S511">
        <v>3.0452880000000002</v>
      </c>
      <c r="T511">
        <v>-0.63418940000000001</v>
      </c>
      <c r="U511">
        <v>-0.3928528</v>
      </c>
      <c r="V511">
        <v>-0.1030551</v>
      </c>
      <c r="W511">
        <v>1.162354E-3</v>
      </c>
      <c r="X511">
        <v>0.99467499999999998</v>
      </c>
      <c r="Y511">
        <v>0.11642429999999999</v>
      </c>
      <c r="Z511">
        <v>-1.0031750000000001E-2</v>
      </c>
      <c r="AA511">
        <v>0.9931489</v>
      </c>
      <c r="AB511">
        <v>24</v>
      </c>
      <c r="AC511">
        <v>0.703500000000019</v>
      </c>
      <c r="AD511">
        <v>-0.18104049999999999</v>
      </c>
      <c r="AE511">
        <v>-0.111199999999996</v>
      </c>
      <c r="AF511">
        <v>9.8281198583985804E-2</v>
      </c>
      <c r="AG511">
        <v>-0.18104049999999999</v>
      </c>
      <c r="AH511">
        <v>0.66175062007950702</v>
      </c>
      <c r="AI511">
        <v>105.142143178437</v>
      </c>
      <c r="AJ511">
        <v>81.552353854624798</v>
      </c>
      <c r="AK511">
        <v>0.69307195860961401</v>
      </c>
    </row>
    <row r="512" spans="1:37" x14ac:dyDescent="0.2">
      <c r="A512" t="str">
        <f>"20200111155511266"</f>
        <v>20200111155511266</v>
      </c>
      <c r="B512" t="str">
        <f>"1578729311262738"</f>
        <v>1578729311262738</v>
      </c>
      <c r="C512" t="s">
        <v>37</v>
      </c>
      <c r="D512">
        <v>4.624676</v>
      </c>
      <c r="E512">
        <v>0.58799429999999997</v>
      </c>
      <c r="F512" t="s">
        <v>40</v>
      </c>
      <c r="G512">
        <v>-405.1841</v>
      </c>
      <c r="H512">
        <v>0.90435650000000001</v>
      </c>
      <c r="I512">
        <v>367.97129999999999</v>
      </c>
      <c r="J512">
        <v>-405.77530000000002</v>
      </c>
      <c r="K512">
        <v>1.0540479999999901</v>
      </c>
      <c r="L512">
        <v>368.06299999999999</v>
      </c>
      <c r="M512">
        <v>0.99992009999999898</v>
      </c>
      <c r="N512">
        <v>0</v>
      </c>
      <c r="O512">
        <v>-9.3771889999999993E-3</v>
      </c>
      <c r="P512">
        <v>0.99555869999999902</v>
      </c>
      <c r="Q512">
        <v>-7.1685869999999997E-3</v>
      </c>
      <c r="R512">
        <v>9.3869980000000006E-2</v>
      </c>
      <c r="S512">
        <v>3.0455320000000001</v>
      </c>
      <c r="T512">
        <v>-0.63515369999999904</v>
      </c>
      <c r="U512">
        <v>-0.391571</v>
      </c>
      <c r="V512">
        <v>-0.1032016</v>
      </c>
      <c r="W512">
        <v>1.285378E-3</v>
      </c>
      <c r="X512">
        <v>0.99465959999999998</v>
      </c>
      <c r="Y512">
        <v>0.11596040000000001</v>
      </c>
      <c r="Z512">
        <v>-9.9888159999999993E-3</v>
      </c>
      <c r="AA512">
        <v>0.99320359999999996</v>
      </c>
      <c r="AB512">
        <v>24</v>
      </c>
      <c r="AC512">
        <v>0.59120000000001405</v>
      </c>
      <c r="AD512">
        <v>-0.14969149999999901</v>
      </c>
      <c r="AE512">
        <v>-9.1700000000059803E-2</v>
      </c>
      <c r="AF512">
        <v>8.1076291407167503E-2</v>
      </c>
      <c r="AG512">
        <v>-0.14969149999999901</v>
      </c>
      <c r="AH512">
        <v>0.55715397317193505</v>
      </c>
      <c r="AI512">
        <v>104.888870235746</v>
      </c>
      <c r="AJ512">
        <v>81.720510646852205</v>
      </c>
      <c r="AK512">
        <v>0.58258171960838601</v>
      </c>
    </row>
    <row r="513" spans="1:37" x14ac:dyDescent="0.2">
      <c r="A513" t="str">
        <f>"20200111155511279"</f>
        <v>20200111155511279</v>
      </c>
      <c r="B513" t="str">
        <f>"1578729311273475"</f>
        <v>1578729311273475</v>
      </c>
      <c r="C513" t="s">
        <v>37</v>
      </c>
      <c r="D513">
        <v>4.6513080000000002</v>
      </c>
      <c r="E513">
        <v>0.5880765</v>
      </c>
      <c r="F513" t="s">
        <v>40</v>
      </c>
      <c r="G513">
        <v>-404.97770000000003</v>
      </c>
      <c r="H513">
        <v>0.8872563</v>
      </c>
      <c r="I513">
        <v>367.95979999999997</v>
      </c>
      <c r="J513">
        <v>-405.63920000000002</v>
      </c>
      <c r="K513">
        <v>1.054036</v>
      </c>
      <c r="L513">
        <v>368.0616</v>
      </c>
      <c r="M513">
        <v>0.99992019999999904</v>
      </c>
      <c r="N513">
        <v>0</v>
      </c>
      <c r="O513">
        <v>-9.4275299999999999E-3</v>
      </c>
      <c r="P513">
        <v>0.99552759999999996</v>
      </c>
      <c r="Q513">
        <v>-7.2999759999999997E-3</v>
      </c>
      <c r="R513">
        <v>9.4189699999999904E-2</v>
      </c>
      <c r="S513">
        <v>3.0458369999999899</v>
      </c>
      <c r="T513">
        <v>-0.63702360000000002</v>
      </c>
      <c r="U513">
        <v>-0.39266970000000001</v>
      </c>
      <c r="V513">
        <v>-0.1035711</v>
      </c>
      <c r="W513">
        <v>1.0760469999999999E-3</v>
      </c>
      <c r="X513">
        <v>0.99462150000000005</v>
      </c>
      <c r="Y513">
        <v>0.1162329</v>
      </c>
      <c r="Z513">
        <v>-1.0034120000000001E-2</v>
      </c>
      <c r="AA513">
        <v>0.99317129999999998</v>
      </c>
      <c r="AB513">
        <v>24</v>
      </c>
      <c r="AC513">
        <v>0.66149999999998899</v>
      </c>
      <c r="AD513">
        <v>-0.166779699999999</v>
      </c>
      <c r="AE513">
        <v>-0.101800000000025</v>
      </c>
      <c r="AF513">
        <v>8.9972069530709395E-2</v>
      </c>
      <c r="AG513">
        <v>-0.166779699999999</v>
      </c>
      <c r="AH513">
        <v>0.62370122174475495</v>
      </c>
      <c r="AI513">
        <v>104.824216648343</v>
      </c>
      <c r="AJ513">
        <v>81.791419083458194</v>
      </c>
      <c r="AK513">
        <v>0.65185401405040799</v>
      </c>
    </row>
    <row r="514" spans="1:37" x14ac:dyDescent="0.2">
      <c r="A514" t="str">
        <f>"20200111155511292"</f>
        <v>20200111155511292</v>
      </c>
      <c r="B514" t="str">
        <f>"1578729311283234"</f>
        <v>1578729311283234</v>
      </c>
      <c r="C514" t="s">
        <v>37</v>
      </c>
      <c r="D514">
        <v>4.6944499999999998</v>
      </c>
      <c r="E514">
        <v>0.58828729999999996</v>
      </c>
      <c r="F514" t="s">
        <v>40</v>
      </c>
      <c r="G514">
        <v>-404.76960000000003</v>
      </c>
      <c r="H514">
        <v>0.87173860000000003</v>
      </c>
      <c r="I514">
        <v>367.94920000000002</v>
      </c>
      <c r="J514">
        <v>-405.49709999999999</v>
      </c>
      <c r="K514">
        <v>1.0540179999999999</v>
      </c>
      <c r="L514">
        <v>368.06020000000001</v>
      </c>
      <c r="M514">
        <v>0.99992039999999904</v>
      </c>
      <c r="N514">
        <v>0</v>
      </c>
      <c r="O514">
        <v>-9.4801260000000002E-3</v>
      </c>
      <c r="P514">
        <v>0.9955155</v>
      </c>
      <c r="Q514">
        <v>-7.3324200000000001E-3</v>
      </c>
      <c r="R514">
        <v>9.4314800000000004E-2</v>
      </c>
      <c r="S514">
        <v>3.0459589999999999</v>
      </c>
      <c r="T514">
        <v>-0.63861140000000005</v>
      </c>
      <c r="U514">
        <v>-0.39251710000000001</v>
      </c>
      <c r="V514">
        <v>-0.10374849999999999</v>
      </c>
      <c r="W514">
        <v>9.6351300000000004E-4</v>
      </c>
      <c r="X514">
        <v>0.99460309999999896</v>
      </c>
      <c r="Y514">
        <v>0.11611920000000001</v>
      </c>
      <c r="Z514">
        <v>-1.003564E-2</v>
      </c>
      <c r="AA514">
        <v>0.99318459999999997</v>
      </c>
      <c r="AB514">
        <v>24</v>
      </c>
      <c r="AC514">
        <v>0.72749999999996295</v>
      </c>
      <c r="AD514">
        <v>-0.18227940000000001</v>
      </c>
      <c r="AE514">
        <v>-0.11099999999999</v>
      </c>
      <c r="AF514">
        <v>9.8080725579962905E-2</v>
      </c>
      <c r="AG514">
        <v>-0.18227940000000001</v>
      </c>
      <c r="AH514">
        <v>0.68640845785446003</v>
      </c>
      <c r="AI514">
        <v>104.72894574172</v>
      </c>
      <c r="AJ514">
        <v>81.868067369689498</v>
      </c>
      <c r="AK514">
        <v>0.71693945309823104</v>
      </c>
    </row>
    <row r="515" spans="1:37" x14ac:dyDescent="0.2">
      <c r="A515" t="str">
        <f>"20200111155511305"</f>
        <v>20200111155511305</v>
      </c>
      <c r="B515" t="str">
        <f>"1578729311302754"</f>
        <v>1578729311302754</v>
      </c>
      <c r="C515" t="s">
        <v>37</v>
      </c>
      <c r="D515">
        <v>4.6575230000000003</v>
      </c>
      <c r="E515">
        <v>0.58838239999999997</v>
      </c>
      <c r="F515" t="s">
        <v>40</v>
      </c>
      <c r="G515">
        <v>-404.75720000000001</v>
      </c>
      <c r="H515">
        <v>0.89870190000000005</v>
      </c>
      <c r="I515">
        <v>367.96429999999998</v>
      </c>
      <c r="J515">
        <v>-405.36180000000002</v>
      </c>
      <c r="K515">
        <v>1.0540069999999999</v>
      </c>
      <c r="L515">
        <v>368.05889999999999</v>
      </c>
      <c r="M515">
        <v>0.9999207</v>
      </c>
      <c r="N515">
        <v>0</v>
      </c>
      <c r="O515">
        <v>-9.5303669999999997E-3</v>
      </c>
      <c r="P515">
        <v>0.99550479999999997</v>
      </c>
      <c r="Q515">
        <v>-7.5807979999999997E-3</v>
      </c>
      <c r="R515">
        <v>9.4407740000000004E-2</v>
      </c>
      <c r="S515">
        <v>3.0460820000000002</v>
      </c>
      <c r="T515">
        <v>-0.63948349999999998</v>
      </c>
      <c r="U515">
        <v>-0.39352419999999999</v>
      </c>
      <c r="V515">
        <v>-0.1038912</v>
      </c>
      <c r="W515">
        <v>6.4117120000000002E-4</v>
      </c>
      <c r="X515">
        <v>0.99458840000000004</v>
      </c>
      <c r="Y515">
        <v>0.11637690000000001</v>
      </c>
      <c r="Z515">
        <v>-1.0064729999999999E-2</v>
      </c>
      <c r="AA515">
        <v>0.99315409999999904</v>
      </c>
      <c r="AB515">
        <v>24</v>
      </c>
      <c r="AC515">
        <v>0.60460000000000402</v>
      </c>
      <c r="AD515">
        <v>-0.155305099999999</v>
      </c>
      <c r="AE515">
        <v>-9.4600000000014006E-2</v>
      </c>
      <c r="AF515">
        <v>8.34581846442006E-2</v>
      </c>
      <c r="AG515">
        <v>-0.155305099999999</v>
      </c>
      <c r="AH515">
        <v>0.56883723217957904</v>
      </c>
      <c r="AI515">
        <v>105.11652348565499</v>
      </c>
      <c r="AJ515">
        <v>81.653276162279496</v>
      </c>
      <c r="AK515">
        <v>0.59553399515379501</v>
      </c>
    </row>
    <row r="516" spans="1:37" x14ac:dyDescent="0.2">
      <c r="A516" t="str">
        <f>"20200111155511322"</f>
        <v>20200111155511322</v>
      </c>
      <c r="B516" t="str">
        <f>"1578729311313489"</f>
        <v>1578729311313489</v>
      </c>
      <c r="C516" t="s">
        <v>37</v>
      </c>
      <c r="D516">
        <v>4.6658049999999998</v>
      </c>
      <c r="E516">
        <v>0.58844989999999997</v>
      </c>
      <c r="F516" t="s">
        <v>40</v>
      </c>
      <c r="G516">
        <v>-404.54880000000003</v>
      </c>
      <c r="H516">
        <v>0.88269629999999999</v>
      </c>
      <c r="I516">
        <v>367.95339999999999</v>
      </c>
      <c r="J516">
        <v>-405.18380000000002</v>
      </c>
      <c r="K516">
        <v>1.053992</v>
      </c>
      <c r="L516">
        <v>368.05709999999999</v>
      </c>
      <c r="M516">
        <v>0.99992080000000005</v>
      </c>
      <c r="N516">
        <v>0</v>
      </c>
      <c r="O516">
        <v>-9.596271E-3</v>
      </c>
      <c r="P516">
        <v>0.99547680000000005</v>
      </c>
      <c r="Q516">
        <v>-8.3131400000000001E-3</v>
      </c>
      <c r="R516">
        <v>9.4642009999999999E-2</v>
      </c>
      <c r="S516">
        <v>3.0459900000000002</v>
      </c>
      <c r="T516">
        <v>-0.64193619999999996</v>
      </c>
      <c r="U516">
        <v>-0.39389039999999997</v>
      </c>
      <c r="V516">
        <v>-0.10419100000000001</v>
      </c>
      <c r="W516">
        <v>-1.8328029999999999E-4</v>
      </c>
      <c r="X516">
        <v>0.99455729999999998</v>
      </c>
      <c r="Y516">
        <v>0.1164158</v>
      </c>
      <c r="Z516">
        <v>-1.0093090000000001E-2</v>
      </c>
      <c r="AA516">
        <v>0.99314930000000001</v>
      </c>
      <c r="AB516">
        <v>24</v>
      </c>
      <c r="AC516">
        <v>0.63499999999999002</v>
      </c>
      <c r="AD516">
        <v>-0.1712957</v>
      </c>
      <c r="AE516">
        <v>-0.103700000000003</v>
      </c>
      <c r="AF516">
        <v>9.1141417492575302E-2</v>
      </c>
      <c r="AG516">
        <v>-0.1712957</v>
      </c>
      <c r="AH516">
        <v>0.59387305382617195</v>
      </c>
      <c r="AI516">
        <v>105.912867567162</v>
      </c>
      <c r="AJ516">
        <v>81.274919041451199</v>
      </c>
      <c r="AK516">
        <v>0.624767299785984</v>
      </c>
    </row>
    <row r="517" spans="1:37" x14ac:dyDescent="0.2">
      <c r="A517" t="str">
        <f>"20200111155511333"</f>
        <v>20200111155511333</v>
      </c>
      <c r="B517" t="str">
        <f>"1578729311323249"</f>
        <v>1578729311323249</v>
      </c>
      <c r="C517" t="s">
        <v>37</v>
      </c>
      <c r="D517">
        <v>4.7632000000000003</v>
      </c>
      <c r="E517">
        <v>0.58838029999999997</v>
      </c>
      <c r="F517" t="s">
        <v>40</v>
      </c>
      <c r="G517">
        <v>-404.33600000000001</v>
      </c>
      <c r="H517">
        <v>0.87451919999999905</v>
      </c>
      <c r="I517">
        <v>367.94709999999998</v>
      </c>
      <c r="J517">
        <v>-405.06270000000001</v>
      </c>
      <c r="K517">
        <v>1.0539829999999999</v>
      </c>
      <c r="L517">
        <v>368.05590000000001</v>
      </c>
      <c r="M517">
        <v>0.9999207</v>
      </c>
      <c r="N517">
        <v>0</v>
      </c>
      <c r="O517">
        <v>-9.640381E-3</v>
      </c>
      <c r="P517">
        <v>0.99547790000000003</v>
      </c>
      <c r="Q517">
        <v>-8.6864009999999998E-3</v>
      </c>
      <c r="R517">
        <v>9.4596349999999996E-2</v>
      </c>
      <c r="S517">
        <v>3.0456240000000001</v>
      </c>
      <c r="T517">
        <v>-0.64485219999999999</v>
      </c>
      <c r="U517">
        <v>-0.39331050000000001</v>
      </c>
      <c r="V517">
        <v>-0.10418959999999999</v>
      </c>
      <c r="W517">
        <v>-6.1490639999999897E-4</v>
      </c>
      <c r="X517">
        <v>0.99455729999999998</v>
      </c>
      <c r="Y517">
        <v>0.11618579999999901</v>
      </c>
      <c r="Z517">
        <v>-1.010608E-2</v>
      </c>
      <c r="AA517">
        <v>0.99317610000000001</v>
      </c>
      <c r="AB517">
        <v>24</v>
      </c>
      <c r="AC517">
        <v>0.72669999999999302</v>
      </c>
      <c r="AD517">
        <v>-0.17946379999999901</v>
      </c>
      <c r="AE517">
        <v>-0.10880000000003</v>
      </c>
      <c r="AF517">
        <v>9.6059053209091402E-2</v>
      </c>
      <c r="AG517">
        <v>-0.17946379999999901</v>
      </c>
      <c r="AH517">
        <v>0.68674997694613804</v>
      </c>
      <c r="AI517">
        <v>104.510003356512</v>
      </c>
      <c r="AJ517">
        <v>82.037422190338702</v>
      </c>
      <c r="AK517">
        <v>0.71628215672972595</v>
      </c>
    </row>
    <row r="518" spans="1:37" x14ac:dyDescent="0.2">
      <c r="A518" t="str">
        <f>"20200111155511344"</f>
        <v>20200111155511344</v>
      </c>
      <c r="B518" t="str">
        <f>"1578729311333010"</f>
        <v>1578729311333010</v>
      </c>
      <c r="C518" t="s">
        <v>37</v>
      </c>
      <c r="D518">
        <v>4.7090199999999998</v>
      </c>
      <c r="E518">
        <v>0.58838279999999998</v>
      </c>
      <c r="F518" t="s">
        <v>40</v>
      </c>
      <c r="G518">
        <v>-404.32560000000001</v>
      </c>
      <c r="H518">
        <v>0.8972485</v>
      </c>
      <c r="I518">
        <v>367.96030000000002</v>
      </c>
      <c r="J518">
        <v>-404.93680000000001</v>
      </c>
      <c r="K518">
        <v>1.053976</v>
      </c>
      <c r="L518">
        <v>368.05470000000003</v>
      </c>
      <c r="M518">
        <v>0.9999209</v>
      </c>
      <c r="N518">
        <v>0</v>
      </c>
      <c r="O518">
        <v>-9.6868779999999995E-3</v>
      </c>
      <c r="P518">
        <v>0.99548409999999998</v>
      </c>
      <c r="Q518">
        <v>-8.88630199999999E-3</v>
      </c>
      <c r="R518">
        <v>9.4513920000000001E-2</v>
      </c>
      <c r="S518">
        <v>3.0453189999999899</v>
      </c>
      <c r="T518">
        <v>-0.64764730000000004</v>
      </c>
      <c r="U518">
        <v>-0.39276119999999998</v>
      </c>
      <c r="V518">
        <v>-0.1041535</v>
      </c>
      <c r="W518">
        <v>-8.7229189999999996E-4</v>
      </c>
      <c r="X518">
        <v>0.99456080000000002</v>
      </c>
      <c r="Y518">
        <v>0.1159615</v>
      </c>
      <c r="Z518">
        <v>-1.011681E-2</v>
      </c>
      <c r="AA518">
        <v>0.99320219999999904</v>
      </c>
      <c r="AB518">
        <v>24</v>
      </c>
      <c r="AC518">
        <v>0.61119999999999597</v>
      </c>
      <c r="AD518">
        <v>-0.15672749999999999</v>
      </c>
      <c r="AE518">
        <v>-9.4400000000007298E-2</v>
      </c>
      <c r="AF518">
        <v>8.3135606954530705E-2</v>
      </c>
      <c r="AG518">
        <v>-0.15672749999999999</v>
      </c>
      <c r="AH518">
        <v>0.57514847973962102</v>
      </c>
      <c r="AI518">
        <v>105.093355198125</v>
      </c>
      <c r="AJ518">
        <v>81.775072040858703</v>
      </c>
      <c r="AK518">
        <v>0.60188936869390297</v>
      </c>
    </row>
    <row r="519" spans="1:37" x14ac:dyDescent="0.2">
      <c r="A519" t="str">
        <f>"20200111155511358"</f>
        <v>20200111155511358</v>
      </c>
      <c r="B519" t="str">
        <f>"1578729311353505"</f>
        <v>1578729311353505</v>
      </c>
      <c r="C519" t="s">
        <v>37</v>
      </c>
      <c r="D519">
        <v>4.7171409999999998</v>
      </c>
      <c r="E519">
        <v>0.58887409999999996</v>
      </c>
      <c r="F519" t="s">
        <v>40</v>
      </c>
      <c r="G519">
        <v>-404.11660000000001</v>
      </c>
      <c r="H519">
        <v>0.87936209999999904</v>
      </c>
      <c r="I519">
        <v>367.94850000000002</v>
      </c>
      <c r="J519">
        <v>-404.78870000000001</v>
      </c>
      <c r="K519">
        <v>1.0539719999999999</v>
      </c>
      <c r="L519">
        <v>368.0532</v>
      </c>
      <c r="M519">
        <v>0.9999209</v>
      </c>
      <c r="N519">
        <v>0</v>
      </c>
      <c r="O519">
        <v>-9.7414549999999996E-3</v>
      </c>
      <c r="P519">
        <v>0.99549370000000004</v>
      </c>
      <c r="Q519">
        <v>-8.9969819999999902E-3</v>
      </c>
      <c r="R519">
        <v>9.4403920000000002E-2</v>
      </c>
      <c r="S519">
        <v>3.0451969999999999</v>
      </c>
      <c r="T519">
        <v>-0.64838809999999902</v>
      </c>
      <c r="U519">
        <v>-0.393341099999999</v>
      </c>
      <c r="V519">
        <v>-0.104098</v>
      </c>
      <c r="W519">
        <v>-1.0469889999999999E-3</v>
      </c>
      <c r="X519">
        <v>0.99456650000000002</v>
      </c>
      <c r="Y519">
        <v>0.11609129999999999</v>
      </c>
      <c r="Z519">
        <v>-1.013058E-2</v>
      </c>
      <c r="AA519">
        <v>0.99318689999999998</v>
      </c>
      <c r="AB519">
        <v>24</v>
      </c>
      <c r="AC519">
        <v>0.67210000000000003</v>
      </c>
      <c r="AD519">
        <v>-0.17460989999999901</v>
      </c>
      <c r="AE519">
        <v>-0.104699999999979</v>
      </c>
      <c r="AF519">
        <v>9.2079928878901401E-2</v>
      </c>
      <c r="AG519">
        <v>-0.17460989999999901</v>
      </c>
      <c r="AH519">
        <v>0.63147653401792703</v>
      </c>
      <c r="AI519">
        <v>105.302551846914</v>
      </c>
      <c r="AJ519">
        <v>81.703778916424596</v>
      </c>
      <c r="AK519">
        <v>0.66161162587703004</v>
      </c>
    </row>
    <row r="520" spans="1:37" x14ac:dyDescent="0.2">
      <c r="A520" t="str">
        <f>"20200111155511373"</f>
        <v>20200111155511373</v>
      </c>
      <c r="B520" t="str">
        <f>"1578729311363266"</f>
        <v>1578729311363266</v>
      </c>
      <c r="C520" t="s">
        <v>37</v>
      </c>
      <c r="D520">
        <v>4.7464899999999997</v>
      </c>
      <c r="E520">
        <v>0.58909239999999996</v>
      </c>
      <c r="F520" t="s">
        <v>40</v>
      </c>
      <c r="G520">
        <v>-404.1037</v>
      </c>
      <c r="H520">
        <v>0.90680059999999996</v>
      </c>
      <c r="I520">
        <v>367.96350000000001</v>
      </c>
      <c r="J520">
        <v>-404.63990000000001</v>
      </c>
      <c r="K520">
        <v>1.053966</v>
      </c>
      <c r="L520">
        <v>368.05169999999998</v>
      </c>
      <c r="M520">
        <v>0.99992080000000005</v>
      </c>
      <c r="N520">
        <v>0</v>
      </c>
      <c r="O520">
        <v>-9.7958239999999999E-3</v>
      </c>
      <c r="P520">
        <v>0.99550130000000003</v>
      </c>
      <c r="Q520">
        <v>-9.0070219999999999E-3</v>
      </c>
      <c r="R520">
        <v>9.4322050000000004E-2</v>
      </c>
      <c r="S520">
        <v>3.0453489999999999</v>
      </c>
      <c r="T520">
        <v>-0.65437009999999995</v>
      </c>
      <c r="U520">
        <v>-0.39743040000000002</v>
      </c>
      <c r="V520">
        <v>-0.10407</v>
      </c>
      <c r="W520">
        <v>-1.114339E-3</v>
      </c>
      <c r="X520">
        <v>0.99456939999999905</v>
      </c>
      <c r="Y520">
        <v>0.1172749</v>
      </c>
      <c r="Z520">
        <v>-1.0334370000000001E-2</v>
      </c>
      <c r="AA520">
        <v>0.99304570000000003</v>
      </c>
      <c r="AB520">
        <v>24</v>
      </c>
      <c r="AC520">
        <v>0.536200000000008</v>
      </c>
      <c r="AD520">
        <v>-0.1471654</v>
      </c>
      <c r="AE520">
        <v>-8.8199999999971995E-2</v>
      </c>
      <c r="AF520">
        <v>7.7275413788882905E-2</v>
      </c>
      <c r="AG520">
        <v>-0.1471654</v>
      </c>
      <c r="AH520">
        <v>0.500341373230208</v>
      </c>
      <c r="AI520">
        <v>106.208277312606</v>
      </c>
      <c r="AJ520">
        <v>81.220301431183799</v>
      </c>
      <c r="AK520">
        <v>0.527229204710147</v>
      </c>
    </row>
    <row r="521" spans="1:37" x14ac:dyDescent="0.2">
      <c r="A521" t="str">
        <f>"20200111155511386"</f>
        <v>20200111155511386</v>
      </c>
      <c r="B521" t="str">
        <f>"1578729311382786"</f>
        <v>1578729311382786</v>
      </c>
      <c r="C521" t="s">
        <v>37</v>
      </c>
      <c r="D521">
        <v>4.7062119999999998</v>
      </c>
      <c r="E521">
        <v>0.58939200000000003</v>
      </c>
      <c r="F521" t="s">
        <v>40</v>
      </c>
      <c r="G521">
        <v>-403.89249999999998</v>
      </c>
      <c r="H521">
        <v>0.89279819999999999</v>
      </c>
      <c r="I521">
        <v>367.95330000000001</v>
      </c>
      <c r="J521">
        <v>-404.48289999999997</v>
      </c>
      <c r="K521">
        <v>1.0539590000000001</v>
      </c>
      <c r="L521">
        <v>368.05009999999999</v>
      </c>
      <c r="M521">
        <v>0.99992049999999999</v>
      </c>
      <c r="N521">
        <v>0</v>
      </c>
      <c r="O521">
        <v>-9.8531799999999996E-3</v>
      </c>
      <c r="P521">
        <v>0.99549759999999998</v>
      </c>
      <c r="Q521">
        <v>-8.9985039999999992E-3</v>
      </c>
      <c r="R521">
        <v>9.4360100000000002E-2</v>
      </c>
      <c r="S521">
        <v>3.045471</v>
      </c>
      <c r="T521">
        <v>-0.65682200000000002</v>
      </c>
      <c r="U521">
        <v>-0.3993835</v>
      </c>
      <c r="V521">
        <v>-0.1041648</v>
      </c>
      <c r="W521">
        <v>-1.1620689999999999E-3</v>
      </c>
      <c r="X521">
        <v>0.99455930000000003</v>
      </c>
      <c r="Y521">
        <v>0.11781069999999901</v>
      </c>
      <c r="Z521">
        <v>-1.0416119999999999E-2</v>
      </c>
      <c r="AA521">
        <v>0.99298140000000001</v>
      </c>
      <c r="AB521">
        <v>24</v>
      </c>
      <c r="AC521">
        <v>0.59039999999998805</v>
      </c>
      <c r="AD521">
        <v>-0.16116079999999999</v>
      </c>
      <c r="AE521">
        <v>-9.6799999999973296E-2</v>
      </c>
      <c r="AF521">
        <v>8.4822931999359405E-2</v>
      </c>
      <c r="AG521">
        <v>-0.16116079999999999</v>
      </c>
      <c r="AH521">
        <v>0.55132056083583503</v>
      </c>
      <c r="AI521">
        <v>106.11497200898199</v>
      </c>
      <c r="AJ521">
        <v>81.253392648559</v>
      </c>
      <c r="AK521">
        <v>0.58062216117708398</v>
      </c>
    </row>
    <row r="522" spans="1:37" x14ac:dyDescent="0.2">
      <c r="A522" t="str">
        <f>"20200111155511401"</f>
        <v>20200111155511401</v>
      </c>
      <c r="B522" t="str">
        <f>"1578729311392546"</f>
        <v>1578729311392546</v>
      </c>
      <c r="C522" t="s">
        <v>37</v>
      </c>
      <c r="D522">
        <v>4.7136680000000002</v>
      </c>
      <c r="E522">
        <v>0.58951730000000002</v>
      </c>
      <c r="F522" t="s">
        <v>40</v>
      </c>
      <c r="G522">
        <v>-403.67989999999998</v>
      </c>
      <c r="H522">
        <v>0.87956690000000004</v>
      </c>
      <c r="I522">
        <v>367.94400000000002</v>
      </c>
      <c r="J522">
        <v>-404.31650000000002</v>
      </c>
      <c r="K522">
        <v>1.0539479999999899</v>
      </c>
      <c r="L522">
        <v>368.04829999999998</v>
      </c>
      <c r="M522">
        <v>0.99992049999999999</v>
      </c>
      <c r="N522">
        <v>0</v>
      </c>
      <c r="O522">
        <v>-9.9141190000000008E-3</v>
      </c>
      <c r="P522">
        <v>0.99553749999999996</v>
      </c>
      <c r="Q522">
        <v>-9.3068000000000005E-3</v>
      </c>
      <c r="R522">
        <v>9.3906680000000006E-2</v>
      </c>
      <c r="S522">
        <v>3.04568499999999</v>
      </c>
      <c r="T522">
        <v>-0.66145240000000005</v>
      </c>
      <c r="U522">
        <v>-0.40155029999999903</v>
      </c>
      <c r="V522">
        <v>-0.10377260000000001</v>
      </c>
      <c r="W522">
        <v>-1.5245650000000001E-3</v>
      </c>
      <c r="X522">
        <v>0.99459989999999998</v>
      </c>
      <c r="Y522">
        <v>0.1183903</v>
      </c>
      <c r="Z522">
        <v>-1.0535650000000001E-2</v>
      </c>
      <c r="AA522">
        <v>0.99291119999999899</v>
      </c>
      <c r="AB522">
        <v>24</v>
      </c>
      <c r="AC522">
        <v>0.63660000000004302</v>
      </c>
      <c r="AD522">
        <v>-0.17438109999999901</v>
      </c>
      <c r="AE522">
        <v>-0.104299999999966</v>
      </c>
      <c r="AF522">
        <v>9.1310922461334099E-2</v>
      </c>
      <c r="AG522">
        <v>-0.17438109999999901</v>
      </c>
      <c r="AH522">
        <v>0.59418356418360696</v>
      </c>
      <c r="AI522">
        <v>106.17612168100401</v>
      </c>
      <c r="AJ522">
        <v>81.263439943341098</v>
      </c>
      <c r="AK522">
        <v>0.62593974194317104</v>
      </c>
    </row>
    <row r="523" spans="1:37" x14ac:dyDescent="0.2">
      <c r="A523" t="str">
        <f>"20200111155511414"</f>
        <v>20200111155511414</v>
      </c>
      <c r="B523" t="str">
        <f>"1578729311403282"</f>
        <v>1578729311403282</v>
      </c>
      <c r="C523" t="s">
        <v>37</v>
      </c>
      <c r="D523">
        <v>4.7100599999999897</v>
      </c>
      <c r="E523">
        <v>0.58958769999999905</v>
      </c>
      <c r="F523" t="s">
        <v>40</v>
      </c>
      <c r="G523">
        <v>-403.46559999999999</v>
      </c>
      <c r="H523">
        <v>0.86833019999999905</v>
      </c>
      <c r="I523">
        <v>367.93509999999998</v>
      </c>
      <c r="J523">
        <v>-404.1671</v>
      </c>
      <c r="K523">
        <v>1.0539419999999999</v>
      </c>
      <c r="L523">
        <v>368.04680000000002</v>
      </c>
      <c r="M523">
        <v>0.99992019999999904</v>
      </c>
      <c r="N523">
        <v>0</v>
      </c>
      <c r="O523">
        <v>-9.9683089999999999E-3</v>
      </c>
      <c r="P523">
        <v>0.99554549999999997</v>
      </c>
      <c r="Q523">
        <v>-9.4871279999999992E-3</v>
      </c>
      <c r="R523">
        <v>9.3804979999999996E-2</v>
      </c>
      <c r="S523">
        <v>3.0453189999999899</v>
      </c>
      <c r="T523">
        <v>-0.66445559999999904</v>
      </c>
      <c r="U523">
        <v>-0.4036865</v>
      </c>
      <c r="V523">
        <v>-0.1037251</v>
      </c>
      <c r="W523">
        <v>-1.748437E-3</v>
      </c>
      <c r="X523">
        <v>0.9946045</v>
      </c>
      <c r="Y523">
        <v>0.11900090000000001</v>
      </c>
      <c r="Z523">
        <v>-1.063711E-2</v>
      </c>
      <c r="AA523">
        <v>0.99283709999999903</v>
      </c>
      <c r="AB523">
        <v>24</v>
      </c>
      <c r="AC523">
        <v>0.70150000000001</v>
      </c>
      <c r="AD523">
        <v>-0.18561179999999999</v>
      </c>
      <c r="AE523">
        <v>-0.111700000000041</v>
      </c>
      <c r="AF523">
        <v>9.8009557307398104E-2</v>
      </c>
      <c r="AG523">
        <v>-0.18561179999999999</v>
      </c>
      <c r="AH523">
        <v>0.65767386938349004</v>
      </c>
      <c r="AI523">
        <v>105.59665402304</v>
      </c>
      <c r="AJ523">
        <v>81.523901113801003</v>
      </c>
      <c r="AK523">
        <v>0.69035681505485602</v>
      </c>
    </row>
    <row r="524" spans="1:37" x14ac:dyDescent="0.2">
      <c r="A524" t="str">
        <f>"20200111155511427"</f>
        <v>20200111155511427</v>
      </c>
      <c r="B524" t="str">
        <f>"1578729311422803"</f>
        <v>1578729311422803</v>
      </c>
      <c r="C524" t="s">
        <v>37</v>
      </c>
      <c r="D524">
        <v>4.6398359999999998</v>
      </c>
      <c r="E524">
        <v>0.58976980000000001</v>
      </c>
      <c r="F524" t="s">
        <v>40</v>
      </c>
      <c r="G524">
        <v>-403.45229999999998</v>
      </c>
      <c r="H524">
        <v>0.89738259999999903</v>
      </c>
      <c r="I524">
        <v>367.95139999999998</v>
      </c>
      <c r="J524">
        <v>-404.02730000000003</v>
      </c>
      <c r="K524">
        <v>1.053941</v>
      </c>
      <c r="L524">
        <v>368.0453</v>
      </c>
      <c r="M524">
        <v>0.99992000000000003</v>
      </c>
      <c r="N524">
        <v>0</v>
      </c>
      <c r="O524">
        <v>-1.0019429999999999E-2</v>
      </c>
      <c r="P524">
        <v>0.99556639999999996</v>
      </c>
      <c r="Q524">
        <v>-9.6573010000000001E-3</v>
      </c>
      <c r="R524">
        <v>9.3564770000000005E-2</v>
      </c>
      <c r="S524">
        <v>3.045166</v>
      </c>
      <c r="T524">
        <v>-0.66714289999999998</v>
      </c>
      <c r="U524">
        <v>-0.40438839999999998</v>
      </c>
      <c r="V524">
        <v>-0.1035354</v>
      </c>
      <c r="W524">
        <v>-1.955002E-3</v>
      </c>
      <c r="X524">
        <v>0.99462379999999995</v>
      </c>
      <c r="Y524">
        <v>0.1191588</v>
      </c>
      <c r="Z524">
        <v>-1.0685500000000001E-2</v>
      </c>
      <c r="AA524">
        <v>0.99281769999999903</v>
      </c>
      <c r="AB524">
        <v>24</v>
      </c>
      <c r="AC524">
        <v>0.57500000000004503</v>
      </c>
      <c r="AD524">
        <v>-0.15655839999999999</v>
      </c>
      <c r="AE524">
        <v>-9.3900000000019204E-2</v>
      </c>
      <c r="AF524">
        <v>8.2198529304572401E-2</v>
      </c>
      <c r="AG524">
        <v>-0.15655839999999999</v>
      </c>
      <c r="AH524">
        <v>0.53712698151925597</v>
      </c>
      <c r="AI524">
        <v>106.07272097288801</v>
      </c>
      <c r="AJ524">
        <v>81.299317157753194</v>
      </c>
      <c r="AK524">
        <v>0.56548432790518699</v>
      </c>
    </row>
    <row r="525" spans="1:37" x14ac:dyDescent="0.2">
      <c r="A525" t="str">
        <f>"20200111155511441"</f>
        <v>20200111155511441</v>
      </c>
      <c r="B525" t="str">
        <f>"1578729311432562"</f>
        <v>1578729311432562</v>
      </c>
      <c r="C525" t="s">
        <v>37</v>
      </c>
      <c r="D525">
        <v>4.6516080000000004</v>
      </c>
      <c r="E525">
        <v>0.58990900000000002</v>
      </c>
      <c r="F525" t="s">
        <v>40</v>
      </c>
      <c r="G525">
        <v>-403.24009999999998</v>
      </c>
      <c r="H525">
        <v>0.88045289999999998</v>
      </c>
      <c r="I525">
        <v>367.9402</v>
      </c>
      <c r="J525">
        <v>-403.8845</v>
      </c>
      <c r="K525">
        <v>1.05393799999999</v>
      </c>
      <c r="L525">
        <v>368.04390000000001</v>
      </c>
      <c r="M525">
        <v>0.99991989999999997</v>
      </c>
      <c r="N525">
        <v>0</v>
      </c>
      <c r="O525">
        <v>-1.007162E-2</v>
      </c>
      <c r="P525">
        <v>0.99556679999999997</v>
      </c>
      <c r="Q525">
        <v>-9.8442029999999993E-3</v>
      </c>
      <c r="R525">
        <v>9.3541479999999996E-2</v>
      </c>
      <c r="S525">
        <v>3.0450439999999999</v>
      </c>
      <c r="T525">
        <v>-0.67109700000000005</v>
      </c>
      <c r="U525">
        <v>-0.40621950000000001</v>
      </c>
      <c r="V525">
        <v>-0.1035643</v>
      </c>
      <c r="W525">
        <v>-2.1766519999999998E-3</v>
      </c>
      <c r="X525">
        <v>0.99462039999999996</v>
      </c>
      <c r="Y525">
        <v>0.1196583</v>
      </c>
      <c r="Z525">
        <v>-1.079024E-2</v>
      </c>
      <c r="AA525">
        <v>0.99275650000000004</v>
      </c>
      <c r="AB525">
        <v>25</v>
      </c>
      <c r="AC525">
        <v>0.64440000000001796</v>
      </c>
      <c r="AD525">
        <v>-0.173485099999999</v>
      </c>
      <c r="AE525">
        <v>-0.103700000000003</v>
      </c>
      <c r="AF525">
        <v>9.0790113585078699E-2</v>
      </c>
      <c r="AG525">
        <v>-0.173485099999999</v>
      </c>
      <c r="AH525">
        <v>0.60282260498328</v>
      </c>
      <c r="AI525">
        <v>105.885216088665</v>
      </c>
      <c r="AJ525">
        <v>81.435148947638197</v>
      </c>
      <c r="AK525">
        <v>0.63382569979894998</v>
      </c>
    </row>
    <row r="526" spans="1:37" x14ac:dyDescent="0.2">
      <c r="A526" t="str">
        <f>"20200111155511455"</f>
        <v>20200111155511455</v>
      </c>
      <c r="B526" t="str">
        <f>"1578729311453058"</f>
        <v>1578729311453058</v>
      </c>
      <c r="C526" t="s">
        <v>37</v>
      </c>
      <c r="D526">
        <v>4.5802360000000002</v>
      </c>
      <c r="E526">
        <v>0.59016429999999998</v>
      </c>
      <c r="F526" t="s">
        <v>40</v>
      </c>
      <c r="G526">
        <v>-403.0265</v>
      </c>
      <c r="H526">
        <v>0.8643575</v>
      </c>
      <c r="I526">
        <v>367.92880000000002</v>
      </c>
      <c r="J526">
        <v>-403.71190000000001</v>
      </c>
      <c r="K526">
        <v>1.0539350000000001</v>
      </c>
      <c r="L526">
        <v>368.0421</v>
      </c>
      <c r="M526">
        <v>0.99991949999999996</v>
      </c>
      <c r="N526">
        <v>0</v>
      </c>
      <c r="O526">
        <v>-1.0134779999999999E-2</v>
      </c>
      <c r="P526">
        <v>0.9955714</v>
      </c>
      <c r="Q526">
        <v>-9.9779610000000005E-3</v>
      </c>
      <c r="R526">
        <v>9.34812E-2</v>
      </c>
      <c r="S526">
        <v>3.0449830000000002</v>
      </c>
      <c r="T526">
        <v>-0.67294309999999902</v>
      </c>
      <c r="U526">
        <v>-0.40731809999999902</v>
      </c>
      <c r="V526">
        <v>-0.1035671</v>
      </c>
      <c r="W526">
        <v>-2.3470159999999999E-3</v>
      </c>
      <c r="X526">
        <v>0.9946197</v>
      </c>
      <c r="Y526">
        <v>0.119931199999999</v>
      </c>
      <c r="Z526">
        <v>-1.083512E-2</v>
      </c>
      <c r="AA526">
        <v>0.99272309999999997</v>
      </c>
      <c r="AB526">
        <v>25</v>
      </c>
      <c r="AC526">
        <v>0.685400000000015</v>
      </c>
      <c r="AD526">
        <v>-0.18957749999999901</v>
      </c>
      <c r="AE526">
        <v>-0.113299999999981</v>
      </c>
      <c r="AF526">
        <v>9.8976863255167094E-2</v>
      </c>
      <c r="AG526">
        <v>-0.18957749999999901</v>
      </c>
      <c r="AH526">
        <v>0.63893226776040102</v>
      </c>
      <c r="AI526">
        <v>106.34180152577601</v>
      </c>
      <c r="AJ526">
        <v>81.194314486373997</v>
      </c>
      <c r="AK526">
        <v>0.67377332297407799</v>
      </c>
    </row>
    <row r="527" spans="1:37" x14ac:dyDescent="0.2">
      <c r="A527" t="str">
        <f>"20200111155511467"</f>
        <v>20200111155511467</v>
      </c>
      <c r="B527" t="str">
        <f>"1578729311462817"</f>
        <v>1578729311462817</v>
      </c>
      <c r="C527" t="s">
        <v>37</v>
      </c>
      <c r="D527">
        <v>4.5811929999999998</v>
      </c>
      <c r="E527">
        <v>0.59027010000000002</v>
      </c>
      <c r="F527" t="s">
        <v>40</v>
      </c>
      <c r="G527">
        <v>-403.010999999999</v>
      </c>
      <c r="H527">
        <v>0.89838660000000004</v>
      </c>
      <c r="I527">
        <v>367.94740000000002</v>
      </c>
      <c r="J527">
        <v>-403.58609999999999</v>
      </c>
      <c r="K527">
        <v>1.0539339999999999</v>
      </c>
      <c r="L527">
        <v>368.04070000000002</v>
      </c>
      <c r="M527">
        <v>0.99991919999999901</v>
      </c>
      <c r="N527">
        <v>0</v>
      </c>
      <c r="O527">
        <v>-1.018047E-2</v>
      </c>
      <c r="P527">
        <v>0.99557119999999999</v>
      </c>
      <c r="Q527">
        <v>-1.031281E-2</v>
      </c>
      <c r="R527">
        <v>9.3444879999999994E-2</v>
      </c>
      <c r="S527">
        <v>3.045105</v>
      </c>
      <c r="T527">
        <v>-0.675907699999999</v>
      </c>
      <c r="U527">
        <v>-0.40963749999999999</v>
      </c>
      <c r="V527">
        <v>-0.103576</v>
      </c>
      <c r="W527">
        <v>-2.7050720000000002E-3</v>
      </c>
      <c r="X527">
        <v>0.99461790000000005</v>
      </c>
      <c r="Y527">
        <v>0.1205866</v>
      </c>
      <c r="Z527">
        <v>-1.094237E-2</v>
      </c>
      <c r="AA527">
        <v>0.99264249999999898</v>
      </c>
      <c r="AB527">
        <v>25</v>
      </c>
      <c r="AC527">
        <v>0.57510000000002004</v>
      </c>
      <c r="AD527">
        <v>-0.155547399999999</v>
      </c>
      <c r="AE527">
        <v>-9.3299999999999203E-2</v>
      </c>
      <c r="AF527">
        <v>8.1622321294294906E-2</v>
      </c>
      <c r="AG527">
        <v>-0.155547399999999</v>
      </c>
      <c r="AH527">
        <v>0.53769422798079902</v>
      </c>
      <c r="AI527">
        <v>105.96102872270799</v>
      </c>
      <c r="AJ527">
        <v>81.368362982936503</v>
      </c>
      <c r="AK527">
        <v>0.56566092297780002</v>
      </c>
    </row>
    <row r="528" spans="1:37" x14ac:dyDescent="0.2">
      <c r="A528" t="str">
        <f>"20200111155511480"</f>
        <v>20200111155511480</v>
      </c>
      <c r="B528" t="str">
        <f>"1578729311472578"</f>
        <v>1578729311472578</v>
      </c>
      <c r="C528" t="s">
        <v>37</v>
      </c>
      <c r="D528">
        <v>4.5622930000000004</v>
      </c>
      <c r="E528">
        <v>0.59037740000000005</v>
      </c>
      <c r="F528" t="s">
        <v>40</v>
      </c>
      <c r="G528">
        <v>-402.7987</v>
      </c>
      <c r="H528">
        <v>0.87873400000000002</v>
      </c>
      <c r="I528">
        <v>367.9341</v>
      </c>
      <c r="J528">
        <v>-403.44819999999999</v>
      </c>
      <c r="K528">
        <v>1.053931</v>
      </c>
      <c r="L528">
        <v>368.03930000000003</v>
      </c>
      <c r="M528">
        <v>0.99991869999999905</v>
      </c>
      <c r="N528">
        <v>0</v>
      </c>
      <c r="O528">
        <v>-1.023021E-2</v>
      </c>
      <c r="P528">
        <v>0.99556769999999895</v>
      </c>
      <c r="Q528">
        <v>-1.0444760000000001E-2</v>
      </c>
      <c r="R528">
        <v>9.3465679999999995E-2</v>
      </c>
      <c r="S528">
        <v>3.044861</v>
      </c>
      <c r="T528">
        <v>-0.67761499999999997</v>
      </c>
      <c r="U528">
        <v>-0.410553</v>
      </c>
      <c r="V528">
        <v>-0.10364660000000001</v>
      </c>
      <c r="W528">
        <v>-2.8610319999999999E-3</v>
      </c>
      <c r="X528">
        <v>0.99461010000000005</v>
      </c>
      <c r="Y528">
        <v>0.1208229</v>
      </c>
      <c r="Z528">
        <v>-1.098499E-2</v>
      </c>
      <c r="AA528">
        <v>0.99261330000000003</v>
      </c>
      <c r="AB528">
        <v>25</v>
      </c>
      <c r="AC528">
        <v>0.64949999999998898</v>
      </c>
      <c r="AD528">
        <v>-0.17519699999999899</v>
      </c>
      <c r="AE528">
        <v>-0.105200000000024</v>
      </c>
      <c r="AF528">
        <v>9.2025164043170404E-2</v>
      </c>
      <c r="AG528">
        <v>-0.17519699999999899</v>
      </c>
      <c r="AH528">
        <v>0.607472261059394</v>
      </c>
      <c r="AI528">
        <v>105.91549636600401</v>
      </c>
      <c r="AJ528">
        <v>81.385835128517996</v>
      </c>
      <c r="AK528">
        <v>0.63889370601281203</v>
      </c>
    </row>
    <row r="529" spans="1:37" x14ac:dyDescent="0.2">
      <c r="A529" t="str">
        <f>"20200111155511493"</f>
        <v>20200111155511493</v>
      </c>
      <c r="B529" t="str">
        <f>"1578729311483313"</f>
        <v>1578729311483313</v>
      </c>
      <c r="C529" t="s">
        <v>37</v>
      </c>
      <c r="D529">
        <v>4.5348319999999998</v>
      </c>
      <c r="E529">
        <v>0.59047260000000001</v>
      </c>
      <c r="F529" t="s">
        <v>40</v>
      </c>
      <c r="G529">
        <v>-402.58420000000001</v>
      </c>
      <c r="H529">
        <v>0.86132189999999997</v>
      </c>
      <c r="I529">
        <v>367.92219999999998</v>
      </c>
      <c r="J529">
        <v>-403.29840000000002</v>
      </c>
      <c r="K529">
        <v>1.053931</v>
      </c>
      <c r="L529">
        <v>368.03769999999997</v>
      </c>
      <c r="M529">
        <v>0.99991849999999904</v>
      </c>
      <c r="N529">
        <v>0</v>
      </c>
      <c r="O529">
        <v>-1.028484E-2</v>
      </c>
      <c r="P529">
        <v>0.99556230000000001</v>
      </c>
      <c r="Q529">
        <v>-1.0013309999999999E-2</v>
      </c>
      <c r="R529">
        <v>9.3571520000000005E-2</v>
      </c>
      <c r="S529">
        <v>3.044861</v>
      </c>
      <c r="T529">
        <v>-0.67880580000000001</v>
      </c>
      <c r="U529">
        <v>-0.41146850000000001</v>
      </c>
      <c r="V529">
        <v>-0.1038066</v>
      </c>
      <c r="W529">
        <v>-2.4520219999999999E-3</v>
      </c>
      <c r="X529">
        <v>0.99459449999999905</v>
      </c>
      <c r="Y529">
        <v>0.12104860000000001</v>
      </c>
      <c r="Z529">
        <v>-1.1016389999999999E-2</v>
      </c>
      <c r="AA529">
        <v>0.99258539999999995</v>
      </c>
      <c r="AB529">
        <v>25</v>
      </c>
      <c r="AC529">
        <v>0.71420000000000505</v>
      </c>
      <c r="AD529">
        <v>-0.19260909999999901</v>
      </c>
      <c r="AE529">
        <v>-0.11549999999999699</v>
      </c>
      <c r="AF529">
        <v>0.100990410052886</v>
      </c>
      <c r="AG529">
        <v>-0.19260909999999901</v>
      </c>
      <c r="AH529">
        <v>0.66800440152051199</v>
      </c>
      <c r="AI529">
        <v>105.912607324764</v>
      </c>
      <c r="AJ529">
        <v>81.4029984017385</v>
      </c>
      <c r="AK529">
        <v>0.70251491712008296</v>
      </c>
    </row>
    <row r="530" spans="1:37" x14ac:dyDescent="0.2">
      <c r="A530" t="str">
        <f>"20200111155511505"</f>
        <v>20200111155511505</v>
      </c>
      <c r="B530" t="str">
        <f>"1578729311502556"</f>
        <v>1578729311502556</v>
      </c>
      <c r="C530" t="s">
        <v>37</v>
      </c>
      <c r="D530">
        <v>4.4974600000000002</v>
      </c>
      <c r="E530">
        <v>0.59067950000000002</v>
      </c>
      <c r="F530" t="s">
        <v>40</v>
      </c>
      <c r="G530">
        <v>-402.57060000000001</v>
      </c>
      <c r="H530">
        <v>0.89185020000000004</v>
      </c>
      <c r="I530">
        <v>367.93900000000002</v>
      </c>
      <c r="J530">
        <v>-403.16079999999999</v>
      </c>
      <c r="K530">
        <v>1.053931</v>
      </c>
      <c r="L530">
        <v>368.03629999999998</v>
      </c>
      <c r="M530">
        <v>0.99991819999999898</v>
      </c>
      <c r="N530">
        <v>0</v>
      </c>
      <c r="O530">
        <v>-1.033508E-2</v>
      </c>
      <c r="P530">
        <v>0.99555329999999997</v>
      </c>
      <c r="Q530">
        <v>-1.013417E-2</v>
      </c>
      <c r="R530">
        <v>9.3656249999999996E-2</v>
      </c>
      <c r="S530">
        <v>3.045258</v>
      </c>
      <c r="T530">
        <v>-0.67819680000000004</v>
      </c>
      <c r="U530">
        <v>-0.41143800000000003</v>
      </c>
      <c r="V530">
        <v>-0.1039412</v>
      </c>
      <c r="W530">
        <v>-2.591239E-3</v>
      </c>
      <c r="X530">
        <v>0.99458009999999997</v>
      </c>
      <c r="Y530">
        <v>0.12098009999999999</v>
      </c>
      <c r="Z530">
        <v>-1.0986859999999999E-2</v>
      </c>
      <c r="AA530">
        <v>0.99259409999999904</v>
      </c>
      <c r="AB530">
        <v>25</v>
      </c>
      <c r="AC530">
        <v>0.59019999999998096</v>
      </c>
      <c r="AD530">
        <v>-0.162080799999999</v>
      </c>
      <c r="AE530">
        <v>-9.7299999999961501E-2</v>
      </c>
      <c r="AF530">
        <v>8.4957241991075003E-2</v>
      </c>
      <c r="AG530">
        <v>-0.162080799999999</v>
      </c>
      <c r="AH530">
        <v>0.55073848089621902</v>
      </c>
      <c r="AI530">
        <v>106.21743645471901</v>
      </c>
      <c r="AJ530">
        <v>81.230642870891103</v>
      </c>
      <c r="AK530">
        <v>0.58034540838645798</v>
      </c>
    </row>
    <row r="531" spans="1:37" x14ac:dyDescent="0.2">
      <c r="A531" t="str">
        <f>"20200111155511517"</f>
        <v>20200111155511517</v>
      </c>
      <c r="B531" t="str">
        <f>"1578729311513293"</f>
        <v>1578729311513293</v>
      </c>
      <c r="C531" t="s">
        <v>37</v>
      </c>
      <c r="D531">
        <v>4.3695190000000004</v>
      </c>
      <c r="E531">
        <v>0.59067950000000002</v>
      </c>
      <c r="F531" t="s">
        <v>40</v>
      </c>
      <c r="G531">
        <v>-402.35579999999999</v>
      </c>
      <c r="H531">
        <v>0.87431650000000005</v>
      </c>
      <c r="I531">
        <v>367.92680000000001</v>
      </c>
      <c r="J531">
        <v>-403.0258</v>
      </c>
      <c r="K531">
        <v>1.053928</v>
      </c>
      <c r="L531">
        <v>368.03480000000002</v>
      </c>
      <c r="M531">
        <v>0.99991759999999996</v>
      </c>
      <c r="N531">
        <v>0</v>
      </c>
      <c r="O531">
        <v>-1.0384010000000001E-2</v>
      </c>
      <c r="P531">
        <v>0.99554120000000002</v>
      </c>
      <c r="Q531">
        <v>-9.9282429999999998E-3</v>
      </c>
      <c r="R531">
        <v>9.3803540000000005E-2</v>
      </c>
      <c r="S531">
        <v>3.0453189999999899</v>
      </c>
      <c r="T531">
        <v>-0.67959130000000001</v>
      </c>
      <c r="U531">
        <v>-0.4131165</v>
      </c>
      <c r="V531">
        <v>-0.1041371</v>
      </c>
      <c r="W531">
        <v>-2.4018889999999999E-3</v>
      </c>
      <c r="X531">
        <v>0.99456009999999995</v>
      </c>
      <c r="Y531">
        <v>0.1214456</v>
      </c>
      <c r="Z531">
        <v>-1.104866E-2</v>
      </c>
      <c r="AA531">
        <v>0.99253659999999999</v>
      </c>
      <c r="AB531">
        <v>25</v>
      </c>
      <c r="AC531">
        <v>0.67000000000001503</v>
      </c>
      <c r="AD531">
        <v>-0.17961149999999901</v>
      </c>
      <c r="AE531">
        <v>-0.108000000000004</v>
      </c>
      <c r="AF531">
        <v>9.4422827457376901E-2</v>
      </c>
      <c r="AG531">
        <v>-0.17961149999999901</v>
      </c>
      <c r="AH531">
        <v>0.62715611327311305</v>
      </c>
      <c r="AI531">
        <v>105.81205327666</v>
      </c>
      <c r="AJ531">
        <v>81.438017902957895</v>
      </c>
      <c r="AK531">
        <v>0.65916671009171401</v>
      </c>
    </row>
    <row r="532" spans="1:37" x14ac:dyDescent="0.2">
      <c r="A532" t="str">
        <f>"20200111155511533"</f>
        <v>20200111155511533</v>
      </c>
      <c r="B532" t="str">
        <f>"1578729311523052"</f>
        <v>1578729311523052</v>
      </c>
      <c r="C532" t="s">
        <v>37</v>
      </c>
      <c r="D532">
        <v>4.6012180000000003</v>
      </c>
      <c r="E532">
        <v>0.565191</v>
      </c>
      <c r="F532" t="s">
        <v>40</v>
      </c>
      <c r="G532">
        <v>-402.34309999999999</v>
      </c>
      <c r="H532">
        <v>0.90173150000000002</v>
      </c>
      <c r="I532">
        <v>367.94209999999998</v>
      </c>
      <c r="J532">
        <v>-402.85050000000001</v>
      </c>
      <c r="K532">
        <v>1.05393</v>
      </c>
      <c r="L532">
        <v>368.03289999999998</v>
      </c>
      <c r="M532">
        <v>0.9999171</v>
      </c>
      <c r="N532">
        <v>0</v>
      </c>
      <c r="O532">
        <v>-1.0447369999999999E-2</v>
      </c>
      <c r="P532">
        <v>0.99553609999999904</v>
      </c>
      <c r="Q532">
        <v>-1.0090770000000001E-2</v>
      </c>
      <c r="R532">
        <v>9.3842369999999994E-2</v>
      </c>
      <c r="S532">
        <v>3.0455019999999999</v>
      </c>
      <c r="T532">
        <v>-0.67915400000000004</v>
      </c>
      <c r="U532">
        <v>-0.41259770000000001</v>
      </c>
      <c r="V532">
        <v>-0.104239</v>
      </c>
      <c r="W532">
        <v>-2.5794360000000001E-3</v>
      </c>
      <c r="X532">
        <v>0.99454889999999996</v>
      </c>
      <c r="Y532">
        <v>0.12121939999999901</v>
      </c>
      <c r="Z532">
        <v>-1.100249E-2</v>
      </c>
      <c r="AA532">
        <v>0.99256469999999897</v>
      </c>
      <c r="AB532">
        <v>25</v>
      </c>
      <c r="AC532">
        <v>0.50740000000001795</v>
      </c>
      <c r="AD532">
        <v>-0.15219849999999999</v>
      </c>
      <c r="AE532">
        <v>-9.0800000000001505E-2</v>
      </c>
      <c r="AF532">
        <v>7.8638025489942406E-2</v>
      </c>
      <c r="AG532">
        <v>-0.15219849999999999</v>
      </c>
      <c r="AH532">
        <v>0.46755799970043799</v>
      </c>
      <c r="AI532">
        <v>107.797112979304</v>
      </c>
      <c r="AJ532">
        <v>80.452843268616505</v>
      </c>
      <c r="AK532">
        <v>0.497954621967787</v>
      </c>
    </row>
    <row r="533" spans="1:37" x14ac:dyDescent="0.2">
      <c r="A533" t="str">
        <f>"20200111155511547"</f>
        <v>20200111155511547</v>
      </c>
      <c r="B533" t="str">
        <f>"1578729311542574"</f>
        <v>1578729311542574</v>
      </c>
      <c r="C533" t="s">
        <v>37</v>
      </c>
      <c r="D533">
        <v>4.3945780000000001</v>
      </c>
      <c r="E533">
        <v>0.55314249999999998</v>
      </c>
      <c r="F533" t="s">
        <v>40</v>
      </c>
      <c r="G533">
        <v>-402.11059999999998</v>
      </c>
      <c r="H533">
        <v>0.91927649999999905</v>
      </c>
      <c r="I533">
        <v>367.97989999999999</v>
      </c>
      <c r="J533">
        <v>-402.70389999999998</v>
      </c>
      <c r="K533">
        <v>1.053931</v>
      </c>
      <c r="L533">
        <v>368.03129999999999</v>
      </c>
      <c r="M533">
        <v>0.99991669999999999</v>
      </c>
      <c r="N533">
        <v>0</v>
      </c>
      <c r="O533">
        <v>-1.050075E-2</v>
      </c>
      <c r="P533">
        <v>0.995529199999999</v>
      </c>
      <c r="Q533">
        <v>-1.020535E-2</v>
      </c>
      <c r="R533">
        <v>9.3903559999999997E-2</v>
      </c>
      <c r="S533">
        <v>3.0281370000000001</v>
      </c>
      <c r="T533">
        <v>-0.55128189999999999</v>
      </c>
      <c r="U533">
        <v>-0.21505740000000001</v>
      </c>
      <c r="V533">
        <v>-0.1043533</v>
      </c>
      <c r="W533">
        <v>-2.7017759999999999E-3</v>
      </c>
      <c r="X533">
        <v>0.99453659999999999</v>
      </c>
      <c r="Y533">
        <v>5.9560479999999999E-2</v>
      </c>
      <c r="Z533">
        <v>-3.4771559999999999E-3</v>
      </c>
      <c r="AA533">
        <v>0.99821870000000001</v>
      </c>
      <c r="AB533">
        <v>25</v>
      </c>
      <c r="AC533">
        <v>0.59329999999999905</v>
      </c>
      <c r="AD533">
        <v>-0.13465450000000001</v>
      </c>
      <c r="AE533">
        <v>-5.1400000000000903E-2</v>
      </c>
      <c r="AF533">
        <v>4.2969992332270397E-2</v>
      </c>
      <c r="AG533">
        <v>-0.13465450000000001</v>
      </c>
      <c r="AH533">
        <v>0.56492445869863495</v>
      </c>
      <c r="AI533">
        <v>103.369539697815</v>
      </c>
      <c r="AJ533">
        <v>85.650272314749103</v>
      </c>
      <c r="AK533">
        <v>0.58233830257611496</v>
      </c>
    </row>
    <row r="534" spans="1:37" x14ac:dyDescent="0.2">
      <c r="A534" t="str">
        <f>"20200111155511559"</f>
        <v>20200111155511559</v>
      </c>
      <c r="B534" t="str">
        <f>"1578729311553309"</f>
        <v>1578729311553309</v>
      </c>
      <c r="C534" t="s">
        <v>37</v>
      </c>
      <c r="D534">
        <v>4.3591360000000003</v>
      </c>
      <c r="E534">
        <v>0.5490794</v>
      </c>
      <c r="F534" t="s">
        <v>40</v>
      </c>
      <c r="G534">
        <v>-401.87139999999999</v>
      </c>
      <c r="H534">
        <v>0.949511199999999</v>
      </c>
      <c r="I534">
        <v>367.99619999999999</v>
      </c>
      <c r="J534">
        <v>-402.56380000000001</v>
      </c>
      <c r="K534">
        <v>1.0539270000000001</v>
      </c>
      <c r="L534">
        <v>368.02980000000002</v>
      </c>
      <c r="M534">
        <v>0.99991600000000003</v>
      </c>
      <c r="N534">
        <v>0</v>
      </c>
      <c r="O534">
        <v>-1.055175E-2</v>
      </c>
      <c r="P534">
        <v>0.99552779999999996</v>
      </c>
      <c r="Q534">
        <v>-1.0215709999999999E-2</v>
      </c>
      <c r="R534">
        <v>9.3914810000000001E-2</v>
      </c>
      <c r="S534">
        <v>3.0214840000000001</v>
      </c>
      <c r="T534">
        <v>-0.3791119</v>
      </c>
      <c r="U534">
        <v>-0.12640380000000001</v>
      </c>
      <c r="V534">
        <v>-0.10441489999999901</v>
      </c>
      <c r="W534">
        <v>-2.716422E-3</v>
      </c>
      <c r="X534">
        <v>0.99453009999999997</v>
      </c>
      <c r="Y534">
        <v>3.109253E-2</v>
      </c>
      <c r="Z534">
        <v>-6.2400789999999997E-4</v>
      </c>
      <c r="AA534">
        <v>0.99951630000000002</v>
      </c>
      <c r="AB534">
        <v>25</v>
      </c>
      <c r="AC534">
        <v>0.69240000000002</v>
      </c>
      <c r="AD534">
        <v>-0.1044158</v>
      </c>
      <c r="AE534">
        <v>-3.3600000000035303E-2</v>
      </c>
      <c r="AF534">
        <v>2.5708612847458699E-2</v>
      </c>
      <c r="AG534">
        <v>-0.1044158</v>
      </c>
      <c r="AH534">
        <v>0.67734830006967195</v>
      </c>
      <c r="AI534">
        <v>98.757172018402898</v>
      </c>
      <c r="AJ534">
        <v>87.826394030510201</v>
      </c>
      <c r="AK534">
        <v>0.685831110165947</v>
      </c>
    </row>
    <row r="535" spans="1:37" x14ac:dyDescent="0.2">
      <c r="A535" t="str">
        <f>"20200111155511571"</f>
        <v>20200111155511571</v>
      </c>
      <c r="B535" t="str">
        <f>"1578729311563068"</f>
        <v>1578729311563068</v>
      </c>
      <c r="C535" t="s">
        <v>37</v>
      </c>
      <c r="D535">
        <v>4.4931010000000002</v>
      </c>
      <c r="E535">
        <v>0.54687089999999905</v>
      </c>
      <c r="F535" t="s">
        <v>40</v>
      </c>
      <c r="G535">
        <v>-401.64280000000002</v>
      </c>
      <c r="H535">
        <v>0.95713530000000002</v>
      </c>
      <c r="I535">
        <v>367.99979999999999</v>
      </c>
      <c r="J535">
        <v>-402.4237</v>
      </c>
      <c r="K535">
        <v>1.053928</v>
      </c>
      <c r="L535">
        <v>368.0283</v>
      </c>
      <c r="M535">
        <v>0.99991549999999996</v>
      </c>
      <c r="N535">
        <v>0</v>
      </c>
      <c r="O535">
        <v>-1.0603029999999999E-2</v>
      </c>
      <c r="P535">
        <v>0.99551329999999905</v>
      </c>
      <c r="Q535">
        <v>-1.0202940000000001E-2</v>
      </c>
      <c r="R535">
        <v>9.4071080000000001E-2</v>
      </c>
      <c r="S535">
        <v>3.0193479999999999</v>
      </c>
      <c r="T535">
        <v>-0.31757659999999999</v>
      </c>
      <c r="U535">
        <v>-9.6649170000000006E-2</v>
      </c>
      <c r="V535">
        <v>-0.1046226</v>
      </c>
      <c r="W535">
        <v>-2.7004759999999998E-3</v>
      </c>
      <c r="X535">
        <v>0.99450830000000001</v>
      </c>
      <c r="Y535">
        <v>2.133473E-2</v>
      </c>
      <c r="Z535" s="1">
        <v>-6.7782819999999999E-6</v>
      </c>
      <c r="AA535">
        <v>0.99977240000000001</v>
      </c>
      <c r="AB535">
        <v>25</v>
      </c>
      <c r="AC535">
        <v>0.78089999999997395</v>
      </c>
      <c r="AD535">
        <v>-9.6792699999999801E-2</v>
      </c>
      <c r="AE535">
        <v>-2.8500000000008099E-2</v>
      </c>
      <c r="AF535">
        <v>1.9912732225933202E-2</v>
      </c>
      <c r="AG535">
        <v>-9.6792699999999801E-2</v>
      </c>
      <c r="AH535">
        <v>0.76935393490114701</v>
      </c>
      <c r="AI535">
        <v>97.168352356833793</v>
      </c>
      <c r="AJ535">
        <v>88.517378283698704</v>
      </c>
      <c r="AK535">
        <v>0.77567442965839095</v>
      </c>
    </row>
    <row r="536" spans="1:37" x14ac:dyDescent="0.2">
      <c r="A536" t="str">
        <f>"20200111155511584"</f>
        <v>20200111155511584</v>
      </c>
      <c r="B536" t="str">
        <f>"1578729311582589"</f>
        <v>1578729311582589</v>
      </c>
      <c r="C536" t="s">
        <v>37</v>
      </c>
      <c r="D536">
        <v>4.4588599999999996</v>
      </c>
      <c r="E536">
        <v>0.54171389999999997</v>
      </c>
      <c r="F536" t="s">
        <v>40</v>
      </c>
      <c r="G536">
        <v>-401.62950000000001</v>
      </c>
      <c r="H536">
        <v>0.98426469999999899</v>
      </c>
      <c r="I536">
        <v>368.00650000000002</v>
      </c>
      <c r="J536">
        <v>-402.27719999999999</v>
      </c>
      <c r="K536">
        <v>1.053931</v>
      </c>
      <c r="L536">
        <v>368.02659999999997</v>
      </c>
      <c r="M536">
        <v>0.999915</v>
      </c>
      <c r="N536">
        <v>0</v>
      </c>
      <c r="O536">
        <v>-1.065646E-2</v>
      </c>
      <c r="P536">
        <v>0.99549509999999997</v>
      </c>
      <c r="Q536">
        <v>-1.039575E-2</v>
      </c>
      <c r="R536">
        <v>9.42442E-2</v>
      </c>
      <c r="S536">
        <v>3.0184630000000001</v>
      </c>
      <c r="T536">
        <v>-0.26509679999999902</v>
      </c>
      <c r="U536">
        <v>-8.0932619999999997E-2</v>
      </c>
      <c r="V536">
        <v>-0.10484880000000001</v>
      </c>
      <c r="W536">
        <v>-2.8857570000000001E-3</v>
      </c>
      <c r="X536">
        <v>0.99448400000000003</v>
      </c>
      <c r="Y536">
        <v>1.61274E-2</v>
      </c>
      <c r="Z536">
        <v>2.2721159999999999E-4</v>
      </c>
      <c r="AA536">
        <v>0.99986989999999998</v>
      </c>
      <c r="AB536">
        <v>25</v>
      </c>
      <c r="AC536">
        <v>0.64769999999998595</v>
      </c>
      <c r="AD536">
        <v>-6.96663E-2</v>
      </c>
      <c r="AE536">
        <v>-2.0099999999956701E-2</v>
      </c>
      <c r="AF536">
        <v>1.3045693645579099E-2</v>
      </c>
      <c r="AG536">
        <v>-6.96663E-2</v>
      </c>
      <c r="AH536">
        <v>0.64047486456073099</v>
      </c>
      <c r="AI536">
        <v>96.2065440920355</v>
      </c>
      <c r="AJ536">
        <v>88.8331160474998</v>
      </c>
      <c r="AK536">
        <v>0.64438469535865905</v>
      </c>
    </row>
    <row r="537" spans="1:37" x14ac:dyDescent="0.2">
      <c r="A537" t="str">
        <f>"20200111155511601"</f>
        <v>20200111155511601</v>
      </c>
      <c r="B537" t="str">
        <f>"1578729311593324"</f>
        <v>1578729311593324</v>
      </c>
      <c r="C537" t="s">
        <v>37</v>
      </c>
      <c r="D537">
        <v>4.4313659999999997</v>
      </c>
      <c r="E537">
        <v>0.54001339999999998</v>
      </c>
      <c r="F537" t="s">
        <v>40</v>
      </c>
      <c r="G537">
        <v>-401.40339999999998</v>
      </c>
      <c r="H537">
        <v>0.98533300000000001</v>
      </c>
      <c r="I537">
        <v>368.0147</v>
      </c>
      <c r="J537">
        <v>-402.0933</v>
      </c>
      <c r="K537">
        <v>1.0539319999999901</v>
      </c>
      <c r="L537">
        <v>368.02460000000002</v>
      </c>
      <c r="M537">
        <v>0.99991399999999997</v>
      </c>
      <c r="N537">
        <v>0</v>
      </c>
      <c r="O537">
        <v>-1.072305E-2</v>
      </c>
      <c r="P537">
        <v>0.99546299999999899</v>
      </c>
      <c r="Q537">
        <v>-1.058331E-2</v>
      </c>
      <c r="R537">
        <v>9.4558710000000004E-2</v>
      </c>
      <c r="S537">
        <v>3.0149539999999999</v>
      </c>
      <c r="T537">
        <v>-0.23675349999999901</v>
      </c>
      <c r="U537">
        <v>-4.0618899999999999E-2</v>
      </c>
      <c r="V537">
        <v>-0.10522809999999901</v>
      </c>
      <c r="W537">
        <v>-3.0566930000000001E-3</v>
      </c>
      <c r="X537">
        <v>0.99444339999999998</v>
      </c>
      <c r="Y537">
        <v>2.772568E-3</v>
      </c>
      <c r="Z537">
        <v>7.3201970000000001E-4</v>
      </c>
      <c r="AA537">
        <v>0.99999590000000005</v>
      </c>
      <c r="AB537">
        <v>25</v>
      </c>
      <c r="AC537">
        <v>0.68990000000002205</v>
      </c>
      <c r="AD537">
        <v>-6.8598999999999799E-2</v>
      </c>
      <c r="AE537">
        <v>-9.9000000000160002E-3</v>
      </c>
      <c r="AF537">
        <v>2.4769036724608001E-3</v>
      </c>
      <c r="AG537">
        <v>-6.8598999999999799E-2</v>
      </c>
      <c r="AH537">
        <v>0.68321297764027</v>
      </c>
      <c r="AI537">
        <v>95.733612933681499</v>
      </c>
      <c r="AJ537">
        <v>89.792282187852294</v>
      </c>
      <c r="AK537">
        <v>0.68665270018320501</v>
      </c>
    </row>
    <row r="538" spans="1:37" x14ac:dyDescent="0.2">
      <c r="A538" t="str">
        <f>"20200111155511613"</f>
        <v>20200111155511613</v>
      </c>
      <c r="B538" t="str">
        <f>"1578729311603085"</f>
        <v>1578729311603085</v>
      </c>
      <c r="C538" t="s">
        <v>37</v>
      </c>
      <c r="D538">
        <v>4.4464030000000001</v>
      </c>
      <c r="E538">
        <v>0.53851800000000005</v>
      </c>
      <c r="F538" t="s">
        <v>40</v>
      </c>
      <c r="G538">
        <v>-401.17759999999998</v>
      </c>
      <c r="H538">
        <v>0.98448099999999905</v>
      </c>
      <c r="I538">
        <v>368.0163</v>
      </c>
      <c r="J538">
        <v>-401.95150000000001</v>
      </c>
      <c r="K538">
        <v>1.0539350000000001</v>
      </c>
      <c r="L538">
        <v>368.0231</v>
      </c>
      <c r="M538">
        <v>0.99991350000000001</v>
      </c>
      <c r="N538">
        <v>0</v>
      </c>
      <c r="O538">
        <v>-1.077474E-2</v>
      </c>
      <c r="P538">
        <v>0.99545030000000001</v>
      </c>
      <c r="Q538">
        <v>-1.0566580000000001E-2</v>
      </c>
      <c r="R538">
        <v>9.4697240000000002E-2</v>
      </c>
      <c r="S538">
        <v>3.0137330000000002</v>
      </c>
      <c r="T538">
        <v>-0.22887150000000001</v>
      </c>
      <c r="U538">
        <v>-2.6367189999999999E-2</v>
      </c>
      <c r="V538">
        <v>-0.1054182</v>
      </c>
      <c r="W538">
        <v>-3.020474E-3</v>
      </c>
      <c r="X538">
        <v>0.99442339999999996</v>
      </c>
      <c r="Y538">
        <v>-1.9897179999999902E-3</v>
      </c>
      <c r="Z538">
        <v>8.9251719999999997E-4</v>
      </c>
      <c r="AA538">
        <v>0.99999760000000004</v>
      </c>
      <c r="AB538">
        <v>25</v>
      </c>
      <c r="AC538">
        <v>0.77390000000002501</v>
      </c>
      <c r="AD538">
        <v>-6.9454000000000099E-2</v>
      </c>
      <c r="AE538">
        <v>-6.7999999999983603E-3</v>
      </c>
      <c r="AF538">
        <v>-1.5269061483403001E-3</v>
      </c>
      <c r="AG538">
        <v>-6.9454000000000099E-2</v>
      </c>
      <c r="AH538">
        <v>0.76774521287474096</v>
      </c>
      <c r="AI538">
        <v>95.169176525979907</v>
      </c>
      <c r="AJ538">
        <v>90.113950775855301</v>
      </c>
      <c r="AK538">
        <v>0.77088189851005495</v>
      </c>
    </row>
    <row r="539" spans="1:37" x14ac:dyDescent="0.2">
      <c r="A539" t="str">
        <f>"20200111155511626"</f>
        <v>20200111155511626</v>
      </c>
      <c r="B539" t="str">
        <f>"1578729311622605"</f>
        <v>1578729311622605</v>
      </c>
      <c r="C539" t="s">
        <v>37</v>
      </c>
      <c r="D539">
        <v>4.3994439999999999</v>
      </c>
      <c r="E539">
        <v>0.53643549999999995</v>
      </c>
      <c r="F539" t="s">
        <v>38</v>
      </c>
      <c r="G539">
        <v>-387.65769999999998</v>
      </c>
      <c r="H539" s="1">
        <v>-1.2817660000000001E-6</v>
      </c>
      <c r="I539">
        <v>367.9554</v>
      </c>
      <c r="J539">
        <v>-401.8075</v>
      </c>
      <c r="K539">
        <v>1.053944</v>
      </c>
      <c r="L539">
        <v>368.0215</v>
      </c>
      <c r="M539">
        <v>0.99991269999999999</v>
      </c>
      <c r="N539">
        <v>0</v>
      </c>
      <c r="O539">
        <v>-1.082705E-2</v>
      </c>
      <c r="P539">
        <v>0.99545030000000001</v>
      </c>
      <c r="Q539">
        <v>-1.0629410000000001E-2</v>
      </c>
      <c r="R539">
        <v>9.4690319999999994E-2</v>
      </c>
      <c r="S539">
        <v>3.0126949999999999</v>
      </c>
      <c r="T539">
        <v>-0.2221359</v>
      </c>
      <c r="U539">
        <v>-1.4251710000000001E-2</v>
      </c>
      <c r="V539">
        <v>-0.1054633</v>
      </c>
      <c r="W539">
        <v>-3.0599070000000002E-3</v>
      </c>
      <c r="X539">
        <v>0.99441849999999998</v>
      </c>
      <c r="Y539">
        <v>-6.0512019999999899E-3</v>
      </c>
      <c r="Z539">
        <v>1.020017E-3</v>
      </c>
      <c r="AA539">
        <v>0.99998120000000001</v>
      </c>
      <c r="AB539">
        <v>25</v>
      </c>
      <c r="AC539">
        <v>14.149800000000001</v>
      </c>
      <c r="AD539">
        <v>-1.053945281766</v>
      </c>
      <c r="AE539">
        <v>-6.6100000000005807E-2</v>
      </c>
      <c r="AF539">
        <v>-8.6628259190850695E-2</v>
      </c>
      <c r="AG539">
        <v>-1.053945281766</v>
      </c>
      <c r="AH539">
        <v>14.0716187906561</v>
      </c>
      <c r="AI539">
        <v>94.283298100716394</v>
      </c>
      <c r="AJ539">
        <v>90.352722100415903</v>
      </c>
      <c r="AK539">
        <v>14.1112990366512</v>
      </c>
    </row>
    <row r="540" spans="1:37" x14ac:dyDescent="0.2">
      <c r="A540" t="str">
        <f>"20200111155511639"</f>
        <v>20200111155511639</v>
      </c>
      <c r="B540" t="str">
        <f>"1578729311633340"</f>
        <v>1578729311633340</v>
      </c>
      <c r="C540" t="s">
        <v>37</v>
      </c>
      <c r="D540">
        <v>4.3639640000000002</v>
      </c>
      <c r="E540">
        <v>0.5356765</v>
      </c>
      <c r="F540" t="s">
        <v>38</v>
      </c>
      <c r="G540">
        <v>-386.75529999999998</v>
      </c>
      <c r="H540" s="1">
        <v>-1.6556770000000001E-6</v>
      </c>
      <c r="I540">
        <v>368.0299</v>
      </c>
      <c r="J540">
        <v>-401.66390000000001</v>
      </c>
      <c r="K540">
        <v>1.0539459999999901</v>
      </c>
      <c r="L540">
        <v>368.01979999999998</v>
      </c>
      <c r="M540">
        <v>0.99991189999999996</v>
      </c>
      <c r="N540">
        <v>0</v>
      </c>
      <c r="O540">
        <v>-1.087901E-2</v>
      </c>
      <c r="P540">
        <v>0.9954402</v>
      </c>
      <c r="Q540">
        <v>-1.047324E-2</v>
      </c>
      <c r="R540">
        <v>9.4811389999999995E-2</v>
      </c>
      <c r="S540">
        <v>3.0113219999999998</v>
      </c>
      <c r="T540">
        <v>-0.21084939999999999</v>
      </c>
      <c r="U540">
        <v>1.708984E-3</v>
      </c>
      <c r="V540">
        <v>-0.10563589999999901</v>
      </c>
      <c r="W540">
        <v>-2.8781620000000001E-3</v>
      </c>
      <c r="X540">
        <v>0.99440069999999903</v>
      </c>
      <c r="Y540">
        <v>-1.1392279999999999E-2</v>
      </c>
      <c r="Z540">
        <v>1.1591660000000001E-3</v>
      </c>
      <c r="AA540">
        <v>0.9999344</v>
      </c>
      <c r="AB540">
        <v>25</v>
      </c>
      <c r="AC540">
        <v>14.9086</v>
      </c>
      <c r="AD540">
        <v>-1.05394765567699</v>
      </c>
      <c r="AE540">
        <v>1.01000000000226E-2</v>
      </c>
      <c r="AF540">
        <v>-0.171438117068521</v>
      </c>
      <c r="AG540">
        <v>-1.05394765567699</v>
      </c>
      <c r="AH540">
        <v>14.833475571267501</v>
      </c>
      <c r="AI540">
        <v>94.063877543703597</v>
      </c>
      <c r="AJ540">
        <v>90.662167351469506</v>
      </c>
      <c r="AK540">
        <v>14.871859137723201</v>
      </c>
    </row>
    <row r="541" spans="1:37" x14ac:dyDescent="0.2">
      <c r="A541" t="str">
        <f>"20200111155511650"</f>
        <v>20200111155511650</v>
      </c>
      <c r="B541" t="str">
        <f>"1578729311643100"</f>
        <v>1578729311643100</v>
      </c>
      <c r="C541" t="s">
        <v>37</v>
      </c>
      <c r="D541">
        <v>4.3890449999999896</v>
      </c>
      <c r="E541">
        <v>0.53499419999999898</v>
      </c>
      <c r="F541" t="s">
        <v>40</v>
      </c>
      <c r="G541">
        <v>-400.7174</v>
      </c>
      <c r="H541">
        <v>0.98920239999999904</v>
      </c>
      <c r="I541">
        <v>368.02199999999999</v>
      </c>
      <c r="J541">
        <v>-401.52170000000001</v>
      </c>
      <c r="K541">
        <v>1.0539510000000001</v>
      </c>
      <c r="L541">
        <v>368.01819999999998</v>
      </c>
      <c r="M541">
        <v>0.99991109999999905</v>
      </c>
      <c r="N541">
        <v>0</v>
      </c>
      <c r="O541">
        <v>-1.093039E-2</v>
      </c>
      <c r="P541">
        <v>0.99541039999999903</v>
      </c>
      <c r="Q541">
        <v>-1.047591E-2</v>
      </c>
      <c r="R541">
        <v>9.5122380000000006E-2</v>
      </c>
      <c r="S541">
        <v>3.010834</v>
      </c>
      <c r="T541">
        <v>-0.2062155</v>
      </c>
      <c r="U541">
        <v>7.9650880000000004E-3</v>
      </c>
      <c r="V541">
        <v>-0.105997699999999</v>
      </c>
      <c r="W541">
        <v>-2.8514009999999999E-3</v>
      </c>
      <c r="X541">
        <v>0.99436229999999903</v>
      </c>
      <c r="Y541">
        <v>-1.35187E-2</v>
      </c>
      <c r="Z541">
        <v>1.210184E-3</v>
      </c>
      <c r="AA541">
        <v>0.99990789999999996</v>
      </c>
      <c r="AB541">
        <v>25</v>
      </c>
      <c r="AC541">
        <v>0.80430000000001201</v>
      </c>
      <c r="AD541">
        <v>-6.4748600000000101E-2</v>
      </c>
      <c r="AE541">
        <v>3.8000000000124601E-3</v>
      </c>
      <c r="AF541">
        <v>-1.25102680273915E-2</v>
      </c>
      <c r="AG541">
        <v>-6.4748600000000101E-2</v>
      </c>
      <c r="AH541">
        <v>0.79903220807824704</v>
      </c>
      <c r="AI541">
        <v>94.632205702196501</v>
      </c>
      <c r="AJ541">
        <v>90.896993876167897</v>
      </c>
      <c r="AK541">
        <v>0.80174893673423497</v>
      </c>
    </row>
    <row r="542" spans="1:37" x14ac:dyDescent="0.2">
      <c r="A542" t="str">
        <f>"20200111155511668"</f>
        <v>20200111155511668</v>
      </c>
      <c r="B542" t="str">
        <f>"1578729311662620"</f>
        <v>1578729311662620</v>
      </c>
      <c r="C542" t="s">
        <v>37</v>
      </c>
      <c r="D542">
        <v>4.353459</v>
      </c>
      <c r="E542">
        <v>0.53417409999999999</v>
      </c>
      <c r="F542" t="s">
        <v>38</v>
      </c>
      <c r="G542">
        <v>-385.96879999999999</v>
      </c>
      <c r="H542" s="1">
        <v>-1.9820849999999998E-6</v>
      </c>
      <c r="I542">
        <v>368.09199999999998</v>
      </c>
      <c r="J542">
        <v>-401.33010000000002</v>
      </c>
      <c r="K542">
        <v>1.05396</v>
      </c>
      <c r="L542">
        <v>368.01609999999999</v>
      </c>
      <c r="M542">
        <v>0.99990999999999997</v>
      </c>
      <c r="N542">
        <v>0</v>
      </c>
      <c r="O542">
        <v>-1.1000050000000001E-2</v>
      </c>
      <c r="P542">
        <v>0.99540319999999904</v>
      </c>
      <c r="Q542">
        <v>-9.8898700000000003E-3</v>
      </c>
      <c r="R542">
        <v>9.526163E-2</v>
      </c>
      <c r="S542">
        <v>3.010284</v>
      </c>
      <c r="T542">
        <v>-0.20399239999999999</v>
      </c>
      <c r="U542">
        <v>1.428223E-2</v>
      </c>
      <c r="V542">
        <v>-0.10620599999999999</v>
      </c>
      <c r="W542">
        <v>-2.2232989999999898E-3</v>
      </c>
      <c r="X542">
        <v>0.9943417</v>
      </c>
      <c r="Y542">
        <v>-1.5683199999999901E-2</v>
      </c>
      <c r="Z542">
        <v>1.2753529999999999E-3</v>
      </c>
      <c r="AA542">
        <v>0.99987619999999899</v>
      </c>
      <c r="AB542">
        <v>25</v>
      </c>
      <c r="AC542">
        <v>15.3613</v>
      </c>
      <c r="AD542">
        <v>-1.0539619820849999</v>
      </c>
      <c r="AE542">
        <v>7.5899999999990003E-2</v>
      </c>
      <c r="AF542">
        <v>-0.24372812815259401</v>
      </c>
      <c r="AG542">
        <v>-1.0539619820849999</v>
      </c>
      <c r="AH542">
        <v>15.287570540140001</v>
      </c>
      <c r="AI542">
        <v>93.943369102198105</v>
      </c>
      <c r="AJ542">
        <v>90.913383201156904</v>
      </c>
      <c r="AK542">
        <v>15.3257969541518</v>
      </c>
    </row>
    <row r="543" spans="1:37" x14ac:dyDescent="0.2">
      <c r="A543" t="str">
        <f>"20200111155511681"</f>
        <v>20200111155511681</v>
      </c>
      <c r="B543" t="str">
        <f>"1578729311673357"</f>
        <v>1578729311673357</v>
      </c>
      <c r="C543" t="s">
        <v>37</v>
      </c>
      <c r="D543">
        <v>4.3532479999999998</v>
      </c>
      <c r="E543">
        <v>0.53395709999999996</v>
      </c>
      <c r="F543" t="s">
        <v>38</v>
      </c>
      <c r="G543">
        <v>-385.13900000000001</v>
      </c>
      <c r="H543" s="1">
        <v>-2.3314779999999999E-6</v>
      </c>
      <c r="I543">
        <v>368.12900000000002</v>
      </c>
      <c r="J543">
        <v>-401.18669999999997</v>
      </c>
      <c r="K543">
        <v>1.054006</v>
      </c>
      <c r="L543">
        <v>368.0145</v>
      </c>
      <c r="M543">
        <v>0.99990800000000002</v>
      </c>
      <c r="N543">
        <v>0</v>
      </c>
      <c r="O543">
        <v>-1.105107E-2</v>
      </c>
      <c r="P543">
        <v>0.99540379999999995</v>
      </c>
      <c r="Q543">
        <v>-1.0086019999999999E-2</v>
      </c>
      <c r="R543">
        <v>9.5234429999999995E-2</v>
      </c>
      <c r="S543">
        <v>3.0098880000000001</v>
      </c>
      <c r="T543">
        <v>-0.19592889999999999</v>
      </c>
      <c r="U543">
        <v>2.0996089999999999E-2</v>
      </c>
      <c r="V543">
        <v>-0.1062297</v>
      </c>
      <c r="W543">
        <v>-2.2386009999999998E-3</v>
      </c>
      <c r="X543">
        <v>0.99433909999999903</v>
      </c>
      <c r="Y543">
        <v>-1.7964850000000001E-2</v>
      </c>
      <c r="Z543">
        <v>1.302706E-3</v>
      </c>
      <c r="AA543">
        <v>0.9998378</v>
      </c>
      <c r="AB543">
        <v>25</v>
      </c>
      <c r="AC543">
        <v>16.047699999999899</v>
      </c>
      <c r="AD543">
        <v>-1.054008331478</v>
      </c>
      <c r="AE543">
        <v>0.11450000000002</v>
      </c>
      <c r="AF543">
        <v>-0.29058926233341598</v>
      </c>
      <c r="AG543">
        <v>-1.054008331478</v>
      </c>
      <c r="AH543">
        <v>15.976538124361999</v>
      </c>
      <c r="AI543">
        <v>93.773840128252601</v>
      </c>
      <c r="AJ543">
        <v>91.042009384618396</v>
      </c>
      <c r="AK543">
        <v>16.0139047743329</v>
      </c>
    </row>
    <row r="544" spans="1:37" x14ac:dyDescent="0.2">
      <c r="A544" t="str">
        <f>"20200111155511693"</f>
        <v>20200111155511693</v>
      </c>
      <c r="B544" t="str">
        <f>"1578729311683116"</f>
        <v>1578729311683116</v>
      </c>
      <c r="C544" t="s">
        <v>37</v>
      </c>
      <c r="D544">
        <v>4.3739749999999997</v>
      </c>
      <c r="E544">
        <v>0.53368760000000004</v>
      </c>
      <c r="F544" t="s">
        <v>38</v>
      </c>
      <c r="G544">
        <v>-384.74950000000001</v>
      </c>
      <c r="H544" s="1">
        <v>-2.4972520000000002E-6</v>
      </c>
      <c r="I544">
        <v>368.13639999999998</v>
      </c>
      <c r="J544">
        <v>-401.04489999999998</v>
      </c>
      <c r="K544">
        <v>1.0542049999999901</v>
      </c>
      <c r="L544">
        <v>368.01280000000003</v>
      </c>
      <c r="M544">
        <v>0.99990140000000005</v>
      </c>
      <c r="N544">
        <v>0</v>
      </c>
      <c r="O544">
        <v>-1.1097060000000001E-2</v>
      </c>
      <c r="P544">
        <v>0.995417199999999</v>
      </c>
      <c r="Q544">
        <v>-1.0694169999999999E-2</v>
      </c>
      <c r="R544">
        <v>9.5027189999999997E-2</v>
      </c>
      <c r="S544">
        <v>3.0097659999999999</v>
      </c>
      <c r="T544">
        <v>-0.192995899999999</v>
      </c>
      <c r="U544">
        <v>2.233887E-2</v>
      </c>
      <c r="V544">
        <v>-0.1060686</v>
      </c>
      <c r="W544">
        <v>-2.1079660000000002E-3</v>
      </c>
      <c r="X544">
        <v>0.99435659999999904</v>
      </c>
      <c r="Y544">
        <v>-1.8457939999999999E-2</v>
      </c>
      <c r="Z544">
        <v>1.3020389999999901E-3</v>
      </c>
      <c r="AA544">
        <v>0.99982879999999996</v>
      </c>
      <c r="AB544">
        <v>25</v>
      </c>
      <c r="AC544">
        <v>16.295399999999901</v>
      </c>
      <c r="AD544">
        <v>-1.0542074972519999</v>
      </c>
      <c r="AE544">
        <v>0.123599999999953</v>
      </c>
      <c r="AF544">
        <v>-0.30316138026766498</v>
      </c>
      <c r="AG544">
        <v>-1.0542074972519999</v>
      </c>
      <c r="AH544">
        <v>16.225122497130801</v>
      </c>
      <c r="AI544">
        <v>93.716850913410497</v>
      </c>
      <c r="AJ544">
        <v>91.070429308093196</v>
      </c>
      <c r="AK544">
        <v>16.262160382822699</v>
      </c>
    </row>
    <row r="545" spans="1:37" x14ac:dyDescent="0.2">
      <c r="A545" t="str">
        <f>"20200111155511707"</f>
        <v>20200111155511707</v>
      </c>
      <c r="B545" t="str">
        <f>"1578729311702636"</f>
        <v>1578729311702636</v>
      </c>
      <c r="C545" t="s">
        <v>37</v>
      </c>
      <c r="D545">
        <v>4.3836399999999998</v>
      </c>
      <c r="E545">
        <v>0.53336439999999996</v>
      </c>
      <c r="F545" t="s">
        <v>38</v>
      </c>
      <c r="G545">
        <v>-384.50819999999999</v>
      </c>
      <c r="H545" s="1">
        <v>-2.5998180000000002E-6</v>
      </c>
      <c r="I545">
        <v>368.14179999999999</v>
      </c>
      <c r="J545">
        <v>-400.90339999999998</v>
      </c>
      <c r="K545">
        <v>1.054546</v>
      </c>
      <c r="L545">
        <v>368.01130000000001</v>
      </c>
      <c r="M545">
        <v>0.99989309999999998</v>
      </c>
      <c r="N545">
        <v>0</v>
      </c>
      <c r="O545">
        <v>-1.114244E-2</v>
      </c>
      <c r="P545">
        <v>0.99541930000000001</v>
      </c>
      <c r="Q545">
        <v>-1.1476729999999999E-2</v>
      </c>
      <c r="R545">
        <v>9.491426E-2</v>
      </c>
      <c r="S545">
        <v>3.0095209999999999</v>
      </c>
      <c r="T545">
        <v>-0.19185529999999901</v>
      </c>
      <c r="U545">
        <v>2.3468019999999999E-2</v>
      </c>
      <c r="V545">
        <v>-0.10600080000000001</v>
      </c>
      <c r="W545">
        <v>-2.0362969999999998E-3</v>
      </c>
      <c r="X545">
        <v>0.99436399999999903</v>
      </c>
      <c r="Y545">
        <v>-1.8878869999999999E-2</v>
      </c>
      <c r="Z545">
        <v>1.3107609999999999E-3</v>
      </c>
      <c r="AA545">
        <v>0.99982090000000001</v>
      </c>
      <c r="AB545">
        <v>25</v>
      </c>
      <c r="AC545">
        <v>16.3951999999999</v>
      </c>
      <c r="AD545">
        <v>-1.054548599818</v>
      </c>
      <c r="AE545">
        <v>0.13049999999998299</v>
      </c>
      <c r="AF545">
        <v>-0.31189235890073302</v>
      </c>
      <c r="AG545">
        <v>-1.054548599818</v>
      </c>
      <c r="AH545">
        <v>16.3251927010263</v>
      </c>
      <c r="AI545">
        <v>93.695293353424205</v>
      </c>
      <c r="AJ545">
        <v>91.0945011451536</v>
      </c>
      <c r="AK545">
        <v>16.362190144310201</v>
      </c>
    </row>
    <row r="546" spans="1:37" x14ac:dyDescent="0.2">
      <c r="A546" t="str">
        <f>"20200111155511719"</f>
        <v>20200111155511719</v>
      </c>
      <c r="B546" t="str">
        <f>"1578729311713372"</f>
        <v>1578729311713372</v>
      </c>
      <c r="C546" t="s">
        <v>37</v>
      </c>
      <c r="D546">
        <v>4.3358119999999998</v>
      </c>
      <c r="E546">
        <v>0.53315239999999997</v>
      </c>
      <c r="F546" t="s">
        <v>38</v>
      </c>
      <c r="G546">
        <v>-384.1771</v>
      </c>
      <c r="H546" s="1">
        <v>-2.73962899999999E-6</v>
      </c>
      <c r="I546">
        <v>368.15440000000001</v>
      </c>
      <c r="J546">
        <v>-400.76209999999998</v>
      </c>
      <c r="K546">
        <v>1.0549729999999999</v>
      </c>
      <c r="L546">
        <v>368.00959999999998</v>
      </c>
      <c r="M546">
        <v>0.99988379999999999</v>
      </c>
      <c r="N546">
        <v>0</v>
      </c>
      <c r="O546">
        <v>-1.1187819999999999E-2</v>
      </c>
      <c r="P546">
        <v>0.99542260000000005</v>
      </c>
      <c r="Q546">
        <v>-1.237631E-2</v>
      </c>
      <c r="R546">
        <v>9.4765950000000002E-2</v>
      </c>
      <c r="S546">
        <v>3.0091860000000001</v>
      </c>
      <c r="T546">
        <v>-0.18972030000000001</v>
      </c>
      <c r="U546">
        <v>2.575684E-2</v>
      </c>
      <c r="V546">
        <v>-0.105897399999999</v>
      </c>
      <c r="W546">
        <v>-2.0620259999999998E-3</v>
      </c>
      <c r="X546">
        <v>0.99437489999999995</v>
      </c>
      <c r="Y546">
        <v>-1.968526E-2</v>
      </c>
      <c r="Z546">
        <v>1.3246029999999999E-3</v>
      </c>
      <c r="AA546">
        <v>0.99980530000000001</v>
      </c>
      <c r="AB546">
        <v>25</v>
      </c>
      <c r="AC546">
        <v>16.584999999999901</v>
      </c>
      <c r="AD546">
        <v>-1.054975739629</v>
      </c>
      <c r="AE546">
        <v>0.14480000000003199</v>
      </c>
      <c r="AF546">
        <v>-0.329019681050985</v>
      </c>
      <c r="AG546">
        <v>-1.054975739629</v>
      </c>
      <c r="AH546">
        <v>16.5155207934367</v>
      </c>
      <c r="AI546">
        <v>93.654241519861699</v>
      </c>
      <c r="AJ546">
        <v>91.141286793842696</v>
      </c>
      <c r="AK546">
        <v>16.552451626274699</v>
      </c>
    </row>
    <row r="547" spans="1:37" x14ac:dyDescent="0.2">
      <c r="A547" t="str">
        <f>"20200111155511735"</f>
        <v>20200111155511735</v>
      </c>
      <c r="B547" t="str">
        <f>"1578729311732892"</f>
        <v>1578729311732892</v>
      </c>
      <c r="C547" t="s">
        <v>37</v>
      </c>
      <c r="D547">
        <v>4.3633839999999999</v>
      </c>
      <c r="E547">
        <v>0.53284759999999998</v>
      </c>
      <c r="F547" t="s">
        <v>38</v>
      </c>
      <c r="G547">
        <v>-384.13740000000001</v>
      </c>
      <c r="H547" s="1">
        <v>-2.756064E-6</v>
      </c>
      <c r="I547">
        <v>368.15780000000001</v>
      </c>
      <c r="J547">
        <v>-400.57810000000001</v>
      </c>
      <c r="K547">
        <v>1.0555589999999999</v>
      </c>
      <c r="L547">
        <v>368.00749999999999</v>
      </c>
      <c r="M547">
        <v>0.9998802</v>
      </c>
      <c r="N547">
        <v>0</v>
      </c>
      <c r="O547">
        <v>-1.125115E-2</v>
      </c>
      <c r="P547">
        <v>0.99545229999999996</v>
      </c>
      <c r="Q547">
        <v>-1.247642E-2</v>
      </c>
      <c r="R547">
        <v>9.4441049999999999E-2</v>
      </c>
      <c r="S547">
        <v>3.0088200000000001</v>
      </c>
      <c r="T547">
        <v>-0.19093350000000001</v>
      </c>
      <c r="U547">
        <v>2.682495E-2</v>
      </c>
      <c r="V547">
        <v>-0.1056357</v>
      </c>
      <c r="W547">
        <v>-1.8900060000000001E-3</v>
      </c>
      <c r="X547">
        <v>0.99440309999999899</v>
      </c>
      <c r="Y547">
        <v>-2.0102800000000001E-2</v>
      </c>
      <c r="Z547">
        <v>1.350469E-3</v>
      </c>
      <c r="AA547">
        <v>0.99979699999999905</v>
      </c>
      <c r="AB547">
        <v>25</v>
      </c>
      <c r="AC547">
        <v>16.4406999999999</v>
      </c>
      <c r="AD547">
        <v>-1.0555617560639901</v>
      </c>
      <c r="AE547">
        <v>0.150300000000015</v>
      </c>
      <c r="AF547">
        <v>-0.33390143319443699</v>
      </c>
      <c r="AG547">
        <v>-1.0555617560639901</v>
      </c>
      <c r="AH547">
        <v>16.3704916728265</v>
      </c>
      <c r="AI547">
        <v>93.688533164848906</v>
      </c>
      <c r="AJ547">
        <v>91.168473798284197</v>
      </c>
      <c r="AK547">
        <v>16.407885250635999</v>
      </c>
    </row>
    <row r="548" spans="1:37" x14ac:dyDescent="0.2">
      <c r="A548" t="str">
        <f>"20200111155511749"</f>
        <v>20200111155511749</v>
      </c>
      <c r="B548" t="str">
        <f>"1578729311742652"</f>
        <v>1578729311742652</v>
      </c>
      <c r="C548" t="s">
        <v>37</v>
      </c>
      <c r="D548">
        <v>4.3576489999999897</v>
      </c>
      <c r="E548">
        <v>0.5327305</v>
      </c>
      <c r="F548" t="s">
        <v>38</v>
      </c>
      <c r="G548">
        <v>-383.71620000000001</v>
      </c>
      <c r="H548" s="1">
        <v>-2.935496E-6</v>
      </c>
      <c r="I548">
        <v>368.16480000000001</v>
      </c>
      <c r="J548">
        <v>-400.43180000000001</v>
      </c>
      <c r="K548">
        <v>1.055984</v>
      </c>
      <c r="L548">
        <v>368.00580000000002</v>
      </c>
      <c r="M548">
        <v>0.99988650000000001</v>
      </c>
      <c r="N548">
        <v>0</v>
      </c>
      <c r="O548">
        <v>-1.130075E-2</v>
      </c>
      <c r="P548">
        <v>0.99547649999999999</v>
      </c>
      <c r="Q548">
        <v>-1.166729E-2</v>
      </c>
      <c r="R548">
        <v>9.4290199999999894E-2</v>
      </c>
      <c r="S548">
        <v>3.008667</v>
      </c>
      <c r="T548">
        <v>-0.18834379999999901</v>
      </c>
      <c r="U548">
        <v>2.8076170000000001E-2</v>
      </c>
      <c r="V548">
        <v>-0.1055347</v>
      </c>
      <c r="W548">
        <v>-1.727056E-3</v>
      </c>
      <c r="X548">
        <v>0.99441409999999997</v>
      </c>
      <c r="Y548">
        <v>-2.0569199999999999E-2</v>
      </c>
      <c r="Z548">
        <v>1.3499339999999999E-3</v>
      </c>
      <c r="AA548">
        <v>0.99978750000000005</v>
      </c>
      <c r="AB548">
        <v>25</v>
      </c>
      <c r="AC548">
        <v>16.715599999999899</v>
      </c>
      <c r="AD548">
        <v>-1.0559869354960001</v>
      </c>
      <c r="AE548">
        <v>0.15899999999999101</v>
      </c>
      <c r="AF548">
        <v>-0.34651525037962799</v>
      </c>
      <c r="AG548">
        <v>-1.0559869354960001</v>
      </c>
      <c r="AH548">
        <v>16.646307511545</v>
      </c>
      <c r="AI548">
        <v>93.629007706443602</v>
      </c>
      <c r="AJ548">
        <v>91.192516383741804</v>
      </c>
      <c r="AK548">
        <v>16.683367016151202</v>
      </c>
    </row>
    <row r="549" spans="1:37" x14ac:dyDescent="0.2">
      <c r="A549" t="str">
        <f>"20200111155511763"</f>
        <v>20200111155511763</v>
      </c>
      <c r="B549" t="str">
        <f>"1578729311753389"</f>
        <v>1578729311753389</v>
      </c>
      <c r="C549" t="s">
        <v>37</v>
      </c>
      <c r="D549">
        <v>4.3359990000000002</v>
      </c>
      <c r="E549">
        <v>0.53269929999999999</v>
      </c>
      <c r="F549" t="s">
        <v>38</v>
      </c>
      <c r="G549">
        <v>-383.19310000000002</v>
      </c>
      <c r="H549" s="1">
        <v>-3.1592959999999999E-6</v>
      </c>
      <c r="I549">
        <v>368.16820000000001</v>
      </c>
      <c r="J549">
        <v>-400.27969999999999</v>
      </c>
      <c r="K549">
        <v>1.056457</v>
      </c>
      <c r="L549">
        <v>368.00400000000002</v>
      </c>
      <c r="M549">
        <v>0.99989539999999999</v>
      </c>
      <c r="N549">
        <v>0</v>
      </c>
      <c r="O549">
        <v>-1.135153E-2</v>
      </c>
      <c r="P549">
        <v>0.99549089999999996</v>
      </c>
      <c r="Q549">
        <v>-1.0344849999999999E-2</v>
      </c>
      <c r="R549">
        <v>9.4292390000000004E-2</v>
      </c>
      <c r="S549">
        <v>3.0087890000000002</v>
      </c>
      <c r="T549">
        <v>-0.184309</v>
      </c>
      <c r="U549">
        <v>2.835083E-2</v>
      </c>
      <c r="V549">
        <v>-0.105587899999999</v>
      </c>
      <c r="W549">
        <v>-1.404703E-3</v>
      </c>
      <c r="X549">
        <v>0.99440899999999999</v>
      </c>
      <c r="Y549">
        <v>-2.071303E-2</v>
      </c>
      <c r="Z549">
        <v>1.3285179999999899E-3</v>
      </c>
      <c r="AA549">
        <v>0.99978459999999902</v>
      </c>
      <c r="AB549">
        <v>25</v>
      </c>
      <c r="AC549">
        <v>17.086599999999901</v>
      </c>
      <c r="AD549">
        <v>-1.0564601592959999</v>
      </c>
      <c r="AE549">
        <v>0.16419999999999299</v>
      </c>
      <c r="AF549">
        <v>-0.35679240112653599</v>
      </c>
      <c r="AG549">
        <v>-1.0564601592959999</v>
      </c>
      <c r="AH549">
        <v>17.0185803904971</v>
      </c>
      <c r="AI549">
        <v>93.551405981260899</v>
      </c>
      <c r="AJ549">
        <v>91.201022884119197</v>
      </c>
      <c r="AK549">
        <v>17.055072189630099</v>
      </c>
    </row>
    <row r="550" spans="1:37" x14ac:dyDescent="0.2">
      <c r="A550" t="str">
        <f>"20200111155511774"</f>
        <v>20200111155511774</v>
      </c>
      <c r="B550" t="str">
        <f>"1578729311763149"</f>
        <v>1578729311763149</v>
      </c>
      <c r="C550" t="s">
        <v>37</v>
      </c>
      <c r="D550">
        <v>4.3201859999999996</v>
      </c>
      <c r="E550">
        <v>0.53260209999999997</v>
      </c>
      <c r="F550" t="s">
        <v>38</v>
      </c>
      <c r="G550">
        <v>-382.49860000000001</v>
      </c>
      <c r="H550" s="1">
        <v>-3.4564999999999999E-6</v>
      </c>
      <c r="I550">
        <v>368.17239999999998</v>
      </c>
      <c r="J550">
        <v>-400.1336</v>
      </c>
      <c r="K550">
        <v>1.0569930000000001</v>
      </c>
      <c r="L550">
        <v>368.00229999999999</v>
      </c>
      <c r="M550">
        <v>0.99990519999999905</v>
      </c>
      <c r="N550">
        <v>0</v>
      </c>
      <c r="O550">
        <v>-1.140068E-2</v>
      </c>
      <c r="P550">
        <v>0.99549100000000001</v>
      </c>
      <c r="Q550">
        <v>-8.9090330000000002E-3</v>
      </c>
      <c r="R550">
        <v>9.4439010000000004E-2</v>
      </c>
      <c r="S550">
        <v>3.009064</v>
      </c>
      <c r="T550">
        <v>-0.17878289999999999</v>
      </c>
      <c r="U550">
        <v>2.8503420000000002E-2</v>
      </c>
      <c r="V550">
        <v>-0.1057828</v>
      </c>
      <c r="W550">
        <v>-1.19611E-3</v>
      </c>
      <c r="X550">
        <v>0.99438850000000001</v>
      </c>
      <c r="Y550">
        <v>-2.0815179999999999E-2</v>
      </c>
      <c r="Z550">
        <v>1.2945820000000001E-3</v>
      </c>
      <c r="AA550">
        <v>0.99978250000000002</v>
      </c>
      <c r="AB550">
        <v>25</v>
      </c>
      <c r="AC550">
        <v>17.634999999999899</v>
      </c>
      <c r="AD550">
        <v>-1.0569964565000001</v>
      </c>
      <c r="AE550">
        <v>0.17009999999999001</v>
      </c>
      <c r="AF550">
        <v>-0.36981748575314599</v>
      </c>
      <c r="AG550">
        <v>-1.0569964565000001</v>
      </c>
      <c r="AH550">
        <v>17.568804556472099</v>
      </c>
      <c r="AI550">
        <v>93.442189822847794</v>
      </c>
      <c r="AJ550">
        <v>91.205878997416804</v>
      </c>
      <c r="AK550">
        <v>17.604456822785998</v>
      </c>
    </row>
    <row r="551" spans="1:37" x14ac:dyDescent="0.2">
      <c r="A551" t="str">
        <f>"20200111155511791"</f>
        <v>20200111155511791</v>
      </c>
      <c r="B551" t="str">
        <f>"1578729311782668"</f>
        <v>1578729311782668</v>
      </c>
      <c r="C551" t="s">
        <v>37</v>
      </c>
      <c r="D551">
        <v>4.3360949999999896</v>
      </c>
      <c r="E551">
        <v>0.53240690000000002</v>
      </c>
      <c r="F551" t="s">
        <v>38</v>
      </c>
      <c r="G551">
        <v>-381.72269999999997</v>
      </c>
      <c r="H551" s="1">
        <v>-3.7873620000000002E-6</v>
      </c>
      <c r="I551">
        <v>368.18369999999999</v>
      </c>
      <c r="J551">
        <v>-399.95359999999999</v>
      </c>
      <c r="K551">
        <v>1.0578289999999999</v>
      </c>
      <c r="L551">
        <v>368.00020000000001</v>
      </c>
      <c r="M551">
        <v>0.99991479999999999</v>
      </c>
      <c r="N551">
        <v>0</v>
      </c>
      <c r="O551">
        <v>-1.146375E-2</v>
      </c>
      <c r="P551">
        <v>0.99546669999999904</v>
      </c>
      <c r="Q551">
        <v>-6.7523899999999996E-3</v>
      </c>
      <c r="R551">
        <v>9.4869780000000001E-2</v>
      </c>
      <c r="S551">
        <v>3.0092469999999998</v>
      </c>
      <c r="T551">
        <v>-0.17276440000000001</v>
      </c>
      <c r="U551">
        <v>2.966309E-2</v>
      </c>
      <c r="V551">
        <v>-0.106276</v>
      </c>
      <c r="W551">
        <v>-5.3770269999999995E-4</v>
      </c>
      <c r="X551">
        <v>0.99433649999999996</v>
      </c>
      <c r="Y551">
        <v>-2.126571E-2</v>
      </c>
      <c r="Z551">
        <v>1.2675289999999899E-3</v>
      </c>
      <c r="AA551">
        <v>0.99977309999999997</v>
      </c>
      <c r="AB551">
        <v>25</v>
      </c>
      <c r="AC551">
        <v>18.230899999999998</v>
      </c>
      <c r="AD551">
        <v>-1.0578327873619999</v>
      </c>
      <c r="AE551">
        <v>0.18349999999998001</v>
      </c>
      <c r="AF551">
        <v>-0.39116963629482698</v>
      </c>
      <c r="AG551">
        <v>-1.0578327873619999</v>
      </c>
      <c r="AH551">
        <v>18.166441692526298</v>
      </c>
      <c r="AI551">
        <v>93.331802246940498</v>
      </c>
      <c r="AJ551">
        <v>91.233533057387206</v>
      </c>
      <c r="AK551">
        <v>18.201418286999999</v>
      </c>
    </row>
    <row r="552" spans="1:37" x14ac:dyDescent="0.2">
      <c r="A552" t="str">
        <f>"20200111155511803"</f>
        <v>20200111155511803</v>
      </c>
      <c r="B552" t="str">
        <f>"1578729311793404"</f>
        <v>1578729311793404</v>
      </c>
      <c r="C552" t="s">
        <v>37</v>
      </c>
      <c r="D552">
        <v>4.3530439999999997</v>
      </c>
      <c r="E552">
        <v>0.53233039999999998</v>
      </c>
      <c r="F552" t="s">
        <v>38</v>
      </c>
      <c r="G552">
        <v>-380.44729999999998</v>
      </c>
      <c r="H552" s="1">
        <v>-4.3298450000000002E-6</v>
      </c>
      <c r="I552">
        <v>368.21</v>
      </c>
      <c r="J552">
        <v>-399.81699999999898</v>
      </c>
      <c r="K552">
        <v>1.0585439999999999</v>
      </c>
      <c r="L552">
        <v>367.99860000000001</v>
      </c>
      <c r="M552">
        <v>0.99992049999999999</v>
      </c>
      <c r="N552">
        <v>0</v>
      </c>
      <c r="O552">
        <v>-1.151346E-2</v>
      </c>
      <c r="P552">
        <v>0.99544370000000004</v>
      </c>
      <c r="Q552">
        <v>-5.4508400000000002E-3</v>
      </c>
      <c r="R552">
        <v>9.5195680000000005E-2</v>
      </c>
      <c r="S552">
        <v>3.0094599999999998</v>
      </c>
      <c r="T552">
        <v>-0.16320379999999901</v>
      </c>
      <c r="U552">
        <v>3.2379150000000002E-2</v>
      </c>
      <c r="V552">
        <v>-0.106651</v>
      </c>
      <c r="W552">
        <v>-3.315053E-4</v>
      </c>
      <c r="X552">
        <v>0.99429639999999997</v>
      </c>
      <c r="Y552">
        <v>-2.2221169999999998E-2</v>
      </c>
      <c r="Z552">
        <v>1.22598E-3</v>
      </c>
      <c r="AA552">
        <v>0.99975230000000004</v>
      </c>
      <c r="AB552">
        <v>25</v>
      </c>
      <c r="AC552">
        <v>19.369699999999899</v>
      </c>
      <c r="AD552">
        <v>-1.058548329845</v>
      </c>
      <c r="AE552">
        <v>0.211399999999969</v>
      </c>
      <c r="AF552">
        <v>-0.43310783991541202</v>
      </c>
      <c r="AG552">
        <v>-1.058548329845</v>
      </c>
      <c r="AH552">
        <v>19.308322949994199</v>
      </c>
      <c r="AI552">
        <v>93.137221737891494</v>
      </c>
      <c r="AJ552">
        <v>91.284994592097803</v>
      </c>
      <c r="AK552">
        <v>19.342167461504499</v>
      </c>
    </row>
    <row r="553" spans="1:37" x14ac:dyDescent="0.2">
      <c r="A553" t="str">
        <f>"20200111155511816"</f>
        <v>20200111155511816</v>
      </c>
      <c r="B553" t="str">
        <f>"1578729311813466"</f>
        <v>1578729311813466</v>
      </c>
      <c r="C553" t="s">
        <v>37</v>
      </c>
      <c r="D553">
        <v>4.51396</v>
      </c>
      <c r="E553">
        <v>0.53221169999999995</v>
      </c>
      <c r="F553" t="s">
        <v>38</v>
      </c>
      <c r="G553">
        <v>-379.673</v>
      </c>
      <c r="H553" s="1">
        <v>-4.6750760000000001E-7</v>
      </c>
      <c r="I553">
        <v>368.22500000000002</v>
      </c>
      <c r="J553">
        <v>-399.6687</v>
      </c>
      <c r="K553">
        <v>1.0593969999999999</v>
      </c>
      <c r="L553">
        <v>367.99680000000001</v>
      </c>
      <c r="M553">
        <v>0.99992519999999996</v>
      </c>
      <c r="N553">
        <v>0</v>
      </c>
      <c r="O553">
        <v>-1.1569070000000001E-2</v>
      </c>
      <c r="P553">
        <v>0.99542330000000001</v>
      </c>
      <c r="Q553">
        <v>-3.9658180000000003E-3</v>
      </c>
      <c r="R553">
        <v>9.5482139999999993E-2</v>
      </c>
      <c r="S553">
        <v>3.00964399999999</v>
      </c>
      <c r="T553">
        <v>-0.1581535</v>
      </c>
      <c r="U553">
        <v>3.3843989999999997E-2</v>
      </c>
      <c r="V553">
        <v>-0.106991899999999</v>
      </c>
      <c r="W553" s="1">
        <v>2.528855E-5</v>
      </c>
      <c r="X553">
        <v>0.99425989999999997</v>
      </c>
      <c r="Y553">
        <v>-2.2764779999999998E-2</v>
      </c>
      <c r="Z553">
        <v>1.2052089999999901E-3</v>
      </c>
      <c r="AA553">
        <v>0.99974010000000002</v>
      </c>
      <c r="AB553">
        <v>26</v>
      </c>
      <c r="AC553">
        <v>19.995699999999999</v>
      </c>
      <c r="AD553">
        <v>-1.0593974675076001</v>
      </c>
      <c r="AE553">
        <v>0.228200000000015</v>
      </c>
      <c r="AF553">
        <v>-0.458232105993787</v>
      </c>
      <c r="AG553">
        <v>-1.0593974675076001</v>
      </c>
      <c r="AH553">
        <v>19.9357690029377</v>
      </c>
      <c r="AI553">
        <v>93.041065581208301</v>
      </c>
      <c r="AJ553">
        <v>91.316735935682303</v>
      </c>
      <c r="AK553">
        <v>19.969155850852001</v>
      </c>
    </row>
    <row r="554" spans="1:37" x14ac:dyDescent="0.2">
      <c r="A554" t="str">
        <f>"20200111155511829"</f>
        <v>20200111155511829</v>
      </c>
      <c r="B554" t="str">
        <f>"1578729311823227"</f>
        <v>1578729311823227</v>
      </c>
      <c r="C554" t="s">
        <v>37</v>
      </c>
      <c r="D554">
        <v>4.3941549999999996</v>
      </c>
      <c r="E554">
        <v>0.53203979999999995</v>
      </c>
      <c r="F554" t="s">
        <v>38</v>
      </c>
      <c r="G554">
        <v>-378.46249999999998</v>
      </c>
      <c r="H554" s="1">
        <v>-8.8471819999999897E-7</v>
      </c>
      <c r="I554">
        <v>368.2475</v>
      </c>
      <c r="J554">
        <v>-399.52420000000001</v>
      </c>
      <c r="K554">
        <v>1.0602819999999999</v>
      </c>
      <c r="L554">
        <v>367.99509999999998</v>
      </c>
      <c r="M554">
        <v>0.99992809999999899</v>
      </c>
      <c r="N554">
        <v>0</v>
      </c>
      <c r="O554">
        <v>-1.1624519999999999E-2</v>
      </c>
      <c r="P554">
        <v>0.99539690000000003</v>
      </c>
      <c r="Q554">
        <v>-2.656257E-3</v>
      </c>
      <c r="R554">
        <v>9.5801830000000004E-2</v>
      </c>
      <c r="S554">
        <v>3.0097659999999999</v>
      </c>
      <c r="T554">
        <v>-0.15035850000000001</v>
      </c>
      <c r="U554">
        <v>3.5583499999999997E-2</v>
      </c>
      <c r="V554">
        <v>-0.107366499999999</v>
      </c>
      <c r="W554">
        <v>3.01186E-4</v>
      </c>
      <c r="X554">
        <v>0.99421949999999903</v>
      </c>
      <c r="Y554">
        <v>-2.3401140000000001E-2</v>
      </c>
      <c r="Z554">
        <v>1.1644839999999999E-3</v>
      </c>
      <c r="AA554">
        <v>0.99972549999999905</v>
      </c>
      <c r="AB554">
        <v>26</v>
      </c>
      <c r="AC554">
        <v>21.061699999999998</v>
      </c>
      <c r="AD554">
        <v>-1.0602828847182</v>
      </c>
      <c r="AE554">
        <v>0.252400000000022</v>
      </c>
      <c r="AF554">
        <v>-0.49595943405085002</v>
      </c>
      <c r="AG554">
        <v>-1.0602828847182</v>
      </c>
      <c r="AH554">
        <v>21.004119939695599</v>
      </c>
      <c r="AI554">
        <v>92.889020200338294</v>
      </c>
      <c r="AJ554">
        <v>91.352644293103197</v>
      </c>
      <c r="AK554">
        <v>21.0367114824768</v>
      </c>
    </row>
    <row r="555" spans="1:37" x14ac:dyDescent="0.2">
      <c r="A555" t="str">
        <f>"20200111155511841"</f>
        <v>20200111155511841</v>
      </c>
      <c r="B555" t="str">
        <f>"1578729311832986"</f>
        <v>1578729311832986</v>
      </c>
      <c r="C555" t="s">
        <v>37</v>
      </c>
      <c r="D555">
        <v>4.2693240000000001</v>
      </c>
      <c r="E555">
        <v>0.53241249999999996</v>
      </c>
      <c r="F555" t="s">
        <v>38</v>
      </c>
      <c r="G555">
        <v>-377.6379</v>
      </c>
      <c r="H555" s="1">
        <v>-1.234844E-6</v>
      </c>
      <c r="I555">
        <v>368.26780000000002</v>
      </c>
      <c r="J555">
        <v>-399.3759</v>
      </c>
      <c r="K555">
        <v>1.061207</v>
      </c>
      <c r="L555">
        <v>367.99329999999998</v>
      </c>
      <c r="M555">
        <v>0.99993009999999904</v>
      </c>
      <c r="N555">
        <v>0</v>
      </c>
      <c r="O555">
        <v>-1.1681820000000001E-2</v>
      </c>
      <c r="P555">
        <v>0.99536219999999997</v>
      </c>
      <c r="Q555">
        <v>-1.145098E-3</v>
      </c>
      <c r="R555">
        <v>9.6194169999999996E-2</v>
      </c>
      <c r="S555">
        <v>3.0098880000000001</v>
      </c>
      <c r="T555">
        <v>-0.14581429999999901</v>
      </c>
      <c r="U555">
        <v>3.7506100000000001E-2</v>
      </c>
      <c r="V555">
        <v>-0.10781540000000001</v>
      </c>
      <c r="W555">
        <v>7.8374550000000003E-4</v>
      </c>
      <c r="X555">
        <v>0.99417060000000002</v>
      </c>
      <c r="Y555">
        <v>-2.4098120000000001E-2</v>
      </c>
      <c r="Z555">
        <v>1.148928E-3</v>
      </c>
      <c r="AA555">
        <v>0.99970899999999996</v>
      </c>
      <c r="AB555">
        <v>26</v>
      </c>
      <c r="AC555">
        <v>21.738</v>
      </c>
      <c r="AD555">
        <v>-1.061208234844</v>
      </c>
      <c r="AE555">
        <v>0.27450000000004499</v>
      </c>
      <c r="AF555">
        <v>-0.52716495174869105</v>
      </c>
      <c r="AG555">
        <v>-1.061208234844</v>
      </c>
      <c r="AH555">
        <v>21.6816463947521</v>
      </c>
      <c r="AI555">
        <v>92.801279338890097</v>
      </c>
      <c r="AJ555">
        <v>91.392808299312804</v>
      </c>
      <c r="AK555">
        <v>21.7140013859979</v>
      </c>
    </row>
    <row r="556" spans="1:37" x14ac:dyDescent="0.2">
      <c r="A556" t="str">
        <f>"20200111155512095"</f>
        <v>20200111155512095</v>
      </c>
      <c r="B556" t="str">
        <f>"1578729312093579"</f>
        <v>1578729312093579</v>
      </c>
      <c r="C556" t="s">
        <v>37</v>
      </c>
      <c r="D556">
        <v>4.6507990000000001</v>
      </c>
      <c r="E556">
        <v>0.53241249999999996</v>
      </c>
      <c r="F556" t="s">
        <v>38</v>
      </c>
      <c r="G556">
        <v>-375.90230000000003</v>
      </c>
      <c r="H556" s="1">
        <v>-1.978936E-6</v>
      </c>
      <c r="I556">
        <v>368.27050000000003</v>
      </c>
      <c r="J556">
        <v>-396.41460000000001</v>
      </c>
      <c r="K556">
        <v>1.087102</v>
      </c>
      <c r="L556">
        <v>367.95639999999997</v>
      </c>
      <c r="M556">
        <v>0.99991790000000003</v>
      </c>
      <c r="N556">
        <v>0</v>
      </c>
      <c r="O556">
        <v>-1.2757559999999999E-2</v>
      </c>
      <c r="P556">
        <v>0.9946258</v>
      </c>
      <c r="Q556">
        <v>-2.4044700000000001E-3</v>
      </c>
      <c r="R556">
        <v>0.1035089</v>
      </c>
      <c r="S556">
        <v>3.0103759999999999</v>
      </c>
      <c r="T556">
        <v>-0.13609460000000001</v>
      </c>
      <c r="U556">
        <v>3.5552979999999998E-2</v>
      </c>
      <c r="V556">
        <v>-0.116189899999999</v>
      </c>
      <c r="W556">
        <v>-1.188475E-3</v>
      </c>
      <c r="X556">
        <v>0.99322630000000001</v>
      </c>
      <c r="Y556">
        <v>-2.452696E-2</v>
      </c>
      <c r="Z556">
        <v>1.1305460000000001E-3</v>
      </c>
      <c r="AA556">
        <v>0.99969850000000005</v>
      </c>
      <c r="AB556">
        <v>26</v>
      </c>
      <c r="AC556">
        <v>20.5122999999999</v>
      </c>
      <c r="AD556">
        <v>-1.087103978936</v>
      </c>
      <c r="AE556">
        <v>0.314100000000053</v>
      </c>
      <c r="AF556">
        <v>-0.574149259282425</v>
      </c>
      <c r="AG556">
        <v>-1.087103978936</v>
      </c>
      <c r="AH556">
        <v>20.449200259065101</v>
      </c>
      <c r="AI556">
        <v>93.041851285004299</v>
      </c>
      <c r="AJ556">
        <v>91.608262859675406</v>
      </c>
      <c r="AK556">
        <v>20.486122953558201</v>
      </c>
    </row>
    <row r="557" spans="1:37" x14ac:dyDescent="0.2">
      <c r="A557" t="str">
        <f>"20200111155512109"</f>
        <v>20200111155512109</v>
      </c>
      <c r="B557" t="str">
        <f>"1578729312103339"</f>
        <v>1578729312103339</v>
      </c>
      <c r="C557" t="s">
        <v>37</v>
      </c>
      <c r="D557">
        <v>4.685473</v>
      </c>
      <c r="E557">
        <v>0.55874449999999998</v>
      </c>
      <c r="F557" t="s">
        <v>38</v>
      </c>
      <c r="G557">
        <v>-372.63310000000001</v>
      </c>
      <c r="H557" s="1">
        <v>-3.3578549999999999E-6</v>
      </c>
      <c r="I557">
        <v>368.40339999999998</v>
      </c>
      <c r="J557">
        <v>-396.25920000000002</v>
      </c>
      <c r="K557">
        <v>1.088444</v>
      </c>
      <c r="L557">
        <v>367.95429999999999</v>
      </c>
      <c r="M557">
        <v>0.99991659999999905</v>
      </c>
      <c r="N557">
        <v>0</v>
      </c>
      <c r="O557">
        <v>-1.281467E-2</v>
      </c>
      <c r="P557">
        <v>0.99459619999999904</v>
      </c>
      <c r="Q557">
        <v>-2.79041099999999E-3</v>
      </c>
      <c r="R557">
        <v>0.103782999999999</v>
      </c>
      <c r="S557">
        <v>3.009979</v>
      </c>
      <c r="T557">
        <v>-0.1375924</v>
      </c>
      <c r="U557">
        <v>5.6579589999999999E-2</v>
      </c>
      <c r="V557">
        <v>-0.11652</v>
      </c>
      <c r="W557">
        <v>-1.118319E-3</v>
      </c>
      <c r="X557">
        <v>0.99318770000000001</v>
      </c>
      <c r="Y557">
        <v>-3.1558570000000001E-2</v>
      </c>
      <c r="Z557">
        <v>1.306298E-3</v>
      </c>
      <c r="AA557">
        <v>0.99950099999999997</v>
      </c>
      <c r="AB557">
        <v>26</v>
      </c>
      <c r="AC557">
        <v>23.626100000000001</v>
      </c>
      <c r="AD557">
        <v>-1.088447357855</v>
      </c>
      <c r="AE557">
        <v>0.44909999999998701</v>
      </c>
      <c r="AF557">
        <v>-0.75023245754476697</v>
      </c>
      <c r="AG557">
        <v>-1.088447357855</v>
      </c>
      <c r="AH557">
        <v>23.568401035582301</v>
      </c>
      <c r="AI557">
        <v>92.642846023867904</v>
      </c>
      <c r="AJ557">
        <v>91.823231176982304</v>
      </c>
      <c r="AK557">
        <v>23.6054462733753</v>
      </c>
    </row>
    <row r="558" spans="1:37" x14ac:dyDescent="0.2">
      <c r="A558" t="str">
        <f>"20200111155512122"</f>
        <v>20200111155512122</v>
      </c>
      <c r="B558" t="str">
        <f>"1578729312113099"</f>
        <v>1578729312113099</v>
      </c>
      <c r="C558" t="s">
        <v>37</v>
      </c>
      <c r="D558">
        <v>4.6428719999999997</v>
      </c>
      <c r="E558">
        <v>0.55910219999999999</v>
      </c>
      <c r="F558" t="s">
        <v>41</v>
      </c>
      <c r="G558">
        <v>-169.2955</v>
      </c>
      <c r="H558">
        <v>0.9587002</v>
      </c>
      <c r="I558">
        <v>356.36279999999999</v>
      </c>
      <c r="J558">
        <v>-396.09429999999998</v>
      </c>
      <c r="K558">
        <v>1.089801</v>
      </c>
      <c r="L558">
        <v>367.95209999999997</v>
      </c>
      <c r="M558">
        <v>0.99991479999999999</v>
      </c>
      <c r="N558">
        <v>0</v>
      </c>
      <c r="O558">
        <v>-1.287607E-2</v>
      </c>
      <c r="P558">
        <v>0.99456449999999996</v>
      </c>
      <c r="Q558">
        <v>-3.1690970000000001E-3</v>
      </c>
      <c r="R558">
        <v>0.104074499999999</v>
      </c>
      <c r="S558">
        <v>3.0325009999999999</v>
      </c>
      <c r="T558">
        <v>-1.732349E-3</v>
      </c>
      <c r="U558">
        <v>-0.15487670000000001</v>
      </c>
      <c r="V558">
        <v>-0.1168723</v>
      </c>
      <c r="W558">
        <v>-1.0253789999999899E-3</v>
      </c>
      <c r="X558">
        <v>0.99314639999999998</v>
      </c>
      <c r="Y558">
        <v>3.8142219999999998E-2</v>
      </c>
      <c r="Z558" s="1">
        <v>-3.5374159999999998E-6</v>
      </c>
      <c r="AA558">
        <v>0.9992723</v>
      </c>
      <c r="AB558">
        <v>27</v>
      </c>
      <c r="AC558">
        <v>226.7988</v>
      </c>
      <c r="AD558">
        <v>-0.13110079999999999</v>
      </c>
      <c r="AE558">
        <v>-11.5892999999999</v>
      </c>
      <c r="AF558">
        <v>8.6680524127725</v>
      </c>
      <c r="AG558">
        <v>-0.13110079999999999</v>
      </c>
      <c r="AH558">
        <v>226.92914763969199</v>
      </c>
      <c r="AI558">
        <v>90.033076614518095</v>
      </c>
      <c r="AJ558">
        <v>87.812526516423404</v>
      </c>
      <c r="AK558">
        <v>227.094672699575</v>
      </c>
    </row>
    <row r="559" spans="1:37" x14ac:dyDescent="0.2">
      <c r="A559" t="str">
        <f>"20200111155512137"</f>
        <v>20200111155512137</v>
      </c>
      <c r="B559" t="str">
        <f>"1578729312132619"</f>
        <v>1578729312132619</v>
      </c>
      <c r="C559" t="s">
        <v>37</v>
      </c>
      <c r="D559">
        <v>4.6355979999999999</v>
      </c>
      <c r="E559">
        <v>0.55926669999999901</v>
      </c>
      <c r="F559" t="s">
        <v>41</v>
      </c>
      <c r="G559">
        <v>-169.2955</v>
      </c>
      <c r="H559">
        <v>0.67193409999999998</v>
      </c>
      <c r="I559">
        <v>356.21730000000002</v>
      </c>
      <c r="J559">
        <v>-395.91410000000002</v>
      </c>
      <c r="K559">
        <v>1.0911879999999901</v>
      </c>
      <c r="L559">
        <v>367.94979999999998</v>
      </c>
      <c r="M559">
        <v>0.99991289999999999</v>
      </c>
      <c r="N559">
        <v>0</v>
      </c>
      <c r="O559">
        <v>-1.294322E-2</v>
      </c>
      <c r="P559">
        <v>0.99449370000000004</v>
      </c>
      <c r="Q559">
        <v>-3.6306609999999999E-3</v>
      </c>
      <c r="R559">
        <v>0.104735199999999</v>
      </c>
      <c r="S559">
        <v>3.0328059999999999</v>
      </c>
      <c r="T559">
        <v>-5.5866240000000001E-3</v>
      </c>
      <c r="U559">
        <v>-0.15692139999999999</v>
      </c>
      <c r="V559">
        <v>-0.1175988</v>
      </c>
      <c r="W559">
        <v>-9.8964579999999999E-4</v>
      </c>
      <c r="X559">
        <v>0.99306070000000002</v>
      </c>
      <c r="Y559">
        <v>3.874184E-2</v>
      </c>
      <c r="Z559" s="1">
        <v>-1.183472E-5</v>
      </c>
      <c r="AA559">
        <v>0.99924930000000001</v>
      </c>
      <c r="AB559">
        <v>27</v>
      </c>
      <c r="AC559">
        <v>226.61859999999999</v>
      </c>
      <c r="AD559">
        <v>-0.41925389999999901</v>
      </c>
      <c r="AE559">
        <v>-11.7324999999999</v>
      </c>
      <c r="AF559">
        <v>8.79830299286116</v>
      </c>
      <c r="AG559">
        <v>-0.41925389999999901</v>
      </c>
      <c r="AH559">
        <v>226.75069953759899</v>
      </c>
      <c r="AI559">
        <v>90.105858059763307</v>
      </c>
      <c r="AJ559">
        <v>87.777943489720798</v>
      </c>
      <c r="AK559">
        <v>226.92171700870099</v>
      </c>
    </row>
    <row r="560" spans="1:37" x14ac:dyDescent="0.2">
      <c r="A560" t="str">
        <f>"20200111155512149"</f>
        <v>20200111155512149</v>
      </c>
      <c r="B560" t="str">
        <f>"1578729312143355"</f>
        <v>1578729312143355</v>
      </c>
      <c r="C560" t="s">
        <v>37</v>
      </c>
      <c r="D560">
        <v>4.6678959999999998</v>
      </c>
      <c r="E560">
        <v>0.55955719999999898</v>
      </c>
      <c r="F560" t="s">
        <v>41</v>
      </c>
      <c r="G560">
        <v>-169.2955</v>
      </c>
      <c r="H560">
        <v>0.21854589999999999</v>
      </c>
      <c r="I560">
        <v>356.28440000000001</v>
      </c>
      <c r="J560">
        <v>-395.77789999999999</v>
      </c>
      <c r="K560">
        <v>1.092131</v>
      </c>
      <c r="L560">
        <v>367.94799999999998</v>
      </c>
      <c r="M560">
        <v>0.99991109999999905</v>
      </c>
      <c r="N560">
        <v>0</v>
      </c>
      <c r="O560">
        <v>-1.299346E-2</v>
      </c>
      <c r="P560">
        <v>0.99446469999999898</v>
      </c>
      <c r="Q560">
        <v>-3.881865E-3</v>
      </c>
      <c r="R560">
        <v>0.1049995</v>
      </c>
      <c r="S560">
        <v>3.03302</v>
      </c>
      <c r="T560">
        <v>-1.16781E-2</v>
      </c>
      <c r="U560">
        <v>-0.15612789999999999</v>
      </c>
      <c r="V560">
        <v>-0.1179123</v>
      </c>
      <c r="W560">
        <v>-8.8754030000000002E-4</v>
      </c>
      <c r="X560">
        <v>0.99302359999999901</v>
      </c>
      <c r="Y560">
        <v>3.8427139999999999E-2</v>
      </c>
      <c r="Z560" s="1">
        <v>-2.3938490000000001E-5</v>
      </c>
      <c r="AA560">
        <v>0.99926139999999997</v>
      </c>
      <c r="AB560">
        <v>27</v>
      </c>
      <c r="AC560">
        <v>226.48240000000001</v>
      </c>
      <c r="AD560">
        <v>-0.8735851</v>
      </c>
      <c r="AE560">
        <v>-11.663600000000001</v>
      </c>
      <c r="AF560">
        <v>8.71968278745139</v>
      </c>
      <c r="AG560">
        <v>-0.8735851</v>
      </c>
      <c r="AH560">
        <v>226.61146912485199</v>
      </c>
      <c r="AI560">
        <v>90.220710271824103</v>
      </c>
      <c r="AJ560">
        <v>87.7964280736619</v>
      </c>
      <c r="AK560">
        <v>226.78085006844</v>
      </c>
    </row>
    <row r="561" spans="1:37" x14ac:dyDescent="0.2">
      <c r="A561" t="str">
        <f>"20200111155512170"</f>
        <v>20200111155512170</v>
      </c>
      <c r="B561" t="str">
        <f>"1578729312162874"</f>
        <v>1578729312162874</v>
      </c>
      <c r="C561" t="s">
        <v>37</v>
      </c>
      <c r="D561">
        <v>4.7066589999999904</v>
      </c>
      <c r="E561">
        <v>0.55968399999999996</v>
      </c>
      <c r="F561" t="s">
        <v>41</v>
      </c>
      <c r="G561">
        <v>-169.2955</v>
      </c>
      <c r="H561">
        <v>0.34482859999999999</v>
      </c>
      <c r="I561">
        <v>356.19040000000001</v>
      </c>
      <c r="J561">
        <v>-395.5222</v>
      </c>
      <c r="K561">
        <v>1.0937809999999999</v>
      </c>
      <c r="L561">
        <v>367.94450000000001</v>
      </c>
      <c r="M561">
        <v>0.99990780000000001</v>
      </c>
      <c r="N561">
        <v>0</v>
      </c>
      <c r="O561">
        <v>-1.3086469999999999E-2</v>
      </c>
      <c r="P561">
        <v>0.99443130000000002</v>
      </c>
      <c r="Q561">
        <v>-4.8358279999999899E-3</v>
      </c>
      <c r="R561">
        <v>0.10527590000000001</v>
      </c>
      <c r="S561">
        <v>3.0332949999999999</v>
      </c>
      <c r="T561">
        <v>-1.0007500000000001E-2</v>
      </c>
      <c r="U561">
        <v>-0.15747069999999999</v>
      </c>
      <c r="V561">
        <v>-0.1182811</v>
      </c>
      <c r="W561">
        <v>-1.2096400000000001E-3</v>
      </c>
      <c r="X561">
        <v>0.99297939999999996</v>
      </c>
      <c r="Y561">
        <v>3.8770730000000003E-2</v>
      </c>
      <c r="Z561" s="1">
        <v>-2.0771689999999999E-5</v>
      </c>
      <c r="AA561">
        <v>0.99924809999999997</v>
      </c>
      <c r="AB561">
        <v>27</v>
      </c>
      <c r="AC561">
        <v>226.22669999999999</v>
      </c>
      <c r="AD561">
        <v>-0.74895239999999896</v>
      </c>
      <c r="AE561">
        <v>-11.7540999999999</v>
      </c>
      <c r="AF561">
        <v>8.7924689898528001</v>
      </c>
      <c r="AG561">
        <v>-0.74895239999999896</v>
      </c>
      <c r="AH561">
        <v>226.358674028103</v>
      </c>
      <c r="AI561">
        <v>90.189430865667603</v>
      </c>
      <c r="AJ561">
        <v>87.775573500898801</v>
      </c>
      <c r="AK561">
        <v>226.53061106260299</v>
      </c>
    </row>
    <row r="562" spans="1:37" x14ac:dyDescent="0.2">
      <c r="A562" t="str">
        <f>"20200111155512183"</f>
        <v>20200111155512183</v>
      </c>
      <c r="B562" t="str">
        <f>"1578729312172635"</f>
        <v>1578729312172635</v>
      </c>
      <c r="C562" t="s">
        <v>37</v>
      </c>
      <c r="D562">
        <v>4.7353889999999996</v>
      </c>
      <c r="E562">
        <v>0.55994160000000004</v>
      </c>
      <c r="F562" t="s">
        <v>41</v>
      </c>
      <c r="G562">
        <v>-169.2955</v>
      </c>
      <c r="H562">
        <v>8.0948829999999999E-2</v>
      </c>
      <c r="I562">
        <v>356.19830000000002</v>
      </c>
      <c r="J562">
        <v>-395.37360000000001</v>
      </c>
      <c r="K562">
        <v>1.094652</v>
      </c>
      <c r="L562">
        <v>367.94260000000003</v>
      </c>
      <c r="M562">
        <v>0.99990590000000001</v>
      </c>
      <c r="N562">
        <v>0</v>
      </c>
      <c r="O562">
        <v>-1.3139959999999999E-2</v>
      </c>
      <c r="P562">
        <v>0.99441219999999997</v>
      </c>
      <c r="Q562">
        <v>-5.2537089999999996E-3</v>
      </c>
      <c r="R562">
        <v>0.10543810000000001</v>
      </c>
      <c r="S562">
        <v>3.0333860000000001</v>
      </c>
      <c r="T562">
        <v>-1.357949E-2</v>
      </c>
      <c r="U562">
        <v>-0.15750120000000001</v>
      </c>
      <c r="V562">
        <v>-0.11849560000000001</v>
      </c>
      <c r="W562">
        <v>-1.2845269999999999E-3</v>
      </c>
      <c r="X562">
        <v>0.9929538</v>
      </c>
      <c r="Y562">
        <v>3.8725599999999999E-2</v>
      </c>
      <c r="Z562" s="1">
        <v>-2.7844569999999999E-5</v>
      </c>
      <c r="AA562">
        <v>0.99924990000000002</v>
      </c>
      <c r="AB562">
        <v>27</v>
      </c>
      <c r="AC562">
        <v>226.07810000000001</v>
      </c>
      <c r="AD562">
        <v>-1.0137031700000001</v>
      </c>
      <c r="AE562">
        <v>-11.744300000000001</v>
      </c>
      <c r="AF562">
        <v>8.7724299061771696</v>
      </c>
      <c r="AG562">
        <v>-1.0137031700000001</v>
      </c>
      <c r="AH562">
        <v>226.20836684176399</v>
      </c>
      <c r="AI562">
        <v>90.256563897798799</v>
      </c>
      <c r="AJ562">
        <v>87.7791649496898</v>
      </c>
      <c r="AK562">
        <v>226.380671325522</v>
      </c>
    </row>
    <row r="563" spans="1:37" x14ac:dyDescent="0.2">
      <c r="A563" t="str">
        <f>"20200111155512195"</f>
        <v>20200111155512195</v>
      </c>
      <c r="B563" t="str">
        <f>"1578729312183371"</f>
        <v>1578729312183371</v>
      </c>
      <c r="C563" t="s">
        <v>37</v>
      </c>
      <c r="D563">
        <v>4.817977</v>
      </c>
      <c r="E563">
        <v>0.56032009999999999</v>
      </c>
      <c r="F563" t="s">
        <v>42</v>
      </c>
      <c r="G563">
        <v>-179.99610000000001</v>
      </c>
      <c r="H563">
        <v>5.3937939999999997E-2</v>
      </c>
      <c r="I563">
        <v>356.6481</v>
      </c>
      <c r="J563">
        <v>-395.23070000000001</v>
      </c>
      <c r="K563">
        <v>1.095421</v>
      </c>
      <c r="L563">
        <v>367.94060000000002</v>
      </c>
      <c r="M563">
        <v>0.99990389999999996</v>
      </c>
      <c r="N563">
        <v>0</v>
      </c>
      <c r="O563">
        <v>-1.31907E-2</v>
      </c>
      <c r="P563">
        <v>0.99440799999999996</v>
      </c>
      <c r="Q563">
        <v>-5.8934030000000002E-3</v>
      </c>
      <c r="R563">
        <v>0.1054422</v>
      </c>
      <c r="S563">
        <v>3.0336910000000001</v>
      </c>
      <c r="T563">
        <v>-1.4658930000000001E-2</v>
      </c>
      <c r="U563">
        <v>-0.15908810000000001</v>
      </c>
      <c r="V563">
        <v>-0.1185509</v>
      </c>
      <c r="W563">
        <v>-1.6130889999999901E-3</v>
      </c>
      <c r="X563">
        <v>0.99294669999999896</v>
      </c>
      <c r="Y563">
        <v>3.9190910000000002E-2</v>
      </c>
      <c r="Z563" s="1">
        <v>-3.0932919999999998E-5</v>
      </c>
      <c r="AA563">
        <v>0.9992318</v>
      </c>
      <c r="AB563">
        <v>27</v>
      </c>
      <c r="AC563">
        <v>215.2346</v>
      </c>
      <c r="AD563">
        <v>-1.04148306</v>
      </c>
      <c r="AE563">
        <v>-11.2925</v>
      </c>
      <c r="AF563">
        <v>8.4521992949832896</v>
      </c>
      <c r="AG563">
        <v>-1.04148306</v>
      </c>
      <c r="AH563">
        <v>215.35980270825601</v>
      </c>
      <c r="AI563">
        <v>90.276867895416203</v>
      </c>
      <c r="AJ563">
        <v>87.752473187760003</v>
      </c>
      <c r="AK563">
        <v>215.528116454502</v>
      </c>
    </row>
    <row r="564" spans="1:37" x14ac:dyDescent="0.2">
      <c r="A564" t="str">
        <f>"20200111155512207"</f>
        <v>20200111155512207</v>
      </c>
      <c r="B564" t="str">
        <f>"1578729312202892"</f>
        <v>1578729312202892</v>
      </c>
      <c r="C564" t="s">
        <v>37</v>
      </c>
      <c r="D564">
        <v>4.7315120000000004</v>
      </c>
      <c r="E564">
        <v>0.56079889999999999</v>
      </c>
      <c r="F564" t="s">
        <v>42</v>
      </c>
      <c r="G564">
        <v>-208.89019999999999</v>
      </c>
      <c r="H564">
        <v>7.9986829999999995E-2</v>
      </c>
      <c r="I564">
        <v>357.9898</v>
      </c>
      <c r="J564">
        <v>-395.08109999999999</v>
      </c>
      <c r="K564">
        <v>1.09616</v>
      </c>
      <c r="L564">
        <v>367.93860000000001</v>
      </c>
      <c r="M564">
        <v>0.99990190000000001</v>
      </c>
      <c r="N564">
        <v>0</v>
      </c>
      <c r="O564">
        <v>-1.32435E-2</v>
      </c>
      <c r="P564">
        <v>0.99437770000000003</v>
      </c>
      <c r="Q564">
        <v>-6.2148489999999997E-3</v>
      </c>
      <c r="R564">
        <v>0.105709999999999</v>
      </c>
      <c r="S564">
        <v>3.0339659999999999</v>
      </c>
      <c r="T564">
        <v>-1.6533140000000002E-2</v>
      </c>
      <c r="U564">
        <v>-0.16201779999999999</v>
      </c>
      <c r="V564">
        <v>-0.11887</v>
      </c>
      <c r="W564">
        <v>-1.6308500000000001E-3</v>
      </c>
      <c r="X564">
        <v>0.99290849999999897</v>
      </c>
      <c r="Y564">
        <v>4.0095480000000003E-2</v>
      </c>
      <c r="Z564" s="1">
        <v>-3.7059169999999997E-5</v>
      </c>
      <c r="AA564">
        <v>0.99919590000000003</v>
      </c>
      <c r="AB564">
        <v>27</v>
      </c>
      <c r="AC564">
        <v>186.1909</v>
      </c>
      <c r="AD564">
        <v>-1.0161731700000001</v>
      </c>
      <c r="AE564">
        <v>-9.9488000000000003</v>
      </c>
      <c r="AF564">
        <v>7.4818604294652804</v>
      </c>
      <c r="AG564">
        <v>-1.0161731700000001</v>
      </c>
      <c r="AH564">
        <v>186.300795771107</v>
      </c>
      <c r="AI564">
        <v>90.312263631542194</v>
      </c>
      <c r="AJ564">
        <v>87.700231049792507</v>
      </c>
      <c r="AK564">
        <v>186.453740505105</v>
      </c>
    </row>
    <row r="565" spans="1:37" x14ac:dyDescent="0.2">
      <c r="A565" t="str">
        <f>"20200111155512219"</f>
        <v>20200111155512219</v>
      </c>
      <c r="B565" t="str">
        <f>"1578729312212651"</f>
        <v>1578729312212651</v>
      </c>
      <c r="C565" t="s">
        <v>37</v>
      </c>
      <c r="D565">
        <v>4.7497790000000002</v>
      </c>
      <c r="E565">
        <v>0.56099279999999996</v>
      </c>
      <c r="F565" t="s">
        <v>38</v>
      </c>
      <c r="G565">
        <v>-235.93119999999999</v>
      </c>
      <c r="H565">
        <v>7.9986559999999998E-2</v>
      </c>
      <c r="I565">
        <v>359.27289999999999</v>
      </c>
      <c r="J565">
        <v>-394.94040000000001</v>
      </c>
      <c r="K565">
        <v>1.096824</v>
      </c>
      <c r="L565">
        <v>367.93669999999997</v>
      </c>
      <c r="M565">
        <v>0.99989989999999995</v>
      </c>
      <c r="N565">
        <v>0</v>
      </c>
      <c r="O565">
        <v>-1.3293060000000001E-2</v>
      </c>
      <c r="P565">
        <v>0.99436559999999896</v>
      </c>
      <c r="Q565">
        <v>-6.640384E-3</v>
      </c>
      <c r="R565">
        <v>0.105797699999999</v>
      </c>
      <c r="S565">
        <v>3.0343930000000001</v>
      </c>
      <c r="T565">
        <v>-1.937461E-2</v>
      </c>
      <c r="U565">
        <v>-0.16522220000000001</v>
      </c>
      <c r="V565">
        <v>-0.1190073</v>
      </c>
      <c r="W565">
        <v>-1.780348E-3</v>
      </c>
      <c r="X565">
        <v>0.99289179999999999</v>
      </c>
      <c r="Y565">
        <v>4.1090359999999999E-2</v>
      </c>
      <c r="Z565" s="1">
        <v>-4.627858E-5</v>
      </c>
      <c r="AA565">
        <v>0.99915549999999997</v>
      </c>
      <c r="AB565">
        <v>27</v>
      </c>
      <c r="AC565">
        <v>159.00919999999999</v>
      </c>
      <c r="AD565">
        <v>-1.01683744</v>
      </c>
      <c r="AE565">
        <v>-8.6637999999999806</v>
      </c>
      <c r="AF565">
        <v>6.5490237990298903</v>
      </c>
      <c r="AG565">
        <v>-1.01683744</v>
      </c>
      <c r="AH565">
        <v>159.10383280130699</v>
      </c>
      <c r="AI565">
        <v>90.365864282611398</v>
      </c>
      <c r="AJ565">
        <v>87.642924666036507</v>
      </c>
      <c r="AK565">
        <v>159.24180758571501</v>
      </c>
    </row>
    <row r="566" spans="1:37" x14ac:dyDescent="0.2">
      <c r="A566" t="str">
        <f>"20200111155512231"</f>
        <v>20200111155512231</v>
      </c>
      <c r="B566" t="str">
        <f>"1578729312223386"</f>
        <v>1578729312223386</v>
      </c>
      <c r="C566" t="s">
        <v>37</v>
      </c>
      <c r="D566">
        <v>4.7588679999999997</v>
      </c>
      <c r="E566">
        <v>0.56110179999999998</v>
      </c>
      <c r="F566" t="s">
        <v>38</v>
      </c>
      <c r="G566">
        <v>-243.19</v>
      </c>
      <c r="H566">
        <v>7.4129699999999996E-3</v>
      </c>
      <c r="I566">
        <v>359.6164</v>
      </c>
      <c r="J566">
        <v>-394.78879999999998</v>
      </c>
      <c r="K566">
        <v>1.0974539999999999</v>
      </c>
      <c r="L566">
        <v>367.93459999999999</v>
      </c>
      <c r="M566">
        <v>0.99989779999999995</v>
      </c>
      <c r="N566">
        <v>0</v>
      </c>
      <c r="O566">
        <v>-1.3346810000000001E-2</v>
      </c>
      <c r="P566">
        <v>0.99434979999999995</v>
      </c>
      <c r="Q566">
        <v>-7.1389740000000002E-3</v>
      </c>
      <c r="R566">
        <v>0.1059134</v>
      </c>
      <c r="S566">
        <v>3.03454599999999</v>
      </c>
      <c r="T566">
        <v>-2.1784899999999999E-2</v>
      </c>
      <c r="U566">
        <v>-0.1663818</v>
      </c>
      <c r="V566">
        <v>-0.1191763</v>
      </c>
      <c r="W566">
        <v>-2.0082300000000002E-3</v>
      </c>
      <c r="X566">
        <v>0.99287109999999901</v>
      </c>
      <c r="Y566">
        <v>4.1414439999999997E-2</v>
      </c>
      <c r="Z566" s="1">
        <v>-5.280936E-5</v>
      </c>
      <c r="AA566">
        <v>0.99914210000000003</v>
      </c>
      <c r="AB566">
        <v>27</v>
      </c>
      <c r="AC566">
        <v>151.59879999999899</v>
      </c>
      <c r="AD566">
        <v>-1.0900410300000001</v>
      </c>
      <c r="AE566">
        <v>-8.3181999999999903</v>
      </c>
      <c r="AF566">
        <v>6.29374770459067</v>
      </c>
      <c r="AG566">
        <v>-1.0900410300000001</v>
      </c>
      <c r="AH566">
        <v>151.68850041232699</v>
      </c>
      <c r="AI566">
        <v>90.411369277903503</v>
      </c>
      <c r="AJ566">
        <v>87.624088424566693</v>
      </c>
      <c r="AK566">
        <v>151.82292516928001</v>
      </c>
    </row>
    <row r="567" spans="1:37" x14ac:dyDescent="0.2">
      <c r="A567" t="str">
        <f>"20200111155512248"</f>
        <v>20200111155512248</v>
      </c>
      <c r="B567" t="str">
        <f>"1578729312242907"</f>
        <v>1578729312242907</v>
      </c>
      <c r="C567" t="s">
        <v>37</v>
      </c>
      <c r="D567">
        <v>4.7441879999999896</v>
      </c>
      <c r="E567">
        <v>0.56117139999999999</v>
      </c>
      <c r="F567" t="s">
        <v>38</v>
      </c>
      <c r="G567">
        <v>-250.3203</v>
      </c>
      <c r="H567" s="1">
        <v>-5.8428049999999997E-6</v>
      </c>
      <c r="I567">
        <v>359.98779999999999</v>
      </c>
      <c r="J567">
        <v>-394.58109999999999</v>
      </c>
      <c r="K567">
        <v>1.0982479999999999</v>
      </c>
      <c r="L567">
        <v>367.93180000000001</v>
      </c>
      <c r="M567">
        <v>0.99989490000000003</v>
      </c>
      <c r="N567">
        <v>0</v>
      </c>
      <c r="O567">
        <v>-1.3420970000000001E-2</v>
      </c>
      <c r="P567">
        <v>0.9943303</v>
      </c>
      <c r="Q567">
        <v>-8.0391779999999993E-3</v>
      </c>
      <c r="R567">
        <v>0.1060326</v>
      </c>
      <c r="S567">
        <v>3.034729</v>
      </c>
      <c r="T567">
        <v>-2.305341E-2</v>
      </c>
      <c r="U567">
        <v>-0.1669312</v>
      </c>
      <c r="V567">
        <v>-0.1193693</v>
      </c>
      <c r="W567">
        <v>-2.5594260000000001E-3</v>
      </c>
      <c r="X567">
        <v>0.99284660000000002</v>
      </c>
      <c r="Y567">
        <v>4.1517239999999997E-2</v>
      </c>
      <c r="Z567" s="1">
        <v>-5.5707890000000002E-5</v>
      </c>
      <c r="AA567">
        <v>0.99913779999999996</v>
      </c>
      <c r="AB567">
        <v>27</v>
      </c>
      <c r="AC567">
        <v>144.26079999999999</v>
      </c>
      <c r="AD567">
        <v>-1.0982538428049999</v>
      </c>
      <c r="AE567">
        <v>-7.9440000000000097</v>
      </c>
      <c r="AF567">
        <v>6.0067884388608297</v>
      </c>
      <c r="AG567">
        <v>-1.0982538428049999</v>
      </c>
      <c r="AH567">
        <v>144.34608387951499</v>
      </c>
      <c r="AI567">
        <v>90.435548258948799</v>
      </c>
      <c r="AJ567">
        <v>87.617080011746594</v>
      </c>
      <c r="AK567">
        <v>144.47518679761001</v>
      </c>
    </row>
    <row r="568" spans="1:37" x14ac:dyDescent="0.2">
      <c r="A568" t="str">
        <f>"20200111155512261"</f>
        <v>20200111155512261</v>
      </c>
      <c r="B568" t="str">
        <f>"1578729312253643"</f>
        <v>1578729312253643</v>
      </c>
      <c r="C568" t="s">
        <v>37</v>
      </c>
      <c r="D568">
        <v>4.7938839999999896</v>
      </c>
      <c r="E568">
        <v>0.56130089999999999</v>
      </c>
      <c r="F568" t="s">
        <v>38</v>
      </c>
      <c r="G568">
        <v>-275.721</v>
      </c>
      <c r="H568" s="1">
        <v>-3.6281999999999998E-6</v>
      </c>
      <c r="I568">
        <v>361.4006</v>
      </c>
      <c r="J568">
        <v>-394.43509999999998</v>
      </c>
      <c r="K568">
        <v>1.0987549999999999</v>
      </c>
      <c r="L568">
        <v>367.9298</v>
      </c>
      <c r="M568">
        <v>0.99989289999999997</v>
      </c>
      <c r="N568">
        <v>0</v>
      </c>
      <c r="O568">
        <v>-1.347338E-2</v>
      </c>
      <c r="P568">
        <v>0.99431539999999996</v>
      </c>
      <c r="Q568">
        <v>-8.6917880000000006E-3</v>
      </c>
      <c r="R568">
        <v>0.10612000000000001</v>
      </c>
      <c r="S568">
        <v>3.0346679999999999</v>
      </c>
      <c r="T568">
        <v>-2.8039930000000001E-2</v>
      </c>
      <c r="U568">
        <v>-0.16674800000000001</v>
      </c>
      <c r="V568">
        <v>-0.1195078</v>
      </c>
      <c r="W568">
        <v>-2.9816370000000001E-3</v>
      </c>
      <c r="X568">
        <v>0.99282879999999996</v>
      </c>
      <c r="Y568">
        <v>4.140547E-2</v>
      </c>
      <c r="Z568" s="1">
        <v>-6.6758850000000005E-5</v>
      </c>
      <c r="AA568">
        <v>0.99914239999999999</v>
      </c>
      <c r="AB568">
        <v>27</v>
      </c>
      <c r="AC568">
        <v>118.71409999999899</v>
      </c>
      <c r="AD568">
        <v>-1.0987586281999999</v>
      </c>
      <c r="AE568">
        <v>-6.5292000000000003</v>
      </c>
      <c r="AF568">
        <v>4.9286800876892602</v>
      </c>
      <c r="AG568">
        <v>-1.0987586281999999</v>
      </c>
      <c r="AH568">
        <v>118.781151165857</v>
      </c>
      <c r="AI568">
        <v>90.529531118612198</v>
      </c>
      <c r="AJ568">
        <v>87.623944003795799</v>
      </c>
      <c r="AK568">
        <v>118.888439430484</v>
      </c>
    </row>
    <row r="569" spans="1:37" x14ac:dyDescent="0.2">
      <c r="A569" t="str">
        <f>"20200111155512273"</f>
        <v>20200111155512273</v>
      </c>
      <c r="B569" t="str">
        <f>"1578729312263403"</f>
        <v>1578729312263403</v>
      </c>
      <c r="C569" t="s">
        <v>37</v>
      </c>
      <c r="D569">
        <v>4.7981619999999996</v>
      </c>
      <c r="E569">
        <v>0.56123199999999995</v>
      </c>
      <c r="F569" t="s">
        <v>39</v>
      </c>
      <c r="G569">
        <v>-280.57940000000002</v>
      </c>
      <c r="H569">
        <v>-0.05</v>
      </c>
      <c r="I569">
        <v>361.63729999999998</v>
      </c>
      <c r="J569">
        <v>-394.2867</v>
      </c>
      <c r="K569">
        <v>1.0992230000000001</v>
      </c>
      <c r="L569">
        <v>367.92770000000002</v>
      </c>
      <c r="M569">
        <v>0.99989089999999903</v>
      </c>
      <c r="N569">
        <v>0</v>
      </c>
      <c r="O569">
        <v>-1.352648E-2</v>
      </c>
      <c r="P569">
        <v>0.99431349999999996</v>
      </c>
      <c r="Q569">
        <v>-9.5594919999999993E-3</v>
      </c>
      <c r="R569">
        <v>0.10606159999999901</v>
      </c>
      <c r="S569">
        <v>3.0347900000000001</v>
      </c>
      <c r="T569">
        <v>-3.0619739999999999E-2</v>
      </c>
      <c r="U569">
        <v>-0.1677246</v>
      </c>
      <c r="V569">
        <v>-0.11950239999999999</v>
      </c>
      <c r="W569">
        <v>-3.6338949999999998E-3</v>
      </c>
      <c r="X569">
        <v>0.99282729999999997</v>
      </c>
      <c r="Y569">
        <v>4.1670489999999998E-2</v>
      </c>
      <c r="Z569" s="1">
        <v>-7.3697680000000003E-5</v>
      </c>
      <c r="AA569">
        <v>0.9991314</v>
      </c>
      <c r="AB569">
        <v>27</v>
      </c>
      <c r="AC569">
        <v>113.70729999999899</v>
      </c>
      <c r="AD569">
        <v>-1.1492230000000001</v>
      </c>
      <c r="AE569">
        <v>-6.2904000000000302</v>
      </c>
      <c r="AF569">
        <v>4.75125403007846</v>
      </c>
      <c r="AG569">
        <v>-1.1492230000000001</v>
      </c>
      <c r="AH569">
        <v>113.77039934456199</v>
      </c>
      <c r="AI569">
        <v>90.578235204866502</v>
      </c>
      <c r="AJ569">
        <v>87.608616023183799</v>
      </c>
      <c r="AK569">
        <v>113.875365621293</v>
      </c>
    </row>
    <row r="570" spans="1:37" x14ac:dyDescent="0.2">
      <c r="A570" t="str">
        <f>"20200111155512286"</f>
        <v>20200111155512286</v>
      </c>
      <c r="B570" t="str">
        <f>"1578729312282922"</f>
        <v>1578729312282922</v>
      </c>
      <c r="C570" t="s">
        <v>37</v>
      </c>
      <c r="D570">
        <v>4.8597159999999997</v>
      </c>
      <c r="E570">
        <v>0.53594390000000003</v>
      </c>
      <c r="F570" t="s">
        <v>39</v>
      </c>
      <c r="G570">
        <v>-293.71899999999999</v>
      </c>
      <c r="H570">
        <v>-0.05</v>
      </c>
      <c r="I570">
        <v>362.38049999999998</v>
      </c>
      <c r="J570">
        <v>-394.12569999999999</v>
      </c>
      <c r="K570">
        <v>1.0996859999999999</v>
      </c>
      <c r="L570">
        <v>367.9255</v>
      </c>
      <c r="M570">
        <v>0.99988889999999997</v>
      </c>
      <c r="N570">
        <v>0</v>
      </c>
      <c r="O570">
        <v>-1.358439E-2</v>
      </c>
      <c r="P570">
        <v>0.99430849999999904</v>
      </c>
      <c r="Q570">
        <v>-1.001E-2</v>
      </c>
      <c r="R570">
        <v>0.106068699999999</v>
      </c>
      <c r="S570">
        <v>3.034637</v>
      </c>
      <c r="T570">
        <v>-3.4677859999999998E-2</v>
      </c>
      <c r="U570">
        <v>-0.16738889999999901</v>
      </c>
      <c r="V570">
        <v>-0.1195671</v>
      </c>
      <c r="W570">
        <v>-3.8650139999999999E-3</v>
      </c>
      <c r="X570">
        <v>0.9928186</v>
      </c>
      <c r="Y570">
        <v>4.1504800000000001E-2</v>
      </c>
      <c r="Z570" s="1">
        <v>-8.1861680000000001E-5</v>
      </c>
      <c r="AA570">
        <v>0.99913830000000003</v>
      </c>
      <c r="AB570">
        <v>27</v>
      </c>
      <c r="AC570">
        <v>100.4067</v>
      </c>
      <c r="AD570">
        <v>-1.149686</v>
      </c>
      <c r="AE570">
        <v>-5.5450000000000097</v>
      </c>
      <c r="AF570">
        <v>4.1799525180915698</v>
      </c>
      <c r="AG570">
        <v>-1.149686</v>
      </c>
      <c r="AH570">
        <v>100.459630644651</v>
      </c>
      <c r="AI570">
        <v>90.655112311444597</v>
      </c>
      <c r="AJ570">
        <v>87.617395445390798</v>
      </c>
      <c r="AK570">
        <v>100.553126108599</v>
      </c>
    </row>
    <row r="571" spans="1:37" x14ac:dyDescent="0.2">
      <c r="A571" t="str">
        <f>"20200111155512300"</f>
        <v>20200111155512300</v>
      </c>
      <c r="B571" t="str">
        <f>"1578729312293658"</f>
        <v>1578729312293658</v>
      </c>
      <c r="C571" t="s">
        <v>37</v>
      </c>
      <c r="D571">
        <v>4.875756</v>
      </c>
      <c r="E571">
        <v>0.53471800000000003</v>
      </c>
      <c r="F571" t="s">
        <v>38</v>
      </c>
      <c r="G571">
        <v>-370.87299999999999</v>
      </c>
      <c r="H571" s="1">
        <v>-4.1490579999999999E-6</v>
      </c>
      <c r="I571">
        <v>368.19959999999998</v>
      </c>
      <c r="J571">
        <v>-393.9615</v>
      </c>
      <c r="K571">
        <v>1.1001299999999901</v>
      </c>
      <c r="L571">
        <v>367.92320000000001</v>
      </c>
      <c r="M571">
        <v>0.99988659999999996</v>
      </c>
      <c r="N571">
        <v>0</v>
      </c>
      <c r="O571">
        <v>-1.364312E-2</v>
      </c>
      <c r="P571">
        <v>0.99432710000000002</v>
      </c>
      <c r="Q571">
        <v>-1.07189E-2</v>
      </c>
      <c r="R571">
        <v>0.1058255</v>
      </c>
      <c r="S571">
        <v>3.0119630000000002</v>
      </c>
      <c r="T571">
        <v>-0.1424443</v>
      </c>
      <c r="U571">
        <v>3.5522459999999999E-2</v>
      </c>
      <c r="V571">
        <v>-0.11938269999999999</v>
      </c>
      <c r="W571">
        <v>-4.3619549999999998E-3</v>
      </c>
      <c r="X571">
        <v>0.99283869999999896</v>
      </c>
      <c r="Y571">
        <v>-2.5390699999999999E-2</v>
      </c>
      <c r="Z571">
        <v>1.2448939999999901E-3</v>
      </c>
      <c r="AA571">
        <v>0.99967680000000003</v>
      </c>
      <c r="AB571">
        <v>27</v>
      </c>
      <c r="AC571">
        <v>23.0884999999999</v>
      </c>
      <c r="AD571">
        <v>-1.1001341490579899</v>
      </c>
      <c r="AE571">
        <v>0.27639999999996601</v>
      </c>
      <c r="AF571">
        <v>-0.59004042495508802</v>
      </c>
      <c r="AG571">
        <v>-1.1001341490579899</v>
      </c>
      <c r="AH571">
        <v>23.030299795516001</v>
      </c>
      <c r="AI571">
        <v>92.733986756175099</v>
      </c>
      <c r="AJ571">
        <v>91.467607128099104</v>
      </c>
      <c r="AK571">
        <v>23.064109597388601</v>
      </c>
    </row>
    <row r="572" spans="1:37" x14ac:dyDescent="0.2">
      <c r="A572" t="str">
        <f>"20200111155512316"</f>
        <v>20200111155512316</v>
      </c>
      <c r="B572" t="str">
        <f>"1578729312313179"</f>
        <v>1578729312313179</v>
      </c>
      <c r="C572" t="s">
        <v>37</v>
      </c>
      <c r="D572">
        <v>4.9191589999999996</v>
      </c>
      <c r="E572">
        <v>0.53349099999999905</v>
      </c>
      <c r="F572" t="s">
        <v>38</v>
      </c>
      <c r="G572">
        <v>-372.00850000000003</v>
      </c>
      <c r="H572" s="1">
        <v>-3.65341299999999E-6</v>
      </c>
      <c r="I572">
        <v>368.24779999999998</v>
      </c>
      <c r="J572">
        <v>-393.77109999999999</v>
      </c>
      <c r="K572">
        <v>1.100573</v>
      </c>
      <c r="L572">
        <v>367.92059999999998</v>
      </c>
      <c r="M572">
        <v>0.99988429999999995</v>
      </c>
      <c r="N572">
        <v>0</v>
      </c>
      <c r="O572">
        <v>-1.3709310000000001E-2</v>
      </c>
      <c r="P572">
        <v>0.99435499999999899</v>
      </c>
      <c r="Q572">
        <v>-1.1663059999999999E-2</v>
      </c>
      <c r="R572">
        <v>0.10546220000000001</v>
      </c>
      <c r="S572">
        <v>3.0106809999999999</v>
      </c>
      <c r="T572">
        <v>-0.15087420000000001</v>
      </c>
      <c r="U572">
        <v>4.4525149999999999E-2</v>
      </c>
      <c r="V572">
        <v>-0.1190855</v>
      </c>
      <c r="W572">
        <v>-5.0825640000000004E-3</v>
      </c>
      <c r="X572">
        <v>0.99287099999999995</v>
      </c>
      <c r="Y572">
        <v>-2.8441279999999999E-2</v>
      </c>
      <c r="Z572">
        <v>1.398715E-3</v>
      </c>
      <c r="AA572">
        <v>0.99959449999999905</v>
      </c>
      <c r="AB572">
        <v>27</v>
      </c>
      <c r="AC572">
        <v>21.7625999999999</v>
      </c>
      <c r="AD572">
        <v>-1.1005766534129999</v>
      </c>
      <c r="AE572">
        <v>0.32720000000000399</v>
      </c>
      <c r="AF572">
        <v>-0.62393060543713896</v>
      </c>
      <c r="AG572">
        <v>-1.1005766534129999</v>
      </c>
      <c r="AH572">
        <v>21.700581815171699</v>
      </c>
      <c r="AI572">
        <v>92.902154169401001</v>
      </c>
      <c r="AJ572">
        <v>91.646902598236096</v>
      </c>
      <c r="AK572">
        <v>21.737428769001198</v>
      </c>
    </row>
    <row r="573" spans="1:37" x14ac:dyDescent="0.2">
      <c r="A573" t="str">
        <f>"20200111155512444"</f>
        <v>20200111155512444</v>
      </c>
      <c r="B573" t="str">
        <f>"1578729312433229"</f>
        <v>1578729312433229</v>
      </c>
      <c r="C573" t="s">
        <v>37</v>
      </c>
      <c r="D573">
        <v>4.9400319999999898</v>
      </c>
      <c r="E573">
        <v>0.53306719999999996</v>
      </c>
      <c r="F573" t="s">
        <v>38</v>
      </c>
      <c r="G573">
        <v>-373.2149</v>
      </c>
      <c r="H573" s="1">
        <v>-3.1294430000000002E-6</v>
      </c>
      <c r="I573">
        <v>368.28399999999999</v>
      </c>
      <c r="J573">
        <v>-392.21120000000002</v>
      </c>
      <c r="K573">
        <v>1.1027610000000001</v>
      </c>
      <c r="L573">
        <v>367.89830000000001</v>
      </c>
      <c r="M573">
        <v>0.99986819999999899</v>
      </c>
      <c r="N573">
        <v>0</v>
      </c>
      <c r="O573">
        <v>-1.419776E-2</v>
      </c>
      <c r="P573">
        <v>0.99427019999999899</v>
      </c>
      <c r="Q573">
        <v>-1.934812E-2</v>
      </c>
      <c r="R573">
        <v>0.10513110000000001</v>
      </c>
      <c r="S573">
        <v>3.0094910000000001</v>
      </c>
      <c r="T573">
        <v>-0.1611271</v>
      </c>
      <c r="U573">
        <v>5.3222659999999998E-2</v>
      </c>
      <c r="V573">
        <v>-0.1192396</v>
      </c>
      <c r="W573">
        <v>-1.149996E-2</v>
      </c>
      <c r="X573">
        <v>0.99279889999999904</v>
      </c>
      <c r="Y573">
        <v>-3.1810499999999998E-2</v>
      </c>
      <c r="Z573">
        <v>1.6104539999999899E-3</v>
      </c>
      <c r="AA573">
        <v>0.99949259999999995</v>
      </c>
      <c r="AB573">
        <v>27</v>
      </c>
      <c r="AC573">
        <v>18.996300000000002</v>
      </c>
      <c r="AD573">
        <v>-1.102764129443</v>
      </c>
      <c r="AE573">
        <v>0.385699999999985</v>
      </c>
      <c r="AF573">
        <v>-0.65317411586186602</v>
      </c>
      <c r="AG573">
        <v>-1.102764129443</v>
      </c>
      <c r="AH573">
        <v>18.9251578289992</v>
      </c>
      <c r="AI573">
        <v>93.332859612193403</v>
      </c>
      <c r="AJ573">
        <v>91.976695328108306</v>
      </c>
      <c r="AK573">
        <v>18.968508744847298</v>
      </c>
    </row>
    <row r="574" spans="1:37" x14ac:dyDescent="0.2">
      <c r="A574" t="str">
        <f>"20200111155512456"</f>
        <v>20200111155512456</v>
      </c>
      <c r="B574" t="str">
        <f>"1578729312453722"</f>
        <v>1578729312453722</v>
      </c>
      <c r="C574" t="s">
        <v>37</v>
      </c>
      <c r="D574">
        <v>4.9249409999999996</v>
      </c>
      <c r="E574">
        <v>0.53285979999999999</v>
      </c>
      <c r="F574" t="s">
        <v>38</v>
      </c>
      <c r="G574">
        <v>-373.97559999999999</v>
      </c>
      <c r="H574" s="1">
        <v>-2.8121589999999999E-6</v>
      </c>
      <c r="I574">
        <v>368.2328</v>
      </c>
      <c r="J574">
        <v>-392.04610000000002</v>
      </c>
      <c r="K574">
        <v>1.1028929999999999</v>
      </c>
      <c r="L574">
        <v>367.89589999999998</v>
      </c>
      <c r="M574">
        <v>0.99986699999999995</v>
      </c>
      <c r="N574">
        <v>0</v>
      </c>
      <c r="O574">
        <v>-1.423803E-2</v>
      </c>
      <c r="P574">
        <v>0.99427119999999902</v>
      </c>
      <c r="Q574">
        <v>-1.9459980000000002E-2</v>
      </c>
      <c r="R574">
        <v>0.10510119999999901</v>
      </c>
      <c r="S574">
        <v>3.0078740000000002</v>
      </c>
      <c r="T574">
        <v>-0.181895</v>
      </c>
      <c r="U574">
        <v>5.52063E-2</v>
      </c>
      <c r="V574">
        <v>-0.11924949999999999</v>
      </c>
      <c r="W574">
        <v>-1.152126E-2</v>
      </c>
      <c r="X574">
        <v>0.9927975</v>
      </c>
      <c r="Y574">
        <v>-3.2499710000000001E-2</v>
      </c>
      <c r="Z574">
        <v>1.8418879999999901E-3</v>
      </c>
      <c r="AA574">
        <v>0.99947009999999903</v>
      </c>
      <c r="AB574">
        <v>27</v>
      </c>
      <c r="AC574">
        <v>18.070499999999999</v>
      </c>
      <c r="AD574">
        <v>-1.102895812159</v>
      </c>
      <c r="AE574">
        <v>0.33690000000001402</v>
      </c>
      <c r="AF574">
        <v>-0.59195801789038704</v>
      </c>
      <c r="AG574">
        <v>-1.102895812159</v>
      </c>
      <c r="AH574">
        <v>17.996855849142001</v>
      </c>
      <c r="AI574">
        <v>93.504963266981093</v>
      </c>
      <c r="AJ574">
        <v>91.883910876490503</v>
      </c>
      <c r="AK574">
        <v>18.040332977032801</v>
      </c>
    </row>
    <row r="575" spans="1:37" x14ac:dyDescent="0.2">
      <c r="A575" t="str">
        <f>"20200111155512472"</f>
        <v>20200111155512472</v>
      </c>
      <c r="B575" t="str">
        <f>"1578729312463482"</f>
        <v>1578729312463482</v>
      </c>
      <c r="C575" t="s">
        <v>37</v>
      </c>
      <c r="D575">
        <v>4.8397940000000004</v>
      </c>
      <c r="E575">
        <v>0.53278169999999903</v>
      </c>
      <c r="F575" t="s">
        <v>38</v>
      </c>
      <c r="G575">
        <v>-373.8399</v>
      </c>
      <c r="H575" s="1">
        <v>-2.8692450000000002E-6</v>
      </c>
      <c r="I575">
        <v>368.23919999999998</v>
      </c>
      <c r="J575">
        <v>-391.86380000000003</v>
      </c>
      <c r="K575">
        <v>1.1030180000000001</v>
      </c>
      <c r="L575">
        <v>367.89330000000001</v>
      </c>
      <c r="M575">
        <v>0.99986569999999997</v>
      </c>
      <c r="N575">
        <v>0</v>
      </c>
      <c r="O575">
        <v>-1.4274820000000001E-2</v>
      </c>
      <c r="P575">
        <v>0.99427330000000003</v>
      </c>
      <c r="Q575">
        <v>-2.0314909999999999E-2</v>
      </c>
      <c r="R575">
        <v>0.1049195</v>
      </c>
      <c r="S575">
        <v>3.0077210000000001</v>
      </c>
      <c r="T575">
        <v>-0.182201</v>
      </c>
      <c r="U575">
        <v>5.673218E-2</v>
      </c>
      <c r="V575">
        <v>-0.1191045</v>
      </c>
      <c r="W575">
        <v>-1.228625E-2</v>
      </c>
      <c r="X575">
        <v>0.99280569999999901</v>
      </c>
      <c r="Y575">
        <v>-3.3042929999999998E-2</v>
      </c>
      <c r="Z575">
        <v>1.8637320000000001E-3</v>
      </c>
      <c r="AA575">
        <v>0.99945219999999901</v>
      </c>
      <c r="AB575">
        <v>27</v>
      </c>
      <c r="AC575">
        <v>18.023900000000001</v>
      </c>
      <c r="AD575">
        <v>-1.1030208692450001</v>
      </c>
      <c r="AE575">
        <v>0.34589999999997101</v>
      </c>
      <c r="AF575">
        <v>-0.600911341824241</v>
      </c>
      <c r="AG575">
        <v>-1.1030208692450001</v>
      </c>
      <c r="AH575">
        <v>17.949925076931098</v>
      </c>
      <c r="AI575">
        <v>93.514433702921195</v>
      </c>
      <c r="AJ575">
        <v>91.917380171676797</v>
      </c>
      <c r="AK575">
        <v>17.9938200431749</v>
      </c>
    </row>
    <row r="576" spans="1:37" x14ac:dyDescent="0.2">
      <c r="A576" t="str">
        <f>"20200111155512484"</f>
        <v>20200111155512484</v>
      </c>
      <c r="B576" t="str">
        <f>"1578729312473243"</f>
        <v>1578729312473243</v>
      </c>
      <c r="C576" t="s">
        <v>37</v>
      </c>
      <c r="D576">
        <v>4.887124</v>
      </c>
      <c r="E576">
        <v>0.53285519999999997</v>
      </c>
      <c r="F576" t="s">
        <v>38</v>
      </c>
      <c r="G576">
        <v>-373.81689999999998</v>
      </c>
      <c r="H576" s="1">
        <v>-2.8797889999999998E-6</v>
      </c>
      <c r="I576">
        <v>368.23540000000003</v>
      </c>
      <c r="J576">
        <v>-391.70599999999899</v>
      </c>
      <c r="K576">
        <v>1.103119</v>
      </c>
      <c r="L576">
        <v>367.890999999999</v>
      </c>
      <c r="M576">
        <v>0.99986459999999999</v>
      </c>
      <c r="N576">
        <v>0</v>
      </c>
      <c r="O576">
        <v>-1.430152E-2</v>
      </c>
      <c r="P576">
        <v>0.99430350000000001</v>
      </c>
      <c r="Q576">
        <v>-2.0641349999999999E-2</v>
      </c>
      <c r="R576">
        <v>0.1045688</v>
      </c>
      <c r="S576">
        <v>3.0074770000000002</v>
      </c>
      <c r="T576">
        <v>-0.18381549999999999</v>
      </c>
      <c r="U576">
        <v>5.7037350000000001E-2</v>
      </c>
      <c r="V576">
        <v>-0.11878030000000001</v>
      </c>
      <c r="W576">
        <v>-1.253961E-2</v>
      </c>
      <c r="X576">
        <v>0.99284139999999999</v>
      </c>
      <c r="Y576">
        <v>-3.3170699999999997E-2</v>
      </c>
      <c r="Z576">
        <v>1.88589799999999E-3</v>
      </c>
      <c r="AA576">
        <v>0.99944789999999994</v>
      </c>
      <c r="AB576">
        <v>27</v>
      </c>
      <c r="AC576">
        <v>17.8890999999999</v>
      </c>
      <c r="AD576">
        <v>-1.1031218797889999</v>
      </c>
      <c r="AE576">
        <v>0.34440000000006399</v>
      </c>
      <c r="AF576">
        <v>-0.59794173637058101</v>
      </c>
      <c r="AG576">
        <v>-1.1031218797889999</v>
      </c>
      <c r="AH576">
        <v>17.814629564161699</v>
      </c>
      <c r="AI576">
        <v>93.541369962434402</v>
      </c>
      <c r="AJ576">
        <v>91.922390865458993</v>
      </c>
      <c r="AK576">
        <v>17.858763638899202</v>
      </c>
    </row>
    <row r="577" spans="1:37" x14ac:dyDescent="0.2">
      <c r="A577" t="str">
        <f>"20200111155512498"</f>
        <v>20200111155512498</v>
      </c>
      <c r="B577" t="str">
        <f>"1578729312493739"</f>
        <v>1578729312493739</v>
      </c>
      <c r="C577" t="s">
        <v>37</v>
      </c>
      <c r="D577">
        <v>4.834568</v>
      </c>
      <c r="E577">
        <v>0.53265830000000003</v>
      </c>
      <c r="F577" t="s">
        <v>38</v>
      </c>
      <c r="G577">
        <v>-373.55489999999998</v>
      </c>
      <c r="H577" s="1">
        <v>-2.9941770000000001E-6</v>
      </c>
      <c r="I577">
        <v>368.2242</v>
      </c>
      <c r="J577">
        <v>-391.53530000000001</v>
      </c>
      <c r="K577">
        <v>1.103226</v>
      </c>
      <c r="L577">
        <v>367.88850000000002</v>
      </c>
      <c r="M577">
        <v>0.99986359999999996</v>
      </c>
      <c r="N577">
        <v>0</v>
      </c>
      <c r="O577">
        <v>-1.432572E-2</v>
      </c>
      <c r="P577">
        <v>0.99432019999999899</v>
      </c>
      <c r="Q577">
        <v>-2.105539E-2</v>
      </c>
      <c r="R577">
        <v>0.10432809999999999</v>
      </c>
      <c r="S577">
        <v>3.0076290000000001</v>
      </c>
      <c r="T577">
        <v>-0.18278659999999999</v>
      </c>
      <c r="U577">
        <v>5.5236819999999999E-2</v>
      </c>
      <c r="V577">
        <v>-0.118563899999999</v>
      </c>
      <c r="W577">
        <v>-1.2879420000000001E-2</v>
      </c>
      <c r="X577">
        <v>0.99286289999999999</v>
      </c>
      <c r="Y577">
        <v>-3.259782E-2</v>
      </c>
      <c r="Z577">
        <v>1.859355E-3</v>
      </c>
      <c r="AA577">
        <v>0.99946679999999999</v>
      </c>
      <c r="AB577">
        <v>27</v>
      </c>
      <c r="AC577">
        <v>17.980399999999999</v>
      </c>
      <c r="AD577">
        <v>-1.1032289941769999</v>
      </c>
      <c r="AE577">
        <v>0.33569999999997402</v>
      </c>
      <c r="AF577">
        <v>-0.59103213060278204</v>
      </c>
      <c r="AG577">
        <v>-1.1032289941769999</v>
      </c>
      <c r="AH577">
        <v>17.9063565279044</v>
      </c>
      <c r="AI577">
        <v>93.523681221620095</v>
      </c>
      <c r="AJ577">
        <v>91.890465937301897</v>
      </c>
      <c r="AK577">
        <v>17.9500428216042</v>
      </c>
    </row>
    <row r="578" spans="1:37" x14ac:dyDescent="0.2">
      <c r="A578" t="str">
        <f>"20200111155512512"</f>
        <v>20200111155512512</v>
      </c>
      <c r="B578" t="str">
        <f>"1578729312503498"</f>
        <v>1578729312503498</v>
      </c>
      <c r="C578" t="s">
        <v>37</v>
      </c>
      <c r="D578">
        <v>4.9750579999999998</v>
      </c>
      <c r="E578">
        <v>0.53224950000000004</v>
      </c>
      <c r="F578" t="s">
        <v>38</v>
      </c>
      <c r="G578">
        <v>-372.96749999999997</v>
      </c>
      <c r="H578" s="1">
        <v>-3.2443489999999999E-6</v>
      </c>
      <c r="I578">
        <v>368.23450000000003</v>
      </c>
      <c r="J578">
        <v>-391.36619999999999</v>
      </c>
      <c r="K578">
        <v>1.103313</v>
      </c>
      <c r="L578">
        <v>367.8861</v>
      </c>
      <c r="M578">
        <v>0.99986280000000005</v>
      </c>
      <c r="N578">
        <v>0</v>
      </c>
      <c r="O578">
        <v>-1.4341660000000001E-2</v>
      </c>
      <c r="P578">
        <v>0.99436009999999997</v>
      </c>
      <c r="Q578">
        <v>-2.1208500000000002E-2</v>
      </c>
      <c r="R578">
        <v>0.10391589999999901</v>
      </c>
      <c r="S578">
        <v>3.0074770000000002</v>
      </c>
      <c r="T578">
        <v>-0.1786925</v>
      </c>
      <c r="U578">
        <v>5.6060789999999999E-2</v>
      </c>
      <c r="V578">
        <v>-0.118168</v>
      </c>
      <c r="W578">
        <v>-1.296606E-2</v>
      </c>
      <c r="X578">
        <v>0.99290900000000004</v>
      </c>
      <c r="Y578">
        <v>-3.2891699999999899E-2</v>
      </c>
      <c r="Z578">
        <v>1.8275379999999901E-3</v>
      </c>
      <c r="AA578">
        <v>0.99945720000000005</v>
      </c>
      <c r="AB578">
        <v>28</v>
      </c>
      <c r="AC578">
        <v>18.398700000000002</v>
      </c>
      <c r="AD578">
        <v>-1.1033162443490001</v>
      </c>
      <c r="AE578">
        <v>0.34840000000002602</v>
      </c>
      <c r="AF578">
        <v>-0.61004815213900498</v>
      </c>
      <c r="AG578">
        <v>-1.1033162443490001</v>
      </c>
      <c r="AH578">
        <v>18.325933459799799</v>
      </c>
      <c r="AI578">
        <v>93.443441584138199</v>
      </c>
      <c r="AJ578">
        <v>91.906603121908205</v>
      </c>
      <c r="AK578">
        <v>18.369248832110198</v>
      </c>
    </row>
    <row r="579" spans="1:37" x14ac:dyDescent="0.2">
      <c r="A579" t="str">
        <f>"20200111155512528"</f>
        <v>20200111155512528</v>
      </c>
      <c r="B579" t="str">
        <f>"1578729312523019"</f>
        <v>1578729312523019</v>
      </c>
      <c r="C579" t="s">
        <v>37</v>
      </c>
      <c r="D579">
        <v>4.7680850000000001</v>
      </c>
      <c r="E579">
        <v>0.53239579999999997</v>
      </c>
      <c r="F579" t="s">
        <v>38</v>
      </c>
      <c r="G579">
        <v>-372.4982</v>
      </c>
      <c r="H579" s="1">
        <v>-3.4430049999999998E-6</v>
      </c>
      <c r="I579">
        <v>368.24959999999999</v>
      </c>
      <c r="J579">
        <v>-391.16739999999999</v>
      </c>
      <c r="K579">
        <v>1.1034079999999999</v>
      </c>
      <c r="L579">
        <v>367.88319999999999</v>
      </c>
      <c r="M579">
        <v>0.99986209999999898</v>
      </c>
      <c r="N579">
        <v>0</v>
      </c>
      <c r="O579">
        <v>-1.4355710000000001E-2</v>
      </c>
      <c r="P579">
        <v>0.99444750000000004</v>
      </c>
      <c r="Q579">
        <v>-2.174129E-2</v>
      </c>
      <c r="R579">
        <v>0.1029655</v>
      </c>
      <c r="S579">
        <v>3.0072329999999998</v>
      </c>
      <c r="T579">
        <v>-0.17584839999999999</v>
      </c>
      <c r="U579">
        <v>5.7952879999999998E-2</v>
      </c>
      <c r="V579">
        <v>-0.11723219999999999</v>
      </c>
      <c r="W579">
        <v>-1.3425029999999999E-2</v>
      </c>
      <c r="X579">
        <v>0.99301379999999995</v>
      </c>
      <c r="Y579">
        <v>-3.3537369999999997E-2</v>
      </c>
      <c r="Z579">
        <v>1.8183189999999899E-3</v>
      </c>
      <c r="AA579">
        <v>0.99943579999999999</v>
      </c>
      <c r="AB579">
        <v>28</v>
      </c>
      <c r="AC579">
        <v>18.669199999999901</v>
      </c>
      <c r="AD579">
        <v>-1.1034114430049999</v>
      </c>
      <c r="AE579">
        <v>0.36639999999999801</v>
      </c>
      <c r="AF579">
        <v>-0.63217374186321496</v>
      </c>
      <c r="AG579">
        <v>-1.1034114430049999</v>
      </c>
      <c r="AH579">
        <v>18.597077603526301</v>
      </c>
      <c r="AI579">
        <v>93.393566590897393</v>
      </c>
      <c r="AJ579">
        <v>91.946915867690095</v>
      </c>
      <c r="AK579">
        <v>18.640505782945699</v>
      </c>
    </row>
    <row r="580" spans="1:37" x14ac:dyDescent="0.2">
      <c r="A580" t="str">
        <f>"20200111155512541"</f>
        <v>20200111155512541</v>
      </c>
      <c r="B580" t="str">
        <f>"1578729312533755"</f>
        <v>1578729312533755</v>
      </c>
      <c r="C580" t="s">
        <v>37</v>
      </c>
      <c r="D580">
        <v>4.7787379999999997</v>
      </c>
      <c r="E580">
        <v>0.53242819999999902</v>
      </c>
      <c r="F580" t="s">
        <v>38</v>
      </c>
      <c r="G580">
        <v>-372.24099999999999</v>
      </c>
      <c r="H580" s="1">
        <v>-3.558166E-6</v>
      </c>
      <c r="I580">
        <v>368.22230000000002</v>
      </c>
      <c r="J580">
        <v>-391.01319999999998</v>
      </c>
      <c r="K580">
        <v>1.1034709999999901</v>
      </c>
      <c r="L580">
        <v>367.88099999999997</v>
      </c>
      <c r="M580">
        <v>0.99986149999999996</v>
      </c>
      <c r="N580">
        <v>0</v>
      </c>
      <c r="O580">
        <v>-1.4363509999999999E-2</v>
      </c>
      <c r="P580">
        <v>0.99447379999999996</v>
      </c>
      <c r="Q580">
        <v>-2.1932529999999999E-2</v>
      </c>
      <c r="R580">
        <v>0.10266939999999999</v>
      </c>
      <c r="S580">
        <v>3.0072939999999999</v>
      </c>
      <c r="T580">
        <v>-0.17532519999999999</v>
      </c>
      <c r="U580">
        <v>5.3894039999999997E-2</v>
      </c>
      <c r="V580">
        <v>-0.11694449999999899</v>
      </c>
      <c r="W580">
        <v>-1.356256E-2</v>
      </c>
      <c r="X580">
        <v>0.99304579999999998</v>
      </c>
      <c r="Y580">
        <v>-3.2199060000000002E-2</v>
      </c>
      <c r="Z580">
        <v>1.774381E-3</v>
      </c>
      <c r="AA580">
        <v>0.99947989999999998</v>
      </c>
      <c r="AB580">
        <v>28</v>
      </c>
      <c r="AC580">
        <v>18.772200000000002</v>
      </c>
      <c r="AD580">
        <v>-1.1034745581659999</v>
      </c>
      <c r="AE580">
        <v>0.34130000000004601</v>
      </c>
      <c r="AF580">
        <v>-0.60880604557116302</v>
      </c>
      <c r="AG580">
        <v>-1.1034745581659999</v>
      </c>
      <c r="AH580">
        <v>18.700764204751</v>
      </c>
      <c r="AI580">
        <v>93.375148066950402</v>
      </c>
      <c r="AJ580">
        <v>91.8646137299082</v>
      </c>
      <c r="AK580">
        <v>18.7431823003283</v>
      </c>
    </row>
    <row r="581" spans="1:37" x14ac:dyDescent="0.2">
      <c r="A581" t="str">
        <f>"20200111155512552"</f>
        <v>20200111155512552</v>
      </c>
      <c r="B581" t="str">
        <f>"1578729312543515"</f>
        <v>1578729312543515</v>
      </c>
      <c r="C581" t="s">
        <v>37</v>
      </c>
      <c r="D581">
        <v>4.738569</v>
      </c>
      <c r="E581">
        <v>0.53246000000000004</v>
      </c>
      <c r="F581" t="s">
        <v>38</v>
      </c>
      <c r="G581">
        <v>-372.08019999999999</v>
      </c>
      <c r="H581" s="1">
        <v>-3.6289379999999999E-6</v>
      </c>
      <c r="I581">
        <v>368.21230000000003</v>
      </c>
      <c r="J581">
        <v>-390.86880000000002</v>
      </c>
      <c r="K581">
        <v>1.1035239999999999</v>
      </c>
      <c r="L581">
        <v>367.87889999999999</v>
      </c>
      <c r="M581">
        <v>0.99986109999999995</v>
      </c>
      <c r="N581">
        <v>0</v>
      </c>
      <c r="O581">
        <v>-1.436701E-2</v>
      </c>
      <c r="P581">
        <v>0.99450620000000001</v>
      </c>
      <c r="Q581">
        <v>-2.2398660000000001E-2</v>
      </c>
      <c r="R581">
        <v>0.1022549</v>
      </c>
      <c r="S581">
        <v>3.007355</v>
      </c>
      <c r="T581">
        <v>-0.17527719999999999</v>
      </c>
      <c r="U581">
        <v>5.264282E-2</v>
      </c>
      <c r="V581">
        <v>-0.11653379999999899</v>
      </c>
      <c r="W581">
        <v>-1.3981820000000001E-2</v>
      </c>
      <c r="X581">
        <v>0.99308830000000003</v>
      </c>
      <c r="Y581">
        <v>-3.178723E-2</v>
      </c>
      <c r="Z581">
        <v>1.762081E-3</v>
      </c>
      <c r="AA581">
        <v>0.99949310000000002</v>
      </c>
      <c r="AB581">
        <v>28</v>
      </c>
      <c r="AC581">
        <v>18.788599999999999</v>
      </c>
      <c r="AD581">
        <v>-1.103527628938</v>
      </c>
      <c r="AE581">
        <v>0.33340000000004</v>
      </c>
      <c r="AF581">
        <v>-0.60123780500688095</v>
      </c>
      <c r="AG581">
        <v>-1.103527628938</v>
      </c>
      <c r="AH581">
        <v>18.717322278181999</v>
      </c>
      <c r="AI581">
        <v>93.372378059456906</v>
      </c>
      <c r="AJ581">
        <v>91.839822348381603</v>
      </c>
      <c r="AK581">
        <v>18.759461969665502</v>
      </c>
    </row>
    <row r="582" spans="1:37" x14ac:dyDescent="0.2">
      <c r="A582" t="str">
        <f>"20200111155512564"</f>
        <v>20200111155512564</v>
      </c>
      <c r="B582" t="str">
        <f>"1578729312553275"</f>
        <v>1578729312553275</v>
      </c>
      <c r="C582" t="s">
        <v>37</v>
      </c>
      <c r="D582">
        <v>4.7452740000000002</v>
      </c>
      <c r="E582">
        <v>0.53256829999999999</v>
      </c>
      <c r="F582" t="s">
        <v>38</v>
      </c>
      <c r="G582">
        <v>-372.04450000000003</v>
      </c>
      <c r="H582" s="1">
        <v>-3.646846E-6</v>
      </c>
      <c r="I582">
        <v>368.19760000000002</v>
      </c>
      <c r="J582">
        <v>-390.72120000000001</v>
      </c>
      <c r="K582">
        <v>1.1035729999999999</v>
      </c>
      <c r="L582">
        <v>367.8768</v>
      </c>
      <c r="M582">
        <v>0.99986059999999999</v>
      </c>
      <c r="N582">
        <v>0</v>
      </c>
      <c r="O582">
        <v>-1.436896E-2</v>
      </c>
      <c r="P582">
        <v>0.9945389</v>
      </c>
      <c r="Q582">
        <v>-2.2581839999999999E-2</v>
      </c>
      <c r="R582">
        <v>0.1018951</v>
      </c>
      <c r="S582">
        <v>3.0073240000000001</v>
      </c>
      <c r="T582">
        <v>-0.1762967</v>
      </c>
      <c r="U582">
        <v>5.0933840000000001E-2</v>
      </c>
      <c r="V582">
        <v>-0.1161765</v>
      </c>
      <c r="W582">
        <v>-1.411944E-2</v>
      </c>
      <c r="X582">
        <v>0.99312819999999902</v>
      </c>
      <c r="Y582">
        <v>-3.122159E-2</v>
      </c>
      <c r="Z582">
        <v>1.7558879999999999E-3</v>
      </c>
      <c r="AA582">
        <v>0.99951089999999998</v>
      </c>
      <c r="AB582">
        <v>28</v>
      </c>
      <c r="AC582">
        <v>18.676699999999901</v>
      </c>
      <c r="AD582">
        <v>-1.103576646846</v>
      </c>
      <c r="AE582">
        <v>0.32080000000001901</v>
      </c>
      <c r="AF582">
        <v>-0.58709214449472702</v>
      </c>
      <c r="AG582">
        <v>-1.103576646846</v>
      </c>
      <c r="AH582">
        <v>18.605222093334799</v>
      </c>
      <c r="AI582">
        <v>93.392861357400704</v>
      </c>
      <c r="AJ582">
        <v>91.807382022853801</v>
      </c>
      <c r="AK582">
        <v>18.647167284708502</v>
      </c>
    </row>
    <row r="583" spans="1:37" x14ac:dyDescent="0.2">
      <c r="A583" t="str">
        <f>"20200111155512601"</f>
        <v>20200111155512601</v>
      </c>
      <c r="B583" t="str">
        <f>"1578729312593290"</f>
        <v>1578729312593290</v>
      </c>
      <c r="C583" t="s">
        <v>37</v>
      </c>
      <c r="D583">
        <v>4.6622789999999998</v>
      </c>
      <c r="E583">
        <v>0.53253569999999995</v>
      </c>
      <c r="F583" t="s">
        <v>38</v>
      </c>
      <c r="G583">
        <v>-371.9443</v>
      </c>
      <c r="H583" s="1">
        <v>-3.6923289999999902E-6</v>
      </c>
      <c r="I583">
        <v>368.18360000000001</v>
      </c>
      <c r="J583">
        <v>-390.27010000000001</v>
      </c>
      <c r="K583">
        <v>1.1036950000000001</v>
      </c>
      <c r="L583">
        <v>367.87029999999999</v>
      </c>
      <c r="M583">
        <v>0.99985959999999996</v>
      </c>
      <c r="N583">
        <v>0</v>
      </c>
      <c r="O583">
        <v>-1.435845E-2</v>
      </c>
      <c r="P583">
        <v>0.99456909999999898</v>
      </c>
      <c r="Q583">
        <v>-2.224288E-2</v>
      </c>
      <c r="R583">
        <v>0.101675</v>
      </c>
      <c r="S583">
        <v>3.0074160000000001</v>
      </c>
      <c r="T583">
        <v>-0.17675450000000001</v>
      </c>
      <c r="U583">
        <v>4.9163819999999997E-2</v>
      </c>
      <c r="V583">
        <v>-0.1159461</v>
      </c>
      <c r="W583">
        <v>-1.365712E-2</v>
      </c>
      <c r="X583">
        <v>0.99316159999999998</v>
      </c>
      <c r="Y583">
        <v>-3.0623129999999998E-2</v>
      </c>
      <c r="Z583">
        <v>1.7422079999999901E-3</v>
      </c>
      <c r="AA583">
        <v>0.99952949999999996</v>
      </c>
      <c r="AB583">
        <v>28</v>
      </c>
      <c r="AC583">
        <v>18.325800000000001</v>
      </c>
      <c r="AD583">
        <v>-1.103698692329</v>
      </c>
      <c r="AE583">
        <v>0.313300000000026</v>
      </c>
      <c r="AF583">
        <v>-0.57432499993762998</v>
      </c>
      <c r="AG583">
        <v>-1.103698692329</v>
      </c>
      <c r="AH583">
        <v>18.2532227183274</v>
      </c>
      <c r="AI583">
        <v>93.458524181697697</v>
      </c>
      <c r="AJ583">
        <v>91.802177422508194</v>
      </c>
      <c r="AK583">
        <v>18.295577050584299</v>
      </c>
    </row>
    <row r="584" spans="1:37" x14ac:dyDescent="0.2">
      <c r="A584" t="str">
        <f>"20200111155512617"</f>
        <v>20200111155512617</v>
      </c>
      <c r="B584" t="str">
        <f>"1578729312612810"</f>
        <v>1578729312612810</v>
      </c>
      <c r="C584" t="s">
        <v>37</v>
      </c>
      <c r="D584">
        <v>4.6222510000000003</v>
      </c>
      <c r="E584">
        <v>0.53252379999999999</v>
      </c>
      <c r="F584" t="s">
        <v>38</v>
      </c>
      <c r="G584">
        <v>-371.17619999999999</v>
      </c>
      <c r="H584" s="1">
        <v>-4.0223429999999997E-6</v>
      </c>
      <c r="I584">
        <v>368.18079999999998</v>
      </c>
      <c r="J584">
        <v>-390.06760000000003</v>
      </c>
      <c r="K584">
        <v>1.1037410000000001</v>
      </c>
      <c r="L584">
        <v>367.86739999999998</v>
      </c>
      <c r="M584">
        <v>0.99985949999999901</v>
      </c>
      <c r="N584">
        <v>0</v>
      </c>
      <c r="O584">
        <v>-1.4342519999999999E-2</v>
      </c>
      <c r="P584">
        <v>0.9945832</v>
      </c>
      <c r="Q584">
        <v>-2.225369E-2</v>
      </c>
      <c r="R584">
        <v>0.101534</v>
      </c>
      <c r="S584">
        <v>3.0075069999999999</v>
      </c>
      <c r="T584">
        <v>-0.17384449999999901</v>
      </c>
      <c r="U584">
        <v>4.891968E-2</v>
      </c>
      <c r="V584">
        <v>-0.115789</v>
      </c>
      <c r="W584">
        <v>-1.361966E-2</v>
      </c>
      <c r="X584">
        <v>0.99318050000000002</v>
      </c>
      <c r="Y584">
        <v>-3.0528309999999999E-2</v>
      </c>
      <c r="Z584">
        <v>1.709864E-3</v>
      </c>
      <c r="AA584">
        <v>0.99953250000000005</v>
      </c>
      <c r="AB584">
        <v>28</v>
      </c>
      <c r="AC584">
        <v>18.891400000000001</v>
      </c>
      <c r="AD584">
        <v>-1.1037450223430001</v>
      </c>
      <c r="AE584">
        <v>0.31340000000000101</v>
      </c>
      <c r="AF584">
        <v>-0.58234092545211302</v>
      </c>
      <c r="AG584">
        <v>-1.1037450223430001</v>
      </c>
      <c r="AH584">
        <v>18.820733308331</v>
      </c>
      <c r="AI584">
        <v>93.354674519997801</v>
      </c>
      <c r="AJ584">
        <v>91.772249519896803</v>
      </c>
      <c r="AK584">
        <v>18.862061825026501</v>
      </c>
    </row>
    <row r="585" spans="1:37" x14ac:dyDescent="0.2">
      <c r="A585" t="str">
        <f>"20200111155512630"</f>
        <v>20200111155512630</v>
      </c>
      <c r="B585" t="str">
        <f>"1578729312623547"</f>
        <v>1578729312623547</v>
      </c>
      <c r="C585" t="s">
        <v>37</v>
      </c>
      <c r="D585">
        <v>4.6184370000000001</v>
      </c>
      <c r="E585">
        <v>0.53251719999999902</v>
      </c>
      <c r="F585" t="s">
        <v>38</v>
      </c>
      <c r="G585">
        <v>-370.77879999999999</v>
      </c>
      <c r="H585" s="1">
        <v>-4.1936080000000002E-6</v>
      </c>
      <c r="I585">
        <v>368.1764</v>
      </c>
      <c r="J585">
        <v>-389.91609999999997</v>
      </c>
      <c r="K585">
        <v>1.103774</v>
      </c>
      <c r="L585">
        <v>367.86529999999999</v>
      </c>
      <c r="M585">
        <v>0.99985930000000001</v>
      </c>
      <c r="N585">
        <v>0</v>
      </c>
      <c r="O585">
        <v>-1.432568E-2</v>
      </c>
      <c r="P585">
        <v>0.99457139999999999</v>
      </c>
      <c r="Q585">
        <v>-2.2369710000000001E-2</v>
      </c>
      <c r="R585">
        <v>0.101622899999999</v>
      </c>
      <c r="S585">
        <v>3.007568</v>
      </c>
      <c r="T585">
        <v>-0.1720989</v>
      </c>
      <c r="U585">
        <v>4.8187260000000003E-2</v>
      </c>
      <c r="V585">
        <v>-0.1158608</v>
      </c>
      <c r="W585">
        <v>-1.3703450000000001E-2</v>
      </c>
      <c r="X585">
        <v>0.99317089999999997</v>
      </c>
      <c r="Y585">
        <v>-3.0269750000000002E-2</v>
      </c>
      <c r="Z585">
        <v>1.6843379999999901E-3</v>
      </c>
      <c r="AA585">
        <v>0.99954030000000005</v>
      </c>
      <c r="AB585">
        <v>28</v>
      </c>
      <c r="AC585">
        <v>19.1372999999999</v>
      </c>
      <c r="AD585">
        <v>-1.103778193608</v>
      </c>
      <c r="AE585">
        <v>0.31110000000000998</v>
      </c>
      <c r="AF585">
        <v>-0.58329346972949903</v>
      </c>
      <c r="AG585">
        <v>-1.103778193608</v>
      </c>
      <c r="AH585">
        <v>19.067465810565398</v>
      </c>
      <c r="AI585">
        <v>93.311497235008204</v>
      </c>
      <c r="AJ585">
        <v>91.752190626570894</v>
      </c>
      <c r="AK585">
        <v>19.108291655969499</v>
      </c>
    </row>
    <row r="586" spans="1:37" x14ac:dyDescent="0.2">
      <c r="A586" t="str">
        <f>"20200111155512642"</f>
        <v>20200111155512642</v>
      </c>
      <c r="B586" t="str">
        <f>"1578729312633307"</f>
        <v>1578729312633307</v>
      </c>
      <c r="C586" t="s">
        <v>37</v>
      </c>
      <c r="D586">
        <v>4.620457</v>
      </c>
      <c r="E586">
        <v>0.53254639999999998</v>
      </c>
      <c r="F586" t="s">
        <v>38</v>
      </c>
      <c r="G586">
        <v>-370.6096</v>
      </c>
      <c r="H586" s="1">
        <v>-4.2658870000000004E-6</v>
      </c>
      <c r="I586">
        <v>368.17809999999997</v>
      </c>
      <c r="J586">
        <v>-389.7636</v>
      </c>
      <c r="K586">
        <v>1.103804</v>
      </c>
      <c r="L586">
        <v>367.86309999999997</v>
      </c>
      <c r="M586">
        <v>0.99985930000000001</v>
      </c>
      <c r="N586">
        <v>0</v>
      </c>
      <c r="O586">
        <v>-1.43067E-2</v>
      </c>
      <c r="P586">
        <v>0.99456160000000005</v>
      </c>
      <c r="Q586">
        <v>-2.2463009999999999E-2</v>
      </c>
      <c r="R586">
        <v>0.1017</v>
      </c>
      <c r="S586">
        <v>3.0075069999999999</v>
      </c>
      <c r="T586">
        <v>-0.1719424</v>
      </c>
      <c r="U586">
        <v>4.873657E-2</v>
      </c>
      <c r="V586">
        <v>-0.11591899999999999</v>
      </c>
      <c r="W586">
        <v>-1.37655E-2</v>
      </c>
      <c r="X586">
        <v>0.99316329999999997</v>
      </c>
      <c r="Y586">
        <v>-3.043351E-2</v>
      </c>
      <c r="Z586">
        <v>1.686433E-3</v>
      </c>
      <c r="AA586">
        <v>0.99953539999999996</v>
      </c>
      <c r="AB586">
        <v>28</v>
      </c>
      <c r="AC586">
        <v>19.154</v>
      </c>
      <c r="AD586">
        <v>-1.1038082658870001</v>
      </c>
      <c r="AE586">
        <v>0.314999999999997</v>
      </c>
      <c r="AF586">
        <v>-0.58705970416822695</v>
      </c>
      <c r="AG586">
        <v>-1.1038082658870001</v>
      </c>
      <c r="AH586">
        <v>19.0841714144759</v>
      </c>
      <c r="AI586">
        <v>93.308677595263802</v>
      </c>
      <c r="AJ586">
        <v>91.761954396544198</v>
      </c>
      <c r="AK586">
        <v>19.125078571373201</v>
      </c>
    </row>
    <row r="587" spans="1:37" x14ac:dyDescent="0.2">
      <c r="A587" t="str">
        <f>"20200111155512654"</f>
        <v>20200111155512654</v>
      </c>
      <c r="B587" t="str">
        <f>"1578729312643066"</f>
        <v>1578729312643066</v>
      </c>
      <c r="C587" t="s">
        <v>37</v>
      </c>
      <c r="D587">
        <v>4.567723</v>
      </c>
      <c r="E587">
        <v>0.5325339</v>
      </c>
      <c r="F587" t="s">
        <v>38</v>
      </c>
      <c r="G587">
        <v>-370.37599999999998</v>
      </c>
      <c r="H587" s="1">
        <v>-4.366498E-6</v>
      </c>
      <c r="I587">
        <v>368.17579999999998</v>
      </c>
      <c r="J587">
        <v>-389.60520000000002</v>
      </c>
      <c r="K587">
        <v>1.1038330000000001</v>
      </c>
      <c r="L587">
        <v>367.86079999999998</v>
      </c>
      <c r="M587">
        <v>0.99985949999999901</v>
      </c>
      <c r="N587">
        <v>0</v>
      </c>
      <c r="O587">
        <v>-1.428281E-2</v>
      </c>
      <c r="P587">
        <v>0.99453630000000004</v>
      </c>
      <c r="Q587">
        <v>-2.2468399999999999E-2</v>
      </c>
      <c r="R587">
        <v>0.1019457</v>
      </c>
      <c r="S587">
        <v>3.007568</v>
      </c>
      <c r="T587">
        <v>-0.17123169999999999</v>
      </c>
      <c r="U587">
        <v>4.8522950000000002E-2</v>
      </c>
      <c r="V587">
        <v>-0.1161406</v>
      </c>
      <c r="W587">
        <v>-1.3741099999999999E-2</v>
      </c>
      <c r="X587">
        <v>0.99313770000000001</v>
      </c>
      <c r="Y587">
        <v>-3.0339120000000001E-2</v>
      </c>
      <c r="Z587">
        <v>1.6753989999999999E-3</v>
      </c>
      <c r="AA587">
        <v>0.99953819999999904</v>
      </c>
      <c r="AB587">
        <v>28</v>
      </c>
      <c r="AC587">
        <v>19.229199999999999</v>
      </c>
      <c r="AD587">
        <v>-1.1038373664979999</v>
      </c>
      <c r="AE587">
        <v>0.314999999999997</v>
      </c>
      <c r="AF587">
        <v>-0.58768938698851203</v>
      </c>
      <c r="AG587">
        <v>-1.1038373664979999</v>
      </c>
      <c r="AH587">
        <v>19.159620413652299</v>
      </c>
      <c r="AI587">
        <v>93.295772676917906</v>
      </c>
      <c r="AJ587">
        <v>91.756901577095405</v>
      </c>
      <c r="AK587">
        <v>19.200387760211999</v>
      </c>
    </row>
    <row r="588" spans="1:37" x14ac:dyDescent="0.2">
      <c r="A588" t="str">
        <f>"20200111155512667"</f>
        <v>20200111155512667</v>
      </c>
      <c r="B588" t="str">
        <f>"1578729312663562"</f>
        <v>1578729312663562</v>
      </c>
      <c r="C588" t="s">
        <v>37</v>
      </c>
      <c r="D588">
        <v>4.7857379999999896</v>
      </c>
      <c r="E588">
        <v>0.53253339999999905</v>
      </c>
      <c r="F588" t="s">
        <v>38</v>
      </c>
      <c r="G588">
        <v>-370.1044</v>
      </c>
      <c r="H588" s="1">
        <v>-4.4822190000000004E-6</v>
      </c>
      <c r="I588">
        <v>368.18029999999999</v>
      </c>
      <c r="J588">
        <v>-389.4495</v>
      </c>
      <c r="K588">
        <v>1.103858</v>
      </c>
      <c r="L588">
        <v>367.85860000000002</v>
      </c>
      <c r="M588">
        <v>0.99985959999999996</v>
      </c>
      <c r="N588">
        <v>0</v>
      </c>
      <c r="O588">
        <v>-1.4256049999999999E-2</v>
      </c>
      <c r="P588">
        <v>0.99449519999999902</v>
      </c>
      <c r="Q588">
        <v>-2.2813090000000001E-2</v>
      </c>
      <c r="R588">
        <v>0.1022705</v>
      </c>
      <c r="S588">
        <v>3.0075989999999999</v>
      </c>
      <c r="T588">
        <v>-0.17024410000000001</v>
      </c>
      <c r="U588">
        <v>4.9285889999999999E-2</v>
      </c>
      <c r="V588">
        <v>-0.116438</v>
      </c>
      <c r="W588">
        <v>-1.4058350000000001E-2</v>
      </c>
      <c r="X588">
        <v>0.99309840000000005</v>
      </c>
      <c r="Y588">
        <v>-3.0566220000000002E-2</v>
      </c>
      <c r="Z588">
        <v>1.670639E-3</v>
      </c>
      <c r="AA588">
        <v>0.99953130000000001</v>
      </c>
      <c r="AB588">
        <v>28</v>
      </c>
      <c r="AC588">
        <v>19.345099999999999</v>
      </c>
      <c r="AD588">
        <v>-1.103862482219</v>
      </c>
      <c r="AE588">
        <v>0.32169999999996401</v>
      </c>
      <c r="AF588">
        <v>-0.59552420507484405</v>
      </c>
      <c r="AG588">
        <v>-1.103862482219</v>
      </c>
      <c r="AH588">
        <v>19.275802418141001</v>
      </c>
      <c r="AI588">
        <v>93.276003397198494</v>
      </c>
      <c r="AJ588">
        <v>91.769585146192895</v>
      </c>
      <c r="AK588">
        <v>19.3165659557203</v>
      </c>
    </row>
    <row r="589" spans="1:37" x14ac:dyDescent="0.2">
      <c r="A589" t="str">
        <f>"20200111155512684"</f>
        <v>20200111155512684</v>
      </c>
      <c r="B589" t="str">
        <f>"1578729312673323"</f>
        <v>1578729312673323</v>
      </c>
      <c r="C589" t="s">
        <v>37</v>
      </c>
      <c r="D589">
        <v>4.5616959999999898</v>
      </c>
      <c r="E589">
        <v>0.53265569999999995</v>
      </c>
      <c r="F589" t="s">
        <v>38</v>
      </c>
      <c r="G589">
        <v>-369.95699999999999</v>
      </c>
      <c r="H589" s="1">
        <v>-3.8144489999999999E-7</v>
      </c>
      <c r="I589">
        <v>368.18529999999998</v>
      </c>
      <c r="J589">
        <v>-389.23520000000002</v>
      </c>
      <c r="K589">
        <v>1.1038889999999999</v>
      </c>
      <c r="L589">
        <v>367.85570000000001</v>
      </c>
      <c r="M589">
        <v>0.99985990000000002</v>
      </c>
      <c r="N589">
        <v>0</v>
      </c>
      <c r="O589">
        <v>-1.421597E-2</v>
      </c>
      <c r="P589">
        <v>0.9944056</v>
      </c>
      <c r="Q589">
        <v>-2.253521E-2</v>
      </c>
      <c r="R589">
        <v>0.1031989</v>
      </c>
      <c r="S589">
        <v>3.0074459999999998</v>
      </c>
      <c r="T589">
        <v>-0.1703105</v>
      </c>
      <c r="U589">
        <v>5.0415040000000001E-2</v>
      </c>
      <c r="V589">
        <v>-0.1173249</v>
      </c>
      <c r="W589">
        <v>-1.3745210000000001E-2</v>
      </c>
      <c r="X589">
        <v>0.99299850000000001</v>
      </c>
      <c r="Y589">
        <v>-3.0901620000000001E-2</v>
      </c>
      <c r="Z589">
        <v>1.6785909999999999E-3</v>
      </c>
      <c r="AA589">
        <v>0.99952099999999899</v>
      </c>
      <c r="AB589">
        <v>28</v>
      </c>
      <c r="AC589">
        <v>19.278199999999998</v>
      </c>
      <c r="AD589">
        <v>-1.10388938144489</v>
      </c>
      <c r="AE589">
        <v>0.32959999999996997</v>
      </c>
      <c r="AF589">
        <v>-0.60166353173324805</v>
      </c>
      <c r="AG589">
        <v>-1.10388938144489</v>
      </c>
      <c r="AH589">
        <v>19.208602751101001</v>
      </c>
      <c r="AI589">
        <v>93.287475455220005</v>
      </c>
      <c r="AJ589">
        <v>91.794066664759399</v>
      </c>
      <c r="AK589">
        <v>19.249701047587401</v>
      </c>
    </row>
    <row r="590" spans="1:37" x14ac:dyDescent="0.2">
      <c r="A590" t="str">
        <f>"20200111155512695"</f>
        <v>20200111155512695</v>
      </c>
      <c r="B590" t="str">
        <f>"1578729312692843"</f>
        <v>1578729312692843</v>
      </c>
      <c r="C590" t="s">
        <v>37</v>
      </c>
      <c r="D590">
        <v>4.5080089999999897</v>
      </c>
      <c r="E590">
        <v>0.53274309999999903</v>
      </c>
      <c r="F590" t="s">
        <v>38</v>
      </c>
      <c r="G590">
        <v>-369.62119999999999</v>
      </c>
      <c r="H590" s="1">
        <v>-4.9274839999999998E-7</v>
      </c>
      <c r="I590">
        <v>368.19650000000001</v>
      </c>
      <c r="J590">
        <v>-389.08269999999999</v>
      </c>
      <c r="K590">
        <v>1.1039099999999999</v>
      </c>
      <c r="L590">
        <v>367.8535</v>
      </c>
      <c r="M590">
        <v>0.99985999999999997</v>
      </c>
      <c r="N590">
        <v>0</v>
      </c>
      <c r="O590">
        <v>-1.418517E-2</v>
      </c>
      <c r="P590">
        <v>0.99437809999999904</v>
      </c>
      <c r="Q590">
        <v>-2.2290440000000002E-2</v>
      </c>
      <c r="R590">
        <v>0.103515</v>
      </c>
      <c r="S590">
        <v>3.0076290000000001</v>
      </c>
      <c r="T590">
        <v>-0.16927059999999999</v>
      </c>
      <c r="U590">
        <v>5.2276610000000001E-2</v>
      </c>
      <c r="V590">
        <v>-0.117609899999999</v>
      </c>
      <c r="W590">
        <v>-1.3476449999999999E-2</v>
      </c>
      <c r="X590">
        <v>0.99296839999999997</v>
      </c>
      <c r="Y590">
        <v>-3.148828E-2</v>
      </c>
      <c r="Z590">
        <v>1.6830110000000001E-3</v>
      </c>
      <c r="AA590">
        <v>0.99950269999999997</v>
      </c>
      <c r="AB590">
        <v>28</v>
      </c>
      <c r="AC590">
        <v>19.461500000000001</v>
      </c>
      <c r="AD590">
        <v>-1.1039104927484</v>
      </c>
      <c r="AE590">
        <v>0.34300000000001701</v>
      </c>
      <c r="AF590">
        <v>-0.61705629835060205</v>
      </c>
      <c r="AG590">
        <v>-1.1039104927484</v>
      </c>
      <c r="AH590">
        <v>19.392301172435399</v>
      </c>
      <c r="AI590">
        <v>93.256412563028405</v>
      </c>
      <c r="AJ590">
        <v>91.822516907201404</v>
      </c>
      <c r="AK590">
        <v>19.433494837876498</v>
      </c>
    </row>
    <row r="591" spans="1:37" x14ac:dyDescent="0.2">
      <c r="A591" t="str">
        <f>"20200111155512708"</f>
        <v>20200111155512708</v>
      </c>
      <c r="B591" t="str">
        <f>"1578729312703579"</f>
        <v>1578729312703579</v>
      </c>
      <c r="C591" t="s">
        <v>37</v>
      </c>
      <c r="D591">
        <v>4.5159039999999999</v>
      </c>
      <c r="E591">
        <v>0.53284629999999999</v>
      </c>
      <c r="F591" t="s">
        <v>38</v>
      </c>
      <c r="G591">
        <v>-369.23779999999999</v>
      </c>
      <c r="H591" s="1">
        <v>-6.227472E-7</v>
      </c>
      <c r="I591">
        <v>368.19830000000002</v>
      </c>
      <c r="J591">
        <v>-388.9357</v>
      </c>
      <c r="K591">
        <v>1.103928</v>
      </c>
      <c r="L591">
        <v>367.85140000000001</v>
      </c>
      <c r="M591">
        <v>0.99986019999999898</v>
      </c>
      <c r="N591">
        <v>0</v>
      </c>
      <c r="O591">
        <v>-1.4152929999999999E-2</v>
      </c>
      <c r="P591">
        <v>0.99436029999999997</v>
      </c>
      <c r="Q591">
        <v>-2.195093E-2</v>
      </c>
      <c r="R591">
        <v>0.1037598</v>
      </c>
      <c r="S591">
        <v>3.0077509999999998</v>
      </c>
      <c r="T591">
        <v>-0.16731109999999999</v>
      </c>
      <c r="U591">
        <v>5.2276610000000001E-2</v>
      </c>
      <c r="V591">
        <v>-0.1178226</v>
      </c>
      <c r="W591">
        <v>-1.3115109999999999E-2</v>
      </c>
      <c r="X591">
        <v>0.9929481</v>
      </c>
      <c r="Y591">
        <v>-3.1457110000000003E-2</v>
      </c>
      <c r="Z591">
        <v>1.66083299999999E-3</v>
      </c>
      <c r="AA591">
        <v>0.99950369999999999</v>
      </c>
      <c r="AB591">
        <v>28</v>
      </c>
      <c r="AC591">
        <v>19.697900000000001</v>
      </c>
      <c r="AD591">
        <v>-1.1039286227472001</v>
      </c>
      <c r="AE591">
        <v>0.34690000000000498</v>
      </c>
      <c r="AF591">
        <v>-0.62370098228235504</v>
      </c>
      <c r="AG591">
        <v>-1.1039286227472001</v>
      </c>
      <c r="AH591">
        <v>19.629383984295799</v>
      </c>
      <c r="AI591">
        <v>93.217222277123994</v>
      </c>
      <c r="AJ591">
        <v>91.819894876901103</v>
      </c>
      <c r="AK591">
        <v>19.6702917345511</v>
      </c>
    </row>
    <row r="592" spans="1:37" x14ac:dyDescent="0.2">
      <c r="A592" t="str">
        <f>"20200111155512721"</f>
        <v>20200111155512721</v>
      </c>
      <c r="B592" t="str">
        <f>"1578729312713339"</f>
        <v>1578729312713339</v>
      </c>
      <c r="C592" t="s">
        <v>37</v>
      </c>
      <c r="D592">
        <v>4.4879059999999997</v>
      </c>
      <c r="E592">
        <v>0.53290769999999998</v>
      </c>
      <c r="F592" t="s">
        <v>38</v>
      </c>
      <c r="G592">
        <v>-368.77050000000003</v>
      </c>
      <c r="H592" s="1">
        <v>-7.8098659999999895E-7</v>
      </c>
      <c r="I592">
        <v>368.20119999999997</v>
      </c>
      <c r="J592">
        <v>-388.7756</v>
      </c>
      <c r="K592">
        <v>1.1039459999999901</v>
      </c>
      <c r="L592">
        <v>367.8492</v>
      </c>
      <c r="M592">
        <v>0.99986049999999904</v>
      </c>
      <c r="N592">
        <v>0</v>
      </c>
      <c r="O592">
        <v>-1.411665E-2</v>
      </c>
      <c r="P592">
        <v>0.99434210000000001</v>
      </c>
      <c r="Q592">
        <v>-2.1343029999999999E-2</v>
      </c>
      <c r="R592">
        <v>0.1040609</v>
      </c>
      <c r="S592">
        <v>3.0079349999999998</v>
      </c>
      <c r="T592">
        <v>-0.16466620000000001</v>
      </c>
      <c r="U592">
        <v>5.2185059999999998E-2</v>
      </c>
      <c r="V592">
        <v>-0.11808730000000001</v>
      </c>
      <c r="W592">
        <v>-1.248405E-2</v>
      </c>
      <c r="X592">
        <v>0.99292469999999999</v>
      </c>
      <c r="Y592">
        <v>-3.1391769999999999E-2</v>
      </c>
      <c r="Z592">
        <v>1.6307470000000001E-3</v>
      </c>
      <c r="AA592">
        <v>0.9995058</v>
      </c>
      <c r="AB592">
        <v>28</v>
      </c>
      <c r="AC592">
        <v>20.005099999999899</v>
      </c>
      <c r="AD592">
        <v>-1.1039467809865999</v>
      </c>
      <c r="AE592">
        <v>0.351999999999975</v>
      </c>
      <c r="AF592">
        <v>-0.63245581781039395</v>
      </c>
      <c r="AG592">
        <v>-1.1039467809865999</v>
      </c>
      <c r="AH592">
        <v>19.937442607385599</v>
      </c>
      <c r="AI592">
        <v>93.167671352121204</v>
      </c>
      <c r="AJ592">
        <v>91.816928188303095</v>
      </c>
      <c r="AK592">
        <v>19.9779958098786</v>
      </c>
    </row>
    <row r="593" spans="1:37" x14ac:dyDescent="0.2">
      <c r="A593" t="str">
        <f>"20200111155512732"</f>
        <v>20200111155512732</v>
      </c>
      <c r="B593" t="str">
        <f>"1578729312723099"</f>
        <v>1578729312723099</v>
      </c>
      <c r="C593" t="s">
        <v>37</v>
      </c>
      <c r="D593">
        <v>4.5616510000000003</v>
      </c>
      <c r="E593">
        <v>0.53291959999999905</v>
      </c>
      <c r="F593" t="s">
        <v>38</v>
      </c>
      <c r="G593">
        <v>-368.20690000000002</v>
      </c>
      <c r="H593" s="1">
        <v>-1.001258E-6</v>
      </c>
      <c r="I593">
        <v>368.20850000000002</v>
      </c>
      <c r="J593">
        <v>-388.62520000000001</v>
      </c>
      <c r="K593">
        <v>1.103963</v>
      </c>
      <c r="L593">
        <v>367.84719999999999</v>
      </c>
      <c r="M593">
        <v>0.99986079999999999</v>
      </c>
      <c r="N593">
        <v>0</v>
      </c>
      <c r="O593">
        <v>-1.408097E-2</v>
      </c>
      <c r="P593">
        <v>0.9943322</v>
      </c>
      <c r="Q593">
        <v>-2.097736E-2</v>
      </c>
      <c r="R593">
        <v>0.1042279</v>
      </c>
      <c r="S593">
        <v>3.00808699999999</v>
      </c>
      <c r="T593">
        <v>-0.16144700000000001</v>
      </c>
      <c r="U593">
        <v>5.2551269999999997E-2</v>
      </c>
      <c r="V593">
        <v>-0.118218499999999</v>
      </c>
      <c r="W593">
        <v>-1.2097780000000001E-2</v>
      </c>
      <c r="X593">
        <v>0.99291390000000002</v>
      </c>
      <c r="Y593">
        <v>-3.1479430000000003E-2</v>
      </c>
      <c r="Z593">
        <v>1.5992669999999999E-3</v>
      </c>
      <c r="AA593">
        <v>0.99950309999999898</v>
      </c>
      <c r="AB593">
        <v>28</v>
      </c>
      <c r="AC593">
        <v>20.418299999999899</v>
      </c>
      <c r="AD593">
        <v>-1.1039640012580001</v>
      </c>
      <c r="AE593">
        <v>0.36130000000002799</v>
      </c>
      <c r="AF593">
        <v>-0.64689469990470705</v>
      </c>
      <c r="AG593">
        <v>-1.1039640012580001</v>
      </c>
      <c r="AH593">
        <v>20.351712706755698</v>
      </c>
      <c r="AI593">
        <v>93.103361079860406</v>
      </c>
      <c r="AJ593">
        <v>91.820577055497594</v>
      </c>
      <c r="AK593">
        <v>20.391895923801702</v>
      </c>
    </row>
    <row r="594" spans="1:37" x14ac:dyDescent="0.2">
      <c r="A594" t="str">
        <f>"20200111155512744"</f>
        <v>20200111155512744</v>
      </c>
      <c r="B594" t="str">
        <f>"1578729312732860"</f>
        <v>1578729312732860</v>
      </c>
      <c r="C594" t="s">
        <v>37</v>
      </c>
      <c r="D594">
        <v>4.4339899999999997</v>
      </c>
      <c r="E594">
        <v>0.53298570000000001</v>
      </c>
      <c r="F594" t="s">
        <v>38</v>
      </c>
      <c r="G594">
        <v>-367.7509</v>
      </c>
      <c r="H594" s="1">
        <v>-1.1960409999999999E-6</v>
      </c>
      <c r="I594">
        <v>368.21339999999998</v>
      </c>
      <c r="J594">
        <v>-388.47879999999998</v>
      </c>
      <c r="K594">
        <v>1.1039760000000001</v>
      </c>
      <c r="L594">
        <v>367.8451</v>
      </c>
      <c r="M594">
        <v>0.99986119999999901</v>
      </c>
      <c r="N594">
        <v>0</v>
      </c>
      <c r="O594">
        <v>-1.4045520000000001E-2</v>
      </c>
      <c r="P594">
        <v>0.99432980000000004</v>
      </c>
      <c r="Q594">
        <v>-2.0264689999999998E-2</v>
      </c>
      <c r="R594">
        <v>0.1043946</v>
      </c>
      <c r="S594">
        <v>3.0082399999999998</v>
      </c>
      <c r="T594">
        <v>-0.1590937</v>
      </c>
      <c r="U594">
        <v>5.2795410000000001E-2</v>
      </c>
      <c r="V594">
        <v>-0.118350199999999</v>
      </c>
      <c r="W594">
        <v>-1.136568E-2</v>
      </c>
      <c r="X594">
        <v>0.99290689999999904</v>
      </c>
      <c r="Y594">
        <v>-3.1526079999999998E-2</v>
      </c>
      <c r="Z594">
        <v>1.5752679999999999E-3</v>
      </c>
      <c r="AA594">
        <v>0.99950169999999905</v>
      </c>
      <c r="AB594">
        <v>28</v>
      </c>
      <c r="AC594">
        <v>20.727899999999899</v>
      </c>
      <c r="AD594">
        <v>-1.1039771960410001</v>
      </c>
      <c r="AE594">
        <v>0.36829999999997598</v>
      </c>
      <c r="AF594">
        <v>-0.65754483877088998</v>
      </c>
      <c r="AG594">
        <v>-1.1039771960410001</v>
      </c>
      <c r="AH594">
        <v>20.662088862799902</v>
      </c>
      <c r="AI594">
        <v>93.056865721542593</v>
      </c>
      <c r="AJ594">
        <v>91.822750534830604</v>
      </c>
      <c r="AK594">
        <v>20.702005869929899</v>
      </c>
    </row>
    <row r="595" spans="1:37" x14ac:dyDescent="0.2">
      <c r="A595" t="str">
        <f>"20200111155512756"</f>
        <v>20200111155512756</v>
      </c>
      <c r="B595" t="str">
        <f>"1578729312753355"</f>
        <v>1578729312753355</v>
      </c>
      <c r="C595" t="s">
        <v>37</v>
      </c>
      <c r="D595">
        <v>4.442653</v>
      </c>
      <c r="E595">
        <v>0.53305970000000003</v>
      </c>
      <c r="F595" t="s">
        <v>38</v>
      </c>
      <c r="G595">
        <v>-367.21660000000003</v>
      </c>
      <c r="H595" s="1">
        <v>-1.424643E-6</v>
      </c>
      <c r="I595">
        <v>368.2167</v>
      </c>
      <c r="J595">
        <v>-388.32679999999999</v>
      </c>
      <c r="K595">
        <v>1.1039889999999899</v>
      </c>
      <c r="L595">
        <v>367.84300000000002</v>
      </c>
      <c r="M595">
        <v>0.99986149999999996</v>
      </c>
      <c r="N595">
        <v>0</v>
      </c>
      <c r="O595">
        <v>-1.400829E-2</v>
      </c>
      <c r="P595">
        <v>0.99435010000000001</v>
      </c>
      <c r="Q595">
        <v>-1.9789339999999999E-2</v>
      </c>
      <c r="R595">
        <v>0.1042897</v>
      </c>
      <c r="S595">
        <v>3.00839199999999</v>
      </c>
      <c r="T595">
        <v>-0.1562016</v>
      </c>
      <c r="U595">
        <v>5.2581790000000003E-2</v>
      </c>
      <c r="V595">
        <v>-0.11820789999999901</v>
      </c>
      <c r="W595">
        <v>-1.087053E-2</v>
      </c>
      <c r="X595">
        <v>0.99292930000000001</v>
      </c>
      <c r="Y595">
        <v>-3.1419530000000001E-2</v>
      </c>
      <c r="Z595">
        <v>1.541897E-3</v>
      </c>
      <c r="AA595">
        <v>0.99950509999999904</v>
      </c>
      <c r="AB595">
        <v>28</v>
      </c>
      <c r="AC595">
        <v>21.110199999999899</v>
      </c>
      <c r="AD595">
        <v>-1.1039904246429999</v>
      </c>
      <c r="AE595">
        <v>0.37369999999998499</v>
      </c>
      <c r="AF595">
        <v>-0.66756789469074596</v>
      </c>
      <c r="AG595">
        <v>-1.1039904246429999</v>
      </c>
      <c r="AH595">
        <v>21.045353872489301</v>
      </c>
      <c r="AI595">
        <v>93.001344408873706</v>
      </c>
      <c r="AJ595">
        <v>91.816838167413707</v>
      </c>
      <c r="AK595">
        <v>21.0848609521151</v>
      </c>
    </row>
    <row r="596" spans="1:37" x14ac:dyDescent="0.2">
      <c r="A596" t="str">
        <f>"20200111155512773"</f>
        <v>20200111155512773</v>
      </c>
      <c r="B596" t="str">
        <f>"1578729312763114"</f>
        <v>1578729312763114</v>
      </c>
      <c r="C596" t="s">
        <v>37</v>
      </c>
      <c r="D596">
        <v>4.6240370000000004</v>
      </c>
      <c r="E596">
        <v>0.53299669999999999</v>
      </c>
      <c r="F596" t="s">
        <v>38</v>
      </c>
      <c r="G596">
        <v>-366.59739999999999</v>
      </c>
      <c r="H596" s="1">
        <v>-1.6899379999999999E-6</v>
      </c>
      <c r="I596">
        <v>368.21859999999998</v>
      </c>
      <c r="J596">
        <v>-388.11470000000003</v>
      </c>
      <c r="K596">
        <v>1.104009</v>
      </c>
      <c r="L596">
        <v>367.84010000000001</v>
      </c>
      <c r="M596">
        <v>0.99986200000000003</v>
      </c>
      <c r="N596">
        <v>0</v>
      </c>
      <c r="O596">
        <v>-1.395595E-2</v>
      </c>
      <c r="P596">
        <v>0.99439349999999904</v>
      </c>
      <c r="Q596">
        <v>-1.8631950000000001E-2</v>
      </c>
      <c r="R596">
        <v>0.1040885</v>
      </c>
      <c r="S596">
        <v>3.008575</v>
      </c>
      <c r="T596">
        <v>-0.15285409999999999</v>
      </c>
      <c r="U596">
        <v>5.2001949999999998E-2</v>
      </c>
      <c r="V596">
        <v>-0.11795559999999999</v>
      </c>
      <c r="W596">
        <v>-9.6871249999999996E-3</v>
      </c>
      <c r="X596">
        <v>0.99297159999999995</v>
      </c>
      <c r="Y596">
        <v>-3.1176550000000001E-2</v>
      </c>
      <c r="Z596">
        <v>1.499982E-3</v>
      </c>
      <c r="AA596">
        <v>0.99951279999999998</v>
      </c>
      <c r="AB596">
        <v>28</v>
      </c>
      <c r="AC596">
        <v>21.517299999999999</v>
      </c>
      <c r="AD596">
        <v>-1.104010689938</v>
      </c>
      <c r="AE596">
        <v>0.37849999999997402</v>
      </c>
      <c r="AF596">
        <v>-0.67698806218413199</v>
      </c>
      <c r="AG596">
        <v>-1.104010689938</v>
      </c>
      <c r="AH596">
        <v>21.453462627459899</v>
      </c>
      <c r="AI596">
        <v>92.944420551590099</v>
      </c>
      <c r="AJ596">
        <v>91.807432768959202</v>
      </c>
      <c r="AK596">
        <v>21.4925152354873</v>
      </c>
    </row>
    <row r="597" spans="1:37" x14ac:dyDescent="0.2">
      <c r="A597" t="str">
        <f>"20200111155512786"</f>
        <v>20200111155512786</v>
      </c>
      <c r="B597" t="str">
        <f>"1578729312783611"</f>
        <v>1578729312783611</v>
      </c>
      <c r="C597" t="s">
        <v>37</v>
      </c>
      <c r="D597">
        <v>4.3443149999999999</v>
      </c>
      <c r="E597">
        <v>0.54937080000000005</v>
      </c>
      <c r="F597" t="s">
        <v>38</v>
      </c>
      <c r="G597">
        <v>-365.6893</v>
      </c>
      <c r="H597" s="1">
        <v>-2.0784080000000001E-6</v>
      </c>
      <c r="I597">
        <v>368.22489999999999</v>
      </c>
      <c r="J597">
        <v>-387.96080000000001</v>
      </c>
      <c r="K597">
        <v>1.1040190000000001</v>
      </c>
      <c r="L597">
        <v>367.83800000000002</v>
      </c>
      <c r="M597">
        <v>0.99986239999999904</v>
      </c>
      <c r="N597">
        <v>0</v>
      </c>
      <c r="O597">
        <v>-1.3918E-2</v>
      </c>
      <c r="P597">
        <v>0.99441959999999996</v>
      </c>
      <c r="Q597">
        <v>-1.7868080000000001E-2</v>
      </c>
      <c r="R597">
        <v>0.10397339999999999</v>
      </c>
      <c r="S597">
        <v>3.0086979999999999</v>
      </c>
      <c r="T597">
        <v>-0.14811839999999901</v>
      </c>
      <c r="U597">
        <v>5.1635739999999999E-2</v>
      </c>
      <c r="V597">
        <v>-0.11780350000000001</v>
      </c>
      <c r="W597">
        <v>-8.9054169999999901E-3</v>
      </c>
      <c r="X597">
        <v>0.99299699999999902</v>
      </c>
      <c r="Y597">
        <v>-3.1020079999999998E-2</v>
      </c>
      <c r="Z597">
        <v>1.4477939999999901E-3</v>
      </c>
      <c r="AA597">
        <v>0.99951769999999995</v>
      </c>
      <c r="AB597">
        <v>28</v>
      </c>
      <c r="AC597">
        <v>22.2715</v>
      </c>
      <c r="AD597">
        <v>-1.104021078408</v>
      </c>
      <c r="AE597">
        <v>0.38689999999996799</v>
      </c>
      <c r="AF597">
        <v>-0.69514223814533205</v>
      </c>
      <c r="AG597">
        <v>-1.104021078408</v>
      </c>
      <c r="AH597">
        <v>22.209399120345701</v>
      </c>
      <c r="AI597">
        <v>92.844419022065097</v>
      </c>
      <c r="AJ597">
        <v>91.792741788275706</v>
      </c>
      <c r="AK597">
        <v>22.247685150586701</v>
      </c>
    </row>
    <row r="598" spans="1:37" x14ac:dyDescent="0.2">
      <c r="A598" t="str">
        <f>"20200111155512799"</f>
        <v>20200111155512799</v>
      </c>
      <c r="B598" t="str">
        <f>"1578729312793371"</f>
        <v>1578729312793371</v>
      </c>
      <c r="C598" t="s">
        <v>37</v>
      </c>
      <c r="D598">
        <v>4.340827</v>
      </c>
      <c r="E598">
        <v>0.55783579999999999</v>
      </c>
      <c r="F598" t="s">
        <v>38</v>
      </c>
      <c r="G598">
        <v>-353.03120000000001</v>
      </c>
      <c r="H598" s="1">
        <v>-3.4499249999999998E-6</v>
      </c>
      <c r="I598">
        <v>366.92160000000001</v>
      </c>
      <c r="J598">
        <v>-387.7901</v>
      </c>
      <c r="K598">
        <v>1.1040289999999999</v>
      </c>
      <c r="L598">
        <v>367.83569999999997</v>
      </c>
      <c r="M598">
        <v>0.99986260000000005</v>
      </c>
      <c r="N598">
        <v>0</v>
      </c>
      <c r="O598">
        <v>-1.3875999999999999E-2</v>
      </c>
      <c r="P598">
        <v>0.99443530000000002</v>
      </c>
      <c r="Q598">
        <v>-1.7080120000000001E-2</v>
      </c>
      <c r="R598">
        <v>0.1039553</v>
      </c>
      <c r="S598">
        <v>3.0234380000000001</v>
      </c>
      <c r="T598">
        <v>-9.5561740000000006E-2</v>
      </c>
      <c r="U598">
        <v>-7.9315189999999994E-2</v>
      </c>
      <c r="V598">
        <v>-0.1177441</v>
      </c>
      <c r="W598">
        <v>-8.098549E-3</v>
      </c>
      <c r="X598">
        <v>0.99301090000000003</v>
      </c>
      <c r="Y598">
        <v>1.235086E-2</v>
      </c>
      <c r="Z598">
        <v>2.43277E-4</v>
      </c>
      <c r="AA598">
        <v>0.99992369999999997</v>
      </c>
      <c r="AB598">
        <v>28</v>
      </c>
      <c r="AC598">
        <v>34.758899999999898</v>
      </c>
      <c r="AD598">
        <v>-1.104032449925</v>
      </c>
      <c r="AE598">
        <v>-0.91409999999996205</v>
      </c>
      <c r="AF598">
        <v>0.431242892974468</v>
      </c>
      <c r="AG598">
        <v>-1.104032449925</v>
      </c>
      <c r="AH598">
        <v>34.733221040591403</v>
      </c>
      <c r="AI598">
        <v>91.820454220303006</v>
      </c>
      <c r="AJ598">
        <v>89.288660036131205</v>
      </c>
      <c r="AK598">
        <v>34.753438706663403</v>
      </c>
    </row>
    <row r="599" spans="1:37" x14ac:dyDescent="0.2">
      <c r="A599" t="str">
        <f>"20200111155512813"</f>
        <v>20200111155512813</v>
      </c>
      <c r="B599" t="str">
        <f>"1578729312803130"</f>
        <v>1578729312803130</v>
      </c>
      <c r="C599" t="s">
        <v>37</v>
      </c>
      <c r="D599">
        <v>4.2605879999999896</v>
      </c>
      <c r="E599">
        <v>0.56327700000000003</v>
      </c>
      <c r="F599" t="s">
        <v>38</v>
      </c>
      <c r="G599">
        <v>-342.54149999999998</v>
      </c>
      <c r="H599" s="1">
        <v>-4.2108520000000002E-6</v>
      </c>
      <c r="I599">
        <v>365.64370000000002</v>
      </c>
      <c r="J599">
        <v>-387.60309999999998</v>
      </c>
      <c r="K599">
        <v>1.1040410000000001</v>
      </c>
      <c r="L599">
        <v>367.8331</v>
      </c>
      <c r="M599">
        <v>0.99986319999999995</v>
      </c>
      <c r="N599">
        <v>0</v>
      </c>
      <c r="O599">
        <v>-1.3831029999999999E-2</v>
      </c>
      <c r="P599">
        <v>0.99444969999999999</v>
      </c>
      <c r="Q599">
        <v>-1.65737E-2</v>
      </c>
      <c r="R599">
        <v>0.1038998</v>
      </c>
      <c r="S599">
        <v>3.030853</v>
      </c>
      <c r="T599">
        <v>-7.3950650000000007E-2</v>
      </c>
      <c r="U599">
        <v>-0.14682010000000001</v>
      </c>
      <c r="V599">
        <v>-0.1176442</v>
      </c>
      <c r="W599">
        <v>-7.57282599999999E-3</v>
      </c>
      <c r="X599">
        <v>0.99302690000000005</v>
      </c>
      <c r="Y599">
        <v>3.4558909999999998E-2</v>
      </c>
      <c r="Z599" s="1">
        <v>-8.4099740000000007E-5</v>
      </c>
      <c r="AA599">
        <v>0.99940260000000003</v>
      </c>
      <c r="AB599">
        <v>28</v>
      </c>
      <c r="AC599">
        <v>45.061599999999999</v>
      </c>
      <c r="AD599">
        <v>-1.104045210852</v>
      </c>
      <c r="AE599">
        <v>-2.1893999999999698</v>
      </c>
      <c r="AF599">
        <v>1.5649793471728</v>
      </c>
      <c r="AG599">
        <v>-1.104045210852</v>
      </c>
      <c r="AH599">
        <v>45.060586581806497</v>
      </c>
      <c r="AI599">
        <v>91.402697763609694</v>
      </c>
      <c r="AJ599">
        <v>88.010885074049199</v>
      </c>
      <c r="AK599">
        <v>45.101269818943699</v>
      </c>
    </row>
    <row r="600" spans="1:37" x14ac:dyDescent="0.2">
      <c r="A600" t="str">
        <f>"20200111155512830"</f>
        <v>20200111155512830</v>
      </c>
      <c r="B600" t="str">
        <f>"1578729312823626"</f>
        <v>1578729312823626</v>
      </c>
      <c r="C600" t="s">
        <v>37</v>
      </c>
      <c r="D600">
        <v>4.3075449999999904</v>
      </c>
      <c r="E600">
        <v>0.56900669999999898</v>
      </c>
      <c r="F600" t="s">
        <v>38</v>
      </c>
      <c r="G600">
        <v>-330.85270000000003</v>
      </c>
      <c r="H600" s="1">
        <v>-4.8534050000000003E-6</v>
      </c>
      <c r="I600">
        <v>364.27820000000003</v>
      </c>
      <c r="J600">
        <v>-387.40249999999997</v>
      </c>
      <c r="K600">
        <v>1.1040449999999999</v>
      </c>
      <c r="L600">
        <v>367.8304</v>
      </c>
      <c r="M600">
        <v>0.99986369999999902</v>
      </c>
      <c r="N600">
        <v>0</v>
      </c>
      <c r="O600">
        <v>-1.378331E-2</v>
      </c>
      <c r="P600">
        <v>0.99445289999999997</v>
      </c>
      <c r="Q600">
        <v>-1.5782890000000001E-2</v>
      </c>
      <c r="R600">
        <v>0.1039921</v>
      </c>
      <c r="S600">
        <v>3.0356450000000001</v>
      </c>
      <c r="T600">
        <v>-5.9056520000000001E-2</v>
      </c>
      <c r="U600">
        <v>-0.19015499999999999</v>
      </c>
      <c r="V600">
        <v>-0.1176894</v>
      </c>
      <c r="W600">
        <v>-6.7624679999999998E-3</v>
      </c>
      <c r="X600">
        <v>0.99302739999999901</v>
      </c>
      <c r="Y600">
        <v>4.8748769999999997E-2</v>
      </c>
      <c r="Z600">
        <v>-2.058455E-4</v>
      </c>
      <c r="AA600">
        <v>0.99881109999999995</v>
      </c>
      <c r="AB600">
        <v>28</v>
      </c>
      <c r="AC600">
        <v>56.549799999999898</v>
      </c>
      <c r="AD600">
        <v>-1.1040498534050001</v>
      </c>
      <c r="AE600">
        <v>-3.5521999999999698</v>
      </c>
      <c r="AF600">
        <v>2.7713347262616201</v>
      </c>
      <c r="AG600">
        <v>-1.1040498534050001</v>
      </c>
      <c r="AH600">
        <v>56.571912149225497</v>
      </c>
      <c r="AI600">
        <v>91.116696039985101</v>
      </c>
      <c r="AJ600">
        <v>87.195446616677799</v>
      </c>
      <c r="AK600">
        <v>56.650511616961403</v>
      </c>
    </row>
    <row r="601" spans="1:37" x14ac:dyDescent="0.2">
      <c r="A601" t="str">
        <f>"20200111155512843"</f>
        <v>20200111155512843</v>
      </c>
      <c r="B601" t="str">
        <f>"1578729312833387"</f>
        <v>1578729312833387</v>
      </c>
      <c r="C601" t="s">
        <v>37</v>
      </c>
      <c r="D601">
        <v>4.2943939999999996</v>
      </c>
      <c r="E601">
        <v>0.57076169999999904</v>
      </c>
      <c r="F601" t="s">
        <v>39</v>
      </c>
      <c r="G601">
        <v>-297.67559999999997</v>
      </c>
      <c r="H601">
        <v>-0.05</v>
      </c>
      <c r="I601">
        <v>360.8784</v>
      </c>
      <c r="J601">
        <v>-387.23500000000001</v>
      </c>
      <c r="K601">
        <v>1.1040490000000001</v>
      </c>
      <c r="L601">
        <v>367.82810000000001</v>
      </c>
      <c r="M601">
        <v>0.99986419999999998</v>
      </c>
      <c r="N601">
        <v>0</v>
      </c>
      <c r="O601">
        <v>-1.374356E-2</v>
      </c>
      <c r="P601">
        <v>0.9944404</v>
      </c>
      <c r="Q601">
        <v>-1.5314940000000001E-2</v>
      </c>
      <c r="R601">
        <v>0.10418230000000001</v>
      </c>
      <c r="S601">
        <v>3.0407410000000001</v>
      </c>
      <c r="T601">
        <v>-3.9109230000000002E-2</v>
      </c>
      <c r="U601">
        <v>-0.23559569999999999</v>
      </c>
      <c r="V601">
        <v>-0.117839899999999</v>
      </c>
      <c r="W601">
        <v>-6.2790490000000001E-3</v>
      </c>
      <c r="X601">
        <v>0.99301269999999997</v>
      </c>
      <c r="Y601">
        <v>6.3533729999999997E-2</v>
      </c>
      <c r="Z601">
        <v>-2.31475E-4</v>
      </c>
      <c r="AA601">
        <v>0.99797959999999997</v>
      </c>
      <c r="AB601">
        <v>28</v>
      </c>
      <c r="AC601">
        <v>89.559399999999997</v>
      </c>
      <c r="AD601">
        <v>-1.1540490000000001</v>
      </c>
      <c r="AE601">
        <v>-6.9497</v>
      </c>
      <c r="AF601">
        <v>5.7171840531872498</v>
      </c>
      <c r="AG601">
        <v>-1.1540490000000001</v>
      </c>
      <c r="AH601">
        <v>89.631664416534804</v>
      </c>
      <c r="AI601">
        <v>90.736172914769796</v>
      </c>
      <c r="AJ601">
        <v>86.350314892380595</v>
      </c>
      <c r="AK601">
        <v>89.821229610102307</v>
      </c>
    </row>
    <row r="602" spans="1:37" x14ac:dyDescent="0.2">
      <c r="A602" t="str">
        <f>"20200111155512855"</f>
        <v>20200111155512855</v>
      </c>
      <c r="B602" t="str">
        <f>"1578729312852906"</f>
        <v>1578729312852906</v>
      </c>
      <c r="C602" t="s">
        <v>37</v>
      </c>
      <c r="D602">
        <v>4.2331949999999896</v>
      </c>
      <c r="E602">
        <v>0.57329430000000003</v>
      </c>
      <c r="F602" t="s">
        <v>39</v>
      </c>
      <c r="G602">
        <v>-277.89499999999998</v>
      </c>
      <c r="H602">
        <v>-0.05</v>
      </c>
      <c r="I602">
        <v>358.87419999999997</v>
      </c>
      <c r="J602">
        <v>-387.07400000000001</v>
      </c>
      <c r="K602">
        <v>1.104053</v>
      </c>
      <c r="L602">
        <v>367.825999999999</v>
      </c>
      <c r="M602">
        <v>0.99986450000000004</v>
      </c>
      <c r="N602">
        <v>0</v>
      </c>
      <c r="O602">
        <v>-1.370584E-2</v>
      </c>
      <c r="P602">
        <v>0.99440869999999904</v>
      </c>
      <c r="Q602">
        <v>-1.509826E-2</v>
      </c>
      <c r="R602">
        <v>0.104515899999999</v>
      </c>
      <c r="S602">
        <v>3.04241899999999</v>
      </c>
      <c r="T602">
        <v>-3.2111760000000003E-2</v>
      </c>
      <c r="U602">
        <v>-0.24914549999999999</v>
      </c>
      <c r="V602">
        <v>-0.1181355</v>
      </c>
      <c r="W602">
        <v>-6.0483369999999896E-3</v>
      </c>
      <c r="X602">
        <v>0.99297899999999995</v>
      </c>
      <c r="Y602">
        <v>6.7946030000000004E-2</v>
      </c>
      <c r="Z602">
        <v>-2.1356789999999999E-4</v>
      </c>
      <c r="AA602">
        <v>0.99768889999999999</v>
      </c>
      <c r="AB602">
        <v>28</v>
      </c>
      <c r="AC602">
        <v>109.179</v>
      </c>
      <c r="AD602">
        <v>-1.154053</v>
      </c>
      <c r="AE602">
        <v>-8.9517999999999898</v>
      </c>
      <c r="AF602">
        <v>7.4536797396711503</v>
      </c>
      <c r="AG602">
        <v>-1.154053</v>
      </c>
      <c r="AH602">
        <v>109.279312723408</v>
      </c>
      <c r="AI602">
        <v>90.603651766432904</v>
      </c>
      <c r="AJ602">
        <v>86.098035859615095</v>
      </c>
      <c r="AK602">
        <v>109.539296005081</v>
      </c>
    </row>
    <row r="603" spans="1:37" x14ac:dyDescent="0.2">
      <c r="A603" t="str">
        <f>"20200111155512867"</f>
        <v>20200111155512867</v>
      </c>
      <c r="B603" t="str">
        <f>"1578729312863642"</f>
        <v>1578729312863642</v>
      </c>
      <c r="C603" t="s">
        <v>37</v>
      </c>
      <c r="D603">
        <v>4.3296109999999999</v>
      </c>
      <c r="E603">
        <v>0.5742621</v>
      </c>
      <c r="F603" t="s">
        <v>38</v>
      </c>
      <c r="G603">
        <v>-259.04689999999999</v>
      </c>
      <c r="H603">
        <v>7.9985769999999998E-2</v>
      </c>
      <c r="I603">
        <v>356.55130000000003</v>
      </c>
      <c r="J603">
        <v>-386.9248</v>
      </c>
      <c r="K603">
        <v>1.1040570000000001</v>
      </c>
      <c r="L603">
        <v>367.82400000000001</v>
      </c>
      <c r="M603">
        <v>0.9998648</v>
      </c>
      <c r="N603">
        <v>0</v>
      </c>
      <c r="O603">
        <v>-1.3670730000000001E-2</v>
      </c>
      <c r="P603">
        <v>0.99437919999999902</v>
      </c>
      <c r="Q603">
        <v>-1.52961E-2</v>
      </c>
      <c r="R603">
        <v>0.104766899999999</v>
      </c>
      <c r="S603">
        <v>3.04467799999999</v>
      </c>
      <c r="T603">
        <v>-2.4353860000000001E-2</v>
      </c>
      <c r="U603">
        <v>-0.26812740000000002</v>
      </c>
      <c r="V603">
        <v>-0.11835129999999899</v>
      </c>
      <c r="W603">
        <v>-6.2337800000000004E-3</v>
      </c>
      <c r="X603">
        <v>0.99295219999999995</v>
      </c>
      <c r="Y603">
        <v>7.4096090000000003E-2</v>
      </c>
      <c r="Z603">
        <v>-1.8664150000000001E-4</v>
      </c>
      <c r="AA603">
        <v>0.99725109999999995</v>
      </c>
      <c r="AB603">
        <v>28</v>
      </c>
      <c r="AC603">
        <v>127.8779</v>
      </c>
      <c r="AD603">
        <v>-1.0240712300000001</v>
      </c>
      <c r="AE603">
        <v>-11.272699999999899</v>
      </c>
      <c r="AF603">
        <v>9.5227832645090604</v>
      </c>
      <c r="AG603">
        <v>-1.0240712300000001</v>
      </c>
      <c r="AH603">
        <v>128.01191518379599</v>
      </c>
      <c r="AI603">
        <v>90.457082761820502</v>
      </c>
      <c r="AJ603">
        <v>85.745613462072498</v>
      </c>
      <c r="AK603">
        <v>128.36971041492001</v>
      </c>
    </row>
    <row r="604" spans="1:37" x14ac:dyDescent="0.2">
      <c r="A604" t="str">
        <f>"20200111155512879"</f>
        <v>20200111155512879</v>
      </c>
      <c r="B604" t="str">
        <f>"1578729312873404"</f>
        <v>1578729312873404</v>
      </c>
      <c r="C604" t="s">
        <v>37</v>
      </c>
      <c r="D604">
        <v>4.3541169999999996</v>
      </c>
      <c r="E604">
        <v>0.57503700000000002</v>
      </c>
      <c r="F604" t="s">
        <v>38</v>
      </c>
      <c r="G604">
        <v>-246.3836</v>
      </c>
      <c r="H604">
        <v>7.9986459999999995E-2</v>
      </c>
      <c r="I604">
        <v>355.13389999999998</v>
      </c>
      <c r="J604">
        <v>-386.77260000000001</v>
      </c>
      <c r="K604">
        <v>1.10406</v>
      </c>
      <c r="L604">
        <v>367.82199999999898</v>
      </c>
      <c r="M604">
        <v>0.99986520000000001</v>
      </c>
      <c r="N604">
        <v>0</v>
      </c>
      <c r="O604">
        <v>-1.3635380000000001E-2</v>
      </c>
      <c r="P604">
        <v>0.99434230000000001</v>
      </c>
      <c r="Q604">
        <v>-1.544391E-2</v>
      </c>
      <c r="R604">
        <v>0.1050948</v>
      </c>
      <c r="S604">
        <v>3.0455320000000001</v>
      </c>
      <c r="T604">
        <v>-2.2191639999999999E-2</v>
      </c>
      <c r="U604">
        <v>-0.27499390000000001</v>
      </c>
      <c r="V604">
        <v>-0.11864329999999999</v>
      </c>
      <c r="W604">
        <v>-6.3693029999999998E-3</v>
      </c>
      <c r="X604">
        <v>0.99291649999999998</v>
      </c>
      <c r="Y604">
        <v>7.6337639999999998E-2</v>
      </c>
      <c r="Z604">
        <v>-1.7841410000000001E-4</v>
      </c>
      <c r="AA604">
        <v>0.99708200000000002</v>
      </c>
      <c r="AB604">
        <v>28</v>
      </c>
      <c r="AC604">
        <v>140.38900000000001</v>
      </c>
      <c r="AD604">
        <v>-1.0240735400000001</v>
      </c>
      <c r="AE604">
        <v>-12.688099999999899</v>
      </c>
      <c r="AF604">
        <v>10.7720143596671</v>
      </c>
      <c r="AG604">
        <v>-1.0240735400000001</v>
      </c>
      <c r="AH604">
        <v>140.541544114385</v>
      </c>
      <c r="AI604">
        <v>90.416264597713095</v>
      </c>
      <c r="AJ604">
        <v>85.6170497093254</v>
      </c>
      <c r="AK604">
        <v>140.95747813449199</v>
      </c>
    </row>
    <row r="605" spans="1:37" x14ac:dyDescent="0.2">
      <c r="A605" t="str">
        <f>"20200111155512896"</f>
        <v>20200111155512896</v>
      </c>
      <c r="B605" t="str">
        <f>"1578729312892922"</f>
        <v>1578729312892922</v>
      </c>
      <c r="C605" t="s">
        <v>37</v>
      </c>
      <c r="D605">
        <v>4.3872669999999996</v>
      </c>
      <c r="E605">
        <v>0.57540970000000002</v>
      </c>
      <c r="F605" t="s">
        <v>39</v>
      </c>
      <c r="G605">
        <v>-215.89680000000001</v>
      </c>
      <c r="H605">
        <v>-0.05</v>
      </c>
      <c r="I605">
        <v>352.11630000000002</v>
      </c>
      <c r="J605">
        <v>-386.54919999999998</v>
      </c>
      <c r="K605">
        <v>1.104061</v>
      </c>
      <c r="L605">
        <v>367.81889999999999</v>
      </c>
      <c r="M605">
        <v>0.99986580000000003</v>
      </c>
      <c r="N605">
        <v>0</v>
      </c>
      <c r="O605">
        <v>-1.3583E-2</v>
      </c>
      <c r="P605">
        <v>0.99425169999999996</v>
      </c>
      <c r="Q605">
        <v>-1.633306E-2</v>
      </c>
      <c r="R605">
        <v>0.105814899999999</v>
      </c>
      <c r="S605">
        <v>3.0463559999999998</v>
      </c>
      <c r="T605">
        <v>-2.0574450000000001E-2</v>
      </c>
      <c r="U605">
        <v>-0.27999879999999999</v>
      </c>
      <c r="V605">
        <v>-0.11931019999999901</v>
      </c>
      <c r="W605">
        <v>-7.2417089999999998E-3</v>
      </c>
      <c r="X605">
        <v>0.99283060000000001</v>
      </c>
      <c r="Y605">
        <v>7.7990429999999999E-2</v>
      </c>
      <c r="Z605">
        <v>-1.7127829999999999E-4</v>
      </c>
      <c r="AA605">
        <v>0.99695409999999995</v>
      </c>
      <c r="AB605">
        <v>28</v>
      </c>
      <c r="AC605">
        <v>170.65239999999901</v>
      </c>
      <c r="AD605">
        <v>-1.154061</v>
      </c>
      <c r="AE605">
        <v>-15.702599999999901</v>
      </c>
      <c r="AF605">
        <v>13.3824756009149</v>
      </c>
      <c r="AG605">
        <v>-1.154061</v>
      </c>
      <c r="AH605">
        <v>170.842205227259</v>
      </c>
      <c r="AI605">
        <v>90.385852507877502</v>
      </c>
      <c r="AJ605">
        <v>85.521031525198396</v>
      </c>
      <c r="AK605">
        <v>171.36943017035901</v>
      </c>
    </row>
    <row r="606" spans="1:37" x14ac:dyDescent="0.2">
      <c r="A606" t="str">
        <f>"20200111155513178"</f>
        <v>20200111155513178</v>
      </c>
      <c r="B606" t="str">
        <f>"1578729313173035"</f>
        <v>1578729313173035</v>
      </c>
      <c r="C606" t="s">
        <v>37</v>
      </c>
      <c r="D606">
        <v>4.5086690000000003</v>
      </c>
      <c r="E606">
        <v>0.54006609999999999</v>
      </c>
      <c r="F606" t="s">
        <v>39</v>
      </c>
      <c r="G606">
        <v>-223.327</v>
      </c>
      <c r="H606">
        <v>-0.05</v>
      </c>
      <c r="I606">
        <v>352.77190000000002</v>
      </c>
      <c r="J606">
        <v>-382.93060000000003</v>
      </c>
      <c r="K606">
        <v>1.104087</v>
      </c>
      <c r="L606">
        <v>367.7722</v>
      </c>
      <c r="M606">
        <v>0.99987479999999995</v>
      </c>
      <c r="N606">
        <v>0</v>
      </c>
      <c r="O606">
        <v>-1.2738050000000001E-2</v>
      </c>
      <c r="P606">
        <v>0.99403009999999903</v>
      </c>
      <c r="Q606">
        <v>-2.092724E-2</v>
      </c>
      <c r="R606">
        <v>0.10708039999999901</v>
      </c>
      <c r="S606">
        <v>3.046875</v>
      </c>
      <c r="T606">
        <v>-2.1542909999999998E-2</v>
      </c>
      <c r="U606">
        <v>-0.28088379999999902</v>
      </c>
      <c r="V606">
        <v>-0.119733199999999</v>
      </c>
      <c r="W606">
        <v>-1.1626239999999999E-2</v>
      </c>
      <c r="X606">
        <v>0.99273799999999901</v>
      </c>
      <c r="Y606">
        <v>7.9104350000000004E-2</v>
      </c>
      <c r="Z606">
        <v>-1.891966E-4</v>
      </c>
      <c r="AA606">
        <v>0.99686629999999998</v>
      </c>
      <c r="AB606">
        <v>29</v>
      </c>
      <c r="AC606">
        <v>159.6036</v>
      </c>
      <c r="AD606">
        <v>-1.1540870000000001</v>
      </c>
      <c r="AE606">
        <v>-15.0002999999999</v>
      </c>
      <c r="AF606">
        <v>12.9652826825807</v>
      </c>
      <c r="AG606">
        <v>-1.1540870000000001</v>
      </c>
      <c r="AH606">
        <v>159.77345196084599</v>
      </c>
      <c r="AI606">
        <v>90.412499888667398</v>
      </c>
      <c r="AJ606">
        <v>85.360732236641397</v>
      </c>
      <c r="AK606">
        <v>160.30279605586301</v>
      </c>
    </row>
    <row r="607" spans="1:37" x14ac:dyDescent="0.2">
      <c r="A607" t="str">
        <f>"20200111155513213"</f>
        <v>20200111155513213</v>
      </c>
      <c r="B607" t="str">
        <f>"1578729313203290"</f>
        <v>1578729313203290</v>
      </c>
      <c r="C607" t="s">
        <v>37</v>
      </c>
      <c r="D607">
        <v>4.6812459999999998</v>
      </c>
      <c r="E607">
        <v>0.53838750000000002</v>
      </c>
      <c r="F607" t="s">
        <v>38</v>
      </c>
      <c r="G607">
        <v>-322.60719999999998</v>
      </c>
      <c r="H607" s="1">
        <v>-3.4687360000000001E-6</v>
      </c>
      <c r="I607">
        <v>367.84100000000001</v>
      </c>
      <c r="J607">
        <v>-382.47500000000002</v>
      </c>
      <c r="K607">
        <v>1.10409</v>
      </c>
      <c r="L607">
        <v>367.76639999999998</v>
      </c>
      <c r="M607">
        <v>0.99987610000000005</v>
      </c>
      <c r="N607">
        <v>0</v>
      </c>
      <c r="O607">
        <v>-1.2632060000000001E-2</v>
      </c>
      <c r="P607">
        <v>0.99398330000000001</v>
      </c>
      <c r="Q607">
        <v>-2.162911E-2</v>
      </c>
      <c r="R607">
        <v>0.1073757</v>
      </c>
      <c r="S607">
        <v>3.0164490000000002</v>
      </c>
      <c r="T607">
        <v>-5.5209519999999998E-2</v>
      </c>
      <c r="U607">
        <v>3.4484859999999902E-3</v>
      </c>
      <c r="V607">
        <v>-0.119922499999999</v>
      </c>
      <c r="W607">
        <v>-1.230725E-2</v>
      </c>
      <c r="X607">
        <v>0.99270700000000001</v>
      </c>
      <c r="Y607">
        <v>-1.377132E-2</v>
      </c>
      <c r="Z607">
        <v>3.5720519999999999E-4</v>
      </c>
      <c r="AA607">
        <v>0.99990509999999999</v>
      </c>
      <c r="AB607">
        <v>29</v>
      </c>
      <c r="AC607">
        <v>59.867800000000003</v>
      </c>
      <c r="AD607">
        <v>-1.104093468736</v>
      </c>
      <c r="AE607">
        <v>7.4600000000032196E-2</v>
      </c>
      <c r="AF607">
        <v>-0.83059854978654402</v>
      </c>
      <c r="AG607">
        <v>-1.104093468736</v>
      </c>
      <c r="AH607">
        <v>59.841727469461603</v>
      </c>
      <c r="AI607">
        <v>91.056898444287</v>
      </c>
      <c r="AJ607">
        <v>90.795209925322297</v>
      </c>
      <c r="AK607">
        <v>59.8576750539806</v>
      </c>
    </row>
    <row r="608" spans="1:37" x14ac:dyDescent="0.2">
      <c r="A608" t="str">
        <f>"20200111155513225"</f>
        <v>20200111155513225</v>
      </c>
      <c r="B608" t="str">
        <f>"1578729313213050"</f>
        <v>1578729313213050</v>
      </c>
      <c r="C608" t="s">
        <v>37</v>
      </c>
      <c r="D608">
        <v>4.4768439999999998</v>
      </c>
      <c r="E608">
        <v>0.53867659999999995</v>
      </c>
      <c r="F608" t="s">
        <v>39</v>
      </c>
      <c r="G608">
        <v>-305.5532</v>
      </c>
      <c r="H608">
        <v>-0.05</v>
      </c>
      <c r="I608">
        <v>368.20549999999997</v>
      </c>
      <c r="J608">
        <v>-382.32479999999998</v>
      </c>
      <c r="K608">
        <v>1.104082</v>
      </c>
      <c r="L608">
        <v>367.76459999999997</v>
      </c>
      <c r="M608">
        <v>0.99987649999999995</v>
      </c>
      <c r="N608">
        <v>0</v>
      </c>
      <c r="O608">
        <v>-1.259716E-2</v>
      </c>
      <c r="P608">
        <v>0.99396469999999904</v>
      </c>
      <c r="Q608">
        <v>-2.1583620000000001E-2</v>
      </c>
      <c r="R608">
        <v>0.1075576</v>
      </c>
      <c r="S608">
        <v>3.0153500000000002</v>
      </c>
      <c r="T608">
        <v>-4.5240519999999999E-2</v>
      </c>
      <c r="U608">
        <v>1.721191E-2</v>
      </c>
      <c r="V608">
        <v>-0.1200698</v>
      </c>
      <c r="W608">
        <v>-1.225512E-2</v>
      </c>
      <c r="X608">
        <v>0.99268979999999996</v>
      </c>
      <c r="Y608">
        <v>-1.830159E-2</v>
      </c>
      <c r="Z608">
        <v>3.2627859999999998E-4</v>
      </c>
      <c r="AA608">
        <v>0.99983250000000001</v>
      </c>
      <c r="AB608">
        <v>29</v>
      </c>
      <c r="AC608">
        <v>76.771599999999907</v>
      </c>
      <c r="AD608">
        <v>-1.1540820000000001</v>
      </c>
      <c r="AE608">
        <v>0.44089999999999901</v>
      </c>
      <c r="AF608">
        <v>-1.4076937382896499</v>
      </c>
      <c r="AG608">
        <v>-1.1540820000000001</v>
      </c>
      <c r="AH608">
        <v>76.742611695447806</v>
      </c>
      <c r="AI608">
        <v>90.861423964628401</v>
      </c>
      <c r="AJ608">
        <v>91.050861629212505</v>
      </c>
      <c r="AK608">
        <v>76.764197102306895</v>
      </c>
    </row>
    <row r="609" spans="1:37" x14ac:dyDescent="0.2">
      <c r="A609" t="str">
        <f>"20200111155513236"</f>
        <v>20200111155513236</v>
      </c>
      <c r="B609" t="str">
        <f>"1578729313233547"</f>
        <v>1578729313233547</v>
      </c>
      <c r="C609" t="s">
        <v>37</v>
      </c>
      <c r="D609">
        <v>4.5464159999999998</v>
      </c>
      <c r="E609">
        <v>0.53911469999999995</v>
      </c>
      <c r="F609" t="s">
        <v>39</v>
      </c>
      <c r="G609">
        <v>-296.41919999999999</v>
      </c>
      <c r="H609">
        <v>-0.05</v>
      </c>
      <c r="I609">
        <v>368.214</v>
      </c>
      <c r="J609">
        <v>-382.16840000000002</v>
      </c>
      <c r="K609">
        <v>1.1040829999999999</v>
      </c>
      <c r="L609">
        <v>367.76260000000002</v>
      </c>
      <c r="M609">
        <v>0.99987680000000001</v>
      </c>
      <c r="N609">
        <v>0</v>
      </c>
      <c r="O609">
        <v>-1.2560709999999999E-2</v>
      </c>
      <c r="P609">
        <v>0.99394369999999999</v>
      </c>
      <c r="Q609">
        <v>-2.1651730000000001E-2</v>
      </c>
      <c r="R609">
        <v>0.107737899999999</v>
      </c>
      <c r="S609">
        <v>3.015625</v>
      </c>
      <c r="T609">
        <v>-4.0512800000000002E-2</v>
      </c>
      <c r="U609">
        <v>1.5777590000000001E-2</v>
      </c>
      <c r="V609">
        <v>-0.1202141</v>
      </c>
      <c r="W609">
        <v>-1.231636E-2</v>
      </c>
      <c r="X609">
        <v>0.99267159999999999</v>
      </c>
      <c r="Y609">
        <v>-1.7789820000000001E-2</v>
      </c>
      <c r="Z609">
        <v>2.8823180000000001E-4</v>
      </c>
      <c r="AA609">
        <v>0.99984169999999895</v>
      </c>
      <c r="AB609">
        <v>29</v>
      </c>
      <c r="AC609">
        <v>85.749200000000002</v>
      </c>
      <c r="AD609">
        <v>-1.154083</v>
      </c>
      <c r="AE609">
        <v>0.45139999999997799</v>
      </c>
      <c r="AF609">
        <v>-1.5282061336627499</v>
      </c>
      <c r="AG609">
        <v>-1.154083</v>
      </c>
      <c r="AH609">
        <v>85.721237491422997</v>
      </c>
      <c r="AI609">
        <v>90.771215964591406</v>
      </c>
      <c r="AJ609">
        <v>91.021339516445295</v>
      </c>
      <c r="AK609">
        <v>85.742625797317302</v>
      </c>
    </row>
    <row r="610" spans="1:37" x14ac:dyDescent="0.2">
      <c r="A610" t="str">
        <f>"20200111155513255"</f>
        <v>20200111155513255</v>
      </c>
      <c r="B610" t="str">
        <f>"1578729313243306"</f>
        <v>1578729313243306</v>
      </c>
      <c r="C610" t="s">
        <v>37</v>
      </c>
      <c r="D610">
        <v>4.5089569999999997</v>
      </c>
      <c r="E610">
        <v>0.5393289</v>
      </c>
      <c r="F610" t="s">
        <v>39</v>
      </c>
      <c r="G610">
        <v>-297.72460000000001</v>
      </c>
      <c r="H610">
        <v>-0.05</v>
      </c>
      <c r="I610">
        <v>368.1207</v>
      </c>
      <c r="J610">
        <v>-381.94529999999997</v>
      </c>
      <c r="K610">
        <v>1.1040889999999901</v>
      </c>
      <c r="L610">
        <v>367.75990000000002</v>
      </c>
      <c r="M610">
        <v>0.99987739999999903</v>
      </c>
      <c r="N610">
        <v>0</v>
      </c>
      <c r="O610">
        <v>-1.25089E-2</v>
      </c>
      <c r="P610">
        <v>0.99393709999999902</v>
      </c>
      <c r="Q610">
        <v>-2.125819E-2</v>
      </c>
      <c r="R610">
        <v>0.107877</v>
      </c>
      <c r="S610">
        <v>3.0159609999999999</v>
      </c>
      <c r="T610">
        <v>-4.121876E-2</v>
      </c>
      <c r="U610">
        <v>1.2786870000000001E-2</v>
      </c>
      <c r="V610">
        <v>-0.120301299999999</v>
      </c>
      <c r="W610">
        <v>-1.191278E-2</v>
      </c>
      <c r="X610">
        <v>0.99266589999999999</v>
      </c>
      <c r="Y610">
        <v>-1.6745980000000001E-2</v>
      </c>
      <c r="Z610">
        <v>2.8538099999999899E-4</v>
      </c>
      <c r="AA610">
        <v>0.99985979999999997</v>
      </c>
      <c r="AB610">
        <v>29</v>
      </c>
      <c r="AC610">
        <v>84.220699999999894</v>
      </c>
      <c r="AD610">
        <v>-1.1540889999999999</v>
      </c>
      <c r="AE610">
        <v>0.36079999999998302</v>
      </c>
      <c r="AF610">
        <v>-1.4140612932918</v>
      </c>
      <c r="AG610">
        <v>-1.1540889999999999</v>
      </c>
      <c r="AH610">
        <v>84.193787318646301</v>
      </c>
      <c r="AI610">
        <v>90.785223796044406</v>
      </c>
      <c r="AJ610">
        <v>90.962210275359695</v>
      </c>
      <c r="AK610">
        <v>84.213569653699807</v>
      </c>
    </row>
    <row r="611" spans="1:37" x14ac:dyDescent="0.2">
      <c r="A611" t="str">
        <f>"20200111155513265"</f>
        <v>20200111155513265</v>
      </c>
      <c r="B611" t="str">
        <f>"1578729313262827"</f>
        <v>1578729313262827</v>
      </c>
      <c r="C611" t="s">
        <v>37</v>
      </c>
      <c r="D611">
        <v>4.5247729999999997</v>
      </c>
      <c r="E611">
        <v>0.53936619999999902</v>
      </c>
      <c r="F611" t="s">
        <v>39</v>
      </c>
      <c r="G611">
        <v>-297.62279999999998</v>
      </c>
      <c r="H611">
        <v>-0.05</v>
      </c>
      <c r="I611">
        <v>368.07470000000001</v>
      </c>
      <c r="J611">
        <v>-381.80029999999999</v>
      </c>
      <c r="K611">
        <v>1.1040909999999999</v>
      </c>
      <c r="L611">
        <v>367.75810000000001</v>
      </c>
      <c r="M611">
        <v>0.99987780000000004</v>
      </c>
      <c r="N611">
        <v>0</v>
      </c>
      <c r="O611">
        <v>-1.247496E-2</v>
      </c>
      <c r="P611">
        <v>0.99392849999999999</v>
      </c>
      <c r="Q611">
        <v>-2.1152839999999999E-2</v>
      </c>
      <c r="R611">
        <v>0.10797799999999901</v>
      </c>
      <c r="S611">
        <v>3.0162049999999998</v>
      </c>
      <c r="T611">
        <v>-4.1281579999999998E-2</v>
      </c>
      <c r="U611">
        <v>1.126099E-2</v>
      </c>
      <c r="V611">
        <v>-0.1203687</v>
      </c>
      <c r="W611">
        <v>-1.180104E-2</v>
      </c>
      <c r="X611">
        <v>0.99265910000000002</v>
      </c>
      <c r="Y611">
        <v>-1.6205919999999999E-2</v>
      </c>
      <c r="Z611">
        <v>2.8163279999999998E-4</v>
      </c>
      <c r="AA611">
        <v>0.9998686</v>
      </c>
      <c r="AB611">
        <v>29</v>
      </c>
      <c r="AC611">
        <v>84.177499999999995</v>
      </c>
      <c r="AD611">
        <v>-1.154091</v>
      </c>
      <c r="AE611">
        <v>0.316599999999993</v>
      </c>
      <c r="AF611">
        <v>-1.3664760615453899</v>
      </c>
      <c r="AG611">
        <v>-1.154091</v>
      </c>
      <c r="AH611">
        <v>84.151181713612502</v>
      </c>
      <c r="AI611">
        <v>90.785629889426204</v>
      </c>
      <c r="AJ611">
        <v>90.930306967348599</v>
      </c>
      <c r="AK611">
        <v>84.170188111114996</v>
      </c>
    </row>
    <row r="612" spans="1:37" x14ac:dyDescent="0.2">
      <c r="A612" t="str">
        <f>"20200111155513278"</f>
        <v>20200111155513278</v>
      </c>
      <c r="B612" t="str">
        <f>"1578729313273563"</f>
        <v>1578729313273563</v>
      </c>
      <c r="C612" t="s">
        <v>37</v>
      </c>
      <c r="D612">
        <v>4.5849489999999999</v>
      </c>
      <c r="E612">
        <v>0.539686</v>
      </c>
      <c r="F612" t="s">
        <v>39</v>
      </c>
      <c r="G612">
        <v>-299.45699999999999</v>
      </c>
      <c r="H612">
        <v>-0.05</v>
      </c>
      <c r="I612">
        <v>368.07299999999998</v>
      </c>
      <c r="J612">
        <v>-381.63010000000003</v>
      </c>
      <c r="K612">
        <v>1.1040920000000001</v>
      </c>
      <c r="L612">
        <v>367.75599999999997</v>
      </c>
      <c r="M612">
        <v>0.99987819999999905</v>
      </c>
      <c r="N612">
        <v>0</v>
      </c>
      <c r="O612">
        <v>-1.2435420000000001E-2</v>
      </c>
      <c r="P612">
        <v>0.99393299999999996</v>
      </c>
      <c r="Q612">
        <v>-2.0690360000000001E-2</v>
      </c>
      <c r="R612">
        <v>0.1080242</v>
      </c>
      <c r="S612">
        <v>3.0161739999999999</v>
      </c>
      <c r="T612">
        <v>-4.2273520000000002E-2</v>
      </c>
      <c r="U612">
        <v>1.153564E-2</v>
      </c>
      <c r="V612">
        <v>-0.1203755</v>
      </c>
      <c r="W612">
        <v>-1.1331000000000001E-2</v>
      </c>
      <c r="X612">
        <v>0.99266369999999904</v>
      </c>
      <c r="Y612">
        <v>-1.625733E-2</v>
      </c>
      <c r="Z612">
        <v>2.882084E-4</v>
      </c>
      <c r="AA612">
        <v>0.99986779999999997</v>
      </c>
      <c r="AB612">
        <v>29</v>
      </c>
      <c r="AC612">
        <v>82.173100000000005</v>
      </c>
      <c r="AD612">
        <v>-1.1540919999999999</v>
      </c>
      <c r="AE612">
        <v>0.31700000000006401</v>
      </c>
      <c r="AF612">
        <v>-1.33861390510291</v>
      </c>
      <c r="AG612">
        <v>-1.1540919999999999</v>
      </c>
      <c r="AH612">
        <v>82.146600031236503</v>
      </c>
      <c r="AI612">
        <v>90.804798674596</v>
      </c>
      <c r="AJ612">
        <v>90.933576550796005</v>
      </c>
      <c r="AK612">
        <v>82.165611494245795</v>
      </c>
    </row>
    <row r="613" spans="1:37" x14ac:dyDescent="0.2">
      <c r="A613" t="str">
        <f>"20200111155513289"</f>
        <v>20200111155513289</v>
      </c>
      <c r="B613" t="str">
        <f>"1578729313283323"</f>
        <v>1578729313283323</v>
      </c>
      <c r="C613" t="s">
        <v>37</v>
      </c>
      <c r="D613">
        <v>4.5417149999999999</v>
      </c>
      <c r="E613">
        <v>0.53988480000000005</v>
      </c>
      <c r="F613" t="s">
        <v>39</v>
      </c>
      <c r="G613">
        <v>-296.52690000000001</v>
      </c>
      <c r="H613">
        <v>-0.05</v>
      </c>
      <c r="I613">
        <v>368.01429999999999</v>
      </c>
      <c r="J613">
        <v>-381.48570000000001</v>
      </c>
      <c r="K613">
        <v>1.104096</v>
      </c>
      <c r="L613">
        <v>367.75420000000003</v>
      </c>
      <c r="M613">
        <v>0.99987859999999995</v>
      </c>
      <c r="N613">
        <v>0</v>
      </c>
      <c r="O613">
        <v>-1.240171E-2</v>
      </c>
      <c r="P613">
        <v>0.99394369999999999</v>
      </c>
      <c r="Q613">
        <v>-2.0480890000000002E-2</v>
      </c>
      <c r="R613">
        <v>0.1079658</v>
      </c>
      <c r="S613">
        <v>3.0165099999999998</v>
      </c>
      <c r="T613">
        <v>-4.0907140000000002E-2</v>
      </c>
      <c r="U613">
        <v>9.1552730000000002E-3</v>
      </c>
      <c r="V613">
        <v>-0.1202839</v>
      </c>
      <c r="W613">
        <v>-1.111505E-2</v>
      </c>
      <c r="X613">
        <v>0.99267729999999998</v>
      </c>
      <c r="Y613">
        <v>-1.5434460000000001E-2</v>
      </c>
      <c r="Z613">
        <v>2.728265E-4</v>
      </c>
      <c r="AA613">
        <v>0.99988089999999996</v>
      </c>
      <c r="AB613">
        <v>29</v>
      </c>
      <c r="AC613">
        <v>84.958799999999997</v>
      </c>
      <c r="AD613">
        <v>-1.154096</v>
      </c>
      <c r="AE613">
        <v>0.26009999999996503</v>
      </c>
      <c r="AF613">
        <v>-1.3135188943664</v>
      </c>
      <c r="AG613">
        <v>-1.154096</v>
      </c>
      <c r="AH613">
        <v>84.933367292066094</v>
      </c>
      <c r="AI613">
        <v>90.778408509009694</v>
      </c>
      <c r="AJ613">
        <v>90.886025035680305</v>
      </c>
      <c r="AK613">
        <v>84.951363432449298</v>
      </c>
    </row>
    <row r="614" spans="1:37" x14ac:dyDescent="0.2">
      <c r="A614" t="str">
        <f>"20200111155513300"</f>
        <v>20200111155513300</v>
      </c>
      <c r="B614" t="str">
        <f>"1578729313293083"</f>
        <v>1578729313293083</v>
      </c>
      <c r="C614" t="s">
        <v>37</v>
      </c>
      <c r="D614">
        <v>4.5752009999999999</v>
      </c>
      <c r="E614">
        <v>0.54004280000000005</v>
      </c>
      <c r="F614" t="s">
        <v>39</v>
      </c>
      <c r="G614">
        <v>-296.28089999999997</v>
      </c>
      <c r="H614">
        <v>-0.05</v>
      </c>
      <c r="I614">
        <v>367.95859999999999</v>
      </c>
      <c r="J614">
        <v>-381.3347</v>
      </c>
      <c r="K614">
        <v>1.1041000000000001</v>
      </c>
      <c r="L614">
        <v>367.75240000000002</v>
      </c>
      <c r="M614">
        <v>0.99987890000000001</v>
      </c>
      <c r="N614">
        <v>0</v>
      </c>
      <c r="O614">
        <v>-1.236669E-2</v>
      </c>
      <c r="P614">
        <v>0.99393220000000004</v>
      </c>
      <c r="Q614">
        <v>-2.042478E-2</v>
      </c>
      <c r="R614">
        <v>0.1080821</v>
      </c>
      <c r="S614">
        <v>3.016632</v>
      </c>
      <c r="T614">
        <v>-4.0860180000000003E-2</v>
      </c>
      <c r="U614">
        <v>7.2326659999999996E-3</v>
      </c>
      <c r="V614">
        <v>-0.1203654</v>
      </c>
      <c r="W614">
        <v>-1.105243E-2</v>
      </c>
      <c r="X614">
        <v>0.992668199999999</v>
      </c>
      <c r="Y614">
        <v>-1.476213E-2</v>
      </c>
      <c r="Z614">
        <v>2.674749E-4</v>
      </c>
      <c r="AA614">
        <v>0.99989099999999997</v>
      </c>
      <c r="AB614">
        <v>29</v>
      </c>
      <c r="AC614">
        <v>85.053799999999995</v>
      </c>
      <c r="AD614">
        <v>-1.1540999999999999</v>
      </c>
      <c r="AE614">
        <v>0.20619999999996699</v>
      </c>
      <c r="AF614">
        <v>-1.2578335595697001</v>
      </c>
      <c r="AG614">
        <v>-1.1540999999999999</v>
      </c>
      <c r="AH614">
        <v>85.029089784161997</v>
      </c>
      <c r="AI614">
        <v>90.777542914605405</v>
      </c>
      <c r="AJ614">
        <v>90.847513459123803</v>
      </c>
      <c r="AK614">
        <v>85.046223911450994</v>
      </c>
    </row>
    <row r="615" spans="1:37" x14ac:dyDescent="0.2">
      <c r="A615" t="str">
        <f>"20200111155513313"</f>
        <v>20200111155513313</v>
      </c>
      <c r="B615" t="str">
        <f>"1578729313302843"</f>
        <v>1578729313302843</v>
      </c>
      <c r="C615" t="s">
        <v>37</v>
      </c>
      <c r="D615">
        <v>4.5511010000000001</v>
      </c>
      <c r="E615">
        <v>0.54009090000000004</v>
      </c>
      <c r="F615" t="s">
        <v>39</v>
      </c>
      <c r="G615">
        <v>-298.03840000000002</v>
      </c>
      <c r="H615">
        <v>-0.05</v>
      </c>
      <c r="I615">
        <v>367.93520000000001</v>
      </c>
      <c r="J615">
        <v>-381.16419999999999</v>
      </c>
      <c r="K615">
        <v>1.104101</v>
      </c>
      <c r="L615">
        <v>367.75029999999998</v>
      </c>
      <c r="M615">
        <v>0.99987939999999997</v>
      </c>
      <c r="N615">
        <v>0</v>
      </c>
      <c r="O615">
        <v>-1.232667E-2</v>
      </c>
      <c r="P615">
        <v>0.993947899999999</v>
      </c>
      <c r="Q615">
        <v>-1.9939910000000002E-2</v>
      </c>
      <c r="R615">
        <v>0.1080291</v>
      </c>
      <c r="S615">
        <v>3.0167540000000002</v>
      </c>
      <c r="T615">
        <v>-4.1798229999999999E-2</v>
      </c>
      <c r="U615">
        <v>6.6223139999999998E-3</v>
      </c>
      <c r="V615">
        <v>-0.1202728</v>
      </c>
      <c r="W615">
        <v>-1.055996E-2</v>
      </c>
      <c r="X615">
        <v>0.99268469999999998</v>
      </c>
      <c r="Y615">
        <v>-1.451963E-2</v>
      </c>
      <c r="Z615">
        <v>2.71369599999999E-4</v>
      </c>
      <c r="AA615">
        <v>0.99989459999999997</v>
      </c>
      <c r="AB615">
        <v>29</v>
      </c>
      <c r="AC615">
        <v>83.125799999999899</v>
      </c>
      <c r="AD615">
        <v>-1.154101</v>
      </c>
      <c r="AE615">
        <v>0.18490000000002699</v>
      </c>
      <c r="AF615">
        <v>-1.2093628635962199</v>
      </c>
      <c r="AG615">
        <v>-1.154101</v>
      </c>
      <c r="AH615">
        <v>83.101186074049807</v>
      </c>
      <c r="AI615">
        <v>90.795582698995105</v>
      </c>
      <c r="AJ615">
        <v>90.833760626201297</v>
      </c>
      <c r="AK615">
        <v>83.117998258908301</v>
      </c>
    </row>
    <row r="616" spans="1:37" x14ac:dyDescent="0.2">
      <c r="A616" t="str">
        <f>"20200111155513327"</f>
        <v>20200111155513327</v>
      </c>
      <c r="B616" t="str">
        <f>"1578729313322760"</f>
        <v>1578729313322760</v>
      </c>
      <c r="C616" t="s">
        <v>37</v>
      </c>
      <c r="D616">
        <v>4.6075599999999897</v>
      </c>
      <c r="E616">
        <v>0.54037639999999998</v>
      </c>
      <c r="F616" t="s">
        <v>39</v>
      </c>
      <c r="G616">
        <v>-298.73180000000002</v>
      </c>
      <c r="H616">
        <v>-0.05</v>
      </c>
      <c r="I616">
        <v>367.91539999999998</v>
      </c>
      <c r="J616">
        <v>-380.99599999999998</v>
      </c>
      <c r="K616">
        <v>1.104098</v>
      </c>
      <c r="L616">
        <v>367.74829999999997</v>
      </c>
      <c r="M616">
        <v>0.99987979999999999</v>
      </c>
      <c r="N616">
        <v>0</v>
      </c>
      <c r="O616">
        <v>-1.228749E-2</v>
      </c>
      <c r="P616">
        <v>0.99394919999999998</v>
      </c>
      <c r="Q616">
        <v>-1.958317E-2</v>
      </c>
      <c r="R616">
        <v>0.1080836</v>
      </c>
      <c r="S616">
        <v>3.0166930000000001</v>
      </c>
      <c r="T616">
        <v>-4.2235490000000001E-2</v>
      </c>
      <c r="U616">
        <v>6.0424800000000002E-3</v>
      </c>
      <c r="V616">
        <v>-0.120287899999999</v>
      </c>
      <c r="W616">
        <v>-1.019598E-2</v>
      </c>
      <c r="X616">
        <v>0.99268670000000003</v>
      </c>
      <c r="Y616">
        <v>-1.428827E-2</v>
      </c>
      <c r="Z616">
        <v>2.7204559999999999E-4</v>
      </c>
      <c r="AA616">
        <v>0.99989789999999901</v>
      </c>
      <c r="AB616">
        <v>29</v>
      </c>
      <c r="AC616">
        <v>82.264199999999903</v>
      </c>
      <c r="AD616">
        <v>-1.1540979999999901</v>
      </c>
      <c r="AE616">
        <v>0.167100000000004</v>
      </c>
      <c r="AF616">
        <v>-1.17772131181004</v>
      </c>
      <c r="AG616">
        <v>-1.1540979999999901</v>
      </c>
      <c r="AH616">
        <v>82.239749503590602</v>
      </c>
      <c r="AI616">
        <v>90.803915705592004</v>
      </c>
      <c r="AJ616">
        <v>90.820452989894093</v>
      </c>
      <c r="AK616">
        <v>82.256278593765899</v>
      </c>
    </row>
    <row r="617" spans="1:37" x14ac:dyDescent="0.2">
      <c r="A617" t="str">
        <f>"20200111155513339"</f>
        <v>20200111155513339</v>
      </c>
      <c r="B617" t="str">
        <f>"1578729313333496"</f>
        <v>1578729313333496</v>
      </c>
      <c r="C617" t="s">
        <v>37</v>
      </c>
      <c r="D617">
        <v>4.6120169999999998</v>
      </c>
      <c r="E617">
        <v>0.54043750000000002</v>
      </c>
      <c r="F617" t="s">
        <v>39</v>
      </c>
      <c r="G617">
        <v>-300.59809999999999</v>
      </c>
      <c r="H617">
        <v>-0.05</v>
      </c>
      <c r="I617">
        <v>367.84910000000002</v>
      </c>
      <c r="J617">
        <v>-380.82850000000002</v>
      </c>
      <c r="K617">
        <v>1.104101</v>
      </c>
      <c r="L617">
        <v>367.74630000000002</v>
      </c>
      <c r="M617">
        <v>0.99988029999999894</v>
      </c>
      <c r="N617">
        <v>0</v>
      </c>
      <c r="O617">
        <v>-1.224854E-2</v>
      </c>
      <c r="P617">
        <v>0.99397559999999996</v>
      </c>
      <c r="Q617">
        <v>-1.9322809999999999E-2</v>
      </c>
      <c r="R617">
        <v>0.10788540000000001</v>
      </c>
      <c r="S617">
        <v>3.017029</v>
      </c>
      <c r="T617">
        <v>-4.3308970000000002E-2</v>
      </c>
      <c r="U617">
        <v>3.7841799999999998E-3</v>
      </c>
      <c r="V617">
        <v>-0.12005159999999999</v>
      </c>
      <c r="W617">
        <v>-9.9281690000000006E-3</v>
      </c>
      <c r="X617">
        <v>0.99271799999999999</v>
      </c>
      <c r="Y617">
        <v>-1.35006E-2</v>
      </c>
      <c r="Z617">
        <v>2.7271620000000001E-4</v>
      </c>
      <c r="AA617">
        <v>0.99990879999999904</v>
      </c>
      <c r="AB617">
        <v>29</v>
      </c>
      <c r="AC617">
        <v>80.230400000000003</v>
      </c>
      <c r="AD617">
        <v>-1.154101</v>
      </c>
      <c r="AE617">
        <v>0.102800000000002</v>
      </c>
      <c r="AF617">
        <v>-1.08531688380665</v>
      </c>
      <c r="AG617">
        <v>-1.154101</v>
      </c>
      <c r="AH617">
        <v>80.206525093850303</v>
      </c>
      <c r="AI617">
        <v>90.824303278499997</v>
      </c>
      <c r="AJ617">
        <v>90.775252161493398</v>
      </c>
      <c r="AK617">
        <v>80.2221698128822</v>
      </c>
    </row>
    <row r="618" spans="1:37" x14ac:dyDescent="0.2">
      <c r="A618" t="str">
        <f>"20200111155513353"</f>
        <v>20200111155513353</v>
      </c>
      <c r="B618" t="str">
        <f>"1578729313343256"</f>
        <v>1578729313343256</v>
      </c>
      <c r="C618" t="s">
        <v>37</v>
      </c>
      <c r="D618">
        <v>4.6715859999999996</v>
      </c>
      <c r="E618">
        <v>0.54048189999999996</v>
      </c>
      <c r="F618" t="s">
        <v>39</v>
      </c>
      <c r="G618">
        <v>-301.37009999999998</v>
      </c>
      <c r="H618">
        <v>-0.05</v>
      </c>
      <c r="I618">
        <v>367.8211</v>
      </c>
      <c r="J618">
        <v>-380.6327</v>
      </c>
      <c r="K618">
        <v>1.104106</v>
      </c>
      <c r="L618">
        <v>367.7439</v>
      </c>
      <c r="M618">
        <v>0.99988069999999896</v>
      </c>
      <c r="N618">
        <v>0</v>
      </c>
      <c r="O618">
        <v>-1.2203159999999999E-2</v>
      </c>
      <c r="P618">
        <v>0.99399850000000001</v>
      </c>
      <c r="Q618">
        <v>-1.8549619999999999E-2</v>
      </c>
      <c r="R618">
        <v>0.10781059999999899</v>
      </c>
      <c r="S618">
        <v>3.0170590000000002</v>
      </c>
      <c r="T618">
        <v>-4.3821569999999997E-2</v>
      </c>
      <c r="U618">
        <v>2.8381349999999999E-3</v>
      </c>
      <c r="V618">
        <v>-0.11993230000000001</v>
      </c>
      <c r="W618">
        <v>-9.1464670000000001E-3</v>
      </c>
      <c r="X618">
        <v>0.99273989999999901</v>
      </c>
      <c r="Y618">
        <v>-1.314165E-2</v>
      </c>
      <c r="Z618">
        <v>2.7267509999999998E-4</v>
      </c>
      <c r="AA618">
        <v>0.99991359999999996</v>
      </c>
      <c r="AB618">
        <v>29</v>
      </c>
      <c r="AC618">
        <v>79.262600000000006</v>
      </c>
      <c r="AD618">
        <v>-1.1541060000000001</v>
      </c>
      <c r="AE618">
        <v>7.7200000000004806E-2</v>
      </c>
      <c r="AF618">
        <v>-1.0442704152359199</v>
      </c>
      <c r="AG618">
        <v>-1.1541060000000001</v>
      </c>
      <c r="AH618">
        <v>79.2389559718264</v>
      </c>
      <c r="AI618">
        <v>90.834374790705496</v>
      </c>
      <c r="AJ618">
        <v>90.755043061973097</v>
      </c>
      <c r="AK618">
        <v>79.254240295800003</v>
      </c>
    </row>
    <row r="619" spans="1:37" x14ac:dyDescent="0.2">
      <c r="A619" t="str">
        <f>"20200111155513367"</f>
        <v>20200111155513367</v>
      </c>
      <c r="B619" t="str">
        <f>"1578729313363753"</f>
        <v>1578729313363753</v>
      </c>
      <c r="C619" t="s">
        <v>37</v>
      </c>
      <c r="D619">
        <v>4.6158269999999897</v>
      </c>
      <c r="E619">
        <v>0.54053619999999902</v>
      </c>
      <c r="F619" t="s">
        <v>39</v>
      </c>
      <c r="G619">
        <v>-298.1377</v>
      </c>
      <c r="H619">
        <v>-0.05</v>
      </c>
      <c r="I619">
        <v>367.80399999999997</v>
      </c>
      <c r="J619">
        <v>-380.46510000000001</v>
      </c>
      <c r="K619">
        <v>1.1041069999999999</v>
      </c>
      <c r="L619">
        <v>367.74189999999999</v>
      </c>
      <c r="M619">
        <v>0.99988099999999902</v>
      </c>
      <c r="N619">
        <v>0</v>
      </c>
      <c r="O619">
        <v>-1.2164090000000001E-2</v>
      </c>
      <c r="P619">
        <v>0.99401679999999903</v>
      </c>
      <c r="Q619">
        <v>-1.8184220000000001E-2</v>
      </c>
      <c r="R619">
        <v>0.1077038</v>
      </c>
      <c r="S619">
        <v>3.0171199999999998</v>
      </c>
      <c r="T619">
        <v>-4.2209509999999999E-2</v>
      </c>
      <c r="U619">
        <v>2.1972659999999998E-3</v>
      </c>
      <c r="V619">
        <v>-0.1197868</v>
      </c>
      <c r="W619">
        <v>-8.7738290000000003E-3</v>
      </c>
      <c r="X619">
        <v>0.9927608</v>
      </c>
      <c r="Y619">
        <v>-1.289039E-2</v>
      </c>
      <c r="Z619">
        <v>2.603358E-4</v>
      </c>
      <c r="AA619">
        <v>0.9999169</v>
      </c>
      <c r="AB619">
        <v>29</v>
      </c>
      <c r="AC619">
        <v>82.327399999999997</v>
      </c>
      <c r="AD619">
        <v>-1.154107</v>
      </c>
      <c r="AE619">
        <v>6.2100000000043502E-2</v>
      </c>
      <c r="AF619">
        <v>-1.06336941470739</v>
      </c>
      <c r="AG619">
        <v>-1.154107</v>
      </c>
      <c r="AH619">
        <v>82.304378691432603</v>
      </c>
      <c r="AI619">
        <v>90.803306099708905</v>
      </c>
      <c r="AJ619">
        <v>90.740218087657297</v>
      </c>
      <c r="AK619">
        <v>82.319338367496201</v>
      </c>
    </row>
    <row r="620" spans="1:37" x14ac:dyDescent="0.2">
      <c r="A620" t="str">
        <f>"20200111155513381"</f>
        <v>20200111155513381</v>
      </c>
      <c r="B620" t="str">
        <f>"1578729313373512"</f>
        <v>1578729313373512</v>
      </c>
      <c r="C620" t="s">
        <v>37</v>
      </c>
      <c r="D620">
        <v>4.6625750000000004</v>
      </c>
      <c r="E620">
        <v>0.54058430000000002</v>
      </c>
      <c r="F620" t="s">
        <v>39</v>
      </c>
      <c r="G620">
        <v>-302.68119999999999</v>
      </c>
      <c r="H620">
        <v>-0.05</v>
      </c>
      <c r="I620">
        <v>367.78129999999999</v>
      </c>
      <c r="J620">
        <v>-380.27809999999999</v>
      </c>
      <c r="K620">
        <v>1.104109</v>
      </c>
      <c r="L620">
        <v>367.73970000000003</v>
      </c>
      <c r="M620">
        <v>0.99988140000000003</v>
      </c>
      <c r="N620">
        <v>0</v>
      </c>
      <c r="O620">
        <v>-1.212073E-2</v>
      </c>
      <c r="P620">
        <v>0.99399789999999999</v>
      </c>
      <c r="Q620">
        <v>-1.799276E-2</v>
      </c>
      <c r="R620">
        <v>0.1079085</v>
      </c>
      <c r="S620">
        <v>3.01709</v>
      </c>
      <c r="T620">
        <v>-4.4765590000000001E-2</v>
      </c>
      <c r="U620">
        <v>1.525879E-3</v>
      </c>
      <c r="V620">
        <v>-0.119948499999999</v>
      </c>
      <c r="W620">
        <v>-8.5747970000000003E-3</v>
      </c>
      <c r="X620">
        <v>0.99274309999999999</v>
      </c>
      <c r="Y620">
        <v>-1.262426E-2</v>
      </c>
      <c r="Z620">
        <v>2.7348459999999999E-4</v>
      </c>
      <c r="AA620">
        <v>0.99992019999999904</v>
      </c>
      <c r="AB620">
        <v>29</v>
      </c>
      <c r="AC620">
        <v>77.596900000000005</v>
      </c>
      <c r="AD620">
        <v>-1.1541090000000001</v>
      </c>
      <c r="AE620">
        <v>4.1599999999959801E-2</v>
      </c>
      <c r="AF620">
        <v>-0.98195325523119903</v>
      </c>
      <c r="AG620">
        <v>-1.1541090000000001</v>
      </c>
      <c r="AH620">
        <v>77.573535026320997</v>
      </c>
      <c r="AI620">
        <v>90.852293254822001</v>
      </c>
      <c r="AJ620">
        <v>90.725231516890204</v>
      </c>
      <c r="AK620">
        <v>77.588333763905396</v>
      </c>
    </row>
    <row r="621" spans="1:37" x14ac:dyDescent="0.2">
      <c r="A621" t="str">
        <f>"20200111155513394"</f>
        <v>20200111155513394</v>
      </c>
      <c r="B621" t="str">
        <f>"1578729313383272"</f>
        <v>1578729313383272</v>
      </c>
      <c r="C621" t="s">
        <v>37</v>
      </c>
      <c r="D621">
        <v>4.6558089999999996</v>
      </c>
      <c r="E621">
        <v>0.54058309999999998</v>
      </c>
      <c r="F621" t="s">
        <v>39</v>
      </c>
      <c r="G621">
        <v>-304.27710000000002</v>
      </c>
      <c r="H621">
        <v>-0.05</v>
      </c>
      <c r="I621">
        <v>367.77890000000002</v>
      </c>
      <c r="J621">
        <v>-380.10059999999999</v>
      </c>
      <c r="K621">
        <v>1.1041099999999999</v>
      </c>
      <c r="L621">
        <v>367.73759999999999</v>
      </c>
      <c r="M621">
        <v>0.99988189999999999</v>
      </c>
      <c r="N621">
        <v>0</v>
      </c>
      <c r="O621">
        <v>-1.2079640000000001E-2</v>
      </c>
      <c r="P621">
        <v>0.99398759999999997</v>
      </c>
      <c r="Q621">
        <v>-1.7616739999999999E-2</v>
      </c>
      <c r="R621">
        <v>0.1080665</v>
      </c>
      <c r="S621">
        <v>3.0171199999999998</v>
      </c>
      <c r="T621">
        <v>-4.5816299999999997E-2</v>
      </c>
      <c r="U621">
        <v>1.556396E-3</v>
      </c>
      <c r="V621">
        <v>-0.1200658</v>
      </c>
      <c r="W621">
        <v>-8.1915770000000002E-3</v>
      </c>
      <c r="X621">
        <v>0.99273219999999995</v>
      </c>
      <c r="Y621">
        <v>-1.2593160000000001E-2</v>
      </c>
      <c r="Z621">
        <v>2.7903999999999998E-4</v>
      </c>
      <c r="AA621">
        <v>0.9999207</v>
      </c>
      <c r="AB621">
        <v>29</v>
      </c>
      <c r="AC621">
        <v>75.823499999999896</v>
      </c>
      <c r="AD621">
        <v>-1.15411</v>
      </c>
      <c r="AE621">
        <v>4.1300000000035197E-2</v>
      </c>
      <c r="AF621">
        <v>-0.95703718668124504</v>
      </c>
      <c r="AG621">
        <v>-1.15411</v>
      </c>
      <c r="AH621">
        <v>75.799907146786595</v>
      </c>
      <c r="AI621">
        <v>90.872233973936005</v>
      </c>
      <c r="AJ621">
        <v>90.723368672056196</v>
      </c>
      <c r="AK621">
        <v>75.814733485848606</v>
      </c>
    </row>
    <row r="622" spans="1:37" x14ac:dyDescent="0.2">
      <c r="A622" t="str">
        <f>"20200111155513411"</f>
        <v>20200111155513411</v>
      </c>
      <c r="B622" t="str">
        <f>"1578729313402792"</f>
        <v>1578729313402792</v>
      </c>
      <c r="C622" t="s">
        <v>37</v>
      </c>
      <c r="D622">
        <v>4.6857730000000002</v>
      </c>
      <c r="E622">
        <v>0.54058280000000003</v>
      </c>
      <c r="F622" t="s">
        <v>39</v>
      </c>
      <c r="G622">
        <v>-304.60469999999998</v>
      </c>
      <c r="H622">
        <v>-0.05</v>
      </c>
      <c r="I622">
        <v>367.79109999999997</v>
      </c>
      <c r="J622">
        <v>-379.88990000000001</v>
      </c>
      <c r="K622">
        <v>1.104112</v>
      </c>
      <c r="L622">
        <v>367.73509999999999</v>
      </c>
      <c r="M622">
        <v>0.99988239999999995</v>
      </c>
      <c r="N622">
        <v>0</v>
      </c>
      <c r="O622">
        <v>-1.203045E-2</v>
      </c>
      <c r="P622">
        <v>0.99399130000000002</v>
      </c>
      <c r="Q622">
        <v>-1.7309040000000001E-2</v>
      </c>
      <c r="R622">
        <v>0.10808179999999901</v>
      </c>
      <c r="S622">
        <v>3.0170590000000002</v>
      </c>
      <c r="T622">
        <v>-4.6121950000000002E-2</v>
      </c>
      <c r="U622">
        <v>2.1362299999999998E-3</v>
      </c>
      <c r="V622">
        <v>-0.120032</v>
      </c>
      <c r="W622">
        <v>-7.8751649999999999E-3</v>
      </c>
      <c r="X622">
        <v>0.99273880000000003</v>
      </c>
      <c r="Y622">
        <v>-1.273609E-2</v>
      </c>
      <c r="Z622">
        <v>2.8124749999999999E-4</v>
      </c>
      <c r="AA622">
        <v>0.99991890000000005</v>
      </c>
      <c r="AB622">
        <v>29</v>
      </c>
      <c r="AC622">
        <v>75.285200000000003</v>
      </c>
      <c r="AD622">
        <v>-1.154112</v>
      </c>
      <c r="AE622">
        <v>5.5999999999983098E-2</v>
      </c>
      <c r="AF622">
        <v>-0.96152578405239697</v>
      </c>
      <c r="AG622">
        <v>-1.154112</v>
      </c>
      <c r="AH622">
        <v>75.261390718986604</v>
      </c>
      <c r="AI622">
        <v>90.878473928111504</v>
      </c>
      <c r="AJ622">
        <v>90.731960593884196</v>
      </c>
      <c r="AK622">
        <v>75.276380354649802</v>
      </c>
    </row>
    <row r="623" spans="1:37" x14ac:dyDescent="0.2">
      <c r="A623" t="str">
        <f>"20200111155513424"</f>
        <v>20200111155513424</v>
      </c>
      <c r="B623" t="str">
        <f>"1578729313413062"</f>
        <v>1578729313413062</v>
      </c>
      <c r="C623" t="s">
        <v>37</v>
      </c>
      <c r="D623">
        <v>4.6723999999999997</v>
      </c>
      <c r="E623">
        <v>0.540574</v>
      </c>
      <c r="F623" t="s">
        <v>39</v>
      </c>
      <c r="G623">
        <v>-310.21350000000001</v>
      </c>
      <c r="H623">
        <v>-0.05</v>
      </c>
      <c r="I623">
        <v>367.78579999999999</v>
      </c>
      <c r="J623">
        <v>-379.71559999999999</v>
      </c>
      <c r="K623">
        <v>1.1041159999999901</v>
      </c>
      <c r="L623">
        <v>367.733</v>
      </c>
      <c r="M623">
        <v>0.99988290000000002</v>
      </c>
      <c r="N623">
        <v>0</v>
      </c>
      <c r="O623">
        <v>-1.199007E-2</v>
      </c>
      <c r="P623">
        <v>0.99398519999999901</v>
      </c>
      <c r="Q623">
        <v>-1.7043220000000001E-2</v>
      </c>
      <c r="R623">
        <v>0.1081826</v>
      </c>
      <c r="S623">
        <v>3.017029</v>
      </c>
      <c r="T623">
        <v>-4.9973730000000001E-2</v>
      </c>
      <c r="U623">
        <v>2.1972659999999998E-3</v>
      </c>
      <c r="V623">
        <v>-0.1200924</v>
      </c>
      <c r="W623">
        <v>-7.6022669999999898E-3</v>
      </c>
      <c r="X623">
        <v>0.99273359999999899</v>
      </c>
      <c r="Y623">
        <v>-1.271546E-2</v>
      </c>
      <c r="Z623">
        <v>3.0389570000000001E-4</v>
      </c>
      <c r="AA623">
        <v>0.99991909999999895</v>
      </c>
      <c r="AB623">
        <v>30</v>
      </c>
      <c r="AC623">
        <v>69.502099999999899</v>
      </c>
      <c r="AD623">
        <v>-1.1541159999999999</v>
      </c>
      <c r="AE623">
        <v>5.2799999999990598E-2</v>
      </c>
      <c r="AF623">
        <v>-0.88592464129283</v>
      </c>
      <c r="AG623">
        <v>-1.1541159999999999</v>
      </c>
      <c r="AH623">
        <v>69.477312582910102</v>
      </c>
      <c r="AI623">
        <v>90.951598708011005</v>
      </c>
      <c r="AJ623">
        <v>90.730554913516499</v>
      </c>
      <c r="AK623">
        <v>69.492544995523801</v>
      </c>
    </row>
    <row r="624" spans="1:37" x14ac:dyDescent="0.2">
      <c r="A624" t="str">
        <f>"20200111155513436"</f>
        <v>20200111155513436</v>
      </c>
      <c r="B624" t="str">
        <f>"1578729313433556"</f>
        <v>1578729313433556</v>
      </c>
      <c r="C624" t="s">
        <v>37</v>
      </c>
      <c r="D624">
        <v>4.7457839999999996</v>
      </c>
      <c r="E624">
        <v>0.54051850000000001</v>
      </c>
      <c r="F624" t="s">
        <v>39</v>
      </c>
      <c r="G624">
        <v>-311.84960000000001</v>
      </c>
      <c r="H624">
        <v>-0.05</v>
      </c>
      <c r="I624">
        <v>367.79410000000001</v>
      </c>
      <c r="J624">
        <v>-379.546999999999</v>
      </c>
      <c r="K624">
        <v>1.104117</v>
      </c>
      <c r="L624">
        <v>367.73099999999999</v>
      </c>
      <c r="M624">
        <v>0.99988319999999997</v>
      </c>
      <c r="N624">
        <v>0</v>
      </c>
      <c r="O624">
        <v>-1.195076E-2</v>
      </c>
      <c r="P624">
        <v>0.99400900000000003</v>
      </c>
      <c r="Q624">
        <v>-1.6880010000000001E-2</v>
      </c>
      <c r="R624">
        <v>0.10798919999999999</v>
      </c>
      <c r="S624">
        <v>3.017029</v>
      </c>
      <c r="T624">
        <v>-5.1306959999999999E-2</v>
      </c>
      <c r="U624">
        <v>2.7160639999999998E-3</v>
      </c>
      <c r="V624">
        <v>-0.1198606</v>
      </c>
      <c r="W624">
        <v>-7.43188099999999E-3</v>
      </c>
      <c r="X624">
        <v>0.9927629</v>
      </c>
      <c r="Y624">
        <v>-1.2847890000000001E-2</v>
      </c>
      <c r="Z624">
        <v>3.1245969999999998E-4</v>
      </c>
      <c r="AA624">
        <v>0.99991739999999996</v>
      </c>
      <c r="AB624">
        <v>30</v>
      </c>
      <c r="AC624">
        <v>67.697399999999902</v>
      </c>
      <c r="AD624">
        <v>-1.1541170000000001</v>
      </c>
      <c r="AE624">
        <v>6.3100000000019904E-2</v>
      </c>
      <c r="AF624">
        <v>-0.87191417919092695</v>
      </c>
      <c r="AG624">
        <v>-1.1541170000000001</v>
      </c>
      <c r="AH624">
        <v>67.672142738869596</v>
      </c>
      <c r="AI624">
        <v>90.976977144519097</v>
      </c>
      <c r="AJ624">
        <v>90.738180237937797</v>
      </c>
      <c r="AK624">
        <v>67.687599479192002</v>
      </c>
    </row>
    <row r="625" spans="1:37" x14ac:dyDescent="0.2">
      <c r="A625" t="str">
        <f>"20200111155513449"</f>
        <v>20200111155513449</v>
      </c>
      <c r="B625" t="str">
        <f>"1578729313443317"</f>
        <v>1578729313443317</v>
      </c>
      <c r="C625" t="s">
        <v>37</v>
      </c>
      <c r="D625">
        <v>4.7725099999999996</v>
      </c>
      <c r="E625">
        <v>0.54051159999999998</v>
      </c>
      <c r="F625" t="s">
        <v>39</v>
      </c>
      <c r="G625">
        <v>-317.14490000000001</v>
      </c>
      <c r="H625">
        <v>-0.05</v>
      </c>
      <c r="I625">
        <v>367.78980000000001</v>
      </c>
      <c r="J625">
        <v>-379.3784</v>
      </c>
      <c r="K625">
        <v>1.1041159999999901</v>
      </c>
      <c r="L625">
        <v>367.72910000000002</v>
      </c>
      <c r="M625">
        <v>0.99988359999999998</v>
      </c>
      <c r="N625">
        <v>0</v>
      </c>
      <c r="O625">
        <v>-1.1911690000000001E-2</v>
      </c>
      <c r="P625">
        <v>0.99396689999999999</v>
      </c>
      <c r="Q625">
        <v>-1.660818E-2</v>
      </c>
      <c r="R625">
        <v>0.1084164</v>
      </c>
      <c r="S625">
        <v>3.0168759999999999</v>
      </c>
      <c r="T625">
        <v>-5.5796619999999998E-2</v>
      </c>
      <c r="U625">
        <v>2.8381349999999999E-3</v>
      </c>
      <c r="V625">
        <v>-0.12024849999999999</v>
      </c>
      <c r="W625">
        <v>-7.1536339999999999E-3</v>
      </c>
      <c r="X625">
        <v>0.99271799999999999</v>
      </c>
      <c r="Y625">
        <v>-1.2848679999999999E-2</v>
      </c>
      <c r="Z625">
        <v>3.3909929999999998E-4</v>
      </c>
      <c r="AA625">
        <v>0.99991739999999996</v>
      </c>
      <c r="AB625">
        <v>30</v>
      </c>
      <c r="AC625">
        <v>62.2334999999999</v>
      </c>
      <c r="AD625">
        <v>-1.1541159999999999</v>
      </c>
      <c r="AE625">
        <v>6.0699999999996999E-2</v>
      </c>
      <c r="AF625">
        <v>-0.80175981016200704</v>
      </c>
      <c r="AG625">
        <v>-1.1541159999999999</v>
      </c>
      <c r="AH625">
        <v>62.206967407985701</v>
      </c>
      <c r="AI625">
        <v>91.062789321774801</v>
      </c>
      <c r="AJ625">
        <v>90.738420659773993</v>
      </c>
      <c r="AK625">
        <v>62.222838223861601</v>
      </c>
    </row>
    <row r="626" spans="1:37" x14ac:dyDescent="0.2">
      <c r="A626" t="str">
        <f>"20200111155513460"</f>
        <v>20200111155513460</v>
      </c>
      <c r="B626" t="str">
        <f>"1578729313453077"</f>
        <v>1578729313453077</v>
      </c>
      <c r="C626" t="s">
        <v>37</v>
      </c>
      <c r="D626">
        <v>4.8124500000000001</v>
      </c>
      <c r="E626">
        <v>0.54048689999999999</v>
      </c>
      <c r="F626" t="s">
        <v>38</v>
      </c>
      <c r="G626">
        <v>-321.11869999999999</v>
      </c>
      <c r="H626" s="1">
        <v>-4.11313E-6</v>
      </c>
      <c r="I626">
        <v>367.80799999999999</v>
      </c>
      <c r="J626">
        <v>-379.22370000000001</v>
      </c>
      <c r="K626">
        <v>1.104114</v>
      </c>
      <c r="L626">
        <v>367.72730000000001</v>
      </c>
      <c r="M626">
        <v>0.999884</v>
      </c>
      <c r="N626">
        <v>0</v>
      </c>
      <c r="O626">
        <v>-1.1875719999999999E-2</v>
      </c>
      <c r="P626">
        <v>0.9939538</v>
      </c>
      <c r="Q626">
        <v>-1.6631139999999999E-2</v>
      </c>
      <c r="R626">
        <v>0.1085343</v>
      </c>
      <c r="S626">
        <v>3.0168149999999998</v>
      </c>
      <c r="T626">
        <v>-5.7173729999999999E-2</v>
      </c>
      <c r="U626">
        <v>4.0893550000000002E-3</v>
      </c>
      <c r="V626">
        <v>-0.120330399999999</v>
      </c>
      <c r="W626">
        <v>-7.1704109999999998E-3</v>
      </c>
      <c r="X626">
        <v>0.99270800000000003</v>
      </c>
      <c r="Y626">
        <v>-1.322717E-2</v>
      </c>
      <c r="Z626">
        <v>3.5037870000000001E-4</v>
      </c>
      <c r="AA626">
        <v>0.99991240000000003</v>
      </c>
      <c r="AB626">
        <v>30</v>
      </c>
      <c r="AC626">
        <v>58.104999999999997</v>
      </c>
      <c r="AD626">
        <v>-1.10411811313</v>
      </c>
      <c r="AE626">
        <v>8.0700000000035702E-2</v>
      </c>
      <c r="AF626">
        <v>-0.77048619516123495</v>
      </c>
      <c r="AG626">
        <v>-1.10411811313</v>
      </c>
      <c r="AH626">
        <v>58.078972570235898</v>
      </c>
      <c r="AI626">
        <v>91.089002127074906</v>
      </c>
      <c r="AJ626">
        <v>90.760051628397093</v>
      </c>
      <c r="AK626">
        <v>58.0945761719533</v>
      </c>
    </row>
    <row r="627" spans="1:37" x14ac:dyDescent="0.2">
      <c r="A627" t="str">
        <f>"20200111155513477"</f>
        <v>20200111155513477</v>
      </c>
      <c r="B627" t="str">
        <f>"1578729313473573"</f>
        <v>1578729313473573</v>
      </c>
      <c r="C627" t="s">
        <v>37</v>
      </c>
      <c r="D627">
        <v>4.7735190000000003</v>
      </c>
      <c r="E627">
        <v>0.54053149999999905</v>
      </c>
      <c r="F627" t="s">
        <v>38</v>
      </c>
      <c r="G627">
        <v>-322.84899999999999</v>
      </c>
      <c r="H627" s="1">
        <v>-3.370133E-6</v>
      </c>
      <c r="I627">
        <v>367.81220000000002</v>
      </c>
      <c r="J627">
        <v>-379.00290000000001</v>
      </c>
      <c r="K627">
        <v>1.1041159999999901</v>
      </c>
      <c r="L627">
        <v>367.72469999999998</v>
      </c>
      <c r="M627">
        <v>0.99988459999999901</v>
      </c>
      <c r="N627">
        <v>0</v>
      </c>
      <c r="O627">
        <v>-1.18245E-2</v>
      </c>
      <c r="P627">
        <v>0.99395319999999898</v>
      </c>
      <c r="Q627">
        <v>-1.6140359999999999E-2</v>
      </c>
      <c r="R627">
        <v>0.1086138</v>
      </c>
      <c r="S627">
        <v>3.0167540000000002</v>
      </c>
      <c r="T627">
        <v>-5.9084060000000001E-2</v>
      </c>
      <c r="U627">
        <v>4.5471189999999996E-3</v>
      </c>
      <c r="V627">
        <v>-0.120359199999999</v>
      </c>
      <c r="W627">
        <v>-6.6707110000000002E-3</v>
      </c>
      <c r="X627">
        <v>0.99270800000000003</v>
      </c>
      <c r="Y627">
        <v>-1.332739E-2</v>
      </c>
      <c r="Z627">
        <v>3.620691E-4</v>
      </c>
      <c r="AA627">
        <v>0.99991109999999905</v>
      </c>
      <c r="AB627">
        <v>30</v>
      </c>
      <c r="AC627">
        <v>56.1539</v>
      </c>
      <c r="AD627">
        <v>-1.1041193701330001</v>
      </c>
      <c r="AE627">
        <v>8.7500000000034106E-2</v>
      </c>
      <c r="AF627">
        <v>-0.751225445751323</v>
      </c>
      <c r="AG627">
        <v>-1.1041193701330001</v>
      </c>
      <c r="AH627">
        <v>56.127239873460297</v>
      </c>
      <c r="AI627">
        <v>91.126860298532904</v>
      </c>
      <c r="AJ627">
        <v>90.766819777522002</v>
      </c>
      <c r="AK627">
        <v>56.143124913624099</v>
      </c>
    </row>
    <row r="628" spans="1:37" x14ac:dyDescent="0.2">
      <c r="A628" t="str">
        <f>"20200111155513490"</f>
        <v>20200111155513490</v>
      </c>
      <c r="B628" t="str">
        <f>"1578729313483333"</f>
        <v>1578729313483333</v>
      </c>
      <c r="C628" t="s">
        <v>37</v>
      </c>
      <c r="D628">
        <v>4.7657939999999996</v>
      </c>
      <c r="E628">
        <v>0.54052840000000002</v>
      </c>
      <c r="F628" t="s">
        <v>38</v>
      </c>
      <c r="G628">
        <v>-324.51609999999999</v>
      </c>
      <c r="H628" s="1">
        <v>-2.6556060000000002E-6</v>
      </c>
      <c r="I628">
        <v>367.80840000000001</v>
      </c>
      <c r="J628">
        <v>-378.84339999999997</v>
      </c>
      <c r="K628">
        <v>1.1041179999999999</v>
      </c>
      <c r="L628">
        <v>367.72280000000001</v>
      </c>
      <c r="M628">
        <v>0.99988500000000002</v>
      </c>
      <c r="N628">
        <v>0</v>
      </c>
      <c r="O628">
        <v>-1.1787580000000001E-2</v>
      </c>
      <c r="P628">
        <v>0.99393609999999899</v>
      </c>
      <c r="Q628">
        <v>-1.5914709999999999E-2</v>
      </c>
      <c r="R628">
        <v>0.1088046</v>
      </c>
      <c r="S628">
        <v>3.016785</v>
      </c>
      <c r="T628">
        <v>-6.1131949999999997E-2</v>
      </c>
      <c r="U628">
        <v>4.6386719999999999E-3</v>
      </c>
      <c r="V628">
        <v>-0.1205132</v>
      </c>
      <c r="W628">
        <v>-6.4387239999999998E-3</v>
      </c>
      <c r="X628">
        <v>0.99269089999999904</v>
      </c>
      <c r="Y628">
        <v>-1.3320459999999999E-2</v>
      </c>
      <c r="Z628">
        <v>3.7379410000000003E-4</v>
      </c>
      <c r="AA628">
        <v>0.999911199999999</v>
      </c>
      <c r="AB628">
        <v>30</v>
      </c>
      <c r="AC628">
        <v>54.327299999999902</v>
      </c>
      <c r="AD628">
        <v>-1.1041206556059999</v>
      </c>
      <c r="AE628">
        <v>8.5599999999999399E-2</v>
      </c>
      <c r="AF628">
        <v>-0.72571084947307196</v>
      </c>
      <c r="AG628">
        <v>-1.1041206556059999</v>
      </c>
      <c r="AH628">
        <v>54.300087857564698</v>
      </c>
      <c r="AI628">
        <v>91.164769577645302</v>
      </c>
      <c r="AJ628">
        <v>90.765702139103098</v>
      </c>
      <c r="AK628">
        <v>54.316160394475801</v>
      </c>
    </row>
    <row r="629" spans="1:37" x14ac:dyDescent="0.2">
      <c r="A629" t="str">
        <f>"20200111155513500"</f>
        <v>20200111155513500</v>
      </c>
      <c r="B629" t="str">
        <f>"1578729313493092"</f>
        <v>1578729313493092</v>
      </c>
      <c r="C629" t="s">
        <v>37</v>
      </c>
      <c r="D629">
        <v>4.8752019999999998</v>
      </c>
      <c r="E629">
        <v>0.54058130000000004</v>
      </c>
      <c r="F629" t="s">
        <v>38</v>
      </c>
      <c r="G629">
        <v>-325.18299999999999</v>
      </c>
      <c r="H629" s="1">
        <v>-2.3685439999999998E-6</v>
      </c>
      <c r="I629">
        <v>367.81400000000002</v>
      </c>
      <c r="J629">
        <v>-378.69060000000002</v>
      </c>
      <c r="K629">
        <v>1.1041209999999999</v>
      </c>
      <c r="L629">
        <v>367.72109999999998</v>
      </c>
      <c r="M629">
        <v>0.99988519999999903</v>
      </c>
      <c r="N629">
        <v>0</v>
      </c>
      <c r="O629">
        <v>-1.1751849999999999E-2</v>
      </c>
      <c r="P629">
        <v>0.99391130000000005</v>
      </c>
      <c r="Q629">
        <v>-1.5970649999999999E-2</v>
      </c>
      <c r="R629">
        <v>0.1090203</v>
      </c>
      <c r="S629">
        <v>3.0167540000000002</v>
      </c>
      <c r="T629">
        <v>-6.2072750000000003E-2</v>
      </c>
      <c r="U629">
        <v>5.1269530000000001E-3</v>
      </c>
      <c r="V629">
        <v>-0.1206931</v>
      </c>
      <c r="W629">
        <v>-6.4886800000000001E-3</v>
      </c>
      <c r="X629">
        <v>0.99266869999999996</v>
      </c>
      <c r="Y629">
        <v>-1.3446410000000001E-2</v>
      </c>
      <c r="Z629">
        <v>3.801098E-4</v>
      </c>
      <c r="AA629">
        <v>0.99990949999999901</v>
      </c>
      <c r="AB629">
        <v>30</v>
      </c>
      <c r="AC629">
        <v>53.507599999999996</v>
      </c>
      <c r="AD629">
        <v>-1.104123368544</v>
      </c>
      <c r="AE629">
        <v>9.2900000000042796E-2</v>
      </c>
      <c r="AF629">
        <v>-0.72142845506528597</v>
      </c>
      <c r="AG629">
        <v>-1.104123368544</v>
      </c>
      <c r="AH629">
        <v>53.4800412181825</v>
      </c>
      <c r="AI629">
        <v>91.182625688286294</v>
      </c>
      <c r="AJ629">
        <v>90.772854653393694</v>
      </c>
      <c r="AK629">
        <v>53.496302265925202</v>
      </c>
    </row>
    <row r="630" spans="1:37" x14ac:dyDescent="0.2">
      <c r="A630" t="str">
        <f>"20200111155513513"</f>
        <v>20200111155513513</v>
      </c>
      <c r="B630" t="str">
        <f>"1578729313502853"</f>
        <v>1578729313502853</v>
      </c>
      <c r="C630" t="s">
        <v>37</v>
      </c>
      <c r="D630">
        <v>4.7814959999999997</v>
      </c>
      <c r="E630">
        <v>0.54055959999999903</v>
      </c>
      <c r="F630" t="s">
        <v>38</v>
      </c>
      <c r="G630">
        <v>-326.65050000000002</v>
      </c>
      <c r="H630" s="1">
        <v>-1.7391030000000001E-6</v>
      </c>
      <c r="I630">
        <v>367.81310000000002</v>
      </c>
      <c r="J630">
        <v>-378.52530000000002</v>
      </c>
      <c r="K630">
        <v>1.1041219999999901</v>
      </c>
      <c r="L630">
        <v>367.7192</v>
      </c>
      <c r="M630">
        <v>0.99988569999999999</v>
      </c>
      <c r="N630">
        <v>0</v>
      </c>
      <c r="O630">
        <v>-1.1713609999999999E-2</v>
      </c>
      <c r="P630">
        <v>0.99392389999999997</v>
      </c>
      <c r="Q630">
        <v>-1.5781110000000001E-2</v>
      </c>
      <c r="R630">
        <v>0.10893319999999999</v>
      </c>
      <c r="S630">
        <v>3.016785</v>
      </c>
      <c r="T630">
        <v>-6.400633E-2</v>
      </c>
      <c r="U630">
        <v>5.3405759999999997E-3</v>
      </c>
      <c r="V630">
        <v>-0.1205678</v>
      </c>
      <c r="W630">
        <v>-6.29225599999999E-3</v>
      </c>
      <c r="X630">
        <v>0.99268509999999999</v>
      </c>
      <c r="Y630">
        <v>-1.347862E-2</v>
      </c>
      <c r="Z630">
        <v>3.9147429999999999E-4</v>
      </c>
      <c r="AA630">
        <v>0.9999091</v>
      </c>
      <c r="AB630">
        <v>30</v>
      </c>
      <c r="AC630">
        <v>51.874799999999901</v>
      </c>
      <c r="AD630">
        <v>-1.1041237391030001</v>
      </c>
      <c r="AE630">
        <v>9.3900000000019204E-2</v>
      </c>
      <c r="AF630">
        <v>-0.70124481705080699</v>
      </c>
      <c r="AG630">
        <v>-1.1041237391030001</v>
      </c>
      <c r="AH630">
        <v>51.846652980919103</v>
      </c>
      <c r="AI630">
        <v>91.219872120493605</v>
      </c>
      <c r="AJ630">
        <v>90.774898983162899</v>
      </c>
      <c r="AK630">
        <v>51.863149334074699</v>
      </c>
    </row>
    <row r="631" spans="1:37" x14ac:dyDescent="0.2">
      <c r="A631" t="str">
        <f>"20200111155513526"</f>
        <v>20200111155513526</v>
      </c>
      <c r="B631" t="str">
        <f>"1578729313522880"</f>
        <v>1578729313522880</v>
      </c>
      <c r="C631" t="s">
        <v>37</v>
      </c>
      <c r="D631">
        <v>4.7625140000000004</v>
      </c>
      <c r="E631">
        <v>0.54059899999999905</v>
      </c>
      <c r="F631" t="s">
        <v>38</v>
      </c>
      <c r="G631">
        <v>-326.93700000000001</v>
      </c>
      <c r="H631" s="1">
        <v>-1.616696E-6</v>
      </c>
      <c r="I631">
        <v>367.81040000000002</v>
      </c>
      <c r="J631">
        <v>-378.35539999999997</v>
      </c>
      <c r="K631">
        <v>1.1041219999999901</v>
      </c>
      <c r="L631">
        <v>367.71719999999999</v>
      </c>
      <c r="M631">
        <v>0.99988600000000005</v>
      </c>
      <c r="N631">
        <v>0</v>
      </c>
      <c r="O631">
        <v>-1.167407E-2</v>
      </c>
      <c r="P631">
        <v>0.99393509999999996</v>
      </c>
      <c r="Q631">
        <v>-1.586102E-2</v>
      </c>
      <c r="R631">
        <v>0.1088194</v>
      </c>
      <c r="S631">
        <v>3.0166930000000001</v>
      </c>
      <c r="T631">
        <v>-6.4564940000000001E-2</v>
      </c>
      <c r="U631">
        <v>5.3405759999999997E-3</v>
      </c>
      <c r="V631">
        <v>-0.1204153</v>
      </c>
      <c r="W631">
        <v>-6.3651159999999997E-3</v>
      </c>
      <c r="X631">
        <v>0.99270319999999901</v>
      </c>
      <c r="Y631">
        <v>-1.3439049999999999E-2</v>
      </c>
      <c r="Z631">
        <v>3.9363239999999899E-4</v>
      </c>
      <c r="AA631">
        <v>0.99990959999999995</v>
      </c>
      <c r="AB631">
        <v>30</v>
      </c>
      <c r="AC631">
        <v>51.418399999999899</v>
      </c>
      <c r="AD631">
        <v>-1.10412361669599</v>
      </c>
      <c r="AE631">
        <v>9.3200000000024305E-2</v>
      </c>
      <c r="AF631">
        <v>-0.69316355510283201</v>
      </c>
      <c r="AG631">
        <v>-1.10412361669599</v>
      </c>
      <c r="AH631">
        <v>51.390111660710303</v>
      </c>
      <c r="AI631">
        <v>91.230706425787801</v>
      </c>
      <c r="AJ631">
        <v>90.772773918636503</v>
      </c>
      <c r="AK631">
        <v>51.406644912650599</v>
      </c>
    </row>
    <row r="632" spans="1:37" x14ac:dyDescent="0.2">
      <c r="A632" t="str">
        <f>"20200111155513537"</f>
        <v>20200111155513537</v>
      </c>
      <c r="B632" t="str">
        <f>"1578729313533616"</f>
        <v>1578729313533616</v>
      </c>
      <c r="C632" t="s">
        <v>37</v>
      </c>
      <c r="D632">
        <v>4.73292</v>
      </c>
      <c r="E632">
        <v>0.54057509999999998</v>
      </c>
      <c r="F632" t="s">
        <v>38</v>
      </c>
      <c r="G632">
        <v>-329.08859999999999</v>
      </c>
      <c r="H632" s="1">
        <v>-7.8113669999999996E-7</v>
      </c>
      <c r="I632">
        <v>367.79390000000001</v>
      </c>
      <c r="J632">
        <v>-378.1977</v>
      </c>
      <c r="K632">
        <v>1.1041219999999901</v>
      </c>
      <c r="L632">
        <v>367.71550000000002</v>
      </c>
      <c r="M632">
        <v>0.99988650000000001</v>
      </c>
      <c r="N632">
        <v>0</v>
      </c>
      <c r="O632">
        <v>-1.163762E-2</v>
      </c>
      <c r="P632">
        <v>0.993919</v>
      </c>
      <c r="Q632">
        <v>-1.571026E-2</v>
      </c>
      <c r="R632">
        <v>0.1089884</v>
      </c>
      <c r="S632">
        <v>3.016724</v>
      </c>
      <c r="T632">
        <v>-6.7608000000000001E-2</v>
      </c>
      <c r="U632">
        <v>4.699707E-3</v>
      </c>
      <c r="V632">
        <v>-0.120548</v>
      </c>
      <c r="W632">
        <v>-6.2081559999999899E-3</v>
      </c>
      <c r="X632">
        <v>0.99268809999999996</v>
      </c>
      <c r="Y632">
        <v>-1.3189680000000001E-2</v>
      </c>
      <c r="Z632">
        <v>4.0856550000000001E-4</v>
      </c>
      <c r="AA632">
        <v>0.99991289999999999</v>
      </c>
      <c r="AB632">
        <v>30</v>
      </c>
      <c r="AC632">
        <v>49.109099999999998</v>
      </c>
      <c r="AD632">
        <v>-1.10412278113669</v>
      </c>
      <c r="AE632">
        <v>7.8399999999987799E-2</v>
      </c>
      <c r="AF632">
        <v>-0.64960553137621002</v>
      </c>
      <c r="AG632">
        <v>-1.10412278113669</v>
      </c>
      <c r="AH632">
        <v>49.080052315003798</v>
      </c>
      <c r="AI632">
        <v>91.288616578920596</v>
      </c>
      <c r="AJ632">
        <v>90.758301598409801</v>
      </c>
      <c r="AK632">
        <v>49.096767813225</v>
      </c>
    </row>
    <row r="633" spans="1:37" x14ac:dyDescent="0.2">
      <c r="A633" t="str">
        <f>"20200111155513549"</f>
        <v>20200111155513549</v>
      </c>
      <c r="B633" t="str">
        <f>"1578729313543377"</f>
        <v>1578729313543377</v>
      </c>
      <c r="C633" t="s">
        <v>37</v>
      </c>
      <c r="D633">
        <v>4.7355049999999999</v>
      </c>
      <c r="E633">
        <v>0.5405877</v>
      </c>
      <c r="F633" t="s">
        <v>38</v>
      </c>
      <c r="G633">
        <v>-329.32920000000001</v>
      </c>
      <c r="H633" s="1">
        <v>-6.9636060000000003E-7</v>
      </c>
      <c r="I633">
        <v>367.80489999999998</v>
      </c>
      <c r="J633">
        <v>-378.04919999999998</v>
      </c>
      <c r="K633">
        <v>1.1041219999999901</v>
      </c>
      <c r="L633">
        <v>367.71370000000002</v>
      </c>
      <c r="M633">
        <v>0.99988679999999996</v>
      </c>
      <c r="N633">
        <v>0</v>
      </c>
      <c r="O633">
        <v>-1.160331E-2</v>
      </c>
      <c r="P633">
        <v>0.99393500000000001</v>
      </c>
      <c r="Q633">
        <v>-1.5703290000000002E-2</v>
      </c>
      <c r="R633">
        <v>0.1088431</v>
      </c>
      <c r="S633">
        <v>3.0166629999999999</v>
      </c>
      <c r="T633">
        <v>-6.8157549999999997E-2</v>
      </c>
      <c r="U633">
        <v>5.5236819999999898E-3</v>
      </c>
      <c r="V633">
        <v>-0.12036860000000001</v>
      </c>
      <c r="W633">
        <v>-6.1950410000000001E-3</v>
      </c>
      <c r="X633">
        <v>0.99270990000000003</v>
      </c>
      <c r="Y633">
        <v>-1.342837E-2</v>
      </c>
      <c r="Z633">
        <v>4.1381519999999898E-4</v>
      </c>
      <c r="AA633">
        <v>0.99990979999999996</v>
      </c>
      <c r="AB633">
        <v>30</v>
      </c>
      <c r="AC633">
        <v>48.719999999999899</v>
      </c>
      <c r="AD633">
        <v>-1.1041226963605999</v>
      </c>
      <c r="AE633">
        <v>9.1199999999957898E-2</v>
      </c>
      <c r="AF633">
        <v>-0.65619604132688603</v>
      </c>
      <c r="AG633">
        <v>-1.1041226963605999</v>
      </c>
      <c r="AH633">
        <v>48.690654415339502</v>
      </c>
      <c r="AI633">
        <v>91.298914342817099</v>
      </c>
      <c r="AJ633">
        <v>90.772119171487105</v>
      </c>
      <c r="AK633">
        <v>48.707591888403698</v>
      </c>
    </row>
    <row r="634" spans="1:37" x14ac:dyDescent="0.2">
      <c r="A634" t="str">
        <f>"20200111155513560"</f>
        <v>20200111155513560</v>
      </c>
      <c r="B634" t="str">
        <f>"1578729313553137"</f>
        <v>1578729313553137</v>
      </c>
      <c r="C634" t="s">
        <v>37</v>
      </c>
      <c r="D634">
        <v>4.7121319999999898</v>
      </c>
      <c r="E634">
        <v>0.54058519999999999</v>
      </c>
      <c r="F634" t="s">
        <v>38</v>
      </c>
      <c r="G634">
        <v>-329.9538</v>
      </c>
      <c r="H634" s="1">
        <v>-4.86829E-7</v>
      </c>
      <c r="I634">
        <v>367.79349999999999</v>
      </c>
      <c r="J634">
        <v>-377.89330000000001</v>
      </c>
      <c r="K634">
        <v>1.1041190000000001</v>
      </c>
      <c r="L634">
        <v>367.71190000000001</v>
      </c>
      <c r="M634">
        <v>0.99988719999999998</v>
      </c>
      <c r="N634">
        <v>0</v>
      </c>
      <c r="O634">
        <v>-1.156722E-2</v>
      </c>
      <c r="P634">
        <v>0.99392499999999995</v>
      </c>
      <c r="Q634">
        <v>-1.5736139999999999E-2</v>
      </c>
      <c r="R634">
        <v>0.1089299</v>
      </c>
      <c r="S634">
        <v>3.016632</v>
      </c>
      <c r="T634">
        <v>-6.925249E-2</v>
      </c>
      <c r="U634">
        <v>5.0048829999999999E-3</v>
      </c>
      <c r="V634">
        <v>-0.12041969999999901</v>
      </c>
      <c r="W634">
        <v>-6.2217610000000001E-3</v>
      </c>
      <c r="X634">
        <v>0.99270360000000002</v>
      </c>
      <c r="Y634">
        <v>-1.322019E-2</v>
      </c>
      <c r="Z634">
        <v>4.1724790000000002E-4</v>
      </c>
      <c r="AA634">
        <v>0.99991249999999998</v>
      </c>
      <c r="AB634">
        <v>30</v>
      </c>
      <c r="AC634">
        <v>47.939500000000002</v>
      </c>
      <c r="AD634">
        <v>-1.1041194868290001</v>
      </c>
      <c r="AE634">
        <v>8.1599999999980299E-2</v>
      </c>
      <c r="AF634">
        <v>-0.63580946958755702</v>
      </c>
      <c r="AG634">
        <v>-1.1041194868290001</v>
      </c>
      <c r="AH634">
        <v>47.909934711445899</v>
      </c>
      <c r="AI634">
        <v>91.320073260300902</v>
      </c>
      <c r="AJ634">
        <v>90.760323741185005</v>
      </c>
      <c r="AK634">
        <v>47.926873229721799</v>
      </c>
    </row>
    <row r="635" spans="1:37" x14ac:dyDescent="0.2">
      <c r="A635" t="str">
        <f>"20200111155513577"</f>
        <v>20200111155513577</v>
      </c>
      <c r="B635" t="str">
        <f>"1578729313573632"</f>
        <v>1578729313573632</v>
      </c>
      <c r="C635" t="s">
        <v>37</v>
      </c>
      <c r="D635">
        <v>4.7269259999999997</v>
      </c>
      <c r="E635">
        <v>0.54048929999999995</v>
      </c>
      <c r="F635" t="s">
        <v>38</v>
      </c>
      <c r="G635">
        <v>-330.44110000000001</v>
      </c>
      <c r="H635" s="1">
        <v>-4.4061610000000002E-6</v>
      </c>
      <c r="I635">
        <v>367.79489999999998</v>
      </c>
      <c r="J635">
        <v>-377.67189999999999</v>
      </c>
      <c r="K635">
        <v>1.1041190000000001</v>
      </c>
      <c r="L635">
        <v>367.70940000000002</v>
      </c>
      <c r="M635">
        <v>0.99988770000000005</v>
      </c>
      <c r="N635">
        <v>0</v>
      </c>
      <c r="O635">
        <v>-1.1515879999999999E-2</v>
      </c>
      <c r="P635">
        <v>0.99390509999999999</v>
      </c>
      <c r="Q635">
        <v>-1.4970300000000001E-2</v>
      </c>
      <c r="R635">
        <v>0.1092205</v>
      </c>
      <c r="S635">
        <v>3.0166629999999999</v>
      </c>
      <c r="T635">
        <v>-7.0191980000000001E-2</v>
      </c>
      <c r="U635">
        <v>5.2795409999999996E-3</v>
      </c>
      <c r="V635">
        <v>-0.1206588</v>
      </c>
      <c r="W635">
        <v>-5.4474079999999999E-3</v>
      </c>
      <c r="X635">
        <v>0.99267909999999904</v>
      </c>
      <c r="Y635">
        <v>-1.3259699999999999E-2</v>
      </c>
      <c r="Z635">
        <v>4.2216769999999898E-4</v>
      </c>
      <c r="AA635">
        <v>0.99991200000000002</v>
      </c>
      <c r="AB635">
        <v>30</v>
      </c>
      <c r="AC635">
        <v>47.230799999999903</v>
      </c>
      <c r="AD635">
        <v>-1.1041234061609999</v>
      </c>
      <c r="AE635">
        <v>8.5499999999967699E-2</v>
      </c>
      <c r="AF635">
        <v>-0.62907978216776705</v>
      </c>
      <c r="AG635">
        <v>-1.1041234061609999</v>
      </c>
      <c r="AH635">
        <v>47.2008883150923</v>
      </c>
      <c r="AI635">
        <v>91.339899818974402</v>
      </c>
      <c r="AJ635">
        <v>90.763576362484599</v>
      </c>
      <c r="AK635">
        <v>47.2179911432303</v>
      </c>
    </row>
    <row r="636" spans="1:37" x14ac:dyDescent="0.2">
      <c r="A636" t="str">
        <f>"20200111155513589"</f>
        <v>20200111155513589</v>
      </c>
      <c r="B636" t="str">
        <f>"1578729313583393"</f>
        <v>1578729313583393</v>
      </c>
      <c r="C636" t="s">
        <v>37</v>
      </c>
      <c r="D636">
        <v>4.6478799999999998</v>
      </c>
      <c r="E636">
        <v>0.5405238</v>
      </c>
      <c r="F636" t="s">
        <v>38</v>
      </c>
      <c r="G636">
        <v>-329.80259999999998</v>
      </c>
      <c r="H636" s="1">
        <v>-5.3168360000000004E-7</v>
      </c>
      <c r="I636">
        <v>367.81830000000002</v>
      </c>
      <c r="J636">
        <v>-377.52260000000001</v>
      </c>
      <c r="K636">
        <v>1.104115</v>
      </c>
      <c r="L636">
        <v>367.70780000000002</v>
      </c>
      <c r="M636">
        <v>0.99988790000000005</v>
      </c>
      <c r="N636">
        <v>0</v>
      </c>
      <c r="O636">
        <v>-1.148134E-2</v>
      </c>
      <c r="P636">
        <v>0.9939019</v>
      </c>
      <c r="Q636">
        <v>-1.468466E-2</v>
      </c>
      <c r="R636">
        <v>0.1092862</v>
      </c>
      <c r="S636">
        <v>3.0166019999999998</v>
      </c>
      <c r="T636">
        <v>-6.957853E-2</v>
      </c>
      <c r="U636">
        <v>6.8664549999999996E-3</v>
      </c>
      <c r="V636">
        <v>-0.1206902</v>
      </c>
      <c r="W636">
        <v>-5.1557800000000004E-3</v>
      </c>
      <c r="X636">
        <v>0.99267689999999997</v>
      </c>
      <c r="Y636">
        <v>-1.37512E-2</v>
      </c>
      <c r="Z636">
        <v>4.2335849999999999E-4</v>
      </c>
      <c r="AA636">
        <v>0.9999053</v>
      </c>
      <c r="AB636">
        <v>30</v>
      </c>
      <c r="AC636">
        <v>47.72</v>
      </c>
      <c r="AD636">
        <v>-1.1041155316836</v>
      </c>
      <c r="AE636">
        <v>0.110500000000001</v>
      </c>
      <c r="AF636">
        <v>-0.65805528558650905</v>
      </c>
      <c r="AG636">
        <v>-1.1041155316836</v>
      </c>
      <c r="AH636">
        <v>47.690055438373797</v>
      </c>
      <c r="AI636">
        <v>91.326143193196799</v>
      </c>
      <c r="AJ636">
        <v>90.790550514804906</v>
      </c>
      <c r="AK636">
        <v>47.707373597603997</v>
      </c>
    </row>
    <row r="637" spans="1:37" x14ac:dyDescent="0.2">
      <c r="A637" t="str">
        <f>"20200111155513600"</f>
        <v>20200111155513600</v>
      </c>
      <c r="B637" t="str">
        <f>"1578729313593152"</f>
        <v>1578729313593152</v>
      </c>
      <c r="C637" t="s">
        <v>37</v>
      </c>
      <c r="D637">
        <v>4.6169459999999898</v>
      </c>
      <c r="E637">
        <v>0.54053280000000004</v>
      </c>
      <c r="F637" t="s">
        <v>38</v>
      </c>
      <c r="G637">
        <v>-329.2758</v>
      </c>
      <c r="H637" s="1">
        <v>-7.1180830000000005E-7</v>
      </c>
      <c r="I637">
        <v>367.81509999999997</v>
      </c>
      <c r="J637">
        <v>-377.36250000000001</v>
      </c>
      <c r="K637">
        <v>1.104115</v>
      </c>
      <c r="L637">
        <v>367.70589999999999</v>
      </c>
      <c r="M637">
        <v>0.99988840000000001</v>
      </c>
      <c r="N637">
        <v>0</v>
      </c>
      <c r="O637">
        <v>-1.144418E-2</v>
      </c>
      <c r="P637">
        <v>0.99387729999999996</v>
      </c>
      <c r="Q637">
        <v>-1.4595149999999999E-2</v>
      </c>
      <c r="R637">
        <v>0.1095232</v>
      </c>
      <c r="S637">
        <v>3.0166629999999999</v>
      </c>
      <c r="T637">
        <v>-6.9035410000000005E-2</v>
      </c>
      <c r="U637">
        <v>6.7138669999999897E-3</v>
      </c>
      <c r="V637">
        <v>-0.1208905</v>
      </c>
      <c r="W637">
        <v>-5.0601190000000001E-3</v>
      </c>
      <c r="X637">
        <v>0.99265300000000001</v>
      </c>
      <c r="Y637">
        <v>-1.366355E-2</v>
      </c>
      <c r="Z637">
        <v>4.1819309999999898E-4</v>
      </c>
      <c r="AA637">
        <v>0.99990650000000003</v>
      </c>
      <c r="AB637">
        <v>30</v>
      </c>
      <c r="AC637">
        <v>48.0867</v>
      </c>
      <c r="AD637">
        <v>-1.1041157118083</v>
      </c>
      <c r="AE637">
        <v>0.109199999999987</v>
      </c>
      <c r="AF637">
        <v>-0.65918355195965495</v>
      </c>
      <c r="AG637">
        <v>-1.1041157118083</v>
      </c>
      <c r="AH637">
        <v>48.056965179886497</v>
      </c>
      <c r="AI637">
        <v>91.316023503634597</v>
      </c>
      <c r="AJ637">
        <v>90.785860423981305</v>
      </c>
      <c r="AK637">
        <v>48.074166625757101</v>
      </c>
    </row>
    <row r="638" spans="1:37" x14ac:dyDescent="0.2">
      <c r="A638" t="str">
        <f>"20200111155513612"</f>
        <v>20200111155513612</v>
      </c>
      <c r="B638" t="str">
        <f>"1578729313602913"</f>
        <v>1578729313602913</v>
      </c>
      <c r="C638" t="s">
        <v>37</v>
      </c>
      <c r="D638">
        <v>4.5963719999999997</v>
      </c>
      <c r="E638">
        <v>0.54055149999999996</v>
      </c>
      <c r="F638" t="s">
        <v>38</v>
      </c>
      <c r="G638">
        <v>-329.1909</v>
      </c>
      <c r="H638" s="1">
        <v>-7.3706040000000003E-7</v>
      </c>
      <c r="I638">
        <v>367.82870000000003</v>
      </c>
      <c r="J638">
        <v>-377.20269999999999</v>
      </c>
      <c r="K638">
        <v>1.1041159999999901</v>
      </c>
      <c r="L638">
        <v>367.70420000000001</v>
      </c>
      <c r="M638">
        <v>0.99988880000000002</v>
      </c>
      <c r="N638">
        <v>0</v>
      </c>
      <c r="O638">
        <v>-1.140714E-2</v>
      </c>
      <c r="P638">
        <v>0.99386779999999997</v>
      </c>
      <c r="Q638">
        <v>-1.4256370000000001E-2</v>
      </c>
      <c r="R638">
        <v>0.1096529</v>
      </c>
      <c r="S638">
        <v>3.0166930000000001</v>
      </c>
      <c r="T638">
        <v>-6.9144010000000006E-2</v>
      </c>
      <c r="U638">
        <v>7.6904299999999998E-3</v>
      </c>
      <c r="V638">
        <v>-0.12098299999999999</v>
      </c>
      <c r="W638">
        <v>-4.7151600000000004E-3</v>
      </c>
      <c r="X638">
        <v>0.99264339999999995</v>
      </c>
      <c r="Y638">
        <v>-1.395008E-2</v>
      </c>
      <c r="Z638">
        <v>4.2128089999999999E-4</v>
      </c>
      <c r="AA638">
        <v>0.99990259999999997</v>
      </c>
      <c r="AB638">
        <v>30</v>
      </c>
      <c r="AC638">
        <v>48.011800000000001</v>
      </c>
      <c r="AD638">
        <v>-1.1041167370603999</v>
      </c>
      <c r="AE638">
        <v>0.124500000000011</v>
      </c>
      <c r="AF638">
        <v>-0.67183918951513499</v>
      </c>
      <c r="AG638">
        <v>-1.1041167370603999</v>
      </c>
      <c r="AH638">
        <v>47.981880505119598</v>
      </c>
      <c r="AI638">
        <v>91.318078179321901</v>
      </c>
      <c r="AJ638">
        <v>90.802199379308703</v>
      </c>
      <c r="AK638">
        <v>47.999284353760999</v>
      </c>
    </row>
    <row r="639" spans="1:37" x14ac:dyDescent="0.2">
      <c r="A639" t="str">
        <f>"20200111155513625"</f>
        <v>20200111155513625</v>
      </c>
      <c r="B639" t="str">
        <f>"1578729313613096"</f>
        <v>1578729313613096</v>
      </c>
      <c r="C639" t="s">
        <v>37</v>
      </c>
      <c r="D639">
        <v>4.5768509999999996</v>
      </c>
      <c r="E639">
        <v>0.54058549999999905</v>
      </c>
      <c r="F639" t="s">
        <v>38</v>
      </c>
      <c r="G639">
        <v>-328.5872</v>
      </c>
      <c r="H639" s="1">
        <v>-9.4227930000000005E-7</v>
      </c>
      <c r="I639">
        <v>367.8295</v>
      </c>
      <c r="J639">
        <v>-377.03359999999998</v>
      </c>
      <c r="K639">
        <v>1.10412</v>
      </c>
      <c r="L639">
        <v>367.7022</v>
      </c>
      <c r="M639">
        <v>0.99988920000000003</v>
      </c>
      <c r="N639">
        <v>0</v>
      </c>
      <c r="O639">
        <v>-1.136795E-2</v>
      </c>
      <c r="P639">
        <v>0.99382950000000003</v>
      </c>
      <c r="Q639">
        <v>-1.381522E-2</v>
      </c>
      <c r="R639">
        <v>0.1100558</v>
      </c>
      <c r="S639">
        <v>3.0166629999999999</v>
      </c>
      <c r="T639">
        <v>-6.8511959999999997E-2</v>
      </c>
      <c r="U639">
        <v>7.7819819999999998E-3</v>
      </c>
      <c r="V639">
        <v>-0.121346299999999</v>
      </c>
      <c r="W639">
        <v>-4.2678339999999999E-3</v>
      </c>
      <c r="X639">
        <v>0.99260099999999996</v>
      </c>
      <c r="Y639">
        <v>-1.3941399999999901E-2</v>
      </c>
      <c r="Z639">
        <v>4.1644659999999999E-4</v>
      </c>
      <c r="AA639">
        <v>0.99990270000000003</v>
      </c>
      <c r="AB639">
        <v>30</v>
      </c>
      <c r="AC639">
        <v>48.446399999999898</v>
      </c>
      <c r="AD639">
        <v>-1.1041209422792999</v>
      </c>
      <c r="AE639">
        <v>0.127299999999991</v>
      </c>
      <c r="AF639">
        <v>-0.677701457945598</v>
      </c>
      <c r="AG639">
        <v>-1.1041209422792999</v>
      </c>
      <c r="AH639">
        <v>48.416674102599899</v>
      </c>
      <c r="AI639">
        <v>91.306250692464403</v>
      </c>
      <c r="AJ639">
        <v>90.801932360273497</v>
      </c>
      <c r="AK639">
        <v>48.434003483902103</v>
      </c>
    </row>
    <row r="640" spans="1:37" x14ac:dyDescent="0.2">
      <c r="A640" t="str">
        <f>"20200111155513639"</f>
        <v>20200111155513639</v>
      </c>
      <c r="B640" t="str">
        <f>"1578729313633591"</f>
        <v>1578729313633591</v>
      </c>
      <c r="C640" t="s">
        <v>37</v>
      </c>
      <c r="D640">
        <v>4.5785619999999998</v>
      </c>
      <c r="E640">
        <v>0.54071990000000003</v>
      </c>
      <c r="F640" t="s">
        <v>38</v>
      </c>
      <c r="G640">
        <v>-327.95589999999999</v>
      </c>
      <c r="H640" s="1">
        <v>-1.1737609999999899E-6</v>
      </c>
      <c r="I640">
        <v>367.84320000000002</v>
      </c>
      <c r="J640">
        <v>-376.83969999999999</v>
      </c>
      <c r="K640">
        <v>1.104123</v>
      </c>
      <c r="L640">
        <v>367.70010000000002</v>
      </c>
      <c r="M640">
        <v>0.99988940000000004</v>
      </c>
      <c r="N640">
        <v>0</v>
      </c>
      <c r="O640">
        <v>-1.132268E-2</v>
      </c>
      <c r="P640">
        <v>0.99379509999999904</v>
      </c>
      <c r="Q640">
        <v>-1.3546249999999999E-2</v>
      </c>
      <c r="R640">
        <v>0.110399</v>
      </c>
      <c r="S640">
        <v>3.016724</v>
      </c>
      <c r="T640">
        <v>-6.786847E-2</v>
      </c>
      <c r="U640">
        <v>8.6669920000000001E-3</v>
      </c>
      <c r="V640">
        <v>-0.12164460000000001</v>
      </c>
      <c r="W640">
        <v>-3.9917009999999899E-3</v>
      </c>
      <c r="X640">
        <v>0.992565699999999</v>
      </c>
      <c r="Y640">
        <v>-1.4189490000000001E-2</v>
      </c>
      <c r="Z640">
        <v>4.1429999999999999E-4</v>
      </c>
      <c r="AA640">
        <v>0.99989919999999999</v>
      </c>
      <c r="AB640">
        <v>30</v>
      </c>
      <c r="AC640">
        <v>48.883800000000001</v>
      </c>
      <c r="AD640">
        <v>-1.1041241737609999</v>
      </c>
      <c r="AE640">
        <v>0.143100000000004</v>
      </c>
      <c r="AF640">
        <v>-0.69625698658494295</v>
      </c>
      <c r="AG640">
        <v>-1.1041241737609999</v>
      </c>
      <c r="AH640">
        <v>48.854122552587597</v>
      </c>
      <c r="AI640">
        <v>91.294557427973402</v>
      </c>
      <c r="AJ640">
        <v>90.816510135441504</v>
      </c>
      <c r="AK640">
        <v>48.871557723953302</v>
      </c>
    </row>
    <row r="641" spans="1:37" x14ac:dyDescent="0.2">
      <c r="A641" t="str">
        <f>"20200111155513652"</f>
        <v>20200111155513652</v>
      </c>
      <c r="B641" t="str">
        <f>"1578729313643351"</f>
        <v>1578729313643351</v>
      </c>
      <c r="C641" t="s">
        <v>37</v>
      </c>
      <c r="D641">
        <v>4.5525440000000001</v>
      </c>
      <c r="E641">
        <v>0.54080550000000005</v>
      </c>
      <c r="F641" t="s">
        <v>38</v>
      </c>
      <c r="G641">
        <v>-328.05119999999999</v>
      </c>
      <c r="H641" s="1">
        <v>-1.1330490000000001E-6</v>
      </c>
      <c r="I641">
        <v>367.84219999999999</v>
      </c>
      <c r="J641">
        <v>-376.67450000000002</v>
      </c>
      <c r="K641">
        <v>1.1041259999999999</v>
      </c>
      <c r="L641">
        <v>367.69830000000002</v>
      </c>
      <c r="M641">
        <v>0.9998899</v>
      </c>
      <c r="N641">
        <v>0</v>
      </c>
      <c r="O641">
        <v>-1.1284570000000001E-2</v>
      </c>
      <c r="P641">
        <v>0.99376739999999997</v>
      </c>
      <c r="Q641">
        <v>-1.3001840000000001E-2</v>
      </c>
      <c r="R641">
        <v>0.110712799999999</v>
      </c>
      <c r="S641">
        <v>3.0168459999999899</v>
      </c>
      <c r="T641">
        <v>-6.827366E-2</v>
      </c>
      <c r="U641">
        <v>8.7890629999999997E-3</v>
      </c>
      <c r="V641">
        <v>-0.12191979999999999</v>
      </c>
      <c r="W641">
        <v>-3.4413E-3</v>
      </c>
      <c r="X641">
        <v>0.99253400000000003</v>
      </c>
      <c r="Y641">
        <v>-1.419165E-2</v>
      </c>
      <c r="Z641">
        <v>4.1591799999999998E-4</v>
      </c>
      <c r="AA641">
        <v>0.99989919999999999</v>
      </c>
      <c r="AB641">
        <v>30</v>
      </c>
      <c r="AC641">
        <v>48.6233</v>
      </c>
      <c r="AD641">
        <v>-1.1041271330489999</v>
      </c>
      <c r="AE641">
        <v>0.14389999999997299</v>
      </c>
      <c r="AF641">
        <v>-0.69225239084578105</v>
      </c>
      <c r="AG641">
        <v>-1.1041271330489999</v>
      </c>
      <c r="AH641">
        <v>48.593523105658001</v>
      </c>
      <c r="AI641">
        <v>91.301501152890694</v>
      </c>
      <c r="AJ641">
        <v>90.816167567984394</v>
      </c>
      <c r="AK641">
        <v>48.610994619722398</v>
      </c>
    </row>
    <row r="642" spans="1:37" x14ac:dyDescent="0.2">
      <c r="A642" t="str">
        <f>"20200111155513667"</f>
        <v>20200111155513667</v>
      </c>
      <c r="B642" t="str">
        <f>"1578729313662871"</f>
        <v>1578729313662871</v>
      </c>
      <c r="C642" t="s">
        <v>37</v>
      </c>
      <c r="D642">
        <v>4.5181589999999998</v>
      </c>
      <c r="E642">
        <v>0.54094790000000004</v>
      </c>
      <c r="F642" t="s">
        <v>38</v>
      </c>
      <c r="G642">
        <v>-327.07420000000002</v>
      </c>
      <c r="H642" s="1">
        <v>-1.5516479999999999E-6</v>
      </c>
      <c r="I642">
        <v>367.84519999999998</v>
      </c>
      <c r="J642">
        <v>-376.46570000000003</v>
      </c>
      <c r="K642">
        <v>1.1041299999999901</v>
      </c>
      <c r="L642">
        <v>367.69589999999999</v>
      </c>
      <c r="M642">
        <v>0.99989039999999996</v>
      </c>
      <c r="N642">
        <v>0</v>
      </c>
      <c r="O642">
        <v>-1.1236319999999999E-2</v>
      </c>
      <c r="P642">
        <v>0.99371390000000004</v>
      </c>
      <c r="Q642">
        <v>-1.241167E-2</v>
      </c>
      <c r="R642">
        <v>0.11126030000000001</v>
      </c>
      <c r="S642">
        <v>3.0169679999999999</v>
      </c>
      <c r="T642">
        <v>-6.7159179999999999E-2</v>
      </c>
      <c r="U642">
        <v>8.9416500000000006E-3</v>
      </c>
      <c r="V642">
        <v>-0.12241929999999999</v>
      </c>
      <c r="W642">
        <v>-2.843726E-3</v>
      </c>
      <c r="X642">
        <v>0.99247439999999998</v>
      </c>
      <c r="Y642">
        <v>-1.4194089999999999E-2</v>
      </c>
      <c r="Z642">
        <v>4.080671E-4</v>
      </c>
      <c r="AA642">
        <v>0.99989910000000004</v>
      </c>
      <c r="AB642">
        <v>30</v>
      </c>
      <c r="AC642">
        <v>49.391500000000001</v>
      </c>
      <c r="AD642">
        <v>-1.1041315516479999</v>
      </c>
      <c r="AE642">
        <v>0.149299999999982</v>
      </c>
      <c r="AF642">
        <v>-0.70394328311188703</v>
      </c>
      <c r="AG642">
        <v>-1.1041315516479999</v>
      </c>
      <c r="AH642">
        <v>49.362036425511498</v>
      </c>
      <c r="AI642">
        <v>91.281249851664199</v>
      </c>
      <c r="AJ642">
        <v>90.817029608292501</v>
      </c>
      <c r="AK642">
        <v>49.379401400813897</v>
      </c>
    </row>
    <row r="643" spans="1:37" x14ac:dyDescent="0.2">
      <c r="A643" t="str">
        <f>"20200111155513681"</f>
        <v>20200111155513681</v>
      </c>
      <c r="B643" t="str">
        <f>"1578729313673607"</f>
        <v>1578729313673607</v>
      </c>
      <c r="C643" t="s">
        <v>37</v>
      </c>
      <c r="D643">
        <v>4.5251669999999997</v>
      </c>
      <c r="E643">
        <v>0.54100459999999995</v>
      </c>
      <c r="F643" t="s">
        <v>38</v>
      </c>
      <c r="G643">
        <v>-326.35120000000001</v>
      </c>
      <c r="H643" s="1">
        <v>-1.860285E-6</v>
      </c>
      <c r="I643">
        <v>367.85399999999998</v>
      </c>
      <c r="J643">
        <v>-376.28500000000003</v>
      </c>
      <c r="K643">
        <v>1.104131</v>
      </c>
      <c r="L643">
        <v>367.69389999999999</v>
      </c>
      <c r="M643">
        <v>0.99989069999999902</v>
      </c>
      <c r="N643">
        <v>0</v>
      </c>
      <c r="O643">
        <v>-1.1194279999999999E-2</v>
      </c>
      <c r="P643">
        <v>0.99371030000000005</v>
      </c>
      <c r="Q643">
        <v>-1.270748E-2</v>
      </c>
      <c r="R643">
        <v>0.1112571</v>
      </c>
      <c r="S643">
        <v>3.0170590000000002</v>
      </c>
      <c r="T643">
        <v>-6.6472169999999997E-2</v>
      </c>
      <c r="U643">
        <v>9.5214840000000002E-3</v>
      </c>
      <c r="V643">
        <v>-0.12237429999999901</v>
      </c>
      <c r="W643">
        <v>-3.132559E-3</v>
      </c>
      <c r="X643">
        <v>0.99247909999999995</v>
      </c>
      <c r="Y643">
        <v>-1.434422E-2</v>
      </c>
      <c r="Z643">
        <v>4.0460879999999999E-4</v>
      </c>
      <c r="AA643">
        <v>0.99989709999999998</v>
      </c>
      <c r="AB643">
        <v>30</v>
      </c>
      <c r="AC643">
        <v>49.933799999999998</v>
      </c>
      <c r="AD643">
        <v>-1.104132860285</v>
      </c>
      <c r="AE643">
        <v>0.160100000000056</v>
      </c>
      <c r="AF643">
        <v>-0.71873756323547999</v>
      </c>
      <c r="AG643">
        <v>-1.104132860285</v>
      </c>
      <c r="AH643">
        <v>49.904478747309703</v>
      </c>
      <c r="AI643">
        <v>91.267326663772295</v>
      </c>
      <c r="AJ643">
        <v>90.825131992919196</v>
      </c>
      <c r="AK643">
        <v>49.921865871566297</v>
      </c>
    </row>
    <row r="644" spans="1:37" x14ac:dyDescent="0.2">
      <c r="A644" t="str">
        <f>"20200111155513695"</f>
        <v>20200111155513695</v>
      </c>
      <c r="B644" t="str">
        <f>"1578729313683367"</f>
        <v>1578729313683367</v>
      </c>
      <c r="C644" t="s">
        <v>37</v>
      </c>
      <c r="D644">
        <v>4.4371980000000004</v>
      </c>
      <c r="E644">
        <v>0.54105170000000002</v>
      </c>
      <c r="F644" t="s">
        <v>38</v>
      </c>
      <c r="G644">
        <v>-327.161</v>
      </c>
      <c r="H644" s="1">
        <v>-1.51499E-6</v>
      </c>
      <c r="I644">
        <v>367.84190000000001</v>
      </c>
      <c r="J644">
        <v>-376.10169999999999</v>
      </c>
      <c r="K644">
        <v>1.1041289999999999</v>
      </c>
      <c r="L644">
        <v>367.69189999999998</v>
      </c>
      <c r="M644">
        <v>0.99989119999999998</v>
      </c>
      <c r="N644">
        <v>0</v>
      </c>
      <c r="O644">
        <v>-1.1151990000000001E-2</v>
      </c>
      <c r="P644">
        <v>0.99367759999999905</v>
      </c>
      <c r="Q644">
        <v>-1.2865659999999999E-2</v>
      </c>
      <c r="R644">
        <v>0.11153389999999901</v>
      </c>
      <c r="S644">
        <v>3.01709</v>
      </c>
      <c r="T644">
        <v>-6.7813399999999996E-2</v>
      </c>
      <c r="U644">
        <v>9.0942379999999993E-3</v>
      </c>
      <c r="V644">
        <v>-0.12260889999999899</v>
      </c>
      <c r="W644">
        <v>-3.284024E-3</v>
      </c>
      <c r="X644">
        <v>0.99244959999999904</v>
      </c>
      <c r="Y644">
        <v>-1.416011E-2</v>
      </c>
      <c r="Z644">
        <v>4.0974739999999999E-4</v>
      </c>
      <c r="AA644">
        <v>0.99989969999999995</v>
      </c>
      <c r="AB644">
        <v>30</v>
      </c>
      <c r="AC644">
        <v>48.9406999999999</v>
      </c>
      <c r="AD644">
        <v>-1.10413051499</v>
      </c>
      <c r="AE644">
        <v>0.150000000000034</v>
      </c>
      <c r="AF644">
        <v>-0.69544834376764397</v>
      </c>
      <c r="AG644">
        <v>-1.10413051499</v>
      </c>
      <c r="AH644">
        <v>48.911088925936198</v>
      </c>
      <c r="AI644">
        <v>91.293058212252006</v>
      </c>
      <c r="AJ644">
        <v>90.814612206327098</v>
      </c>
      <c r="AK644">
        <v>48.928492440640603</v>
      </c>
    </row>
    <row r="645" spans="1:37" x14ac:dyDescent="0.2">
      <c r="A645" t="str">
        <f>"20200111155513707"</f>
        <v>20200111155513707</v>
      </c>
      <c r="B645" t="str">
        <f>"1578729313702888"</f>
        <v>1578729313702888</v>
      </c>
      <c r="C645" t="s">
        <v>37</v>
      </c>
      <c r="D645">
        <v>4.4560629999999897</v>
      </c>
      <c r="E645">
        <v>0.54113219999999995</v>
      </c>
      <c r="F645" t="s">
        <v>38</v>
      </c>
      <c r="G645">
        <v>-327.59930000000003</v>
      </c>
      <c r="H645" s="1">
        <v>-1.32661E-6</v>
      </c>
      <c r="I645">
        <v>367.84390000000002</v>
      </c>
      <c r="J645">
        <v>-375.9271</v>
      </c>
      <c r="K645">
        <v>1.1041259999999999</v>
      </c>
      <c r="L645">
        <v>367.69</v>
      </c>
      <c r="M645">
        <v>0.99989150000000004</v>
      </c>
      <c r="N645">
        <v>0</v>
      </c>
      <c r="O645">
        <v>-1.111173E-2</v>
      </c>
      <c r="P645">
        <v>0.99366960000000004</v>
      </c>
      <c r="Q645">
        <v>-1.322948E-2</v>
      </c>
      <c r="R645">
        <v>0.11156199999999999</v>
      </c>
      <c r="S645">
        <v>3.01709</v>
      </c>
      <c r="T645">
        <v>-6.8682309999999996E-2</v>
      </c>
      <c r="U645">
        <v>9.4604489999999992E-3</v>
      </c>
      <c r="V645">
        <v>-0.1225965</v>
      </c>
      <c r="W645">
        <v>-3.6411619999999999E-3</v>
      </c>
      <c r="X645">
        <v>0.9924499</v>
      </c>
      <c r="Y645">
        <v>-1.424104E-2</v>
      </c>
      <c r="Z645">
        <v>4.1500089999999999E-4</v>
      </c>
      <c r="AA645">
        <v>0.99989850000000002</v>
      </c>
      <c r="AB645">
        <v>30</v>
      </c>
      <c r="AC645">
        <v>48.327799999999897</v>
      </c>
      <c r="AD645">
        <v>-1.10412732661</v>
      </c>
      <c r="AE645">
        <v>0.15390000000002099</v>
      </c>
      <c r="AF645">
        <v>-0.69056062715301603</v>
      </c>
      <c r="AG645">
        <v>-1.10412732661</v>
      </c>
      <c r="AH645">
        <v>48.297896200634398</v>
      </c>
      <c r="AI645">
        <v>91.309464009449599</v>
      </c>
      <c r="AJ645">
        <v>90.819156043789803</v>
      </c>
      <c r="AK645">
        <v>48.315450412268703</v>
      </c>
    </row>
    <row r="646" spans="1:37" x14ac:dyDescent="0.2">
      <c r="A646" t="str">
        <f>"20200111155513724"</f>
        <v>20200111155513724</v>
      </c>
      <c r="B646" t="str">
        <f>"1578729313713624"</f>
        <v>1578729313713624</v>
      </c>
      <c r="C646" t="s">
        <v>37</v>
      </c>
      <c r="D646">
        <v>4.4517290000000003</v>
      </c>
      <c r="E646">
        <v>0.54122360000000003</v>
      </c>
      <c r="F646" t="s">
        <v>38</v>
      </c>
      <c r="G646">
        <v>-328.63589999999999</v>
      </c>
      <c r="H646" s="1">
        <v>-9.2453909999999996E-7</v>
      </c>
      <c r="I646">
        <v>367.83390000000003</v>
      </c>
      <c r="J646">
        <v>-375.71460000000002</v>
      </c>
      <c r="K646">
        <v>1.1041190000000001</v>
      </c>
      <c r="L646">
        <v>367.68770000000001</v>
      </c>
      <c r="M646">
        <v>0.99989209999999995</v>
      </c>
      <c r="N646">
        <v>0</v>
      </c>
      <c r="O646">
        <v>-1.1063369999999999E-2</v>
      </c>
      <c r="P646">
        <v>0.99366209999999899</v>
      </c>
      <c r="Q646">
        <v>-1.4140349999999999E-2</v>
      </c>
      <c r="R646">
        <v>0.1115177</v>
      </c>
      <c r="S646">
        <v>3.0171809999999999</v>
      </c>
      <c r="T646">
        <v>-7.0443270000000002E-2</v>
      </c>
      <c r="U646">
        <v>9.1857910000000004E-3</v>
      </c>
      <c r="V646">
        <v>-0.12250469999999999</v>
      </c>
      <c r="W646">
        <v>-4.5437749999999999E-3</v>
      </c>
      <c r="X646">
        <v>0.99245749999999999</v>
      </c>
      <c r="Y646">
        <v>-1.4101280000000001E-2</v>
      </c>
      <c r="Z646">
        <v>4.2286529999999899E-4</v>
      </c>
      <c r="AA646">
        <v>0.99990049999999997</v>
      </c>
      <c r="AB646">
        <v>30</v>
      </c>
      <c r="AC646">
        <v>47.078699999999998</v>
      </c>
      <c r="AD646">
        <v>-1.1041199245391</v>
      </c>
      <c r="AE646">
        <v>0.14620000000002101</v>
      </c>
      <c r="AF646">
        <v>-0.66669775374961404</v>
      </c>
      <c r="AG646">
        <v>-1.1041199245391</v>
      </c>
      <c r="AH646">
        <v>47.048323357013203</v>
      </c>
      <c r="AI646">
        <v>91.344223354402104</v>
      </c>
      <c r="AJ646">
        <v>90.811854881617705</v>
      </c>
      <c r="AK646">
        <v>47.065999377562299</v>
      </c>
    </row>
    <row r="647" spans="1:37" x14ac:dyDescent="0.2">
      <c r="A647" t="str">
        <f>"20200111155513737"</f>
        <v>20200111155513737</v>
      </c>
      <c r="B647" t="str">
        <f>"1578729313733143"</f>
        <v>1578729313733143</v>
      </c>
      <c r="C647" t="s">
        <v>37</v>
      </c>
      <c r="D647">
        <v>4.4010600000000002</v>
      </c>
      <c r="E647">
        <v>0.55650250000000001</v>
      </c>
      <c r="F647" t="s">
        <v>38</v>
      </c>
      <c r="G647">
        <v>-330.070999999999</v>
      </c>
      <c r="H647" s="1">
        <v>-4.5620919999999997E-6</v>
      </c>
      <c r="I647">
        <v>367.8109</v>
      </c>
      <c r="J647">
        <v>-375.529</v>
      </c>
      <c r="K647">
        <v>1.104115</v>
      </c>
      <c r="L647">
        <v>367.6857</v>
      </c>
      <c r="M647">
        <v>0.99989240000000001</v>
      </c>
      <c r="N647">
        <v>0</v>
      </c>
      <c r="O647">
        <v>-1.102265E-2</v>
      </c>
      <c r="P647">
        <v>0.99371449999999995</v>
      </c>
      <c r="Q647">
        <v>-1.481153E-2</v>
      </c>
      <c r="R647">
        <v>0.110960899999999</v>
      </c>
      <c r="S647">
        <v>3.0171809999999999</v>
      </c>
      <c r="T647">
        <v>-7.2985770000000005E-2</v>
      </c>
      <c r="U647">
        <v>8.1481929999999998E-3</v>
      </c>
      <c r="V647">
        <v>-0.1219075</v>
      </c>
      <c r="W647">
        <v>-5.2069200000000003E-3</v>
      </c>
      <c r="X647">
        <v>0.99252779999999996</v>
      </c>
      <c r="Y647">
        <v>-1.3716310000000001E-2</v>
      </c>
      <c r="Z647">
        <v>4.32483E-4</v>
      </c>
      <c r="AA647">
        <v>0.99990579999999996</v>
      </c>
      <c r="AB647">
        <v>30</v>
      </c>
      <c r="AC647">
        <v>45.457999999999998</v>
      </c>
      <c r="AD647">
        <v>-1.1041195620919999</v>
      </c>
      <c r="AE647">
        <v>0.125200000000006</v>
      </c>
      <c r="AF647">
        <v>-0.62591423878998598</v>
      </c>
      <c r="AG647">
        <v>-1.1041195620919999</v>
      </c>
      <c r="AH647">
        <v>45.427058745304102</v>
      </c>
      <c r="AI647">
        <v>91.392186494087198</v>
      </c>
      <c r="AJ647">
        <v>90.789396805330398</v>
      </c>
      <c r="AK647">
        <v>45.444785343216502</v>
      </c>
    </row>
    <row r="648" spans="1:37" x14ac:dyDescent="0.2">
      <c r="A648" t="str">
        <f>"20200111155513748"</f>
        <v>20200111155513748</v>
      </c>
      <c r="B648" t="str">
        <f>"1578729313742903"</f>
        <v>1578729313742903</v>
      </c>
      <c r="C648" t="s">
        <v>37</v>
      </c>
      <c r="D648">
        <v>4.3808429999999996</v>
      </c>
      <c r="E648">
        <v>0.5574519</v>
      </c>
      <c r="F648" t="s">
        <v>38</v>
      </c>
      <c r="G648">
        <v>-346.03210000000001</v>
      </c>
      <c r="H648" s="1">
        <v>-2.39586099999999E-6</v>
      </c>
      <c r="I648">
        <v>366.57369999999997</v>
      </c>
      <c r="J648">
        <v>-375.36680000000001</v>
      </c>
      <c r="K648">
        <v>1.104109</v>
      </c>
      <c r="L648">
        <v>367.68389999999999</v>
      </c>
      <c r="M648">
        <v>0.99989269999999997</v>
      </c>
      <c r="N648">
        <v>0</v>
      </c>
      <c r="O648">
        <v>-1.0989199999999999E-2</v>
      </c>
      <c r="P648">
        <v>0.99378060000000001</v>
      </c>
      <c r="Q648">
        <v>-1.5230489999999999E-2</v>
      </c>
      <c r="R648">
        <v>0.1103098</v>
      </c>
      <c r="S648">
        <v>3.0300289999999999</v>
      </c>
      <c r="T648">
        <v>-0.1134188</v>
      </c>
      <c r="U648">
        <v>-0.1142273</v>
      </c>
      <c r="V648">
        <v>-0.12122429999999999</v>
      </c>
      <c r="W648">
        <v>-5.6183830000000002E-3</v>
      </c>
      <c r="X648">
        <v>0.99260930000000003</v>
      </c>
      <c r="Y648">
        <v>2.6676499999999999E-2</v>
      </c>
      <c r="Z648" s="1">
        <v>-8.7874829999999996E-5</v>
      </c>
      <c r="AA648">
        <v>0.99964409999999904</v>
      </c>
      <c r="AB648">
        <v>30</v>
      </c>
      <c r="AC648">
        <v>29.334700000000002</v>
      </c>
      <c r="AD648">
        <v>-1.104111395861</v>
      </c>
      <c r="AE648">
        <v>-1.1102000000000201</v>
      </c>
      <c r="AF648">
        <v>0.78664014734040699</v>
      </c>
      <c r="AG648">
        <v>-1.104111395861</v>
      </c>
      <c r="AH648">
        <v>29.303675627129401</v>
      </c>
      <c r="AI648">
        <v>92.157008021521605</v>
      </c>
      <c r="AJ648">
        <v>88.462297383631594</v>
      </c>
      <c r="AK648">
        <v>29.3350178107308</v>
      </c>
    </row>
    <row r="649" spans="1:37" x14ac:dyDescent="0.2">
      <c r="A649" t="str">
        <f>"20200111155513761"</f>
        <v>20200111155513761</v>
      </c>
      <c r="B649" t="str">
        <f>"1578729313753640"</f>
        <v>1578729313753640</v>
      </c>
      <c r="C649" t="s">
        <v>37</v>
      </c>
      <c r="D649">
        <v>4.4065769999999898</v>
      </c>
      <c r="E649">
        <v>0.55773600000000001</v>
      </c>
      <c r="F649" t="s">
        <v>38</v>
      </c>
      <c r="G649">
        <v>-346.02350000000001</v>
      </c>
      <c r="H649" s="1">
        <v>-2.4154199999999999E-6</v>
      </c>
      <c r="I649">
        <v>366.4864</v>
      </c>
      <c r="J649">
        <v>-375.2038</v>
      </c>
      <c r="K649">
        <v>1.1041000000000001</v>
      </c>
      <c r="L649">
        <v>367.68220000000002</v>
      </c>
      <c r="M649">
        <v>0.99989300000000003</v>
      </c>
      <c r="N649">
        <v>0</v>
      </c>
      <c r="O649">
        <v>-1.095731E-2</v>
      </c>
      <c r="P649">
        <v>0.99384709999999998</v>
      </c>
      <c r="Q649">
        <v>-1.5629029999999999E-2</v>
      </c>
      <c r="R649">
        <v>0.10965370000000001</v>
      </c>
      <c r="S649">
        <v>3.03076199999999</v>
      </c>
      <c r="T649">
        <v>-0.1140394</v>
      </c>
      <c r="U649">
        <v>-0.1236877</v>
      </c>
      <c r="V649">
        <v>-0.1205372</v>
      </c>
      <c r="W649">
        <v>-6.0092349999999999E-3</v>
      </c>
      <c r="X649">
        <v>0.99269059999999898</v>
      </c>
      <c r="Y649">
        <v>2.981236E-2</v>
      </c>
      <c r="Z649">
        <v>-1.484809E-4</v>
      </c>
      <c r="AA649">
        <v>0.99955550000000004</v>
      </c>
      <c r="AB649">
        <v>30</v>
      </c>
      <c r="AC649">
        <v>29.1802999999999</v>
      </c>
      <c r="AD649">
        <v>-1.1041024154200001</v>
      </c>
      <c r="AE649">
        <v>-1.19580000000001</v>
      </c>
      <c r="AF649">
        <v>0.87472538789502796</v>
      </c>
      <c r="AG649">
        <v>-1.1041024154200001</v>
      </c>
      <c r="AH649">
        <v>29.149988575825599</v>
      </c>
      <c r="AI649">
        <v>92.168157308087203</v>
      </c>
      <c r="AJ649">
        <v>88.281198712433394</v>
      </c>
      <c r="AK649">
        <v>29.184002820359101</v>
      </c>
    </row>
    <row r="650" spans="1:37" x14ac:dyDescent="0.2">
      <c r="A650" t="str">
        <f>"20200111155513773"</f>
        <v>20200111155513773</v>
      </c>
      <c r="B650" t="str">
        <f>"1578729313763399"</f>
        <v>1578729313763399</v>
      </c>
      <c r="C650" t="s">
        <v>37</v>
      </c>
      <c r="D650">
        <v>4.3736480000000002</v>
      </c>
      <c r="E650">
        <v>0.55820170000000002</v>
      </c>
      <c r="F650" t="s">
        <v>38</v>
      </c>
      <c r="G650">
        <v>-346.79360000000003</v>
      </c>
      <c r="H650" s="1">
        <v>-2.052E-6</v>
      </c>
      <c r="I650">
        <v>366.48270000000002</v>
      </c>
      <c r="J650">
        <v>-375.03699999999998</v>
      </c>
      <c r="K650">
        <v>1.1040939999999999</v>
      </c>
      <c r="L650">
        <v>367.68040000000002</v>
      </c>
      <c r="M650">
        <v>0.99989329999999998</v>
      </c>
      <c r="N650">
        <v>0</v>
      </c>
      <c r="O650">
        <v>-1.092889E-2</v>
      </c>
      <c r="P650">
        <v>0.99395529999999999</v>
      </c>
      <c r="Q650">
        <v>-1.6199290000000002E-2</v>
      </c>
      <c r="R650">
        <v>0.1085856</v>
      </c>
      <c r="S650">
        <v>3.030853</v>
      </c>
      <c r="T650">
        <v>-0.1177877</v>
      </c>
      <c r="U650">
        <v>-0.1279602</v>
      </c>
      <c r="V650">
        <v>-0.119441899999999</v>
      </c>
      <c r="W650">
        <v>-6.5706879999999999E-3</v>
      </c>
      <c r="X650">
        <v>0.99281939999999902</v>
      </c>
      <c r="Y650">
        <v>3.124412E-2</v>
      </c>
      <c r="Z650">
        <v>-1.8225089999999999E-4</v>
      </c>
      <c r="AA650">
        <v>0.99951179999999995</v>
      </c>
      <c r="AB650">
        <v>30</v>
      </c>
      <c r="AC650">
        <v>28.243399999999902</v>
      </c>
      <c r="AD650">
        <v>-1.104096052</v>
      </c>
      <c r="AE650">
        <v>-1.19769999999999</v>
      </c>
      <c r="AF650">
        <v>0.88759097155433597</v>
      </c>
      <c r="AG650">
        <v>-1.104096052</v>
      </c>
      <c r="AH650">
        <v>28.211767444212398</v>
      </c>
      <c r="AI650">
        <v>92.240077271394696</v>
      </c>
      <c r="AJ650">
        <v>88.197970150312301</v>
      </c>
      <c r="AK650">
        <v>28.247312582813102</v>
      </c>
    </row>
    <row r="651" spans="1:37" x14ac:dyDescent="0.2">
      <c r="A651" t="str">
        <f>"20200111155513790"</f>
        <v>20200111155513790</v>
      </c>
      <c r="B651" t="str">
        <f>"1578729313782919"</f>
        <v>1578729313782919</v>
      </c>
      <c r="C651" t="s">
        <v>37</v>
      </c>
      <c r="D651">
        <v>4.3684969999999996</v>
      </c>
      <c r="E651">
        <v>0.55829329999999999</v>
      </c>
      <c r="F651" t="s">
        <v>38</v>
      </c>
      <c r="G651">
        <v>-346.0009</v>
      </c>
      <c r="H651" s="1">
        <v>-2.4434249999999998E-6</v>
      </c>
      <c r="I651">
        <v>366.38850000000002</v>
      </c>
      <c r="J651">
        <v>-374.80419999999998</v>
      </c>
      <c r="K651">
        <v>1.1040829999999999</v>
      </c>
      <c r="L651">
        <v>367.67779999999999</v>
      </c>
      <c r="M651">
        <v>0.99989340000000004</v>
      </c>
      <c r="N651">
        <v>0</v>
      </c>
      <c r="O651">
        <v>-1.089684E-2</v>
      </c>
      <c r="P651">
        <v>0.99412630000000002</v>
      </c>
      <c r="Q651">
        <v>-1.6487970000000001E-2</v>
      </c>
      <c r="R651">
        <v>0.1069633</v>
      </c>
      <c r="S651">
        <v>3.03106699999999</v>
      </c>
      <c r="T651">
        <v>-0.1152565</v>
      </c>
      <c r="U651">
        <v>-0.13485720000000001</v>
      </c>
      <c r="V651">
        <v>-0.1177902</v>
      </c>
      <c r="W651">
        <v>-6.8463389999999999E-3</v>
      </c>
      <c r="X651">
        <v>0.99301489999999903</v>
      </c>
      <c r="Y651">
        <v>3.3542130000000003E-2</v>
      </c>
      <c r="Z651">
        <v>-2.2318859999999999E-4</v>
      </c>
      <c r="AA651">
        <v>0.99943729999999997</v>
      </c>
      <c r="AB651">
        <v>30</v>
      </c>
      <c r="AC651">
        <v>28.803299999999901</v>
      </c>
      <c r="AD651">
        <v>-1.104085443425</v>
      </c>
      <c r="AE651">
        <v>-1.2892999999999599</v>
      </c>
      <c r="AF651">
        <v>0.97391552272003501</v>
      </c>
      <c r="AG651">
        <v>-1.104085443425</v>
      </c>
      <c r="AH651">
        <v>28.773446383261199</v>
      </c>
      <c r="AI651">
        <v>92.196200705571201</v>
      </c>
      <c r="AJ651">
        <v>88.061408666708701</v>
      </c>
      <c r="AK651">
        <v>28.811086978491101</v>
      </c>
    </row>
    <row r="652" spans="1:37" x14ac:dyDescent="0.2">
      <c r="A652" t="str">
        <f>"20200111155513803"</f>
        <v>20200111155513803</v>
      </c>
      <c r="B652" t="str">
        <f>"1578729313792680"</f>
        <v>1578729313792680</v>
      </c>
      <c r="C652" t="s">
        <v>37</v>
      </c>
      <c r="D652">
        <v>4.3592379999999897</v>
      </c>
      <c r="E652">
        <v>0.5581834</v>
      </c>
      <c r="F652" t="s">
        <v>38</v>
      </c>
      <c r="G652">
        <v>-345.738</v>
      </c>
      <c r="H652" s="1">
        <v>-2.577858E-6</v>
      </c>
      <c r="I652">
        <v>366.3313</v>
      </c>
      <c r="J652">
        <v>-374.64350000000002</v>
      </c>
      <c r="K652">
        <v>1.1040760000000001</v>
      </c>
      <c r="L652">
        <v>367.67610000000002</v>
      </c>
      <c r="M652">
        <v>0.9998937</v>
      </c>
      <c r="N652">
        <v>0</v>
      </c>
      <c r="O652">
        <v>-1.087894E-2</v>
      </c>
      <c r="P652">
        <v>0.99418629999999997</v>
      </c>
      <c r="Q652">
        <v>-1.6373970000000002E-2</v>
      </c>
      <c r="R652">
        <v>0.1064237</v>
      </c>
      <c r="S652">
        <v>3.030945</v>
      </c>
      <c r="T652">
        <v>-0.11513130000000001</v>
      </c>
      <c r="U652">
        <v>-0.14041139999999999</v>
      </c>
      <c r="V652">
        <v>-0.1172335</v>
      </c>
      <c r="W652">
        <v>-6.7238389999999997E-3</v>
      </c>
      <c r="X652">
        <v>0.99308159999999901</v>
      </c>
      <c r="Y652">
        <v>3.5388129999999997E-2</v>
      </c>
      <c r="Z652">
        <v>-2.5865529999999999E-4</v>
      </c>
      <c r="AA652">
        <v>0.99937359999999897</v>
      </c>
      <c r="AB652">
        <v>30</v>
      </c>
      <c r="AC652">
        <v>28.9054999999999</v>
      </c>
      <c r="AD652">
        <v>-1.104078577858</v>
      </c>
      <c r="AE652">
        <v>-1.34480000000002</v>
      </c>
      <c r="AF652">
        <v>1.02874674893388</v>
      </c>
      <c r="AG652">
        <v>-1.104078577858</v>
      </c>
      <c r="AH652">
        <v>28.876381904299301</v>
      </c>
      <c r="AI652">
        <v>92.188231075846204</v>
      </c>
      <c r="AJ652">
        <v>87.959649888294095</v>
      </c>
      <c r="AK652">
        <v>28.915787059363801</v>
      </c>
    </row>
    <row r="653" spans="1:37" x14ac:dyDescent="0.2">
      <c r="A653" t="str">
        <f>"20200111155513815"</f>
        <v>20200111155513815</v>
      </c>
      <c r="B653" t="str">
        <f>"1578729313813175"</f>
        <v>1578729313813175</v>
      </c>
      <c r="C653" t="s">
        <v>37</v>
      </c>
      <c r="D653">
        <v>4.3609369999999998</v>
      </c>
      <c r="E653">
        <v>0.55814339999999996</v>
      </c>
      <c r="F653" t="s">
        <v>38</v>
      </c>
      <c r="G653">
        <v>-345.46010000000001</v>
      </c>
      <c r="H653" s="1">
        <v>-2.71235599999999E-6</v>
      </c>
      <c r="I653">
        <v>366.31380000000001</v>
      </c>
      <c r="J653">
        <v>-374.46800000000002</v>
      </c>
      <c r="K653">
        <v>1.104069</v>
      </c>
      <c r="L653">
        <v>367.67419999999998</v>
      </c>
      <c r="M653">
        <v>0.9998937</v>
      </c>
      <c r="N653">
        <v>0</v>
      </c>
      <c r="O653">
        <v>-1.08638E-2</v>
      </c>
      <c r="P653">
        <v>0.99425819999999998</v>
      </c>
      <c r="Q653">
        <v>-1.6029069999999999E-2</v>
      </c>
      <c r="R653">
        <v>0.105801299999999</v>
      </c>
      <c r="S653">
        <v>3.0307919999999999</v>
      </c>
      <c r="T653">
        <v>-0.1146621</v>
      </c>
      <c r="U653">
        <v>-0.14147950000000001</v>
      </c>
      <c r="V653">
        <v>-0.1165968</v>
      </c>
      <c r="W653">
        <v>-6.3695330000000001E-3</v>
      </c>
      <c r="X653">
        <v>0.99315889999999996</v>
      </c>
      <c r="Y653">
        <v>3.5756910000000003E-2</v>
      </c>
      <c r="Z653">
        <v>-2.6515460000000002E-4</v>
      </c>
      <c r="AA653">
        <v>0.99936049999999998</v>
      </c>
      <c r="AB653">
        <v>30</v>
      </c>
      <c r="AC653">
        <v>29.007899999999999</v>
      </c>
      <c r="AD653">
        <v>-1.104071712356</v>
      </c>
      <c r="AE653">
        <v>-1.3603999999999701</v>
      </c>
      <c r="AF653">
        <v>1.0436602103678101</v>
      </c>
      <c r="AG653">
        <v>-1.104071712356</v>
      </c>
      <c r="AH653">
        <v>28.9790795407941</v>
      </c>
      <c r="AI653">
        <v>92.180439990885603</v>
      </c>
      <c r="AJ653">
        <v>87.937426121579094</v>
      </c>
      <c r="AK653">
        <v>29.018877511240898</v>
      </c>
    </row>
    <row r="654" spans="1:37" x14ac:dyDescent="0.2">
      <c r="A654" t="str">
        <f>"20200111155513828"</f>
        <v>20200111155513828</v>
      </c>
      <c r="B654" t="str">
        <f>"1578729313822935"</f>
        <v>1578729313822935</v>
      </c>
      <c r="C654" t="s">
        <v>37</v>
      </c>
      <c r="D654">
        <v>4.3167739999999997</v>
      </c>
      <c r="E654">
        <v>0.55810819999999906</v>
      </c>
      <c r="F654" t="s">
        <v>38</v>
      </c>
      <c r="G654">
        <v>-344.22570000000002</v>
      </c>
      <c r="H654" s="1">
        <v>-3.3072619999999999E-6</v>
      </c>
      <c r="I654">
        <v>366.24939999999998</v>
      </c>
      <c r="J654">
        <v>-374.29509999999999</v>
      </c>
      <c r="K654">
        <v>1.1040669999999999</v>
      </c>
      <c r="L654">
        <v>367.67239999999998</v>
      </c>
      <c r="M654">
        <v>0.99989380000000005</v>
      </c>
      <c r="N654">
        <v>0</v>
      </c>
      <c r="O654">
        <v>-1.08527E-2</v>
      </c>
      <c r="P654">
        <v>0.99430110000000005</v>
      </c>
      <c r="Q654">
        <v>-1.5831399999999999E-2</v>
      </c>
      <c r="R654">
        <v>0.10542650000000001</v>
      </c>
      <c r="S654">
        <v>3.03076199999999</v>
      </c>
      <c r="T654">
        <v>-0.11064599999999999</v>
      </c>
      <c r="U654">
        <v>-0.14279169999999999</v>
      </c>
      <c r="V654">
        <v>-0.11621189999999899</v>
      </c>
      <c r="W654">
        <v>-6.1631000000000003E-3</v>
      </c>
      <c r="X654">
        <v>0.99320529999999996</v>
      </c>
      <c r="Y654">
        <v>3.620114E-2</v>
      </c>
      <c r="Z654">
        <v>-2.6438070000000001E-4</v>
      </c>
      <c r="AA654">
        <v>0.99934449999999997</v>
      </c>
      <c r="AB654">
        <v>30</v>
      </c>
      <c r="AC654">
        <v>30.069399999999899</v>
      </c>
      <c r="AD654">
        <v>-1.104070307262</v>
      </c>
      <c r="AE654">
        <v>-1.423</v>
      </c>
      <c r="AF654">
        <v>1.09509350228935</v>
      </c>
      <c r="AG654">
        <v>-1.104070307262</v>
      </c>
      <c r="AH654">
        <v>30.042661057290498</v>
      </c>
      <c r="AI654">
        <v>92.103281936280496</v>
      </c>
      <c r="AJ654">
        <v>87.912419657840005</v>
      </c>
      <c r="AK654">
        <v>30.082880254812299</v>
      </c>
    </row>
    <row r="655" spans="1:37" x14ac:dyDescent="0.2">
      <c r="A655" t="str">
        <f>"20200111155513846"</f>
        <v>20200111155513846</v>
      </c>
      <c r="B655" t="str">
        <f>"1578729313843431"</f>
        <v>1578729313843431</v>
      </c>
      <c r="C655" t="s">
        <v>37</v>
      </c>
      <c r="D655">
        <v>4.3284969999999996</v>
      </c>
      <c r="E655">
        <v>0.55815609999999904</v>
      </c>
      <c r="F655" t="s">
        <v>38</v>
      </c>
      <c r="G655">
        <v>-343.63709999999998</v>
      </c>
      <c r="H655" s="1">
        <v>-3.591207E-6</v>
      </c>
      <c r="I655">
        <v>366.21710000000002</v>
      </c>
      <c r="J655">
        <v>-374.05149999999998</v>
      </c>
      <c r="K655">
        <v>1.104066</v>
      </c>
      <c r="L655">
        <v>367.66969999999998</v>
      </c>
      <c r="M655">
        <v>0.99989380000000005</v>
      </c>
      <c r="N655">
        <v>0</v>
      </c>
      <c r="O655">
        <v>-1.0841150000000001E-2</v>
      </c>
      <c r="P655">
        <v>0.99433359999999904</v>
      </c>
      <c r="Q655">
        <v>-1.5051780000000001E-2</v>
      </c>
      <c r="R655">
        <v>0.1052355</v>
      </c>
      <c r="S655">
        <v>3.0307309999999998</v>
      </c>
      <c r="T655">
        <v>-0.1091443</v>
      </c>
      <c r="U655">
        <v>-0.14385989999999901</v>
      </c>
      <c r="V655">
        <v>-0.11600969999999999</v>
      </c>
      <c r="W655">
        <v>-5.3718519999999999E-3</v>
      </c>
      <c r="X655">
        <v>0.99323359999999905</v>
      </c>
      <c r="Y655">
        <v>3.6564770000000003E-2</v>
      </c>
      <c r="Z655">
        <v>-2.6775289999999999E-4</v>
      </c>
      <c r="AA655">
        <v>0.99933119999999998</v>
      </c>
      <c r="AB655">
        <v>30</v>
      </c>
      <c r="AC655">
        <v>30.414400000000001</v>
      </c>
      <c r="AD655">
        <v>-1.104069591207</v>
      </c>
      <c r="AE655">
        <v>-1.4525999999999599</v>
      </c>
      <c r="AF655">
        <v>1.1212976827576799</v>
      </c>
      <c r="AG655">
        <v>-1.104069591207</v>
      </c>
      <c r="AH655">
        <v>30.388407754068101</v>
      </c>
      <c r="AI655">
        <v>92.079337390166501</v>
      </c>
      <c r="AJ655">
        <v>87.886809610055906</v>
      </c>
      <c r="AK655">
        <v>30.429124272366</v>
      </c>
    </row>
    <row r="656" spans="1:37" x14ac:dyDescent="0.2">
      <c r="A656" t="str">
        <f>"20200111155513858"</f>
        <v>20200111155513858</v>
      </c>
      <c r="B656" t="str">
        <f>"1578729313853191"</f>
        <v>1578729313853191</v>
      </c>
      <c r="C656" t="s">
        <v>37</v>
      </c>
      <c r="D656">
        <v>4.6182509999999999</v>
      </c>
      <c r="E656">
        <v>0.55804750000000003</v>
      </c>
      <c r="F656" t="s">
        <v>38</v>
      </c>
      <c r="G656">
        <v>-342.173</v>
      </c>
      <c r="H656" s="1">
        <v>-4.2957889999999902E-6</v>
      </c>
      <c r="I656">
        <v>366.14690000000002</v>
      </c>
      <c r="J656">
        <v>-373.88729999999998</v>
      </c>
      <c r="K656">
        <v>1.1040650000000001</v>
      </c>
      <c r="L656">
        <v>367.66789999999997</v>
      </c>
      <c r="M656">
        <v>0.99989380000000005</v>
      </c>
      <c r="N656">
        <v>0</v>
      </c>
      <c r="O656">
        <v>-1.0835620000000001E-2</v>
      </c>
      <c r="P656">
        <v>0.994336199999999</v>
      </c>
      <c r="Q656">
        <v>-1.4312719999999999E-2</v>
      </c>
      <c r="R656">
        <v>0.10531409999999999</v>
      </c>
      <c r="S656">
        <v>3.0308229999999998</v>
      </c>
      <c r="T656">
        <v>-0.10496849999999899</v>
      </c>
      <c r="U656">
        <v>-0.1447754</v>
      </c>
      <c r="V656">
        <v>-0.11608309999999999</v>
      </c>
      <c r="W656">
        <v>-4.6254549999999997E-3</v>
      </c>
      <c r="X656">
        <v>0.99322869999999996</v>
      </c>
      <c r="Y656">
        <v>3.6871109999999999E-2</v>
      </c>
      <c r="Z656">
        <v>-2.6299689999999899E-4</v>
      </c>
      <c r="AA656">
        <v>0.99931999999999999</v>
      </c>
      <c r="AB656">
        <v>30</v>
      </c>
      <c r="AC656">
        <v>31.714299999999898</v>
      </c>
      <c r="AD656">
        <v>-1.1040692957889999</v>
      </c>
      <c r="AE656">
        <v>-1.5209999999999499</v>
      </c>
      <c r="AF656">
        <v>1.1758285066376699</v>
      </c>
      <c r="AG656">
        <v>-1.1040692957889999</v>
      </c>
      <c r="AH656">
        <v>31.690600648606399</v>
      </c>
      <c r="AI656">
        <v>91.993950560098597</v>
      </c>
      <c r="AJ656">
        <v>87.875107452350804</v>
      </c>
      <c r="AK656">
        <v>31.7316200525025</v>
      </c>
    </row>
    <row r="657" spans="1:37" x14ac:dyDescent="0.2">
      <c r="A657" t="str">
        <f>"20200111155513869"</f>
        <v>20200111155513869</v>
      </c>
      <c r="B657" t="str">
        <f>"1578729313862951"</f>
        <v>1578729313862951</v>
      </c>
      <c r="C657" t="s">
        <v>37</v>
      </c>
      <c r="D657">
        <v>4.3294680000000003</v>
      </c>
      <c r="E657">
        <v>0.55801239999999996</v>
      </c>
      <c r="F657" t="s">
        <v>38</v>
      </c>
      <c r="G657">
        <v>-340.24540000000002</v>
      </c>
      <c r="H657" s="1">
        <v>-5.2199980000000004E-6</v>
      </c>
      <c r="I657">
        <v>366.07350000000002</v>
      </c>
      <c r="J657">
        <v>-373.74029999999999</v>
      </c>
      <c r="K657">
        <v>1.1040669999999999</v>
      </c>
      <c r="L657">
        <v>367.66629999999998</v>
      </c>
      <c r="M657">
        <v>0.99989380000000005</v>
      </c>
      <c r="N657">
        <v>0</v>
      </c>
      <c r="O657">
        <v>-1.083377E-2</v>
      </c>
      <c r="P657">
        <v>0.99433259999999901</v>
      </c>
      <c r="Q657">
        <v>-1.339386E-2</v>
      </c>
      <c r="R657">
        <v>0.1054672</v>
      </c>
      <c r="S657">
        <v>3.0309140000000001</v>
      </c>
      <c r="T657">
        <v>-9.9469539999999995E-2</v>
      </c>
      <c r="U657">
        <v>-0.1436462</v>
      </c>
      <c r="V657">
        <v>-0.116234199999999</v>
      </c>
      <c r="W657">
        <v>-3.7005720000000001E-3</v>
      </c>
      <c r="X657">
        <v>0.99321499999999996</v>
      </c>
      <c r="Y657">
        <v>3.6501859999999997E-2</v>
      </c>
      <c r="Z657">
        <v>-2.4322809999999999E-4</v>
      </c>
      <c r="AA657">
        <v>0.99933359999999904</v>
      </c>
      <c r="AB657">
        <v>30</v>
      </c>
      <c r="AC657">
        <v>33.494899999999902</v>
      </c>
      <c r="AD657">
        <v>-1.104072219998</v>
      </c>
      <c r="AE657">
        <v>-1.59279999999995</v>
      </c>
      <c r="AF657">
        <v>1.22848147280777</v>
      </c>
      <c r="AG657">
        <v>-1.104072219998</v>
      </c>
      <c r="AH657">
        <v>33.473902951737301</v>
      </c>
      <c r="AI657">
        <v>91.887836111980306</v>
      </c>
      <c r="AJ657">
        <v>87.898206591693096</v>
      </c>
      <c r="AK657">
        <v>33.514628463080498</v>
      </c>
    </row>
    <row r="658" spans="1:37" x14ac:dyDescent="0.2">
      <c r="A658" t="str">
        <f>"20200111155513881"</f>
        <v>20200111155513881</v>
      </c>
      <c r="B658" t="str">
        <f>"1578729313872711"</f>
        <v>1578729313872711</v>
      </c>
      <c r="C658" t="s">
        <v>37</v>
      </c>
      <c r="D658">
        <v>4.3244069999999999</v>
      </c>
      <c r="E658">
        <v>0.55792549999999996</v>
      </c>
      <c r="F658" t="s">
        <v>38</v>
      </c>
      <c r="G658">
        <v>-337.76069999999999</v>
      </c>
      <c r="H658" s="1">
        <v>-1.718211E-6</v>
      </c>
      <c r="I658">
        <v>365.97050000000002</v>
      </c>
      <c r="J658">
        <v>-373.57400000000001</v>
      </c>
      <c r="K658">
        <v>1.1040700000000001</v>
      </c>
      <c r="L658">
        <v>367.6644</v>
      </c>
      <c r="M658">
        <v>0.9998937</v>
      </c>
      <c r="N658">
        <v>0</v>
      </c>
      <c r="O658">
        <v>-1.0832629999999999E-2</v>
      </c>
      <c r="P658">
        <v>0.99433769999999999</v>
      </c>
      <c r="Q658">
        <v>-1.26797E-2</v>
      </c>
      <c r="R658">
        <v>0.1055097</v>
      </c>
      <c r="S658">
        <v>3.0310359999999998</v>
      </c>
      <c r="T658">
        <v>-9.3009949999999994E-2</v>
      </c>
      <c r="U658">
        <v>-0.142852799999999</v>
      </c>
      <c r="V658">
        <v>-0.11627560000000001</v>
      </c>
      <c r="W658">
        <v>-2.979495E-3</v>
      </c>
      <c r="X658">
        <v>0.99321250000000005</v>
      </c>
      <c r="Y658">
        <v>3.6241929999999999E-2</v>
      </c>
      <c r="Z658">
        <v>-2.234824E-4</v>
      </c>
      <c r="AA658">
        <v>0.99934299999999998</v>
      </c>
      <c r="AB658">
        <v>30</v>
      </c>
      <c r="AC658">
        <v>35.813299999999998</v>
      </c>
      <c r="AD658">
        <v>-1.104071718211</v>
      </c>
      <c r="AE658">
        <v>-1.69389999999998</v>
      </c>
      <c r="AF658">
        <v>1.3045927815173</v>
      </c>
      <c r="AG658">
        <v>-1.104071718211</v>
      </c>
      <c r="AH658">
        <v>35.795604568923402</v>
      </c>
      <c r="AI658">
        <v>91.765486874356</v>
      </c>
      <c r="AJ658">
        <v>87.912743973126297</v>
      </c>
      <c r="AK658">
        <v>35.836381557563399</v>
      </c>
    </row>
    <row r="659" spans="1:37" x14ac:dyDescent="0.2">
      <c r="A659" t="str">
        <f>"20200111155513893"</f>
        <v>20200111155513893</v>
      </c>
      <c r="B659" t="str">
        <f>"1578729313883447"</f>
        <v>1578729313883447</v>
      </c>
      <c r="C659" t="s">
        <v>37</v>
      </c>
      <c r="D659">
        <v>4.3479400000000004</v>
      </c>
      <c r="E659">
        <v>0.55776610000000004</v>
      </c>
      <c r="F659" t="s">
        <v>38</v>
      </c>
      <c r="G659">
        <v>-335.05739999999997</v>
      </c>
      <c r="H659" s="1">
        <v>-2.7695010000000002E-6</v>
      </c>
      <c r="I659">
        <v>365.85730000000001</v>
      </c>
      <c r="J659">
        <v>-373.41239999999999</v>
      </c>
      <c r="K659">
        <v>1.1040729999999901</v>
      </c>
      <c r="L659">
        <v>367.66269999999997</v>
      </c>
      <c r="M659">
        <v>0.9998937</v>
      </c>
      <c r="N659">
        <v>0</v>
      </c>
      <c r="O659">
        <v>-1.0834949999999999E-2</v>
      </c>
      <c r="P659">
        <v>0.99431610000000004</v>
      </c>
      <c r="Q659">
        <v>-1.1936270000000001E-2</v>
      </c>
      <c r="R659">
        <v>0.105798499999999</v>
      </c>
      <c r="S659">
        <v>3.0311279999999998</v>
      </c>
      <c r="T659">
        <v>-8.6886640000000001E-2</v>
      </c>
      <c r="U659">
        <v>-0.1422119</v>
      </c>
      <c r="V659">
        <v>-0.1165667</v>
      </c>
      <c r="W659">
        <v>-2.229708E-3</v>
      </c>
      <c r="X659">
        <v>0.99318039999999996</v>
      </c>
      <c r="Y659">
        <v>3.6028980000000002E-2</v>
      </c>
      <c r="Z659">
        <v>-2.056541E-4</v>
      </c>
      <c r="AA659">
        <v>0.99935069999999904</v>
      </c>
      <c r="AB659">
        <v>30</v>
      </c>
      <c r="AC659">
        <v>38.354999999999997</v>
      </c>
      <c r="AD659">
        <v>-1.1040757695009999</v>
      </c>
      <c r="AE659">
        <v>-1.8053999999999599</v>
      </c>
      <c r="AF659">
        <v>1.3885516911026301</v>
      </c>
      <c r="AG659">
        <v>-1.1040757695009999</v>
      </c>
      <c r="AH659">
        <v>38.340611261863401</v>
      </c>
      <c r="AI659">
        <v>91.648382546820898</v>
      </c>
      <c r="AJ659">
        <v>87.9258704263802</v>
      </c>
      <c r="AK659">
        <v>38.381630124800502</v>
      </c>
    </row>
    <row r="660" spans="1:37" x14ac:dyDescent="0.2">
      <c r="A660" t="str">
        <f>"20200111155513904"</f>
        <v>20200111155513904</v>
      </c>
      <c r="B660" t="str">
        <f>"1578729313893208"</f>
        <v>1578729313893208</v>
      </c>
      <c r="C660" t="s">
        <v>37</v>
      </c>
      <c r="D660">
        <v>4.3412860000000002</v>
      </c>
      <c r="E660">
        <v>0.55767149999999999</v>
      </c>
      <c r="F660" t="s">
        <v>38</v>
      </c>
      <c r="G660">
        <v>-332.55509999999998</v>
      </c>
      <c r="H660" s="1">
        <v>-3.8571989999999999E-6</v>
      </c>
      <c r="I660">
        <v>365.77690000000001</v>
      </c>
      <c r="J660">
        <v>-373.25349999999997</v>
      </c>
      <c r="K660">
        <v>1.1040749999999999</v>
      </c>
      <c r="L660">
        <v>367.66090000000003</v>
      </c>
      <c r="M660">
        <v>0.99989349999999999</v>
      </c>
      <c r="N660">
        <v>0</v>
      </c>
      <c r="O660">
        <v>-1.083894E-2</v>
      </c>
      <c r="P660">
        <v>0.99431519999999995</v>
      </c>
      <c r="Q660">
        <v>-1.1386459999999999E-2</v>
      </c>
      <c r="R660">
        <v>0.10586810000000001</v>
      </c>
      <c r="S660">
        <v>3.0310060000000001</v>
      </c>
      <c r="T660">
        <v>-8.1906080000000006E-2</v>
      </c>
      <c r="U660">
        <v>-0.13989260000000001</v>
      </c>
      <c r="V660">
        <v>-0.1166397</v>
      </c>
      <c r="W660">
        <v>-1.6733289999999899E-3</v>
      </c>
      <c r="X660">
        <v>0.99317289999999903</v>
      </c>
      <c r="Y660">
        <v>3.5265230000000002E-2</v>
      </c>
      <c r="Z660">
        <v>-1.8346119999999901E-4</v>
      </c>
      <c r="AA660">
        <v>0.99937799999999999</v>
      </c>
      <c r="AB660">
        <v>30</v>
      </c>
      <c r="AC660">
        <v>40.6983999999999</v>
      </c>
      <c r="AD660">
        <v>-1.1040788571989999</v>
      </c>
      <c r="AE660">
        <v>-1.8840000000000101</v>
      </c>
      <c r="AF660">
        <v>1.4416820049108801</v>
      </c>
      <c r="AG660">
        <v>-1.1040788571989999</v>
      </c>
      <c r="AH660">
        <v>40.686551515933601</v>
      </c>
      <c r="AI660">
        <v>91.553434479324807</v>
      </c>
      <c r="AJ660">
        <v>87.970637802049296</v>
      </c>
      <c r="AK660">
        <v>40.727053801925301</v>
      </c>
    </row>
    <row r="661" spans="1:37" x14ac:dyDescent="0.2">
      <c r="A661" t="str">
        <f>"20200111155513917"</f>
        <v>20200111155513917</v>
      </c>
      <c r="B661" t="str">
        <f>"1578729313913380"</f>
        <v>1578729313913380</v>
      </c>
      <c r="C661" t="s">
        <v>37</v>
      </c>
      <c r="D661">
        <v>4.3797350000000002</v>
      </c>
      <c r="E661">
        <v>0.55751229999999996</v>
      </c>
      <c r="F661" t="s">
        <v>38</v>
      </c>
      <c r="G661">
        <v>-331.93180000000001</v>
      </c>
      <c r="H661" s="1">
        <v>-4.1263779999999998E-6</v>
      </c>
      <c r="I661">
        <v>365.76710000000003</v>
      </c>
      <c r="J661">
        <v>-373.08710000000002</v>
      </c>
      <c r="K661">
        <v>1.104074</v>
      </c>
      <c r="L661">
        <v>367.65910000000002</v>
      </c>
      <c r="M661">
        <v>0.99989349999999999</v>
      </c>
      <c r="N661">
        <v>0</v>
      </c>
      <c r="O661">
        <v>-1.084484E-2</v>
      </c>
      <c r="P661">
        <v>0.99430390000000002</v>
      </c>
      <c r="Q661">
        <v>-1.084921E-2</v>
      </c>
      <c r="R661">
        <v>0.1060301</v>
      </c>
      <c r="S661">
        <v>3.0310060000000001</v>
      </c>
      <c r="T661">
        <v>-8.0985429999999997E-2</v>
      </c>
      <c r="U661">
        <v>-0.13891600000000001</v>
      </c>
      <c r="V661">
        <v>-0.11680789999999899</v>
      </c>
      <c r="W661">
        <v>-1.1292170000000001E-3</v>
      </c>
      <c r="X661">
        <v>0.99315390000000003</v>
      </c>
      <c r="Y661">
        <v>3.4938339999999998E-2</v>
      </c>
      <c r="Z661">
        <v>-1.7687930000000001E-4</v>
      </c>
      <c r="AA661">
        <v>0.99938950000000004</v>
      </c>
      <c r="AB661">
        <v>30</v>
      </c>
      <c r="AC661">
        <v>41.155299999999997</v>
      </c>
      <c r="AD661">
        <v>-1.104078126378</v>
      </c>
      <c r="AE661">
        <v>-1.8919999999999899</v>
      </c>
      <c r="AF661">
        <v>1.4445073854189301</v>
      </c>
      <c r="AG661">
        <v>-1.104078126378</v>
      </c>
      <c r="AH661">
        <v>41.1438504192202</v>
      </c>
      <c r="AI661">
        <v>91.536193512573803</v>
      </c>
      <c r="AJ661">
        <v>87.989245165060595</v>
      </c>
      <c r="AK661">
        <v>41.184001959678902</v>
      </c>
    </row>
    <row r="662" spans="1:37" x14ac:dyDescent="0.2">
      <c r="A662" t="str">
        <f>"20200111155513929"</f>
        <v>20200111155513929</v>
      </c>
      <c r="B662" t="str">
        <f>"1578729313923139"</f>
        <v>1578729313923139</v>
      </c>
      <c r="C662" t="s">
        <v>37</v>
      </c>
      <c r="D662">
        <v>4.3057239999999997</v>
      </c>
      <c r="E662">
        <v>0.5574133</v>
      </c>
      <c r="F662" t="s">
        <v>38</v>
      </c>
      <c r="G662">
        <v>-331.53309999999999</v>
      </c>
      <c r="H662" s="1">
        <v>-4.2953219999999902E-6</v>
      </c>
      <c r="I662">
        <v>365.77879999999999</v>
      </c>
      <c r="J662">
        <v>-372.92290000000003</v>
      </c>
      <c r="K662">
        <v>1.104074</v>
      </c>
      <c r="L662">
        <v>367.65730000000002</v>
      </c>
      <c r="M662">
        <v>0.99989329999999998</v>
      </c>
      <c r="N662">
        <v>0</v>
      </c>
      <c r="O662">
        <v>-1.0853130000000001E-2</v>
      </c>
      <c r="P662">
        <v>0.99429409999999896</v>
      </c>
      <c r="Q662">
        <v>-1.046125E-2</v>
      </c>
      <c r="R662">
        <v>0.10615999999999901</v>
      </c>
      <c r="S662">
        <v>3.030945</v>
      </c>
      <c r="T662">
        <v>-8.0531119999999998E-2</v>
      </c>
      <c r="U662">
        <v>-0.13714599999999999</v>
      </c>
      <c r="V662">
        <v>-0.1169453</v>
      </c>
      <c r="W662">
        <v>-7.3449170000000001E-4</v>
      </c>
      <c r="X662">
        <v>0.99313809999999902</v>
      </c>
      <c r="Y662">
        <v>3.434885E-2</v>
      </c>
      <c r="Z662">
        <v>-1.6784720000000001E-4</v>
      </c>
      <c r="AA662">
        <v>0.99940989999999996</v>
      </c>
      <c r="AB662">
        <v>30</v>
      </c>
      <c r="AC662">
        <v>41.389800000000001</v>
      </c>
      <c r="AD662">
        <v>-1.1040782953220001</v>
      </c>
      <c r="AE662">
        <v>-1.87850000000003</v>
      </c>
      <c r="AF662">
        <v>1.4281448726367501</v>
      </c>
      <c r="AG662">
        <v>-1.1040782953220001</v>
      </c>
      <c r="AH662">
        <v>41.378367840012501</v>
      </c>
      <c r="AI662">
        <v>91.527522856011004</v>
      </c>
      <c r="AJ662">
        <v>88.023261680406605</v>
      </c>
      <c r="AK662">
        <v>41.417724608708603</v>
      </c>
    </row>
    <row r="663" spans="1:37" x14ac:dyDescent="0.2">
      <c r="A663" t="str">
        <f>"20200111155513942"</f>
        <v>20200111155513942</v>
      </c>
      <c r="B663" t="str">
        <f>"1578729313932899"</f>
        <v>1578729313932899</v>
      </c>
      <c r="C663" t="s">
        <v>37</v>
      </c>
      <c r="D663">
        <v>4.3357429999999999</v>
      </c>
      <c r="E663">
        <v>0.55730190000000002</v>
      </c>
      <c r="F663" t="s">
        <v>38</v>
      </c>
      <c r="G663">
        <v>-331.0009</v>
      </c>
      <c r="H663" s="1">
        <v>-4.52413E-6</v>
      </c>
      <c r="I663">
        <v>365.77600000000001</v>
      </c>
      <c r="J663">
        <v>-372.7457</v>
      </c>
      <c r="K663">
        <v>1.104074</v>
      </c>
      <c r="L663">
        <v>367.65539999999999</v>
      </c>
      <c r="M663">
        <v>0.99989309999999998</v>
      </c>
      <c r="N663">
        <v>0</v>
      </c>
      <c r="O663">
        <v>-1.0862500000000001E-2</v>
      </c>
      <c r="P663">
        <v>0.99430450000000004</v>
      </c>
      <c r="Q663">
        <v>-1.0061759999999999E-2</v>
      </c>
      <c r="R663">
        <v>0.1061025</v>
      </c>
      <c r="S663">
        <v>3.0309140000000001</v>
      </c>
      <c r="T663">
        <v>-7.9823489999999997E-2</v>
      </c>
      <c r="U663">
        <v>-0.13601679999999999</v>
      </c>
      <c r="V663">
        <v>-0.116897499999999</v>
      </c>
      <c r="W663">
        <v>-3.2750059999999998E-4</v>
      </c>
      <c r="X663">
        <v>0.99314389999999997</v>
      </c>
      <c r="Y663">
        <v>3.3968650000000003E-2</v>
      </c>
      <c r="Z663">
        <v>-1.611261E-4</v>
      </c>
      <c r="AA663">
        <v>0.999422899999999</v>
      </c>
      <c r="AB663">
        <v>31</v>
      </c>
      <c r="AC663">
        <v>41.744799999999998</v>
      </c>
      <c r="AD663">
        <v>-1.10407852413</v>
      </c>
      <c r="AE663">
        <v>-1.87939999999997</v>
      </c>
      <c r="AF663">
        <v>1.42481983403504</v>
      </c>
      <c r="AG663">
        <v>-1.10407852413</v>
      </c>
      <c r="AH663">
        <v>41.733618721720902</v>
      </c>
      <c r="AI663">
        <v>91.514545838112696</v>
      </c>
      <c r="AJ663">
        <v>88.044634769870498</v>
      </c>
      <c r="AK663">
        <v>41.772527246467597</v>
      </c>
    </row>
    <row r="664" spans="1:37" x14ac:dyDescent="0.2">
      <c r="A664" t="str">
        <f>"20200111155513957"</f>
        <v>20200111155513957</v>
      </c>
      <c r="B664" t="str">
        <f>"1578729313953397"</f>
        <v>1578729313953397</v>
      </c>
      <c r="C664" t="s">
        <v>37</v>
      </c>
      <c r="D664">
        <v>4.3810219999999997</v>
      </c>
      <c r="E664">
        <v>0.5572973</v>
      </c>
      <c r="F664" t="s">
        <v>38</v>
      </c>
      <c r="G664">
        <v>-330.55709999999999</v>
      </c>
      <c r="H664" s="1">
        <v>-4.7157069999999903E-6</v>
      </c>
      <c r="I664">
        <v>365.76920000000001</v>
      </c>
      <c r="J664">
        <v>-372.5317</v>
      </c>
      <c r="K664">
        <v>1.1040749999999999</v>
      </c>
      <c r="L664">
        <v>367.65309999999999</v>
      </c>
      <c r="M664">
        <v>0.99989280000000003</v>
      </c>
      <c r="N664">
        <v>0</v>
      </c>
      <c r="O664">
        <v>-1.087509E-2</v>
      </c>
      <c r="P664">
        <v>0.99432319999999996</v>
      </c>
      <c r="Q664">
        <v>-9.1408859999999904E-3</v>
      </c>
      <c r="R664">
        <v>0.106009199999999</v>
      </c>
      <c r="S664">
        <v>3.030853</v>
      </c>
      <c r="T664">
        <v>-7.9317449999999998E-2</v>
      </c>
      <c r="U664">
        <v>-0.13549800000000001</v>
      </c>
      <c r="V664">
        <v>-0.116817</v>
      </c>
      <c r="W664">
        <v>6.025475E-4</v>
      </c>
      <c r="X664">
        <v>0.99315330000000002</v>
      </c>
      <c r="Y664">
        <v>3.3786389999999999E-2</v>
      </c>
      <c r="Z664">
        <v>-1.57396E-4</v>
      </c>
      <c r="AA664">
        <v>0.99942900000000001</v>
      </c>
      <c r="AB664">
        <v>31</v>
      </c>
      <c r="AC664">
        <v>41.974600000000002</v>
      </c>
      <c r="AD664">
        <v>-1.1040797157069999</v>
      </c>
      <c r="AE664">
        <v>-1.8838999999999799</v>
      </c>
      <c r="AF664">
        <v>1.4263042504161501</v>
      </c>
      <c r="AG664">
        <v>-1.1040797157069999</v>
      </c>
      <c r="AH664">
        <v>41.963630911536001</v>
      </c>
      <c r="AI664">
        <v>91.506257502451604</v>
      </c>
      <c r="AJ664">
        <v>88.053319881283599</v>
      </c>
      <c r="AK664">
        <v>42.002376779332501</v>
      </c>
    </row>
    <row r="665" spans="1:37" x14ac:dyDescent="0.2">
      <c r="A665" t="str">
        <f>"20200111155513969"</f>
        <v>20200111155513969</v>
      </c>
      <c r="B665" t="str">
        <f>"1578729313963155"</f>
        <v>1578729313963155</v>
      </c>
      <c r="C665" t="s">
        <v>37</v>
      </c>
      <c r="D665">
        <v>4.2869890000000002</v>
      </c>
      <c r="E665">
        <v>0.55712539999999999</v>
      </c>
      <c r="F665" t="s">
        <v>38</v>
      </c>
      <c r="G665">
        <v>-329.35</v>
      </c>
      <c r="H665" s="1">
        <v>-1.2440080000000001E-6</v>
      </c>
      <c r="I665">
        <v>365.7199</v>
      </c>
      <c r="J665">
        <v>-372.3784</v>
      </c>
      <c r="K665">
        <v>1.1040729999999901</v>
      </c>
      <c r="L665">
        <v>367.65140000000002</v>
      </c>
      <c r="M665">
        <v>0.99989269999999997</v>
      </c>
      <c r="N665">
        <v>0</v>
      </c>
      <c r="O665">
        <v>-1.088504E-2</v>
      </c>
      <c r="P665">
        <v>0.99434800000000001</v>
      </c>
      <c r="Q665">
        <v>-9.0715750000000001E-3</v>
      </c>
      <c r="R665">
        <v>0.1057829</v>
      </c>
      <c r="S665">
        <v>3.0308839999999999</v>
      </c>
      <c r="T665">
        <v>-7.7494030000000005E-2</v>
      </c>
      <c r="U665">
        <v>-0.1356812</v>
      </c>
      <c r="V665">
        <v>-0.1166006</v>
      </c>
      <c r="W665">
        <v>6.7788759999999897E-4</v>
      </c>
      <c r="X665">
        <v>0.99317869999999997</v>
      </c>
      <c r="Y665">
        <v>3.3836600000000001E-2</v>
      </c>
      <c r="Z665">
        <v>-1.5416449999999999E-4</v>
      </c>
      <c r="AA665">
        <v>0.99942739999999997</v>
      </c>
      <c r="AB665">
        <v>31</v>
      </c>
      <c r="AC665">
        <v>43.028399999999898</v>
      </c>
      <c r="AD665">
        <v>-1.10407424400799</v>
      </c>
      <c r="AE665">
        <v>-1.93150000000002</v>
      </c>
      <c r="AF665">
        <v>1.4620365358355201</v>
      </c>
      <c r="AG665">
        <v>-1.10407424400799</v>
      </c>
      <c r="AH665">
        <v>43.018609797028098</v>
      </c>
      <c r="AI665">
        <v>91.469327639539699</v>
      </c>
      <c r="AJ665">
        <v>88.0534867762712</v>
      </c>
      <c r="AK665">
        <v>43.057604666741099</v>
      </c>
    </row>
    <row r="666" spans="1:37" x14ac:dyDescent="0.2">
      <c r="A666" t="str">
        <f>"20200111155513981"</f>
        <v>20200111155513981</v>
      </c>
      <c r="B666" t="str">
        <f>"1578729313972915"</f>
        <v>1578729313972915</v>
      </c>
      <c r="C666" t="s">
        <v>37</v>
      </c>
      <c r="D666">
        <v>4.4701610000000001</v>
      </c>
      <c r="E666">
        <v>0.55721899999999902</v>
      </c>
      <c r="F666" t="s">
        <v>38</v>
      </c>
      <c r="G666">
        <v>-329.71260000000001</v>
      </c>
      <c r="H666" s="1">
        <v>-1.112786E-6</v>
      </c>
      <c r="I666">
        <v>365.74939999999998</v>
      </c>
      <c r="J666">
        <v>-372.20769999999999</v>
      </c>
      <c r="K666">
        <v>1.1040669999999999</v>
      </c>
      <c r="L666">
        <v>367.64949999999999</v>
      </c>
      <c r="M666">
        <v>0.99989259999999902</v>
      </c>
      <c r="N666">
        <v>0</v>
      </c>
      <c r="O666">
        <v>-1.089654E-2</v>
      </c>
      <c r="P666">
        <v>0.99437679999999995</v>
      </c>
      <c r="Q666">
        <v>-9.2269190000000001E-3</v>
      </c>
      <c r="R666">
        <v>0.1054981</v>
      </c>
      <c r="S666">
        <v>3.0307009999999899</v>
      </c>
      <c r="T666">
        <v>-7.8425999999999996E-2</v>
      </c>
      <c r="U666">
        <v>-0.13510129999999901</v>
      </c>
      <c r="V666">
        <v>-0.1163278</v>
      </c>
      <c r="W666">
        <v>5.300681E-4</v>
      </c>
      <c r="X666">
        <v>0.9932107</v>
      </c>
      <c r="Y666">
        <v>3.3636869999999999E-2</v>
      </c>
      <c r="Z666">
        <v>-1.5314809999999901E-4</v>
      </c>
      <c r="AA666">
        <v>0.99943409999999999</v>
      </c>
      <c r="AB666">
        <v>31</v>
      </c>
      <c r="AC666">
        <v>42.495099999999901</v>
      </c>
      <c r="AD666">
        <v>-1.1040681127859999</v>
      </c>
      <c r="AE666">
        <v>-1.9000999999999999</v>
      </c>
      <c r="AF666">
        <v>1.4359480308341701</v>
      </c>
      <c r="AG666">
        <v>-1.1040681127859999</v>
      </c>
      <c r="AH666">
        <v>42.484661771118503</v>
      </c>
      <c r="AI666">
        <v>91.487787081010794</v>
      </c>
      <c r="AJ666">
        <v>88.064184806632397</v>
      </c>
      <c r="AK666">
        <v>42.523257153600802</v>
      </c>
    </row>
    <row r="667" spans="1:37" x14ac:dyDescent="0.2">
      <c r="A667" t="str">
        <f>"20200111155513994"</f>
        <v>20200111155513994</v>
      </c>
      <c r="B667" t="str">
        <f>"1578729313983651"</f>
        <v>1578729313983651</v>
      </c>
      <c r="C667" t="s">
        <v>37</v>
      </c>
      <c r="D667">
        <v>4.3245709999999997</v>
      </c>
      <c r="E667">
        <v>0.55715040000000005</v>
      </c>
      <c r="F667" t="s">
        <v>38</v>
      </c>
      <c r="G667">
        <v>-329.91129999999998</v>
      </c>
      <c r="H667" s="1">
        <v>-1.04616E-6</v>
      </c>
      <c r="I667">
        <v>365.74560000000002</v>
      </c>
      <c r="J667">
        <v>-372.02969999999999</v>
      </c>
      <c r="K667">
        <v>1.104066</v>
      </c>
      <c r="L667">
        <v>367.64760000000001</v>
      </c>
      <c r="M667">
        <v>0.99989240000000001</v>
      </c>
      <c r="N667">
        <v>0</v>
      </c>
      <c r="O667">
        <v>-1.090899E-2</v>
      </c>
      <c r="P667">
        <v>0.99440260000000003</v>
      </c>
      <c r="Q667">
        <v>-9.3497110000000001E-3</v>
      </c>
      <c r="R667">
        <v>0.10524500000000001</v>
      </c>
      <c r="S667">
        <v>3.0307009999999899</v>
      </c>
      <c r="T667">
        <v>-7.9110620000000006E-2</v>
      </c>
      <c r="U667">
        <v>-0.1364136</v>
      </c>
      <c r="V667">
        <v>-0.1160877</v>
      </c>
      <c r="W667">
        <v>4.1467349999999898E-4</v>
      </c>
      <c r="X667">
        <v>0.99323890000000004</v>
      </c>
      <c r="Y667">
        <v>3.4056019999999999E-2</v>
      </c>
      <c r="Z667">
        <v>-1.5962530000000001E-4</v>
      </c>
      <c r="AA667">
        <v>0.99941990000000003</v>
      </c>
      <c r="AB667">
        <v>31</v>
      </c>
      <c r="AC667">
        <v>42.118400000000001</v>
      </c>
      <c r="AD667">
        <v>-1.10406704616</v>
      </c>
      <c r="AE667">
        <v>-1.9019999999999799</v>
      </c>
      <c r="AF667">
        <v>1.4414070713886</v>
      </c>
      <c r="AG667">
        <v>-1.10406704616</v>
      </c>
      <c r="AH667">
        <v>42.107768232631201</v>
      </c>
      <c r="AI667">
        <v>91.501074254150495</v>
      </c>
      <c r="AJ667">
        <v>88.039451865572602</v>
      </c>
      <c r="AK667">
        <v>42.146895068567602</v>
      </c>
    </row>
    <row r="668" spans="1:37" x14ac:dyDescent="0.2">
      <c r="A668" t="str">
        <f>"20200111155514007"</f>
        <v>20200111155514007</v>
      </c>
      <c r="B668" t="str">
        <f>"1578729314003172"</f>
        <v>1578729314003172</v>
      </c>
      <c r="C668" t="s">
        <v>37</v>
      </c>
      <c r="D668">
        <v>4.4293480000000001</v>
      </c>
      <c r="E668">
        <v>0.55719200000000002</v>
      </c>
      <c r="F668" t="s">
        <v>38</v>
      </c>
      <c r="G668">
        <v>-330.39479999999998</v>
      </c>
      <c r="H668" s="1">
        <v>-4.7851290000000003E-6</v>
      </c>
      <c r="I668">
        <v>365.77050000000003</v>
      </c>
      <c r="J668">
        <v>-371.86399999999998</v>
      </c>
      <c r="K668">
        <v>1.104063</v>
      </c>
      <c r="L668">
        <v>367.64580000000001</v>
      </c>
      <c r="M668">
        <v>0.99989219999999901</v>
      </c>
      <c r="N668">
        <v>0</v>
      </c>
      <c r="O668">
        <v>-1.0921190000000001E-2</v>
      </c>
      <c r="P668">
        <v>0.99442169999999896</v>
      </c>
      <c r="Q668">
        <v>-9.5013860000000006E-3</v>
      </c>
      <c r="R668">
        <v>0.1050497</v>
      </c>
      <c r="S668">
        <v>3.0305789999999999</v>
      </c>
      <c r="T668">
        <v>-8.0364469999999993E-2</v>
      </c>
      <c r="U668">
        <v>-0.1366272</v>
      </c>
      <c r="V668">
        <v>-0.11590439999999901</v>
      </c>
      <c r="W668">
        <v>2.6971500000000002E-4</v>
      </c>
      <c r="X668">
        <v>0.99326029999999998</v>
      </c>
      <c r="Y668">
        <v>3.4115670000000001E-2</v>
      </c>
      <c r="Z668">
        <v>-1.6262770000000001E-4</v>
      </c>
      <c r="AA668">
        <v>0.99941789999999997</v>
      </c>
      <c r="AB668">
        <v>31</v>
      </c>
      <c r="AC668">
        <v>41.469200000000001</v>
      </c>
      <c r="AD668">
        <v>-1.1040677851289999</v>
      </c>
      <c r="AE668">
        <v>-1.87529999999998</v>
      </c>
      <c r="AF668">
        <v>1.4212679488859601</v>
      </c>
      <c r="AG668">
        <v>-1.1040677851289999</v>
      </c>
      <c r="AH668">
        <v>41.457881629170302</v>
      </c>
      <c r="AI668">
        <v>91.524592184798706</v>
      </c>
      <c r="AJ668">
        <v>88.036542811239798</v>
      </c>
      <c r="AK668">
        <v>41.496926602279601</v>
      </c>
    </row>
    <row r="669" spans="1:37" x14ac:dyDescent="0.2">
      <c r="A669" t="str">
        <f>"20200111155514018"</f>
        <v>20200111155514018</v>
      </c>
      <c r="B669" t="str">
        <f>"1578729314012931"</f>
        <v>1578729314012931</v>
      </c>
      <c r="C669" t="s">
        <v>37</v>
      </c>
      <c r="D669">
        <v>4.3452960000000003</v>
      </c>
      <c r="E669">
        <v>0.55710789999999999</v>
      </c>
      <c r="F669" t="s">
        <v>38</v>
      </c>
      <c r="G669">
        <v>-330.82029999999997</v>
      </c>
      <c r="H669" s="1">
        <v>-4.5997759999999997E-6</v>
      </c>
      <c r="I669">
        <v>365.78620000000001</v>
      </c>
      <c r="J669">
        <v>-371.69670000000002</v>
      </c>
      <c r="K669">
        <v>1.104061</v>
      </c>
      <c r="L669">
        <v>367.64389999999997</v>
      </c>
      <c r="M669">
        <v>0.9998918</v>
      </c>
      <c r="N669">
        <v>0</v>
      </c>
      <c r="O669">
        <v>-1.093387E-2</v>
      </c>
      <c r="P669">
        <v>0.9944674</v>
      </c>
      <c r="Q669">
        <v>-9.9218090000000002E-3</v>
      </c>
      <c r="R669">
        <v>0.10457669999999999</v>
      </c>
      <c r="S669">
        <v>3.0305789999999999</v>
      </c>
      <c r="T669">
        <v>-8.1521990000000003E-2</v>
      </c>
      <c r="U669">
        <v>-0.13729859999999999</v>
      </c>
      <c r="V669">
        <v>-0.11544449999999901</v>
      </c>
      <c r="W669">
        <v>-1.4420040000000001E-4</v>
      </c>
      <c r="X669">
        <v>0.99331389999999997</v>
      </c>
      <c r="Y669">
        <v>3.4323640000000002E-2</v>
      </c>
      <c r="Z669">
        <v>-1.6742299999999901E-4</v>
      </c>
      <c r="AA669">
        <v>0.99941069999999999</v>
      </c>
      <c r="AB669">
        <v>31</v>
      </c>
      <c r="AC669">
        <v>40.876399999999997</v>
      </c>
      <c r="AD669">
        <v>-1.1040655997759901</v>
      </c>
      <c r="AE669">
        <v>-1.8576999999999599</v>
      </c>
      <c r="AF669">
        <v>1.4096038248748</v>
      </c>
      <c r="AG669">
        <v>-1.1040655997759901</v>
      </c>
      <c r="AH669">
        <v>40.8645186114137</v>
      </c>
      <c r="AI669">
        <v>91.546704631529295</v>
      </c>
      <c r="AJ669">
        <v>88.024390293049606</v>
      </c>
      <c r="AK669">
        <v>40.9037262988873</v>
      </c>
    </row>
    <row r="670" spans="1:37" x14ac:dyDescent="0.2">
      <c r="A670" t="str">
        <f>"20200111155514030"</f>
        <v>20200111155514030</v>
      </c>
      <c r="B670" t="str">
        <f>"1578729314022692"</f>
        <v>1578729314022692</v>
      </c>
      <c r="C670" t="s">
        <v>37</v>
      </c>
      <c r="D670">
        <v>4.3050889999999997</v>
      </c>
      <c r="E670">
        <v>0.55700109999999903</v>
      </c>
      <c r="F670" t="s">
        <v>38</v>
      </c>
      <c r="G670">
        <v>-331.72300000000001</v>
      </c>
      <c r="H670" s="1">
        <v>-4.2065600000000003E-6</v>
      </c>
      <c r="I670">
        <v>365.81979999999999</v>
      </c>
      <c r="J670">
        <v>-371.53120000000001</v>
      </c>
      <c r="K670">
        <v>1.104058</v>
      </c>
      <c r="L670">
        <v>367.64210000000003</v>
      </c>
      <c r="M670">
        <v>0.9998918</v>
      </c>
      <c r="N670">
        <v>0</v>
      </c>
      <c r="O670">
        <v>-1.0947139999999999E-2</v>
      </c>
      <c r="P670">
        <v>0.99447099999999899</v>
      </c>
      <c r="Q670">
        <v>-1.0144830000000001E-2</v>
      </c>
      <c r="R670">
        <v>0.1045208</v>
      </c>
      <c r="S670">
        <v>3.0304259999999998</v>
      </c>
      <c r="T670">
        <v>-8.3699700000000002E-2</v>
      </c>
      <c r="U670">
        <v>-0.13827509999999901</v>
      </c>
      <c r="V670">
        <v>-0.1154018</v>
      </c>
      <c r="W670">
        <v>-3.6101649999999998E-4</v>
      </c>
      <c r="X670">
        <v>0.99331879999999995</v>
      </c>
      <c r="Y670">
        <v>3.4633490000000003E-2</v>
      </c>
      <c r="Z670">
        <v>-1.7581110000000001E-4</v>
      </c>
      <c r="AA670">
        <v>0.99940010000000001</v>
      </c>
      <c r="AB670">
        <v>31</v>
      </c>
      <c r="AC670">
        <v>39.808199999999999</v>
      </c>
      <c r="AD670">
        <v>-1.1040622065600001</v>
      </c>
      <c r="AE670">
        <v>-1.82230000000004</v>
      </c>
      <c r="AF670">
        <v>1.3853204499214</v>
      </c>
      <c r="AG670">
        <v>-1.1040622065600001</v>
      </c>
      <c r="AH670">
        <v>39.795217667344502</v>
      </c>
      <c r="AI670">
        <v>91.588221433406503</v>
      </c>
      <c r="AJ670">
        <v>88.006268566530906</v>
      </c>
      <c r="AK670">
        <v>39.834625833516398</v>
      </c>
    </row>
    <row r="671" spans="1:37" x14ac:dyDescent="0.2">
      <c r="A671" t="str">
        <f>"20200111155514047"</f>
        <v>20200111155514047</v>
      </c>
      <c r="B671" t="str">
        <f>"1578729314043187"</f>
        <v>1578729314043187</v>
      </c>
      <c r="C671" t="s">
        <v>37</v>
      </c>
      <c r="D671">
        <v>4.3580670000000001</v>
      </c>
      <c r="E671">
        <v>0.55692140000000001</v>
      </c>
      <c r="F671" t="s">
        <v>38</v>
      </c>
      <c r="G671">
        <v>-332.089</v>
      </c>
      <c r="H671" s="1">
        <v>-4.0441220000000001E-6</v>
      </c>
      <c r="I671">
        <v>365.85059999999999</v>
      </c>
      <c r="J671">
        <v>-371.31310000000002</v>
      </c>
      <c r="K671">
        <v>1.1040540000000001</v>
      </c>
      <c r="L671">
        <v>367.6397</v>
      </c>
      <c r="M671">
        <v>0.99989150000000004</v>
      </c>
      <c r="N671">
        <v>0</v>
      </c>
      <c r="O671">
        <v>-1.096447E-2</v>
      </c>
      <c r="P671">
        <v>0.9944982</v>
      </c>
      <c r="Q671">
        <v>-1.067709E-2</v>
      </c>
      <c r="R671">
        <v>0.1042093</v>
      </c>
      <c r="S671">
        <v>3.0303339999999999</v>
      </c>
      <c r="T671">
        <v>-8.4824559999999993E-2</v>
      </c>
      <c r="U671">
        <v>-0.13763429999999999</v>
      </c>
      <c r="V671">
        <v>-0.11510769999999999</v>
      </c>
      <c r="W671">
        <v>-8.848746E-4</v>
      </c>
      <c r="X671">
        <v>0.99335269999999998</v>
      </c>
      <c r="Y671">
        <v>3.4406480000000003E-2</v>
      </c>
      <c r="Z671">
        <v>-1.7451930000000001E-4</v>
      </c>
      <c r="AA671">
        <v>0.99940790000000002</v>
      </c>
      <c r="AB671">
        <v>31</v>
      </c>
      <c r="AC671">
        <v>39.2241</v>
      </c>
      <c r="AD671">
        <v>-1.104058044122</v>
      </c>
      <c r="AE671">
        <v>-1.7891000000000099</v>
      </c>
      <c r="AF671">
        <v>1.35782662268965</v>
      </c>
      <c r="AG671">
        <v>-1.104058044122</v>
      </c>
      <c r="AH671">
        <v>39.210358405945797</v>
      </c>
      <c r="AI671">
        <v>91.611902930524593</v>
      </c>
      <c r="AJ671">
        <v>88.016680737175705</v>
      </c>
      <c r="AK671">
        <v>39.2493929077228</v>
      </c>
    </row>
    <row r="672" spans="1:37" x14ac:dyDescent="0.2">
      <c r="A672" t="str">
        <f>"20200111155514057"</f>
        <v>20200111155514057</v>
      </c>
      <c r="B672" t="str">
        <f>"1578729314052948"</f>
        <v>1578729314052948</v>
      </c>
      <c r="C672" t="s">
        <v>37</v>
      </c>
      <c r="D672">
        <v>4.3592589999999998</v>
      </c>
      <c r="E672">
        <v>0.55711560000000004</v>
      </c>
      <c r="F672" t="s">
        <v>38</v>
      </c>
      <c r="G672">
        <v>-333.03339999999997</v>
      </c>
      <c r="H672" s="1">
        <v>-3.630676E-6</v>
      </c>
      <c r="I672">
        <v>365.8974</v>
      </c>
      <c r="J672">
        <v>-371.15600000000001</v>
      </c>
      <c r="K672">
        <v>1.10405</v>
      </c>
      <c r="L672">
        <v>367.6379</v>
      </c>
      <c r="M672">
        <v>0.99989130000000004</v>
      </c>
      <c r="N672">
        <v>0</v>
      </c>
      <c r="O672">
        <v>-1.0977020000000001E-2</v>
      </c>
      <c r="P672">
        <v>0.99451319999999999</v>
      </c>
      <c r="Q672">
        <v>-1.089878E-2</v>
      </c>
      <c r="R672">
        <v>0.104043899999999</v>
      </c>
      <c r="S672">
        <v>3.03009</v>
      </c>
      <c r="T672">
        <v>-8.7393159999999998E-2</v>
      </c>
      <c r="U672">
        <v>-0.1379089</v>
      </c>
      <c r="V672">
        <v>-0.1149551</v>
      </c>
      <c r="W672">
        <v>-1.1005850000000001E-3</v>
      </c>
      <c r="X672">
        <v>0.99337009999999903</v>
      </c>
      <c r="Y672">
        <v>3.448739E-2</v>
      </c>
      <c r="Z672">
        <v>-1.806202E-4</v>
      </c>
      <c r="AA672">
        <v>0.99940509999999905</v>
      </c>
      <c r="AB672">
        <v>31</v>
      </c>
      <c r="AC672">
        <v>38.122599999999998</v>
      </c>
      <c r="AD672">
        <v>-1.104053630676</v>
      </c>
      <c r="AE672">
        <v>-1.7404999999999899</v>
      </c>
      <c r="AF672">
        <v>1.3207968380547199</v>
      </c>
      <c r="AG672">
        <v>-1.104053630676</v>
      </c>
      <c r="AH672">
        <v>38.107514417950199</v>
      </c>
      <c r="AI672">
        <v>91.658517869265594</v>
      </c>
      <c r="AJ672">
        <v>88.014937363033894</v>
      </c>
      <c r="AK672">
        <v>38.146377204409703</v>
      </c>
    </row>
    <row r="673" spans="1:37" x14ac:dyDescent="0.2">
      <c r="A673" t="str">
        <f>"20200111155514068"</f>
        <v>20200111155514068</v>
      </c>
      <c r="B673" t="str">
        <f>"1578729314062707"</f>
        <v>1578729314062707</v>
      </c>
      <c r="C673" t="s">
        <v>37</v>
      </c>
      <c r="D673">
        <v>4.3895939999999998</v>
      </c>
      <c r="E673">
        <v>0.55711560000000004</v>
      </c>
      <c r="F673" t="s">
        <v>38</v>
      </c>
      <c r="G673">
        <v>-333.1703</v>
      </c>
      <c r="H673" s="1">
        <v>-3.5743169999999899E-6</v>
      </c>
      <c r="I673">
        <v>365.88389999999998</v>
      </c>
      <c r="J673">
        <v>-371.0138</v>
      </c>
      <c r="K673">
        <v>1.10405</v>
      </c>
      <c r="L673">
        <v>367.63639999999998</v>
      </c>
      <c r="M673">
        <v>0.99989110000000003</v>
      </c>
      <c r="N673">
        <v>0</v>
      </c>
      <c r="O673">
        <v>-1.098873E-2</v>
      </c>
      <c r="P673">
        <v>0.9945174</v>
      </c>
      <c r="Q673">
        <v>-1.112382E-2</v>
      </c>
      <c r="R673">
        <v>0.10397869999999999</v>
      </c>
      <c r="S673">
        <v>3.030243</v>
      </c>
      <c r="T673">
        <v>-8.8073849999999995E-2</v>
      </c>
      <c r="U673">
        <v>-0.13992309999999999</v>
      </c>
      <c r="V673">
        <v>-0.11490160000000001</v>
      </c>
      <c r="W673">
        <v>-1.320316E-3</v>
      </c>
      <c r="X673">
        <v>0.99337600000000004</v>
      </c>
      <c r="Y673">
        <v>3.5135880000000001E-2</v>
      </c>
      <c r="Z673">
        <v>-1.9109199999999999E-4</v>
      </c>
      <c r="AA673">
        <v>0.99938259999999901</v>
      </c>
      <c r="AB673">
        <v>31</v>
      </c>
      <c r="AC673">
        <v>37.843499999999999</v>
      </c>
      <c r="AD673">
        <v>-1.1040535743169999</v>
      </c>
      <c r="AE673">
        <v>-1.75249999999999</v>
      </c>
      <c r="AF673">
        <v>1.3353878347870101</v>
      </c>
      <c r="AG673">
        <v>-1.1040535743169999</v>
      </c>
      <c r="AH673">
        <v>37.8283454765687</v>
      </c>
      <c r="AI673">
        <v>91.670713123637398</v>
      </c>
      <c r="AJ673">
        <v>87.978226983978601</v>
      </c>
      <c r="AK673">
        <v>37.868006502308702</v>
      </c>
    </row>
    <row r="674" spans="1:37" x14ac:dyDescent="0.2">
      <c r="A674" t="str">
        <f>"20200111155514080"</f>
        <v>20200111155514080</v>
      </c>
      <c r="B674" t="str">
        <f>"1578729314073444"</f>
        <v>1578729314073444</v>
      </c>
      <c r="C674" t="s">
        <v>37</v>
      </c>
      <c r="D674">
        <v>4.3331289999999996</v>
      </c>
      <c r="E674">
        <v>0.58017280000000004</v>
      </c>
      <c r="F674" t="s">
        <v>38</v>
      </c>
      <c r="G674">
        <v>-333.33909999999997</v>
      </c>
      <c r="H674" s="1">
        <v>-3.5002419999999999E-6</v>
      </c>
      <c r="I674">
        <v>365.89319999999998</v>
      </c>
      <c r="J674">
        <v>-370.85210000000001</v>
      </c>
      <c r="K674">
        <v>1.1040479999999999</v>
      </c>
      <c r="L674">
        <v>367.63459999999998</v>
      </c>
      <c r="M674">
        <v>0.99989089999999903</v>
      </c>
      <c r="N674">
        <v>0</v>
      </c>
      <c r="O674">
        <v>-1.100199E-2</v>
      </c>
      <c r="P674">
        <v>0.994529199999999</v>
      </c>
      <c r="Q674">
        <v>-1.1393199999999999E-2</v>
      </c>
      <c r="R674">
        <v>0.1038362</v>
      </c>
      <c r="S674">
        <v>3.0302119999999899</v>
      </c>
      <c r="T674">
        <v>-8.8799950000000002E-2</v>
      </c>
      <c r="U674">
        <v>-0.14019779999999901</v>
      </c>
      <c r="V674">
        <v>-0.11477269999999901</v>
      </c>
      <c r="W674">
        <v>-1.5835770000000001E-3</v>
      </c>
      <c r="X674">
        <v>0.99339049999999995</v>
      </c>
      <c r="Y674">
        <v>3.521328E-2</v>
      </c>
      <c r="Z674">
        <v>-1.9341319999999999E-4</v>
      </c>
      <c r="AA674">
        <v>0.99937980000000004</v>
      </c>
      <c r="AB674">
        <v>31</v>
      </c>
      <c r="AC674">
        <v>37.512999999999998</v>
      </c>
      <c r="AD674">
        <v>-1.1040515002419999</v>
      </c>
      <c r="AE674">
        <v>-1.7413999999999901</v>
      </c>
      <c r="AF674">
        <v>1.32740957328915</v>
      </c>
      <c r="AG674">
        <v>-1.1040515002419999</v>
      </c>
      <c r="AH674">
        <v>37.497478907159099</v>
      </c>
      <c r="AI674">
        <v>91.685437496508598</v>
      </c>
      <c r="AJ674">
        <v>87.972577818764904</v>
      </c>
      <c r="AK674">
        <v>37.5372064794823</v>
      </c>
    </row>
    <row r="675" spans="1:37" x14ac:dyDescent="0.2">
      <c r="A675" t="str">
        <f>"20200111155514092"</f>
        <v>20200111155514092</v>
      </c>
      <c r="B675" t="str">
        <f>"1578729314083203"</f>
        <v>1578729314083203</v>
      </c>
      <c r="C675" t="s">
        <v>37</v>
      </c>
      <c r="D675">
        <v>4.3440529999999997</v>
      </c>
      <c r="E675">
        <v>0.58131350000000004</v>
      </c>
      <c r="F675" t="s">
        <v>39</v>
      </c>
      <c r="G675">
        <v>-297.17689999999999</v>
      </c>
      <c r="H675">
        <v>-0.05</v>
      </c>
      <c r="I675">
        <v>359.80090000000001</v>
      </c>
      <c r="J675">
        <v>-370.67</v>
      </c>
      <c r="K675">
        <v>1.1040459999999901</v>
      </c>
      <c r="L675">
        <v>367.63249999999999</v>
      </c>
      <c r="M675">
        <v>0.99989069999999902</v>
      </c>
      <c r="N675">
        <v>0</v>
      </c>
      <c r="O675">
        <v>-1.101657E-2</v>
      </c>
      <c r="P675">
        <v>0.9945349</v>
      </c>
      <c r="Q675">
        <v>-1.1676290000000001E-2</v>
      </c>
      <c r="R675">
        <v>0.1037515</v>
      </c>
      <c r="S675">
        <v>3.0498349999999999</v>
      </c>
      <c r="T675">
        <v>-4.777265E-2</v>
      </c>
      <c r="U675">
        <v>-0.32427979999999901</v>
      </c>
      <c r="V675">
        <v>-0.1147021</v>
      </c>
      <c r="W675">
        <v>-1.859903E-3</v>
      </c>
      <c r="X675">
        <v>0.99339820000000001</v>
      </c>
      <c r="Y675">
        <v>9.4759079999999996E-2</v>
      </c>
      <c r="Z675">
        <v>-5.6797409999999999E-4</v>
      </c>
      <c r="AA675">
        <v>0.9955001</v>
      </c>
      <c r="AB675">
        <v>31</v>
      </c>
      <c r="AC675">
        <v>73.493099999999998</v>
      </c>
      <c r="AD675">
        <v>-1.1540459999999999</v>
      </c>
      <c r="AE675">
        <v>-7.8315999999999804</v>
      </c>
      <c r="AF675">
        <v>7.0197319855627303</v>
      </c>
      <c r="AG675">
        <v>-1.1540459999999999</v>
      </c>
      <c r="AH675">
        <v>73.556987421275394</v>
      </c>
      <c r="AI675">
        <v>90.894783197027806</v>
      </c>
      <c r="AJ675">
        <v>84.548626028916701</v>
      </c>
      <c r="AK675">
        <v>73.900195248814597</v>
      </c>
    </row>
    <row r="676" spans="1:37" x14ac:dyDescent="0.2">
      <c r="A676" t="str">
        <f>"20200111155514104"</f>
        <v>20200111155514104</v>
      </c>
      <c r="B676" t="str">
        <f>"1578729314092963"</f>
        <v>1578729314092963</v>
      </c>
      <c r="C676" t="s">
        <v>37</v>
      </c>
      <c r="D676">
        <v>4.3223129999999896</v>
      </c>
      <c r="E676">
        <v>0.58181569999999905</v>
      </c>
      <c r="F676" t="s">
        <v>39</v>
      </c>
      <c r="G676">
        <v>-283.31330000000003</v>
      </c>
      <c r="H676">
        <v>-0.05</v>
      </c>
      <c r="I676">
        <v>358.07279999999997</v>
      </c>
      <c r="J676">
        <v>-370.51319999999998</v>
      </c>
      <c r="K676">
        <v>1.1040459999999901</v>
      </c>
      <c r="L676">
        <v>367.63080000000002</v>
      </c>
      <c r="M676">
        <v>0.99989059999999896</v>
      </c>
      <c r="N676">
        <v>0</v>
      </c>
      <c r="O676">
        <v>-1.1028990000000001E-2</v>
      </c>
      <c r="P676">
        <v>0.99453349999999996</v>
      </c>
      <c r="Q676">
        <v>-1.203564E-2</v>
      </c>
      <c r="R676">
        <v>0.10372329999999901</v>
      </c>
      <c r="S676">
        <v>3.0508419999999998</v>
      </c>
      <c r="T676">
        <v>-4.0303829999999999E-2</v>
      </c>
      <c r="U676">
        <v>-0.3338623</v>
      </c>
      <c r="V676">
        <v>-0.11468679999999901</v>
      </c>
      <c r="W676">
        <v>-2.2135340000000001E-3</v>
      </c>
      <c r="X676">
        <v>0.99339929999999999</v>
      </c>
      <c r="Y676">
        <v>9.7805230000000007E-2</v>
      </c>
      <c r="Z676">
        <v>-4.9884430000000002E-4</v>
      </c>
      <c r="AA676">
        <v>0.99520549999999997</v>
      </c>
      <c r="AB676">
        <v>31</v>
      </c>
      <c r="AC676">
        <v>87.1998999999999</v>
      </c>
      <c r="AD676">
        <v>-1.1540459999999999</v>
      </c>
      <c r="AE676">
        <v>-9.5580000000000496</v>
      </c>
      <c r="AF676">
        <v>8.5941576601051501</v>
      </c>
      <c r="AG676">
        <v>-1.1540459999999999</v>
      </c>
      <c r="AH676">
        <v>87.284909492580994</v>
      </c>
      <c r="AI676">
        <v>90.753852736738807</v>
      </c>
      <c r="AJ676">
        <v>84.376726432252994</v>
      </c>
      <c r="AK676">
        <v>87.714575716838098</v>
      </c>
    </row>
    <row r="677" spans="1:37" x14ac:dyDescent="0.2">
      <c r="A677" t="str">
        <f>"20200111155514115"</f>
        <v>20200111155514115</v>
      </c>
      <c r="B677" t="str">
        <f>"1578729314102724"</f>
        <v>1578729314102724</v>
      </c>
      <c r="C677" t="s">
        <v>37</v>
      </c>
      <c r="D677">
        <v>4.3930889999999998</v>
      </c>
      <c r="E677">
        <v>0.58199969999999901</v>
      </c>
      <c r="F677" t="s">
        <v>39</v>
      </c>
      <c r="G677">
        <v>-279.6644</v>
      </c>
      <c r="H677">
        <v>-0.05</v>
      </c>
      <c r="I677">
        <v>357.57130000000001</v>
      </c>
      <c r="J677">
        <v>-370.35590000000002</v>
      </c>
      <c r="K677">
        <v>1.1040449999999999</v>
      </c>
      <c r="L677">
        <v>367.62909999999999</v>
      </c>
      <c r="M677">
        <v>0.9998901</v>
      </c>
      <c r="N677">
        <v>0</v>
      </c>
      <c r="O677">
        <v>-1.104107E-2</v>
      </c>
      <c r="P677">
        <v>0.99454929999999997</v>
      </c>
      <c r="Q677">
        <v>-1.23558E-2</v>
      </c>
      <c r="R677">
        <v>0.103532399999999</v>
      </c>
      <c r="S677">
        <v>3.0512700000000001</v>
      </c>
      <c r="T677">
        <v>-3.8760070000000001E-2</v>
      </c>
      <c r="U677">
        <v>-0.337860099999999</v>
      </c>
      <c r="V677">
        <v>-0.1145077</v>
      </c>
      <c r="W677">
        <v>-2.5278150000000001E-3</v>
      </c>
      <c r="X677">
        <v>0.99341919999999995</v>
      </c>
      <c r="Y677">
        <v>9.9066849999999998E-2</v>
      </c>
      <c r="Z677">
        <v>-4.8747329999999998E-4</v>
      </c>
      <c r="AA677">
        <v>0.99508059999999998</v>
      </c>
      <c r="AB677">
        <v>31</v>
      </c>
      <c r="AC677">
        <v>90.691500000000005</v>
      </c>
      <c r="AD677">
        <v>-1.154045</v>
      </c>
      <c r="AE677">
        <v>-10.057799999999901</v>
      </c>
      <c r="AF677">
        <v>9.0543583533614704</v>
      </c>
      <c r="AG677">
        <v>-1.154045</v>
      </c>
      <c r="AH677">
        <v>90.782504411040705</v>
      </c>
      <c r="AI677">
        <v>90.724720706158195</v>
      </c>
      <c r="AJ677">
        <v>84.304337024054206</v>
      </c>
      <c r="AK677">
        <v>91.240212254212494</v>
      </c>
    </row>
    <row r="678" spans="1:37" x14ac:dyDescent="0.2">
      <c r="A678" t="str">
        <f>"20200111155514130"</f>
        <v>20200111155514130</v>
      </c>
      <c r="B678" t="str">
        <f>"1578729314123220"</f>
        <v>1578729314123220</v>
      </c>
      <c r="C678" t="s">
        <v>37</v>
      </c>
      <c r="D678">
        <v>4.3648610000000003</v>
      </c>
      <c r="E678">
        <v>0.58263999999999905</v>
      </c>
      <c r="F678" t="s">
        <v>39</v>
      </c>
      <c r="G678">
        <v>-280.84660000000002</v>
      </c>
      <c r="H678">
        <v>-0.05</v>
      </c>
      <c r="I678">
        <v>357.65109999999999</v>
      </c>
      <c r="J678">
        <v>-370.16669999999999</v>
      </c>
      <c r="K678">
        <v>1.1040410000000001</v>
      </c>
      <c r="L678">
        <v>367.62699999999899</v>
      </c>
      <c r="M678">
        <v>0.99988999999999995</v>
      </c>
      <c r="N678">
        <v>0</v>
      </c>
      <c r="O678">
        <v>-1.1056119999999999E-2</v>
      </c>
      <c r="P678">
        <v>0.99453780000000003</v>
      </c>
      <c r="Q678">
        <v>-1.2456999999999999E-2</v>
      </c>
      <c r="R678">
        <v>0.103631</v>
      </c>
      <c r="S678">
        <v>3.051361</v>
      </c>
      <c r="T678">
        <v>-3.9341210000000001E-2</v>
      </c>
      <c r="U678">
        <v>-0.34014889999999998</v>
      </c>
      <c r="V678">
        <v>-0.11462079999999999</v>
      </c>
      <c r="W678">
        <v>-2.622419E-3</v>
      </c>
      <c r="X678">
        <v>0.99340589999999995</v>
      </c>
      <c r="Y678">
        <v>9.978563E-2</v>
      </c>
      <c r="Z678">
        <v>-4.9917229999999998E-4</v>
      </c>
      <c r="AA678">
        <v>0.99500880000000003</v>
      </c>
      <c r="AB678">
        <v>31</v>
      </c>
      <c r="AC678">
        <v>89.320099999999897</v>
      </c>
      <c r="AD678">
        <v>-1.1540410000000001</v>
      </c>
      <c r="AE678">
        <v>-9.9758999999999602</v>
      </c>
      <c r="AF678">
        <v>8.9862265699737893</v>
      </c>
      <c r="AG678">
        <v>-1.1540410000000001</v>
      </c>
      <c r="AH678">
        <v>89.410198602865904</v>
      </c>
      <c r="AI678">
        <v>90.735784195411696</v>
      </c>
      <c r="AJ678">
        <v>84.260725794380207</v>
      </c>
      <c r="AK678">
        <v>89.868057132668199</v>
      </c>
    </row>
    <row r="679" spans="1:37" x14ac:dyDescent="0.2">
      <c r="A679" t="str">
        <f>"20200111155514143"</f>
        <v>20200111155514143</v>
      </c>
      <c r="B679" t="str">
        <f>"1578729314132979"</f>
        <v>1578729314132979</v>
      </c>
      <c r="C679" t="s">
        <v>37</v>
      </c>
      <c r="D679">
        <v>4.3621290000000004</v>
      </c>
      <c r="E679">
        <v>0.58296809999999999</v>
      </c>
      <c r="F679" t="s">
        <v>39</v>
      </c>
      <c r="G679">
        <v>-270.44979999999998</v>
      </c>
      <c r="H679">
        <v>-0.05</v>
      </c>
      <c r="I679">
        <v>356.36750000000001</v>
      </c>
      <c r="J679">
        <v>-369.97699999999998</v>
      </c>
      <c r="K679">
        <v>1.1040399999999999</v>
      </c>
      <c r="L679">
        <v>367.62479999999999</v>
      </c>
      <c r="M679">
        <v>0.9998899</v>
      </c>
      <c r="N679">
        <v>0</v>
      </c>
      <c r="O679">
        <v>-1.1071289999999999E-2</v>
      </c>
      <c r="P679">
        <v>0.99454589999999998</v>
      </c>
      <c r="Q679">
        <v>-1.266607E-2</v>
      </c>
      <c r="R679">
        <v>0.1035301</v>
      </c>
      <c r="S679">
        <v>3.0519099999999999</v>
      </c>
      <c r="T679">
        <v>-3.5320280000000003E-2</v>
      </c>
      <c r="U679">
        <v>-0.34460449999999998</v>
      </c>
      <c r="V679">
        <v>-0.114535999999999</v>
      </c>
      <c r="W679">
        <v>-2.824699E-3</v>
      </c>
      <c r="X679">
        <v>0.9934151</v>
      </c>
      <c r="Y679">
        <v>0.1011866</v>
      </c>
      <c r="Z679">
        <v>-4.5594659999999998E-4</v>
      </c>
      <c r="AA679">
        <v>0.99486739999999996</v>
      </c>
      <c r="AB679">
        <v>31</v>
      </c>
      <c r="AC679">
        <v>99.527199999999993</v>
      </c>
      <c r="AD679">
        <v>-1.15404</v>
      </c>
      <c r="AE679">
        <v>-11.257299999999899</v>
      </c>
      <c r="AF679">
        <v>10.153313848942799</v>
      </c>
      <c r="AG679">
        <v>-1.15404</v>
      </c>
      <c r="AH679">
        <v>99.632512136720905</v>
      </c>
      <c r="AI679">
        <v>90.660206371440793</v>
      </c>
      <c r="AJ679">
        <v>84.181210069417304</v>
      </c>
      <c r="AK679">
        <v>100.155174929259</v>
      </c>
    </row>
    <row r="680" spans="1:37" x14ac:dyDescent="0.2">
      <c r="A680" t="str">
        <f>"20200111155514158"</f>
        <v>20200111155514158</v>
      </c>
      <c r="B680" t="str">
        <f>"1578729314153476"</f>
        <v>1578729314153476</v>
      </c>
      <c r="C680" t="s">
        <v>37</v>
      </c>
      <c r="D680">
        <v>4.4010290000000003</v>
      </c>
      <c r="E680">
        <v>0.58341829999999995</v>
      </c>
      <c r="F680" t="s">
        <v>38</v>
      </c>
      <c r="G680">
        <v>-278.20960000000002</v>
      </c>
      <c r="H680">
        <v>7.9986000000000002E-2</v>
      </c>
      <c r="I680">
        <v>357.17140000000001</v>
      </c>
      <c r="J680">
        <v>-369.774</v>
      </c>
      <c r="K680">
        <v>1.1040399999999999</v>
      </c>
      <c r="L680">
        <v>367.62259999999998</v>
      </c>
      <c r="M680">
        <v>0.99988960000000005</v>
      </c>
      <c r="N680">
        <v>0</v>
      </c>
      <c r="O680">
        <v>-1.1087069999999999E-2</v>
      </c>
      <c r="P680">
        <v>0.9945503</v>
      </c>
      <c r="Q680">
        <v>-1.2831840000000001E-2</v>
      </c>
      <c r="R680">
        <v>0.1034658</v>
      </c>
      <c r="S680">
        <v>3.0522459999999998</v>
      </c>
      <c r="T680">
        <v>-3.4060720000000003E-2</v>
      </c>
      <c r="U680">
        <v>-0.34768680000000002</v>
      </c>
      <c r="V680">
        <v>-0.1144872</v>
      </c>
      <c r="W680">
        <v>-2.9832550000000002E-3</v>
      </c>
      <c r="X680">
        <v>0.99342019999999998</v>
      </c>
      <c r="Y680">
        <v>0.102150899999999</v>
      </c>
      <c r="Z680">
        <v>-4.4480300000000002E-4</v>
      </c>
      <c r="AA680">
        <v>0.99476880000000001</v>
      </c>
      <c r="AB680">
        <v>31</v>
      </c>
      <c r="AC680">
        <v>91.564399999999907</v>
      </c>
      <c r="AD680">
        <v>-1.024054</v>
      </c>
      <c r="AE680">
        <v>-10.451199999999901</v>
      </c>
      <c r="AF680">
        <v>9.4341621177226003</v>
      </c>
      <c r="AG680">
        <v>-1.024054</v>
      </c>
      <c r="AH680">
        <v>91.663332522526403</v>
      </c>
      <c r="AI680">
        <v>90.636713189296103</v>
      </c>
      <c r="AJ680">
        <v>84.123701651503495</v>
      </c>
      <c r="AK680">
        <v>92.153234509666703</v>
      </c>
    </row>
    <row r="681" spans="1:37" x14ac:dyDescent="0.2">
      <c r="A681" t="str">
        <f>"20200111155514170"</f>
        <v>20200111155514170</v>
      </c>
      <c r="B681" t="str">
        <f>"1578729314163235"</f>
        <v>1578729314163235</v>
      </c>
      <c r="C681" t="s">
        <v>37</v>
      </c>
      <c r="D681">
        <v>4.4139140000000001</v>
      </c>
      <c r="E681">
        <v>0.5835515</v>
      </c>
      <c r="F681" t="s">
        <v>38</v>
      </c>
      <c r="G681">
        <v>-269.83789999999999</v>
      </c>
      <c r="H681">
        <v>7.9985550000000002E-2</v>
      </c>
      <c r="I681">
        <v>356.11009999999999</v>
      </c>
      <c r="J681">
        <v>-369.61380000000003</v>
      </c>
      <c r="K681">
        <v>1.1040410000000001</v>
      </c>
      <c r="L681">
        <v>367.62079999999997</v>
      </c>
      <c r="M681">
        <v>0.99988940000000004</v>
      </c>
      <c r="N681">
        <v>0</v>
      </c>
      <c r="O681">
        <v>-1.10995E-2</v>
      </c>
      <c r="P681">
        <v>0.99456520000000004</v>
      </c>
      <c r="Q681">
        <v>-1.237096E-2</v>
      </c>
      <c r="R681">
        <v>0.1033787</v>
      </c>
      <c r="S681">
        <v>3.0526119999999999</v>
      </c>
      <c r="T681">
        <v>-3.12804E-2</v>
      </c>
      <c r="U681">
        <v>-0.35165409999999903</v>
      </c>
      <c r="V681">
        <v>-0.1144124</v>
      </c>
      <c r="W681">
        <v>-2.5165610000000001E-3</v>
      </c>
      <c r="X681">
        <v>0.99343009999999998</v>
      </c>
      <c r="Y681">
        <v>0.10340199999999999</v>
      </c>
      <c r="Z681">
        <v>-4.1467920000000001E-4</v>
      </c>
      <c r="AA681">
        <v>0.99463959999999996</v>
      </c>
      <c r="AB681">
        <v>31</v>
      </c>
      <c r="AC681">
        <v>99.775899999999993</v>
      </c>
      <c r="AD681">
        <v>-1.0240554500000001</v>
      </c>
      <c r="AE681">
        <v>-11.5106999999999</v>
      </c>
      <c r="AF681">
        <v>10.401392692976801</v>
      </c>
      <c r="AG681">
        <v>-1.0240554500000001</v>
      </c>
      <c r="AH681">
        <v>99.887138377408704</v>
      </c>
      <c r="AI681">
        <v>90.584224211791494</v>
      </c>
      <c r="AJ681">
        <v>84.055132982528306</v>
      </c>
      <c r="AK681">
        <v>100.4324552759</v>
      </c>
    </row>
    <row r="682" spans="1:37" x14ac:dyDescent="0.2">
      <c r="A682" t="str">
        <f>"20200111155514181"</f>
        <v>20200111155514181</v>
      </c>
      <c r="B682" t="str">
        <f>"1578729314172995"</f>
        <v>1578729314172995</v>
      </c>
      <c r="C682" t="s">
        <v>37</v>
      </c>
      <c r="D682">
        <v>4.4259940000000002</v>
      </c>
      <c r="E682">
        <v>0.58368009999999904</v>
      </c>
      <c r="F682" t="s">
        <v>38</v>
      </c>
      <c r="G682">
        <v>-263.88409999999999</v>
      </c>
      <c r="H682">
        <v>7.9985870000000001E-2</v>
      </c>
      <c r="I682">
        <v>355.39179999999999</v>
      </c>
      <c r="J682">
        <v>-369.45659999999998</v>
      </c>
      <c r="K682">
        <v>1.1040410000000001</v>
      </c>
      <c r="L682">
        <v>367.61900000000003</v>
      </c>
      <c r="M682">
        <v>0.99988929999999998</v>
      </c>
      <c r="N682">
        <v>0</v>
      </c>
      <c r="O682">
        <v>-1.111169E-2</v>
      </c>
      <c r="P682">
        <v>0.99456219999999995</v>
      </c>
      <c r="Q682">
        <v>-1.2283799999999999E-2</v>
      </c>
      <c r="R682">
        <v>0.10341880000000001</v>
      </c>
      <c r="S682">
        <v>3.052765</v>
      </c>
      <c r="T682">
        <v>-2.9567840000000001E-2</v>
      </c>
      <c r="U682">
        <v>-0.35308840000000002</v>
      </c>
      <c r="V682">
        <v>-0.1144646</v>
      </c>
      <c r="W682">
        <v>-2.4235120000000001E-3</v>
      </c>
      <c r="X682">
        <v>0.99342439999999999</v>
      </c>
      <c r="Y682">
        <v>0.1038458</v>
      </c>
      <c r="Z682">
        <v>-3.9397230000000002E-4</v>
      </c>
      <c r="AA682">
        <v>0.99459330000000001</v>
      </c>
      <c r="AB682">
        <v>31</v>
      </c>
      <c r="AC682">
        <v>105.57250000000001</v>
      </c>
      <c r="AD682">
        <v>-1.02405513</v>
      </c>
      <c r="AE682">
        <v>-12.2272</v>
      </c>
      <c r="AF682">
        <v>11.0522725810495</v>
      </c>
      <c r="AG682">
        <v>-1.02405513</v>
      </c>
      <c r="AH682">
        <v>105.692040197575</v>
      </c>
      <c r="AI682">
        <v>90.552113835869505</v>
      </c>
      <c r="AJ682">
        <v>84.030246664114102</v>
      </c>
      <c r="AK682">
        <v>106.273274059101</v>
      </c>
    </row>
    <row r="683" spans="1:37" x14ac:dyDescent="0.2">
      <c r="A683" t="str">
        <f>"20200111155514192"</f>
        <v>20200111155514192</v>
      </c>
      <c r="B683" t="str">
        <f>"1578729314182755"</f>
        <v>1578729314182755</v>
      </c>
      <c r="C683" t="s">
        <v>37</v>
      </c>
      <c r="D683">
        <v>4.4263449999999898</v>
      </c>
      <c r="E683">
        <v>0.58377139999999905</v>
      </c>
      <c r="F683" t="s">
        <v>38</v>
      </c>
      <c r="G683">
        <v>-259.65129999999999</v>
      </c>
      <c r="H683">
        <v>7.9985669999999995E-2</v>
      </c>
      <c r="I683">
        <v>354.88400000000001</v>
      </c>
      <c r="J683">
        <v>-369.298</v>
      </c>
      <c r="K683">
        <v>1.1040430000000001</v>
      </c>
      <c r="L683">
        <v>367.61720000000003</v>
      </c>
      <c r="M683">
        <v>0.99988880000000002</v>
      </c>
      <c r="N683">
        <v>0</v>
      </c>
      <c r="O683">
        <v>-1.1124119999999999E-2</v>
      </c>
      <c r="P683">
        <v>0.99457280000000003</v>
      </c>
      <c r="Q683">
        <v>-1.223861E-2</v>
      </c>
      <c r="R683">
        <v>0.10332089999999899</v>
      </c>
      <c r="S683">
        <v>3.0528559999999998</v>
      </c>
      <c r="T683">
        <v>-2.847123E-2</v>
      </c>
      <c r="U683">
        <v>-0.35406490000000002</v>
      </c>
      <c r="V683">
        <v>-0.1143793</v>
      </c>
      <c r="W683">
        <v>-2.3710900000000002E-3</v>
      </c>
      <c r="X683">
        <v>0.99343429999999999</v>
      </c>
      <c r="Y683">
        <v>0.1041443</v>
      </c>
      <c r="Z683">
        <v>-3.80614599999999E-4</v>
      </c>
      <c r="AA683">
        <v>0.99456209999999901</v>
      </c>
      <c r="AB683">
        <v>31</v>
      </c>
      <c r="AC683">
        <v>109.6467</v>
      </c>
      <c r="AD683">
        <v>-1.02405733</v>
      </c>
      <c r="AE683">
        <v>-12.7332</v>
      </c>
      <c r="AF683">
        <v>11.511638066807301</v>
      </c>
      <c r="AG683">
        <v>-1.02405733</v>
      </c>
      <c r="AH683">
        <v>109.772119757537</v>
      </c>
      <c r="AI683">
        <v>90.531578455374898</v>
      </c>
      <c r="AJ683">
        <v>84.013359115182695</v>
      </c>
      <c r="AK683">
        <v>110.378823967549</v>
      </c>
    </row>
    <row r="684" spans="1:37" x14ac:dyDescent="0.2">
      <c r="A684" t="str">
        <f>"20200111155514204"</f>
        <v>20200111155514204</v>
      </c>
      <c r="B684" t="str">
        <f>"1578729314193491"</f>
        <v>1578729314193491</v>
      </c>
      <c r="C684" t="s">
        <v>37</v>
      </c>
      <c r="D684">
        <v>4.4415690000000003</v>
      </c>
      <c r="E684">
        <v>0.58391879999999996</v>
      </c>
      <c r="F684" t="s">
        <v>39</v>
      </c>
      <c r="G684">
        <v>-242.70009999999999</v>
      </c>
      <c r="H684">
        <v>-0.05</v>
      </c>
      <c r="I684">
        <v>352.89330000000001</v>
      </c>
      <c r="J684">
        <v>-369.15050000000002</v>
      </c>
      <c r="K684">
        <v>1.104044</v>
      </c>
      <c r="L684">
        <v>367.61559999999997</v>
      </c>
      <c r="M684">
        <v>0.99988869999999896</v>
      </c>
      <c r="N684">
        <v>0</v>
      </c>
      <c r="O684">
        <v>-1.113608E-2</v>
      </c>
      <c r="P684">
        <v>0.99458089999999999</v>
      </c>
      <c r="Q684">
        <v>-1.193689E-2</v>
      </c>
      <c r="R684">
        <v>0.1032786</v>
      </c>
      <c r="S684">
        <v>3.05294799999999</v>
      </c>
      <c r="T684">
        <v>-2.783012E-2</v>
      </c>
      <c r="U684">
        <v>-0.355072</v>
      </c>
      <c r="V684">
        <v>-0.11434859999999999</v>
      </c>
      <c r="W684">
        <v>-2.061982E-3</v>
      </c>
      <c r="X684">
        <v>0.9934385</v>
      </c>
      <c r="Y684">
        <v>0.1044529</v>
      </c>
      <c r="Z684">
        <v>-3.7331940000000002E-4</v>
      </c>
      <c r="AA684">
        <v>0.99452980000000002</v>
      </c>
      <c r="AB684">
        <v>31</v>
      </c>
      <c r="AC684">
        <v>126.4504</v>
      </c>
      <c r="AD684">
        <v>-1.1540440000000001</v>
      </c>
      <c r="AE684">
        <v>-14.722299999999899</v>
      </c>
      <c r="AF684">
        <v>13.3120618663008</v>
      </c>
      <c r="AG684">
        <v>-1.1540440000000001</v>
      </c>
      <c r="AH684">
        <v>126.596111628727</v>
      </c>
      <c r="AI684">
        <v>90.5194273890977</v>
      </c>
      <c r="AJ684">
        <v>83.997191343866703</v>
      </c>
      <c r="AK684">
        <v>127.299325560661</v>
      </c>
    </row>
    <row r="685" spans="1:37" x14ac:dyDescent="0.2">
      <c r="A685" t="str">
        <f>"20200111155514214"</f>
        <v>20200111155514214</v>
      </c>
      <c r="B685" t="str">
        <f>"1578729314203252"</f>
        <v>1578729314203252</v>
      </c>
      <c r="C685" t="s">
        <v>37</v>
      </c>
      <c r="D685">
        <v>4.5535600000000001</v>
      </c>
      <c r="E685">
        <v>0.58423760000000002</v>
      </c>
      <c r="F685" t="s">
        <v>39</v>
      </c>
      <c r="G685">
        <v>-232.52690000000001</v>
      </c>
      <c r="H685">
        <v>-0.05</v>
      </c>
      <c r="I685">
        <v>351.67809999999997</v>
      </c>
      <c r="J685">
        <v>-368.98849999999999</v>
      </c>
      <c r="K685">
        <v>1.1040459999999901</v>
      </c>
      <c r="L685">
        <v>367.61380000000003</v>
      </c>
      <c r="M685">
        <v>0.99988860000000002</v>
      </c>
      <c r="N685">
        <v>0</v>
      </c>
      <c r="O685">
        <v>-1.1148989999999999E-2</v>
      </c>
      <c r="P685">
        <v>0.99458989999999903</v>
      </c>
      <c r="Q685">
        <v>-1.158937E-2</v>
      </c>
      <c r="R685">
        <v>0.10323160000000001</v>
      </c>
      <c r="S685">
        <v>3.0530089999999999</v>
      </c>
      <c r="T685">
        <v>-2.5788430000000001E-2</v>
      </c>
      <c r="U685">
        <v>-0.35614009999999902</v>
      </c>
      <c r="V685">
        <v>-0.1143146</v>
      </c>
      <c r="W685">
        <v>-1.705437E-3</v>
      </c>
      <c r="X685">
        <v>0.99344310000000002</v>
      </c>
      <c r="Y685">
        <v>0.1047816</v>
      </c>
      <c r="Z685">
        <v>-3.4719360000000002E-4</v>
      </c>
      <c r="AA685">
        <v>0.99449519999999902</v>
      </c>
      <c r="AB685">
        <v>31</v>
      </c>
      <c r="AC685">
        <v>136.46159999999901</v>
      </c>
      <c r="AD685">
        <v>-1.1540459999999999</v>
      </c>
      <c r="AE685">
        <v>-15.935700000000001</v>
      </c>
      <c r="AF685">
        <v>14.412208640206099</v>
      </c>
      <c r="AG685">
        <v>-1.1540459999999999</v>
      </c>
      <c r="AH685">
        <v>136.62115388439699</v>
      </c>
      <c r="AI685">
        <v>90.481298463464</v>
      </c>
      <c r="AJ685">
        <v>83.978121801719695</v>
      </c>
      <c r="AK685">
        <v>137.38407210722499</v>
      </c>
    </row>
    <row r="686" spans="1:37" x14ac:dyDescent="0.2">
      <c r="A686" t="str">
        <f>"20200111155514226"</f>
        <v>20200111155514226</v>
      </c>
      <c r="B686" t="str">
        <f>"1578729314223406"</f>
        <v>1578729314223406</v>
      </c>
      <c r="C686" t="s">
        <v>37</v>
      </c>
      <c r="D686">
        <v>4.4547220000000003</v>
      </c>
      <c r="E686">
        <v>0.58431149999999998</v>
      </c>
      <c r="F686" t="s">
        <v>39</v>
      </c>
      <c r="G686">
        <v>-225.1489</v>
      </c>
      <c r="H686">
        <v>-0.05</v>
      </c>
      <c r="I686">
        <v>350.71210000000002</v>
      </c>
      <c r="J686">
        <v>-368.839</v>
      </c>
      <c r="K686">
        <v>1.1040490000000001</v>
      </c>
      <c r="L686">
        <v>367.6121</v>
      </c>
      <c r="M686">
        <v>0.99988829999999995</v>
      </c>
      <c r="N686">
        <v>0</v>
      </c>
      <c r="O686">
        <v>-1.1160720000000001E-2</v>
      </c>
      <c r="P686">
        <v>0.99461749999999904</v>
      </c>
      <c r="Q686">
        <v>-1.157936E-2</v>
      </c>
      <c r="R686">
        <v>0.1029674</v>
      </c>
      <c r="S686">
        <v>3.053223</v>
      </c>
      <c r="T686">
        <v>-2.4496440000000001E-2</v>
      </c>
      <c r="U686">
        <v>-0.35876459999999999</v>
      </c>
      <c r="V686">
        <v>-0.1140626</v>
      </c>
      <c r="W686">
        <v>-1.686267E-3</v>
      </c>
      <c r="X686">
        <v>0.99347220000000003</v>
      </c>
      <c r="Y686">
        <v>0.105605399999999</v>
      </c>
      <c r="Z686">
        <v>-3.3296049999999999E-4</v>
      </c>
      <c r="AA686">
        <v>0.99440810000000002</v>
      </c>
      <c r="AB686">
        <v>31</v>
      </c>
      <c r="AC686">
        <v>143.6901</v>
      </c>
      <c r="AD686">
        <v>-1.1540490000000001</v>
      </c>
      <c r="AE686">
        <v>-16.899999999999899</v>
      </c>
      <c r="AF686">
        <v>15.294210000232701</v>
      </c>
      <c r="AG686">
        <v>-1.1540490000000001</v>
      </c>
      <c r="AH686">
        <v>143.86062204259201</v>
      </c>
      <c r="AI686">
        <v>90.457041061290397</v>
      </c>
      <c r="AJ686">
        <v>83.931525689197002</v>
      </c>
      <c r="AK686">
        <v>144.675924960261</v>
      </c>
    </row>
    <row r="687" spans="1:37" x14ac:dyDescent="0.2">
      <c r="A687" t="str">
        <f>"20200111155514237"</f>
        <v>20200111155514237</v>
      </c>
      <c r="B687" t="str">
        <f>"1578729314233166"</f>
        <v>1578729314233166</v>
      </c>
      <c r="C687" t="s">
        <v>37</v>
      </c>
      <c r="D687">
        <v>4.5492280000000003</v>
      </c>
      <c r="E687">
        <v>0.58441100000000001</v>
      </c>
      <c r="F687" t="s">
        <v>39</v>
      </c>
      <c r="G687">
        <v>-222.45070000000001</v>
      </c>
      <c r="H687">
        <v>-0.05</v>
      </c>
      <c r="I687">
        <v>350.34089999999998</v>
      </c>
      <c r="J687">
        <v>-368.67169999999999</v>
      </c>
      <c r="K687">
        <v>1.10405</v>
      </c>
      <c r="L687">
        <v>367.61020000000002</v>
      </c>
      <c r="M687">
        <v>0.999887999999999</v>
      </c>
      <c r="N687">
        <v>0</v>
      </c>
      <c r="O687">
        <v>-1.1173529999999999E-2</v>
      </c>
      <c r="P687">
        <v>0.99462830000000002</v>
      </c>
      <c r="Q687">
        <v>-1.1567050000000001E-2</v>
      </c>
      <c r="R687">
        <v>0.102863</v>
      </c>
      <c r="S687">
        <v>3.05325299999999</v>
      </c>
      <c r="T687">
        <v>-2.407026E-2</v>
      </c>
      <c r="U687">
        <v>-0.36022949999999998</v>
      </c>
      <c r="V687">
        <v>-0.11397110000000001</v>
      </c>
      <c r="W687">
        <v>-1.663571E-3</v>
      </c>
      <c r="X687">
        <v>0.99348259999999899</v>
      </c>
      <c r="Y687">
        <v>0.1060622</v>
      </c>
      <c r="Z687">
        <v>-3.288492E-4</v>
      </c>
      <c r="AA687">
        <v>0.9943594</v>
      </c>
      <c r="AB687">
        <v>31</v>
      </c>
      <c r="AC687">
        <v>146.22099999999901</v>
      </c>
      <c r="AD687">
        <v>-1.15405</v>
      </c>
      <c r="AE687">
        <v>-17.269300000000001</v>
      </c>
      <c r="AF687">
        <v>15.6333756871262</v>
      </c>
      <c r="AG687">
        <v>-1.15405</v>
      </c>
      <c r="AH687">
        <v>146.395845947732</v>
      </c>
      <c r="AI687">
        <v>90.449104418690794</v>
      </c>
      <c r="AJ687">
        <v>83.904576548321401</v>
      </c>
      <c r="AK687">
        <v>147.23273405574301</v>
      </c>
    </row>
    <row r="688" spans="1:37" x14ac:dyDescent="0.2">
      <c r="A688" t="str">
        <f>"20200111155514249"</f>
        <v>20200111155514249</v>
      </c>
      <c r="B688" t="str">
        <f>"1578729314242927"</f>
        <v>1578729314242927</v>
      </c>
      <c r="C688" t="s">
        <v>37</v>
      </c>
      <c r="D688">
        <v>4.473357</v>
      </c>
      <c r="E688">
        <v>0.58440879999999995</v>
      </c>
      <c r="F688" t="s">
        <v>39</v>
      </c>
      <c r="G688">
        <v>-219.6147</v>
      </c>
      <c r="H688">
        <v>-0.05</v>
      </c>
      <c r="I688">
        <v>349.95729999999998</v>
      </c>
      <c r="J688">
        <v>-368.51260000000002</v>
      </c>
      <c r="K688">
        <v>1.104052</v>
      </c>
      <c r="L688">
        <v>367.60840000000002</v>
      </c>
      <c r="M688">
        <v>0.99988779999999999</v>
      </c>
      <c r="N688">
        <v>0</v>
      </c>
      <c r="O688">
        <v>-1.1186450000000001E-2</v>
      </c>
      <c r="P688">
        <v>0.99465110000000001</v>
      </c>
      <c r="Q688">
        <v>-1.140793E-2</v>
      </c>
      <c r="R688">
        <v>0.10266159999999901</v>
      </c>
      <c r="S688">
        <v>3.0532840000000001</v>
      </c>
      <c r="T688">
        <v>-2.363956E-2</v>
      </c>
      <c r="U688">
        <v>-0.3616028</v>
      </c>
      <c r="V688">
        <v>-0.1137826</v>
      </c>
      <c r="W688">
        <v>-1.4941539999999999E-3</v>
      </c>
      <c r="X688">
        <v>0.99350450000000001</v>
      </c>
      <c r="Y688">
        <v>0.1064893</v>
      </c>
      <c r="Z688">
        <v>-3.2450159999999998E-4</v>
      </c>
      <c r="AA688">
        <v>0.99431380000000003</v>
      </c>
      <c r="AB688">
        <v>31</v>
      </c>
      <c r="AC688">
        <v>148.89789999999999</v>
      </c>
      <c r="AD688">
        <v>-1.1540520000000001</v>
      </c>
      <c r="AE688">
        <v>-17.6511</v>
      </c>
      <c r="AF688">
        <v>15.983327030564899</v>
      </c>
      <c r="AG688">
        <v>-1.1540520000000001</v>
      </c>
      <c r="AH688">
        <v>149.077214145189</v>
      </c>
      <c r="AI688">
        <v>90.441007808330895</v>
      </c>
      <c r="AJ688">
        <v>83.880404760209302</v>
      </c>
      <c r="AK688">
        <v>149.936034215512</v>
      </c>
    </row>
    <row r="689" spans="1:37" x14ac:dyDescent="0.2">
      <c r="A689" t="str">
        <f>"20200111155514261"</f>
        <v>20200111155514261</v>
      </c>
      <c r="B689" t="str">
        <f>"1578729314252686"</f>
        <v>1578729314252686</v>
      </c>
      <c r="C689" t="s">
        <v>37</v>
      </c>
      <c r="D689">
        <v>4.5133539999999996</v>
      </c>
      <c r="E689">
        <v>0.58444379999999996</v>
      </c>
      <c r="F689" t="s">
        <v>39</v>
      </c>
      <c r="G689">
        <v>-216.3297</v>
      </c>
      <c r="H689">
        <v>-0.05</v>
      </c>
      <c r="I689">
        <v>349.55619999999999</v>
      </c>
      <c r="J689">
        <v>-368.34730000000002</v>
      </c>
      <c r="K689">
        <v>1.1040570000000001</v>
      </c>
      <c r="L689">
        <v>367.60660000000001</v>
      </c>
      <c r="M689">
        <v>0.99988750000000004</v>
      </c>
      <c r="N689">
        <v>0</v>
      </c>
      <c r="O689">
        <v>-1.119974E-2</v>
      </c>
      <c r="P689">
        <v>0.99464079999999999</v>
      </c>
      <c r="Q689">
        <v>-1.12512999999999E-2</v>
      </c>
      <c r="R689">
        <v>0.1027788</v>
      </c>
      <c r="S689">
        <v>3.05325299999999</v>
      </c>
      <c r="T689">
        <v>-2.3153779999999999E-2</v>
      </c>
      <c r="U689">
        <v>-0.36218259999999902</v>
      </c>
      <c r="V689">
        <v>-0.113912899999999</v>
      </c>
      <c r="W689">
        <v>-1.3271450000000001E-3</v>
      </c>
      <c r="X689">
        <v>0.99348989999999904</v>
      </c>
      <c r="Y689">
        <v>0.1066636</v>
      </c>
      <c r="Z689">
        <v>-3.1839119999999899E-4</v>
      </c>
      <c r="AA689">
        <v>0.99429509999999899</v>
      </c>
      <c r="AB689">
        <v>31</v>
      </c>
      <c r="AC689">
        <v>152.01759999999999</v>
      </c>
      <c r="AD689">
        <v>-1.1540570000000001</v>
      </c>
      <c r="AE689">
        <v>-18.0504</v>
      </c>
      <c r="AF689">
        <v>16.345696489248699</v>
      </c>
      <c r="AG689">
        <v>-1.1540570000000001</v>
      </c>
      <c r="AH689">
        <v>152.20158470967601</v>
      </c>
      <c r="AI689">
        <v>90.431948840454297</v>
      </c>
      <c r="AJ689">
        <v>83.870211337709307</v>
      </c>
      <c r="AK689">
        <v>153.08114197841201</v>
      </c>
    </row>
    <row r="690" spans="1:37" x14ac:dyDescent="0.2">
      <c r="A690" t="str">
        <f>"20200111155514273"</f>
        <v>20200111155514273</v>
      </c>
      <c r="B690" t="str">
        <f>"1578729314263422"</f>
        <v>1578729314263422</v>
      </c>
      <c r="C690" t="s">
        <v>37</v>
      </c>
      <c r="D690">
        <v>4.5375370000000004</v>
      </c>
      <c r="E690">
        <v>0.58449449999999903</v>
      </c>
      <c r="F690" t="s">
        <v>39</v>
      </c>
      <c r="G690">
        <v>-217.70240000000001</v>
      </c>
      <c r="H690">
        <v>-0.05</v>
      </c>
      <c r="I690">
        <v>349.75049999999999</v>
      </c>
      <c r="J690">
        <v>-368.1728</v>
      </c>
      <c r="K690">
        <v>1.10406</v>
      </c>
      <c r="L690">
        <v>367.6046</v>
      </c>
      <c r="M690">
        <v>0.99988719999999998</v>
      </c>
      <c r="N690">
        <v>0</v>
      </c>
      <c r="O690">
        <v>-1.1213269999999999E-2</v>
      </c>
      <c r="P690">
        <v>0.9946429</v>
      </c>
      <c r="Q690">
        <v>-1.099894E-2</v>
      </c>
      <c r="R690">
        <v>0.1027854</v>
      </c>
      <c r="S690">
        <v>3.0532840000000001</v>
      </c>
      <c r="T690">
        <v>-2.339053E-2</v>
      </c>
      <c r="U690">
        <v>-0.36190800000000001</v>
      </c>
      <c r="V690">
        <v>-0.113932899999999</v>
      </c>
      <c r="W690">
        <v>-1.063689E-3</v>
      </c>
      <c r="X690">
        <v>0.99348789999999998</v>
      </c>
      <c r="Y690">
        <v>0.10656069999999999</v>
      </c>
      <c r="Z690">
        <v>-3.2114930000000001E-4</v>
      </c>
      <c r="AA690">
        <v>0.99430609999999997</v>
      </c>
      <c r="AB690">
        <v>31</v>
      </c>
      <c r="AC690">
        <v>150.47039999999899</v>
      </c>
      <c r="AD690">
        <v>-1.1540600000000001</v>
      </c>
      <c r="AE690">
        <v>-17.854099999999999</v>
      </c>
      <c r="AF690">
        <v>16.164690252859099</v>
      </c>
      <c r="AG690">
        <v>-1.1540600000000001</v>
      </c>
      <c r="AH690">
        <v>150.652412774525</v>
      </c>
      <c r="AI690">
        <v>90.436396069687305</v>
      </c>
      <c r="AJ690">
        <v>83.875713068684306</v>
      </c>
      <c r="AK690">
        <v>151.52154480548401</v>
      </c>
    </row>
    <row r="691" spans="1:37" x14ac:dyDescent="0.2">
      <c r="A691" t="str">
        <f>"20200111155514284"</f>
        <v>20200111155514284</v>
      </c>
      <c r="B691" t="str">
        <f>"1578729314273183"</f>
        <v>1578729314273183</v>
      </c>
      <c r="C691" t="s">
        <v>37</v>
      </c>
      <c r="D691">
        <v>4.5683199999999999</v>
      </c>
      <c r="E691">
        <v>0.58453480000000002</v>
      </c>
      <c r="F691" t="s">
        <v>39</v>
      </c>
      <c r="G691">
        <v>-214.9014</v>
      </c>
      <c r="H691">
        <v>-0.05</v>
      </c>
      <c r="I691">
        <v>349.416</v>
      </c>
      <c r="J691">
        <v>-368.02080000000001</v>
      </c>
      <c r="K691">
        <v>1.104063</v>
      </c>
      <c r="L691">
        <v>367.60289999999998</v>
      </c>
      <c r="M691">
        <v>0.99988699999999997</v>
      </c>
      <c r="N691">
        <v>0</v>
      </c>
      <c r="O691">
        <v>-1.122512E-2</v>
      </c>
      <c r="P691">
        <v>0.99463919999999995</v>
      </c>
      <c r="Q691">
        <v>-1.028779E-2</v>
      </c>
      <c r="R691">
        <v>0.10289420000000001</v>
      </c>
      <c r="S691">
        <v>3.0533139999999999</v>
      </c>
      <c r="T691">
        <v>-2.2989989999999998E-2</v>
      </c>
      <c r="U691">
        <v>-0.36233520000000002</v>
      </c>
      <c r="V691">
        <v>-0.11405319999999999</v>
      </c>
      <c r="W691">
        <v>-3.4307839999999902E-4</v>
      </c>
      <c r="X691">
        <v>0.99347459999999899</v>
      </c>
      <c r="Y691">
        <v>0.1066851</v>
      </c>
      <c r="Z691">
        <v>-3.1602189999999899E-4</v>
      </c>
      <c r="AA691">
        <v>0.99429279999999998</v>
      </c>
      <c r="AB691">
        <v>31</v>
      </c>
      <c r="AC691">
        <v>153.11940000000001</v>
      </c>
      <c r="AD691">
        <v>-1.1540629999999901</v>
      </c>
      <c r="AE691">
        <v>-18.186899999999898</v>
      </c>
      <c r="AF691">
        <v>16.465962110852999</v>
      </c>
      <c r="AG691">
        <v>-1.1540629999999901</v>
      </c>
      <c r="AH691">
        <v>153.305324697869</v>
      </c>
      <c r="AI691">
        <v>90.428840805616204</v>
      </c>
      <c r="AJ691">
        <v>83.869572363768398</v>
      </c>
      <c r="AK691">
        <v>154.19138221821299</v>
      </c>
    </row>
    <row r="692" spans="1:37" x14ac:dyDescent="0.2">
      <c r="A692" t="str">
        <f>"20200111155514296"</f>
        <v>20200111155514296</v>
      </c>
      <c r="B692" t="str">
        <f>"1578729314292702"</f>
        <v>1578729314292702</v>
      </c>
      <c r="C692" t="s">
        <v>37</v>
      </c>
      <c r="D692">
        <v>4.5298439999999998</v>
      </c>
      <c r="E692">
        <v>0.58450599999999997</v>
      </c>
      <c r="F692" t="s">
        <v>39</v>
      </c>
      <c r="G692">
        <v>-198.93</v>
      </c>
      <c r="H692">
        <v>-0.05</v>
      </c>
      <c r="I692">
        <v>347.54090000000002</v>
      </c>
      <c r="J692">
        <v>-367.85250000000002</v>
      </c>
      <c r="K692">
        <v>1.1040650000000001</v>
      </c>
      <c r="L692">
        <v>367.601</v>
      </c>
      <c r="M692">
        <v>0.99988679999999996</v>
      </c>
      <c r="N692">
        <v>0</v>
      </c>
      <c r="O692">
        <v>-1.1238160000000001E-2</v>
      </c>
      <c r="P692">
        <v>0.99464140000000001</v>
      </c>
      <c r="Q692">
        <v>-9.6280710000000002E-3</v>
      </c>
      <c r="R692">
        <v>0.1029369</v>
      </c>
      <c r="S692">
        <v>3.0534059999999998</v>
      </c>
      <c r="T692">
        <v>-2.083981E-2</v>
      </c>
      <c r="U692">
        <v>-0.36227419999999999</v>
      </c>
      <c r="V692">
        <v>-0.11410919999999999</v>
      </c>
      <c r="W692">
        <v>3.2693540000000001E-4</v>
      </c>
      <c r="X692">
        <v>0.99346819999999902</v>
      </c>
      <c r="Y692">
        <v>0.10664949999999999</v>
      </c>
      <c r="Z692">
        <v>-2.8624830000000001E-4</v>
      </c>
      <c r="AA692">
        <v>0.99429659999999997</v>
      </c>
      <c r="AB692">
        <v>31</v>
      </c>
      <c r="AC692">
        <v>168.92250000000001</v>
      </c>
      <c r="AD692">
        <v>-1.1540649999999999</v>
      </c>
      <c r="AE692">
        <v>-20.060099999999899</v>
      </c>
      <c r="AF692">
        <v>18.159524169360498</v>
      </c>
      <c r="AG692">
        <v>-1.1540649999999999</v>
      </c>
      <c r="AH692">
        <v>169.12949698986299</v>
      </c>
      <c r="AI692">
        <v>90.388720849205001</v>
      </c>
      <c r="AJ692">
        <v>83.871599952352994</v>
      </c>
      <c r="AK692">
        <v>170.10551706551399</v>
      </c>
    </row>
    <row r="693" spans="1:37" x14ac:dyDescent="0.2">
      <c r="A693" t="str">
        <f>"20200111155514308"</f>
        <v>20200111155514308</v>
      </c>
      <c r="B693" t="str">
        <f>"1578729314303438"</f>
        <v>1578729314303438</v>
      </c>
      <c r="C693" t="s">
        <v>37</v>
      </c>
      <c r="D693">
        <v>4.5851819999999996</v>
      </c>
      <c r="E693">
        <v>0.58451219999999904</v>
      </c>
      <c r="F693" t="s">
        <v>38</v>
      </c>
      <c r="G693">
        <v>-203.90710000000001</v>
      </c>
      <c r="H693">
        <v>7.998595E-2</v>
      </c>
      <c r="I693">
        <v>348.15809999999999</v>
      </c>
      <c r="J693">
        <v>-367.69510000000002</v>
      </c>
      <c r="K693">
        <v>1.1040669999999999</v>
      </c>
      <c r="L693">
        <v>367.5992</v>
      </c>
      <c r="M693">
        <v>0.99988670000000002</v>
      </c>
      <c r="N693">
        <v>0</v>
      </c>
      <c r="O693">
        <v>-1.125109E-2</v>
      </c>
      <c r="P693">
        <v>0.9946374</v>
      </c>
      <c r="Q693">
        <v>-8.8877030000000003E-3</v>
      </c>
      <c r="R693">
        <v>0.1030413</v>
      </c>
      <c r="S693">
        <v>3.0534669999999999</v>
      </c>
      <c r="T693">
        <v>-1.9073369999999999E-2</v>
      </c>
      <c r="U693">
        <v>-0.36212159999999999</v>
      </c>
      <c r="V693">
        <v>-0.1142261</v>
      </c>
      <c r="W693">
        <v>1.077E-3</v>
      </c>
      <c r="X693">
        <v>0.99345419999999995</v>
      </c>
      <c r="Y693">
        <v>0.10658569999999901</v>
      </c>
      <c r="Z693">
        <v>-2.61702E-4</v>
      </c>
      <c r="AA693">
        <v>0.99430350000000001</v>
      </c>
      <c r="AB693">
        <v>31</v>
      </c>
      <c r="AC693">
        <v>163.78799999999899</v>
      </c>
      <c r="AD693">
        <v>-1.0240810499999999</v>
      </c>
      <c r="AE693">
        <v>-19.441099999999999</v>
      </c>
      <c r="AF693">
        <v>17.596305322888099</v>
      </c>
      <c r="AG693">
        <v>-1.0240810499999999</v>
      </c>
      <c r="AH693">
        <v>163.990054544419</v>
      </c>
      <c r="AI693">
        <v>90.355752553327406</v>
      </c>
      <c r="AJ693">
        <v>83.875535571568705</v>
      </c>
      <c r="AK693">
        <v>164.934583070061</v>
      </c>
    </row>
    <row r="694" spans="1:37" x14ac:dyDescent="0.2">
      <c r="A694" t="str">
        <f>"20200111155514319"</f>
        <v>20200111155514319</v>
      </c>
      <c r="B694" t="str">
        <f>"1578729314312963"</f>
        <v>1578729314312963</v>
      </c>
      <c r="C694" t="s">
        <v>37</v>
      </c>
      <c r="D694">
        <v>4.541868</v>
      </c>
      <c r="E694">
        <v>0.58447260000000001</v>
      </c>
      <c r="F694" t="s">
        <v>38</v>
      </c>
      <c r="G694">
        <v>-179.95779999999999</v>
      </c>
      <c r="H694">
        <v>1.990099E-2</v>
      </c>
      <c r="I694">
        <v>345.36130000000003</v>
      </c>
      <c r="J694">
        <v>-367.53269999999998</v>
      </c>
      <c r="K694">
        <v>1.104069</v>
      </c>
      <c r="L694">
        <v>367.59739999999999</v>
      </c>
      <c r="M694">
        <v>0.99988630000000001</v>
      </c>
      <c r="N694">
        <v>0</v>
      </c>
      <c r="O694">
        <v>-1.126449E-2</v>
      </c>
      <c r="P694">
        <v>0.99463950000000001</v>
      </c>
      <c r="Q694">
        <v>-8.2535719999999903E-3</v>
      </c>
      <c r="R694">
        <v>0.10307519999999901</v>
      </c>
      <c r="S694">
        <v>3.0534970000000001</v>
      </c>
      <c r="T694">
        <v>-1.7633679999999999E-2</v>
      </c>
      <c r="U694">
        <v>-0.36169429999999902</v>
      </c>
      <c r="V694">
        <v>-0.1142729</v>
      </c>
      <c r="W694">
        <v>1.7212060000000001E-3</v>
      </c>
      <c r="X694">
        <v>0.99344789999999905</v>
      </c>
      <c r="Y694">
        <v>0.10643419999999899</v>
      </c>
      <c r="Z694">
        <v>-2.414354E-4</v>
      </c>
      <c r="AA694">
        <v>0.99431970000000003</v>
      </c>
      <c r="AB694">
        <v>31</v>
      </c>
      <c r="AC694">
        <v>187.57490000000001</v>
      </c>
      <c r="AD694">
        <v>-1.08416801</v>
      </c>
      <c r="AE694">
        <v>-22.236099999999901</v>
      </c>
      <c r="AF694">
        <v>20.120984415547799</v>
      </c>
      <c r="AG694">
        <v>-1.08416801</v>
      </c>
      <c r="AH694">
        <v>187.80730154865401</v>
      </c>
      <c r="AI694">
        <v>90.328869590069104</v>
      </c>
      <c r="AJ694">
        <v>83.884866354194699</v>
      </c>
      <c r="AK694">
        <v>188.885181920424</v>
      </c>
    </row>
    <row r="695" spans="1:37" x14ac:dyDescent="0.2">
      <c r="A695" t="str">
        <f>"20200111155514331"</f>
        <v>20200111155514331</v>
      </c>
      <c r="B695" t="str">
        <f>"1578729314322723"</f>
        <v>1578729314322723</v>
      </c>
      <c r="C695" t="s">
        <v>37</v>
      </c>
      <c r="D695">
        <v>4.6675490000000002</v>
      </c>
      <c r="E695">
        <v>0.58451560000000002</v>
      </c>
      <c r="F695" t="s">
        <v>43</v>
      </c>
      <c r="G695">
        <v>-156.46700000000001</v>
      </c>
      <c r="H695">
        <v>1.44721E-2</v>
      </c>
      <c r="I695">
        <v>342.6404</v>
      </c>
      <c r="J695">
        <v>-367.36470000000003</v>
      </c>
      <c r="K695">
        <v>1.104068</v>
      </c>
      <c r="L695">
        <v>367.59550000000002</v>
      </c>
      <c r="M695">
        <v>0.99988600000000005</v>
      </c>
      <c r="N695">
        <v>0</v>
      </c>
      <c r="O695">
        <v>-1.1278979999999999E-2</v>
      </c>
      <c r="P695">
        <v>0.99462589999999995</v>
      </c>
      <c r="Q695">
        <v>-8.0942010000000005E-3</v>
      </c>
      <c r="R695">
        <v>0.10321809999999999</v>
      </c>
      <c r="S695">
        <v>3.0534970000000001</v>
      </c>
      <c r="T695">
        <v>-1.5763159999999998E-2</v>
      </c>
      <c r="U695">
        <v>-0.36105349999999897</v>
      </c>
      <c r="V695">
        <v>-0.11443010000000001</v>
      </c>
      <c r="W695">
        <v>1.890484E-3</v>
      </c>
      <c r="X695">
        <v>0.99342949999999997</v>
      </c>
      <c r="Y695">
        <v>0.1062144</v>
      </c>
      <c r="Z695">
        <v>-2.1518770000000001E-4</v>
      </c>
      <c r="AA695">
        <v>0.99434319999999898</v>
      </c>
      <c r="AB695">
        <v>31</v>
      </c>
      <c r="AC695">
        <v>210.89769999999999</v>
      </c>
      <c r="AD695">
        <v>-1.0895959</v>
      </c>
      <c r="AE695">
        <v>-24.955100000000002</v>
      </c>
      <c r="AF695">
        <v>22.574087414636502</v>
      </c>
      <c r="AG695">
        <v>-1.0895959</v>
      </c>
      <c r="AH695">
        <v>211.160207221907</v>
      </c>
      <c r="AI695">
        <v>90.293971053809997</v>
      </c>
      <c r="AJ695">
        <v>83.897968847434996</v>
      </c>
      <c r="AK695">
        <v>212.36621613577699</v>
      </c>
    </row>
    <row r="696" spans="1:37" x14ac:dyDescent="0.2">
      <c r="A696" t="str">
        <f>"20200111155514344"</f>
        <v>20200111155514344</v>
      </c>
      <c r="B696" t="str">
        <f>"1578729314333459"</f>
        <v>1578729314333459</v>
      </c>
      <c r="C696" t="s">
        <v>37</v>
      </c>
      <c r="D696">
        <v>4.7569549999999996</v>
      </c>
      <c r="E696">
        <v>0.58437600000000001</v>
      </c>
      <c r="F696" t="s">
        <v>43</v>
      </c>
      <c r="G696">
        <v>-156.34119999999999</v>
      </c>
      <c r="H696">
        <v>1.5954579999999999E-2</v>
      </c>
      <c r="I696">
        <v>342.64400000000001</v>
      </c>
      <c r="J696">
        <v>-367.18720000000002</v>
      </c>
      <c r="K696">
        <v>1.1040669999999999</v>
      </c>
      <c r="L696">
        <v>367.59339999999997</v>
      </c>
      <c r="M696">
        <v>0.99988580000000005</v>
      </c>
      <c r="N696">
        <v>0</v>
      </c>
      <c r="O696">
        <v>-1.129513E-2</v>
      </c>
      <c r="P696">
        <v>0.99460170000000003</v>
      </c>
      <c r="Q696">
        <v>-7.9988869999999997E-3</v>
      </c>
      <c r="R696">
        <v>0.1034595</v>
      </c>
      <c r="S696">
        <v>3.0535580000000002</v>
      </c>
      <c r="T696">
        <v>-1.5745160000000001E-2</v>
      </c>
      <c r="U696">
        <v>-0.36105349999999897</v>
      </c>
      <c r="V696">
        <v>-0.11468779999999899</v>
      </c>
      <c r="W696">
        <v>1.995864E-3</v>
      </c>
      <c r="X696">
        <v>0.99339959999999905</v>
      </c>
      <c r="Y696">
        <v>0.106196</v>
      </c>
      <c r="Z696">
        <v>-2.148075E-4</v>
      </c>
      <c r="AA696">
        <v>0.99434519999999904</v>
      </c>
      <c r="AB696">
        <v>31</v>
      </c>
      <c r="AC696">
        <v>210.846</v>
      </c>
      <c r="AD696">
        <v>-1.0881124200000001</v>
      </c>
      <c r="AE696">
        <v>-24.949399999999901</v>
      </c>
      <c r="AF696">
        <v>22.565562555063199</v>
      </c>
      <c r="AG696">
        <v>-1.0881124200000001</v>
      </c>
      <c r="AH696">
        <v>211.108824493306</v>
      </c>
      <c r="AI696">
        <v>90.293642718499697</v>
      </c>
      <c r="AJ696">
        <v>83.898782390254894</v>
      </c>
      <c r="AK696">
        <v>212.314211443819</v>
      </c>
    </row>
    <row r="697" spans="1:37" x14ac:dyDescent="0.2">
      <c r="A697" t="str">
        <f>"20200111155514360"</f>
        <v>20200111155514360</v>
      </c>
      <c r="B697" t="str">
        <f>"1578729314352979"</f>
        <v>1578729314352979</v>
      </c>
      <c r="C697" t="s">
        <v>37</v>
      </c>
      <c r="D697">
        <v>4.6228179999999996</v>
      </c>
      <c r="E697">
        <v>0.58459619999999901</v>
      </c>
      <c r="F697" t="s">
        <v>43</v>
      </c>
      <c r="G697">
        <v>-155.05549999999999</v>
      </c>
      <c r="H697">
        <v>6.6963289999999995E-2</v>
      </c>
      <c r="I697">
        <v>342.64400000000001</v>
      </c>
      <c r="J697">
        <v>-366.96609999999998</v>
      </c>
      <c r="K697">
        <v>1.104063</v>
      </c>
      <c r="L697">
        <v>367.59089999999998</v>
      </c>
      <c r="M697">
        <v>0.99988539999999904</v>
      </c>
      <c r="N697">
        <v>0</v>
      </c>
      <c r="O697">
        <v>-1.1316069999999999E-2</v>
      </c>
      <c r="P697">
        <v>0.99454750000000003</v>
      </c>
      <c r="Q697">
        <v>-7.9764090000000003E-3</v>
      </c>
      <c r="R697">
        <v>0.10398019999999999</v>
      </c>
      <c r="S697">
        <v>3.0534970000000001</v>
      </c>
      <c r="T697">
        <v>-1.492834E-2</v>
      </c>
      <c r="U697">
        <v>-0.35913089999999998</v>
      </c>
      <c r="V697">
        <v>-0.1152287</v>
      </c>
      <c r="W697">
        <v>2.02972E-3</v>
      </c>
      <c r="X697">
        <v>0.99333689999999997</v>
      </c>
      <c r="Y697">
        <v>0.1055601</v>
      </c>
      <c r="Z697">
        <v>-2.020243E-4</v>
      </c>
      <c r="AA697">
        <v>0.99441290000000004</v>
      </c>
      <c r="AB697">
        <v>31</v>
      </c>
      <c r="AC697">
        <v>211.91059999999999</v>
      </c>
      <c r="AD697">
        <v>-1.0370997099999999</v>
      </c>
      <c r="AE697">
        <v>-24.9468999999999</v>
      </c>
      <c r="AF697">
        <v>22.546653419904601</v>
      </c>
      <c r="AG697">
        <v>-1.0370997099999999</v>
      </c>
      <c r="AH697">
        <v>212.174332934364</v>
      </c>
      <c r="AI697">
        <v>90.278489324218697</v>
      </c>
      <c r="AJ697">
        <v>83.934241616987407</v>
      </c>
      <c r="AK697">
        <v>213.37144774404101</v>
      </c>
    </row>
    <row r="698" spans="1:37" x14ac:dyDescent="0.2">
      <c r="A698" t="str">
        <f>"20200111155514373"</f>
        <v>20200111155514373</v>
      </c>
      <c r="B698" t="str">
        <f>"1578729314362740"</f>
        <v>1578729314362740</v>
      </c>
      <c r="C698" t="s">
        <v>37</v>
      </c>
      <c r="D698">
        <v>4.6589039999999997</v>
      </c>
      <c r="E698">
        <v>0.58472690000000005</v>
      </c>
      <c r="F698" t="s">
        <v>43</v>
      </c>
      <c r="G698">
        <v>-155.07810000000001</v>
      </c>
      <c r="H698">
        <v>0.11634169999999899</v>
      </c>
      <c r="I698">
        <v>342.64400000000001</v>
      </c>
      <c r="J698">
        <v>-366.77820000000003</v>
      </c>
      <c r="K698">
        <v>1.104061</v>
      </c>
      <c r="L698">
        <v>367.58879999999999</v>
      </c>
      <c r="M698">
        <v>0.99988509999999997</v>
      </c>
      <c r="N698">
        <v>0</v>
      </c>
      <c r="O698">
        <v>-1.133485E-2</v>
      </c>
      <c r="P698">
        <v>0.99449750000000003</v>
      </c>
      <c r="Q698">
        <v>-8.0094299999999997E-3</v>
      </c>
      <c r="R698">
        <v>0.1044558</v>
      </c>
      <c r="S698">
        <v>3.053925</v>
      </c>
      <c r="T698">
        <v>-1.423585E-2</v>
      </c>
      <c r="U698">
        <v>-0.35955809999999999</v>
      </c>
      <c r="V698">
        <v>-0.1157223</v>
      </c>
      <c r="W698">
        <v>2.0068320000000001E-3</v>
      </c>
      <c r="X698">
        <v>0.99327960000000004</v>
      </c>
      <c r="Y698">
        <v>0.1056626</v>
      </c>
      <c r="Z698">
        <v>-1.927757E-4</v>
      </c>
      <c r="AA698">
        <v>0.99440200000000001</v>
      </c>
      <c r="AB698">
        <v>31</v>
      </c>
      <c r="AC698">
        <v>211.70009999999999</v>
      </c>
      <c r="AD698">
        <v>-0.98771929999999997</v>
      </c>
      <c r="AE698">
        <v>-24.944799999999901</v>
      </c>
      <c r="AF698">
        <v>22.543002907012301</v>
      </c>
      <c r="AG698">
        <v>-0.98771929999999997</v>
      </c>
      <c r="AH698">
        <v>211.96470765433901</v>
      </c>
      <c r="AI698">
        <v>90.265489388833501</v>
      </c>
      <c r="AJ698">
        <v>83.929263318949097</v>
      </c>
      <c r="AK698">
        <v>213.16237909272499</v>
      </c>
    </row>
    <row r="699" spans="1:37" x14ac:dyDescent="0.2">
      <c r="A699" t="str">
        <f>"20200111155514386"</f>
        <v>20200111155514386</v>
      </c>
      <c r="B699" t="str">
        <f>"1578729314373476"</f>
        <v>1578729314373476</v>
      </c>
      <c r="C699" t="s">
        <v>37</v>
      </c>
      <c r="D699">
        <v>4.6072329999999999</v>
      </c>
      <c r="E699">
        <v>0.58475410000000005</v>
      </c>
      <c r="F699" t="s">
        <v>43</v>
      </c>
      <c r="G699">
        <v>-154.70500000000001</v>
      </c>
      <c r="H699">
        <v>0.1330682</v>
      </c>
      <c r="I699">
        <v>342.64400000000001</v>
      </c>
      <c r="J699">
        <v>-366.61360000000002</v>
      </c>
      <c r="K699">
        <v>1.10406</v>
      </c>
      <c r="L699">
        <v>367.58690000000001</v>
      </c>
      <c r="M699">
        <v>0.99988480000000002</v>
      </c>
      <c r="N699">
        <v>0</v>
      </c>
      <c r="O699">
        <v>-1.1351709999999999E-2</v>
      </c>
      <c r="P699">
        <v>0.99446800000000002</v>
      </c>
      <c r="Q699">
        <v>-8.1253890000000002E-3</v>
      </c>
      <c r="R699">
        <v>0.104726399999999</v>
      </c>
      <c r="S699">
        <v>3.05425999999999</v>
      </c>
      <c r="T699">
        <v>-1.3984079999999999E-2</v>
      </c>
      <c r="U699">
        <v>-0.35925289999999999</v>
      </c>
      <c r="V699">
        <v>-0.1160089</v>
      </c>
      <c r="W699">
        <v>1.8995429999999901E-3</v>
      </c>
      <c r="X699">
        <v>0.99324639999999997</v>
      </c>
      <c r="Y699">
        <v>0.105535199999999</v>
      </c>
      <c r="Z699">
        <v>-1.8897909999999999E-4</v>
      </c>
      <c r="AA699">
        <v>0.99441559999999996</v>
      </c>
      <c r="AB699">
        <v>31</v>
      </c>
      <c r="AC699">
        <v>211.90860000000001</v>
      </c>
      <c r="AD699">
        <v>-0.97099179999999996</v>
      </c>
      <c r="AE699">
        <v>-24.942900000000002</v>
      </c>
      <c r="AF699">
        <v>22.535178923496598</v>
      </c>
      <c r="AG699">
        <v>-0.97099179999999996</v>
      </c>
      <c r="AH699">
        <v>212.17370980797199</v>
      </c>
      <c r="AI699">
        <v>90.260740054192595</v>
      </c>
      <c r="AJ699">
        <v>83.937287947581495</v>
      </c>
      <c r="AK699">
        <v>213.36930483991199</v>
      </c>
    </row>
    <row r="700" spans="1:37" x14ac:dyDescent="0.2">
      <c r="A700" t="str">
        <f>"20200111155514397"</f>
        <v>20200111155514397</v>
      </c>
      <c r="B700" t="str">
        <f>"1578729314392996"</f>
        <v>1578729314392996</v>
      </c>
      <c r="C700" t="s">
        <v>37</v>
      </c>
      <c r="D700">
        <v>4.6070250000000001</v>
      </c>
      <c r="E700">
        <v>0.58485589999999998</v>
      </c>
      <c r="F700" t="s">
        <v>43</v>
      </c>
      <c r="G700">
        <v>-154.0986</v>
      </c>
      <c r="H700">
        <v>9.6186250000000001E-2</v>
      </c>
      <c r="I700">
        <v>342.64400000000001</v>
      </c>
      <c r="J700">
        <v>-366.42939999999999</v>
      </c>
      <c r="K700">
        <v>1.104063</v>
      </c>
      <c r="L700">
        <v>367.58479999999997</v>
      </c>
      <c r="M700">
        <v>0.99988440000000001</v>
      </c>
      <c r="N700">
        <v>0</v>
      </c>
      <c r="O700">
        <v>-1.137049E-2</v>
      </c>
      <c r="P700">
        <v>0.99443579999999998</v>
      </c>
      <c r="Q700">
        <v>-8.3292850000000005E-3</v>
      </c>
      <c r="R700">
        <v>0.10501389999999999</v>
      </c>
      <c r="S700">
        <v>3.0543520000000002</v>
      </c>
      <c r="T700">
        <v>-1.448548E-2</v>
      </c>
      <c r="U700">
        <v>-0.35848999999999998</v>
      </c>
      <c r="V700">
        <v>-0.1163148</v>
      </c>
      <c r="W700">
        <v>1.704994E-3</v>
      </c>
      <c r="X700">
        <v>0.99321090000000001</v>
      </c>
      <c r="Y700">
        <v>0.105267899999999</v>
      </c>
      <c r="Z700">
        <v>-1.9503160000000001E-4</v>
      </c>
      <c r="AA700">
        <v>0.99444390000000005</v>
      </c>
      <c r="AB700">
        <v>31</v>
      </c>
      <c r="AC700">
        <v>212.33080000000001</v>
      </c>
      <c r="AD700">
        <v>-1.0078767500000001</v>
      </c>
      <c r="AE700">
        <v>-24.9407999999999</v>
      </c>
      <c r="AF700">
        <v>22.524258658328002</v>
      </c>
      <c r="AG700">
        <v>-1.0078767500000001</v>
      </c>
      <c r="AH700">
        <v>212.59595090643899</v>
      </c>
      <c r="AI700">
        <v>90.270114518655404</v>
      </c>
      <c r="AJ700">
        <v>83.952150192657001</v>
      </c>
      <c r="AK700">
        <v>213.788204504981</v>
      </c>
    </row>
    <row r="701" spans="1:37" x14ac:dyDescent="0.2">
      <c r="A701" t="str">
        <f>"20200111155514410"</f>
        <v>20200111155514410</v>
      </c>
      <c r="B701" t="str">
        <f>"1578729314402757"</f>
        <v>1578729314402757</v>
      </c>
      <c r="C701" t="s">
        <v>37</v>
      </c>
      <c r="D701">
        <v>4.6310820000000001</v>
      </c>
      <c r="E701">
        <v>0.58495169999999996</v>
      </c>
      <c r="F701" t="s">
        <v>39</v>
      </c>
      <c r="G701">
        <v>-149.92570000000001</v>
      </c>
      <c r="H701">
        <v>-0.05</v>
      </c>
      <c r="I701">
        <v>342.19420000000002</v>
      </c>
      <c r="J701">
        <v>-366.25639999999999</v>
      </c>
      <c r="K701">
        <v>1.1040589999999999</v>
      </c>
      <c r="L701">
        <v>367.58280000000002</v>
      </c>
      <c r="M701">
        <v>0.999884199999999</v>
      </c>
      <c r="N701">
        <v>0</v>
      </c>
      <c r="O701">
        <v>-1.1389369999999999E-2</v>
      </c>
      <c r="P701">
        <v>0.99438389999999999</v>
      </c>
      <c r="Q701">
        <v>-8.3885639999999994E-3</v>
      </c>
      <c r="R701">
        <v>0.1055014</v>
      </c>
      <c r="S701">
        <v>3.0544739999999999</v>
      </c>
      <c r="T701">
        <v>-1.628172E-2</v>
      </c>
      <c r="U701">
        <v>-0.35821529999999902</v>
      </c>
      <c r="V701">
        <v>-0.1168206</v>
      </c>
      <c r="W701">
        <v>1.6539720000000001E-3</v>
      </c>
      <c r="X701">
        <v>0.99315169999999997</v>
      </c>
      <c r="Y701">
        <v>0.1051561</v>
      </c>
      <c r="Z701">
        <v>-2.188108E-4</v>
      </c>
      <c r="AA701">
        <v>0.99445569999999905</v>
      </c>
      <c r="AB701">
        <v>31</v>
      </c>
      <c r="AC701">
        <v>216.33070000000001</v>
      </c>
      <c r="AD701">
        <v>-1.1540589999999999</v>
      </c>
      <c r="AE701">
        <v>-25.3886</v>
      </c>
      <c r="AF701">
        <v>22.922313729453499</v>
      </c>
      <c r="AG701">
        <v>-1.1540589999999999</v>
      </c>
      <c r="AH701">
        <v>216.599761573156</v>
      </c>
      <c r="AI701">
        <v>90.303577912554303</v>
      </c>
      <c r="AJ701">
        <v>83.958989050304595</v>
      </c>
      <c r="AK701">
        <v>217.81235280037399</v>
      </c>
    </row>
    <row r="702" spans="1:37" x14ac:dyDescent="0.2">
      <c r="A702" t="str">
        <f>"20200111155514427"</f>
        <v>20200111155514427</v>
      </c>
      <c r="B702" t="str">
        <f>"1578729314423251"</f>
        <v>1578729314423251</v>
      </c>
      <c r="C702" t="s">
        <v>37</v>
      </c>
      <c r="D702">
        <v>4.8337769999999898</v>
      </c>
      <c r="E702">
        <v>0.58410899999999999</v>
      </c>
      <c r="F702" t="s">
        <v>38</v>
      </c>
      <c r="G702">
        <v>-175.0369</v>
      </c>
      <c r="H702">
        <v>7.9985749999999994E-2</v>
      </c>
      <c r="I702">
        <v>345.18770000000001</v>
      </c>
      <c r="J702">
        <v>-366.03120000000001</v>
      </c>
      <c r="K702">
        <v>1.104058</v>
      </c>
      <c r="L702">
        <v>367.58030000000002</v>
      </c>
      <c r="M702">
        <v>0.99988379999999999</v>
      </c>
      <c r="N702">
        <v>0</v>
      </c>
      <c r="O702">
        <v>-1.1414240000000001E-2</v>
      </c>
      <c r="P702">
        <v>0.99427069999999995</v>
      </c>
      <c r="Q702">
        <v>-8.5798319999999904E-3</v>
      </c>
      <c r="R702">
        <v>0.1065478</v>
      </c>
      <c r="S702">
        <v>3.0546880000000001</v>
      </c>
      <c r="T702">
        <v>-1.6359329999999998E-2</v>
      </c>
      <c r="U702">
        <v>-0.35775759999999901</v>
      </c>
      <c r="V702">
        <v>-0.11788989999999901</v>
      </c>
      <c r="W702">
        <v>1.472774E-3</v>
      </c>
      <c r="X702">
        <v>0.99302559999999995</v>
      </c>
      <c r="Y702">
        <v>0.10497629999999999</v>
      </c>
      <c r="Z702">
        <v>-2.19228E-4</v>
      </c>
      <c r="AA702">
        <v>0.99447469999999905</v>
      </c>
      <c r="AB702">
        <v>31</v>
      </c>
      <c r="AC702">
        <v>190.99430000000001</v>
      </c>
      <c r="AD702">
        <v>-1.0240722499999999</v>
      </c>
      <c r="AE702">
        <v>-22.392600000000002</v>
      </c>
      <c r="AF702">
        <v>20.210401866709901</v>
      </c>
      <c r="AG702">
        <v>-1.0240722499999999</v>
      </c>
      <c r="AH702">
        <v>191.23204089510801</v>
      </c>
      <c r="AI702">
        <v>90.305124100745601</v>
      </c>
      <c r="AJ702">
        <v>83.967077269467893</v>
      </c>
      <c r="AK702">
        <v>192.29977257525701</v>
      </c>
    </row>
    <row r="703" spans="1:37" x14ac:dyDescent="0.2">
      <c r="A703" t="str">
        <f>"20200111155514438"</f>
        <v>20200111155514438</v>
      </c>
      <c r="B703" t="str">
        <f>"1578729314433011"</f>
        <v>1578729314433011</v>
      </c>
      <c r="C703" t="s">
        <v>37</v>
      </c>
      <c r="D703">
        <v>4.6506400000000001</v>
      </c>
      <c r="E703">
        <v>0.58410899999999999</v>
      </c>
      <c r="F703" t="s">
        <v>38</v>
      </c>
      <c r="G703">
        <v>-204.1123</v>
      </c>
      <c r="H703">
        <v>7.998566E-2</v>
      </c>
      <c r="I703">
        <v>349.15519999999998</v>
      </c>
      <c r="J703">
        <v>-365.86349999999999</v>
      </c>
      <c r="K703">
        <v>1.1040570000000001</v>
      </c>
      <c r="L703">
        <v>367.57830000000001</v>
      </c>
      <c r="M703">
        <v>0.99988349999999904</v>
      </c>
      <c r="N703">
        <v>0</v>
      </c>
      <c r="O703">
        <v>-1.1433240000000001E-2</v>
      </c>
      <c r="P703">
        <v>0.99421029999999999</v>
      </c>
      <c r="Q703">
        <v>-8.6757099999999997E-3</v>
      </c>
      <c r="R703">
        <v>0.10710160000000001</v>
      </c>
      <c r="S703">
        <v>3.0543819999999999</v>
      </c>
      <c r="T703">
        <v>-1.9317750000000002E-2</v>
      </c>
      <c r="U703">
        <v>-0.3475647</v>
      </c>
      <c r="V703">
        <v>-0.11846189999999999</v>
      </c>
      <c r="W703">
        <v>1.38456E-3</v>
      </c>
      <c r="X703">
        <v>0.99295769999999905</v>
      </c>
      <c r="Y703">
        <v>0.1016928</v>
      </c>
      <c r="Z703">
        <v>-2.4847759999999997E-4</v>
      </c>
      <c r="AA703">
        <v>0.99481580000000003</v>
      </c>
      <c r="AB703">
        <v>31</v>
      </c>
      <c r="AC703">
        <v>161.75119999999899</v>
      </c>
      <c r="AD703">
        <v>-1.0240713400000001</v>
      </c>
      <c r="AE703">
        <v>-18.423100000000002</v>
      </c>
      <c r="AF703">
        <v>16.571805103533102</v>
      </c>
      <c r="AG703">
        <v>-1.0240713400000001</v>
      </c>
      <c r="AH703">
        <v>161.944864910652</v>
      </c>
      <c r="AI703">
        <v>90.360427499135199</v>
      </c>
      <c r="AJ703">
        <v>84.157264714523095</v>
      </c>
      <c r="AK703">
        <v>162.79377358310799</v>
      </c>
    </row>
    <row r="704" spans="1:37" x14ac:dyDescent="0.2">
      <c r="A704" t="str">
        <f>"20200111155514450"</f>
        <v>20200111155514450</v>
      </c>
      <c r="B704" t="str">
        <f>"1578729314442771"</f>
        <v>1578729314442771</v>
      </c>
      <c r="C704" t="s">
        <v>37</v>
      </c>
      <c r="D704">
        <v>4.6481490000000001</v>
      </c>
      <c r="E704">
        <v>0.55759259999999999</v>
      </c>
      <c r="F704" t="s">
        <v>38</v>
      </c>
      <c r="G704">
        <v>-192.92779999999999</v>
      </c>
      <c r="H704" s="1">
        <v>-4.2680539999999998E-6</v>
      </c>
      <c r="I704">
        <v>348.0025</v>
      </c>
      <c r="J704">
        <v>-365.68729999999999</v>
      </c>
      <c r="K704">
        <v>1.1040570000000001</v>
      </c>
      <c r="L704">
        <v>367.5763</v>
      </c>
      <c r="M704">
        <v>0.99988310000000002</v>
      </c>
      <c r="N704">
        <v>0</v>
      </c>
      <c r="O704">
        <v>-1.145319E-2</v>
      </c>
      <c r="P704">
        <v>0.99416459999999995</v>
      </c>
      <c r="Q704">
        <v>-8.5772839999999993E-3</v>
      </c>
      <c r="R704">
        <v>0.107532399999999</v>
      </c>
      <c r="S704">
        <v>3.054535</v>
      </c>
      <c r="T704">
        <v>-1.950085E-2</v>
      </c>
      <c r="U704">
        <v>-0.34576420000000002</v>
      </c>
      <c r="V704">
        <v>-0.11891259999999999</v>
      </c>
      <c r="W704">
        <v>1.4904179999999901E-3</v>
      </c>
      <c r="X704">
        <v>0.9929036</v>
      </c>
      <c r="Y704">
        <v>0.10108839999999999</v>
      </c>
      <c r="Z704">
        <v>-2.487783E-4</v>
      </c>
      <c r="AA704">
        <v>0.99487739999999902</v>
      </c>
      <c r="AB704">
        <v>31</v>
      </c>
      <c r="AC704">
        <v>172.7595</v>
      </c>
      <c r="AD704">
        <v>-1.1040612680540001</v>
      </c>
      <c r="AE704">
        <v>-19.573799999999999</v>
      </c>
      <c r="AF704">
        <v>17.593057701887101</v>
      </c>
      <c r="AG704">
        <v>-1.1040612680540001</v>
      </c>
      <c r="AH704">
        <v>172.96538686185599</v>
      </c>
      <c r="AI704">
        <v>90.363844442239795</v>
      </c>
      <c r="AJ704">
        <v>84.192172341269796</v>
      </c>
      <c r="AK704">
        <v>173.86132313673701</v>
      </c>
    </row>
    <row r="705" spans="1:37" x14ac:dyDescent="0.2">
      <c r="A705" t="str">
        <f>"20200111155514463"</f>
        <v>20200111155514463</v>
      </c>
      <c r="B705" t="str">
        <f>"1578729314453507"</f>
        <v>1578729314453507</v>
      </c>
      <c r="C705" t="s">
        <v>37</v>
      </c>
      <c r="D705">
        <v>4.7784599999999999</v>
      </c>
      <c r="E705">
        <v>0.55812189999999995</v>
      </c>
      <c r="F705" t="s">
        <v>38</v>
      </c>
      <c r="G705">
        <v>-321.22480000000002</v>
      </c>
      <c r="H705" s="1">
        <v>-4.4557340000000001E-6</v>
      </c>
      <c r="I705">
        <v>365.62009999999998</v>
      </c>
      <c r="J705">
        <v>-365.52730000000003</v>
      </c>
      <c r="K705">
        <v>1.10406</v>
      </c>
      <c r="L705">
        <v>367.57440000000003</v>
      </c>
      <c r="M705">
        <v>0.99988290000000002</v>
      </c>
      <c r="N705">
        <v>0</v>
      </c>
      <c r="O705">
        <v>-1.1471469999999999E-2</v>
      </c>
      <c r="P705">
        <v>0.99412699999999998</v>
      </c>
      <c r="Q705">
        <v>-8.405282E-3</v>
      </c>
      <c r="R705">
        <v>0.1078937</v>
      </c>
      <c r="S705">
        <v>3.0314030000000001</v>
      </c>
      <c r="T705">
        <v>-7.5273389999999996E-2</v>
      </c>
      <c r="U705">
        <v>-0.1333618</v>
      </c>
      <c r="V705">
        <v>-0.11929089999999901</v>
      </c>
      <c r="W705">
        <v>1.669231E-3</v>
      </c>
      <c r="X705">
        <v>0.99285789999999996</v>
      </c>
      <c r="Y705">
        <v>3.2480599999999998E-2</v>
      </c>
      <c r="Z705">
        <v>-1.1834849999999999E-4</v>
      </c>
      <c r="AA705">
        <v>0.99947240000000004</v>
      </c>
      <c r="AB705">
        <v>31</v>
      </c>
      <c r="AC705">
        <v>44.302500000000002</v>
      </c>
      <c r="AD705">
        <v>-1.104064455734</v>
      </c>
      <c r="AE705">
        <v>-1.9543000000000399</v>
      </c>
      <c r="AF705">
        <v>1.44503481598268</v>
      </c>
      <c r="AG705">
        <v>-1.104064455734</v>
      </c>
      <c r="AH705">
        <v>44.294548392839701</v>
      </c>
      <c r="AI705">
        <v>91.427072312098105</v>
      </c>
      <c r="AJ705">
        <v>88.131484668000297</v>
      </c>
      <c r="AK705">
        <v>44.331863273129301</v>
      </c>
    </row>
    <row r="706" spans="1:37" x14ac:dyDescent="0.2">
      <c r="A706" t="str">
        <f>"20200111155514476"</f>
        <v>20200111155514476</v>
      </c>
      <c r="B706" t="str">
        <f>"1578729314473028"</f>
        <v>1578729314473028</v>
      </c>
      <c r="C706" t="s">
        <v>37</v>
      </c>
      <c r="D706">
        <v>4.644374</v>
      </c>
      <c r="E706">
        <v>0.55803329999999995</v>
      </c>
      <c r="F706" t="s">
        <v>39</v>
      </c>
      <c r="G706">
        <v>-317.18810000000002</v>
      </c>
      <c r="H706">
        <v>-0.05</v>
      </c>
      <c r="I706">
        <v>365.399</v>
      </c>
      <c r="J706">
        <v>-365.32279999999997</v>
      </c>
      <c r="K706">
        <v>1.1040620000000001</v>
      </c>
      <c r="L706">
        <v>367.57209999999998</v>
      </c>
      <c r="M706">
        <v>0.99988259999999995</v>
      </c>
      <c r="N706">
        <v>0</v>
      </c>
      <c r="O706">
        <v>-1.1495119999999999E-2</v>
      </c>
      <c r="P706">
        <v>0.99409219999999898</v>
      </c>
      <c r="Q706">
        <v>-8.3055430000000003E-3</v>
      </c>
      <c r="R706">
        <v>0.1082222</v>
      </c>
      <c r="S706">
        <v>3.0319210000000001</v>
      </c>
      <c r="T706">
        <v>-7.2384599999999993E-2</v>
      </c>
      <c r="U706">
        <v>-0.13644410000000001</v>
      </c>
      <c r="V706">
        <v>-0.1196426</v>
      </c>
      <c r="W706">
        <v>1.777474E-3</v>
      </c>
      <c r="X706">
        <v>0.99281540000000001</v>
      </c>
      <c r="Y706">
        <v>3.3463710000000001E-2</v>
      </c>
      <c r="Z706">
        <v>-1.2494989999999999E-4</v>
      </c>
      <c r="AA706">
        <v>0.99944</v>
      </c>
      <c r="AB706">
        <v>31</v>
      </c>
      <c r="AC706">
        <v>48.134699999999903</v>
      </c>
      <c r="AD706">
        <v>-1.1540619999999999</v>
      </c>
      <c r="AE706">
        <v>-2.1730999999999701</v>
      </c>
      <c r="AF706">
        <v>1.6186852717379301</v>
      </c>
      <c r="AG706">
        <v>-1.1540619999999999</v>
      </c>
      <c r="AH706">
        <v>48.128890885388302</v>
      </c>
      <c r="AI706">
        <v>91.372831753131507</v>
      </c>
      <c r="AJ706">
        <v>88.0737372512571</v>
      </c>
      <c r="AK706">
        <v>48.1699298210658</v>
      </c>
    </row>
    <row r="707" spans="1:37" x14ac:dyDescent="0.2">
      <c r="A707" t="str">
        <f>"20200111155514489"</f>
        <v>20200111155514489</v>
      </c>
      <c r="B707" t="str">
        <f>"1578729314482787"</f>
        <v>1578729314482787</v>
      </c>
      <c r="C707" t="s">
        <v>37</v>
      </c>
      <c r="D707">
        <v>4.7042000000000002</v>
      </c>
      <c r="E707">
        <v>0.55842950000000002</v>
      </c>
      <c r="F707" t="s">
        <v>38</v>
      </c>
      <c r="G707">
        <v>-320.86939999999998</v>
      </c>
      <c r="H707" s="1">
        <v>-4.611968E-6</v>
      </c>
      <c r="I707">
        <v>365.59870000000001</v>
      </c>
      <c r="J707">
        <v>-365.15109999999999</v>
      </c>
      <c r="K707">
        <v>1.1040639999999999</v>
      </c>
      <c r="L707">
        <v>367.57010000000002</v>
      </c>
      <c r="M707">
        <v>0.99988220000000005</v>
      </c>
      <c r="N707">
        <v>0</v>
      </c>
      <c r="O707">
        <v>-1.151483E-2</v>
      </c>
      <c r="P707">
        <v>0.99405659999999896</v>
      </c>
      <c r="Q707">
        <v>-8.1709790000000001E-3</v>
      </c>
      <c r="R707">
        <v>0.10855619999999901</v>
      </c>
      <c r="S707">
        <v>3.0317989999999999</v>
      </c>
      <c r="T707">
        <v>-7.5299140000000001E-2</v>
      </c>
      <c r="U707">
        <v>-0.13458249999999999</v>
      </c>
      <c r="V707">
        <v>-0.119995699999999</v>
      </c>
      <c r="W707">
        <v>1.9190939999999899E-3</v>
      </c>
      <c r="X707">
        <v>0.99277260000000001</v>
      </c>
      <c r="Y707">
        <v>3.2833050000000003E-2</v>
      </c>
      <c r="Z707">
        <v>-1.216703E-4</v>
      </c>
      <c r="AA707">
        <v>0.99946080000000004</v>
      </c>
      <c r="AB707">
        <v>31</v>
      </c>
      <c r="AC707">
        <v>44.281700000000001</v>
      </c>
      <c r="AD707">
        <v>-1.1040686119679901</v>
      </c>
      <c r="AE707">
        <v>-1.97140000000001</v>
      </c>
      <c r="AF707">
        <v>1.46044069684009</v>
      </c>
      <c r="AG707">
        <v>-1.1040686119679901</v>
      </c>
      <c r="AH707">
        <v>44.273997083502898</v>
      </c>
      <c r="AI707">
        <v>91.427722853982701</v>
      </c>
      <c r="AJ707">
        <v>88.110702360824106</v>
      </c>
      <c r="AK707">
        <v>44.311834449489197</v>
      </c>
    </row>
    <row r="708" spans="1:37" x14ac:dyDescent="0.2">
      <c r="A708" t="str">
        <f>"20200111155514505"</f>
        <v>20200111155514505</v>
      </c>
      <c r="B708" t="str">
        <f>"1578729314493523"</f>
        <v>1578729314493523</v>
      </c>
      <c r="C708" t="s">
        <v>37</v>
      </c>
      <c r="D708">
        <v>4.8257240000000001</v>
      </c>
      <c r="E708">
        <v>0.55783709999999997</v>
      </c>
      <c r="F708" t="s">
        <v>39</v>
      </c>
      <c r="G708">
        <v>-317.8143</v>
      </c>
      <c r="H708">
        <v>-0.05</v>
      </c>
      <c r="I708">
        <v>365.4348</v>
      </c>
      <c r="J708">
        <v>-364.93049999999999</v>
      </c>
      <c r="K708">
        <v>1.1040650000000001</v>
      </c>
      <c r="L708">
        <v>367.5675</v>
      </c>
      <c r="M708">
        <v>0.99988189999999999</v>
      </c>
      <c r="N708">
        <v>0</v>
      </c>
      <c r="O708">
        <v>-1.154051E-2</v>
      </c>
      <c r="P708">
        <v>0.99406700000000003</v>
      </c>
      <c r="Q708">
        <v>-7.6075429999999996E-3</v>
      </c>
      <c r="R708">
        <v>0.10850369999999999</v>
      </c>
      <c r="S708">
        <v>3.0322879999999999</v>
      </c>
      <c r="T708">
        <v>-7.3926690000000003E-2</v>
      </c>
      <c r="U708">
        <v>-0.13677979999999901</v>
      </c>
      <c r="V708">
        <v>-0.11996859999999999</v>
      </c>
      <c r="W708">
        <v>2.491774E-3</v>
      </c>
      <c r="X708">
        <v>0.9927745</v>
      </c>
      <c r="Y708">
        <v>3.3523070000000002E-2</v>
      </c>
      <c r="Z708">
        <v>-1.272127E-4</v>
      </c>
      <c r="AA708">
        <v>0.99943789999999999</v>
      </c>
      <c r="AB708">
        <v>31</v>
      </c>
      <c r="AC708">
        <v>47.1161999999999</v>
      </c>
      <c r="AD708">
        <v>-1.1540649999999999</v>
      </c>
      <c r="AE708">
        <v>-2.1326999999999998</v>
      </c>
      <c r="AF708">
        <v>1.58783429329611</v>
      </c>
      <c r="AG708">
        <v>-1.1540649999999999</v>
      </c>
      <c r="AH708">
        <v>47.109469879369101</v>
      </c>
      <c r="AI708">
        <v>91.402527485424201</v>
      </c>
      <c r="AJ708">
        <v>88.069564858699195</v>
      </c>
      <c r="AK708">
        <v>47.150347146997603</v>
      </c>
    </row>
    <row r="709" spans="1:37" x14ac:dyDescent="0.2">
      <c r="A709" t="str">
        <f>"20200111155514517"</f>
        <v>20200111155514517</v>
      </c>
      <c r="B709" t="str">
        <f>"1578729314513044"</f>
        <v>1578729314513044</v>
      </c>
      <c r="C709" t="s">
        <v>37</v>
      </c>
      <c r="D709">
        <v>4.652336</v>
      </c>
      <c r="E709">
        <v>0.55848730000000002</v>
      </c>
      <c r="F709" t="s">
        <v>39</v>
      </c>
      <c r="G709">
        <v>-315.54090000000002</v>
      </c>
      <c r="H709">
        <v>-0.05</v>
      </c>
      <c r="I709">
        <v>365.41489999999999</v>
      </c>
      <c r="J709">
        <v>-364.74860000000001</v>
      </c>
      <c r="K709">
        <v>1.1040669999999999</v>
      </c>
      <c r="L709">
        <v>367.56540000000001</v>
      </c>
      <c r="M709">
        <v>0.99988149999999998</v>
      </c>
      <c r="N709">
        <v>0</v>
      </c>
      <c r="O709">
        <v>-1.1561180000000001E-2</v>
      </c>
      <c r="P709">
        <v>0.99407670000000004</v>
      </c>
      <c r="Q709">
        <v>-7.276701E-3</v>
      </c>
      <c r="R709">
        <v>0.108436899999999</v>
      </c>
      <c r="S709">
        <v>3.0317689999999899</v>
      </c>
      <c r="T709">
        <v>-7.0841909999999994E-2</v>
      </c>
      <c r="U709">
        <v>-0.13214110000000001</v>
      </c>
      <c r="V709">
        <v>-0.1199226</v>
      </c>
      <c r="W709">
        <v>2.8303270000000001E-3</v>
      </c>
      <c r="X709">
        <v>0.99277919999999997</v>
      </c>
      <c r="Y709">
        <v>3.1984869999999999E-2</v>
      </c>
      <c r="Z709">
        <v>-1.0348739999999999E-4</v>
      </c>
      <c r="AA709">
        <v>0.99948840000000005</v>
      </c>
      <c r="AB709">
        <v>31</v>
      </c>
      <c r="AC709">
        <v>49.207699999999903</v>
      </c>
      <c r="AD709">
        <v>-1.154067</v>
      </c>
      <c r="AE709">
        <v>-2.1505000000000201</v>
      </c>
      <c r="AF709">
        <v>1.58056007406319</v>
      </c>
      <c r="AG709">
        <v>-1.154067</v>
      </c>
      <c r="AH709">
        <v>49.202262855196899</v>
      </c>
      <c r="AI709">
        <v>91.342966158553907</v>
      </c>
      <c r="AJ709">
        <v>88.160078722278897</v>
      </c>
      <c r="AK709">
        <v>49.241168861635501</v>
      </c>
    </row>
    <row r="710" spans="1:37" x14ac:dyDescent="0.2">
      <c r="A710" t="str">
        <f>"20200111155514529"</f>
        <v>20200111155514529</v>
      </c>
      <c r="B710" t="str">
        <f>"1578729314522804"</f>
        <v>1578729314522804</v>
      </c>
      <c r="C710" t="s">
        <v>37</v>
      </c>
      <c r="D710">
        <v>4.6455769999999896</v>
      </c>
      <c r="E710">
        <v>0.55852969999999902</v>
      </c>
      <c r="F710" t="s">
        <v>39</v>
      </c>
      <c r="G710">
        <v>-315.41520000000003</v>
      </c>
      <c r="H710">
        <v>-0.05</v>
      </c>
      <c r="I710">
        <v>365.32569999999998</v>
      </c>
      <c r="J710">
        <v>-364.58510000000001</v>
      </c>
      <c r="K710">
        <v>1.1040719999999999</v>
      </c>
      <c r="L710">
        <v>367.56349999999998</v>
      </c>
      <c r="M710">
        <v>0.99988120000000003</v>
      </c>
      <c r="N710">
        <v>0</v>
      </c>
      <c r="O710">
        <v>-1.158028E-2</v>
      </c>
      <c r="P710">
        <v>0.99412860000000003</v>
      </c>
      <c r="Q710">
        <v>-7.0749059999999997E-3</v>
      </c>
      <c r="R710">
        <v>0.10797329999999999</v>
      </c>
      <c r="S710">
        <v>3.0323790000000002</v>
      </c>
      <c r="T710">
        <v>-7.0937159999999999E-2</v>
      </c>
      <c r="U710">
        <v>-0.1376648</v>
      </c>
      <c r="V710">
        <v>-0.1194785</v>
      </c>
      <c r="W710">
        <v>3.0391809999999902E-3</v>
      </c>
      <c r="X710">
        <v>0.9928321</v>
      </c>
      <c r="Y710">
        <v>3.377351E-2</v>
      </c>
      <c r="Z710">
        <v>-1.240631E-4</v>
      </c>
      <c r="AA710">
        <v>0.99942949999999997</v>
      </c>
      <c r="AB710">
        <v>31</v>
      </c>
      <c r="AC710">
        <v>49.169899999999899</v>
      </c>
      <c r="AD710">
        <v>-1.154072</v>
      </c>
      <c r="AE710">
        <v>-2.2377999999999898</v>
      </c>
      <c r="AF710">
        <v>1.66730265160249</v>
      </c>
      <c r="AG710">
        <v>-1.154072</v>
      </c>
      <c r="AH710">
        <v>49.165489394186899</v>
      </c>
      <c r="AI710">
        <v>91.343896846588393</v>
      </c>
      <c r="AJ710">
        <v>88.057726851538803</v>
      </c>
      <c r="AK710">
        <v>49.207287343269897</v>
      </c>
    </row>
    <row r="711" spans="1:37" x14ac:dyDescent="0.2">
      <c r="A711" t="str">
        <f>"20200111155514543"</f>
        <v>20200111155514543</v>
      </c>
      <c r="B711" t="str">
        <f>"1578729314533540"</f>
        <v>1578729314533540</v>
      </c>
      <c r="C711" t="s">
        <v>37</v>
      </c>
      <c r="D711">
        <v>4.6955640000000001</v>
      </c>
      <c r="E711">
        <v>0.558782</v>
      </c>
      <c r="F711" t="s">
        <v>39</v>
      </c>
      <c r="G711">
        <v>-314.99270000000001</v>
      </c>
      <c r="H711">
        <v>-0.05</v>
      </c>
      <c r="I711">
        <v>365.28410000000002</v>
      </c>
      <c r="J711">
        <v>-364.39409999999998</v>
      </c>
      <c r="K711">
        <v>1.104077</v>
      </c>
      <c r="L711">
        <v>367.56119999999999</v>
      </c>
      <c r="M711">
        <v>0.99988089999999996</v>
      </c>
      <c r="N711">
        <v>0</v>
      </c>
      <c r="O711">
        <v>-1.16025E-2</v>
      </c>
      <c r="P711">
        <v>0.99416729999999998</v>
      </c>
      <c r="Q711">
        <v>-6.8986509999999996E-3</v>
      </c>
      <c r="R711">
        <v>0.1076283</v>
      </c>
      <c r="S711">
        <v>3.032349</v>
      </c>
      <c r="T711">
        <v>-7.0566299999999998E-2</v>
      </c>
      <c r="U711">
        <v>-0.13937379999999999</v>
      </c>
      <c r="V711">
        <v>-0.1191565</v>
      </c>
      <c r="W711">
        <v>3.2237159999999902E-3</v>
      </c>
      <c r="X711">
        <v>0.99287029999999998</v>
      </c>
      <c r="Y711">
        <v>3.4313759999999999E-2</v>
      </c>
      <c r="Z711">
        <v>-1.291799E-4</v>
      </c>
      <c r="AA711">
        <v>0.999411099999999</v>
      </c>
      <c r="AB711">
        <v>32</v>
      </c>
      <c r="AC711">
        <v>49.401399999999903</v>
      </c>
      <c r="AD711">
        <v>-1.154077</v>
      </c>
      <c r="AE711">
        <v>-2.2770999999999599</v>
      </c>
      <c r="AF711">
        <v>1.70280994980972</v>
      </c>
      <c r="AG711">
        <v>-1.154077</v>
      </c>
      <c r="AH711">
        <v>49.397594391106502</v>
      </c>
      <c r="AI711">
        <v>91.337564809326096</v>
      </c>
      <c r="AJ711">
        <v>88.025709397132303</v>
      </c>
      <c r="AK711">
        <v>49.4404064210174</v>
      </c>
    </row>
    <row r="712" spans="1:37" x14ac:dyDescent="0.2">
      <c r="A712" t="str">
        <f>"20200111155514555"</f>
        <v>20200111155514555</v>
      </c>
      <c r="B712" t="str">
        <f>"1578729314543299"</f>
        <v>1578729314543299</v>
      </c>
      <c r="C712" t="s">
        <v>37</v>
      </c>
      <c r="D712">
        <v>4.6093589999999898</v>
      </c>
      <c r="E712">
        <v>0.55887129999999996</v>
      </c>
      <c r="F712" t="s">
        <v>39</v>
      </c>
      <c r="G712">
        <v>-314.62130000000002</v>
      </c>
      <c r="H712">
        <v>-0.05</v>
      </c>
      <c r="I712">
        <v>365.22359999999998</v>
      </c>
      <c r="J712">
        <v>-364.2287</v>
      </c>
      <c r="K712">
        <v>1.10408</v>
      </c>
      <c r="L712">
        <v>367.55930000000001</v>
      </c>
      <c r="M712">
        <v>0.99988069999999896</v>
      </c>
      <c r="N712">
        <v>0</v>
      </c>
      <c r="O712">
        <v>-1.1621370000000001E-2</v>
      </c>
      <c r="P712">
        <v>0.99420849999999905</v>
      </c>
      <c r="Q712">
        <v>-6.5447079999999998E-3</v>
      </c>
      <c r="R712">
        <v>0.1072694</v>
      </c>
      <c r="S712">
        <v>3.0325319999999998</v>
      </c>
      <c r="T712">
        <v>-7.0315000000000003E-2</v>
      </c>
      <c r="U712">
        <v>-0.14242550000000001</v>
      </c>
      <c r="V712">
        <v>-0.118816899999999</v>
      </c>
      <c r="W712">
        <v>3.58611E-3</v>
      </c>
      <c r="X712">
        <v>0.99290970000000001</v>
      </c>
      <c r="Y712">
        <v>3.5295479999999997E-2</v>
      </c>
      <c r="Z712">
        <v>-1.3964589999999999E-4</v>
      </c>
      <c r="AA712">
        <v>0.99937690000000001</v>
      </c>
      <c r="AB712">
        <v>32</v>
      </c>
      <c r="AC712">
        <v>49.607399999999899</v>
      </c>
      <c r="AD712">
        <v>-1.15408</v>
      </c>
      <c r="AE712">
        <v>-2.3357000000000299</v>
      </c>
      <c r="AF712">
        <v>1.7580570557383799</v>
      </c>
      <c r="AG712">
        <v>-1.15408</v>
      </c>
      <c r="AH712">
        <v>49.604407259726003</v>
      </c>
      <c r="AI712">
        <v>91.3319485555445</v>
      </c>
      <c r="AJ712">
        <v>87.970198389522096</v>
      </c>
      <c r="AK712">
        <v>49.648966604012898</v>
      </c>
    </row>
    <row r="713" spans="1:37" x14ac:dyDescent="0.2">
      <c r="A713" t="str">
        <f>"20200111155514571"</f>
        <v>20200111155514571</v>
      </c>
      <c r="B713" t="str">
        <f>"1578729314562819"</f>
        <v>1578729314562819</v>
      </c>
      <c r="C713" t="s">
        <v>37</v>
      </c>
      <c r="D713">
        <v>4.6403610000000004</v>
      </c>
      <c r="E713">
        <v>0.55922700000000003</v>
      </c>
      <c r="F713" t="s">
        <v>39</v>
      </c>
      <c r="G713">
        <v>-314.70170000000002</v>
      </c>
      <c r="H713">
        <v>-0.05</v>
      </c>
      <c r="I713">
        <v>365.20530000000002</v>
      </c>
      <c r="J713">
        <v>-363.99099999999999</v>
      </c>
      <c r="K713">
        <v>1.1040829999999999</v>
      </c>
      <c r="L713">
        <v>367.55650000000003</v>
      </c>
      <c r="M713">
        <v>0.99988009999999905</v>
      </c>
      <c r="N713">
        <v>0</v>
      </c>
      <c r="O713">
        <v>-1.1648739999999999E-2</v>
      </c>
      <c r="P713">
        <v>0.9943343</v>
      </c>
      <c r="Q713">
        <v>-6.0870129999999996E-3</v>
      </c>
      <c r="R713">
        <v>0.1061246</v>
      </c>
      <c r="S713">
        <v>3.032562</v>
      </c>
      <c r="T713">
        <v>-7.0664879999999999E-2</v>
      </c>
      <c r="U713">
        <v>-0.1441345</v>
      </c>
      <c r="V713">
        <v>-0.1177006</v>
      </c>
      <c r="W713">
        <v>4.0581760000000001E-3</v>
      </c>
      <c r="X713">
        <v>0.9930409</v>
      </c>
      <c r="Y713">
        <v>3.5829380000000001E-2</v>
      </c>
      <c r="Z713">
        <v>-1.4591649999999901E-4</v>
      </c>
      <c r="AA713">
        <v>0.99935790000000002</v>
      </c>
      <c r="AB713">
        <v>32</v>
      </c>
      <c r="AC713">
        <v>49.289299999999898</v>
      </c>
      <c r="AD713">
        <v>-1.154083</v>
      </c>
      <c r="AE713">
        <v>-2.3512</v>
      </c>
      <c r="AF713">
        <v>1.77588093728657</v>
      </c>
      <c r="AG713">
        <v>-1.154083</v>
      </c>
      <c r="AH713">
        <v>49.286386068809698</v>
      </c>
      <c r="AI713">
        <v>91.340515098315805</v>
      </c>
      <c r="AJ713">
        <v>87.936418331256206</v>
      </c>
      <c r="AK713">
        <v>49.3318711625462</v>
      </c>
    </row>
    <row r="714" spans="1:37" x14ac:dyDescent="0.2">
      <c r="A714" t="str">
        <f>"20200111155514584"</f>
        <v>20200111155514584</v>
      </c>
      <c r="B714" t="str">
        <f>"1578729314573555"</f>
        <v>1578729314573555</v>
      </c>
      <c r="C714" t="s">
        <v>37</v>
      </c>
      <c r="D714">
        <v>4.5987839999999904</v>
      </c>
      <c r="E714">
        <v>0.559303199999999</v>
      </c>
      <c r="F714" t="s">
        <v>39</v>
      </c>
      <c r="G714">
        <v>-314.15769999999998</v>
      </c>
      <c r="H714">
        <v>-0.05</v>
      </c>
      <c r="I714">
        <v>365.08530000000002</v>
      </c>
      <c r="J714">
        <v>-363.82040000000001</v>
      </c>
      <c r="K714">
        <v>1.1040859999999999</v>
      </c>
      <c r="L714">
        <v>367.55450000000002</v>
      </c>
      <c r="M714">
        <v>0.99987990000000004</v>
      </c>
      <c r="N714">
        <v>0</v>
      </c>
      <c r="O714">
        <v>-1.166847E-2</v>
      </c>
      <c r="P714">
        <v>0.99439140000000004</v>
      </c>
      <c r="Q714">
        <v>-5.9061719999999899E-3</v>
      </c>
      <c r="R714">
        <v>0.1056001</v>
      </c>
      <c r="S714">
        <v>3.032715</v>
      </c>
      <c r="T714">
        <v>-7.0234179999999993E-2</v>
      </c>
      <c r="U714">
        <v>-0.15039059999999899</v>
      </c>
      <c r="V714">
        <v>-0.1171962</v>
      </c>
      <c r="W714">
        <v>4.2503389999999997E-3</v>
      </c>
      <c r="X714">
        <v>0.99309969999999903</v>
      </c>
      <c r="Y714">
        <v>3.786345E-2</v>
      </c>
      <c r="Z714">
        <v>-1.6809290000000001E-4</v>
      </c>
      <c r="AA714">
        <v>0.99928289999999997</v>
      </c>
      <c r="AB714">
        <v>32</v>
      </c>
      <c r="AC714">
        <v>49.662700000000001</v>
      </c>
      <c r="AD714">
        <v>-1.1540859999999999</v>
      </c>
      <c r="AE714">
        <v>-2.4691999999999998</v>
      </c>
      <c r="AF714">
        <v>1.8884966870269</v>
      </c>
      <c r="AG714">
        <v>-1.1540859999999999</v>
      </c>
      <c r="AH714">
        <v>49.661379583603399</v>
      </c>
      <c r="AI714">
        <v>91.330301827893905</v>
      </c>
      <c r="AJ714">
        <v>87.822235730906897</v>
      </c>
      <c r="AK714">
        <v>49.710672459533697</v>
      </c>
    </row>
    <row r="715" spans="1:37" x14ac:dyDescent="0.2">
      <c r="A715" t="str">
        <f>"20200111155514595"</f>
        <v>20200111155514595</v>
      </c>
      <c r="B715" t="str">
        <f>"1578729314583316"</f>
        <v>1578729314583316</v>
      </c>
      <c r="C715" t="s">
        <v>37</v>
      </c>
      <c r="D715">
        <v>4.6435469999999999</v>
      </c>
      <c r="E715">
        <v>0.55927069999999901</v>
      </c>
      <c r="F715" t="s">
        <v>39</v>
      </c>
      <c r="G715">
        <v>-313.733</v>
      </c>
      <c r="H715">
        <v>-0.05</v>
      </c>
      <c r="I715">
        <v>365.0369</v>
      </c>
      <c r="J715">
        <v>-363.65</v>
      </c>
      <c r="K715">
        <v>1.1040939999999999</v>
      </c>
      <c r="L715">
        <v>367.55250000000001</v>
      </c>
      <c r="M715">
        <v>0.99987950000000003</v>
      </c>
      <c r="N715">
        <v>0</v>
      </c>
      <c r="O715">
        <v>-1.1687960000000001E-2</v>
      </c>
      <c r="P715">
        <v>0.99441229999999903</v>
      </c>
      <c r="Q715">
        <v>-5.827156E-3</v>
      </c>
      <c r="R715">
        <v>0.10540619999999901</v>
      </c>
      <c r="S715">
        <v>3.0326840000000002</v>
      </c>
      <c r="T715">
        <v>-6.9877510000000004E-2</v>
      </c>
      <c r="U715">
        <v>-0.1524353</v>
      </c>
      <c r="V715">
        <v>-0.1170219</v>
      </c>
      <c r="W715">
        <v>4.3418909999999996E-3</v>
      </c>
      <c r="X715">
        <v>0.9931198</v>
      </c>
      <c r="Y715">
        <v>3.8516410000000001E-2</v>
      </c>
      <c r="Z715">
        <v>-1.7430669999999999E-4</v>
      </c>
      <c r="AA715">
        <v>0.99925799999999998</v>
      </c>
      <c r="AB715">
        <v>32</v>
      </c>
      <c r="AC715">
        <v>49.916999999999902</v>
      </c>
      <c r="AD715">
        <v>-1.154094</v>
      </c>
      <c r="AE715">
        <v>-2.5156000000000001</v>
      </c>
      <c r="AF715">
        <v>1.9309402378246601</v>
      </c>
      <c r="AG715">
        <v>-1.154094</v>
      </c>
      <c r="AH715">
        <v>49.916378727343698</v>
      </c>
      <c r="AI715">
        <v>91.323484298748994</v>
      </c>
      <c r="AJ715">
        <v>87.7847032708234</v>
      </c>
      <c r="AK715">
        <v>49.967042422125601</v>
      </c>
    </row>
    <row r="716" spans="1:37" x14ac:dyDescent="0.2">
      <c r="A716" t="str">
        <f>"20200111155514607"</f>
        <v>20200111155514607</v>
      </c>
      <c r="B716" t="str">
        <f>"1578729314603812"</f>
        <v>1578729314603812</v>
      </c>
      <c r="C716" t="s">
        <v>37</v>
      </c>
      <c r="D716">
        <v>4.649254</v>
      </c>
      <c r="E716">
        <v>0.55943580000000004</v>
      </c>
      <c r="F716" t="s">
        <v>39</v>
      </c>
      <c r="G716">
        <v>-313.9246</v>
      </c>
      <c r="H716">
        <v>-0.05</v>
      </c>
      <c r="I716">
        <v>365.04500000000002</v>
      </c>
      <c r="J716">
        <v>-363.48540000000003</v>
      </c>
      <c r="K716">
        <v>1.104095</v>
      </c>
      <c r="L716">
        <v>367.5505</v>
      </c>
      <c r="M716">
        <v>0.99987909999999902</v>
      </c>
      <c r="N716">
        <v>0</v>
      </c>
      <c r="O716">
        <v>-1.170676E-2</v>
      </c>
      <c r="P716">
        <v>0.9944849</v>
      </c>
      <c r="Q716">
        <v>-5.5541219999999999E-3</v>
      </c>
      <c r="R716">
        <v>0.1047333</v>
      </c>
      <c r="S716">
        <v>3.0326840000000002</v>
      </c>
      <c r="T716">
        <v>-7.0386530000000003E-2</v>
      </c>
      <c r="U716">
        <v>-0.15292359999999999</v>
      </c>
      <c r="V716">
        <v>-0.1163682</v>
      </c>
      <c r="W716">
        <v>4.6308520000000004E-3</v>
      </c>
      <c r="X716">
        <v>0.99319539999999995</v>
      </c>
      <c r="Y716">
        <v>3.865797E-2</v>
      </c>
      <c r="Z716">
        <v>-1.7678109999999999E-4</v>
      </c>
      <c r="AA716">
        <v>0.99925249999999999</v>
      </c>
      <c r="AB716">
        <v>32</v>
      </c>
      <c r="AC716">
        <v>49.5608</v>
      </c>
      <c r="AD716">
        <v>-1.1540950000000001</v>
      </c>
      <c r="AE716">
        <v>-2.5054999999999801</v>
      </c>
      <c r="AF716">
        <v>1.92406083252158</v>
      </c>
      <c r="AG716">
        <v>-1.1540950000000001</v>
      </c>
      <c r="AH716">
        <v>49.559930447327801</v>
      </c>
      <c r="AI716">
        <v>91.332993695959104</v>
      </c>
      <c r="AJ716">
        <v>87.776727514991705</v>
      </c>
      <c r="AK716">
        <v>49.6106908972274</v>
      </c>
    </row>
    <row r="717" spans="1:37" x14ac:dyDescent="0.2">
      <c r="A717" t="str">
        <f>"20200111155514619"</f>
        <v>20200111155514619</v>
      </c>
      <c r="B717" t="str">
        <f>"1578729314613572"</f>
        <v>1578729314613572</v>
      </c>
      <c r="C717" t="s">
        <v>37</v>
      </c>
      <c r="D717">
        <v>4.6178410000000003</v>
      </c>
      <c r="E717">
        <v>0.55940429999999997</v>
      </c>
      <c r="F717" t="s">
        <v>39</v>
      </c>
      <c r="G717">
        <v>-313.75700000000001</v>
      </c>
      <c r="H717">
        <v>-0.05</v>
      </c>
      <c r="I717">
        <v>364.983</v>
      </c>
      <c r="J717">
        <v>-363.32260000000002</v>
      </c>
      <c r="K717">
        <v>1.104098</v>
      </c>
      <c r="L717">
        <v>367.54860000000002</v>
      </c>
      <c r="M717">
        <v>0.99987879999999996</v>
      </c>
      <c r="N717">
        <v>0</v>
      </c>
      <c r="O717">
        <v>-1.172544E-2</v>
      </c>
      <c r="P717">
        <v>0.99452359999999995</v>
      </c>
      <c r="Q717">
        <v>-5.5945980000000001E-3</v>
      </c>
      <c r="R717">
        <v>0.1043621</v>
      </c>
      <c r="S717">
        <v>3.0327449999999998</v>
      </c>
      <c r="T717">
        <v>-7.0383790000000002E-2</v>
      </c>
      <c r="U717">
        <v>-0.15658569999999999</v>
      </c>
      <c r="V717">
        <v>-0.11601640000000001</v>
      </c>
      <c r="W717">
        <v>4.6060559999999999E-3</v>
      </c>
      <c r="X717">
        <v>0.99323660000000003</v>
      </c>
      <c r="Y717">
        <v>3.9841439999999999E-2</v>
      </c>
      <c r="Z717">
        <v>-1.900545E-4</v>
      </c>
      <c r="AA717">
        <v>0.99920599999999904</v>
      </c>
      <c r="AB717">
        <v>32</v>
      </c>
      <c r="AC717">
        <v>49.565600000000003</v>
      </c>
      <c r="AD717">
        <v>-1.1540979999999901</v>
      </c>
      <c r="AE717">
        <v>-2.5656000000000101</v>
      </c>
      <c r="AF717">
        <v>1.98314235411408</v>
      </c>
      <c r="AG717">
        <v>-1.1540979999999901</v>
      </c>
      <c r="AH717">
        <v>49.565476167933198</v>
      </c>
      <c r="AI717">
        <v>91.332785794785906</v>
      </c>
      <c r="AJ717">
        <v>87.708786000771894</v>
      </c>
      <c r="AK717">
        <v>49.618557249725001</v>
      </c>
    </row>
    <row r="718" spans="1:37" x14ac:dyDescent="0.2">
      <c r="A718" t="str">
        <f>"20200111155514630"</f>
        <v>20200111155514630</v>
      </c>
      <c r="B718" t="str">
        <f>"1578729314623331"</f>
        <v>1578729314623331</v>
      </c>
      <c r="C718" t="s">
        <v>37</v>
      </c>
      <c r="D718">
        <v>4.6450199999999997</v>
      </c>
      <c r="E718">
        <v>0.55940459999999903</v>
      </c>
      <c r="F718" t="s">
        <v>39</v>
      </c>
      <c r="G718">
        <v>-313.74599999999998</v>
      </c>
      <c r="H718">
        <v>-0.05</v>
      </c>
      <c r="I718">
        <v>364.98129999999998</v>
      </c>
      <c r="J718">
        <v>-363.15710000000001</v>
      </c>
      <c r="K718">
        <v>1.104101</v>
      </c>
      <c r="L718">
        <v>367.54669999999999</v>
      </c>
      <c r="M718">
        <v>0.99987839999999995</v>
      </c>
      <c r="N718">
        <v>0</v>
      </c>
      <c r="O718">
        <v>-1.174472E-2</v>
      </c>
      <c r="P718">
        <v>0.99453119999999995</v>
      </c>
      <c r="Q718">
        <v>-5.4144989999999997E-3</v>
      </c>
      <c r="R718">
        <v>0.104301</v>
      </c>
      <c r="S718">
        <v>3.0325929999999999</v>
      </c>
      <c r="T718">
        <v>-7.0595980000000003E-2</v>
      </c>
      <c r="U718">
        <v>-0.1570435</v>
      </c>
      <c r="V718">
        <v>-0.1159746</v>
      </c>
      <c r="W718">
        <v>4.8039420000000003E-3</v>
      </c>
      <c r="X718">
        <v>0.99324059999999903</v>
      </c>
      <c r="Y718">
        <v>3.99751E-2</v>
      </c>
      <c r="Z718">
        <v>-1.917423E-4</v>
      </c>
      <c r="AA718">
        <v>0.99920059999999999</v>
      </c>
      <c r="AB718">
        <v>32</v>
      </c>
      <c r="AC718">
        <v>49.411099999999998</v>
      </c>
      <c r="AD718">
        <v>-1.154101</v>
      </c>
      <c r="AE718">
        <v>-2.5654000000000101</v>
      </c>
      <c r="AF718">
        <v>1.9837936073598601</v>
      </c>
      <c r="AG718">
        <v>-1.154101</v>
      </c>
      <c r="AH718">
        <v>49.410939250079601</v>
      </c>
      <c r="AI718">
        <v>91.336948762193501</v>
      </c>
      <c r="AJ718">
        <v>87.700873743718205</v>
      </c>
      <c r="AK718">
        <v>49.464212353679102</v>
      </c>
    </row>
    <row r="719" spans="1:37" x14ac:dyDescent="0.2">
      <c r="A719" t="str">
        <f>"20200111155514641"</f>
        <v>20200111155514641</v>
      </c>
      <c r="B719" t="str">
        <f>"1578729314633090"</f>
        <v>1578729314633090</v>
      </c>
      <c r="C719" t="s">
        <v>37</v>
      </c>
      <c r="D719">
        <v>4.6055029999999997</v>
      </c>
      <c r="E719">
        <v>0.55938900000000003</v>
      </c>
      <c r="F719" t="s">
        <v>39</v>
      </c>
      <c r="G719">
        <v>-313.60399999999998</v>
      </c>
      <c r="H719">
        <v>-0.05</v>
      </c>
      <c r="I719">
        <v>364.97699999999998</v>
      </c>
      <c r="J719">
        <v>-362.99270000000001</v>
      </c>
      <c r="K719">
        <v>1.104104</v>
      </c>
      <c r="L719">
        <v>367.54469999999998</v>
      </c>
      <c r="M719">
        <v>0.99987800000000004</v>
      </c>
      <c r="N719">
        <v>0</v>
      </c>
      <c r="O719">
        <v>-1.176377E-2</v>
      </c>
      <c r="P719">
        <v>0.99454189999999998</v>
      </c>
      <c r="Q719">
        <v>-5.5874490000000004E-3</v>
      </c>
      <c r="R719">
        <v>0.1041884</v>
      </c>
      <c r="S719">
        <v>3.032562</v>
      </c>
      <c r="T719">
        <v>-7.0628999999999997E-2</v>
      </c>
      <c r="U719">
        <v>-0.15725710000000001</v>
      </c>
      <c r="V719">
        <v>-0.1158809</v>
      </c>
      <c r="W719">
        <v>4.6499250000000001E-3</v>
      </c>
      <c r="X719">
        <v>0.99325219999999903</v>
      </c>
      <c r="Y719">
        <v>4.0026760000000002E-2</v>
      </c>
      <c r="Z719">
        <v>-1.919914E-4</v>
      </c>
      <c r="AA719">
        <v>0.99919859999999905</v>
      </c>
      <c r="AB719">
        <v>32</v>
      </c>
      <c r="AC719">
        <v>49.388699999999901</v>
      </c>
      <c r="AD719">
        <v>-1.154104</v>
      </c>
      <c r="AE719">
        <v>-2.5676999999999999</v>
      </c>
      <c r="AF719">
        <v>1.9854131036118501</v>
      </c>
      <c r="AG719">
        <v>-1.154104</v>
      </c>
      <c r="AH719">
        <v>49.388593502922603</v>
      </c>
      <c r="AI719">
        <v>91.337554184525004</v>
      </c>
      <c r="AJ719">
        <v>87.697958875599099</v>
      </c>
      <c r="AK719">
        <v>49.441955760585898</v>
      </c>
    </row>
    <row r="720" spans="1:37" x14ac:dyDescent="0.2">
      <c r="A720" t="str">
        <f>"20200111155514653"</f>
        <v>20200111155514653</v>
      </c>
      <c r="B720" t="str">
        <f>"1578729314643827"</f>
        <v>1578729314643827</v>
      </c>
      <c r="C720" t="s">
        <v>37</v>
      </c>
      <c r="D720">
        <v>4.6252129999999996</v>
      </c>
      <c r="E720">
        <v>0.55913040000000003</v>
      </c>
      <c r="F720" t="s">
        <v>39</v>
      </c>
      <c r="G720">
        <v>-314.654</v>
      </c>
      <c r="H720">
        <v>-0.05</v>
      </c>
      <c r="I720">
        <v>365.03410000000002</v>
      </c>
      <c r="J720">
        <v>-362.82119999999998</v>
      </c>
      <c r="K720">
        <v>1.104104</v>
      </c>
      <c r="L720">
        <v>367.54270000000002</v>
      </c>
      <c r="M720">
        <v>0.99987749999999997</v>
      </c>
      <c r="N720">
        <v>0</v>
      </c>
      <c r="O720">
        <v>-1.178331E-2</v>
      </c>
      <c r="P720">
        <v>0.99455789999999999</v>
      </c>
      <c r="Q720">
        <v>-5.8345189999999998E-3</v>
      </c>
      <c r="R720">
        <v>0.104023399999999</v>
      </c>
      <c r="S720">
        <v>3.032562</v>
      </c>
      <c r="T720">
        <v>-7.2403430000000005E-2</v>
      </c>
      <c r="U720">
        <v>-0.15750120000000001</v>
      </c>
      <c r="V720">
        <v>-0.11573559999999999</v>
      </c>
      <c r="W720">
        <v>4.423906E-3</v>
      </c>
      <c r="X720">
        <v>0.99327019999999899</v>
      </c>
      <c r="Y720">
        <v>4.0087049999999999E-2</v>
      </c>
      <c r="Z720">
        <v>-1.9706589999999999E-4</v>
      </c>
      <c r="AA720">
        <v>0.99919619999999998</v>
      </c>
      <c r="AB720">
        <v>32</v>
      </c>
      <c r="AC720">
        <v>48.167199999999902</v>
      </c>
      <c r="AD720">
        <v>-1.154104</v>
      </c>
      <c r="AE720">
        <v>-2.5085999999999999</v>
      </c>
      <c r="AF720">
        <v>1.9397160706607599</v>
      </c>
      <c r="AG720">
        <v>-1.154104</v>
      </c>
      <c r="AH720">
        <v>48.165839610186701</v>
      </c>
      <c r="AI720">
        <v>91.371493014204205</v>
      </c>
      <c r="AJ720">
        <v>87.693852686138797</v>
      </c>
      <c r="AK720">
        <v>48.218695127842501</v>
      </c>
    </row>
    <row r="721" spans="1:37" x14ac:dyDescent="0.2">
      <c r="A721" t="str">
        <f>"20200111155514666"</f>
        <v>20200111155514666</v>
      </c>
      <c r="B721" t="str">
        <f>"1578729314663347"</f>
        <v>1578729314663347</v>
      </c>
      <c r="C721" t="s">
        <v>37</v>
      </c>
      <c r="D721">
        <v>4.7113860000000001</v>
      </c>
      <c r="E721">
        <v>0.52747270000000002</v>
      </c>
      <c r="F721" t="s">
        <v>39</v>
      </c>
      <c r="G721">
        <v>-315.62639999999999</v>
      </c>
      <c r="H721">
        <v>-0.05</v>
      </c>
      <c r="I721">
        <v>365.11689999999999</v>
      </c>
      <c r="J721">
        <v>-362.6574</v>
      </c>
      <c r="K721">
        <v>1.104101</v>
      </c>
      <c r="L721">
        <v>367.54070000000002</v>
      </c>
      <c r="M721">
        <v>0.99987700000000002</v>
      </c>
      <c r="N721">
        <v>0</v>
      </c>
      <c r="O721">
        <v>-1.1802139999999999E-2</v>
      </c>
      <c r="P721">
        <v>0.99456889999999998</v>
      </c>
      <c r="Q721">
        <v>-6.054383E-3</v>
      </c>
      <c r="R721">
        <v>0.10390480000000001</v>
      </c>
      <c r="S721">
        <v>3.032257</v>
      </c>
      <c r="T721">
        <v>-7.4150919999999995E-2</v>
      </c>
      <c r="U721">
        <v>-0.1558533</v>
      </c>
      <c r="V721">
        <v>-0.1156358</v>
      </c>
      <c r="W721">
        <v>4.2260209999999999E-3</v>
      </c>
      <c r="X721">
        <v>0.99328269999999996</v>
      </c>
      <c r="Y721">
        <v>3.953164E-2</v>
      </c>
      <c r="Z721">
        <v>-1.9459799999999901E-4</v>
      </c>
      <c r="AA721">
        <v>0.9992183</v>
      </c>
      <c r="AB721">
        <v>32</v>
      </c>
      <c r="AC721">
        <v>47.030999999999999</v>
      </c>
      <c r="AD721">
        <v>-1.154101</v>
      </c>
      <c r="AE721">
        <v>-2.4238000000000199</v>
      </c>
      <c r="AF721">
        <v>1.8674135880603799</v>
      </c>
      <c r="AG721">
        <v>-1.154101</v>
      </c>
      <c r="AH721">
        <v>47.028087709161198</v>
      </c>
      <c r="AI721">
        <v>91.404688368444894</v>
      </c>
      <c r="AJ721">
        <v>87.726066690197499</v>
      </c>
      <c r="AK721">
        <v>47.079297108257997</v>
      </c>
    </row>
    <row r="722" spans="1:37" x14ac:dyDescent="0.2">
      <c r="A722" t="str">
        <f>"20200111155514677"</f>
        <v>20200111155514677</v>
      </c>
      <c r="B722" t="str">
        <f>"1578729314673106"</f>
        <v>1578729314673106</v>
      </c>
      <c r="C722" t="s">
        <v>37</v>
      </c>
      <c r="D722">
        <v>4.6306699999999896</v>
      </c>
      <c r="E722">
        <v>0.52403169999999999</v>
      </c>
      <c r="F722" t="s">
        <v>38</v>
      </c>
      <c r="G722">
        <v>-335.65660000000003</v>
      </c>
      <c r="H722" s="1">
        <v>-2.061422E-6</v>
      </c>
      <c r="I722">
        <v>368.3999</v>
      </c>
      <c r="J722">
        <v>-362.4819</v>
      </c>
      <c r="K722">
        <v>1.104101</v>
      </c>
      <c r="L722">
        <v>367.53859999999997</v>
      </c>
      <c r="M722">
        <v>0.99987649999999995</v>
      </c>
      <c r="N722">
        <v>0</v>
      </c>
      <c r="O722">
        <v>-1.1822650000000001E-2</v>
      </c>
      <c r="P722">
        <v>0.99455859999999996</v>
      </c>
      <c r="Q722">
        <v>-6.7420739999999998E-3</v>
      </c>
      <c r="R722">
        <v>0.10396</v>
      </c>
      <c r="S722">
        <v>3.0056150000000001</v>
      </c>
      <c r="T722">
        <v>-0.1229035</v>
      </c>
      <c r="U722">
        <v>9.5642089999999999E-2</v>
      </c>
      <c r="V722">
        <v>-0.11571140000000001</v>
      </c>
      <c r="W722">
        <v>3.5617919999999998E-3</v>
      </c>
      <c r="X722">
        <v>0.99327649999999901</v>
      </c>
      <c r="Y722">
        <v>-4.3573859999999999E-2</v>
      </c>
      <c r="Z722">
        <v>1.3734579999999999E-3</v>
      </c>
      <c r="AA722">
        <v>0.99904919999999997</v>
      </c>
      <c r="AB722">
        <v>32</v>
      </c>
      <c r="AC722">
        <v>26.825299999999899</v>
      </c>
      <c r="AD722">
        <v>-1.104103061422</v>
      </c>
      <c r="AE722">
        <v>0.86130000000002804</v>
      </c>
      <c r="AF722">
        <v>-1.1764120662667199</v>
      </c>
      <c r="AG722">
        <v>-1.104103061422</v>
      </c>
      <c r="AH722">
        <v>26.7679416539785</v>
      </c>
      <c r="AI722">
        <v>92.359677339832899</v>
      </c>
      <c r="AJ722">
        <v>92.516446779673203</v>
      </c>
      <c r="AK722">
        <v>26.816518963331099</v>
      </c>
    </row>
    <row r="723" spans="1:37" x14ac:dyDescent="0.2">
      <c r="A723" t="str">
        <f>"20200111155514694"</f>
        <v>20200111155514694</v>
      </c>
      <c r="B723" t="str">
        <f>"1578729314683843"</f>
        <v>1578729314683843</v>
      </c>
      <c r="C723" t="s">
        <v>37</v>
      </c>
      <c r="D723">
        <v>5.0055759999999996</v>
      </c>
      <c r="E723">
        <v>0.52356069999999999</v>
      </c>
      <c r="F723" t="s">
        <v>38</v>
      </c>
      <c r="G723">
        <v>-335.05259999999998</v>
      </c>
      <c r="H723" s="1">
        <v>-2.2735969999999998E-6</v>
      </c>
      <c r="I723">
        <v>368.66460000000001</v>
      </c>
      <c r="J723">
        <v>-362.25439999999998</v>
      </c>
      <c r="K723">
        <v>1.104101</v>
      </c>
      <c r="L723">
        <v>367.53590000000003</v>
      </c>
      <c r="M723">
        <v>0.99987579999999998</v>
      </c>
      <c r="N723">
        <v>0</v>
      </c>
      <c r="O723">
        <v>-1.1848930000000001E-2</v>
      </c>
      <c r="P723">
        <v>0.99456069999999996</v>
      </c>
      <c r="Q723">
        <v>-7.8161120000000001E-3</v>
      </c>
      <c r="R723">
        <v>0.103865599999999</v>
      </c>
      <c r="S723">
        <v>3.0027469999999998</v>
      </c>
      <c r="T723">
        <v>-0.1208682</v>
      </c>
      <c r="U723">
        <v>0.1232605</v>
      </c>
      <c r="V723">
        <v>-0.115643</v>
      </c>
      <c r="W723">
        <v>2.5208610000000001E-3</v>
      </c>
      <c r="X723">
        <v>0.99328760000000005</v>
      </c>
      <c r="Y723">
        <v>-5.2799159999999998E-2</v>
      </c>
      <c r="Z723">
        <v>1.5383759999999999E-3</v>
      </c>
      <c r="AA723">
        <v>0.99860389999999999</v>
      </c>
      <c r="AB723">
        <v>32</v>
      </c>
      <c r="AC723">
        <v>27.201799999999899</v>
      </c>
      <c r="AD723">
        <v>-1.104103273597</v>
      </c>
      <c r="AE723">
        <v>1.1286999999999801</v>
      </c>
      <c r="AF723">
        <v>-1.4485679771633</v>
      </c>
      <c r="AG723">
        <v>-1.104103273597</v>
      </c>
      <c r="AH723">
        <v>27.141876340014399</v>
      </c>
      <c r="AI723">
        <v>92.326141455101705</v>
      </c>
      <c r="AJ723">
        <v>93.054990104699897</v>
      </c>
      <c r="AK723">
        <v>27.2029197785801</v>
      </c>
    </row>
    <row r="724" spans="1:37" x14ac:dyDescent="0.2">
      <c r="A724" t="str">
        <f>"20200111155514706"</f>
        <v>20200111155514706</v>
      </c>
      <c r="B724" t="str">
        <f>"1578729314703363"</f>
        <v>1578729314703363</v>
      </c>
      <c r="C724" t="s">
        <v>37</v>
      </c>
      <c r="D724">
        <v>4.6138089999999998</v>
      </c>
      <c r="E724">
        <v>0.52349129999999999</v>
      </c>
      <c r="F724" t="s">
        <v>38</v>
      </c>
      <c r="G724">
        <v>-335.06349999999998</v>
      </c>
      <c r="H724" s="1">
        <v>-2.2655359999999999E-6</v>
      </c>
      <c r="I724">
        <v>368.68349999999998</v>
      </c>
      <c r="J724">
        <v>-362.08769999999998</v>
      </c>
      <c r="K724">
        <v>1.104101</v>
      </c>
      <c r="L724">
        <v>367.53390000000002</v>
      </c>
      <c r="M724">
        <v>0.99987549999999903</v>
      </c>
      <c r="N724">
        <v>0</v>
      </c>
      <c r="O724">
        <v>-1.186837E-2</v>
      </c>
      <c r="P724">
        <v>0.99455459999999996</v>
      </c>
      <c r="Q724">
        <v>-8.0851759999999995E-3</v>
      </c>
      <c r="R724">
        <v>0.1039043</v>
      </c>
      <c r="S724">
        <v>3.0022279999999899</v>
      </c>
      <c r="T724">
        <v>-0.121906999999999</v>
      </c>
      <c r="U724">
        <v>0.12670899999999999</v>
      </c>
      <c r="V724">
        <v>-0.1157014</v>
      </c>
      <c r="W724">
        <v>2.2776749999999998E-3</v>
      </c>
      <c r="X724">
        <v>0.99328139999999998</v>
      </c>
      <c r="Y724">
        <v>-5.3968780000000001E-2</v>
      </c>
      <c r="Z724">
        <v>1.576334E-3</v>
      </c>
      <c r="AA724">
        <v>0.99854140000000002</v>
      </c>
      <c r="AB724">
        <v>32</v>
      </c>
      <c r="AC724">
        <v>27.0242</v>
      </c>
      <c r="AD724">
        <v>-1.1041032655359999</v>
      </c>
      <c r="AE724">
        <v>1.14959999999996</v>
      </c>
      <c r="AF724">
        <v>-1.4678238730644999</v>
      </c>
      <c r="AG724">
        <v>-1.1041032655359999</v>
      </c>
      <c r="AH724">
        <v>26.963724721541301</v>
      </c>
      <c r="AI724">
        <v>92.341359304110298</v>
      </c>
      <c r="AJ724">
        <v>93.1159340031287</v>
      </c>
      <c r="AK724">
        <v>27.026209534493798</v>
      </c>
    </row>
    <row r="725" spans="1:37" x14ac:dyDescent="0.2">
      <c r="A725" t="str">
        <f>"20200111155514717"</f>
        <v>20200111155514717</v>
      </c>
      <c r="B725" t="str">
        <f>"1578729314713123"</f>
        <v>1578729314713123</v>
      </c>
      <c r="C725" t="s">
        <v>37</v>
      </c>
      <c r="D725">
        <v>4.6608619999999998</v>
      </c>
      <c r="E725">
        <v>0.52370190000000005</v>
      </c>
      <c r="F725" t="s">
        <v>38</v>
      </c>
      <c r="G725">
        <v>-333.09870000000001</v>
      </c>
      <c r="H725" s="1">
        <v>-3.0948259999999999E-6</v>
      </c>
      <c r="I725">
        <v>368.76029999999997</v>
      </c>
      <c r="J725">
        <v>-361.93290000000002</v>
      </c>
      <c r="K725">
        <v>1.1041000000000001</v>
      </c>
      <c r="L725">
        <v>367.53210000000001</v>
      </c>
      <c r="M725">
        <v>0.99987490000000001</v>
      </c>
      <c r="N725">
        <v>0</v>
      </c>
      <c r="O725">
        <v>-1.188614E-2</v>
      </c>
      <c r="P725">
        <v>0.99454019999999999</v>
      </c>
      <c r="Q725">
        <v>-8.5359770000000001E-3</v>
      </c>
      <c r="R725">
        <v>0.1040055</v>
      </c>
      <c r="S725">
        <v>3.00228899999999</v>
      </c>
      <c r="T725">
        <v>-0.11434759999999999</v>
      </c>
      <c r="U725">
        <v>0.12701419999999999</v>
      </c>
      <c r="V725">
        <v>-0.115820399999999</v>
      </c>
      <c r="W725">
        <v>1.850429E-3</v>
      </c>
      <c r="X725">
        <v>0.99326840000000005</v>
      </c>
      <c r="Y725">
        <v>-5.40934E-2</v>
      </c>
      <c r="Z725">
        <v>1.481673E-3</v>
      </c>
      <c r="AA725">
        <v>0.99853479999999994</v>
      </c>
      <c r="AB725">
        <v>32</v>
      </c>
      <c r="AC725">
        <v>28.834199999999999</v>
      </c>
      <c r="AD725">
        <v>-1.104103094826</v>
      </c>
      <c r="AE725">
        <v>1.22819999999995</v>
      </c>
      <c r="AF725">
        <v>-1.56856351221404</v>
      </c>
      <c r="AG725">
        <v>-1.104103094826</v>
      </c>
      <c r="AH725">
        <v>28.775448357487601</v>
      </c>
      <c r="AI725">
        <v>92.194085397758698</v>
      </c>
      <c r="AJ725">
        <v>93.120132528700196</v>
      </c>
      <c r="AK725">
        <v>28.839311075514399</v>
      </c>
    </row>
    <row r="726" spans="1:37" x14ac:dyDescent="0.2">
      <c r="A726" t="str">
        <f>"20200111155514728"</f>
        <v>20200111155514728</v>
      </c>
      <c r="B726" t="str">
        <f>"1578729314723859"</f>
        <v>1578729314723859</v>
      </c>
      <c r="C726" t="s">
        <v>37</v>
      </c>
      <c r="D726">
        <v>4.5988259999999999</v>
      </c>
      <c r="E726">
        <v>0.52359179999999905</v>
      </c>
      <c r="F726" t="s">
        <v>38</v>
      </c>
      <c r="G726">
        <v>-332.70890000000003</v>
      </c>
      <c r="H726" s="1">
        <v>-3.2626790000000002E-6</v>
      </c>
      <c r="I726">
        <v>368.7568</v>
      </c>
      <c r="J726">
        <v>-361.76</v>
      </c>
      <c r="K726">
        <v>1.1041049999999999</v>
      </c>
      <c r="L726">
        <v>367.53</v>
      </c>
      <c r="M726">
        <v>0.99987440000000005</v>
      </c>
      <c r="N726">
        <v>0</v>
      </c>
      <c r="O726">
        <v>-1.1906190000000001E-2</v>
      </c>
      <c r="P726">
        <v>0.99454489999999995</v>
      </c>
      <c r="Q726">
        <v>-9.054823E-3</v>
      </c>
      <c r="R726">
        <v>0.103916699999999</v>
      </c>
      <c r="S726">
        <v>3.0023499999999999</v>
      </c>
      <c r="T726">
        <v>-0.1134303</v>
      </c>
      <c r="U726">
        <v>0.12582399999999999</v>
      </c>
      <c r="V726">
        <v>-0.1157508</v>
      </c>
      <c r="W726">
        <v>1.3583339999999899E-3</v>
      </c>
      <c r="X726">
        <v>0.99327739999999998</v>
      </c>
      <c r="Y726">
        <v>-5.3718429999999998E-2</v>
      </c>
      <c r="Z726">
        <v>1.463457E-3</v>
      </c>
      <c r="AA726">
        <v>0.99855509999999903</v>
      </c>
      <c r="AB726">
        <v>32</v>
      </c>
      <c r="AC726">
        <v>29.051099999999899</v>
      </c>
      <c r="AD726">
        <v>-1.104108262679</v>
      </c>
      <c r="AE726">
        <v>1.2268000000000201</v>
      </c>
      <c r="AF726">
        <v>-1.5703556363651101</v>
      </c>
      <c r="AG726">
        <v>-1.104108262679</v>
      </c>
      <c r="AH726">
        <v>28.992629848468599</v>
      </c>
      <c r="AI726">
        <v>92.177716588041804</v>
      </c>
      <c r="AJ726">
        <v>93.100336809012106</v>
      </c>
      <c r="AK726">
        <v>29.056112221195299</v>
      </c>
    </row>
    <row r="727" spans="1:37" x14ac:dyDescent="0.2">
      <c r="A727" t="str">
        <f>"20200111155514742"</f>
        <v>20200111155514742</v>
      </c>
      <c r="B727" t="str">
        <f>"1578729314733619"</f>
        <v>1578729314733619</v>
      </c>
      <c r="C727" t="s">
        <v>37</v>
      </c>
      <c r="D727">
        <v>4.8231349999999997</v>
      </c>
      <c r="E727">
        <v>0.52331669999999997</v>
      </c>
      <c r="F727" t="s">
        <v>38</v>
      </c>
      <c r="G727">
        <v>-331.79329999999999</v>
      </c>
      <c r="H727" s="1">
        <v>-3.6496050000000001E-6</v>
      </c>
      <c r="I727">
        <v>368.78980000000001</v>
      </c>
      <c r="J727">
        <v>-361.5779</v>
      </c>
      <c r="K727">
        <v>1.104106</v>
      </c>
      <c r="L727">
        <v>367.52780000000001</v>
      </c>
      <c r="M727">
        <v>0.99987389999999998</v>
      </c>
      <c r="N727">
        <v>0</v>
      </c>
      <c r="O727">
        <v>-1.192696E-2</v>
      </c>
      <c r="P727">
        <v>0.99452220000000002</v>
      </c>
      <c r="Q727">
        <v>-9.3580850000000004E-3</v>
      </c>
      <c r="R727">
        <v>0.1041065</v>
      </c>
      <c r="S727">
        <v>3.0022579999999999</v>
      </c>
      <c r="T727">
        <v>-0.1106163</v>
      </c>
      <c r="U727">
        <v>0.12622069999999999</v>
      </c>
      <c r="V727">
        <v>-0.1159616</v>
      </c>
      <c r="W727">
        <v>1.0822449999999999E-3</v>
      </c>
      <c r="X727">
        <v>0.993253099999999</v>
      </c>
      <c r="Y727">
        <v>-5.387434E-2</v>
      </c>
      <c r="Z727">
        <v>1.4308509999999999E-3</v>
      </c>
      <c r="AA727">
        <v>0.99854669999999901</v>
      </c>
      <c r="AB727">
        <v>32</v>
      </c>
      <c r="AC727">
        <v>29.784600000000001</v>
      </c>
      <c r="AD727">
        <v>-1.104109649605</v>
      </c>
      <c r="AE727">
        <v>1.262</v>
      </c>
      <c r="AF727">
        <v>-1.61495423945784</v>
      </c>
      <c r="AG727">
        <v>-1.104109649605</v>
      </c>
      <c r="AH727">
        <v>29.726652269405498</v>
      </c>
      <c r="AI727">
        <v>92.123977384687606</v>
      </c>
      <c r="AJ727">
        <v>93.1096401606722</v>
      </c>
      <c r="AK727">
        <v>29.790954843039898</v>
      </c>
    </row>
    <row r="728" spans="1:37" x14ac:dyDescent="0.2">
      <c r="A728" t="str">
        <f>"20200111155514754"</f>
        <v>20200111155514754</v>
      </c>
      <c r="B728" t="str">
        <f>"1578729314743379"</f>
        <v>1578729314743379</v>
      </c>
      <c r="C728" t="s">
        <v>37</v>
      </c>
      <c r="D728">
        <v>4.6077719999999998</v>
      </c>
      <c r="E728">
        <v>0.52308580000000005</v>
      </c>
      <c r="F728" t="s">
        <v>38</v>
      </c>
      <c r="G728">
        <v>-332.08390000000003</v>
      </c>
      <c r="H728" s="1">
        <v>-3.523761E-6</v>
      </c>
      <c r="I728">
        <v>368.79629999999997</v>
      </c>
      <c r="J728">
        <v>-361.40129999999999</v>
      </c>
      <c r="K728">
        <v>1.104106</v>
      </c>
      <c r="L728">
        <v>367.52569999999997</v>
      </c>
      <c r="M728">
        <v>0.99987329999999996</v>
      </c>
      <c r="N728">
        <v>0</v>
      </c>
      <c r="O728">
        <v>-1.1947360000000001E-2</v>
      </c>
      <c r="P728">
        <v>0.99448559999999997</v>
      </c>
      <c r="Q728">
        <v>-9.7175709999999995E-3</v>
      </c>
      <c r="R728">
        <v>0.1044229</v>
      </c>
      <c r="S728">
        <v>3.0019840000000002</v>
      </c>
      <c r="T728">
        <v>-0.1123792</v>
      </c>
      <c r="U728">
        <v>0.12911989999999901</v>
      </c>
      <c r="V728">
        <v>-0.116297499999999</v>
      </c>
      <c r="W728">
        <v>7.4845949999999999E-4</v>
      </c>
      <c r="X728">
        <v>0.99321409999999999</v>
      </c>
      <c r="Y728">
        <v>-5.4858999999999998E-2</v>
      </c>
      <c r="Z728">
        <v>1.4729210000000001E-3</v>
      </c>
      <c r="AA728">
        <v>0.99849299999999996</v>
      </c>
      <c r="AB728">
        <v>32</v>
      </c>
      <c r="AC728">
        <v>29.3173999999999</v>
      </c>
      <c r="AD728">
        <v>-1.1041095237609999</v>
      </c>
      <c r="AE728">
        <v>1.2706</v>
      </c>
      <c r="AF728">
        <v>-1.6185029684079799</v>
      </c>
      <c r="AG728">
        <v>-1.1041095237609999</v>
      </c>
      <c r="AH728">
        <v>29.258705834899299</v>
      </c>
      <c r="AI728">
        <v>92.157798242716694</v>
      </c>
      <c r="AJ728">
        <v>93.166202086284997</v>
      </c>
      <c r="AK728">
        <v>29.324230200166799</v>
      </c>
    </row>
    <row r="729" spans="1:37" x14ac:dyDescent="0.2">
      <c r="A729" t="str">
        <f>"20200111155514765"</f>
        <v>20200111155514765</v>
      </c>
      <c r="B729" t="str">
        <f>"1578729314763875"</f>
        <v>1578729314763875</v>
      </c>
      <c r="C729" t="s">
        <v>37</v>
      </c>
      <c r="D729">
        <v>4.5991599999999897</v>
      </c>
      <c r="E729">
        <v>0.52307669999999995</v>
      </c>
      <c r="F729" t="s">
        <v>38</v>
      </c>
      <c r="G729">
        <v>-331.77949999999998</v>
      </c>
      <c r="H729" s="1">
        <v>-3.6489819999999899E-6</v>
      </c>
      <c r="I729">
        <v>368.82659999999998</v>
      </c>
      <c r="J729">
        <v>-361.2373</v>
      </c>
      <c r="K729">
        <v>1.1041069999999999</v>
      </c>
      <c r="L729">
        <v>367.52370000000002</v>
      </c>
      <c r="M729">
        <v>0.99987280000000001</v>
      </c>
      <c r="N729">
        <v>0</v>
      </c>
      <c r="O729">
        <v>-1.1966320000000001E-2</v>
      </c>
      <c r="P729">
        <v>0.99445749999999999</v>
      </c>
      <c r="Q729">
        <v>-9.9456049999999997E-3</v>
      </c>
      <c r="R729">
        <v>0.10466880000000001</v>
      </c>
      <c r="S729">
        <v>3.0017399999999999</v>
      </c>
      <c r="T729">
        <v>-0.11188529999999999</v>
      </c>
      <c r="U729">
        <v>0.13183590000000001</v>
      </c>
      <c r="V729">
        <v>-0.1165622</v>
      </c>
      <c r="W729">
        <v>5.4341969999999998E-4</v>
      </c>
      <c r="X729">
        <v>0.99318329999999999</v>
      </c>
      <c r="Y729">
        <v>-5.5782909999999998E-2</v>
      </c>
      <c r="Z729">
        <v>1.4844539999999901E-3</v>
      </c>
      <c r="AA729">
        <v>0.99844179999999905</v>
      </c>
      <c r="AB729">
        <v>32</v>
      </c>
      <c r="AC729">
        <v>29.457799999999999</v>
      </c>
      <c r="AD729">
        <v>-1.1041106489819901</v>
      </c>
      <c r="AE729">
        <v>1.30289999999996</v>
      </c>
      <c r="AF729">
        <v>-1.6530100951833899</v>
      </c>
      <c r="AG729">
        <v>-1.1041106489819901</v>
      </c>
      <c r="AH729">
        <v>29.398878964200399</v>
      </c>
      <c r="AI729">
        <v>92.147413206089794</v>
      </c>
      <c r="AJ729">
        <v>93.218179942495098</v>
      </c>
      <c r="AK729">
        <v>29.466007314389898</v>
      </c>
    </row>
    <row r="730" spans="1:37" x14ac:dyDescent="0.2">
      <c r="A730" t="str">
        <f>"20200111155514777"</f>
        <v>20200111155514777</v>
      </c>
      <c r="B730" t="str">
        <f>"1578729314773635"</f>
        <v>1578729314773635</v>
      </c>
      <c r="C730" t="s">
        <v>37</v>
      </c>
      <c r="D730">
        <v>4.5991229999999996</v>
      </c>
      <c r="E730">
        <v>0.52298559999999905</v>
      </c>
      <c r="F730" t="s">
        <v>38</v>
      </c>
      <c r="G730">
        <v>-330.48379999999997</v>
      </c>
      <c r="H730" s="1">
        <v>-4.1953910000000001E-6</v>
      </c>
      <c r="I730">
        <v>368.88</v>
      </c>
      <c r="J730">
        <v>-361.06869999999998</v>
      </c>
      <c r="K730">
        <v>1.1041080000000001</v>
      </c>
      <c r="L730">
        <v>367.52170000000001</v>
      </c>
      <c r="M730">
        <v>0.99987239999999999</v>
      </c>
      <c r="N730">
        <v>0</v>
      </c>
      <c r="O730">
        <v>-1.198576E-2</v>
      </c>
      <c r="P730">
        <v>0.99446380000000001</v>
      </c>
      <c r="Q730">
        <v>-1.019862E-2</v>
      </c>
      <c r="R730">
        <v>0.1045845</v>
      </c>
      <c r="S730">
        <v>3.001709</v>
      </c>
      <c r="T730">
        <v>-0.10776669999999899</v>
      </c>
      <c r="U730">
        <v>0.13238529999999901</v>
      </c>
      <c r="V730">
        <v>-0.1164969</v>
      </c>
      <c r="W730">
        <v>3.1453779999999999E-4</v>
      </c>
      <c r="X730">
        <v>0.99319099999999905</v>
      </c>
      <c r="Y730">
        <v>-5.5988360000000001E-2</v>
      </c>
      <c r="Z730">
        <v>1.43423799999999E-3</v>
      </c>
      <c r="AA730">
        <v>0.99843040000000005</v>
      </c>
      <c r="AB730">
        <v>32</v>
      </c>
      <c r="AC730">
        <v>30.584900000000001</v>
      </c>
      <c r="AD730">
        <v>-1.104112195391</v>
      </c>
      <c r="AE730">
        <v>1.3582999999999801</v>
      </c>
      <c r="AF730">
        <v>-1.7225656993313301</v>
      </c>
      <c r="AG730">
        <v>-1.104112195391</v>
      </c>
      <c r="AH730">
        <v>30.5267174009767</v>
      </c>
      <c r="AI730">
        <v>92.068124765744003</v>
      </c>
      <c r="AJ730">
        <v>93.229668928507294</v>
      </c>
      <c r="AK730">
        <v>30.595208311231001</v>
      </c>
    </row>
    <row r="731" spans="1:37" x14ac:dyDescent="0.2">
      <c r="A731" t="str">
        <f>"20200111155514789"</f>
        <v>20200111155514789</v>
      </c>
      <c r="B731" t="str">
        <f>"1578729314783395"</f>
        <v>1578729314783395</v>
      </c>
      <c r="C731" t="s">
        <v>37</v>
      </c>
      <c r="D731">
        <v>4.6196440000000001</v>
      </c>
      <c r="E731">
        <v>0.52291129999999997</v>
      </c>
      <c r="F731" t="s">
        <v>38</v>
      </c>
      <c r="G731">
        <v>-330.0428</v>
      </c>
      <c r="H731" s="1">
        <v>-4.382224E-6</v>
      </c>
      <c r="I731">
        <v>368.89319999999998</v>
      </c>
      <c r="J731">
        <v>-360.90050000000002</v>
      </c>
      <c r="K731">
        <v>1.1041080000000001</v>
      </c>
      <c r="L731">
        <v>367.51960000000003</v>
      </c>
      <c r="M731">
        <v>0.99987190000000004</v>
      </c>
      <c r="N731">
        <v>0</v>
      </c>
      <c r="O731">
        <v>-1.200531E-2</v>
      </c>
      <c r="P731">
        <v>0.99444739999999998</v>
      </c>
      <c r="Q731">
        <v>-1.028395E-2</v>
      </c>
      <c r="R731">
        <v>0.1047331</v>
      </c>
      <c r="S731">
        <v>3.0016479999999999</v>
      </c>
      <c r="T731">
        <v>-0.1068186</v>
      </c>
      <c r="U731">
        <v>0.13269039999999999</v>
      </c>
      <c r="V731">
        <v>-0.116665</v>
      </c>
      <c r="W731">
        <v>2.5254869999999998E-4</v>
      </c>
      <c r="X731">
        <v>0.99317129999999998</v>
      </c>
      <c r="Y731">
        <v>-5.6110779999999999E-2</v>
      </c>
      <c r="Z731">
        <v>1.4245250000000001E-3</v>
      </c>
      <c r="AA731">
        <v>0.99842350000000002</v>
      </c>
      <c r="AB731">
        <v>32</v>
      </c>
      <c r="AC731">
        <v>30.857700000000001</v>
      </c>
      <c r="AD731">
        <v>-1.104112382224</v>
      </c>
      <c r="AE731">
        <v>1.37359999999995</v>
      </c>
      <c r="AF731">
        <v>-1.74175251783326</v>
      </c>
      <c r="AG731">
        <v>-1.104112382224</v>
      </c>
      <c r="AH731">
        <v>30.799630859392199</v>
      </c>
      <c r="AI731">
        <v>92.049801121052496</v>
      </c>
      <c r="AJ731">
        <v>93.236691048920406</v>
      </c>
      <c r="AK731">
        <v>30.868592890845999</v>
      </c>
    </row>
    <row r="732" spans="1:37" x14ac:dyDescent="0.2">
      <c r="A732" t="str">
        <f>"20200111155514800"</f>
        <v>20200111155514800</v>
      </c>
      <c r="B732" t="str">
        <f>"1578729314793155"</f>
        <v>1578729314793155</v>
      </c>
      <c r="C732" t="s">
        <v>37</v>
      </c>
      <c r="D732">
        <v>4.5992300000000004</v>
      </c>
      <c r="E732">
        <v>0.52289359999999996</v>
      </c>
      <c r="F732" t="s">
        <v>38</v>
      </c>
      <c r="G732">
        <v>-329.57639999999998</v>
      </c>
      <c r="H732" s="1">
        <v>-3.1679940000000003E-7</v>
      </c>
      <c r="I732">
        <v>368.9151</v>
      </c>
      <c r="J732">
        <v>-360.74</v>
      </c>
      <c r="K732">
        <v>1.104106</v>
      </c>
      <c r="L732">
        <v>367.51769999999999</v>
      </c>
      <c r="M732">
        <v>0.99987139999999997</v>
      </c>
      <c r="N732">
        <v>0</v>
      </c>
      <c r="O732">
        <v>-1.2023910000000001E-2</v>
      </c>
      <c r="P732">
        <v>0.99444439999999901</v>
      </c>
      <c r="Q732">
        <v>-1.023729E-2</v>
      </c>
      <c r="R732">
        <v>0.10476489999999999</v>
      </c>
      <c r="S732">
        <v>3.0015869999999998</v>
      </c>
      <c r="T732">
        <v>-0.10579959999999999</v>
      </c>
      <c r="U732">
        <v>0.13372799999999899</v>
      </c>
      <c r="V732">
        <v>-0.11671469999999901</v>
      </c>
      <c r="W732">
        <v>3.212135E-4</v>
      </c>
      <c r="X732">
        <v>0.99316539999999998</v>
      </c>
      <c r="Y732">
        <v>-5.6475280000000003E-2</v>
      </c>
      <c r="Z732">
        <v>1.418035E-3</v>
      </c>
      <c r="AA732">
        <v>0.99840300000000004</v>
      </c>
      <c r="AB732">
        <v>32</v>
      </c>
      <c r="AC732">
        <v>31.163599999999999</v>
      </c>
      <c r="AD732">
        <v>-1.1041063167994001</v>
      </c>
      <c r="AE732">
        <v>1.3974</v>
      </c>
      <c r="AF732">
        <v>-1.7698113131239199</v>
      </c>
      <c r="AG732">
        <v>-1.1041063167994001</v>
      </c>
      <c r="AH732">
        <v>31.105577182680999</v>
      </c>
      <c r="AI732">
        <v>92.029605964832001</v>
      </c>
      <c r="AJ732">
        <v>93.256442018447999</v>
      </c>
      <c r="AK732">
        <v>31.175442494222601</v>
      </c>
    </row>
    <row r="733" spans="1:37" x14ac:dyDescent="0.2">
      <c r="A733" t="str">
        <f>"20200111155514817"</f>
        <v>20200111155514817</v>
      </c>
      <c r="B733" t="str">
        <f>"1578729314813651"</f>
        <v>1578729314813651</v>
      </c>
      <c r="C733" t="s">
        <v>37</v>
      </c>
      <c r="D733">
        <v>4.5999720000000002</v>
      </c>
      <c r="E733">
        <v>0.52280530000000003</v>
      </c>
      <c r="F733" t="s">
        <v>38</v>
      </c>
      <c r="G733">
        <v>-329.14490000000001</v>
      </c>
      <c r="H733" s="1">
        <v>-4.707927E-7</v>
      </c>
      <c r="I733">
        <v>368.9307</v>
      </c>
      <c r="J733">
        <v>-360.49959999999999</v>
      </c>
      <c r="K733">
        <v>1.104106</v>
      </c>
      <c r="L733">
        <v>367.51479999999998</v>
      </c>
      <c r="M733">
        <v>0.9998707</v>
      </c>
      <c r="N733">
        <v>0</v>
      </c>
      <c r="O733">
        <v>-1.2051269999999999E-2</v>
      </c>
      <c r="P733">
        <v>0.99440720000000005</v>
      </c>
      <c r="Q733">
        <v>-1.035E-2</v>
      </c>
      <c r="R733">
        <v>0.1051067</v>
      </c>
      <c r="S733">
        <v>3.0015559999999999</v>
      </c>
      <c r="T733">
        <v>-0.104890699999999</v>
      </c>
      <c r="U733">
        <v>0.134246799999999</v>
      </c>
      <c r="V733">
        <v>-0.1170836</v>
      </c>
      <c r="W733">
        <v>2.4205869999999999E-4</v>
      </c>
      <c r="X733">
        <v>0.99312199999999995</v>
      </c>
      <c r="Y733">
        <v>-5.6675879999999998E-2</v>
      </c>
      <c r="Z733">
        <v>1.4103289999999899E-3</v>
      </c>
      <c r="AA733">
        <v>0.99839159999999905</v>
      </c>
      <c r="AB733">
        <v>32</v>
      </c>
      <c r="AC733">
        <v>31.354699999999902</v>
      </c>
      <c r="AD733">
        <v>-1.1041064707927</v>
      </c>
      <c r="AE733">
        <v>1.4159000000000199</v>
      </c>
      <c r="AF733">
        <v>-1.79146566876316</v>
      </c>
      <c r="AG733">
        <v>-1.1041064707927</v>
      </c>
      <c r="AH733">
        <v>31.296630035724402</v>
      </c>
      <c r="AI733">
        <v>92.017187110625699</v>
      </c>
      <c r="AJ733">
        <v>93.276120623691995</v>
      </c>
      <c r="AK733">
        <v>31.367299085739099</v>
      </c>
    </row>
    <row r="734" spans="1:37" x14ac:dyDescent="0.2">
      <c r="A734" t="str">
        <f>"20200111155514829"</f>
        <v>20200111155514829</v>
      </c>
      <c r="B734" t="str">
        <f>"1578729314823412"</f>
        <v>1578729314823412</v>
      </c>
      <c r="C734" t="s">
        <v>37</v>
      </c>
      <c r="D734">
        <v>4.6132439999999999</v>
      </c>
      <c r="E734">
        <v>0.52287790000000001</v>
      </c>
      <c r="F734" t="s">
        <v>38</v>
      </c>
      <c r="G734">
        <v>-328.21449999999999</v>
      </c>
      <c r="H734" s="1">
        <v>-8.6250089999999998E-7</v>
      </c>
      <c r="I734">
        <v>368.97250000000003</v>
      </c>
      <c r="J734">
        <v>-360.34129999999999</v>
      </c>
      <c r="K734">
        <v>1.1041099999999999</v>
      </c>
      <c r="L734">
        <v>367.51280000000003</v>
      </c>
      <c r="M734">
        <v>0.99987009999999898</v>
      </c>
      <c r="N734">
        <v>0</v>
      </c>
      <c r="O734">
        <v>-1.20694999999999E-2</v>
      </c>
      <c r="P734">
        <v>0.99439560000000005</v>
      </c>
      <c r="Q734">
        <v>-1.0390699999999999E-2</v>
      </c>
      <c r="R734">
        <v>0.1052114</v>
      </c>
      <c r="S734">
        <v>3.001465</v>
      </c>
      <c r="T734">
        <v>-0.102646</v>
      </c>
      <c r="U734">
        <v>0.1355286</v>
      </c>
      <c r="V734">
        <v>-0.1172063</v>
      </c>
      <c r="W734">
        <v>2.2250819999999999E-4</v>
      </c>
      <c r="X734">
        <v>0.99310759999999898</v>
      </c>
      <c r="Y734">
        <v>-5.7122430000000002E-2</v>
      </c>
      <c r="Z734">
        <v>1.388446E-3</v>
      </c>
      <c r="AA734">
        <v>0.99836619999999998</v>
      </c>
      <c r="AB734">
        <v>32</v>
      </c>
      <c r="AC734">
        <v>32.126800000000003</v>
      </c>
      <c r="AD734">
        <v>-1.1041108625009</v>
      </c>
      <c r="AE734">
        <v>1.45969999999999</v>
      </c>
      <c r="AF734">
        <v>-1.8451953133475301</v>
      </c>
      <c r="AG734">
        <v>-1.1041108625009</v>
      </c>
      <c r="AH734">
        <v>32.0690417515764</v>
      </c>
      <c r="AI734">
        <v>91.968614482641797</v>
      </c>
      <c r="AJ734">
        <v>93.293065835729493</v>
      </c>
      <c r="AK734">
        <v>32.141052338177197</v>
      </c>
    </row>
    <row r="735" spans="1:37" x14ac:dyDescent="0.2">
      <c r="A735" t="str">
        <f>"20200111155514840"</f>
        <v>20200111155514840</v>
      </c>
      <c r="B735" t="str">
        <f>"1578729314833172"</f>
        <v>1578729314833172</v>
      </c>
      <c r="C735" t="s">
        <v>37</v>
      </c>
      <c r="D735">
        <v>4.586646</v>
      </c>
      <c r="E735">
        <v>0.5229338</v>
      </c>
      <c r="F735" t="s">
        <v>38</v>
      </c>
      <c r="G735">
        <v>-327.92680000000001</v>
      </c>
      <c r="H735" s="1">
        <v>-9.8534960000000005E-7</v>
      </c>
      <c r="I735">
        <v>368.97570000000002</v>
      </c>
      <c r="J735">
        <v>-360.16860000000003</v>
      </c>
      <c r="K735">
        <v>1.104112</v>
      </c>
      <c r="L735">
        <v>367.51069999999999</v>
      </c>
      <c r="M735">
        <v>0.99986980000000003</v>
      </c>
      <c r="N735">
        <v>0</v>
      </c>
      <c r="O735">
        <v>-1.2089529999999999E-2</v>
      </c>
      <c r="P735">
        <v>0.99436409999999997</v>
      </c>
      <c r="Q735">
        <v>-1.021144E-2</v>
      </c>
      <c r="R735">
        <v>0.1055268</v>
      </c>
      <c r="S735">
        <v>3.0014949999999998</v>
      </c>
      <c r="T735">
        <v>-0.1022375</v>
      </c>
      <c r="U735">
        <v>0.13546749999999999</v>
      </c>
      <c r="V735">
        <v>-0.1175411</v>
      </c>
      <c r="W735">
        <v>4.2468699999999998E-4</v>
      </c>
      <c r="X735">
        <v>0.9930679</v>
      </c>
      <c r="Y735">
        <v>-5.7122029999999997E-2</v>
      </c>
      <c r="Z735">
        <v>1.3835849999999999E-3</v>
      </c>
      <c r="AA735">
        <v>0.99836619999999998</v>
      </c>
      <c r="AB735">
        <v>32</v>
      </c>
      <c r="AC735">
        <v>32.241799999999998</v>
      </c>
      <c r="AD735">
        <v>-1.1041129853495999</v>
      </c>
      <c r="AE735">
        <v>1.4650000000000301</v>
      </c>
      <c r="AF735">
        <v>-1.852535396388</v>
      </c>
      <c r="AG735">
        <v>-1.1041129853495999</v>
      </c>
      <c r="AH735">
        <v>32.184066666299202</v>
      </c>
      <c r="AI735">
        <v>91.9615854655692</v>
      </c>
      <c r="AJ735">
        <v>93.294346500973603</v>
      </c>
      <c r="AK735">
        <v>32.256241257469597</v>
      </c>
    </row>
    <row r="736" spans="1:37" x14ac:dyDescent="0.2">
      <c r="A736" t="str">
        <f>"20200111155514854"</f>
        <v>20200111155514854</v>
      </c>
      <c r="B736" t="str">
        <f>"1578729314842932"</f>
        <v>1578729314842932</v>
      </c>
      <c r="C736" t="s">
        <v>37</v>
      </c>
      <c r="D736">
        <v>4.6270160000000002</v>
      </c>
      <c r="E736">
        <v>0.52297609999999894</v>
      </c>
      <c r="F736" t="s">
        <v>38</v>
      </c>
      <c r="G736">
        <v>-327.23849999999999</v>
      </c>
      <c r="H736" s="1">
        <v>-1.2758060000000001E-6</v>
      </c>
      <c r="I736">
        <v>369.00290000000001</v>
      </c>
      <c r="J736">
        <v>-359.97609999999997</v>
      </c>
      <c r="K736">
        <v>1.1041159999999901</v>
      </c>
      <c r="L736">
        <v>367.50850000000003</v>
      </c>
      <c r="M736">
        <v>0.99986919999999901</v>
      </c>
      <c r="N736">
        <v>0</v>
      </c>
      <c r="O736">
        <v>-1.2112070000000001E-2</v>
      </c>
      <c r="P736">
        <v>0.9943457</v>
      </c>
      <c r="Q736">
        <v>-9.8731159999999995E-3</v>
      </c>
      <c r="R736">
        <v>0.10573249999999999</v>
      </c>
      <c r="S736">
        <v>3.0015259999999899</v>
      </c>
      <c r="T736">
        <v>-0.10063800000000001</v>
      </c>
      <c r="U736">
        <v>0.13601679999999999</v>
      </c>
      <c r="V736">
        <v>-0.11776929999999999</v>
      </c>
      <c r="W736">
        <v>7.8708339999999997E-4</v>
      </c>
      <c r="X736">
        <v>0.993040699999999</v>
      </c>
      <c r="Y736">
        <v>-5.7327530000000002E-2</v>
      </c>
      <c r="Z736">
        <v>1.366131E-3</v>
      </c>
      <c r="AA736">
        <v>0.99835450000000003</v>
      </c>
      <c r="AB736">
        <v>32</v>
      </c>
      <c r="AC736">
        <v>32.737599999999901</v>
      </c>
      <c r="AD736">
        <v>-1.1041172758059901</v>
      </c>
      <c r="AE736">
        <v>1.49439999999998</v>
      </c>
      <c r="AF736">
        <v>-1.8886894040644</v>
      </c>
      <c r="AG736">
        <v>-1.1041172758059901</v>
      </c>
      <c r="AH736">
        <v>32.680002028246101</v>
      </c>
      <c r="AI736">
        <v>91.931821823705704</v>
      </c>
      <c r="AJ736">
        <v>93.307640292181404</v>
      </c>
      <c r="AK736">
        <v>32.753148782825903</v>
      </c>
    </row>
    <row r="737" spans="1:37" x14ac:dyDescent="0.2">
      <c r="A737" t="str">
        <f>"20200111155514867"</f>
        <v>20200111155514867</v>
      </c>
      <c r="B737" t="str">
        <f>"1578729314863428"</f>
        <v>1578729314863428</v>
      </c>
      <c r="C737" t="s">
        <v>37</v>
      </c>
      <c r="D737">
        <v>4.6723049999999997</v>
      </c>
      <c r="E737">
        <v>0.5230262</v>
      </c>
      <c r="F737" t="s">
        <v>38</v>
      </c>
      <c r="G737">
        <v>-326.55220000000003</v>
      </c>
      <c r="H737" s="1">
        <v>-1.566319E-6</v>
      </c>
      <c r="I737">
        <v>369.02499999999998</v>
      </c>
      <c r="J737">
        <v>-359.8039</v>
      </c>
      <c r="K737">
        <v>1.1041159999999901</v>
      </c>
      <c r="L737">
        <v>367.50630000000001</v>
      </c>
      <c r="M737">
        <v>0.9998688</v>
      </c>
      <c r="N737">
        <v>0</v>
      </c>
      <c r="O737">
        <v>-1.2131619999999999E-2</v>
      </c>
      <c r="P737">
        <v>0.99429840000000003</v>
      </c>
      <c r="Q737">
        <v>-9.8903480000000002E-3</v>
      </c>
      <c r="R737">
        <v>0.10617360000000001</v>
      </c>
      <c r="S737">
        <v>3.0015869999999998</v>
      </c>
      <c r="T737">
        <v>-9.9153400000000003E-2</v>
      </c>
      <c r="U737">
        <v>0.13619999999999999</v>
      </c>
      <c r="V737">
        <v>-0.1182286</v>
      </c>
      <c r="W737">
        <v>7.9042109999999995E-4</v>
      </c>
      <c r="X737">
        <v>0.99298609999999898</v>
      </c>
      <c r="Y737">
        <v>-5.7407989999999999E-2</v>
      </c>
      <c r="Z737">
        <v>1.347932E-3</v>
      </c>
      <c r="AA737">
        <v>0.99834990000000001</v>
      </c>
      <c r="AB737">
        <v>32</v>
      </c>
      <c r="AC737">
        <v>33.2516999999999</v>
      </c>
      <c r="AD737">
        <v>-1.1041175663189999</v>
      </c>
      <c r="AE737">
        <v>1.51869999999996</v>
      </c>
      <c r="AF737">
        <v>-1.9198960549947</v>
      </c>
      <c r="AG737">
        <v>-1.1041175663189999</v>
      </c>
      <c r="AH737">
        <v>33.194304760710899</v>
      </c>
      <c r="AI737">
        <v>91.901908509459801</v>
      </c>
      <c r="AJ737">
        <v>93.310192101132301</v>
      </c>
      <c r="AK737">
        <v>33.268107024734498</v>
      </c>
    </row>
    <row r="738" spans="1:37" x14ac:dyDescent="0.2">
      <c r="A738" t="str">
        <f>"20200111155514880"</f>
        <v>20200111155514880</v>
      </c>
      <c r="B738" t="str">
        <f>"1578729314873187"</f>
        <v>1578729314873187</v>
      </c>
      <c r="C738" t="s">
        <v>37</v>
      </c>
      <c r="D738">
        <v>4.6188979999999997</v>
      </c>
      <c r="E738">
        <v>0.52307360000000003</v>
      </c>
      <c r="F738" t="s">
        <v>38</v>
      </c>
      <c r="G738">
        <v>-325.7996</v>
      </c>
      <c r="H738" s="1">
        <v>-1.8829739999999999E-6</v>
      </c>
      <c r="I738">
        <v>369.06</v>
      </c>
      <c r="J738">
        <v>-359.6046</v>
      </c>
      <c r="K738">
        <v>1.10412</v>
      </c>
      <c r="L738">
        <v>367.50380000000001</v>
      </c>
      <c r="M738">
        <v>0.99986830000000004</v>
      </c>
      <c r="N738">
        <v>0</v>
      </c>
      <c r="O738">
        <v>-1.215452E-2</v>
      </c>
      <c r="P738">
        <v>0.99426320000000001</v>
      </c>
      <c r="Q738">
        <v>-9.7994120000000004E-3</v>
      </c>
      <c r="R738">
        <v>0.1065123</v>
      </c>
      <c r="S738">
        <v>3.0015559999999999</v>
      </c>
      <c r="T738">
        <v>-9.7460270000000002E-2</v>
      </c>
      <c r="U738">
        <v>0.13714599999999999</v>
      </c>
      <c r="V738">
        <v>-0.1185898</v>
      </c>
      <c r="W738">
        <v>9.0390849999999999E-4</v>
      </c>
      <c r="X738">
        <v>0.99294289999999996</v>
      </c>
      <c r="Y738">
        <v>-5.7746430000000001E-2</v>
      </c>
      <c r="Z738">
        <v>1.331165E-3</v>
      </c>
      <c r="AA738">
        <v>0.99833039999999995</v>
      </c>
      <c r="AB738">
        <v>32</v>
      </c>
      <c r="AC738">
        <v>33.805</v>
      </c>
      <c r="AD738">
        <v>-1.104121882974</v>
      </c>
      <c r="AE738">
        <v>1.55619999999998</v>
      </c>
      <c r="AF738">
        <v>-1.96490067095851</v>
      </c>
      <c r="AG738">
        <v>-1.104121882974</v>
      </c>
      <c r="AH738">
        <v>33.747661640800402</v>
      </c>
      <c r="AI738">
        <v>91.870711119682895</v>
      </c>
      <c r="AJ738">
        <v>93.332188187350894</v>
      </c>
      <c r="AK738">
        <v>33.822841187593099</v>
      </c>
    </row>
    <row r="739" spans="1:37" x14ac:dyDescent="0.2">
      <c r="A739" t="str">
        <f>"20200111155514895"</f>
        <v>20200111155514895</v>
      </c>
      <c r="B739" t="str">
        <f>"1578729314882947"</f>
        <v>1578729314882947</v>
      </c>
      <c r="C739" t="s">
        <v>37</v>
      </c>
      <c r="D739">
        <v>4.7557580000000002</v>
      </c>
      <c r="E739">
        <v>0.52294649999999998</v>
      </c>
      <c r="F739" t="s">
        <v>38</v>
      </c>
      <c r="G739">
        <v>-325.32760000000002</v>
      </c>
      <c r="H739" s="1">
        <v>-2.082769E-6</v>
      </c>
      <c r="I739">
        <v>369.07510000000002</v>
      </c>
      <c r="J739">
        <v>-359.38819999999998</v>
      </c>
      <c r="K739">
        <v>1.1041259999999999</v>
      </c>
      <c r="L739">
        <v>367.50130000000001</v>
      </c>
      <c r="M739">
        <v>0.99986759999999997</v>
      </c>
      <c r="N739">
        <v>0</v>
      </c>
      <c r="O739">
        <v>-1.2179560000000001E-2</v>
      </c>
      <c r="P739">
        <v>0.99416399999999905</v>
      </c>
      <c r="Q739">
        <v>-9.8684689999999995E-3</v>
      </c>
      <c r="R739">
        <v>0.1074268</v>
      </c>
      <c r="S739">
        <v>3.0016479999999999</v>
      </c>
      <c r="T739">
        <v>-9.6688029999999994E-2</v>
      </c>
      <c r="U739">
        <v>0.137603799999999</v>
      </c>
      <c r="V739">
        <v>-0.119528199999999</v>
      </c>
      <c r="W739">
        <v>8.5765530000000002E-4</v>
      </c>
      <c r="X739">
        <v>0.99283049999999995</v>
      </c>
      <c r="Y739">
        <v>-5.792245E-2</v>
      </c>
      <c r="Z739">
        <v>1.3242169999999999E-3</v>
      </c>
      <c r="AA739">
        <v>0.99832019999999899</v>
      </c>
      <c r="AB739">
        <v>32</v>
      </c>
      <c r="AC739">
        <v>34.060599999999901</v>
      </c>
      <c r="AD739">
        <v>-1.1041280827689901</v>
      </c>
      <c r="AE739">
        <v>1.5738000000000001</v>
      </c>
      <c r="AF739">
        <v>-1.98646752634</v>
      </c>
      <c r="AG739">
        <v>-1.1041280827689901</v>
      </c>
      <c r="AH739">
        <v>34.003248338816697</v>
      </c>
      <c r="AI739">
        <v>91.856648942097706</v>
      </c>
      <c r="AJ739">
        <v>93.343415549102204</v>
      </c>
      <c r="AK739">
        <v>34.079114566660898</v>
      </c>
    </row>
    <row r="740" spans="1:37" x14ac:dyDescent="0.2">
      <c r="A740" t="str">
        <f>"20200111155514907"</f>
        <v>20200111155514907</v>
      </c>
      <c r="B740" t="str">
        <f>"1578729314903444"</f>
        <v>1578729314903444</v>
      </c>
      <c r="C740" t="s">
        <v>37</v>
      </c>
      <c r="D740">
        <v>4.7932249999999996</v>
      </c>
      <c r="E740">
        <v>0.52265790000000001</v>
      </c>
      <c r="F740" t="s">
        <v>38</v>
      </c>
      <c r="G740">
        <v>-324.72449999999998</v>
      </c>
      <c r="H740" s="1">
        <v>-2.330817E-6</v>
      </c>
      <c r="I740">
        <v>369.13549999999998</v>
      </c>
      <c r="J740">
        <v>-359.22570000000002</v>
      </c>
      <c r="K740">
        <v>1.104128</v>
      </c>
      <c r="L740">
        <v>367.49919999999997</v>
      </c>
      <c r="M740">
        <v>0.99986719999999896</v>
      </c>
      <c r="N740">
        <v>0</v>
      </c>
      <c r="O740">
        <v>-1.2198250000000001E-2</v>
      </c>
      <c r="P740">
        <v>0.9940949</v>
      </c>
      <c r="Q740">
        <v>-9.7017709999999997E-3</v>
      </c>
      <c r="R740">
        <v>0.1080798</v>
      </c>
      <c r="S740">
        <v>3.0013730000000001</v>
      </c>
      <c r="T740">
        <v>-9.5601199999999997E-2</v>
      </c>
      <c r="U740">
        <v>0.14151</v>
      </c>
      <c r="V740">
        <v>-0.120198499999999</v>
      </c>
      <c r="W740">
        <v>1.040284E-3</v>
      </c>
      <c r="X740">
        <v>0.99274929999999995</v>
      </c>
      <c r="Y740">
        <v>-5.924186E-2</v>
      </c>
      <c r="Z740">
        <v>1.3310119999999999E-3</v>
      </c>
      <c r="AA740">
        <v>0.99824279999999999</v>
      </c>
      <c r="AB740">
        <v>32</v>
      </c>
      <c r="AC740">
        <v>34.501199999999997</v>
      </c>
      <c r="AD740">
        <v>-1.1041303308170001</v>
      </c>
      <c r="AE740">
        <v>1.6363000000000001</v>
      </c>
      <c r="AF740">
        <v>-2.0549571793544898</v>
      </c>
      <c r="AG740">
        <v>-1.1041303308170001</v>
      </c>
      <c r="AH740">
        <v>34.4434747777374</v>
      </c>
      <c r="AI740">
        <v>91.832805075036006</v>
      </c>
      <c r="AJ740">
        <v>93.414317864732993</v>
      </c>
      <c r="AK740">
        <v>34.522382703994197</v>
      </c>
    </row>
    <row r="741" spans="1:37" x14ac:dyDescent="0.2">
      <c r="A741" t="str">
        <f>"20200111155514919"</f>
        <v>20200111155514919</v>
      </c>
      <c r="B741" t="str">
        <f>"1578729314913203"</f>
        <v>1578729314913203</v>
      </c>
      <c r="C741" t="s">
        <v>37</v>
      </c>
      <c r="D741">
        <v>4.601064</v>
      </c>
      <c r="E741">
        <v>0.52269489999999996</v>
      </c>
      <c r="F741" t="s">
        <v>38</v>
      </c>
      <c r="G741">
        <v>-323.35000000000002</v>
      </c>
      <c r="H741" s="1">
        <v>-2.90137999999999E-6</v>
      </c>
      <c r="I741">
        <v>369.24299999999999</v>
      </c>
      <c r="J741">
        <v>-359.05540000000002</v>
      </c>
      <c r="K741">
        <v>1.1041270000000001</v>
      </c>
      <c r="L741">
        <v>367.49709999999999</v>
      </c>
      <c r="M741">
        <v>0.99986699999999995</v>
      </c>
      <c r="N741">
        <v>0</v>
      </c>
      <c r="O741">
        <v>-1.2217769999999999E-2</v>
      </c>
      <c r="P741">
        <v>0.99406669999999997</v>
      </c>
      <c r="Q741">
        <v>-9.9124069999999998E-3</v>
      </c>
      <c r="R741">
        <v>0.10832119999999899</v>
      </c>
      <c r="S741">
        <v>3.0010379999999999</v>
      </c>
      <c r="T741">
        <v>-9.2361330000000005E-2</v>
      </c>
      <c r="U741">
        <v>0.145874</v>
      </c>
      <c r="V741">
        <v>-0.12045889999999999</v>
      </c>
      <c r="W741">
        <v>8.4621119999999999E-4</v>
      </c>
      <c r="X741">
        <v>0.99271799999999999</v>
      </c>
      <c r="Y741">
        <v>-6.0716539999999999E-2</v>
      </c>
      <c r="Z741">
        <v>1.3093E-3</v>
      </c>
      <c r="AA741">
        <v>0.99815419999999999</v>
      </c>
      <c r="AB741">
        <v>32</v>
      </c>
      <c r="AC741">
        <v>35.705399999999997</v>
      </c>
      <c r="AD741">
        <v>-1.1041299013799999</v>
      </c>
      <c r="AE741">
        <v>1.74590000000006</v>
      </c>
      <c r="AF741">
        <v>-2.1799558791425602</v>
      </c>
      <c r="AG741">
        <v>-1.1041299013799999</v>
      </c>
      <c r="AH741">
        <v>35.647395798182501</v>
      </c>
      <c r="AI741">
        <v>91.7707862097418</v>
      </c>
      <c r="AJ741">
        <v>93.499467968078505</v>
      </c>
      <c r="AK741">
        <v>35.731052848557503</v>
      </c>
    </row>
    <row r="742" spans="1:37" x14ac:dyDescent="0.2">
      <c r="A742" t="str">
        <f>"20200111155514931"</f>
        <v>20200111155514931</v>
      </c>
      <c r="B742" t="str">
        <f>"1578729314922963"</f>
        <v>1578729314922963</v>
      </c>
      <c r="C742" t="s">
        <v>37</v>
      </c>
      <c r="D742">
        <v>4.6213280000000001</v>
      </c>
      <c r="E742">
        <v>0.52267920000000001</v>
      </c>
      <c r="F742" t="s">
        <v>38</v>
      </c>
      <c r="G742">
        <v>-323.37959999999998</v>
      </c>
      <c r="H742" s="1">
        <v>-2.8907379999999999E-6</v>
      </c>
      <c r="I742">
        <v>369.23149999999998</v>
      </c>
      <c r="J742">
        <v>-358.86790000000002</v>
      </c>
      <c r="K742">
        <v>1.104128</v>
      </c>
      <c r="L742">
        <v>367.4948</v>
      </c>
      <c r="M742">
        <v>0.99986640000000004</v>
      </c>
      <c r="N742">
        <v>0</v>
      </c>
      <c r="O742">
        <v>-1.223956E-2</v>
      </c>
      <c r="P742">
        <v>0.99402739999999901</v>
      </c>
      <c r="Q742">
        <v>-9.5992130000000005E-3</v>
      </c>
      <c r="R742">
        <v>0.1087086</v>
      </c>
      <c r="S742">
        <v>3.0010680000000001</v>
      </c>
      <c r="T742">
        <v>-9.2879890000000007E-2</v>
      </c>
      <c r="U742">
        <v>0.14590449999999999</v>
      </c>
      <c r="V742">
        <v>-0.1208673</v>
      </c>
      <c r="W742">
        <v>1.176659E-3</v>
      </c>
      <c r="X742">
        <v>0.99266799999999999</v>
      </c>
      <c r="Y742">
        <v>-6.0747519999999999E-2</v>
      </c>
      <c r="Z742">
        <v>1.317787E-3</v>
      </c>
      <c r="AA742">
        <v>0.99815229999999999</v>
      </c>
      <c r="AB742">
        <v>32</v>
      </c>
      <c r="AC742">
        <v>35.488300000000002</v>
      </c>
      <c r="AD742">
        <v>-1.1041308907380001</v>
      </c>
      <c r="AE742">
        <v>1.7366999999999799</v>
      </c>
      <c r="AF742">
        <v>-2.1688621457777799</v>
      </c>
      <c r="AG742">
        <v>-1.1041308907380001</v>
      </c>
      <c r="AH742">
        <v>35.4301696011755</v>
      </c>
      <c r="AI742">
        <v>91.781631001180202</v>
      </c>
      <c r="AJ742">
        <v>93.502996899474198</v>
      </c>
      <c r="AK742">
        <v>35.513659146859702</v>
      </c>
    </row>
    <row r="743" spans="1:37" x14ac:dyDescent="0.2">
      <c r="A743" t="str">
        <f>"20200111155514945"</f>
        <v>20200111155514945</v>
      </c>
      <c r="B743" t="str">
        <f>"1578729314933699"</f>
        <v>1578729314933699</v>
      </c>
      <c r="C743" t="s">
        <v>37</v>
      </c>
      <c r="D743">
        <v>4.7466730000000004</v>
      </c>
      <c r="E743">
        <v>0.52246340000000002</v>
      </c>
      <c r="F743" t="s">
        <v>38</v>
      </c>
      <c r="G743">
        <v>-322.55900000000003</v>
      </c>
      <c r="H743" s="1">
        <v>-3.2342459999999999E-6</v>
      </c>
      <c r="I743">
        <v>369.27960000000002</v>
      </c>
      <c r="J743">
        <v>-358.68389999999999</v>
      </c>
      <c r="K743">
        <v>1.1041299999999901</v>
      </c>
      <c r="L743">
        <v>367.49250000000001</v>
      </c>
      <c r="M743">
        <v>0.99986600000000003</v>
      </c>
      <c r="N743">
        <v>0</v>
      </c>
      <c r="O743">
        <v>-1.226086E-2</v>
      </c>
      <c r="P743">
        <v>0.99400350000000004</v>
      </c>
      <c r="Q743">
        <v>-9.7752859999999994E-3</v>
      </c>
      <c r="R743">
        <v>0.10891199999999999</v>
      </c>
      <c r="S743">
        <v>3.001007</v>
      </c>
      <c r="T743">
        <v>-9.1258530000000004E-2</v>
      </c>
      <c r="U743">
        <v>0.14752199999999999</v>
      </c>
      <c r="V743">
        <v>-0.1210917</v>
      </c>
      <c r="W743">
        <v>1.016442E-3</v>
      </c>
      <c r="X743">
        <v>0.99264079999999999</v>
      </c>
      <c r="Y743">
        <v>-6.130737E-2</v>
      </c>
      <c r="Z743">
        <v>1.303956E-3</v>
      </c>
      <c r="AA743">
        <v>0.99811810000000001</v>
      </c>
      <c r="AB743">
        <v>32</v>
      </c>
      <c r="AC743">
        <v>36.124899999999897</v>
      </c>
      <c r="AD743">
        <v>-1.10413323424599</v>
      </c>
      <c r="AE743">
        <v>1.7870999999999999</v>
      </c>
      <c r="AF743">
        <v>-2.2278379358626901</v>
      </c>
      <c r="AG743">
        <v>-1.10413323424599</v>
      </c>
      <c r="AH743">
        <v>36.066661173175397</v>
      </c>
      <c r="AI743">
        <v>91.750153399472794</v>
      </c>
      <c r="AJ743">
        <v>93.534669752008099</v>
      </c>
      <c r="AK743">
        <v>36.152267152255803</v>
      </c>
    </row>
    <row r="744" spans="1:37" x14ac:dyDescent="0.2">
      <c r="A744" t="str">
        <f>"20200111155514960"</f>
        <v>20200111155514960</v>
      </c>
      <c r="B744" t="str">
        <f>"1578729314953220"</f>
        <v>1578729314953220</v>
      </c>
      <c r="C744" t="s">
        <v>37</v>
      </c>
      <c r="D744">
        <v>4.9553199999999897</v>
      </c>
      <c r="E744">
        <v>0.52243009999999901</v>
      </c>
      <c r="F744" t="s">
        <v>38</v>
      </c>
      <c r="G744">
        <v>-322.83550000000002</v>
      </c>
      <c r="H744" s="1">
        <v>-3.1152339999999999E-6</v>
      </c>
      <c r="I744">
        <v>369.28179999999998</v>
      </c>
      <c r="J744">
        <v>-358.47039999999998</v>
      </c>
      <c r="K744">
        <v>1.104131</v>
      </c>
      <c r="L744">
        <v>367.48989999999998</v>
      </c>
      <c r="M744">
        <v>0.99986549999999996</v>
      </c>
      <c r="N744">
        <v>0</v>
      </c>
      <c r="O744">
        <v>-1.2285280000000001E-2</v>
      </c>
      <c r="P744">
        <v>0.99400480000000002</v>
      </c>
      <c r="Q744">
        <v>-9.9449719999999998E-3</v>
      </c>
      <c r="R744">
        <v>0.1088837</v>
      </c>
      <c r="S744">
        <v>3.0007929999999998</v>
      </c>
      <c r="T744">
        <v>-9.2424389999999995E-2</v>
      </c>
      <c r="U744">
        <v>0.14978029999999901</v>
      </c>
      <c r="V744">
        <v>-0.121088</v>
      </c>
      <c r="W744">
        <v>8.6433099999999998E-4</v>
      </c>
      <c r="X744">
        <v>0.99264140000000001</v>
      </c>
      <c r="Y744">
        <v>-6.2083289999999999E-2</v>
      </c>
      <c r="Z744">
        <v>1.333367E-3</v>
      </c>
      <c r="AA744">
        <v>0.99807009999999996</v>
      </c>
      <c r="AB744">
        <v>32</v>
      </c>
      <c r="AC744">
        <v>35.634899999999902</v>
      </c>
      <c r="AD744">
        <v>-1.1041341152339901</v>
      </c>
      <c r="AE744">
        <v>1.7918999999999901</v>
      </c>
      <c r="AF744">
        <v>-2.22744226650161</v>
      </c>
      <c r="AG744">
        <v>-1.1041341152339901</v>
      </c>
      <c r="AH744">
        <v>35.5761265200899</v>
      </c>
      <c r="AI744">
        <v>91.774178818844405</v>
      </c>
      <c r="AJ744">
        <v>93.582646008994303</v>
      </c>
      <c r="AK744">
        <v>35.662885320294301</v>
      </c>
    </row>
    <row r="745" spans="1:37" x14ac:dyDescent="0.2">
      <c r="A745" t="str">
        <f>"20200111155514973"</f>
        <v>20200111155514973</v>
      </c>
      <c r="B745" t="str">
        <f>"1578729314962980"</f>
        <v>1578729314962980</v>
      </c>
      <c r="C745" t="s">
        <v>37</v>
      </c>
      <c r="D745">
        <v>4.7038209999999996</v>
      </c>
      <c r="E745">
        <v>0.53680380000000005</v>
      </c>
      <c r="F745" t="s">
        <v>38</v>
      </c>
      <c r="G745">
        <v>-323.29829999999998</v>
      </c>
      <c r="H745" s="1">
        <v>-2.9228129999999999E-6</v>
      </c>
      <c r="I745">
        <v>369.24720000000002</v>
      </c>
      <c r="J745">
        <v>-358.2713</v>
      </c>
      <c r="K745">
        <v>1.1041339999999999</v>
      </c>
      <c r="L745">
        <v>367.48739999999998</v>
      </c>
      <c r="M745">
        <v>0.99986509999999995</v>
      </c>
      <c r="N745">
        <v>0</v>
      </c>
      <c r="O745">
        <v>-1.2308370000000001E-2</v>
      </c>
      <c r="P745">
        <v>0.99401989999999996</v>
      </c>
      <c r="Q745">
        <v>-1.0579180000000001E-2</v>
      </c>
      <c r="R745">
        <v>0.1086877</v>
      </c>
      <c r="S745">
        <v>3.0007630000000001</v>
      </c>
      <c r="T745">
        <v>-9.4200729999999996E-2</v>
      </c>
      <c r="U745">
        <v>0.14993290000000001</v>
      </c>
      <c r="V745">
        <v>-0.1209152</v>
      </c>
      <c r="W745">
        <v>2.4539620000000001E-4</v>
      </c>
      <c r="X745">
        <v>0.99266279999999996</v>
      </c>
      <c r="Y745">
        <v>-6.2156059999999999E-2</v>
      </c>
      <c r="Z745">
        <v>1.3608589999999901E-3</v>
      </c>
      <c r="AA745">
        <v>0.99806550000000005</v>
      </c>
      <c r="AB745">
        <v>32</v>
      </c>
      <c r="AC745">
        <v>34.972999999999999</v>
      </c>
      <c r="AD745">
        <v>-1.104136922813</v>
      </c>
      <c r="AE745">
        <v>1.75980000000004</v>
      </c>
      <c r="AF745">
        <v>-2.18797743512676</v>
      </c>
      <c r="AG745">
        <v>-1.104136922813</v>
      </c>
      <c r="AH745">
        <v>34.913976778514098</v>
      </c>
      <c r="AI745">
        <v>91.807802474227302</v>
      </c>
      <c r="AJ745">
        <v>93.585903449012704</v>
      </c>
      <c r="AK745">
        <v>34.999887686842101</v>
      </c>
    </row>
    <row r="746" spans="1:37" x14ac:dyDescent="0.2">
      <c r="A746" t="str">
        <f>"20200111155514985"</f>
        <v>20200111155514985</v>
      </c>
      <c r="B746" t="str">
        <f>"1578729314973716"</f>
        <v>1578729314973716</v>
      </c>
      <c r="C746" t="s">
        <v>37</v>
      </c>
      <c r="D746">
        <v>4.7777529999999997</v>
      </c>
      <c r="E746">
        <v>0.53590360000000004</v>
      </c>
      <c r="F746" t="s">
        <v>38</v>
      </c>
      <c r="G746">
        <v>-331.1071</v>
      </c>
      <c r="H746" s="1">
        <v>-4.1176129999999999E-6</v>
      </c>
      <c r="I746">
        <v>367.8109</v>
      </c>
      <c r="J746">
        <v>-358.10640000000001</v>
      </c>
      <c r="K746">
        <v>1.1041350000000001</v>
      </c>
      <c r="L746">
        <v>367.48540000000003</v>
      </c>
      <c r="M746">
        <v>0.99986459999999999</v>
      </c>
      <c r="N746">
        <v>0</v>
      </c>
      <c r="O746">
        <v>-1.232727E-2</v>
      </c>
      <c r="P746">
        <v>0.99404269999999995</v>
      </c>
      <c r="Q746">
        <v>-1.0941299999999999E-2</v>
      </c>
      <c r="R746">
        <v>0.1084421</v>
      </c>
      <c r="S746">
        <v>3.0128169999999899</v>
      </c>
      <c r="T746">
        <v>-0.12246079999999999</v>
      </c>
      <c r="U746">
        <v>3.5888669999999998E-2</v>
      </c>
      <c r="V746">
        <v>-0.120689</v>
      </c>
      <c r="W746">
        <v>-1.044943E-4</v>
      </c>
      <c r="X746">
        <v>0.99269039999999997</v>
      </c>
      <c r="Y746">
        <v>-2.4207220000000002E-2</v>
      </c>
      <c r="Z746">
        <v>9.9261729999999999E-4</v>
      </c>
      <c r="AA746">
        <v>0.9997064</v>
      </c>
      <c r="AB746">
        <v>32</v>
      </c>
      <c r="AC746">
        <v>26.999300000000002</v>
      </c>
      <c r="AD746">
        <v>-1.104139117613</v>
      </c>
      <c r="AE746">
        <v>0.32549999999997598</v>
      </c>
      <c r="AF746">
        <v>-0.65722371300766302</v>
      </c>
      <c r="AG746">
        <v>-1.104139117613</v>
      </c>
      <c r="AH746">
        <v>26.948173657452202</v>
      </c>
      <c r="AI746">
        <v>92.345553087723403</v>
      </c>
      <c r="AJ746">
        <v>91.397077300655695</v>
      </c>
      <c r="AK746">
        <v>26.9787903671047</v>
      </c>
    </row>
    <row r="747" spans="1:37" x14ac:dyDescent="0.2">
      <c r="A747" t="str">
        <f>"20200111155515220"</f>
        <v>20200111155515220</v>
      </c>
      <c r="B747" t="str">
        <f>"1578729315212835"</f>
        <v>1578729315212835</v>
      </c>
      <c r="C747" t="s">
        <v>37</v>
      </c>
      <c r="D747">
        <v>4.5907330000000002</v>
      </c>
      <c r="E747">
        <v>0.53574719999999998</v>
      </c>
      <c r="F747" t="s">
        <v>38</v>
      </c>
      <c r="G747">
        <v>-330.60969999999998</v>
      </c>
      <c r="H747" s="1">
        <v>-4.3203750000000001E-6</v>
      </c>
      <c r="I747">
        <v>367.87079999999997</v>
      </c>
      <c r="J747">
        <v>-354.73790000000002</v>
      </c>
      <c r="K747">
        <v>1.1041909999999999</v>
      </c>
      <c r="L747">
        <v>367.44279999999998</v>
      </c>
      <c r="M747">
        <v>0.99985840000000004</v>
      </c>
      <c r="N747">
        <v>0</v>
      </c>
      <c r="O747">
        <v>-1.2700660000000001E-2</v>
      </c>
      <c r="P747">
        <v>0.99434829999999996</v>
      </c>
      <c r="Q747">
        <v>-4.1551319999999997E-3</v>
      </c>
      <c r="R747">
        <v>0.106086999999999</v>
      </c>
      <c r="S747">
        <v>3.0120239999999998</v>
      </c>
      <c r="T747">
        <v>-0.1209484</v>
      </c>
      <c r="U747">
        <v>4.2236330000000002E-2</v>
      </c>
      <c r="V747">
        <v>-0.11870739999999901</v>
      </c>
      <c r="W747">
        <v>6.8314179999999997E-3</v>
      </c>
      <c r="X747">
        <v>0.99290579999999995</v>
      </c>
      <c r="Y747">
        <v>-2.6688509999999999E-2</v>
      </c>
      <c r="Z747">
        <v>1.045399E-3</v>
      </c>
      <c r="AA747">
        <v>0.99964330000000001</v>
      </c>
      <c r="AB747">
        <v>32</v>
      </c>
      <c r="AC747">
        <v>24.1282</v>
      </c>
      <c r="AD747">
        <v>-1.1041953203749999</v>
      </c>
      <c r="AE747">
        <v>0.42799999999999699</v>
      </c>
      <c r="AF747">
        <v>-0.73289378726103205</v>
      </c>
      <c r="AG747">
        <v>-1.1041953203749999</v>
      </c>
      <c r="AH747">
        <v>24.070422265860302</v>
      </c>
      <c r="AI747">
        <v>92.625303549992395</v>
      </c>
      <c r="AJ747">
        <v>91.7439973053133</v>
      </c>
      <c r="AK747">
        <v>24.1068788661197</v>
      </c>
    </row>
    <row r="748" spans="1:37" x14ac:dyDescent="0.2">
      <c r="A748" t="str">
        <f>"20200111155515231"</f>
        <v>20200111155515231</v>
      </c>
      <c r="B748" t="str">
        <f>"1578729315223571"</f>
        <v>1578729315223571</v>
      </c>
      <c r="C748" t="s">
        <v>37</v>
      </c>
      <c r="D748">
        <v>4.5342859999999998</v>
      </c>
      <c r="E748">
        <v>0.53625</v>
      </c>
      <c r="F748" t="s">
        <v>38</v>
      </c>
      <c r="G748">
        <v>-321.27499999999998</v>
      </c>
      <c r="H748" s="1">
        <v>-4.0390819999999999E-6</v>
      </c>
      <c r="I748">
        <v>367.84750000000003</v>
      </c>
      <c r="J748">
        <v>-354.57429999999999</v>
      </c>
      <c r="K748">
        <v>1.1041969999999901</v>
      </c>
      <c r="L748">
        <v>367.44069999999999</v>
      </c>
      <c r="M748">
        <v>0.99985809999999997</v>
      </c>
      <c r="N748">
        <v>0</v>
      </c>
      <c r="O748">
        <v>-1.2711139999999999E-2</v>
      </c>
      <c r="P748">
        <v>0.9943959</v>
      </c>
      <c r="Q748">
        <v>-4.0005659999999997E-3</v>
      </c>
      <c r="R748">
        <v>0.105645699999999</v>
      </c>
      <c r="S748">
        <v>3.0127259999999998</v>
      </c>
      <c r="T748">
        <v>-9.9412680000000003E-2</v>
      </c>
      <c r="U748">
        <v>3.6437990000000003E-2</v>
      </c>
      <c r="V748">
        <v>-0.1182773</v>
      </c>
      <c r="W748">
        <v>6.9916319999999898E-3</v>
      </c>
      <c r="X748">
        <v>0.99295599999999995</v>
      </c>
      <c r="Y748">
        <v>-2.4783409999999999E-2</v>
      </c>
      <c r="Z748">
        <v>8.2810289999999905E-4</v>
      </c>
      <c r="AA748">
        <v>0.99969249999999898</v>
      </c>
      <c r="AB748">
        <v>32</v>
      </c>
      <c r="AC748">
        <v>33.299300000000002</v>
      </c>
      <c r="AD748">
        <v>-1.1042010390819901</v>
      </c>
      <c r="AE748">
        <v>0.40680000000003202</v>
      </c>
      <c r="AF748">
        <v>-0.82915347763591096</v>
      </c>
      <c r="AG748">
        <v>-1.1042010390819901</v>
      </c>
      <c r="AH748">
        <v>33.254877340005102</v>
      </c>
      <c r="AI748">
        <v>91.901170432151801</v>
      </c>
      <c r="AJ748">
        <v>91.428276324138906</v>
      </c>
      <c r="AK748">
        <v>33.283533801610801</v>
      </c>
    </row>
    <row r="749" spans="1:37" x14ac:dyDescent="0.2">
      <c r="A749" t="str">
        <f>"20200111155515255"</f>
        <v>20200111155515255</v>
      </c>
      <c r="B749" t="str">
        <f>"1578729315252852"</f>
        <v>1578729315252852</v>
      </c>
      <c r="C749" t="s">
        <v>37</v>
      </c>
      <c r="D749">
        <v>4.5736809999999997</v>
      </c>
      <c r="E749">
        <v>0.53719269999999997</v>
      </c>
      <c r="F749" t="s">
        <v>38</v>
      </c>
      <c r="G749">
        <v>-321.55900000000003</v>
      </c>
      <c r="H749" s="1">
        <v>-3.9294619999999996E-6</v>
      </c>
      <c r="I749">
        <v>367.77870000000001</v>
      </c>
      <c r="J749">
        <v>-354.21539999999999</v>
      </c>
      <c r="K749">
        <v>1.1042080000000001</v>
      </c>
      <c r="L749">
        <v>367.43610000000001</v>
      </c>
      <c r="M749">
        <v>0.99985780000000002</v>
      </c>
      <c r="N749">
        <v>0</v>
      </c>
      <c r="O749">
        <v>-1.272912E-2</v>
      </c>
      <c r="P749">
        <v>0.9944596</v>
      </c>
      <c r="Q749">
        <v>-3.8834070000000002E-3</v>
      </c>
      <c r="R749">
        <v>0.10504819999999999</v>
      </c>
      <c r="S749">
        <v>3.013245</v>
      </c>
      <c r="T749">
        <v>-0.1007781</v>
      </c>
      <c r="U749">
        <v>3.0853269999999999E-2</v>
      </c>
      <c r="V749">
        <v>-0.1176986</v>
      </c>
      <c r="W749">
        <v>7.1227590000000002E-3</v>
      </c>
      <c r="X749">
        <v>0.99302380000000001</v>
      </c>
      <c r="Y749">
        <v>-2.2947140000000001E-2</v>
      </c>
      <c r="Z749">
        <v>8.0923690000000005E-4</v>
      </c>
      <c r="AA749">
        <v>0.99973639999999997</v>
      </c>
      <c r="AB749">
        <v>32</v>
      </c>
      <c r="AC749">
        <v>32.656399999999898</v>
      </c>
      <c r="AD749">
        <v>-1.1042119294620001</v>
      </c>
      <c r="AE749">
        <v>0.34260000000000401</v>
      </c>
      <c r="AF749">
        <v>-0.75741902794448501</v>
      </c>
      <c r="AG749">
        <v>-1.1042119294620001</v>
      </c>
      <c r="AH749">
        <v>32.612110625355101</v>
      </c>
      <c r="AI749">
        <v>91.938711877083904</v>
      </c>
      <c r="AJ749">
        <v>91.330460141509306</v>
      </c>
      <c r="AK749">
        <v>32.639588340073402</v>
      </c>
    </row>
    <row r="750" spans="1:37" x14ac:dyDescent="0.2">
      <c r="A750" t="str">
        <f>"20200111155515267"</f>
        <v>20200111155515267</v>
      </c>
      <c r="B750" t="str">
        <f>"1578729315263222"</f>
        <v>1578729315263222</v>
      </c>
      <c r="C750" t="s">
        <v>37</v>
      </c>
      <c r="D750">
        <v>4.5461489999999998</v>
      </c>
      <c r="E750">
        <v>0.53719269999999997</v>
      </c>
      <c r="F750" t="s">
        <v>38</v>
      </c>
      <c r="G750">
        <v>-322.12569999999999</v>
      </c>
      <c r="H750" s="1">
        <v>-3.7059739999999999E-6</v>
      </c>
      <c r="I750">
        <v>367.66800000000001</v>
      </c>
      <c r="J750">
        <v>-354.05</v>
      </c>
      <c r="K750">
        <v>1.104212</v>
      </c>
      <c r="L750">
        <v>367.43400000000003</v>
      </c>
      <c r="M750">
        <v>0.99985759999999901</v>
      </c>
      <c r="N750">
        <v>0</v>
      </c>
      <c r="O750">
        <v>-1.273472E-2</v>
      </c>
      <c r="P750">
        <v>0.99449809999999905</v>
      </c>
      <c r="Q750">
        <v>-3.9057850000000002E-3</v>
      </c>
      <c r="R750">
        <v>0.1046839</v>
      </c>
      <c r="S750">
        <v>3.0140380000000002</v>
      </c>
      <c r="T750">
        <v>-0.1037134</v>
      </c>
      <c r="U750">
        <v>2.1789550000000001E-2</v>
      </c>
      <c r="V750">
        <v>-0.11734020000000001</v>
      </c>
      <c r="W750">
        <v>7.1079769999999997E-3</v>
      </c>
      <c r="X750">
        <v>0.99306640000000002</v>
      </c>
      <c r="Y750">
        <v>-1.9944409999999999E-2</v>
      </c>
      <c r="Z750">
        <v>7.8112929999999998E-4</v>
      </c>
      <c r="AA750">
        <v>0.99980079999999905</v>
      </c>
      <c r="AB750">
        <v>32</v>
      </c>
      <c r="AC750">
        <v>31.924299999999999</v>
      </c>
      <c r="AD750">
        <v>-1.1042157059739901</v>
      </c>
      <c r="AE750">
        <v>0.23399999999998</v>
      </c>
      <c r="AF750">
        <v>-0.63978758854030104</v>
      </c>
      <c r="AG750">
        <v>-1.1042157059739901</v>
      </c>
      <c r="AH750">
        <v>31.8805919431577</v>
      </c>
      <c r="AI750">
        <v>91.983303752450198</v>
      </c>
      <c r="AJ750">
        <v>91.149671525291595</v>
      </c>
      <c r="AK750">
        <v>31.906124226077701</v>
      </c>
    </row>
    <row r="751" spans="1:37" x14ac:dyDescent="0.2">
      <c r="A751" t="str">
        <f>"20200111155515278"</f>
        <v>20200111155515278</v>
      </c>
      <c r="B751" t="str">
        <f>"1578729315272982"</f>
        <v>1578729315272982</v>
      </c>
      <c r="C751" t="s">
        <v>37</v>
      </c>
      <c r="D751">
        <v>4.4990430000000003</v>
      </c>
      <c r="E751">
        <v>0.56399929999999998</v>
      </c>
      <c r="F751" t="s">
        <v>38</v>
      </c>
      <c r="G751">
        <v>-321.99549999999999</v>
      </c>
      <c r="H751" s="1">
        <v>-3.7640519999999899E-6</v>
      </c>
      <c r="I751">
        <v>367.65559999999999</v>
      </c>
      <c r="J751">
        <v>-353.8809</v>
      </c>
      <c r="K751">
        <v>1.104217</v>
      </c>
      <c r="L751">
        <v>367.43189999999998</v>
      </c>
      <c r="M751">
        <v>0.99985740000000001</v>
      </c>
      <c r="N751">
        <v>0</v>
      </c>
      <c r="O751">
        <v>-1.273961E-2</v>
      </c>
      <c r="P751">
        <v>0.99453549999999902</v>
      </c>
      <c r="Q751">
        <v>-4.0489920000000004E-3</v>
      </c>
      <c r="R751">
        <v>0.1043206</v>
      </c>
      <c r="S751">
        <v>3.014008</v>
      </c>
      <c r="T751">
        <v>-0.1038263</v>
      </c>
      <c r="U751">
        <v>2.0843509999999999E-2</v>
      </c>
      <c r="V751">
        <v>-0.1169823</v>
      </c>
      <c r="W751">
        <v>6.9725589999999997E-3</v>
      </c>
      <c r="X751">
        <v>0.99310949999999998</v>
      </c>
      <c r="Y751">
        <v>-1.9635710000000001E-2</v>
      </c>
      <c r="Z751">
        <v>7.7684080000000005E-4</v>
      </c>
      <c r="AA751">
        <v>0.99980689999999905</v>
      </c>
      <c r="AB751">
        <v>32</v>
      </c>
      <c r="AC751">
        <v>31.885400000000001</v>
      </c>
      <c r="AD751">
        <v>-1.1042207640520001</v>
      </c>
      <c r="AE751">
        <v>0.223700000000008</v>
      </c>
      <c r="AF751">
        <v>-0.62915985013409703</v>
      </c>
      <c r="AG751">
        <v>-1.1042207640520001</v>
      </c>
      <c r="AH751">
        <v>31.841776103984099</v>
      </c>
      <c r="AI751">
        <v>91.985740814753996</v>
      </c>
      <c r="AJ751">
        <v>91.131956765519803</v>
      </c>
      <c r="AK751">
        <v>31.867128064339798</v>
      </c>
    </row>
    <row r="752" spans="1:37" x14ac:dyDescent="0.2">
      <c r="A752" t="str">
        <f>"20200111155515290"</f>
        <v>20200111155515290</v>
      </c>
      <c r="B752" t="str">
        <f>"1578729315283718"</f>
        <v>1578729315283718</v>
      </c>
      <c r="C752" t="s">
        <v>37</v>
      </c>
      <c r="D752">
        <v>4.4924480000000004</v>
      </c>
      <c r="E752">
        <v>0.56642159999999997</v>
      </c>
      <c r="F752" t="s">
        <v>38</v>
      </c>
      <c r="G752">
        <v>-322.98579999999998</v>
      </c>
      <c r="H752" s="1">
        <v>-3.72733499999999E-6</v>
      </c>
      <c r="I752">
        <v>365.4674</v>
      </c>
      <c r="J752">
        <v>-353.71289999999999</v>
      </c>
      <c r="K752">
        <v>1.1042179999999999</v>
      </c>
      <c r="L752">
        <v>367.42970000000003</v>
      </c>
      <c r="M752">
        <v>0.99985729999999995</v>
      </c>
      <c r="N752">
        <v>0</v>
      </c>
      <c r="O752">
        <v>-1.2742730000000001E-2</v>
      </c>
      <c r="P752">
        <v>0.99456549999999999</v>
      </c>
      <c r="Q752">
        <v>-4.2118879999999996E-3</v>
      </c>
      <c r="R752">
        <v>0.104028</v>
      </c>
      <c r="S752">
        <v>3.0363159999999998</v>
      </c>
      <c r="T752">
        <v>-0.108520699999999</v>
      </c>
      <c r="U752">
        <v>-0.19305420000000001</v>
      </c>
      <c r="V752">
        <v>-0.11669349999999901</v>
      </c>
      <c r="W752">
        <v>6.818068E-3</v>
      </c>
      <c r="X752">
        <v>0.99314460000000004</v>
      </c>
      <c r="Y752">
        <v>5.0706479999999998E-2</v>
      </c>
      <c r="Z752">
        <v>-4.5014080000000003E-4</v>
      </c>
      <c r="AA752">
        <v>0.99871350000000003</v>
      </c>
      <c r="AB752">
        <v>32</v>
      </c>
      <c r="AC752">
        <v>30.7271</v>
      </c>
      <c r="AD752">
        <v>-1.1042217273349999</v>
      </c>
      <c r="AE752">
        <v>-1.9623000000000199</v>
      </c>
      <c r="AF752">
        <v>1.5685519952468601</v>
      </c>
      <c r="AG752">
        <v>-1.1042217273349999</v>
      </c>
      <c r="AH752">
        <v>30.710112760732599</v>
      </c>
      <c r="AI752">
        <v>92.056578031842704</v>
      </c>
      <c r="AJ752">
        <v>87.076097345066998</v>
      </c>
      <c r="AK752">
        <v>30.769964035757699</v>
      </c>
    </row>
    <row r="753" spans="1:37" x14ac:dyDescent="0.2">
      <c r="A753" t="str">
        <f>"20200111155515302"</f>
        <v>20200111155515302</v>
      </c>
      <c r="B753" t="str">
        <f>"1578729315293477"</f>
        <v>1578729315293477</v>
      </c>
      <c r="C753" t="s">
        <v>37</v>
      </c>
      <c r="D753">
        <v>4.4729939999999999</v>
      </c>
      <c r="E753">
        <v>0.56770750000000003</v>
      </c>
      <c r="F753" t="s">
        <v>38</v>
      </c>
      <c r="G753">
        <v>-323.48779999999999</v>
      </c>
      <c r="H753" s="1">
        <v>-3.5394329999999998E-6</v>
      </c>
      <c r="I753">
        <v>365.31259999999997</v>
      </c>
      <c r="J753">
        <v>-353.55239999999998</v>
      </c>
      <c r="K753">
        <v>1.1042179999999999</v>
      </c>
      <c r="L753">
        <v>367.42770000000002</v>
      </c>
      <c r="M753">
        <v>0.9998572</v>
      </c>
      <c r="N753">
        <v>0</v>
      </c>
      <c r="O753">
        <v>-1.2744770000000001E-2</v>
      </c>
      <c r="P753">
        <v>0.99461540000000004</v>
      </c>
      <c r="Q753">
        <v>-4.1930400000000003E-3</v>
      </c>
      <c r="R753">
        <v>0.103551399999999</v>
      </c>
      <c r="S753">
        <v>3.0381770000000001</v>
      </c>
      <c r="T753">
        <v>-0.1109943</v>
      </c>
      <c r="U753">
        <v>-0.21279909999999999</v>
      </c>
      <c r="V753">
        <v>-0.116219499999999</v>
      </c>
      <c r="W753">
        <v>6.84477E-3</v>
      </c>
      <c r="X753">
        <v>0.99319990000000002</v>
      </c>
      <c r="Y753">
        <v>5.7120980000000002E-2</v>
      </c>
      <c r="Z753">
        <v>-5.7693269999999997E-4</v>
      </c>
      <c r="AA753">
        <v>0.99836709999999995</v>
      </c>
      <c r="AB753">
        <v>32</v>
      </c>
      <c r="AC753">
        <v>30.064599999999899</v>
      </c>
      <c r="AD753">
        <v>-1.1042215394329999</v>
      </c>
      <c r="AE753">
        <v>-2.1151000000000399</v>
      </c>
      <c r="AF753">
        <v>1.7294167492775701</v>
      </c>
      <c r="AG753">
        <v>-1.1042215394329999</v>
      </c>
      <c r="AH753">
        <v>30.048780837099301</v>
      </c>
      <c r="AI753">
        <v>92.101063442568204</v>
      </c>
      <c r="AJ753">
        <v>86.706053039860706</v>
      </c>
      <c r="AK753">
        <v>30.118755241491201</v>
      </c>
    </row>
    <row r="754" spans="1:37" x14ac:dyDescent="0.2">
      <c r="A754" t="str">
        <f>"20200111155515313"</f>
        <v>20200111155515313</v>
      </c>
      <c r="B754" t="str">
        <f>"1578729315303238"</f>
        <v>1578729315303238</v>
      </c>
      <c r="C754" t="s">
        <v>37</v>
      </c>
      <c r="D754">
        <v>4.4671430000000001</v>
      </c>
      <c r="E754">
        <v>0.5682625</v>
      </c>
      <c r="F754" t="s">
        <v>38</v>
      </c>
      <c r="G754">
        <v>-323.73869999999999</v>
      </c>
      <c r="H754" s="1">
        <v>-3.4473329999999999E-6</v>
      </c>
      <c r="I754">
        <v>365.2251</v>
      </c>
      <c r="J754">
        <v>-353.37630000000001</v>
      </c>
      <c r="K754">
        <v>1.10422</v>
      </c>
      <c r="L754">
        <v>367.42540000000002</v>
      </c>
      <c r="M754">
        <v>0.9998572</v>
      </c>
      <c r="N754">
        <v>0</v>
      </c>
      <c r="O754">
        <v>-1.274599E-2</v>
      </c>
      <c r="P754">
        <v>0.99465269999999995</v>
      </c>
      <c r="Q754">
        <v>-4.3886970000000004E-3</v>
      </c>
      <c r="R754">
        <v>0.10318479999999999</v>
      </c>
      <c r="S754">
        <v>3.0391539999999999</v>
      </c>
      <c r="T754">
        <v>-0.1125621</v>
      </c>
      <c r="U754">
        <v>-0.22451779999999999</v>
      </c>
      <c r="V754">
        <v>-0.1158549</v>
      </c>
      <c r="W754">
        <v>6.658331E-3</v>
      </c>
      <c r="X754">
        <v>0.99324380000000001</v>
      </c>
      <c r="Y754">
        <v>6.0923360000000003E-2</v>
      </c>
      <c r="Z754">
        <v>-6.5506050000000001E-4</v>
      </c>
      <c r="AA754">
        <v>0.99814219999999898</v>
      </c>
      <c r="AB754">
        <v>32</v>
      </c>
      <c r="AC754">
        <v>29.637599999999999</v>
      </c>
      <c r="AD754">
        <v>-1.1042234473329999</v>
      </c>
      <c r="AE754">
        <v>-2.2003000000000199</v>
      </c>
      <c r="AF754">
        <v>1.8198251360150901</v>
      </c>
      <c r="AG754">
        <v>-1.1042234473329999</v>
      </c>
      <c r="AH754">
        <v>29.622344809665101</v>
      </c>
      <c r="AI754">
        <v>92.1307960173325</v>
      </c>
      <c r="AJ754">
        <v>86.484497714956603</v>
      </c>
      <c r="AK754">
        <v>29.6987269924151</v>
      </c>
    </row>
    <row r="755" spans="1:37" x14ac:dyDescent="0.2">
      <c r="A755" t="str">
        <f>"20200111155515325"</f>
        <v>20200111155515325</v>
      </c>
      <c r="B755" t="str">
        <f>"1578729315323734"</f>
        <v>1578729315323734</v>
      </c>
      <c r="C755" t="s">
        <v>37</v>
      </c>
      <c r="D755">
        <v>4.6387510000000001</v>
      </c>
      <c r="E755">
        <v>0.56976190000000004</v>
      </c>
      <c r="F755" t="s">
        <v>38</v>
      </c>
      <c r="G755">
        <v>-324.01159999999999</v>
      </c>
      <c r="H755" s="1">
        <v>-3.3342569999999999E-6</v>
      </c>
      <c r="I755">
        <v>365.20260000000002</v>
      </c>
      <c r="J755">
        <v>-353.20920000000001</v>
      </c>
      <c r="K755">
        <v>1.1042209999999999</v>
      </c>
      <c r="L755">
        <v>367.42329999999998</v>
      </c>
      <c r="M755">
        <v>0.999857</v>
      </c>
      <c r="N755">
        <v>0</v>
      </c>
      <c r="O755">
        <v>-1.274314E-2</v>
      </c>
      <c r="P755">
        <v>0.99469569999999996</v>
      </c>
      <c r="Q755">
        <v>-4.4954979999999997E-3</v>
      </c>
      <c r="R755">
        <v>0.102763799999999</v>
      </c>
      <c r="S755">
        <v>3.0394899999999998</v>
      </c>
      <c r="T755">
        <v>-0.1142958</v>
      </c>
      <c r="U755">
        <v>-0.230071999999999</v>
      </c>
      <c r="V755">
        <v>-0.1154316</v>
      </c>
      <c r="W755">
        <v>6.559151E-3</v>
      </c>
      <c r="X755">
        <v>0.9932938</v>
      </c>
      <c r="Y755">
        <v>6.272954E-2</v>
      </c>
      <c r="Z755">
        <v>-6.990322E-4</v>
      </c>
      <c r="AA755">
        <v>0.99803030000000004</v>
      </c>
      <c r="AB755">
        <v>32</v>
      </c>
      <c r="AC755">
        <v>29.197600000000001</v>
      </c>
      <c r="AD755">
        <v>-1.104224334257</v>
      </c>
      <c r="AE755">
        <v>-2.2206999999999599</v>
      </c>
      <c r="AF755">
        <v>1.8458027381328499</v>
      </c>
      <c r="AG755">
        <v>-1.104224334257</v>
      </c>
      <c r="AH755">
        <v>29.182031040792801</v>
      </c>
      <c r="AI755">
        <v>92.162674176825405</v>
      </c>
      <c r="AJ755">
        <v>86.380786197895702</v>
      </c>
      <c r="AK755">
        <v>29.2611899073544</v>
      </c>
    </row>
    <row r="756" spans="1:37" x14ac:dyDescent="0.2">
      <c r="A756" t="str">
        <f>"20200111155515342"</f>
        <v>20200111155515342</v>
      </c>
      <c r="B756" t="str">
        <f>"1578729315333493"</f>
        <v>1578729315333493</v>
      </c>
      <c r="C756" t="s">
        <v>37</v>
      </c>
      <c r="D756">
        <v>4.4969060000000001</v>
      </c>
      <c r="E756">
        <v>0.56985039999999998</v>
      </c>
      <c r="F756" t="s">
        <v>38</v>
      </c>
      <c r="G756">
        <v>-323.26</v>
      </c>
      <c r="H756" s="1">
        <v>-3.6874609999999998E-6</v>
      </c>
      <c r="I756">
        <v>365.029</v>
      </c>
      <c r="J756">
        <v>-352.9769</v>
      </c>
      <c r="K756">
        <v>1.1042299999999901</v>
      </c>
      <c r="L756">
        <v>367.4203</v>
      </c>
      <c r="M756">
        <v>0.99985689999999905</v>
      </c>
      <c r="N756">
        <v>0</v>
      </c>
      <c r="O756">
        <v>-1.2732520000000001E-2</v>
      </c>
      <c r="P756">
        <v>0.99474439999999997</v>
      </c>
      <c r="Q756">
        <v>-4.9303489999999997E-3</v>
      </c>
      <c r="R756">
        <v>0.1022704</v>
      </c>
      <c r="S756">
        <v>3.040619</v>
      </c>
      <c r="T756">
        <v>-0.11210729999999999</v>
      </c>
      <c r="U756">
        <v>-0.2430725</v>
      </c>
      <c r="V756">
        <v>-0.114928399999999</v>
      </c>
      <c r="W756">
        <v>6.134774E-3</v>
      </c>
      <c r="X756">
        <v>0.99335490000000004</v>
      </c>
      <c r="Y756">
        <v>6.6951689999999994E-2</v>
      </c>
      <c r="Z756">
        <v>-7.6336799999999995E-4</v>
      </c>
      <c r="AA756">
        <v>0.99775590000000003</v>
      </c>
      <c r="AB756">
        <v>32</v>
      </c>
      <c r="AC756">
        <v>29.716899999999999</v>
      </c>
      <c r="AD756">
        <v>-1.1042336874609999</v>
      </c>
      <c r="AE756">
        <v>-2.3913000000000002</v>
      </c>
      <c r="AF756">
        <v>2.0099542473402101</v>
      </c>
      <c r="AG756">
        <v>-1.1042336874609999</v>
      </c>
      <c r="AH756">
        <v>29.704189776348901</v>
      </c>
      <c r="AI756">
        <v>92.124099801314699</v>
      </c>
      <c r="AJ756">
        <v>86.128942895327995</v>
      </c>
      <c r="AK756">
        <v>29.792585292019801</v>
      </c>
    </row>
    <row r="757" spans="1:37" x14ac:dyDescent="0.2">
      <c r="A757" t="str">
        <f>"20200111155515353"</f>
        <v>20200111155515353</v>
      </c>
      <c r="B757" t="str">
        <f>"1578729315343254"</f>
        <v>1578729315343254</v>
      </c>
      <c r="C757" t="s">
        <v>37</v>
      </c>
      <c r="D757">
        <v>4.6177419999999998</v>
      </c>
      <c r="E757">
        <v>0.57049629999999996</v>
      </c>
      <c r="F757" t="s">
        <v>38</v>
      </c>
      <c r="G757">
        <v>-323.2697</v>
      </c>
      <c r="H757" s="1">
        <v>-3.68471799999999E-6</v>
      </c>
      <c r="I757">
        <v>365.02120000000002</v>
      </c>
      <c r="J757">
        <v>-352.79689999999999</v>
      </c>
      <c r="K757">
        <v>1.104236</v>
      </c>
      <c r="L757">
        <v>367.41809999999998</v>
      </c>
      <c r="M757">
        <v>0.9998572</v>
      </c>
      <c r="N757">
        <v>0</v>
      </c>
      <c r="O757">
        <v>-1.2714339999999999E-2</v>
      </c>
      <c r="P757">
        <v>0.99480069999999998</v>
      </c>
      <c r="Q757">
        <v>-4.826327E-3</v>
      </c>
      <c r="R757">
        <v>0.10172639999999999</v>
      </c>
      <c r="S757">
        <v>3.0405880000000001</v>
      </c>
      <c r="T757">
        <v>-0.1130201</v>
      </c>
      <c r="U757">
        <v>-0.2455444</v>
      </c>
      <c r="V757">
        <v>-0.1143675</v>
      </c>
      <c r="W757">
        <v>6.2458749999999997E-3</v>
      </c>
      <c r="X757">
        <v>0.99341889999999999</v>
      </c>
      <c r="Y757">
        <v>6.7775379999999996E-2</v>
      </c>
      <c r="Z757">
        <v>-7.8551490000000005E-4</v>
      </c>
      <c r="AA757">
        <v>0.99770029999999998</v>
      </c>
      <c r="AB757">
        <v>32</v>
      </c>
      <c r="AC757">
        <v>29.527200000000001</v>
      </c>
      <c r="AD757">
        <v>-1.104239684718</v>
      </c>
      <c r="AE757">
        <v>-2.3968999999999601</v>
      </c>
      <c r="AF757">
        <v>2.0184596455310202</v>
      </c>
      <c r="AG757">
        <v>-1.104239684718</v>
      </c>
      <c r="AH757">
        <v>29.514282519677199</v>
      </c>
      <c r="AI757">
        <v>92.137661466889199</v>
      </c>
      <c r="AJ757">
        <v>86.087676451849404</v>
      </c>
      <c r="AK757">
        <v>29.603824031250799</v>
      </c>
    </row>
    <row r="758" spans="1:37" x14ac:dyDescent="0.2">
      <c r="A758" t="str">
        <f>"20200111155515368"</f>
        <v>20200111155515368</v>
      </c>
      <c r="B758" t="str">
        <f>"1578729315363750"</f>
        <v>1578729315363750</v>
      </c>
      <c r="C758" t="s">
        <v>37</v>
      </c>
      <c r="D758">
        <v>4.5153290000000004</v>
      </c>
      <c r="E758">
        <v>0.57099869999999997</v>
      </c>
      <c r="F758" t="s">
        <v>38</v>
      </c>
      <c r="G758">
        <v>-323.12479999999999</v>
      </c>
      <c r="H758" s="1">
        <v>-3.758257E-6</v>
      </c>
      <c r="I758">
        <v>364.95679999999999</v>
      </c>
      <c r="J758">
        <v>-352.60730000000001</v>
      </c>
      <c r="K758">
        <v>1.1042479999999999</v>
      </c>
      <c r="L758">
        <v>367.41559999999998</v>
      </c>
      <c r="M758">
        <v>0.99985729999999995</v>
      </c>
      <c r="N758">
        <v>0</v>
      </c>
      <c r="O758">
        <v>-1.26848E-2</v>
      </c>
      <c r="P758">
        <v>0.99479499999999998</v>
      </c>
      <c r="Q758">
        <v>-4.9062259999999996E-3</v>
      </c>
      <c r="R758">
        <v>0.1017788</v>
      </c>
      <c r="S758">
        <v>3.040924</v>
      </c>
      <c r="T758">
        <v>-0.1131672</v>
      </c>
      <c r="U758">
        <v>-0.2522278</v>
      </c>
      <c r="V758">
        <v>-0.1143903</v>
      </c>
      <c r="W758">
        <v>6.1705359999999999E-3</v>
      </c>
      <c r="X758">
        <v>0.99341669999999904</v>
      </c>
      <c r="Y758">
        <v>6.9972399999999907E-2</v>
      </c>
      <c r="Z758">
        <v>-8.2827490000000003E-4</v>
      </c>
      <c r="AA758">
        <v>0.99754859999999901</v>
      </c>
      <c r="AB758">
        <v>32</v>
      </c>
      <c r="AC758">
        <v>29.482500000000002</v>
      </c>
      <c r="AD758">
        <v>-1.1042517582569999</v>
      </c>
      <c r="AE758">
        <v>-2.4587999999999899</v>
      </c>
      <c r="AF758">
        <v>2.08169914221074</v>
      </c>
      <c r="AG758">
        <v>-1.1042517582569999</v>
      </c>
      <c r="AH758">
        <v>29.47026255954</v>
      </c>
      <c r="AI758">
        <v>92.140542320402503</v>
      </c>
      <c r="AJ758">
        <v>85.959493354997406</v>
      </c>
      <c r="AK758">
        <v>29.564323408333198</v>
      </c>
    </row>
    <row r="759" spans="1:37" x14ac:dyDescent="0.2">
      <c r="A759" t="str">
        <f>"20200111155515381"</f>
        <v>20200111155515381</v>
      </c>
      <c r="B759" t="str">
        <f>"1578729315373510"</f>
        <v>1578729315373510</v>
      </c>
      <c r="C759" t="s">
        <v>37</v>
      </c>
      <c r="D759">
        <v>4.5311050000000002</v>
      </c>
      <c r="E759">
        <v>0.5711138</v>
      </c>
      <c r="F759" t="s">
        <v>38</v>
      </c>
      <c r="G759">
        <v>-323.3759</v>
      </c>
      <c r="H759" s="1">
        <v>-3.65078199999999E-6</v>
      </c>
      <c r="I759">
        <v>364.9556</v>
      </c>
      <c r="J759">
        <v>-352.41329999999999</v>
      </c>
      <c r="K759">
        <v>1.104263</v>
      </c>
      <c r="L759">
        <v>367.41320000000002</v>
      </c>
      <c r="M759">
        <v>0.99985780000000002</v>
      </c>
      <c r="N759">
        <v>0</v>
      </c>
      <c r="O759">
        <v>-1.2646640000000001E-2</v>
      </c>
      <c r="P759">
        <v>0.99479649999999997</v>
      </c>
      <c r="Q759">
        <v>-4.7979959999999997E-3</v>
      </c>
      <c r="R759">
        <v>0.1017706</v>
      </c>
      <c r="S759">
        <v>3.0413509999999899</v>
      </c>
      <c r="T759">
        <v>-0.1148904</v>
      </c>
      <c r="U759">
        <v>-0.25595089999999998</v>
      </c>
      <c r="V759">
        <v>-0.11434469999999999</v>
      </c>
      <c r="W759">
        <v>6.2835440000000003E-3</v>
      </c>
      <c r="X759">
        <v>0.99342129999999995</v>
      </c>
      <c r="Y759">
        <v>7.1209499999999995E-2</v>
      </c>
      <c r="Z759">
        <v>-8.6547389999999896E-4</v>
      </c>
      <c r="AA759">
        <v>0.99746100000000004</v>
      </c>
      <c r="AB759">
        <v>32</v>
      </c>
      <c r="AC759">
        <v>29.037399999999899</v>
      </c>
      <c r="AD759">
        <v>-1.104266650782</v>
      </c>
      <c r="AE759">
        <v>-2.45760000000001</v>
      </c>
      <c r="AF759">
        <v>2.0871580325252399</v>
      </c>
      <c r="AG759">
        <v>-1.104266650782</v>
      </c>
      <c r="AH759">
        <v>29.024482787607301</v>
      </c>
      <c r="AI759">
        <v>92.173220367889996</v>
      </c>
      <c r="AJ759">
        <v>85.8869256745309</v>
      </c>
      <c r="AK759">
        <v>29.120374904469799</v>
      </c>
    </row>
    <row r="760" spans="1:37" x14ac:dyDescent="0.2">
      <c r="A760" t="str">
        <f>"20200111155515394"</f>
        <v>20200111155515394</v>
      </c>
      <c r="B760" t="str">
        <f>"1578729315383269"</f>
        <v>1578729315383269</v>
      </c>
      <c r="C760" t="s">
        <v>37</v>
      </c>
      <c r="D760">
        <v>4.62784</v>
      </c>
      <c r="E760">
        <v>0.57150299999999998</v>
      </c>
      <c r="F760" t="s">
        <v>38</v>
      </c>
      <c r="G760">
        <v>-323.42720000000003</v>
      </c>
      <c r="H760" s="1">
        <v>-3.6275859999999998E-6</v>
      </c>
      <c r="I760">
        <v>364.9622</v>
      </c>
      <c r="J760">
        <v>-352.21359999999999</v>
      </c>
      <c r="K760">
        <v>1.1042799999999999</v>
      </c>
      <c r="L760">
        <v>367.41070000000002</v>
      </c>
      <c r="M760">
        <v>0.99985840000000004</v>
      </c>
      <c r="N760">
        <v>0</v>
      </c>
      <c r="O760">
        <v>-1.2591969999999999E-2</v>
      </c>
      <c r="P760">
        <v>0.99481989999999998</v>
      </c>
      <c r="Q760">
        <v>-4.7724409999999997E-3</v>
      </c>
      <c r="R760">
        <v>0.1015426</v>
      </c>
      <c r="S760">
        <v>3.0414430000000001</v>
      </c>
      <c r="T760">
        <v>-0.115867899999999</v>
      </c>
      <c r="U760">
        <v>-0.2571716</v>
      </c>
      <c r="V760">
        <v>-0.11406239999999999</v>
      </c>
      <c r="W760">
        <v>6.312631E-3</v>
      </c>
      <c r="X760">
        <v>0.99345360000000005</v>
      </c>
      <c r="Y760">
        <v>7.1657960000000007E-2</v>
      </c>
      <c r="Z760">
        <v>-8.83393E-4</v>
      </c>
      <c r="AA760">
        <v>0.99742889999999995</v>
      </c>
      <c r="AB760">
        <v>32</v>
      </c>
      <c r="AC760">
        <v>28.786399999999901</v>
      </c>
      <c r="AD760">
        <v>-1.104283627586</v>
      </c>
      <c r="AE760">
        <v>-2.4485000000000201</v>
      </c>
      <c r="AF760">
        <v>2.0827628242451</v>
      </c>
      <c r="AG760">
        <v>-1.104283627586</v>
      </c>
      <c r="AH760">
        <v>28.772913061759802</v>
      </c>
      <c r="AI760">
        <v>92.192161841080505</v>
      </c>
      <c r="AJ760">
        <v>85.859795443267103</v>
      </c>
      <c r="AK760">
        <v>28.869324020000899</v>
      </c>
    </row>
    <row r="761" spans="1:37" x14ac:dyDescent="0.2">
      <c r="A761" t="str">
        <f>"20200111155515410"</f>
        <v>20200111155515410</v>
      </c>
      <c r="B761" t="str">
        <f>"1578729315403766"</f>
        <v>1578729315403766</v>
      </c>
      <c r="C761" t="s">
        <v>37</v>
      </c>
      <c r="D761">
        <v>4.7798910000000001</v>
      </c>
      <c r="E761">
        <v>0.57197030000000004</v>
      </c>
      <c r="F761" t="s">
        <v>38</v>
      </c>
      <c r="G761">
        <v>-323.17270000000002</v>
      </c>
      <c r="H761" s="1">
        <v>-3.744042E-6</v>
      </c>
      <c r="I761">
        <v>364.9212</v>
      </c>
      <c r="J761">
        <v>-351.99579999999997</v>
      </c>
      <c r="K761">
        <v>1.104301</v>
      </c>
      <c r="L761">
        <v>367.40809999999999</v>
      </c>
      <c r="M761">
        <v>0.99985919999999895</v>
      </c>
      <c r="N761">
        <v>0</v>
      </c>
      <c r="O761">
        <v>-1.251641E-2</v>
      </c>
      <c r="P761">
        <v>0.99481929999999996</v>
      </c>
      <c r="Q761">
        <v>-4.5185570000000003E-3</v>
      </c>
      <c r="R761">
        <v>0.1015578</v>
      </c>
      <c r="S761">
        <v>3.0417179999999999</v>
      </c>
      <c r="T761">
        <v>-0.11566129999999999</v>
      </c>
      <c r="U761">
        <v>-0.26074219999999998</v>
      </c>
      <c r="V761">
        <v>-0.11400299999999999</v>
      </c>
      <c r="W761">
        <v>6.5705950000000003E-3</v>
      </c>
      <c r="X761">
        <v>0.99345869999999903</v>
      </c>
      <c r="Y761">
        <v>7.2887350000000004E-2</v>
      </c>
      <c r="Z761">
        <v>-9.0788559999999997E-4</v>
      </c>
      <c r="AA761">
        <v>0.9973398</v>
      </c>
      <c r="AB761">
        <v>32</v>
      </c>
      <c r="AC761">
        <v>28.823099999999901</v>
      </c>
      <c r="AD761">
        <v>-1.104304744042</v>
      </c>
      <c r="AE761">
        <v>-2.4868999999999901</v>
      </c>
      <c r="AF761">
        <v>2.12282782341113</v>
      </c>
      <c r="AG761">
        <v>-1.104304744042</v>
      </c>
      <c r="AH761">
        <v>28.809993223880898</v>
      </c>
      <c r="AI761">
        <v>92.189178810587507</v>
      </c>
      <c r="AJ761">
        <v>85.785848739270605</v>
      </c>
      <c r="AK761">
        <v>28.909195708210699</v>
      </c>
    </row>
    <row r="762" spans="1:37" x14ac:dyDescent="0.2">
      <c r="A762" t="str">
        <f>"20200111155515424"</f>
        <v>20200111155515424</v>
      </c>
      <c r="B762" t="str">
        <f>"1578729315413525"</f>
        <v>1578729315413525</v>
      </c>
      <c r="C762" t="s">
        <v>37</v>
      </c>
      <c r="D762">
        <v>4.6402289999999997</v>
      </c>
      <c r="E762">
        <v>0.5721193</v>
      </c>
      <c r="F762" t="s">
        <v>38</v>
      </c>
      <c r="G762">
        <v>-321.69130000000001</v>
      </c>
      <c r="H762" s="1">
        <v>-4.4057440000000004E-6</v>
      </c>
      <c r="I762">
        <v>364.77379999999999</v>
      </c>
      <c r="J762">
        <v>-351.79070000000002</v>
      </c>
      <c r="K762">
        <v>1.1043229999999999</v>
      </c>
      <c r="L762">
        <v>367.40559999999999</v>
      </c>
      <c r="M762">
        <v>0.99986019999999898</v>
      </c>
      <c r="N762">
        <v>0</v>
      </c>
      <c r="O762">
        <v>-1.243228E-2</v>
      </c>
      <c r="P762">
        <v>0.99481949999999997</v>
      </c>
      <c r="Q762">
        <v>-4.5567860000000002E-3</v>
      </c>
      <c r="R762">
        <v>0.1015552</v>
      </c>
      <c r="S762">
        <v>3.0421450000000001</v>
      </c>
      <c r="T762">
        <v>-0.110856</v>
      </c>
      <c r="U762">
        <v>-0.26443479999999903</v>
      </c>
      <c r="V762">
        <v>-0.1139173</v>
      </c>
      <c r="W762">
        <v>6.537218E-3</v>
      </c>
      <c r="X762">
        <v>0.99346880000000004</v>
      </c>
      <c r="Y762">
        <v>7.4163580000000007E-2</v>
      </c>
      <c r="Z762">
        <v>-8.9628519999999999E-4</v>
      </c>
      <c r="AA762">
        <v>0.99724570000000001</v>
      </c>
      <c r="AB762">
        <v>32</v>
      </c>
      <c r="AC762">
        <v>30.099399999999999</v>
      </c>
      <c r="AD762">
        <v>-1.104327405744</v>
      </c>
      <c r="AE762">
        <v>-2.6317999999999899</v>
      </c>
      <c r="AF762">
        <v>2.2543574318394501</v>
      </c>
      <c r="AG762">
        <v>-1.104327405744</v>
      </c>
      <c r="AH762">
        <v>30.089598285271599</v>
      </c>
      <c r="AI762">
        <v>92.096017037858999</v>
      </c>
      <c r="AJ762">
        <v>85.715320026845703</v>
      </c>
      <c r="AK762">
        <v>30.194131738113999</v>
      </c>
    </row>
    <row r="763" spans="1:37" x14ac:dyDescent="0.2">
      <c r="A763" t="str">
        <f>"20200111155515435"</f>
        <v>20200111155515435</v>
      </c>
      <c r="B763" t="str">
        <f>"1578729315433046"</f>
        <v>1578729315433046</v>
      </c>
      <c r="C763" t="s">
        <v>37</v>
      </c>
      <c r="D763">
        <v>4.5761260000000004</v>
      </c>
      <c r="E763">
        <v>0.57177630000000002</v>
      </c>
      <c r="F763" t="s">
        <v>38</v>
      </c>
      <c r="G763">
        <v>-321.274</v>
      </c>
      <c r="H763" s="1">
        <v>-4.5905689999999999E-6</v>
      </c>
      <c r="I763">
        <v>364.74079999999998</v>
      </c>
      <c r="J763">
        <v>-351.6146</v>
      </c>
      <c r="K763">
        <v>1.1043399999999901</v>
      </c>
      <c r="L763">
        <v>367.40350000000001</v>
      </c>
      <c r="M763">
        <v>0.99986119999999901</v>
      </c>
      <c r="N763">
        <v>0</v>
      </c>
      <c r="O763">
        <v>-1.234914E-2</v>
      </c>
      <c r="P763">
        <v>0.99480469999999899</v>
      </c>
      <c r="Q763">
        <v>-4.5401699999999996E-3</v>
      </c>
      <c r="R763">
        <v>0.10170219999999899</v>
      </c>
      <c r="S763">
        <v>3.0422669999999998</v>
      </c>
      <c r="T763">
        <v>-0.11009239999999899</v>
      </c>
      <c r="U763">
        <v>-0.26565549999999999</v>
      </c>
      <c r="V763">
        <v>-0.1139821</v>
      </c>
      <c r="W763">
        <v>6.5581959999999996E-3</v>
      </c>
      <c r="X763">
        <v>0.99346109999999899</v>
      </c>
      <c r="Y763">
        <v>7.4640360000000003E-2</v>
      </c>
      <c r="Z763">
        <v>-9.0167369999999999E-4</v>
      </c>
      <c r="AA763">
        <v>0.99721009999999999</v>
      </c>
      <c r="AB763">
        <v>32</v>
      </c>
      <c r="AC763">
        <v>30.340599999999899</v>
      </c>
      <c r="AD763">
        <v>-1.1043445905689999</v>
      </c>
      <c r="AE763">
        <v>-2.6627000000000201</v>
      </c>
      <c r="AF763">
        <v>2.2847893551153402</v>
      </c>
      <c r="AG763">
        <v>-1.1043445905689999</v>
      </c>
      <c r="AH763">
        <v>30.331293494387602</v>
      </c>
      <c r="AI763">
        <v>92.079298897384305</v>
      </c>
      <c r="AJ763">
        <v>85.692171106142297</v>
      </c>
      <c r="AK763">
        <v>30.437266704069401</v>
      </c>
    </row>
    <row r="764" spans="1:37" x14ac:dyDescent="0.2">
      <c r="A764" t="str">
        <f>"20200111155515447"</f>
        <v>20200111155515447</v>
      </c>
      <c r="B764" t="str">
        <f>"1578729315443781"</f>
        <v>1578729315443781</v>
      </c>
      <c r="C764" t="s">
        <v>37</v>
      </c>
      <c r="D764">
        <v>4.6570609999999997</v>
      </c>
      <c r="E764">
        <v>0.57198119999999997</v>
      </c>
      <c r="F764" t="s">
        <v>38</v>
      </c>
      <c r="G764">
        <v>-320.3741</v>
      </c>
      <c r="H764" s="1">
        <v>-4.9826099999999901E-6</v>
      </c>
      <c r="I764">
        <v>364.7072</v>
      </c>
      <c r="J764">
        <v>-351.45159999999998</v>
      </c>
      <c r="K764">
        <v>1.104355</v>
      </c>
      <c r="L764">
        <v>367.40159999999997</v>
      </c>
      <c r="M764">
        <v>0.99986209999999898</v>
      </c>
      <c r="N764">
        <v>0</v>
      </c>
      <c r="O764">
        <v>-1.2260429999999999E-2</v>
      </c>
      <c r="P764">
        <v>0.99478440000000001</v>
      </c>
      <c r="Q764">
        <v>-4.5808539999999997E-3</v>
      </c>
      <c r="R764">
        <v>0.101898399999999</v>
      </c>
      <c r="S764">
        <v>3.041992</v>
      </c>
      <c r="T764">
        <v>-0.1075335</v>
      </c>
      <c r="U764">
        <v>-0.26254270000000002</v>
      </c>
      <c r="V764">
        <v>-0.114089699999999</v>
      </c>
      <c r="W764">
        <v>6.522435E-3</v>
      </c>
      <c r="X764">
        <v>0.99344900000000003</v>
      </c>
      <c r="Y764">
        <v>7.3726180000000002E-2</v>
      </c>
      <c r="Z764">
        <v>-8.6785200000000001E-4</v>
      </c>
      <c r="AA764">
        <v>0.997278199999999</v>
      </c>
      <c r="AB764">
        <v>32</v>
      </c>
      <c r="AC764">
        <v>31.077499999999901</v>
      </c>
      <c r="AD764">
        <v>-1.1043599826099999</v>
      </c>
      <c r="AE764">
        <v>-2.6943999999999702</v>
      </c>
      <c r="AF764">
        <v>2.3102544531129801</v>
      </c>
      <c r="AG764">
        <v>-1.1043599826099999</v>
      </c>
      <c r="AH764">
        <v>31.069259376814401</v>
      </c>
      <c r="AI764">
        <v>92.030127259668902</v>
      </c>
      <c r="AJ764">
        <v>85.747414700503001</v>
      </c>
      <c r="AK764">
        <v>31.174601277852599</v>
      </c>
    </row>
    <row r="765" spans="1:37" x14ac:dyDescent="0.2">
      <c r="A765" t="str">
        <f>"20200111155515458"</f>
        <v>20200111155515458</v>
      </c>
      <c r="B765" t="str">
        <f>"1578729315453542"</f>
        <v>1578729315453542</v>
      </c>
      <c r="C765" t="s">
        <v>37</v>
      </c>
      <c r="D765">
        <v>4.6657609999999998</v>
      </c>
      <c r="E765">
        <v>0.57202889999999995</v>
      </c>
      <c r="F765" t="s">
        <v>38</v>
      </c>
      <c r="G765">
        <v>-319.97199999999998</v>
      </c>
      <c r="H765" s="1">
        <v>-5.1609960000000001E-6</v>
      </c>
      <c r="I765">
        <v>364.67410000000001</v>
      </c>
      <c r="J765">
        <v>-351.29090000000002</v>
      </c>
      <c r="K765">
        <v>1.1043700000000001</v>
      </c>
      <c r="L765">
        <v>367.3997</v>
      </c>
      <c r="M765">
        <v>0.99986309999999901</v>
      </c>
      <c r="N765">
        <v>0</v>
      </c>
      <c r="O765">
        <v>-1.2169940000000001E-2</v>
      </c>
      <c r="P765">
        <v>0.99477599999999999</v>
      </c>
      <c r="Q765">
        <v>-4.6987399999999999E-3</v>
      </c>
      <c r="R765">
        <v>0.10197639999999999</v>
      </c>
      <c r="S765">
        <v>3.0422359999999999</v>
      </c>
      <c r="T765">
        <v>-0.1067265</v>
      </c>
      <c r="U765">
        <v>-0.26358029999999999</v>
      </c>
      <c r="V765">
        <v>-0.114078399999999</v>
      </c>
      <c r="W765">
        <v>6.4103800000000002E-3</v>
      </c>
      <c r="X765">
        <v>0.99345110000000003</v>
      </c>
      <c r="Y765">
        <v>7.4147459999999998E-2</v>
      </c>
      <c r="Z765">
        <v>-8.7180220000000004E-4</v>
      </c>
      <c r="AA765">
        <v>0.99724690000000005</v>
      </c>
      <c r="AB765">
        <v>32</v>
      </c>
      <c r="AC765">
        <v>31.318899999999999</v>
      </c>
      <c r="AD765">
        <v>-1.104375160996</v>
      </c>
      <c r="AE765">
        <v>-2.72559999999998</v>
      </c>
      <c r="AF765">
        <v>2.3413356438250399</v>
      </c>
      <c r="AG765">
        <v>-1.104375160996</v>
      </c>
      <c r="AH765">
        <v>31.311112388092699</v>
      </c>
      <c r="AI765">
        <v>92.014424367898798</v>
      </c>
      <c r="AJ765">
        <v>85.7235804094272</v>
      </c>
      <c r="AK765">
        <v>31.417944809822298</v>
      </c>
    </row>
    <row r="766" spans="1:37" x14ac:dyDescent="0.2">
      <c r="A766" t="str">
        <f>"20200111155515469"</f>
        <v>20200111155515469</v>
      </c>
      <c r="B766" t="str">
        <f>"1578729315463302"</f>
        <v>1578729315463302</v>
      </c>
      <c r="C766" t="s">
        <v>37</v>
      </c>
      <c r="D766">
        <v>4.6400620000000004</v>
      </c>
      <c r="E766">
        <v>0.5720288</v>
      </c>
      <c r="F766" t="s">
        <v>39</v>
      </c>
      <c r="G766">
        <v>-318.0711</v>
      </c>
      <c r="H766">
        <v>-0.05</v>
      </c>
      <c r="I766">
        <v>364.51760000000002</v>
      </c>
      <c r="J766">
        <v>-351.12209999999999</v>
      </c>
      <c r="K766">
        <v>1.1043829999999999</v>
      </c>
      <c r="L766">
        <v>367.39769999999999</v>
      </c>
      <c r="M766">
        <v>0.99986430000000004</v>
      </c>
      <c r="N766">
        <v>0</v>
      </c>
      <c r="O766">
        <v>-1.2062669999999999E-2</v>
      </c>
      <c r="P766">
        <v>0.99472619999999901</v>
      </c>
      <c r="Q766">
        <v>-4.5923329999999997E-3</v>
      </c>
      <c r="R766">
        <v>0.102463899999999</v>
      </c>
      <c r="S766">
        <v>3.0423279999999999</v>
      </c>
      <c r="T766">
        <v>-0.1057196</v>
      </c>
      <c r="U766">
        <v>-0.26394649999999997</v>
      </c>
      <c r="V766">
        <v>-0.114458199999999</v>
      </c>
      <c r="W766">
        <v>6.522435E-3</v>
      </c>
      <c r="X766">
        <v>0.99340669999999898</v>
      </c>
      <c r="Y766">
        <v>7.4371519999999997E-2</v>
      </c>
      <c r="Z766">
        <v>-8.7115420000000003E-4</v>
      </c>
      <c r="AA766">
        <v>0.99723019999999996</v>
      </c>
      <c r="AB766">
        <v>32</v>
      </c>
      <c r="AC766">
        <v>33.050999999999902</v>
      </c>
      <c r="AD766">
        <v>-1.1543829999999999</v>
      </c>
      <c r="AE766">
        <v>-2.8800999999999699</v>
      </c>
      <c r="AF766">
        <v>2.4781816321454402</v>
      </c>
      <c r="AG766">
        <v>-1.1543829999999999</v>
      </c>
      <c r="AH766">
        <v>33.043332535003898</v>
      </c>
      <c r="AI766">
        <v>91.995240021705996</v>
      </c>
      <c r="AJ766">
        <v>85.710964451910101</v>
      </c>
      <c r="AK766">
        <v>33.156233340526398</v>
      </c>
    </row>
    <row r="767" spans="1:37" x14ac:dyDescent="0.2">
      <c r="A767" t="str">
        <f>"20200111155515480"</f>
        <v>20200111155515480</v>
      </c>
      <c r="B767" t="str">
        <f>"1578729315473062"</f>
        <v>1578729315473062</v>
      </c>
      <c r="C767" t="s">
        <v>37</v>
      </c>
      <c r="D767">
        <v>4.5952630000000001</v>
      </c>
      <c r="E767">
        <v>0.57199549999999999</v>
      </c>
      <c r="F767" t="s">
        <v>39</v>
      </c>
      <c r="G767">
        <v>-317.55169999999998</v>
      </c>
      <c r="H767">
        <v>-0.05</v>
      </c>
      <c r="I767">
        <v>364.50220000000002</v>
      </c>
      <c r="J767">
        <v>-350.9699</v>
      </c>
      <c r="K767">
        <v>1.104395</v>
      </c>
      <c r="L767">
        <v>367.39599999999899</v>
      </c>
      <c r="M767">
        <v>0.99986540000000002</v>
      </c>
      <c r="N767">
        <v>0</v>
      </c>
      <c r="O767">
        <v>-1.1964000000000001E-2</v>
      </c>
      <c r="P767">
        <v>0.99470630000000004</v>
      </c>
      <c r="Q767">
        <v>-4.7915199999999996E-3</v>
      </c>
      <c r="R767">
        <v>0.10264619999999899</v>
      </c>
      <c r="S767">
        <v>3.04241899999999</v>
      </c>
      <c r="T767">
        <v>-0.1046193</v>
      </c>
      <c r="U767">
        <v>-0.26242070000000001</v>
      </c>
      <c r="V767">
        <v>-0.1145422</v>
      </c>
      <c r="W767">
        <v>6.3293189999999999E-3</v>
      </c>
      <c r="X767">
        <v>0.99339820000000001</v>
      </c>
      <c r="Y767">
        <v>7.3971850000000006E-2</v>
      </c>
      <c r="Z767">
        <v>-8.5861339999999996E-4</v>
      </c>
      <c r="AA767">
        <v>0.99726000000000004</v>
      </c>
      <c r="AB767">
        <v>32</v>
      </c>
      <c r="AC767">
        <v>33.418199999999999</v>
      </c>
      <c r="AD767">
        <v>-1.1543950000000001</v>
      </c>
      <c r="AE767">
        <v>-2.8937999999999402</v>
      </c>
      <c r="AF767">
        <v>2.4908022106240502</v>
      </c>
      <c r="AG767">
        <v>-1.1543950000000001</v>
      </c>
      <c r="AH767">
        <v>33.410859701927599</v>
      </c>
      <c r="AI767">
        <v>91.973395442789993</v>
      </c>
      <c r="AJ767">
        <v>85.736447836004103</v>
      </c>
      <c r="AK767">
        <v>33.523458495363599</v>
      </c>
    </row>
    <row r="768" spans="1:37" x14ac:dyDescent="0.2">
      <c r="A768" t="str">
        <f>"20200111155515491"</f>
        <v>20200111155515491</v>
      </c>
      <c r="B768" t="str">
        <f>"1578729315482822"</f>
        <v>1578729315482822</v>
      </c>
      <c r="C768" t="s">
        <v>37</v>
      </c>
      <c r="D768">
        <v>4.6580209999999997</v>
      </c>
      <c r="E768">
        <v>0.57201990000000003</v>
      </c>
      <c r="F768" t="s">
        <v>39</v>
      </c>
      <c r="G768">
        <v>-317.43380000000002</v>
      </c>
      <c r="H768">
        <v>-0.05</v>
      </c>
      <c r="I768">
        <v>364.51209999999998</v>
      </c>
      <c r="J768">
        <v>-350.80149999999998</v>
      </c>
      <c r="K768">
        <v>1.104406</v>
      </c>
      <c r="L768">
        <v>367.39409999999998</v>
      </c>
      <c r="M768">
        <v>0.9998667</v>
      </c>
      <c r="N768">
        <v>0</v>
      </c>
      <c r="O768">
        <v>-1.184783E-2</v>
      </c>
      <c r="P768">
        <v>0.99466010000000005</v>
      </c>
      <c r="Q768">
        <v>-4.6422080000000001E-3</v>
      </c>
      <c r="R768">
        <v>0.103101199999999</v>
      </c>
      <c r="S768">
        <v>3.0424500000000001</v>
      </c>
      <c r="T768">
        <v>-0.1047288</v>
      </c>
      <c r="U768">
        <v>-0.2616272</v>
      </c>
      <c r="V768">
        <v>-0.114881199999999</v>
      </c>
      <c r="W768">
        <v>6.4847659999999899E-3</v>
      </c>
      <c r="X768">
        <v>0.99335810000000002</v>
      </c>
      <c r="Y768">
        <v>7.3828649999999996E-2</v>
      </c>
      <c r="Z768">
        <v>-8.6104240000000004E-4</v>
      </c>
      <c r="AA768">
        <v>0.99727060000000001</v>
      </c>
      <c r="AB768">
        <v>32</v>
      </c>
      <c r="AC768">
        <v>33.3676999999999</v>
      </c>
      <c r="AD768">
        <v>-1.154406</v>
      </c>
      <c r="AE768">
        <v>-2.8820000000000001</v>
      </c>
      <c r="AF768">
        <v>2.4834873839013998</v>
      </c>
      <c r="AG768">
        <v>-1.154406</v>
      </c>
      <c r="AH768">
        <v>33.359871905694902</v>
      </c>
      <c r="AI768">
        <v>91.976443452021101</v>
      </c>
      <c r="AJ768">
        <v>85.742449246757602</v>
      </c>
      <c r="AK768">
        <v>33.4720990731565</v>
      </c>
    </row>
    <row r="769" spans="1:37" x14ac:dyDescent="0.2">
      <c r="A769" t="str">
        <f>"20200111155515504"</f>
        <v>20200111155515504</v>
      </c>
      <c r="B769" t="str">
        <f>"1578729315493558"</f>
        <v>1578729315493558</v>
      </c>
      <c r="C769" t="s">
        <v>37</v>
      </c>
      <c r="D769">
        <v>4.911448</v>
      </c>
      <c r="E769">
        <v>0.57201990000000003</v>
      </c>
      <c r="F769" t="s">
        <v>39</v>
      </c>
      <c r="G769">
        <v>-316.98340000000002</v>
      </c>
      <c r="H769">
        <v>-0.05</v>
      </c>
      <c r="I769">
        <v>364.5</v>
      </c>
      <c r="J769">
        <v>-350.64299999999997</v>
      </c>
      <c r="K769">
        <v>1.104414</v>
      </c>
      <c r="L769">
        <v>367.39229999999998</v>
      </c>
      <c r="M769">
        <v>0.99986790000000003</v>
      </c>
      <c r="N769">
        <v>0</v>
      </c>
      <c r="O769">
        <v>-1.173597E-2</v>
      </c>
      <c r="P769">
        <v>0.99458649999999904</v>
      </c>
      <c r="Q769">
        <v>-4.7974769999999996E-3</v>
      </c>
      <c r="R769">
        <v>0.10380259999999999</v>
      </c>
      <c r="S769">
        <v>3.0425719999999998</v>
      </c>
      <c r="T769">
        <v>-0.1038606</v>
      </c>
      <c r="U769">
        <v>-0.260376</v>
      </c>
      <c r="V769">
        <v>-0.11547149999999901</v>
      </c>
      <c r="W769">
        <v>6.3355190000000004E-3</v>
      </c>
      <c r="X769">
        <v>0.99329059999999902</v>
      </c>
      <c r="Y769">
        <v>7.3530380000000006E-2</v>
      </c>
      <c r="Z769">
        <v>-8.5261859999999996E-4</v>
      </c>
      <c r="AA769">
        <v>0.99729259999999997</v>
      </c>
      <c r="AB769">
        <v>32</v>
      </c>
      <c r="AC769">
        <v>33.659599999999998</v>
      </c>
      <c r="AD769">
        <v>-1.1544140000000001</v>
      </c>
      <c r="AE769">
        <v>-2.8922999999999699</v>
      </c>
      <c r="AF769">
        <v>2.49413548973205</v>
      </c>
      <c r="AG769">
        <v>-1.1544140000000001</v>
      </c>
      <c r="AH769">
        <v>33.651934227358097</v>
      </c>
      <c r="AI769">
        <v>91.959364742250997</v>
      </c>
      <c r="AJ769">
        <v>85.761235217640802</v>
      </c>
      <c r="AK769">
        <v>33.763975784361897</v>
      </c>
    </row>
    <row r="770" spans="1:37" x14ac:dyDescent="0.2">
      <c r="A770" t="str">
        <f>"20200111155515516"</f>
        <v>20200111155515516</v>
      </c>
      <c r="B770" t="str">
        <f>"1578729315513078"</f>
        <v>1578729315513078</v>
      </c>
      <c r="C770" t="s">
        <v>37</v>
      </c>
      <c r="D770">
        <v>4.9319430000000004</v>
      </c>
      <c r="E770">
        <v>0.5718278</v>
      </c>
      <c r="F770" t="s">
        <v>39</v>
      </c>
      <c r="G770">
        <v>-316.96350000000001</v>
      </c>
      <c r="H770">
        <v>-0.05</v>
      </c>
      <c r="I770">
        <v>364.53460000000001</v>
      </c>
      <c r="J770">
        <v>-350.45620000000002</v>
      </c>
      <c r="K770">
        <v>1.104419</v>
      </c>
      <c r="L770">
        <v>367.39019999999999</v>
      </c>
      <c r="M770">
        <v>0.99986929999999996</v>
      </c>
      <c r="N770">
        <v>0</v>
      </c>
      <c r="O770">
        <v>-1.1600289999999999E-2</v>
      </c>
      <c r="P770">
        <v>0.99453139999999995</v>
      </c>
      <c r="Q770">
        <v>-4.7284550000000003E-3</v>
      </c>
      <c r="R770">
        <v>0.10433199999999999</v>
      </c>
      <c r="S770">
        <v>3.0427550000000001</v>
      </c>
      <c r="T770">
        <v>-0.104294899999999</v>
      </c>
      <c r="U770">
        <v>-0.25817869999999998</v>
      </c>
      <c r="V770">
        <v>-0.1158655</v>
      </c>
      <c r="W770">
        <v>6.4141939999999998E-3</v>
      </c>
      <c r="X770">
        <v>0.99324419999999902</v>
      </c>
      <c r="Y770">
        <v>7.2945570000000001E-2</v>
      </c>
      <c r="Z770">
        <v>-8.5079440000000001E-4</v>
      </c>
      <c r="AA770">
        <v>0.99733559999999999</v>
      </c>
      <c r="AB770">
        <v>32</v>
      </c>
      <c r="AC770">
        <v>33.492699999999999</v>
      </c>
      <c r="AD770">
        <v>-1.1544190000000001</v>
      </c>
      <c r="AE770">
        <v>-2.8555999999999799</v>
      </c>
      <c r="AF770">
        <v>2.4639520458713302</v>
      </c>
      <c r="AG770">
        <v>-1.1544190000000001</v>
      </c>
      <c r="AH770">
        <v>33.484081092683802</v>
      </c>
      <c r="AI770">
        <v>91.969264279283806</v>
      </c>
      <c r="AJ770">
        <v>85.791431021567604</v>
      </c>
      <c r="AK770">
        <v>33.594455339138101</v>
      </c>
    </row>
    <row r="771" spans="1:37" x14ac:dyDescent="0.2">
      <c r="A771" t="str">
        <f>"20200111155515527"</f>
        <v>20200111155515527</v>
      </c>
      <c r="B771" t="str">
        <f>"1578729315522838"</f>
        <v>1578729315522838</v>
      </c>
      <c r="C771" t="s">
        <v>37</v>
      </c>
      <c r="D771">
        <v>4.6620739999999996</v>
      </c>
      <c r="E771">
        <v>0.57184539999999995</v>
      </c>
      <c r="F771" t="s">
        <v>39</v>
      </c>
      <c r="G771">
        <v>-315.67099999999999</v>
      </c>
      <c r="H771">
        <v>-0.05</v>
      </c>
      <c r="I771">
        <v>364.47019999999998</v>
      </c>
      <c r="J771">
        <v>-350.28789999999998</v>
      </c>
      <c r="K771">
        <v>1.104425</v>
      </c>
      <c r="L771">
        <v>367.38839999999999</v>
      </c>
      <c r="M771">
        <v>0.99987060000000005</v>
      </c>
      <c r="N771">
        <v>0</v>
      </c>
      <c r="O771">
        <v>-1.147572E-2</v>
      </c>
      <c r="P771">
        <v>0.99449460000000001</v>
      </c>
      <c r="Q771">
        <v>-4.748408E-3</v>
      </c>
      <c r="R771">
        <v>0.1046806</v>
      </c>
      <c r="S771">
        <v>3.0428160000000002</v>
      </c>
      <c r="T771">
        <v>-0.10098219999999999</v>
      </c>
      <c r="U771">
        <v>-0.2554321</v>
      </c>
      <c r="V771">
        <v>-0.11609</v>
      </c>
      <c r="W771">
        <v>6.4032269999999896E-3</v>
      </c>
      <c r="X771">
        <v>0.99321809999999999</v>
      </c>
      <c r="Y771">
        <v>7.2176840000000006E-2</v>
      </c>
      <c r="Z771">
        <v>-8.1519410000000002E-4</v>
      </c>
      <c r="AA771">
        <v>0.99739149999999999</v>
      </c>
      <c r="AB771">
        <v>32</v>
      </c>
      <c r="AC771">
        <v>34.616899999999902</v>
      </c>
      <c r="AD771">
        <v>-1.154425</v>
      </c>
      <c r="AE771">
        <v>-2.9182000000000099</v>
      </c>
      <c r="AF771">
        <v>2.5179481963560399</v>
      </c>
      <c r="AG771">
        <v>-1.154425</v>
      </c>
      <c r="AH771">
        <v>34.609891766588497</v>
      </c>
      <c r="AI771">
        <v>91.905380300432697</v>
      </c>
      <c r="AJ771">
        <v>85.838932996567607</v>
      </c>
      <c r="AK771">
        <v>34.720561174830301</v>
      </c>
    </row>
    <row r="772" spans="1:37" x14ac:dyDescent="0.2">
      <c r="A772" t="str">
        <f>"20200111155515543"</f>
        <v>20200111155515543</v>
      </c>
      <c r="B772" t="str">
        <f>"1578729315533573"</f>
        <v>1578729315533573</v>
      </c>
      <c r="C772" t="s">
        <v>37</v>
      </c>
      <c r="D772">
        <v>4.6799339999999896</v>
      </c>
      <c r="E772">
        <v>0.57191269999999905</v>
      </c>
      <c r="F772" t="s">
        <v>39</v>
      </c>
      <c r="G772">
        <v>-315.35109999999997</v>
      </c>
      <c r="H772">
        <v>-0.05</v>
      </c>
      <c r="I772">
        <v>364.47</v>
      </c>
      <c r="J772">
        <v>-350.07150000000001</v>
      </c>
      <c r="K772">
        <v>1.104436</v>
      </c>
      <c r="L772">
        <v>367.3861</v>
      </c>
      <c r="M772">
        <v>0.99987209999999904</v>
      </c>
      <c r="N772">
        <v>0</v>
      </c>
      <c r="O772">
        <v>-1.1314029999999999E-2</v>
      </c>
      <c r="P772">
        <v>0.99437310000000001</v>
      </c>
      <c r="Q772">
        <v>-5.3456579999999997E-3</v>
      </c>
      <c r="R772">
        <v>0.105801299999999</v>
      </c>
      <c r="S772">
        <v>3.0428769999999998</v>
      </c>
      <c r="T772">
        <v>-0.1005465</v>
      </c>
      <c r="U772">
        <v>-0.25418089999999999</v>
      </c>
      <c r="V772">
        <v>-0.117048499999999</v>
      </c>
      <c r="W772">
        <v>5.8286509999999998E-3</v>
      </c>
      <c r="X772">
        <v>0.99310909999999997</v>
      </c>
      <c r="Y772">
        <v>7.1929510000000002E-2</v>
      </c>
      <c r="Z772">
        <v>-8.12929E-4</v>
      </c>
      <c r="AA772">
        <v>0.9974094</v>
      </c>
      <c r="AB772">
        <v>32</v>
      </c>
      <c r="AC772">
        <v>34.720399999999998</v>
      </c>
      <c r="AD772">
        <v>-1.154436</v>
      </c>
      <c r="AE772">
        <v>-2.9160999999999699</v>
      </c>
      <c r="AF772">
        <v>2.5202938402511799</v>
      </c>
      <c r="AG772">
        <v>-1.154436</v>
      </c>
      <c r="AH772">
        <v>34.713064861627501</v>
      </c>
      <c r="AI772">
        <v>91.899759834878594</v>
      </c>
      <c r="AJ772">
        <v>85.847405814466796</v>
      </c>
      <c r="AK772">
        <v>34.823576433314003</v>
      </c>
    </row>
    <row r="773" spans="1:37" x14ac:dyDescent="0.2">
      <c r="A773" t="str">
        <f>"20200111155515555"</f>
        <v>20200111155515555</v>
      </c>
      <c r="B773" t="str">
        <f>"1578729315543334"</f>
        <v>1578729315543334</v>
      </c>
      <c r="C773" t="s">
        <v>37</v>
      </c>
      <c r="D773">
        <v>4.8250169999999999</v>
      </c>
      <c r="E773">
        <v>0.57212319999999905</v>
      </c>
      <c r="F773" t="s">
        <v>39</v>
      </c>
      <c r="G773">
        <v>-315.7321</v>
      </c>
      <c r="H773">
        <v>-0.05</v>
      </c>
      <c r="I773">
        <v>364.55160000000001</v>
      </c>
      <c r="J773">
        <v>-349.89060000000001</v>
      </c>
      <c r="K773">
        <v>1.1044510000000001</v>
      </c>
      <c r="L773">
        <v>367.38420000000002</v>
      </c>
      <c r="M773">
        <v>0.99987329999999996</v>
      </c>
      <c r="N773">
        <v>0</v>
      </c>
      <c r="O773">
        <v>-1.117714E-2</v>
      </c>
      <c r="P773">
        <v>0.99433709999999997</v>
      </c>
      <c r="Q773">
        <v>-5.7134150000000003E-3</v>
      </c>
      <c r="R773">
        <v>0.1061193</v>
      </c>
      <c r="S773">
        <v>3.0431520000000001</v>
      </c>
      <c r="T773">
        <v>-0.1023058</v>
      </c>
      <c r="U773">
        <v>-0.25119019999999997</v>
      </c>
      <c r="V773">
        <v>-0.1172296</v>
      </c>
      <c r="W773">
        <v>5.5039290000000003E-3</v>
      </c>
      <c r="X773">
        <v>0.99308960000000002</v>
      </c>
      <c r="Y773">
        <v>7.1084309999999998E-2</v>
      </c>
      <c r="Z773">
        <v>-8.1751679999999996E-4</v>
      </c>
      <c r="AA773">
        <v>0.99746999999999997</v>
      </c>
      <c r="AB773">
        <v>32</v>
      </c>
      <c r="AC773">
        <v>34.158499999999997</v>
      </c>
      <c r="AD773">
        <v>-1.1544509999999999</v>
      </c>
      <c r="AE773">
        <v>-2.83260000000001</v>
      </c>
      <c r="AF773">
        <v>2.4478272893303399</v>
      </c>
      <c r="AG773">
        <v>-1.1544509999999999</v>
      </c>
      <c r="AH773">
        <v>34.149288444291102</v>
      </c>
      <c r="AI773">
        <v>91.931252700464398</v>
      </c>
      <c r="AJ773">
        <v>85.900040300775501</v>
      </c>
      <c r="AK773">
        <v>34.256364617413603</v>
      </c>
    </row>
    <row r="774" spans="1:37" x14ac:dyDescent="0.2">
      <c r="A774" t="str">
        <f>"20200111155515568"</f>
        <v>20200111155515568</v>
      </c>
      <c r="B774" t="str">
        <f>"1578729315562854"</f>
        <v>1578729315562854</v>
      </c>
      <c r="C774" t="s">
        <v>37</v>
      </c>
      <c r="D774">
        <v>4.6367260000000003</v>
      </c>
      <c r="E774">
        <v>0.57228089999999998</v>
      </c>
      <c r="F774" t="s">
        <v>39</v>
      </c>
      <c r="G774">
        <v>-315.89760000000001</v>
      </c>
      <c r="H774">
        <v>-0.05</v>
      </c>
      <c r="I774">
        <v>364.56970000000001</v>
      </c>
      <c r="J774">
        <v>-349.70519999999999</v>
      </c>
      <c r="K774">
        <v>1.1044579999999999</v>
      </c>
      <c r="L774">
        <v>367.38229999999999</v>
      </c>
      <c r="M774">
        <v>0.99987440000000005</v>
      </c>
      <c r="N774">
        <v>0</v>
      </c>
      <c r="O774">
        <v>-1.104084E-2</v>
      </c>
      <c r="P774">
        <v>0.99434789999999995</v>
      </c>
      <c r="Q774">
        <v>-6.45437599999999E-3</v>
      </c>
      <c r="R774">
        <v>0.10597429999999999</v>
      </c>
      <c r="S774">
        <v>3.043396</v>
      </c>
      <c r="T774">
        <v>-0.103357899999999</v>
      </c>
      <c r="U774">
        <v>-0.25198359999999997</v>
      </c>
      <c r="V774">
        <v>-0.1169497</v>
      </c>
      <c r="W774">
        <v>4.7867750000000001E-3</v>
      </c>
      <c r="X774">
        <v>0.99312630000000002</v>
      </c>
      <c r="Y774">
        <v>7.1471010000000001E-2</v>
      </c>
      <c r="Z774">
        <v>-8.3701640000000002E-4</v>
      </c>
      <c r="AA774">
        <v>0.9974423</v>
      </c>
      <c r="AB774">
        <v>32</v>
      </c>
      <c r="AC774">
        <v>33.807599999999901</v>
      </c>
      <c r="AD774">
        <v>-1.154458</v>
      </c>
      <c r="AE774">
        <v>-2.81259999999997</v>
      </c>
      <c r="AF774">
        <v>2.4363187013673202</v>
      </c>
      <c r="AG774">
        <v>-1.154458</v>
      </c>
      <c r="AH774">
        <v>33.797454997729901</v>
      </c>
      <c r="AI774">
        <v>91.951296945090505</v>
      </c>
      <c r="AJ774">
        <v>85.876916125987407</v>
      </c>
      <c r="AK774">
        <v>33.904813617124802</v>
      </c>
    </row>
    <row r="775" spans="1:37" x14ac:dyDescent="0.2">
      <c r="A775" t="str">
        <f>"20200111155515588"</f>
        <v>20200111155515588</v>
      </c>
      <c r="B775" t="str">
        <f>"1578729315583350"</f>
        <v>1578729315583350</v>
      </c>
      <c r="C775" t="s">
        <v>37</v>
      </c>
      <c r="D775">
        <v>4.6916120000000001</v>
      </c>
      <c r="E775">
        <v>0.57234589999999996</v>
      </c>
      <c r="F775" t="s">
        <v>39</v>
      </c>
      <c r="G775">
        <v>-316.47239999999999</v>
      </c>
      <c r="H775">
        <v>-0.05</v>
      </c>
      <c r="I775">
        <v>364.6114</v>
      </c>
      <c r="J775">
        <v>-349.4196</v>
      </c>
      <c r="K775">
        <v>1.1044590000000001</v>
      </c>
      <c r="L775">
        <v>367.3793</v>
      </c>
      <c r="M775">
        <v>0.9998764</v>
      </c>
      <c r="N775">
        <v>0</v>
      </c>
      <c r="O775">
        <v>-1.0831449999999999E-2</v>
      </c>
      <c r="P775">
        <v>0.99437240000000005</v>
      </c>
      <c r="Q775">
        <v>-7.731178E-3</v>
      </c>
      <c r="R775">
        <v>0.10565960000000001</v>
      </c>
      <c r="S775">
        <v>3.043396</v>
      </c>
      <c r="T775">
        <v>-0.105723</v>
      </c>
      <c r="U775">
        <v>-0.25375370000000003</v>
      </c>
      <c r="V775">
        <v>-0.1164265</v>
      </c>
      <c r="W775">
        <v>3.53652E-3</v>
      </c>
      <c r="X775">
        <v>0.99319299999999999</v>
      </c>
      <c r="Y775">
        <v>7.2253769999999995E-2</v>
      </c>
      <c r="Z775">
        <v>-8.7696369999999896E-4</v>
      </c>
      <c r="AA775">
        <v>0.99738590000000005</v>
      </c>
      <c r="AB775">
        <v>32</v>
      </c>
      <c r="AC775">
        <v>32.947200000000002</v>
      </c>
      <c r="AD775">
        <v>-1.1544589999999999</v>
      </c>
      <c r="AE775">
        <v>-2.7678999999999898</v>
      </c>
      <c r="AF775">
        <v>2.4079128205326401</v>
      </c>
      <c r="AG775">
        <v>-1.1544589999999999</v>
      </c>
      <c r="AH775">
        <v>32.935095713794702</v>
      </c>
      <c r="AI775">
        <v>92.002201499318403</v>
      </c>
      <c r="AJ775">
        <v>85.818496625372404</v>
      </c>
      <c r="AK775">
        <v>33.043174021434197</v>
      </c>
    </row>
    <row r="776" spans="1:37" x14ac:dyDescent="0.2">
      <c r="A776" t="str">
        <f>"20200111155515598"</f>
        <v>20200111155515598</v>
      </c>
      <c r="B776" t="str">
        <f>"1578729315593110"</f>
        <v>1578729315593110</v>
      </c>
      <c r="C776" t="s">
        <v>37</v>
      </c>
      <c r="D776">
        <v>4.7090449999999997</v>
      </c>
      <c r="E776">
        <v>0.57238829999999996</v>
      </c>
      <c r="F776" t="s">
        <v>39</v>
      </c>
      <c r="G776">
        <v>-317.32859999999999</v>
      </c>
      <c r="H776">
        <v>-0.05</v>
      </c>
      <c r="I776">
        <v>364.68799999999999</v>
      </c>
      <c r="J776">
        <v>-349.2518</v>
      </c>
      <c r="K776">
        <v>1.1044620000000001</v>
      </c>
      <c r="L776">
        <v>367.37759999999997</v>
      </c>
      <c r="M776">
        <v>0.99987760000000003</v>
      </c>
      <c r="N776">
        <v>0</v>
      </c>
      <c r="O776">
        <v>-1.070657E-2</v>
      </c>
      <c r="P776">
        <v>0.99437050000000005</v>
      </c>
      <c r="Q776">
        <v>-8.3256719999999992E-3</v>
      </c>
      <c r="R776">
        <v>0.105631999999999</v>
      </c>
      <c r="S776">
        <v>3.0432429999999999</v>
      </c>
      <c r="T776">
        <v>-0.1094793</v>
      </c>
      <c r="U776">
        <v>-0.25521850000000001</v>
      </c>
      <c r="V776">
        <v>-0.11627419999999999</v>
      </c>
      <c r="W776">
        <v>2.9576419999999999E-3</v>
      </c>
      <c r="X776">
        <v>0.99321280000000001</v>
      </c>
      <c r="Y776">
        <v>7.2856110000000002E-2</v>
      </c>
      <c r="Z776">
        <v>-9.2342369999999995E-4</v>
      </c>
      <c r="AA776">
        <v>0.99734210000000001</v>
      </c>
      <c r="AB776">
        <v>32</v>
      </c>
      <c r="AC776">
        <v>31.923200000000001</v>
      </c>
      <c r="AD776">
        <v>-1.1544620000000001</v>
      </c>
      <c r="AE776">
        <v>-2.6895999999999201</v>
      </c>
      <c r="AF776">
        <v>2.3445909203768198</v>
      </c>
      <c r="AG776">
        <v>-1.1544620000000001</v>
      </c>
      <c r="AH776">
        <v>31.908731690013301</v>
      </c>
      <c r="AI776">
        <v>92.0664986689888</v>
      </c>
      <c r="AJ776">
        <v>85.797570822092496</v>
      </c>
      <c r="AK776">
        <v>32.015575071496301</v>
      </c>
    </row>
    <row r="777" spans="1:37" x14ac:dyDescent="0.2">
      <c r="A777" t="str">
        <f>"20200111155515610"</f>
        <v>20200111155515610</v>
      </c>
      <c r="B777" t="str">
        <f>"1578729315602869"</f>
        <v>1578729315602869</v>
      </c>
      <c r="C777" t="s">
        <v>37</v>
      </c>
      <c r="D777">
        <v>4.675694</v>
      </c>
      <c r="E777">
        <v>0.57244039999999996</v>
      </c>
      <c r="F777" t="s">
        <v>39</v>
      </c>
      <c r="G777">
        <v>-317.57310000000001</v>
      </c>
      <c r="H777">
        <v>-0.05</v>
      </c>
      <c r="I777">
        <v>364.71420000000001</v>
      </c>
      <c r="J777">
        <v>-349.08780000000002</v>
      </c>
      <c r="K777">
        <v>1.104465</v>
      </c>
      <c r="L777">
        <v>367.37599999999998</v>
      </c>
      <c r="M777">
        <v>0.99987870000000001</v>
      </c>
      <c r="N777">
        <v>0</v>
      </c>
      <c r="O777">
        <v>-1.058045E-2</v>
      </c>
      <c r="P777">
        <v>0.99439690000000003</v>
      </c>
      <c r="Q777">
        <v>-8.7127980000000008E-3</v>
      </c>
      <c r="R777">
        <v>0.105353</v>
      </c>
      <c r="S777">
        <v>3.0432130000000002</v>
      </c>
      <c r="T777">
        <v>-0.110903399999999</v>
      </c>
      <c r="U777">
        <v>-0.25585940000000001</v>
      </c>
      <c r="V777">
        <v>-0.1158704</v>
      </c>
      <c r="W777">
        <v>2.5962009999999998E-3</v>
      </c>
      <c r="X777">
        <v>0.99326099999999995</v>
      </c>
      <c r="Y777">
        <v>7.3189939999999995E-2</v>
      </c>
      <c r="Z777">
        <v>-9.4608470000000005E-4</v>
      </c>
      <c r="AA777">
        <v>0.99731759999999903</v>
      </c>
      <c r="AB777">
        <v>32</v>
      </c>
      <c r="AC777">
        <v>31.514700000000001</v>
      </c>
      <c r="AD777">
        <v>-1.1544650000000001</v>
      </c>
      <c r="AE777">
        <v>-2.6617999999999702</v>
      </c>
      <c r="AF777">
        <v>2.3250914504113398</v>
      </c>
      <c r="AG777">
        <v>-1.1544650000000001</v>
      </c>
      <c r="AH777">
        <v>31.499129898228698</v>
      </c>
      <c r="AI777">
        <v>92.093300712493701</v>
      </c>
      <c r="AJ777">
        <v>85.778398764779297</v>
      </c>
      <c r="AK777">
        <v>31.6059175477391</v>
      </c>
    </row>
    <row r="778" spans="1:37" x14ac:dyDescent="0.2">
      <c r="A778" t="str">
        <f>"20200111155515622"</f>
        <v>20200111155515622</v>
      </c>
      <c r="B778" t="str">
        <f>"1578729315613606"</f>
        <v>1578729315613606</v>
      </c>
      <c r="C778" t="s">
        <v>37</v>
      </c>
      <c r="D778">
        <v>4.7001039999999996</v>
      </c>
      <c r="E778">
        <v>0.57249799999999995</v>
      </c>
      <c r="F778" t="s">
        <v>39</v>
      </c>
      <c r="G778">
        <v>-317.53870000000001</v>
      </c>
      <c r="H778">
        <v>-0.05</v>
      </c>
      <c r="I778">
        <v>364.71260000000001</v>
      </c>
      <c r="J778">
        <v>-348.92520000000002</v>
      </c>
      <c r="K778">
        <v>1.1044719999999999</v>
      </c>
      <c r="L778">
        <v>367.37439999999998</v>
      </c>
      <c r="M778">
        <v>0.99987969999999904</v>
      </c>
      <c r="N778">
        <v>0</v>
      </c>
      <c r="O778">
        <v>-1.0455280000000001E-2</v>
      </c>
      <c r="P778">
        <v>0.99440640000000002</v>
      </c>
      <c r="Q778">
        <v>-8.7624380000000009E-3</v>
      </c>
      <c r="R778">
        <v>0.1052594</v>
      </c>
      <c r="S778">
        <v>3.0431520000000001</v>
      </c>
      <c r="T778">
        <v>-0.11135689999999999</v>
      </c>
      <c r="U778">
        <v>-0.25689699999999999</v>
      </c>
      <c r="V778">
        <v>-0.11565299999999901</v>
      </c>
      <c r="W778">
        <v>2.5728359999999998E-3</v>
      </c>
      <c r="X778">
        <v>0.99328639999999901</v>
      </c>
      <c r="Y778">
        <v>7.3653360000000001E-2</v>
      </c>
      <c r="Z778">
        <v>-9.6298749999999995E-4</v>
      </c>
      <c r="AA778">
        <v>0.99728349999999899</v>
      </c>
      <c r="AB778">
        <v>32</v>
      </c>
      <c r="AC778">
        <v>31.386500000000002</v>
      </c>
      <c r="AD778">
        <v>-1.1544719999999999</v>
      </c>
      <c r="AE778">
        <v>-2.6617999999999702</v>
      </c>
      <c r="AF778">
        <v>2.3303479807007599</v>
      </c>
      <c r="AG778">
        <v>-1.1544719999999999</v>
      </c>
      <c r="AH778">
        <v>31.370476406917799</v>
      </c>
      <c r="AI778">
        <v>92.101817867694905</v>
      </c>
      <c r="AJ778">
        <v>85.7516004470246</v>
      </c>
      <c r="AK778">
        <v>31.4780894799371</v>
      </c>
    </row>
    <row r="779" spans="1:37" x14ac:dyDescent="0.2">
      <c r="A779" t="str">
        <f>"20200111155515633"</f>
        <v>20200111155515633</v>
      </c>
      <c r="B779" t="str">
        <f>"1578729315623366"</f>
        <v>1578729315623366</v>
      </c>
      <c r="C779" t="s">
        <v>37</v>
      </c>
      <c r="D779">
        <v>4.7253220000000002</v>
      </c>
      <c r="E779">
        <v>0.57256319999999905</v>
      </c>
      <c r="F779" t="s">
        <v>39</v>
      </c>
      <c r="G779">
        <v>-317.20659999999998</v>
      </c>
      <c r="H779">
        <v>-0.05</v>
      </c>
      <c r="I779">
        <v>364.68759999999997</v>
      </c>
      <c r="J779">
        <v>-348.76569999999998</v>
      </c>
      <c r="K779">
        <v>1.1044769999999999</v>
      </c>
      <c r="L779">
        <v>367.37279999999998</v>
      </c>
      <c r="M779">
        <v>0.99988060000000001</v>
      </c>
      <c r="N779">
        <v>0</v>
      </c>
      <c r="O779">
        <v>-1.03324E-2</v>
      </c>
      <c r="P779">
        <v>0.99441520000000005</v>
      </c>
      <c r="Q779">
        <v>-9.1335229999999993E-3</v>
      </c>
      <c r="R779">
        <v>0.1051434</v>
      </c>
      <c r="S779">
        <v>3.0432130000000002</v>
      </c>
      <c r="T779">
        <v>-0.11076469999999999</v>
      </c>
      <c r="U779">
        <v>-0.25778200000000001</v>
      </c>
      <c r="V779">
        <v>-0.1154144</v>
      </c>
      <c r="W779">
        <v>2.2309449999999998E-3</v>
      </c>
      <c r="X779">
        <v>0.993314899999999</v>
      </c>
      <c r="Y779">
        <v>7.4062310000000006E-2</v>
      </c>
      <c r="Z779">
        <v>-9.6972780000000004E-4</v>
      </c>
      <c r="AA779">
        <v>0.997253099999999</v>
      </c>
      <c r="AB779">
        <v>32</v>
      </c>
      <c r="AC779">
        <v>31.559100000000001</v>
      </c>
      <c r="AD779">
        <v>-1.154477</v>
      </c>
      <c r="AE779">
        <v>-2.6852</v>
      </c>
      <c r="AF779">
        <v>2.3558239632576101</v>
      </c>
      <c r="AG779">
        <v>-1.154477</v>
      </c>
      <c r="AH779">
        <v>31.543253698630998</v>
      </c>
      <c r="AI779">
        <v>92.090262507734096</v>
      </c>
      <c r="AJ779">
        <v>85.728765298400603</v>
      </c>
      <c r="AK779">
        <v>31.652165448600599</v>
      </c>
    </row>
    <row r="780" spans="1:37" x14ac:dyDescent="0.2">
      <c r="A780" t="str">
        <f>"20200111155515645"</f>
        <v>20200111155515645</v>
      </c>
      <c r="B780" t="str">
        <f>"1578729315642885"</f>
        <v>1578729315642885</v>
      </c>
      <c r="C780" t="s">
        <v>37</v>
      </c>
      <c r="D780">
        <v>4.7482139999999999</v>
      </c>
      <c r="E780">
        <v>0.57267199999999996</v>
      </c>
      <c r="F780" t="s">
        <v>39</v>
      </c>
      <c r="G780">
        <v>-317.08280000000002</v>
      </c>
      <c r="H780">
        <v>-0.05</v>
      </c>
      <c r="I780">
        <v>364.6814</v>
      </c>
      <c r="J780">
        <v>-348.5856</v>
      </c>
      <c r="K780">
        <v>1.104481</v>
      </c>
      <c r="L780">
        <v>367.37119999999999</v>
      </c>
      <c r="M780">
        <v>0.99988159999999904</v>
      </c>
      <c r="N780">
        <v>0</v>
      </c>
      <c r="O780">
        <v>-1.019569E-2</v>
      </c>
      <c r="P780">
        <v>0.99443559999999998</v>
      </c>
      <c r="Q780">
        <v>-9.6196270000000004E-3</v>
      </c>
      <c r="R780">
        <v>0.104907</v>
      </c>
      <c r="S780">
        <v>3.0431819999999998</v>
      </c>
      <c r="T780">
        <v>-0.1108888</v>
      </c>
      <c r="U780">
        <v>-0.25851439999999998</v>
      </c>
      <c r="V780">
        <v>-0.11504259999999999</v>
      </c>
      <c r="W780">
        <v>1.776997E-3</v>
      </c>
      <c r="X780">
        <v>0.99335899999999999</v>
      </c>
      <c r="Y780">
        <v>7.4437359999999994E-2</v>
      </c>
      <c r="Z780">
        <v>-9.826015E-4</v>
      </c>
      <c r="AA780">
        <v>0.99722520000000003</v>
      </c>
      <c r="AB780">
        <v>32</v>
      </c>
      <c r="AC780">
        <v>31.502799999999901</v>
      </c>
      <c r="AD780">
        <v>-1.1544810000000001</v>
      </c>
      <c r="AE780">
        <v>-2.6897999999999902</v>
      </c>
      <c r="AF780">
        <v>2.3652924630245402</v>
      </c>
      <c r="AG780">
        <v>-1.1544810000000001</v>
      </c>
      <c r="AH780">
        <v>31.486608142315401</v>
      </c>
      <c r="AI780">
        <v>92.093959071170303</v>
      </c>
      <c r="AJ780">
        <v>85.703976295384606</v>
      </c>
      <c r="AK780">
        <v>31.596422695025499</v>
      </c>
    </row>
    <row r="781" spans="1:37" x14ac:dyDescent="0.2">
      <c r="A781" t="str">
        <f>"20200111155515656"</f>
        <v>20200111155515656</v>
      </c>
      <c r="B781" t="str">
        <f>"1578729315653621"</f>
        <v>1578729315653621</v>
      </c>
      <c r="C781" t="s">
        <v>37</v>
      </c>
      <c r="D781">
        <v>4.7964510000000002</v>
      </c>
      <c r="E781">
        <v>0.57278030000000002</v>
      </c>
      <c r="F781" t="s">
        <v>39</v>
      </c>
      <c r="G781">
        <v>-317.03129999999999</v>
      </c>
      <c r="H781">
        <v>-0.05</v>
      </c>
      <c r="I781">
        <v>364.67099999999999</v>
      </c>
      <c r="J781">
        <v>-348.41930000000002</v>
      </c>
      <c r="K781">
        <v>1.104487</v>
      </c>
      <c r="L781">
        <v>367.36959999999999</v>
      </c>
      <c r="M781">
        <v>0.99988250000000001</v>
      </c>
      <c r="N781">
        <v>0</v>
      </c>
      <c r="O781">
        <v>-1.0070529999999999E-2</v>
      </c>
      <c r="P781">
        <v>0.99445649999999997</v>
      </c>
      <c r="Q781">
        <v>-1.014458E-2</v>
      </c>
      <c r="R781">
        <v>0.104659999999999</v>
      </c>
      <c r="S781">
        <v>3.0431819999999998</v>
      </c>
      <c r="T781">
        <v>-0.1113413</v>
      </c>
      <c r="U781">
        <v>-0.26040649999999999</v>
      </c>
      <c r="V781">
        <v>-0.11467089999999899</v>
      </c>
      <c r="W781">
        <v>1.2810860000000001E-3</v>
      </c>
      <c r="X781">
        <v>0.99340269999999997</v>
      </c>
      <c r="Y781">
        <v>7.5176779999999999E-2</v>
      </c>
      <c r="Z781">
        <v>-1.004649E-3</v>
      </c>
      <c r="AA781">
        <v>0.99716970000000005</v>
      </c>
      <c r="AB781">
        <v>32</v>
      </c>
      <c r="AC781">
        <v>31.388000000000002</v>
      </c>
      <c r="AD781">
        <v>-1.154487</v>
      </c>
      <c r="AE781">
        <v>-2.6985999999999901</v>
      </c>
      <c r="AF781">
        <v>2.3791532010225298</v>
      </c>
      <c r="AG781">
        <v>-1.154487</v>
      </c>
      <c r="AH781">
        <v>31.3714567029058</v>
      </c>
      <c r="AI781">
        <v>92.101536069893598</v>
      </c>
      <c r="AJ781">
        <v>85.663095894131501</v>
      </c>
      <c r="AK781">
        <v>31.4827175740818</v>
      </c>
    </row>
    <row r="782" spans="1:37" x14ac:dyDescent="0.2">
      <c r="A782" t="str">
        <f>"20200111155515668"</f>
        <v>20200111155515668</v>
      </c>
      <c r="B782" t="str">
        <f>"1578729315663382"</f>
        <v>1578729315663382</v>
      </c>
      <c r="C782" t="s">
        <v>37</v>
      </c>
      <c r="D782">
        <v>4.8105419999999999</v>
      </c>
      <c r="E782">
        <v>0.57287500000000002</v>
      </c>
      <c r="F782" t="s">
        <v>39</v>
      </c>
      <c r="G782">
        <v>-317.19490000000002</v>
      </c>
      <c r="H782">
        <v>-0.05</v>
      </c>
      <c r="I782">
        <v>364.68079999999998</v>
      </c>
      <c r="J782">
        <v>-348.26389999999998</v>
      </c>
      <c r="K782">
        <v>1.1044879999999999</v>
      </c>
      <c r="L782">
        <v>367.3682</v>
      </c>
      <c r="M782">
        <v>0.99988339999999998</v>
      </c>
      <c r="N782">
        <v>0</v>
      </c>
      <c r="O782">
        <v>-9.9547809999999994E-3</v>
      </c>
      <c r="P782">
        <v>0.99446999999999997</v>
      </c>
      <c r="Q782">
        <v>-1.0856090000000001E-2</v>
      </c>
      <c r="R782">
        <v>0.10445879999999901</v>
      </c>
      <c r="S782">
        <v>3.0431520000000001</v>
      </c>
      <c r="T782">
        <v>-0.11251709999999999</v>
      </c>
      <c r="U782">
        <v>-0.26205439999999902</v>
      </c>
      <c r="V782">
        <v>-0.114354</v>
      </c>
      <c r="W782">
        <v>5.9491790000000002E-4</v>
      </c>
      <c r="X782">
        <v>0.99343989999999904</v>
      </c>
      <c r="Y782">
        <v>7.582767E-2</v>
      </c>
      <c r="Z782">
        <v>-1.031513E-3</v>
      </c>
      <c r="AA782">
        <v>0.99712040000000002</v>
      </c>
      <c r="AB782">
        <v>32</v>
      </c>
      <c r="AC782">
        <v>31.0689999999999</v>
      </c>
      <c r="AD782">
        <v>-1.154488</v>
      </c>
      <c r="AE782">
        <v>-2.6874000000000202</v>
      </c>
      <c r="AF782">
        <v>2.3747063973142999</v>
      </c>
      <c r="AG782">
        <v>-1.154488</v>
      </c>
      <c r="AH782">
        <v>31.051657512740601</v>
      </c>
      <c r="AI782">
        <v>92.123059351559604</v>
      </c>
      <c r="AJ782">
        <v>85.626760752982506</v>
      </c>
      <c r="AK782">
        <v>31.163721011845301</v>
      </c>
    </row>
    <row r="783" spans="1:37" x14ac:dyDescent="0.2">
      <c r="A783" t="str">
        <f>"20200111155515678"</f>
        <v>20200111155515678</v>
      </c>
      <c r="B783" t="str">
        <f>"1578729315673141"</f>
        <v>1578729315673141</v>
      </c>
      <c r="C783" t="s">
        <v>37</v>
      </c>
      <c r="D783">
        <v>4.7593079999999999</v>
      </c>
      <c r="E783">
        <v>0.57292880000000002</v>
      </c>
      <c r="F783" t="s">
        <v>39</v>
      </c>
      <c r="G783">
        <v>-317.55590000000001</v>
      </c>
      <c r="H783">
        <v>-0.05</v>
      </c>
      <c r="I783">
        <v>364.71109999999999</v>
      </c>
      <c r="J783">
        <v>-348.09460000000001</v>
      </c>
      <c r="K783">
        <v>1.1044889999999901</v>
      </c>
      <c r="L783">
        <v>367.36660000000001</v>
      </c>
      <c r="M783">
        <v>0.99988440000000001</v>
      </c>
      <c r="N783">
        <v>0</v>
      </c>
      <c r="O783">
        <v>-9.8289069999999996E-3</v>
      </c>
      <c r="P783">
        <v>0.9944617</v>
      </c>
      <c r="Q783">
        <v>-1.142895E-2</v>
      </c>
      <c r="R783">
        <v>0.10447770000000001</v>
      </c>
      <c r="S783">
        <v>3.043091</v>
      </c>
      <c r="T783">
        <v>-0.1144073</v>
      </c>
      <c r="U783">
        <v>-0.26330569999999998</v>
      </c>
      <c r="V783">
        <v>-0.114248</v>
      </c>
      <c r="W783" s="1">
        <v>4.92565499999999E-5</v>
      </c>
      <c r="X783">
        <v>0.99345229999999995</v>
      </c>
      <c r="Y783">
        <v>7.6359869999999996E-2</v>
      </c>
      <c r="Z783">
        <v>-1.0635359999999999E-3</v>
      </c>
      <c r="AA783">
        <v>0.99707969999999901</v>
      </c>
      <c r="AB783">
        <v>32</v>
      </c>
      <c r="AC783">
        <v>30.538699999999999</v>
      </c>
      <c r="AD783">
        <v>-1.1544889999999901</v>
      </c>
      <c r="AE783">
        <v>-2.6555000000000102</v>
      </c>
      <c r="AF783">
        <v>2.35185353397409</v>
      </c>
      <c r="AG783">
        <v>-1.1544889999999901</v>
      </c>
      <c r="AH783">
        <v>30.520036600821001</v>
      </c>
      <c r="AI783">
        <v>92.159911465070607</v>
      </c>
      <c r="AJ783">
        <v>85.593533992609494</v>
      </c>
      <c r="AK783">
        <v>30.632281893646802</v>
      </c>
    </row>
    <row r="784" spans="1:37" x14ac:dyDescent="0.2">
      <c r="A784" t="str">
        <f>"20200111155515690"</f>
        <v>20200111155515690</v>
      </c>
      <c r="B784" t="str">
        <f>"1578729315682901"</f>
        <v>1578729315682901</v>
      </c>
      <c r="C784" t="s">
        <v>37</v>
      </c>
      <c r="D784">
        <v>4.8092879999999996</v>
      </c>
      <c r="E784">
        <v>0.57299419999999901</v>
      </c>
      <c r="F784" t="s">
        <v>39</v>
      </c>
      <c r="G784">
        <v>-317.7475</v>
      </c>
      <c r="H784">
        <v>-0.05</v>
      </c>
      <c r="I784">
        <v>364.73500000000001</v>
      </c>
      <c r="J784">
        <v>-347.93099999999998</v>
      </c>
      <c r="K784">
        <v>1.1044909999999999</v>
      </c>
      <c r="L784">
        <v>367.36509999999998</v>
      </c>
      <c r="M784">
        <v>0.99988529999999998</v>
      </c>
      <c r="N784">
        <v>0</v>
      </c>
      <c r="O784">
        <v>-9.7067330000000004E-3</v>
      </c>
      <c r="P784">
        <v>0.99445530000000004</v>
      </c>
      <c r="Q784">
        <v>-1.19822E-2</v>
      </c>
      <c r="R784">
        <v>0.1044755</v>
      </c>
      <c r="S784">
        <v>3.0430599999999899</v>
      </c>
      <c r="T784">
        <v>-0.1157663</v>
      </c>
      <c r="U784">
        <v>-0.2638855</v>
      </c>
      <c r="V784">
        <v>-0.1141238</v>
      </c>
      <c r="W784">
        <v>-4.7924809999999899E-4</v>
      </c>
      <c r="X784">
        <v>0.99346639999999997</v>
      </c>
      <c r="Y784">
        <v>7.6669689999999999E-2</v>
      </c>
      <c r="Z784">
        <v>-1.0866789999999999E-3</v>
      </c>
      <c r="AA784">
        <v>0.99705589999999999</v>
      </c>
      <c r="AB784">
        <v>32</v>
      </c>
      <c r="AC784">
        <v>30.183499999999899</v>
      </c>
      <c r="AD784">
        <v>-1.1544909999999999</v>
      </c>
      <c r="AE784">
        <v>-2.6300999999999699</v>
      </c>
      <c r="AF784">
        <v>2.33358480846131</v>
      </c>
      <c r="AG784">
        <v>-1.1544909999999999</v>
      </c>
      <c r="AH784">
        <v>30.163812355297999</v>
      </c>
      <c r="AI784">
        <v>92.185347461770505</v>
      </c>
      <c r="AJ784">
        <v>85.5761968732931</v>
      </c>
      <c r="AK784">
        <v>30.275964779557199</v>
      </c>
    </row>
    <row r="785" spans="1:37" x14ac:dyDescent="0.2">
      <c r="A785" t="str">
        <f>"20200111155515702"</f>
        <v>20200111155515702</v>
      </c>
      <c r="B785" t="str">
        <f>"1578729315693637"</f>
        <v>1578729315693637</v>
      </c>
      <c r="C785" t="s">
        <v>37</v>
      </c>
      <c r="D785">
        <v>4.7234299999999996</v>
      </c>
      <c r="E785">
        <v>0.57304940000000004</v>
      </c>
      <c r="F785" t="s">
        <v>39</v>
      </c>
      <c r="G785">
        <v>-317.89940000000001</v>
      </c>
      <c r="H785">
        <v>-0.05</v>
      </c>
      <c r="I785">
        <v>364.7611</v>
      </c>
      <c r="J785">
        <v>-347.77679999999998</v>
      </c>
      <c r="K785">
        <v>1.1044909999999999</v>
      </c>
      <c r="L785">
        <v>367.36380000000003</v>
      </c>
      <c r="M785">
        <v>0.99988600000000005</v>
      </c>
      <c r="N785">
        <v>0</v>
      </c>
      <c r="O785">
        <v>-9.5911119999999902E-3</v>
      </c>
      <c r="P785">
        <v>0.99444449999999995</v>
      </c>
      <c r="Q785">
        <v>-1.2211090000000001E-2</v>
      </c>
      <c r="R785">
        <v>0.1045533</v>
      </c>
      <c r="S785">
        <v>3.042999</v>
      </c>
      <c r="T785">
        <v>-0.1169803</v>
      </c>
      <c r="U785">
        <v>-0.26385500000000001</v>
      </c>
      <c r="V785">
        <v>-0.11408689999999901</v>
      </c>
      <c r="W785">
        <v>-6.8526060000000002E-4</v>
      </c>
      <c r="X785">
        <v>0.99347050000000003</v>
      </c>
      <c r="Y785">
        <v>7.6775599999999999E-2</v>
      </c>
      <c r="Z785">
        <v>-1.104554E-3</v>
      </c>
      <c r="AA785">
        <v>0.99704780000000004</v>
      </c>
      <c r="AB785">
        <v>32</v>
      </c>
      <c r="AC785">
        <v>29.877399999999898</v>
      </c>
      <c r="AD785">
        <v>-1.1544909999999999</v>
      </c>
      <c r="AE785">
        <v>-2.60270000000002</v>
      </c>
      <c r="AF785">
        <v>2.3125763389000098</v>
      </c>
      <c r="AG785">
        <v>-1.1544909999999999</v>
      </c>
      <c r="AH785">
        <v>29.8567460293458</v>
      </c>
      <c r="AI785">
        <v>92.207785260541101</v>
      </c>
      <c r="AJ785">
        <v>85.570956098831999</v>
      </c>
      <c r="AK785">
        <v>29.9684190816462</v>
      </c>
    </row>
    <row r="786" spans="1:37" x14ac:dyDescent="0.2">
      <c r="A786" t="str">
        <f>"20200111155515713"</f>
        <v>20200111155515713</v>
      </c>
      <c r="B786" t="str">
        <f>"1578729315703398"</f>
        <v>1578729315703398</v>
      </c>
      <c r="C786" t="s">
        <v>37</v>
      </c>
      <c r="D786">
        <v>4.7909620000000004</v>
      </c>
      <c r="E786">
        <v>0.57312980000000002</v>
      </c>
      <c r="F786" t="s">
        <v>39</v>
      </c>
      <c r="G786">
        <v>-317.84820000000002</v>
      </c>
      <c r="H786">
        <v>-0.05</v>
      </c>
      <c r="I786">
        <v>364.76310000000001</v>
      </c>
      <c r="J786">
        <v>-347.5949</v>
      </c>
      <c r="K786">
        <v>1.10449</v>
      </c>
      <c r="L786">
        <v>367.36219999999997</v>
      </c>
      <c r="M786">
        <v>0.99988709999999903</v>
      </c>
      <c r="N786">
        <v>0</v>
      </c>
      <c r="O786">
        <v>-9.4527559999999997E-3</v>
      </c>
      <c r="P786">
        <v>0.9944366</v>
      </c>
      <c r="Q786">
        <v>-1.2282919999999999E-2</v>
      </c>
      <c r="R786">
        <v>0.104619</v>
      </c>
      <c r="S786">
        <v>3.04312099999999</v>
      </c>
      <c r="T786">
        <v>-0.11738800000000001</v>
      </c>
      <c r="U786">
        <v>-0.26443479999999903</v>
      </c>
      <c r="V786">
        <v>-0.1140148</v>
      </c>
      <c r="W786">
        <v>-7.3112479999999896E-4</v>
      </c>
      <c r="X786">
        <v>0.9934788</v>
      </c>
      <c r="Y786">
        <v>7.7098E-2</v>
      </c>
      <c r="Z786">
        <v>-1.119875E-3</v>
      </c>
      <c r="AA786">
        <v>0.99702289999999905</v>
      </c>
      <c r="AB786">
        <v>32</v>
      </c>
      <c r="AC786">
        <v>29.746699999999901</v>
      </c>
      <c r="AD786">
        <v>-1.15449</v>
      </c>
      <c r="AE786">
        <v>-2.59909999999996</v>
      </c>
      <c r="AF786">
        <v>2.31431680619629</v>
      </c>
      <c r="AG786">
        <v>-1.15449</v>
      </c>
      <c r="AH786">
        <v>29.725505722514299</v>
      </c>
      <c r="AI786">
        <v>92.217452678281902</v>
      </c>
      <c r="AJ786">
        <v>85.548145316315797</v>
      </c>
      <c r="AK786">
        <v>29.837804877349399</v>
      </c>
    </row>
    <row r="787" spans="1:37" x14ac:dyDescent="0.2">
      <c r="A787" t="str">
        <f>"20200111155515725"</f>
        <v>20200111155515725</v>
      </c>
      <c r="B787" t="str">
        <f>"1578729315722918"</f>
        <v>1578729315722918</v>
      </c>
      <c r="C787" t="s">
        <v>37</v>
      </c>
      <c r="D787">
        <v>4.8939059999999897</v>
      </c>
      <c r="E787">
        <v>0.57332530000000004</v>
      </c>
      <c r="F787" t="s">
        <v>39</v>
      </c>
      <c r="G787">
        <v>-317.65370000000001</v>
      </c>
      <c r="H787">
        <v>-0.05</v>
      </c>
      <c r="I787">
        <v>364.75529999999998</v>
      </c>
      <c r="J787">
        <v>-347.42230000000001</v>
      </c>
      <c r="K787">
        <v>1.1044889999999901</v>
      </c>
      <c r="L787">
        <v>367.36070000000001</v>
      </c>
      <c r="M787">
        <v>0.999887999999999</v>
      </c>
      <c r="N787">
        <v>0</v>
      </c>
      <c r="O787">
        <v>-9.320587E-3</v>
      </c>
      <c r="P787">
        <v>0.99442109999999995</v>
      </c>
      <c r="Q787">
        <v>-1.232867E-2</v>
      </c>
      <c r="R787">
        <v>0.1047603</v>
      </c>
      <c r="S787">
        <v>3.0431819999999998</v>
      </c>
      <c r="T787">
        <v>-0.117341</v>
      </c>
      <c r="U787">
        <v>-0.26495359999999901</v>
      </c>
      <c r="V787">
        <v>-0.1140243</v>
      </c>
      <c r="W787">
        <v>-7.535539E-4</v>
      </c>
      <c r="X787">
        <v>0.99347770000000002</v>
      </c>
      <c r="Y787">
        <v>7.7396469999999995E-2</v>
      </c>
      <c r="Z787">
        <v>-1.130222E-3</v>
      </c>
      <c r="AA787">
        <v>0.99699969999999905</v>
      </c>
      <c r="AB787">
        <v>32</v>
      </c>
      <c r="AC787">
        <v>29.7685999999999</v>
      </c>
      <c r="AD787">
        <v>-1.1544889999999901</v>
      </c>
      <c r="AE787">
        <v>-2.6054000000000301</v>
      </c>
      <c r="AF787">
        <v>2.3243376134639</v>
      </c>
      <c r="AG787">
        <v>-1.1544889999999901</v>
      </c>
      <c r="AH787">
        <v>29.747191069177401</v>
      </c>
      <c r="AI787">
        <v>92.215787807027496</v>
      </c>
      <c r="AJ787">
        <v>85.532193274286797</v>
      </c>
      <c r="AK787">
        <v>29.860186983651499</v>
      </c>
    </row>
    <row r="788" spans="1:37" x14ac:dyDescent="0.2">
      <c r="A788" t="str">
        <f>"20200111155515736"</f>
        <v>20200111155515736</v>
      </c>
      <c r="B788" t="str">
        <f>"1578729315733654"</f>
        <v>1578729315733654</v>
      </c>
      <c r="C788" t="s">
        <v>37</v>
      </c>
      <c r="D788">
        <v>4.9106019999999999</v>
      </c>
      <c r="E788">
        <v>0.57332249999999996</v>
      </c>
      <c r="F788" t="s">
        <v>39</v>
      </c>
      <c r="G788">
        <v>-317.28410000000002</v>
      </c>
      <c r="H788">
        <v>-0.05</v>
      </c>
      <c r="I788">
        <v>364.72609999999997</v>
      </c>
      <c r="J788">
        <v>-347.25389999999999</v>
      </c>
      <c r="K788">
        <v>1.104492</v>
      </c>
      <c r="L788">
        <v>367.35930000000002</v>
      </c>
      <c r="M788">
        <v>0.99988909999999998</v>
      </c>
      <c r="N788">
        <v>0</v>
      </c>
      <c r="O788">
        <v>-9.1915109999999994E-3</v>
      </c>
      <c r="P788">
        <v>0.99439290000000002</v>
      </c>
      <c r="Q788">
        <v>-1.2269510000000001E-2</v>
      </c>
      <c r="R788">
        <v>0.1050354</v>
      </c>
      <c r="S788">
        <v>3.0434269999999999</v>
      </c>
      <c r="T788">
        <v>-0.116582899999999</v>
      </c>
      <c r="U788">
        <v>-0.26605220000000002</v>
      </c>
      <c r="V788">
        <v>-0.1141712</v>
      </c>
      <c r="W788">
        <v>-6.7261689999999999E-4</v>
      </c>
      <c r="X788">
        <v>0.99346089999999998</v>
      </c>
      <c r="Y788">
        <v>7.7875659999999999E-2</v>
      </c>
      <c r="Z788">
        <v>-1.1369069999999999E-3</v>
      </c>
      <c r="AA788">
        <v>0.99696240000000003</v>
      </c>
      <c r="AB788">
        <v>32</v>
      </c>
      <c r="AC788">
        <v>29.9697999999999</v>
      </c>
      <c r="AD788">
        <v>-1.1544920000000001</v>
      </c>
      <c r="AE788">
        <v>-2.63320000000004</v>
      </c>
      <c r="AF788">
        <v>2.3541354741232898</v>
      </c>
      <c r="AG788">
        <v>-1.1544920000000001</v>
      </c>
      <c r="AH788">
        <v>29.948637255902401</v>
      </c>
      <c r="AI788">
        <v>92.200823587306402</v>
      </c>
      <c r="AJ788">
        <v>85.505463393090295</v>
      </c>
      <c r="AK788">
        <v>30.063194758611601</v>
      </c>
    </row>
    <row r="789" spans="1:37" x14ac:dyDescent="0.2">
      <c r="A789" t="str">
        <f>"20200111155515748"</f>
        <v>20200111155515748</v>
      </c>
      <c r="B789" t="str">
        <f>"1578729315743414"</f>
        <v>1578729315743414</v>
      </c>
      <c r="C789" t="s">
        <v>37</v>
      </c>
      <c r="D789">
        <v>4.7109399999999999</v>
      </c>
      <c r="E789">
        <v>0.57336500000000001</v>
      </c>
      <c r="F789" t="s">
        <v>39</v>
      </c>
      <c r="G789">
        <v>-317.07249999999999</v>
      </c>
      <c r="H789">
        <v>-0.05</v>
      </c>
      <c r="I789">
        <v>364.7285</v>
      </c>
      <c r="J789">
        <v>-347.09589999999997</v>
      </c>
      <c r="K789">
        <v>1.10449</v>
      </c>
      <c r="L789">
        <v>367.35789999999997</v>
      </c>
      <c r="M789">
        <v>0.9998899</v>
      </c>
      <c r="N789">
        <v>0</v>
      </c>
      <c r="O789">
        <v>-9.07028E-3</v>
      </c>
      <c r="P789">
        <v>0.99439359999999999</v>
      </c>
      <c r="Q789">
        <v>-1.186042E-2</v>
      </c>
      <c r="R789">
        <v>0.1050753</v>
      </c>
      <c r="S789">
        <v>3.0435180000000002</v>
      </c>
      <c r="T789">
        <v>-0.11642</v>
      </c>
      <c r="U789">
        <v>-0.26528930000000001</v>
      </c>
      <c r="V789">
        <v>-0.1140912</v>
      </c>
      <c r="W789">
        <v>-2.4432779999999899E-4</v>
      </c>
      <c r="X789">
        <v>0.99347030000000003</v>
      </c>
      <c r="Y789">
        <v>7.7746029999999994E-2</v>
      </c>
      <c r="Z789">
        <v>-1.137451E-3</v>
      </c>
      <c r="AA789">
        <v>0.99697259999999999</v>
      </c>
      <c r="AB789">
        <v>32</v>
      </c>
      <c r="AC789">
        <v>30.023399999999899</v>
      </c>
      <c r="AD789">
        <v>-1.15449</v>
      </c>
      <c r="AE789">
        <v>-2.6293999999999702</v>
      </c>
      <c r="AF789">
        <v>2.3534989222477498</v>
      </c>
      <c r="AG789">
        <v>-1.15449</v>
      </c>
      <c r="AH789">
        <v>30.001991539561601</v>
      </c>
      <c r="AI789">
        <v>92.196937349768007</v>
      </c>
      <c r="AJ789">
        <v>85.514631833051098</v>
      </c>
      <c r="AK789">
        <v>30.116296264266001</v>
      </c>
    </row>
    <row r="790" spans="1:37" x14ac:dyDescent="0.2">
      <c r="A790" t="str">
        <f>"20200111155515760"</f>
        <v>20200111155515760</v>
      </c>
      <c r="B790" t="str">
        <f>"1578729315753174"</f>
        <v>1578729315753174</v>
      </c>
      <c r="C790" t="s">
        <v>37</v>
      </c>
      <c r="D790">
        <v>4.754867</v>
      </c>
      <c r="E790">
        <v>0.57342740000000003</v>
      </c>
      <c r="F790" t="s">
        <v>39</v>
      </c>
      <c r="G790">
        <v>-316.51979999999998</v>
      </c>
      <c r="H790">
        <v>-0.05</v>
      </c>
      <c r="I790">
        <v>364.69400000000002</v>
      </c>
      <c r="J790">
        <v>-346.92770000000002</v>
      </c>
      <c r="K790">
        <v>1.1044929999999999</v>
      </c>
      <c r="L790">
        <v>367.35649999999998</v>
      </c>
      <c r="M790">
        <v>0.99989079999999997</v>
      </c>
      <c r="N790">
        <v>0</v>
      </c>
      <c r="O790">
        <v>-8.9411869999999997E-3</v>
      </c>
      <c r="P790">
        <v>0.9943824</v>
      </c>
      <c r="Q790">
        <v>-1.152658E-2</v>
      </c>
      <c r="R790">
        <v>0.10521809999999999</v>
      </c>
      <c r="S790">
        <v>3.0435490000000001</v>
      </c>
      <c r="T790">
        <v>-0.1149181</v>
      </c>
      <c r="U790">
        <v>-0.26516719999999999</v>
      </c>
      <c r="V790">
        <v>-0.114105399999999</v>
      </c>
      <c r="W790">
        <v>1.0902090000000001E-4</v>
      </c>
      <c r="X790">
        <v>0.99346859999999904</v>
      </c>
      <c r="Y790">
        <v>7.7835329999999994E-2</v>
      </c>
      <c r="Z790">
        <v>-1.129323E-3</v>
      </c>
      <c r="AA790">
        <v>0.99696559999999901</v>
      </c>
      <c r="AB790">
        <v>32</v>
      </c>
      <c r="AC790">
        <v>30.407900000000001</v>
      </c>
      <c r="AD790">
        <v>-1.154493</v>
      </c>
      <c r="AE790">
        <v>-2.6624999999999601</v>
      </c>
      <c r="AF790">
        <v>2.38707726097077</v>
      </c>
      <c r="AG790">
        <v>-1.154493</v>
      </c>
      <c r="AH790">
        <v>30.3870227523953</v>
      </c>
      <c r="AI790">
        <v>92.1691137716778</v>
      </c>
      <c r="AJ790">
        <v>85.508307767924506</v>
      </c>
      <c r="AK790">
        <v>30.5024940569043</v>
      </c>
    </row>
    <row r="791" spans="1:37" x14ac:dyDescent="0.2">
      <c r="A791" t="str">
        <f>"20200111155515771"</f>
        <v>20200111155515771</v>
      </c>
      <c r="B791" t="str">
        <f>"1578729315762933"</f>
        <v>1578729315762933</v>
      </c>
      <c r="C791" t="s">
        <v>37</v>
      </c>
      <c r="D791">
        <v>4.7782039999999997</v>
      </c>
      <c r="E791">
        <v>0.57346580000000003</v>
      </c>
      <c r="F791" t="s">
        <v>39</v>
      </c>
      <c r="G791">
        <v>-316.00569999999999</v>
      </c>
      <c r="H791">
        <v>-0.05</v>
      </c>
      <c r="I791">
        <v>364.65859999999998</v>
      </c>
      <c r="J791">
        <v>-346.7509</v>
      </c>
      <c r="K791">
        <v>1.1044959999999999</v>
      </c>
      <c r="L791">
        <v>367.35509999999999</v>
      </c>
      <c r="M791">
        <v>0.9998918</v>
      </c>
      <c r="N791">
        <v>0</v>
      </c>
      <c r="O791">
        <v>-8.8061219999999996E-3</v>
      </c>
      <c r="P791">
        <v>0.99438459999999995</v>
      </c>
      <c r="Q791">
        <v>-1.132845E-2</v>
      </c>
      <c r="R791">
        <v>0.1052184</v>
      </c>
      <c r="S791">
        <v>3.0437620000000001</v>
      </c>
      <c r="T791">
        <v>-0.11364100000000001</v>
      </c>
      <c r="U791">
        <v>-0.26556399999999902</v>
      </c>
      <c r="V791">
        <v>-0.1139718</v>
      </c>
      <c r="W791">
        <v>3.2645869999999998E-4</v>
      </c>
      <c r="X791">
        <v>0.99348400000000003</v>
      </c>
      <c r="Y791">
        <v>7.8093720000000005E-2</v>
      </c>
      <c r="Z791">
        <v>-1.1265400000000001E-3</v>
      </c>
      <c r="AA791">
        <v>0.99694539999999998</v>
      </c>
      <c r="AB791">
        <v>32</v>
      </c>
      <c r="AC791">
        <v>30.745200000000001</v>
      </c>
      <c r="AD791">
        <v>-1.154496</v>
      </c>
      <c r="AE791">
        <v>-2.6965000000000101</v>
      </c>
      <c r="AF791">
        <v>2.4222412742749002</v>
      </c>
      <c r="AG791">
        <v>-1.154496</v>
      </c>
      <c r="AH791">
        <v>30.724762735595601</v>
      </c>
      <c r="AI791">
        <v>92.145250801601804</v>
      </c>
      <c r="AJ791">
        <v>85.492308758654303</v>
      </c>
      <c r="AK791">
        <v>30.841711349460901</v>
      </c>
    </row>
    <row r="792" spans="1:37" x14ac:dyDescent="0.2">
      <c r="A792" t="str">
        <f>"20200111155515783"</f>
        <v>20200111155515783</v>
      </c>
      <c r="B792" t="str">
        <f>"1578729315773670"</f>
        <v>1578729315773670</v>
      </c>
      <c r="C792" t="s">
        <v>37</v>
      </c>
      <c r="D792">
        <v>4.862139</v>
      </c>
      <c r="E792">
        <v>0.5735922</v>
      </c>
      <c r="F792" t="s">
        <v>39</v>
      </c>
      <c r="G792">
        <v>-315.55669999999998</v>
      </c>
      <c r="H792">
        <v>-0.05</v>
      </c>
      <c r="I792">
        <v>364.63369999999998</v>
      </c>
      <c r="J792">
        <v>-346.589</v>
      </c>
      <c r="K792">
        <v>1.1045020000000001</v>
      </c>
      <c r="L792">
        <v>367.35379999999998</v>
      </c>
      <c r="M792">
        <v>0.99989269999999997</v>
      </c>
      <c r="N792">
        <v>0</v>
      </c>
      <c r="O792">
        <v>-8.6829619999999903E-3</v>
      </c>
      <c r="P792">
        <v>0.99435409999999902</v>
      </c>
      <c r="Q792">
        <v>-1.151455E-2</v>
      </c>
      <c r="R792">
        <v>0.10548679999999901</v>
      </c>
      <c r="S792">
        <v>3.0437319999999999</v>
      </c>
      <c r="T792">
        <v>-0.1126482</v>
      </c>
      <c r="U792">
        <v>-0.26553339999999998</v>
      </c>
      <c r="V792">
        <v>-0.114117699999999</v>
      </c>
      <c r="W792">
        <v>1.5718150000000001E-4</v>
      </c>
      <c r="X792">
        <v>0.993467199999999</v>
      </c>
      <c r="Y792">
        <v>7.8208139999999995E-2</v>
      </c>
      <c r="Z792">
        <v>-1.1233770000000001E-3</v>
      </c>
      <c r="AA792">
        <v>0.99693639999999994</v>
      </c>
      <c r="AB792">
        <v>32</v>
      </c>
      <c r="AC792">
        <v>31.032299999999999</v>
      </c>
      <c r="AD792">
        <v>-1.1545019999999999</v>
      </c>
      <c r="AE792">
        <v>-2.7201</v>
      </c>
      <c r="AF792">
        <v>2.4471651584070901</v>
      </c>
      <c r="AG792">
        <v>-1.1545019999999999</v>
      </c>
      <c r="AH792">
        <v>31.012154108223701</v>
      </c>
      <c r="AI792">
        <v>92.125387828392803</v>
      </c>
      <c r="AJ792">
        <v>85.4881465408548</v>
      </c>
      <c r="AK792">
        <v>31.129972608608899</v>
      </c>
    </row>
    <row r="793" spans="1:37" x14ac:dyDescent="0.2">
      <c r="A793" t="str">
        <f>"20200111155515797"</f>
        <v>20200111155515797</v>
      </c>
      <c r="B793" t="str">
        <f>"1578729315793190"</f>
        <v>1578729315793190</v>
      </c>
      <c r="C793" t="s">
        <v>37</v>
      </c>
      <c r="D793">
        <v>4.7478559999999996</v>
      </c>
      <c r="E793">
        <v>0.57372619999999996</v>
      </c>
      <c r="F793" t="s">
        <v>39</v>
      </c>
      <c r="G793">
        <v>-315.44240000000002</v>
      </c>
      <c r="H793">
        <v>-0.05</v>
      </c>
      <c r="I793">
        <v>364.6343</v>
      </c>
      <c r="J793">
        <v>-346.38720000000001</v>
      </c>
      <c r="K793">
        <v>1.1045049999999901</v>
      </c>
      <c r="L793">
        <v>367.35219999999998</v>
      </c>
      <c r="M793">
        <v>0.9998937</v>
      </c>
      <c r="N793">
        <v>0</v>
      </c>
      <c r="O793">
        <v>-8.5302490000000002E-3</v>
      </c>
      <c r="P793">
        <v>0.99433039999999995</v>
      </c>
      <c r="Q793">
        <v>-1.090256E-2</v>
      </c>
      <c r="R793">
        <v>0.10577549999999999</v>
      </c>
      <c r="S793">
        <v>3.0439150000000001</v>
      </c>
      <c r="T793">
        <v>-0.1128281</v>
      </c>
      <c r="U793">
        <v>-0.2657776</v>
      </c>
      <c r="V793">
        <v>-0.1142546</v>
      </c>
      <c r="W793">
        <v>7.88037E-4</v>
      </c>
      <c r="X793">
        <v>0.99345119999999898</v>
      </c>
      <c r="Y793">
        <v>7.8434139999999999E-2</v>
      </c>
      <c r="Z793">
        <v>-1.134925E-3</v>
      </c>
      <c r="AA793">
        <v>0.99691869999999905</v>
      </c>
      <c r="AB793">
        <v>32</v>
      </c>
      <c r="AC793">
        <v>30.944799999999901</v>
      </c>
      <c r="AD793">
        <v>-1.1545049999999999</v>
      </c>
      <c r="AE793">
        <v>-2.7178999999999802</v>
      </c>
      <c r="AF793">
        <v>2.4504310852089199</v>
      </c>
      <c r="AG793">
        <v>-1.1545049999999999</v>
      </c>
      <c r="AH793">
        <v>30.924145330387699</v>
      </c>
      <c r="AI793">
        <v>92.1313812995717</v>
      </c>
      <c r="AJ793">
        <v>85.469345892803901</v>
      </c>
      <c r="AK793">
        <v>31.0425556086048</v>
      </c>
    </row>
    <row r="794" spans="1:37" x14ac:dyDescent="0.2">
      <c r="A794" t="str">
        <f>"20200111155515811"</f>
        <v>20200111155515811</v>
      </c>
      <c r="B794" t="str">
        <f>"1578729315802950"</f>
        <v>1578729315802950</v>
      </c>
      <c r="C794" t="s">
        <v>37</v>
      </c>
      <c r="D794">
        <v>4.7843819999999999</v>
      </c>
      <c r="E794">
        <v>0.57379419999999903</v>
      </c>
      <c r="F794" t="s">
        <v>39</v>
      </c>
      <c r="G794">
        <v>-314.50139999999999</v>
      </c>
      <c r="H794">
        <v>-0.05</v>
      </c>
      <c r="I794">
        <v>364.56709999999998</v>
      </c>
      <c r="J794">
        <v>-346.18810000000002</v>
      </c>
      <c r="K794">
        <v>1.104509</v>
      </c>
      <c r="L794">
        <v>367.35070000000002</v>
      </c>
      <c r="M794">
        <v>0.99989490000000003</v>
      </c>
      <c r="N794">
        <v>0</v>
      </c>
      <c r="O794">
        <v>-8.3800279999999994E-3</v>
      </c>
      <c r="P794">
        <v>0.99428269999999996</v>
      </c>
      <c r="Q794">
        <v>-1.0063239999999999E-2</v>
      </c>
      <c r="R794">
        <v>0.10630630000000001</v>
      </c>
      <c r="S794">
        <v>3.0442200000000001</v>
      </c>
      <c r="T794">
        <v>-0.11022369999999999</v>
      </c>
      <c r="U794">
        <v>-0.26589970000000002</v>
      </c>
      <c r="V794">
        <v>-0.11463619999999999</v>
      </c>
      <c r="W794">
        <v>1.643959E-3</v>
      </c>
      <c r="X794">
        <v>0.99340620000000002</v>
      </c>
      <c r="Y794">
        <v>7.8616900000000003E-2</v>
      </c>
      <c r="Z794">
        <v>-1.1173589999999901E-3</v>
      </c>
      <c r="AA794">
        <v>0.99690429999999997</v>
      </c>
      <c r="AB794">
        <v>32</v>
      </c>
      <c r="AC794">
        <v>31.686699999999998</v>
      </c>
      <c r="AD794">
        <v>-1.154509</v>
      </c>
      <c r="AE794">
        <v>-2.7836000000000301</v>
      </c>
      <c r="AF794">
        <v>2.5146355666605502</v>
      </c>
      <c r="AG794">
        <v>-1.154509</v>
      </c>
      <c r="AH794">
        <v>31.667198647478301</v>
      </c>
      <c r="AI794">
        <v>92.081393771351301</v>
      </c>
      <c r="AJ794">
        <v>85.459771753905997</v>
      </c>
      <c r="AK794">
        <v>31.787855436361902</v>
      </c>
    </row>
    <row r="795" spans="1:37" x14ac:dyDescent="0.2">
      <c r="A795" t="str">
        <f>"20200111155515822"</f>
        <v>20200111155515822</v>
      </c>
      <c r="B795" t="str">
        <f>"1578729315813686"</f>
        <v>1578729315813686</v>
      </c>
      <c r="C795" t="s">
        <v>37</v>
      </c>
      <c r="D795">
        <v>4.7684089999999903</v>
      </c>
      <c r="E795">
        <v>0.57386510000000002</v>
      </c>
      <c r="F795" t="s">
        <v>39</v>
      </c>
      <c r="G795">
        <v>-313.48149999999998</v>
      </c>
      <c r="H795">
        <v>-0.05</v>
      </c>
      <c r="I795">
        <v>364.50400000000002</v>
      </c>
      <c r="J795">
        <v>-346.03210000000001</v>
      </c>
      <c r="K795">
        <v>1.1045069999999999</v>
      </c>
      <c r="L795">
        <v>367.34949999999998</v>
      </c>
      <c r="M795">
        <v>0.9998958</v>
      </c>
      <c r="N795">
        <v>0</v>
      </c>
      <c r="O795">
        <v>-8.2617309999999996E-3</v>
      </c>
      <c r="P795">
        <v>0.99426389999999998</v>
      </c>
      <c r="Q795">
        <v>-9.5962789999999992E-3</v>
      </c>
      <c r="R795">
        <v>0.10652499999999999</v>
      </c>
      <c r="S795">
        <v>3.0445250000000001</v>
      </c>
      <c r="T795">
        <v>-0.1074686</v>
      </c>
      <c r="U795">
        <v>-0.2649841</v>
      </c>
      <c r="V795">
        <v>-0.11473750000000001</v>
      </c>
      <c r="W795">
        <v>2.1236559999999998E-3</v>
      </c>
      <c r="X795">
        <v>0.99339359999999999</v>
      </c>
      <c r="Y795">
        <v>7.8430970000000003E-2</v>
      </c>
      <c r="Z795">
        <v>-1.0902450000000001E-3</v>
      </c>
      <c r="AA795">
        <v>0.996919</v>
      </c>
      <c r="AB795">
        <v>32</v>
      </c>
      <c r="AC795">
        <v>32.550600000000003</v>
      </c>
      <c r="AD795">
        <v>-1.1545069999999999</v>
      </c>
      <c r="AE795">
        <v>-2.8454999999999502</v>
      </c>
      <c r="AF795">
        <v>2.57324717349967</v>
      </c>
      <c r="AG795">
        <v>-1.1545069999999999</v>
      </c>
      <c r="AH795">
        <v>32.5323844894872</v>
      </c>
      <c r="AI795">
        <v>92.026132643859498</v>
      </c>
      <c r="AJ795">
        <v>85.477433453879996</v>
      </c>
      <c r="AK795">
        <v>32.654410544378301</v>
      </c>
    </row>
    <row r="796" spans="1:37" x14ac:dyDescent="0.2">
      <c r="A796" t="str">
        <f>"20200111155515832"</f>
        <v>20200111155515832</v>
      </c>
      <c r="B796" t="str">
        <f>"1578729315822978"</f>
        <v>1578729315822978</v>
      </c>
      <c r="C796" t="s">
        <v>37</v>
      </c>
      <c r="D796">
        <v>4.9371429999999998</v>
      </c>
      <c r="E796">
        <v>0.57386510000000002</v>
      </c>
      <c r="F796" t="s">
        <v>39</v>
      </c>
      <c r="G796">
        <v>-312.82429999999999</v>
      </c>
      <c r="H796">
        <v>-0.05</v>
      </c>
      <c r="I796">
        <v>364.46100000000001</v>
      </c>
      <c r="J796">
        <v>-345.86720000000003</v>
      </c>
      <c r="K796">
        <v>1.1045100000000001</v>
      </c>
      <c r="L796">
        <v>367.34829999999999</v>
      </c>
      <c r="M796">
        <v>0.99989649999999997</v>
      </c>
      <c r="N796">
        <v>0</v>
      </c>
      <c r="O796">
        <v>-8.1365209999999903E-3</v>
      </c>
      <c r="P796">
        <v>0.99423609999999896</v>
      </c>
      <c r="Q796">
        <v>-9.2440509999999997E-3</v>
      </c>
      <c r="R796">
        <v>0.1068144</v>
      </c>
      <c r="S796">
        <v>3.0446469999999999</v>
      </c>
      <c r="T796">
        <v>-0.10585079999999999</v>
      </c>
      <c r="U796">
        <v>-0.2648315</v>
      </c>
      <c r="V796">
        <v>-0.1149027</v>
      </c>
      <c r="W796">
        <v>2.4879590000000001E-3</v>
      </c>
      <c r="X796">
        <v>0.99337359999999897</v>
      </c>
      <c r="Y796">
        <v>7.8503920000000005E-2</v>
      </c>
      <c r="Z796">
        <v>-1.07941E-3</v>
      </c>
      <c r="AA796">
        <v>0.99691319999999894</v>
      </c>
      <c r="AB796">
        <v>32</v>
      </c>
      <c r="AC796">
        <v>33.042900000000003</v>
      </c>
      <c r="AD796">
        <v>-1.1545099999999999</v>
      </c>
      <c r="AE796">
        <v>-2.8872999999999802</v>
      </c>
      <c r="AF796">
        <v>2.6151628743554798</v>
      </c>
      <c r="AG796">
        <v>-1.1545099999999999</v>
      </c>
      <c r="AH796">
        <v>33.025289020450998</v>
      </c>
      <c r="AI796">
        <v>91.995908405408301</v>
      </c>
      <c r="AJ796">
        <v>85.472385390592606</v>
      </c>
      <c r="AK796">
        <v>33.148781049743398</v>
      </c>
    </row>
    <row r="797" spans="1:37" x14ac:dyDescent="0.2">
      <c r="A797" t="str">
        <f>"20200111155515845"</f>
        <v>20200111155515845</v>
      </c>
      <c r="B797" t="str">
        <f>"1578729315833713"</f>
        <v>1578729315833713</v>
      </c>
      <c r="C797" t="s">
        <v>37</v>
      </c>
      <c r="D797">
        <v>4.9980869999999999</v>
      </c>
      <c r="E797">
        <v>0.54519530000000005</v>
      </c>
      <c r="F797" t="s">
        <v>39</v>
      </c>
      <c r="G797">
        <v>-312.26909999999998</v>
      </c>
      <c r="H797">
        <v>-0.05</v>
      </c>
      <c r="I797">
        <v>364.43509999999998</v>
      </c>
      <c r="J797">
        <v>-345.70069999999998</v>
      </c>
      <c r="K797">
        <v>1.1045119999999999</v>
      </c>
      <c r="L797">
        <v>367.34710000000001</v>
      </c>
      <c r="M797">
        <v>0.99989749999999999</v>
      </c>
      <c r="N797">
        <v>0</v>
      </c>
      <c r="O797">
        <v>-8.0103540000000008E-3</v>
      </c>
      <c r="P797">
        <v>0.99418660000000003</v>
      </c>
      <c r="Q797">
        <v>-8.7808999999999995E-3</v>
      </c>
      <c r="R797">
        <v>0.1073136</v>
      </c>
      <c r="S797">
        <v>3.0447690000000001</v>
      </c>
      <c r="T797">
        <v>-0.10462529999999901</v>
      </c>
      <c r="U797">
        <v>-0.26400759999999901</v>
      </c>
      <c r="V797">
        <v>-0.1152758</v>
      </c>
      <c r="W797">
        <v>2.96241E-3</v>
      </c>
      <c r="X797">
        <v>0.99332909999999996</v>
      </c>
      <c r="Y797">
        <v>7.8359490000000004E-2</v>
      </c>
      <c r="Z797">
        <v>-1.0687400000000001E-3</v>
      </c>
      <c r="AA797">
        <v>0.99692459999999905</v>
      </c>
      <c r="AB797">
        <v>32</v>
      </c>
      <c r="AC797">
        <v>33.431600000000003</v>
      </c>
      <c r="AD797">
        <v>-1.154512</v>
      </c>
      <c r="AE797">
        <v>-2.9120000000000301</v>
      </c>
      <c r="AF797">
        <v>2.6409629426567398</v>
      </c>
      <c r="AG797">
        <v>-1.154512</v>
      </c>
      <c r="AH797">
        <v>33.414306318129597</v>
      </c>
      <c r="AI797">
        <v>91.972716659318493</v>
      </c>
      <c r="AJ797">
        <v>85.4809139869365</v>
      </c>
      <c r="AK797">
        <v>33.538387706394403</v>
      </c>
    </row>
    <row r="798" spans="1:37" x14ac:dyDescent="0.2">
      <c r="A798" t="str">
        <f>"20200111155515857"</f>
        <v>20200111155515857</v>
      </c>
      <c r="B798" t="str">
        <f>"1578729315853234"</f>
        <v>1578729315853234</v>
      </c>
      <c r="C798" t="s">
        <v>37</v>
      </c>
      <c r="D798">
        <v>4.795007</v>
      </c>
      <c r="E798">
        <v>0.53284809999999905</v>
      </c>
      <c r="F798" t="s">
        <v>38</v>
      </c>
      <c r="G798">
        <v>-323.03210000000001</v>
      </c>
      <c r="H798" s="1">
        <v>-3.4199579999999898E-6</v>
      </c>
      <c r="I798">
        <v>367.08839999999998</v>
      </c>
      <c r="J798">
        <v>-345.52269999999999</v>
      </c>
      <c r="K798">
        <v>1.104519</v>
      </c>
      <c r="L798">
        <v>367.3458</v>
      </c>
      <c r="M798">
        <v>0.99989830000000002</v>
      </c>
      <c r="N798">
        <v>0</v>
      </c>
      <c r="O798">
        <v>-7.8752470000000001E-3</v>
      </c>
      <c r="P798">
        <v>0.99416399999999905</v>
      </c>
      <c r="Q798">
        <v>-8.4771380000000004E-3</v>
      </c>
      <c r="R798">
        <v>0.107547</v>
      </c>
      <c r="S798">
        <v>3.0199579999999999</v>
      </c>
      <c r="T798">
        <v>-0.1471452</v>
      </c>
      <c r="U798">
        <v>-3.4454350000000002E-2</v>
      </c>
      <c r="V798">
        <v>-0.1153752</v>
      </c>
      <c r="W798">
        <v>3.2785520000000001E-3</v>
      </c>
      <c r="X798">
        <v>0.99331659999999899</v>
      </c>
      <c r="Y798">
        <v>3.5376380000000001E-3</v>
      </c>
      <c r="Z798">
        <v>2.973648E-4</v>
      </c>
      <c r="AA798">
        <v>0.99999369999999999</v>
      </c>
      <c r="AB798">
        <v>32</v>
      </c>
      <c r="AC798">
        <v>22.490599999999901</v>
      </c>
      <c r="AD798">
        <v>-1.1045224199579999</v>
      </c>
      <c r="AE798">
        <v>-0.257400000000018</v>
      </c>
      <c r="AF798">
        <v>8.0067381904709606E-2</v>
      </c>
      <c r="AG798">
        <v>-1.1045224199579999</v>
      </c>
      <c r="AH798">
        <v>22.4378205362698</v>
      </c>
      <c r="AI798">
        <v>92.818144854625103</v>
      </c>
      <c r="AJ798">
        <v>89.795545936348901</v>
      </c>
      <c r="AK798">
        <v>22.465132338352401</v>
      </c>
    </row>
    <row r="799" spans="1:37" x14ac:dyDescent="0.2">
      <c r="A799" t="str">
        <f>"20200111155515867"</f>
        <v>20200111155515867</v>
      </c>
      <c r="B799" t="str">
        <f>"1578729315862993"</f>
        <v>1578729315862993</v>
      </c>
      <c r="C799" t="s">
        <v>37</v>
      </c>
      <c r="D799">
        <v>4.8048630000000001</v>
      </c>
      <c r="E799">
        <v>0.52981129999999999</v>
      </c>
      <c r="F799" t="s">
        <v>38</v>
      </c>
      <c r="G799">
        <v>-321.99110000000002</v>
      </c>
      <c r="H799" s="1">
        <v>-3.732037E-6</v>
      </c>
      <c r="I799">
        <v>367.84660000000002</v>
      </c>
      <c r="J799">
        <v>-345.36439999999999</v>
      </c>
      <c r="K799">
        <v>1.104522</v>
      </c>
      <c r="L799">
        <v>367.34469999999999</v>
      </c>
      <c r="M799">
        <v>0.99989889999999904</v>
      </c>
      <c r="N799">
        <v>0</v>
      </c>
      <c r="O799">
        <v>-7.7542430000000001E-3</v>
      </c>
      <c r="P799">
        <v>0.99413530000000006</v>
      </c>
      <c r="Q799">
        <v>-7.9091809999999995E-3</v>
      </c>
      <c r="R799">
        <v>0.1078542</v>
      </c>
      <c r="S799">
        <v>3.0095209999999999</v>
      </c>
      <c r="T799">
        <v>-0.14125979999999999</v>
      </c>
      <c r="U799">
        <v>6.4056399999999999E-2</v>
      </c>
      <c r="V799">
        <v>-0.1155625</v>
      </c>
      <c r="W799">
        <v>3.8641040000000001E-3</v>
      </c>
      <c r="X799">
        <v>0.99329269999999903</v>
      </c>
      <c r="Y799">
        <v>-2.8991719999999999E-2</v>
      </c>
      <c r="Z799">
        <v>1.0437059999999999E-3</v>
      </c>
      <c r="AA799">
        <v>0.99957909999999905</v>
      </c>
      <c r="AB799">
        <v>32</v>
      </c>
      <c r="AC799">
        <v>23.373299999999901</v>
      </c>
      <c r="AD799">
        <v>-1.1045257320370001</v>
      </c>
      <c r="AE799">
        <v>0.50190000000003399</v>
      </c>
      <c r="AF799">
        <v>-0.68161859848238404</v>
      </c>
      <c r="AG799">
        <v>-1.1045257320370001</v>
      </c>
      <c r="AH799">
        <v>23.316660212088699</v>
      </c>
      <c r="AI799">
        <v>92.710955446089201</v>
      </c>
      <c r="AJ799">
        <v>91.674457210270404</v>
      </c>
      <c r="AK799">
        <v>23.3527562495849</v>
      </c>
    </row>
    <row r="800" spans="1:37" x14ac:dyDescent="0.2">
      <c r="A800" t="str">
        <f>"20200111155515880"</f>
        <v>20200111155515880</v>
      </c>
      <c r="B800" t="str">
        <f>"1578729315873730"</f>
        <v>1578729315873730</v>
      </c>
      <c r="C800" t="s">
        <v>37</v>
      </c>
      <c r="D800">
        <v>4.7741100000000003</v>
      </c>
      <c r="E800">
        <v>0.52739930000000002</v>
      </c>
      <c r="F800" t="s">
        <v>38</v>
      </c>
      <c r="G800">
        <v>-321.7414</v>
      </c>
      <c r="H800" s="1">
        <v>-3.804193E-6</v>
      </c>
      <c r="I800">
        <v>368.0437</v>
      </c>
      <c r="J800">
        <v>-345.19380000000001</v>
      </c>
      <c r="K800">
        <v>1.1045069999999999</v>
      </c>
      <c r="L800">
        <v>367.34350000000001</v>
      </c>
      <c r="M800">
        <v>0.99990059999999903</v>
      </c>
      <c r="N800">
        <v>0</v>
      </c>
      <c r="O800">
        <v>-7.6247880000000004E-3</v>
      </c>
      <c r="P800">
        <v>0.99412230000000001</v>
      </c>
      <c r="Q800">
        <v>-7.3628369999999997E-3</v>
      </c>
      <c r="R800">
        <v>0.1080132</v>
      </c>
      <c r="S800">
        <v>3.0069270000000001</v>
      </c>
      <c r="T800">
        <v>-0.14059260000000001</v>
      </c>
      <c r="U800">
        <v>8.8989260000000001E-2</v>
      </c>
      <c r="V800">
        <v>-0.1155926</v>
      </c>
      <c r="W800">
        <v>4.3671630000000003E-3</v>
      </c>
      <c r="X800">
        <v>0.99328709999999898</v>
      </c>
      <c r="Y800">
        <v>-3.7154039999999999E-2</v>
      </c>
      <c r="Z800">
        <v>1.2241939999999901E-3</v>
      </c>
      <c r="AA800">
        <v>0.9993088</v>
      </c>
      <c r="AB800">
        <v>32</v>
      </c>
      <c r="AC800">
        <v>23.452400000000001</v>
      </c>
      <c r="AD800">
        <v>-1.1045108041930001</v>
      </c>
      <c r="AE800">
        <v>0.70019999999999505</v>
      </c>
      <c r="AF800">
        <v>-0.87706817634222001</v>
      </c>
      <c r="AG800">
        <v>-1.1045108041930001</v>
      </c>
      <c r="AH800">
        <v>23.394535589172801</v>
      </c>
      <c r="AI800">
        <v>92.701165929271994</v>
      </c>
      <c r="AJ800">
        <v>92.147030485328699</v>
      </c>
      <c r="AK800">
        <v>23.437011075126598</v>
      </c>
    </row>
    <row r="801" spans="1:37" x14ac:dyDescent="0.2">
      <c r="A801" t="str">
        <f>"20200111155515892"</f>
        <v>20200111155515892</v>
      </c>
      <c r="B801" t="str">
        <f>"1578729315883490"</f>
        <v>1578729315883490</v>
      </c>
      <c r="C801" t="s">
        <v>37</v>
      </c>
      <c r="D801">
        <v>4.7490750000000004</v>
      </c>
      <c r="E801">
        <v>0.52602309999999997</v>
      </c>
      <c r="F801" t="s">
        <v>38</v>
      </c>
      <c r="G801">
        <v>-321.24770000000001</v>
      </c>
      <c r="H801" s="1">
        <v>-3.9864870000000001E-6</v>
      </c>
      <c r="I801">
        <v>368.21019999999999</v>
      </c>
      <c r="J801">
        <v>-345.00959999999998</v>
      </c>
      <c r="K801">
        <v>1.104352</v>
      </c>
      <c r="L801">
        <v>367.34230000000002</v>
      </c>
      <c r="M801">
        <v>0.99990829999999997</v>
      </c>
      <c r="N801">
        <v>0</v>
      </c>
      <c r="O801">
        <v>-7.4897779999999999E-3</v>
      </c>
      <c r="P801">
        <v>0.9941065</v>
      </c>
      <c r="Q801">
        <v>-6.4712459999999999E-3</v>
      </c>
      <c r="R801">
        <v>0.10821500000000001</v>
      </c>
      <c r="S801">
        <v>3.004883</v>
      </c>
      <c r="T801">
        <v>-0.1385989</v>
      </c>
      <c r="U801">
        <v>0.108764599999999</v>
      </c>
      <c r="V801">
        <v>-0.1156601</v>
      </c>
      <c r="W801">
        <v>4.6961770000000002E-3</v>
      </c>
      <c r="X801">
        <v>0.99327770000000004</v>
      </c>
      <c r="Y801">
        <v>-4.3602370000000001E-2</v>
      </c>
      <c r="Z801">
        <v>1.349905E-3</v>
      </c>
      <c r="AA801">
        <v>0.99904809999999999</v>
      </c>
      <c r="AB801">
        <v>32</v>
      </c>
      <c r="AC801">
        <v>23.761899999999901</v>
      </c>
      <c r="AD801">
        <v>-1.1043559864870001</v>
      </c>
      <c r="AE801">
        <v>0.86789999999996303</v>
      </c>
      <c r="AF801">
        <v>-1.04360713864296</v>
      </c>
      <c r="AG801">
        <v>-1.1043559864870001</v>
      </c>
      <c r="AH801">
        <v>23.703600818485398</v>
      </c>
      <c r="AI801">
        <v>92.664916176137496</v>
      </c>
      <c r="AJ801">
        <v>92.520954288038098</v>
      </c>
      <c r="AK801">
        <v>23.752250625294799</v>
      </c>
    </row>
    <row r="802" spans="1:37" x14ac:dyDescent="0.2">
      <c r="A802" t="str">
        <f>"20200111155515904"</f>
        <v>20200111155515904</v>
      </c>
      <c r="B802" t="str">
        <f>"1578729315893249"</f>
        <v>1578729315893249</v>
      </c>
      <c r="C802" t="s">
        <v>37</v>
      </c>
      <c r="D802">
        <v>4.7113389999999997</v>
      </c>
      <c r="E802">
        <v>0.52504309999999998</v>
      </c>
      <c r="F802" t="s">
        <v>38</v>
      </c>
      <c r="G802">
        <v>-320.87549999999999</v>
      </c>
      <c r="H802" s="1">
        <v>-4.1285280000000003E-6</v>
      </c>
      <c r="I802">
        <v>368.30950000000001</v>
      </c>
      <c r="J802">
        <v>-344.83730000000003</v>
      </c>
      <c r="K802">
        <v>1.1041909999999999</v>
      </c>
      <c r="L802">
        <v>367.34109999999998</v>
      </c>
      <c r="M802">
        <v>0.99991580000000002</v>
      </c>
      <c r="N802">
        <v>0</v>
      </c>
      <c r="O802">
        <v>-7.3641610000000001E-3</v>
      </c>
      <c r="P802">
        <v>0.99410799999999999</v>
      </c>
      <c r="Q802">
        <v>-5.681686E-3</v>
      </c>
      <c r="R802">
        <v>0.1082468</v>
      </c>
      <c r="S802">
        <v>3.003784</v>
      </c>
      <c r="T802">
        <v>-0.13745019999999999</v>
      </c>
      <c r="U802">
        <v>0.12039179999999999</v>
      </c>
      <c r="V802">
        <v>-0.11556719999999999</v>
      </c>
      <c r="W802">
        <v>4.8869100000000004E-3</v>
      </c>
      <c r="X802">
        <v>0.99328760000000005</v>
      </c>
      <c r="Y802">
        <v>-4.7348319999999999E-2</v>
      </c>
      <c r="Z802">
        <v>1.419001E-3</v>
      </c>
      <c r="AA802">
        <v>0.99887739999999903</v>
      </c>
      <c r="AB802">
        <v>32</v>
      </c>
      <c r="AC802">
        <v>23.9618</v>
      </c>
      <c r="AD802">
        <v>-1.1041951285279901</v>
      </c>
      <c r="AE802">
        <v>0.96840000000003001</v>
      </c>
      <c r="AF802">
        <v>-1.14242038772014</v>
      </c>
      <c r="AG802">
        <v>-1.1041951285279901</v>
      </c>
      <c r="AH802">
        <v>23.903342284871201</v>
      </c>
      <c r="AI802">
        <v>92.641839687795994</v>
      </c>
      <c r="AJ802">
        <v>92.736274112010804</v>
      </c>
      <c r="AK802">
        <v>23.956087819421899</v>
      </c>
    </row>
    <row r="803" spans="1:37" x14ac:dyDescent="0.2">
      <c r="A803" t="str">
        <f>"20200111155515916"</f>
        <v>20200111155515916</v>
      </c>
      <c r="B803" t="str">
        <f>"1578729315913747"</f>
        <v>1578729315913747</v>
      </c>
      <c r="C803" t="s">
        <v>37</v>
      </c>
      <c r="D803">
        <v>4.688129</v>
      </c>
      <c r="E803">
        <v>0.52449999999999997</v>
      </c>
      <c r="F803" t="s">
        <v>38</v>
      </c>
      <c r="G803">
        <v>-320.791</v>
      </c>
      <c r="H803" s="1">
        <v>-4.1544420000000003E-6</v>
      </c>
      <c r="I803">
        <v>368.36790000000002</v>
      </c>
      <c r="J803">
        <v>-344.64280000000002</v>
      </c>
      <c r="K803">
        <v>1.103998</v>
      </c>
      <c r="L803">
        <v>367.33980000000003</v>
      </c>
      <c r="M803">
        <v>0.999924699999999</v>
      </c>
      <c r="N803">
        <v>0</v>
      </c>
      <c r="O803">
        <v>-7.2232989999999999E-3</v>
      </c>
      <c r="P803">
        <v>0.99408099999999999</v>
      </c>
      <c r="Q803">
        <v>-4.9727230000000001E-3</v>
      </c>
      <c r="R803">
        <v>0.1085276</v>
      </c>
      <c r="S803">
        <v>3.0030209999999999</v>
      </c>
      <c r="T803">
        <v>-0.1378964</v>
      </c>
      <c r="U803">
        <v>0.12823489999999901</v>
      </c>
      <c r="V803">
        <v>-0.115707899999999</v>
      </c>
      <c r="W803">
        <v>4.8330279999999996E-3</v>
      </c>
      <c r="X803">
        <v>0.99327149999999997</v>
      </c>
      <c r="Y803">
        <v>-4.981903E-2</v>
      </c>
      <c r="Z803">
        <v>1.4740929999999899E-3</v>
      </c>
      <c r="AA803">
        <v>0.99875720000000001</v>
      </c>
      <c r="AB803">
        <v>33</v>
      </c>
      <c r="AC803">
        <v>23.851800000000001</v>
      </c>
      <c r="AD803">
        <v>-1.104002154442</v>
      </c>
      <c r="AE803">
        <v>1.02809999999999</v>
      </c>
      <c r="AF803">
        <v>-1.1978089288029701</v>
      </c>
      <c r="AG803">
        <v>-1.104002154442</v>
      </c>
      <c r="AH803">
        <v>23.792872081667898</v>
      </c>
      <c r="AI803">
        <v>92.653294341057304</v>
      </c>
      <c r="AJ803">
        <v>92.882018829607702</v>
      </c>
      <c r="AK803">
        <v>23.8485707932686</v>
      </c>
    </row>
    <row r="804" spans="1:37" x14ac:dyDescent="0.2">
      <c r="A804" t="str">
        <f>"20200111155515930"</f>
        <v>20200111155515930</v>
      </c>
      <c r="B804" t="str">
        <f>"1578729315923036"</f>
        <v>1578729315923036</v>
      </c>
      <c r="C804" t="s">
        <v>37</v>
      </c>
      <c r="D804">
        <v>4.9534580000000004</v>
      </c>
      <c r="E804">
        <v>0.52447469999999996</v>
      </c>
      <c r="F804" t="s">
        <v>38</v>
      </c>
      <c r="G804">
        <v>-320.03179999999998</v>
      </c>
      <c r="H804" s="1">
        <v>-4.4684100000000001E-6</v>
      </c>
      <c r="I804">
        <v>368.43380000000002</v>
      </c>
      <c r="J804">
        <v>-344.45299999999997</v>
      </c>
      <c r="K804">
        <v>1.103834</v>
      </c>
      <c r="L804">
        <v>367.33859999999999</v>
      </c>
      <c r="M804">
        <v>0.99993290000000001</v>
      </c>
      <c r="N804">
        <v>0</v>
      </c>
      <c r="O804">
        <v>-7.0859959999999998E-3</v>
      </c>
      <c r="P804">
        <v>0.99409459999999905</v>
      </c>
      <c r="Q804">
        <v>-4.2646029999999996E-3</v>
      </c>
      <c r="R804">
        <v>0.10843469999999999</v>
      </c>
      <c r="S804">
        <v>3.0026250000000001</v>
      </c>
      <c r="T804">
        <v>-0.13469149999999999</v>
      </c>
      <c r="U804">
        <v>0.13348389999999999</v>
      </c>
      <c r="V804">
        <v>-0.115478199999999</v>
      </c>
      <c r="W804">
        <v>4.7924969999999997E-3</v>
      </c>
      <c r="X804">
        <v>0.99329849999999997</v>
      </c>
      <c r="Y804">
        <v>-5.1431329999999997E-2</v>
      </c>
      <c r="Z804">
        <v>1.469974E-3</v>
      </c>
      <c r="AA804">
        <v>0.99867549999999905</v>
      </c>
      <c r="AB804">
        <v>33</v>
      </c>
      <c r="AC804">
        <v>24.421199999999999</v>
      </c>
      <c r="AD804">
        <v>-1.10383846841</v>
      </c>
      <c r="AE804">
        <v>1.0952000000000299</v>
      </c>
      <c r="AF804">
        <v>-1.2656477143137801</v>
      </c>
      <c r="AG804">
        <v>-1.10383846841</v>
      </c>
      <c r="AH804">
        <v>24.363150914882802</v>
      </c>
      <c r="AI804">
        <v>92.590677548262803</v>
      </c>
      <c r="AJ804">
        <v>92.9738002368167</v>
      </c>
      <c r="AK804">
        <v>24.420963248865601</v>
      </c>
    </row>
    <row r="805" spans="1:37" x14ac:dyDescent="0.2">
      <c r="A805" t="str">
        <f>"20200111155515945"</f>
        <v>20200111155515945</v>
      </c>
      <c r="B805" t="str">
        <f>"1578729315933772"</f>
        <v>1578729315933772</v>
      </c>
      <c r="C805" t="s">
        <v>37</v>
      </c>
      <c r="D805">
        <v>4.7217719999999996</v>
      </c>
      <c r="E805">
        <v>0.52411759999999996</v>
      </c>
      <c r="F805" t="s">
        <v>39</v>
      </c>
      <c r="G805">
        <v>-318.30759999999998</v>
      </c>
      <c r="H805">
        <v>-0.05</v>
      </c>
      <c r="I805">
        <v>368.50029999999998</v>
      </c>
      <c r="J805">
        <v>-344.23070000000001</v>
      </c>
      <c r="K805">
        <v>1.1036520000000001</v>
      </c>
      <c r="L805">
        <v>367.33710000000002</v>
      </c>
      <c r="M805">
        <v>0.99994179999999999</v>
      </c>
      <c r="N805">
        <v>0</v>
      </c>
      <c r="O805">
        <v>-6.9270240000000004E-3</v>
      </c>
      <c r="P805">
        <v>0.99409969999999903</v>
      </c>
      <c r="Q805">
        <v>-3.810318E-3</v>
      </c>
      <c r="R805">
        <v>0.1084041</v>
      </c>
      <c r="S805">
        <v>3.0026860000000002</v>
      </c>
      <c r="T805">
        <v>-0.13251309999999999</v>
      </c>
      <c r="U805">
        <v>0.13342290000000001</v>
      </c>
      <c r="V805">
        <v>-0.1152894</v>
      </c>
      <c r="W805">
        <v>4.3786069999999996E-3</v>
      </c>
      <c r="X805">
        <v>0.99332229999999999</v>
      </c>
      <c r="Y805">
        <v>-5.1253559999999997E-2</v>
      </c>
      <c r="Z805">
        <v>1.4352639999999999E-3</v>
      </c>
      <c r="AA805">
        <v>0.99868459999999903</v>
      </c>
      <c r="AB805">
        <v>33</v>
      </c>
      <c r="AC805">
        <v>25.923100000000002</v>
      </c>
      <c r="AD805">
        <v>-1.1536519999999999</v>
      </c>
      <c r="AE805">
        <v>1.16319999999996</v>
      </c>
      <c r="AF805">
        <v>-1.34009942951355</v>
      </c>
      <c r="AG805">
        <v>-1.1536519999999999</v>
      </c>
      <c r="AH805">
        <v>25.863300765663102</v>
      </c>
      <c r="AI805">
        <v>92.550611307934403</v>
      </c>
      <c r="AJ805">
        <v>92.966111662205606</v>
      </c>
      <c r="AK805">
        <v>25.923678479591501</v>
      </c>
    </row>
    <row r="806" spans="1:37" x14ac:dyDescent="0.2">
      <c r="A806" t="str">
        <f>"20200111155515957"</f>
        <v>20200111155515957</v>
      </c>
      <c r="B806" t="str">
        <f>"1578729315953293"</f>
        <v>1578729315953293</v>
      </c>
      <c r="C806" t="s">
        <v>37</v>
      </c>
      <c r="D806">
        <v>4.6868589999999903</v>
      </c>
      <c r="E806">
        <v>0.52395159999999996</v>
      </c>
      <c r="F806" t="s">
        <v>39</v>
      </c>
      <c r="G806">
        <v>-317.90350000000001</v>
      </c>
      <c r="H806">
        <v>-0.05</v>
      </c>
      <c r="I806">
        <v>368.53269999999998</v>
      </c>
      <c r="J806">
        <v>-344.04730000000001</v>
      </c>
      <c r="K806">
        <v>1.103523</v>
      </c>
      <c r="L806">
        <v>367.33589999999998</v>
      </c>
      <c r="M806">
        <v>0.99994830000000001</v>
      </c>
      <c r="N806">
        <v>0</v>
      </c>
      <c r="O806">
        <v>-6.7976859999999998E-3</v>
      </c>
      <c r="P806">
        <v>0.994125499999999</v>
      </c>
      <c r="Q806">
        <v>-3.399198E-3</v>
      </c>
      <c r="R806">
        <v>0.1081811</v>
      </c>
      <c r="S806">
        <v>3.0024410000000001</v>
      </c>
      <c r="T806">
        <v>-0.1315665</v>
      </c>
      <c r="U806">
        <v>0.13635249999999999</v>
      </c>
      <c r="V806">
        <v>-0.1149381</v>
      </c>
      <c r="W806">
        <v>4.08249299999999E-3</v>
      </c>
      <c r="X806">
        <v>0.99336429999999998</v>
      </c>
      <c r="Y806">
        <v>-5.2100550000000002E-2</v>
      </c>
      <c r="Z806">
        <v>1.4379810000000001E-3</v>
      </c>
      <c r="AA806">
        <v>0.9986408</v>
      </c>
      <c r="AB806">
        <v>33</v>
      </c>
      <c r="AC806">
        <v>26.143799999999999</v>
      </c>
      <c r="AD806">
        <v>-1.1535230000000001</v>
      </c>
      <c r="AE806">
        <v>1.1967999999999901</v>
      </c>
      <c r="AF806">
        <v>-1.3718297172670399</v>
      </c>
      <c r="AG806">
        <v>-1.1535230000000001</v>
      </c>
      <c r="AH806">
        <v>26.0843860615445</v>
      </c>
      <c r="AI806">
        <v>92.528636479098196</v>
      </c>
      <c r="AJ806">
        <v>93.010525368356994</v>
      </c>
      <c r="AK806">
        <v>26.145893143903201</v>
      </c>
    </row>
    <row r="807" spans="1:37" x14ac:dyDescent="0.2">
      <c r="A807" t="str">
        <f>"20200111155515968"</f>
        <v>20200111155515968</v>
      </c>
      <c r="B807" t="str">
        <f>"1578729315963052"</f>
        <v>1578729315963052</v>
      </c>
      <c r="C807" t="s">
        <v>37</v>
      </c>
      <c r="D807">
        <v>4.727697</v>
      </c>
      <c r="E807">
        <v>0.52378539999999996</v>
      </c>
      <c r="F807" t="s">
        <v>39</v>
      </c>
      <c r="G807">
        <v>-317.36619999999999</v>
      </c>
      <c r="H807">
        <v>-0.05</v>
      </c>
      <c r="I807">
        <v>368.55169999999998</v>
      </c>
      <c r="J807">
        <v>-343.88709999999998</v>
      </c>
      <c r="K807">
        <v>1.103429</v>
      </c>
      <c r="L807">
        <v>367.3349</v>
      </c>
      <c r="M807">
        <v>0.99995339999999999</v>
      </c>
      <c r="N807">
        <v>0</v>
      </c>
      <c r="O807">
        <v>-6.6882240000000004E-3</v>
      </c>
      <c r="P807">
        <v>0.99413960000000001</v>
      </c>
      <c r="Q807">
        <v>-2.7027689999999998E-3</v>
      </c>
      <c r="R807">
        <v>0.1080701</v>
      </c>
      <c r="S807">
        <v>3.0024109999999999</v>
      </c>
      <c r="T807">
        <v>-0.12980510000000001</v>
      </c>
      <c r="U807">
        <v>0.1368103</v>
      </c>
      <c r="V807">
        <v>-0.1147183</v>
      </c>
      <c r="W807">
        <v>4.17976799999999E-3</v>
      </c>
      <c r="X807">
        <v>0.99338919999999997</v>
      </c>
      <c r="Y807">
        <v>-5.2145179999999999E-2</v>
      </c>
      <c r="Z807">
        <v>1.414991E-3</v>
      </c>
      <c r="AA807">
        <v>0.99863849999999998</v>
      </c>
      <c r="AB807">
        <v>33</v>
      </c>
      <c r="AC807">
        <v>26.520899999999902</v>
      </c>
      <c r="AD807">
        <v>-1.153429</v>
      </c>
      <c r="AE807">
        <v>1.2167999999999699</v>
      </c>
      <c r="AF807">
        <v>-1.3915282617322</v>
      </c>
      <c r="AG807">
        <v>-1.153429</v>
      </c>
      <c r="AH807">
        <v>26.4622203487164</v>
      </c>
      <c r="AI807">
        <v>92.4923758204922</v>
      </c>
      <c r="AJ807">
        <v>93.010152877370501</v>
      </c>
      <c r="AK807">
        <v>26.523873305859102</v>
      </c>
    </row>
    <row r="808" spans="1:37" x14ac:dyDescent="0.2">
      <c r="A808" t="str">
        <f>"20200111155515980"</f>
        <v>20200111155515980</v>
      </c>
      <c r="B808" t="str">
        <f>"1578729315972813"</f>
        <v>1578729315972813</v>
      </c>
      <c r="C808" t="s">
        <v>37</v>
      </c>
      <c r="D808">
        <v>4.7217060000000002</v>
      </c>
      <c r="E808">
        <v>0.52350980000000003</v>
      </c>
      <c r="F808" t="s">
        <v>39</v>
      </c>
      <c r="G808">
        <v>-317.08249999999998</v>
      </c>
      <c r="H808">
        <v>-0.05</v>
      </c>
      <c r="I808">
        <v>368.56529999999998</v>
      </c>
      <c r="J808">
        <v>-343.69380000000001</v>
      </c>
      <c r="K808">
        <v>1.1033269999999999</v>
      </c>
      <c r="L808">
        <v>367.33370000000002</v>
      </c>
      <c r="M808">
        <v>0.99995889999999998</v>
      </c>
      <c r="N808">
        <v>0</v>
      </c>
      <c r="O808">
        <v>-6.5576300000000001E-3</v>
      </c>
      <c r="P808">
        <v>0.99417659999999997</v>
      </c>
      <c r="Q808">
        <v>-2.0163679999999902E-3</v>
      </c>
      <c r="R808">
        <v>0.10774499999999999</v>
      </c>
      <c r="S808">
        <v>3.002319</v>
      </c>
      <c r="T808">
        <v>-0.12919269999999999</v>
      </c>
      <c r="U808">
        <v>0.13781740000000001</v>
      </c>
      <c r="V808">
        <v>-0.114264</v>
      </c>
      <c r="W808">
        <v>4.1583100000000001E-3</v>
      </c>
      <c r="X808">
        <v>0.99344169999999998</v>
      </c>
      <c r="Y808">
        <v>-5.2350830000000001E-2</v>
      </c>
      <c r="Z808">
        <v>1.4071579999999999E-3</v>
      </c>
      <c r="AA808">
        <v>0.99862779999999995</v>
      </c>
      <c r="AB808">
        <v>34</v>
      </c>
      <c r="AC808">
        <v>26.6113</v>
      </c>
      <c r="AD808">
        <v>-1.153327</v>
      </c>
      <c r="AE808">
        <v>1.2315999999999501</v>
      </c>
      <c r="AF808">
        <v>-1.40345347755701</v>
      </c>
      <c r="AG808">
        <v>-1.153327</v>
      </c>
      <c r="AH808">
        <v>26.552882688146799</v>
      </c>
      <c r="AI808">
        <v>92.483621979162706</v>
      </c>
      <c r="AJ808">
        <v>93.025554932691804</v>
      </c>
      <c r="AK808">
        <v>26.6149473770489</v>
      </c>
    </row>
    <row r="809" spans="1:37" x14ac:dyDescent="0.2">
      <c r="A809" t="str">
        <f>"20200111155515991"</f>
        <v>20200111155515991</v>
      </c>
      <c r="B809" t="str">
        <f>"1578729315983548"</f>
        <v>1578729315983548</v>
      </c>
      <c r="C809" t="s">
        <v>37</v>
      </c>
      <c r="D809">
        <v>4.8947339999999997</v>
      </c>
      <c r="E809">
        <v>0.52350980000000003</v>
      </c>
      <c r="F809" t="s">
        <v>39</v>
      </c>
      <c r="G809">
        <v>-316.6705</v>
      </c>
      <c r="H809">
        <v>-0.05</v>
      </c>
      <c r="I809">
        <v>368.58539999999999</v>
      </c>
      <c r="J809">
        <v>-343.5224</v>
      </c>
      <c r="K809">
        <v>1.103253</v>
      </c>
      <c r="L809">
        <v>367.33260000000001</v>
      </c>
      <c r="M809">
        <v>0.99996319999999905</v>
      </c>
      <c r="N809">
        <v>0</v>
      </c>
      <c r="O809">
        <v>-6.4457300000000002E-3</v>
      </c>
      <c r="P809">
        <v>0.99419389999999996</v>
      </c>
      <c r="Q809">
        <v>-1.0148239999999899E-3</v>
      </c>
      <c r="R809">
        <v>0.1075998</v>
      </c>
      <c r="S809">
        <v>3.0021969999999998</v>
      </c>
      <c r="T809">
        <v>-0.12813079999999999</v>
      </c>
      <c r="U809">
        <v>0.13906859999999999</v>
      </c>
      <c r="V809">
        <v>-0.1140075</v>
      </c>
      <c r="W809">
        <v>4.5831680000000003E-3</v>
      </c>
      <c r="X809">
        <v>0.9934693</v>
      </c>
      <c r="Y809">
        <v>-5.2656929999999998E-2</v>
      </c>
      <c r="Z809">
        <v>1.3973989999999999E-3</v>
      </c>
      <c r="AA809">
        <v>0.99861169999999999</v>
      </c>
      <c r="AB809">
        <v>34</v>
      </c>
      <c r="AC809">
        <v>26.851900000000001</v>
      </c>
      <c r="AD809">
        <v>-1.1532530000000001</v>
      </c>
      <c r="AE809">
        <v>1.2527999999999699</v>
      </c>
      <c r="AF809">
        <v>-1.42323726203724</v>
      </c>
      <c r="AG809">
        <v>-1.1532530000000001</v>
      </c>
      <c r="AH809">
        <v>26.793950400700901</v>
      </c>
      <c r="AI809">
        <v>92.461112336786101</v>
      </c>
      <c r="AJ809">
        <v>93.040571584161697</v>
      </c>
      <c r="AK809">
        <v>26.856495952772399</v>
      </c>
    </row>
    <row r="810" spans="1:37" x14ac:dyDescent="0.2">
      <c r="A810" t="str">
        <f>"20200111155516003"</f>
        <v>20200111155516003</v>
      </c>
      <c r="B810" t="str">
        <f>"1578729315993309"</f>
        <v>1578729315993309</v>
      </c>
      <c r="C810" t="s">
        <v>37</v>
      </c>
      <c r="D810">
        <v>4.7380100000000001</v>
      </c>
      <c r="E810">
        <v>0.52338770000000001</v>
      </c>
      <c r="F810" t="s">
        <v>39</v>
      </c>
      <c r="G810">
        <v>-315.84750000000003</v>
      </c>
      <c r="H810">
        <v>-0.05</v>
      </c>
      <c r="I810">
        <v>368.6103</v>
      </c>
      <c r="J810">
        <v>-343.35419999999999</v>
      </c>
      <c r="K810">
        <v>1.10321</v>
      </c>
      <c r="L810">
        <v>367.33159999999998</v>
      </c>
      <c r="M810">
        <v>0.99996640000000003</v>
      </c>
      <c r="N810">
        <v>0</v>
      </c>
      <c r="O810">
        <v>-6.337751E-3</v>
      </c>
      <c r="P810">
        <v>0.99419179999999996</v>
      </c>
      <c r="Q810" s="1">
        <v>6.1119910000000005E-5</v>
      </c>
      <c r="R810">
        <v>0.10762190000000001</v>
      </c>
      <c r="S810">
        <v>3.0024109999999999</v>
      </c>
      <c r="T810">
        <v>-0.1251148</v>
      </c>
      <c r="U810">
        <v>0.13861080000000001</v>
      </c>
      <c r="V810">
        <v>-0.11392239999999999</v>
      </c>
      <c r="W810">
        <v>5.1596569999999998E-3</v>
      </c>
      <c r="X810">
        <v>0.99347629999999998</v>
      </c>
      <c r="Y810">
        <v>-5.2396690000000003E-2</v>
      </c>
      <c r="Z810">
        <v>1.3545300000000001E-3</v>
      </c>
      <c r="AA810">
        <v>0.99862549999999894</v>
      </c>
      <c r="AB810">
        <v>34</v>
      </c>
      <c r="AC810">
        <v>27.506699999999899</v>
      </c>
      <c r="AD810">
        <v>-1.1532100000000001</v>
      </c>
      <c r="AE810">
        <v>1.2787000000000099</v>
      </c>
      <c r="AF810">
        <v>-1.4504633370495299</v>
      </c>
      <c r="AG810">
        <v>-1.1532100000000001</v>
      </c>
      <c r="AH810">
        <v>27.4498992568418</v>
      </c>
      <c r="AI810">
        <v>92.402316504207306</v>
      </c>
      <c r="AJ810">
        <v>93.024718221619196</v>
      </c>
      <c r="AK810">
        <v>27.512373696338699</v>
      </c>
    </row>
    <row r="811" spans="1:37" x14ac:dyDescent="0.2">
      <c r="A811" t="str">
        <f>"20200111155516015"</f>
        <v>20200111155516015</v>
      </c>
      <c r="B811" t="str">
        <f>"1578729316012829"</f>
        <v>1578729316012829</v>
      </c>
      <c r="C811" t="s">
        <v>37</v>
      </c>
      <c r="D811">
        <v>4.7283119999999998</v>
      </c>
      <c r="E811">
        <v>0.52297879999999997</v>
      </c>
      <c r="F811" t="s">
        <v>39</v>
      </c>
      <c r="G811">
        <v>-314.54930000000002</v>
      </c>
      <c r="H811">
        <v>-0.05</v>
      </c>
      <c r="I811">
        <v>368.67079999999999</v>
      </c>
      <c r="J811">
        <v>-343.15089999999998</v>
      </c>
      <c r="K811">
        <v>1.103194</v>
      </c>
      <c r="L811">
        <v>367.3304</v>
      </c>
      <c r="M811">
        <v>0.99996989999999997</v>
      </c>
      <c r="N811">
        <v>0</v>
      </c>
      <c r="O811">
        <v>-6.2105889999999999E-3</v>
      </c>
      <c r="P811">
        <v>0.99419579999999996</v>
      </c>
      <c r="Q811">
        <v>9.3007649999999904E-4</v>
      </c>
      <c r="R811">
        <v>0.1075821</v>
      </c>
      <c r="S811">
        <v>3.0024109999999999</v>
      </c>
      <c r="T811">
        <v>-0.1202019</v>
      </c>
      <c r="U811">
        <v>0.1395874</v>
      </c>
      <c r="V811">
        <v>-0.11375730000000001</v>
      </c>
      <c r="W811">
        <v>5.5377830000000001E-3</v>
      </c>
      <c r="X811">
        <v>0.99349310000000002</v>
      </c>
      <c r="Y811">
        <v>-5.2597659999999997E-2</v>
      </c>
      <c r="Z811">
        <v>1.3003069999999999E-3</v>
      </c>
      <c r="AA811">
        <v>0.99861499999999903</v>
      </c>
      <c r="AB811">
        <v>34</v>
      </c>
      <c r="AC811">
        <v>28.601599999999902</v>
      </c>
      <c r="AD811">
        <v>-1.1531940000000001</v>
      </c>
      <c r="AE811">
        <v>1.3403999999999801</v>
      </c>
      <c r="AF811">
        <v>-1.51555051318642</v>
      </c>
      <c r="AG811">
        <v>-1.1531940000000001</v>
      </c>
      <c r="AH811">
        <v>28.546419144560598</v>
      </c>
      <c r="AI811">
        <v>92.310078596190607</v>
      </c>
      <c r="AJ811">
        <v>93.039022179427903</v>
      </c>
      <c r="AK811">
        <v>28.609872347436198</v>
      </c>
    </row>
    <row r="812" spans="1:37" x14ac:dyDescent="0.2">
      <c r="A812" t="str">
        <f>"20200111155516027"</f>
        <v>20200111155516027</v>
      </c>
      <c r="B812" t="str">
        <f>"1578729316023097"</f>
        <v>1578729316023097</v>
      </c>
      <c r="C812" t="s">
        <v>37</v>
      </c>
      <c r="D812">
        <v>4.7031529999999897</v>
      </c>
      <c r="E812">
        <v>0.52300869999999999</v>
      </c>
      <c r="F812" t="s">
        <v>39</v>
      </c>
      <c r="G812">
        <v>-314.23160000000001</v>
      </c>
      <c r="H812">
        <v>-0.05</v>
      </c>
      <c r="I812">
        <v>368.7056</v>
      </c>
      <c r="J812">
        <v>-342.99180000000001</v>
      </c>
      <c r="K812">
        <v>1.1032439999999999</v>
      </c>
      <c r="L812">
        <v>367.3295</v>
      </c>
      <c r="M812">
        <v>0.99997119999999995</v>
      </c>
      <c r="N812">
        <v>0</v>
      </c>
      <c r="O812">
        <v>-6.1153090000000002E-3</v>
      </c>
      <c r="P812">
        <v>0.99418689999999998</v>
      </c>
      <c r="Q812">
        <v>1.762453E-3</v>
      </c>
      <c r="R812">
        <v>0.1076549</v>
      </c>
      <c r="S812">
        <v>3.002167</v>
      </c>
      <c r="T812">
        <v>-0.1197151</v>
      </c>
      <c r="U812">
        <v>0.1427612</v>
      </c>
      <c r="V812">
        <v>-0.11373510000000001</v>
      </c>
      <c r="W812">
        <v>6.2024840000000003E-3</v>
      </c>
      <c r="X812">
        <v>0.99349179999999904</v>
      </c>
      <c r="Y812">
        <v>-5.3559320000000001E-2</v>
      </c>
      <c r="Z812">
        <v>1.310477E-3</v>
      </c>
      <c r="AA812">
        <v>0.9985638</v>
      </c>
      <c r="AB812">
        <v>34</v>
      </c>
      <c r="AC812">
        <v>28.760200000000001</v>
      </c>
      <c r="AD812">
        <v>-1.1532439999999999</v>
      </c>
      <c r="AE812">
        <v>1.3761000000000001</v>
      </c>
      <c r="AF812">
        <v>-1.54946785849852</v>
      </c>
      <c r="AG812">
        <v>-1.1532439999999999</v>
      </c>
      <c r="AH812">
        <v>28.705197233592799</v>
      </c>
      <c r="AI812">
        <v>92.297305229687495</v>
      </c>
      <c r="AJ812">
        <v>93.089750420980806</v>
      </c>
      <c r="AK812">
        <v>28.770108977678898</v>
      </c>
    </row>
    <row r="813" spans="1:37" x14ac:dyDescent="0.2">
      <c r="A813" t="str">
        <f>"20200111155516037"</f>
        <v>20200111155516037</v>
      </c>
      <c r="B813" t="str">
        <f>"1578729316032858"</f>
        <v>1578729316032858</v>
      </c>
      <c r="C813" t="s">
        <v>37</v>
      </c>
      <c r="D813">
        <v>4.6991870000000002</v>
      </c>
      <c r="E813">
        <v>0.52308729999999903</v>
      </c>
      <c r="F813" t="s">
        <v>39</v>
      </c>
      <c r="G813">
        <v>-313.38170000000002</v>
      </c>
      <c r="H813">
        <v>-0.05</v>
      </c>
      <c r="I813">
        <v>368.73410000000001</v>
      </c>
      <c r="J813">
        <v>-342.81979999999999</v>
      </c>
      <c r="K813">
        <v>1.103307</v>
      </c>
      <c r="L813">
        <v>367.32850000000002</v>
      </c>
      <c r="M813">
        <v>0.99997230000000004</v>
      </c>
      <c r="N813">
        <v>0</v>
      </c>
      <c r="O813">
        <v>-6.0133359999999898E-3</v>
      </c>
      <c r="P813">
        <v>0.99416970000000005</v>
      </c>
      <c r="Q813">
        <v>2.3218829999999998E-3</v>
      </c>
      <c r="R813">
        <v>0.1078031</v>
      </c>
      <c r="S813">
        <v>3.0023499999999999</v>
      </c>
      <c r="T813">
        <v>-0.1169343</v>
      </c>
      <c r="U813">
        <v>0.14242550000000001</v>
      </c>
      <c r="V813">
        <v>-0.1137831</v>
      </c>
      <c r="W813">
        <v>6.6406879999999996E-3</v>
      </c>
      <c r="X813">
        <v>0.99348340000000002</v>
      </c>
      <c r="Y813">
        <v>-5.3345610000000002E-2</v>
      </c>
      <c r="Z813">
        <v>1.271859E-3</v>
      </c>
      <c r="AA813">
        <v>0.99857530000000005</v>
      </c>
      <c r="AB813">
        <v>34</v>
      </c>
      <c r="AC813">
        <v>29.438099999999899</v>
      </c>
      <c r="AD813">
        <v>-1.1533070000000001</v>
      </c>
      <c r="AE813">
        <v>1.40559999999999</v>
      </c>
      <c r="AF813">
        <v>-1.5801776321041801</v>
      </c>
      <c r="AG813">
        <v>-1.1533070000000001</v>
      </c>
      <c r="AH813">
        <v>29.384117237306501</v>
      </c>
      <c r="AI813">
        <v>92.244427726080701</v>
      </c>
      <c r="AJ813">
        <v>93.078206631162502</v>
      </c>
      <c r="AK813">
        <v>29.449166782797501</v>
      </c>
    </row>
    <row r="814" spans="1:37" x14ac:dyDescent="0.2">
      <c r="A814" t="str">
        <f>"20200111155516050"</f>
        <v>20200111155516050</v>
      </c>
      <c r="B814" t="str">
        <f>"1578729316043593"</f>
        <v>1578729316043593</v>
      </c>
      <c r="C814" t="s">
        <v>37</v>
      </c>
      <c r="D814">
        <v>4.7183400000000004</v>
      </c>
      <c r="E814">
        <v>0.52312939999999997</v>
      </c>
      <c r="F814" t="s">
        <v>39</v>
      </c>
      <c r="G814">
        <v>-312.66640000000001</v>
      </c>
      <c r="H814">
        <v>-0.05</v>
      </c>
      <c r="I814">
        <v>368.75830000000002</v>
      </c>
      <c r="J814">
        <v>-342.63299999999998</v>
      </c>
      <c r="K814">
        <v>1.1034299999999999</v>
      </c>
      <c r="L814">
        <v>367.32749999999999</v>
      </c>
      <c r="M814">
        <v>0.99997230000000004</v>
      </c>
      <c r="N814">
        <v>0</v>
      </c>
      <c r="O814">
        <v>-5.9028250000000004E-3</v>
      </c>
      <c r="P814">
        <v>0.99415520000000002</v>
      </c>
      <c r="Q814">
        <v>2.5589779999999999E-3</v>
      </c>
      <c r="R814">
        <v>0.1079305</v>
      </c>
      <c r="S814">
        <v>3.0024109999999999</v>
      </c>
      <c r="T814">
        <v>-0.1148362</v>
      </c>
      <c r="U814">
        <v>0.1423645</v>
      </c>
      <c r="V814">
        <v>-0.11380079999999999</v>
      </c>
      <c r="W814">
        <v>7.0145190000000003E-3</v>
      </c>
      <c r="X814">
        <v>0.9934788</v>
      </c>
      <c r="Y814">
        <v>-5.3215819999999997E-2</v>
      </c>
      <c r="Z814">
        <v>1.242328E-3</v>
      </c>
      <c r="AA814">
        <v>0.99858219999999998</v>
      </c>
      <c r="AB814">
        <v>34</v>
      </c>
      <c r="AC814">
        <v>29.9666</v>
      </c>
      <c r="AD814">
        <v>-1.15343</v>
      </c>
      <c r="AE814">
        <v>1.43080000000003</v>
      </c>
      <c r="AF814">
        <v>-1.60529162374983</v>
      </c>
      <c r="AG814">
        <v>-1.15343</v>
      </c>
      <c r="AH814">
        <v>29.913415543263199</v>
      </c>
      <c r="AI814">
        <v>92.205001709307993</v>
      </c>
      <c r="AJ814">
        <v>93.071808802625597</v>
      </c>
      <c r="AK814">
        <v>29.978655597376601</v>
      </c>
    </row>
    <row r="815" spans="1:37" x14ac:dyDescent="0.2">
      <c r="A815" t="str">
        <f>"20200111155516063"</f>
        <v>20200111155516063</v>
      </c>
      <c r="B815" t="str">
        <f>"1578729316053353"</f>
        <v>1578729316053353</v>
      </c>
      <c r="C815" t="s">
        <v>37</v>
      </c>
      <c r="D815">
        <v>4.7010399999999999</v>
      </c>
      <c r="E815">
        <v>0.52313750000000003</v>
      </c>
      <c r="F815" t="s">
        <v>39</v>
      </c>
      <c r="G815">
        <v>-312.1542</v>
      </c>
      <c r="H815">
        <v>-0.05</v>
      </c>
      <c r="I815">
        <v>368.7758</v>
      </c>
      <c r="J815">
        <v>-342.4434</v>
      </c>
      <c r="K815">
        <v>1.1035619999999999</v>
      </c>
      <c r="L815">
        <v>367.32650000000001</v>
      </c>
      <c r="M815">
        <v>0.99997219999999998</v>
      </c>
      <c r="N815">
        <v>0</v>
      </c>
      <c r="O815">
        <v>-5.7899509999999998E-3</v>
      </c>
      <c r="P815">
        <v>0.99412389999999995</v>
      </c>
      <c r="Q815">
        <v>2.6458709999999902E-3</v>
      </c>
      <c r="R815">
        <v>0.10821799999999999</v>
      </c>
      <c r="S815">
        <v>3.0024109999999999</v>
      </c>
      <c r="T815">
        <v>-0.113622499999999</v>
      </c>
      <c r="U815">
        <v>0.14266970000000001</v>
      </c>
      <c r="V815">
        <v>-0.11397539999999901</v>
      </c>
      <c r="W815">
        <v>7.2972769999999996E-3</v>
      </c>
      <c r="X815">
        <v>0.99345680000000003</v>
      </c>
      <c r="Y815">
        <v>-5.3205370000000002E-2</v>
      </c>
      <c r="Z815">
        <v>1.22474E-3</v>
      </c>
      <c r="AA815">
        <v>0.99858279999999999</v>
      </c>
      <c r="AB815">
        <v>34</v>
      </c>
      <c r="AC815">
        <v>30.289199999999902</v>
      </c>
      <c r="AD815">
        <v>-1.153562</v>
      </c>
      <c r="AE815">
        <v>1.44929999999999</v>
      </c>
      <c r="AF815">
        <v>-1.62230291282497</v>
      </c>
      <c r="AG815">
        <v>-1.153562</v>
      </c>
      <c r="AH815">
        <v>30.236544046412799</v>
      </c>
      <c r="AI815">
        <v>92.181711111181897</v>
      </c>
      <c r="AJ815">
        <v>93.0711866460246</v>
      </c>
      <c r="AK815">
        <v>30.301999404320899</v>
      </c>
    </row>
    <row r="816" spans="1:37" x14ac:dyDescent="0.2">
      <c r="A816" t="str">
        <f>"20200111155516074"</f>
        <v>20200111155516074</v>
      </c>
      <c r="B816" t="str">
        <f>"1578729316063114"</f>
        <v>1578729316063114</v>
      </c>
      <c r="C816" t="s">
        <v>37</v>
      </c>
      <c r="D816">
        <v>4.8131469999999998</v>
      </c>
      <c r="E816">
        <v>0.52306179999999902</v>
      </c>
      <c r="F816" t="s">
        <v>39</v>
      </c>
      <c r="G816">
        <v>-311.81979999999999</v>
      </c>
      <c r="H816">
        <v>-0.05</v>
      </c>
      <c r="I816">
        <v>368.78730000000002</v>
      </c>
      <c r="J816">
        <v>-342.2518</v>
      </c>
      <c r="K816">
        <v>1.103696</v>
      </c>
      <c r="L816">
        <v>367.32549999999998</v>
      </c>
      <c r="M816">
        <v>0.99997130000000001</v>
      </c>
      <c r="N816">
        <v>0</v>
      </c>
      <c r="O816">
        <v>-5.6729140000000003E-3</v>
      </c>
      <c r="P816">
        <v>0.99409219999999898</v>
      </c>
      <c r="Q816">
        <v>2.5642170000000001E-3</v>
      </c>
      <c r="R816">
        <v>0.1085087</v>
      </c>
      <c r="S816">
        <v>3.0024410000000001</v>
      </c>
      <c r="T816">
        <v>-0.113099399999999</v>
      </c>
      <c r="U816">
        <v>0.14321900000000001</v>
      </c>
      <c r="V816">
        <v>-0.11415</v>
      </c>
      <c r="W816">
        <v>7.5051719999999897E-3</v>
      </c>
      <c r="X816">
        <v>0.99343519999999896</v>
      </c>
      <c r="Y816">
        <v>-5.3270730000000002E-2</v>
      </c>
      <c r="Z816">
        <v>1.2159130000000001E-3</v>
      </c>
      <c r="AA816">
        <v>0.99857940000000001</v>
      </c>
      <c r="AB816">
        <v>34</v>
      </c>
      <c r="AC816">
        <v>30.431999999999999</v>
      </c>
      <c r="AD816">
        <v>-1.1536959999999901</v>
      </c>
      <c r="AE816">
        <v>1.46180000000003</v>
      </c>
      <c r="AF816">
        <v>-1.63207652773334</v>
      </c>
      <c r="AG816">
        <v>-1.1536959999999901</v>
      </c>
      <c r="AH816">
        <v>30.379655943590201</v>
      </c>
      <c r="AI816">
        <v>92.171687397701007</v>
      </c>
      <c r="AJ816">
        <v>93.075126686957205</v>
      </c>
      <c r="AK816">
        <v>30.445331062475098</v>
      </c>
    </row>
    <row r="817" spans="1:37" x14ac:dyDescent="0.2">
      <c r="A817" t="str">
        <f>"20200111155516091"</f>
        <v>20200111155516091</v>
      </c>
      <c r="B817" t="str">
        <f>"1578729316083611"</f>
        <v>1578729316083611</v>
      </c>
      <c r="C817" t="s">
        <v>37</v>
      </c>
      <c r="D817">
        <v>4.6683449999999898</v>
      </c>
      <c r="E817">
        <v>0.52296699999999996</v>
      </c>
      <c r="F817" t="s">
        <v>39</v>
      </c>
      <c r="G817">
        <v>-311.60120000000001</v>
      </c>
      <c r="H817">
        <v>-0.05</v>
      </c>
      <c r="I817">
        <v>368.80509999999998</v>
      </c>
      <c r="J817">
        <v>-342.01490000000001</v>
      </c>
      <c r="K817">
        <v>1.1038410000000001</v>
      </c>
      <c r="L817">
        <v>367.32429999999999</v>
      </c>
      <c r="M817">
        <v>0.99996989999999997</v>
      </c>
      <c r="N817">
        <v>0</v>
      </c>
      <c r="O817">
        <v>-5.5222269999999898E-3</v>
      </c>
      <c r="P817">
        <v>0.99404879999999995</v>
      </c>
      <c r="Q817">
        <v>2.6745250000000001E-3</v>
      </c>
      <c r="R817">
        <v>0.1089015</v>
      </c>
      <c r="S817">
        <v>3.0022579999999999</v>
      </c>
      <c r="T817">
        <v>-0.1130058</v>
      </c>
      <c r="U817">
        <v>0.144928</v>
      </c>
      <c r="V817">
        <v>-0.1143935</v>
      </c>
      <c r="W817">
        <v>8.0134650000000009E-3</v>
      </c>
      <c r="X817">
        <v>0.99340319999999904</v>
      </c>
      <c r="Y817">
        <v>-5.3690149999999999E-2</v>
      </c>
      <c r="Z817">
        <v>1.2171829999999999E-3</v>
      </c>
      <c r="AA817">
        <v>0.99855689999999997</v>
      </c>
      <c r="AB817">
        <v>34</v>
      </c>
      <c r="AC817">
        <v>30.413699999999999</v>
      </c>
      <c r="AD817">
        <v>-1.1538409999999999</v>
      </c>
      <c r="AE817">
        <v>1.4807999999999799</v>
      </c>
      <c r="AF817">
        <v>-1.64636724675902</v>
      </c>
      <c r="AG817">
        <v>-1.1538409999999999</v>
      </c>
      <c r="AH817">
        <v>30.361462698893099</v>
      </c>
      <c r="AI817">
        <v>92.1732015594377</v>
      </c>
      <c r="AJ817">
        <v>93.103855774435104</v>
      </c>
      <c r="AK817">
        <v>30.427952467768101</v>
      </c>
    </row>
    <row r="818" spans="1:37" x14ac:dyDescent="0.2">
      <c r="A818" t="str">
        <f>"20200111155516102"</f>
        <v>20200111155516102</v>
      </c>
      <c r="B818" t="str">
        <f>"1578729316093369"</f>
        <v>1578729316093369</v>
      </c>
      <c r="C818" t="s">
        <v>37</v>
      </c>
      <c r="D818">
        <v>4.6937350000000002</v>
      </c>
      <c r="E818">
        <v>0.52301880000000001</v>
      </c>
      <c r="F818" t="s">
        <v>39</v>
      </c>
      <c r="G818">
        <v>-310.93419999999998</v>
      </c>
      <c r="H818">
        <v>-0.05</v>
      </c>
      <c r="I818">
        <v>368.84300000000002</v>
      </c>
      <c r="J818">
        <v>-341.84160000000003</v>
      </c>
      <c r="K818">
        <v>1.103936</v>
      </c>
      <c r="L818">
        <v>367.32350000000002</v>
      </c>
      <c r="M818">
        <v>0.99996890000000005</v>
      </c>
      <c r="N818">
        <v>0</v>
      </c>
      <c r="O818">
        <v>-5.4098760000000001E-3</v>
      </c>
      <c r="P818">
        <v>0.99398419999999899</v>
      </c>
      <c r="Q818">
        <v>2.4534650000000002E-3</v>
      </c>
      <c r="R818">
        <v>0.109496</v>
      </c>
      <c r="S818">
        <v>3.0021969999999998</v>
      </c>
      <c r="T818">
        <v>-0.11145380000000001</v>
      </c>
      <c r="U818">
        <v>0.146698</v>
      </c>
      <c r="V818">
        <v>-0.11487609999999999</v>
      </c>
      <c r="W818">
        <v>8.0926190000000005E-3</v>
      </c>
      <c r="X818">
        <v>0.99334690000000003</v>
      </c>
      <c r="Y818">
        <v>-5.4167180000000002E-2</v>
      </c>
      <c r="Z818">
        <v>1.205165E-3</v>
      </c>
      <c r="AA818">
        <v>0.99853119999999995</v>
      </c>
      <c r="AB818">
        <v>34</v>
      </c>
      <c r="AC818">
        <v>30.907399999999999</v>
      </c>
      <c r="AD818">
        <v>-1.1539360000000001</v>
      </c>
      <c r="AE818">
        <v>1.5194999999999901</v>
      </c>
      <c r="AF818">
        <v>-1.68434353585675</v>
      </c>
      <c r="AG818">
        <v>-1.1539360000000001</v>
      </c>
      <c r="AH818">
        <v>30.855820356602202</v>
      </c>
      <c r="AI818">
        <v>92.138550063430301</v>
      </c>
      <c r="AJ818">
        <v>93.124535007559999</v>
      </c>
      <c r="AK818">
        <v>30.923295932319199</v>
      </c>
    </row>
    <row r="819" spans="1:37" x14ac:dyDescent="0.2">
      <c r="A819" t="str">
        <f>"20200111155516114"</f>
        <v>20200111155516114</v>
      </c>
      <c r="B819" t="str">
        <f>"1578729316103129"</f>
        <v>1578729316103129</v>
      </c>
      <c r="C819" t="s">
        <v>37</v>
      </c>
      <c r="D819">
        <v>4.921341</v>
      </c>
      <c r="E819">
        <v>0.52308639999999995</v>
      </c>
      <c r="F819" t="s">
        <v>39</v>
      </c>
      <c r="G819">
        <v>-310.89870000000002</v>
      </c>
      <c r="H819">
        <v>-0.05</v>
      </c>
      <c r="I819">
        <v>368.85090000000002</v>
      </c>
      <c r="J819">
        <v>-341.65170000000001</v>
      </c>
      <c r="K819">
        <v>1.1040209999999999</v>
      </c>
      <c r="L819">
        <v>367.32260000000002</v>
      </c>
      <c r="M819">
        <v>0.99996770000000001</v>
      </c>
      <c r="N819">
        <v>0</v>
      </c>
      <c r="O819">
        <v>-5.2843289999999999E-3</v>
      </c>
      <c r="P819">
        <v>0.99396059999999997</v>
      </c>
      <c r="Q819">
        <v>2.0925539999999999E-3</v>
      </c>
      <c r="R819">
        <v>0.109718</v>
      </c>
      <c r="S819">
        <v>3.0021360000000001</v>
      </c>
      <c r="T819">
        <v>-0.1119568</v>
      </c>
      <c r="U819">
        <v>0.1481934</v>
      </c>
      <c r="V819">
        <v>-0.1149732</v>
      </c>
      <c r="W819">
        <v>8.0673450000000001E-3</v>
      </c>
      <c r="X819">
        <v>0.99333579999999999</v>
      </c>
      <c r="Y819">
        <v>-5.4538440000000001E-2</v>
      </c>
      <c r="Z819">
        <v>1.2128499999999999E-3</v>
      </c>
      <c r="AA819">
        <v>0.99851100000000004</v>
      </c>
      <c r="AB819">
        <v>34</v>
      </c>
      <c r="AC819">
        <v>30.752999999999901</v>
      </c>
      <c r="AD819">
        <v>-1.154021</v>
      </c>
      <c r="AE819">
        <v>1.5283</v>
      </c>
      <c r="AF819">
        <v>-1.6884189016495199</v>
      </c>
      <c r="AG819">
        <v>-1.154021</v>
      </c>
      <c r="AH819">
        <v>30.701368442315001</v>
      </c>
      <c r="AI819">
        <v>92.149408963870599</v>
      </c>
      <c r="AJ819">
        <v>93.147805170999803</v>
      </c>
      <c r="AK819">
        <v>30.769409274255899</v>
      </c>
    </row>
    <row r="820" spans="1:37" x14ac:dyDescent="0.2">
      <c r="A820" t="str">
        <f>"20200111155516128"</f>
        <v>20200111155516128</v>
      </c>
      <c r="B820" t="str">
        <f>"1578729316123156"</f>
        <v>1578729316123156</v>
      </c>
      <c r="C820" t="s">
        <v>37</v>
      </c>
      <c r="D820">
        <v>4.7584099999999996</v>
      </c>
      <c r="E820">
        <v>0.5228623</v>
      </c>
      <c r="F820" t="s">
        <v>39</v>
      </c>
      <c r="G820">
        <v>-310.59109999999998</v>
      </c>
      <c r="H820">
        <v>-0.05</v>
      </c>
      <c r="I820">
        <v>368.85489999999999</v>
      </c>
      <c r="J820">
        <v>-341.44229999999999</v>
      </c>
      <c r="K820">
        <v>1.1040989999999999</v>
      </c>
      <c r="L820">
        <v>367.32159999999999</v>
      </c>
      <c r="M820">
        <v>0.99996609999999997</v>
      </c>
      <c r="N820">
        <v>0</v>
      </c>
      <c r="O820">
        <v>-5.1522820000000002E-3</v>
      </c>
      <c r="P820">
        <v>0.99392639999999999</v>
      </c>
      <c r="Q820">
        <v>1.9000079999999999E-3</v>
      </c>
      <c r="R820">
        <v>0.1100307</v>
      </c>
      <c r="S820">
        <v>3.002075</v>
      </c>
      <c r="T820">
        <v>-0.1115389</v>
      </c>
      <c r="U820">
        <v>0.14810179999999901</v>
      </c>
      <c r="V820">
        <v>-0.11515399999999899</v>
      </c>
      <c r="W820">
        <v>8.2447240000000001E-3</v>
      </c>
      <c r="X820">
        <v>0.99331340000000001</v>
      </c>
      <c r="Y820">
        <v>-5.4377719999999997E-2</v>
      </c>
      <c r="Z820">
        <v>1.2004660000000001E-3</v>
      </c>
      <c r="AA820">
        <v>0.99851970000000001</v>
      </c>
      <c r="AB820">
        <v>34</v>
      </c>
      <c r="AC820">
        <v>30.851199999999999</v>
      </c>
      <c r="AD820">
        <v>-1.154099</v>
      </c>
      <c r="AE820">
        <v>1.5332999999999899</v>
      </c>
      <c r="AF820">
        <v>-1.68987801955149</v>
      </c>
      <c r="AG820">
        <v>-1.154099</v>
      </c>
      <c r="AH820">
        <v>30.799895149731999</v>
      </c>
      <c r="AI820">
        <v>92.142699322942605</v>
      </c>
      <c r="AJ820">
        <v>93.140461913707298</v>
      </c>
      <c r="AK820">
        <v>30.867801565016698</v>
      </c>
    </row>
    <row r="821" spans="1:37" x14ac:dyDescent="0.2">
      <c r="A821" t="str">
        <f>"20200111155516141"</f>
        <v>20200111155516141</v>
      </c>
      <c r="B821" t="str">
        <f>"1578729316132916"</f>
        <v>1578729316132916</v>
      </c>
      <c r="C821" t="s">
        <v>37</v>
      </c>
      <c r="D821">
        <v>4.6641639999999898</v>
      </c>
      <c r="E821">
        <v>0.52290729999999996</v>
      </c>
      <c r="F821" t="s">
        <v>39</v>
      </c>
      <c r="G821">
        <v>-310.0822</v>
      </c>
      <c r="H821">
        <v>-0.05</v>
      </c>
      <c r="I821">
        <v>368.89620000000002</v>
      </c>
      <c r="J821">
        <v>-341.23469999999998</v>
      </c>
      <c r="K821">
        <v>1.1041669999999999</v>
      </c>
      <c r="L821">
        <v>367.32060000000001</v>
      </c>
      <c r="M821">
        <v>0.99996419999999997</v>
      </c>
      <c r="N821">
        <v>0</v>
      </c>
      <c r="O821">
        <v>-5.0297190000000002E-3</v>
      </c>
      <c r="P821">
        <v>0.99388299999999996</v>
      </c>
      <c r="Q821">
        <v>1.6523989999999999E-3</v>
      </c>
      <c r="R821">
        <v>0.110427</v>
      </c>
      <c r="S821">
        <v>3.0018919999999998</v>
      </c>
      <c r="T821">
        <v>-0.1104743</v>
      </c>
      <c r="U821">
        <v>0.15072629999999901</v>
      </c>
      <c r="V821">
        <v>-0.11542860000000001</v>
      </c>
      <c r="W821">
        <v>8.3624990000000007E-3</v>
      </c>
      <c r="X821">
        <v>0.99328059999999996</v>
      </c>
      <c r="Y821">
        <v>-5.5129520000000001E-2</v>
      </c>
      <c r="Z821">
        <v>1.1983779999999999E-3</v>
      </c>
      <c r="AA821">
        <v>0.99847849999999905</v>
      </c>
      <c r="AB821">
        <v>34</v>
      </c>
      <c r="AC821">
        <v>31.1524999999999</v>
      </c>
      <c r="AD821">
        <v>-1.1541669999999999</v>
      </c>
      <c r="AE821">
        <v>1.5755999999999999</v>
      </c>
      <c r="AF821">
        <v>-1.72990356970138</v>
      </c>
      <c r="AG821">
        <v>-1.1541669999999999</v>
      </c>
      <c r="AH821">
        <v>31.101599054981499</v>
      </c>
      <c r="AI821">
        <v>92.1219697554167</v>
      </c>
      <c r="AJ821">
        <v>93.183571066699997</v>
      </c>
      <c r="AK821">
        <v>31.1710463667997</v>
      </c>
    </row>
    <row r="822" spans="1:37" x14ac:dyDescent="0.2">
      <c r="A822" t="str">
        <f>"20200111155516154"</f>
        <v>20200111155516154</v>
      </c>
      <c r="B822" t="str">
        <f>"1578729316143652"</f>
        <v>1578729316143652</v>
      </c>
      <c r="C822" t="s">
        <v>37</v>
      </c>
      <c r="D822">
        <v>4.745482</v>
      </c>
      <c r="E822">
        <v>0.52292510000000003</v>
      </c>
      <c r="F822" t="s">
        <v>39</v>
      </c>
      <c r="G822">
        <v>-310.18900000000002</v>
      </c>
      <c r="H822">
        <v>-0.05</v>
      </c>
      <c r="I822">
        <v>368.88889999999998</v>
      </c>
      <c r="J822">
        <v>-341.0369</v>
      </c>
      <c r="K822">
        <v>1.1042160000000001</v>
      </c>
      <c r="L822">
        <v>367.31979999999999</v>
      </c>
      <c r="M822">
        <v>0.99996229999999997</v>
      </c>
      <c r="N822">
        <v>0</v>
      </c>
      <c r="O822">
        <v>-4.9317190000000002E-3</v>
      </c>
      <c r="P822">
        <v>0.99384059999999896</v>
      </c>
      <c r="Q822">
        <v>1.366911E-3</v>
      </c>
      <c r="R822">
        <v>0.1108103</v>
      </c>
      <c r="S822">
        <v>3.0018009999999999</v>
      </c>
      <c r="T822">
        <v>-0.11159619999999899</v>
      </c>
      <c r="U822">
        <v>0.15164179999999999</v>
      </c>
      <c r="V822">
        <v>-0.1157141</v>
      </c>
      <c r="W822">
        <v>8.4192399999999997E-3</v>
      </c>
      <c r="X822">
        <v>0.99324690000000004</v>
      </c>
      <c r="Y822">
        <v>-5.5336049999999998E-2</v>
      </c>
      <c r="Z822">
        <v>1.2107629999999999E-3</v>
      </c>
      <c r="AA822">
        <v>0.99846699999999999</v>
      </c>
      <c r="AB822">
        <v>34</v>
      </c>
      <c r="AC822">
        <v>30.8478999999999</v>
      </c>
      <c r="AD822">
        <v>-1.1542159999999999</v>
      </c>
      <c r="AE822">
        <v>1.5690999999999899</v>
      </c>
      <c r="AF822">
        <v>-1.7188178700043</v>
      </c>
      <c r="AG822">
        <v>-1.1542159999999999</v>
      </c>
      <c r="AH822">
        <v>30.796782553129301</v>
      </c>
      <c r="AI822">
        <v>92.143021066807194</v>
      </c>
      <c r="AJ822">
        <v>93.194455337252094</v>
      </c>
      <c r="AK822">
        <v>30.866298208072099</v>
      </c>
    </row>
    <row r="823" spans="1:37" x14ac:dyDescent="0.2">
      <c r="A823" t="str">
        <f>"20200111155516169"</f>
        <v>20200111155516169</v>
      </c>
      <c r="B823" t="str">
        <f>"1578729316163172"</f>
        <v>1578729316163172</v>
      </c>
      <c r="C823" t="s">
        <v>37</v>
      </c>
      <c r="D823">
        <v>4.8274460000000001</v>
      </c>
      <c r="E823">
        <v>0.52323129999999995</v>
      </c>
      <c r="F823" t="s">
        <v>39</v>
      </c>
      <c r="G823">
        <v>-310.26249999999999</v>
      </c>
      <c r="H823">
        <v>-0.05</v>
      </c>
      <c r="I823">
        <v>368.88630000000001</v>
      </c>
      <c r="J823">
        <v>-340.81849999999997</v>
      </c>
      <c r="K823">
        <v>1.1042540000000001</v>
      </c>
      <c r="L823">
        <v>367.31889999999999</v>
      </c>
      <c r="M823">
        <v>0.99996010000000002</v>
      </c>
      <c r="N823">
        <v>0</v>
      </c>
      <c r="O823">
        <v>-4.8386729999999999E-3</v>
      </c>
      <c r="P823">
        <v>0.99373089999999997</v>
      </c>
      <c r="Q823">
        <v>1.2760479999999999E-3</v>
      </c>
      <c r="R823">
        <v>0.1117923</v>
      </c>
      <c r="S823">
        <v>3.0017399999999999</v>
      </c>
      <c r="T823">
        <v>-0.11258219999999999</v>
      </c>
      <c r="U823">
        <v>0.15280150000000001</v>
      </c>
      <c r="V823">
        <v>-0.11660329999999999</v>
      </c>
      <c r="W823">
        <v>8.6938880000000003E-3</v>
      </c>
      <c r="X823">
        <v>0.99314049999999998</v>
      </c>
      <c r="Y823">
        <v>-5.562806E-2</v>
      </c>
      <c r="Z823">
        <v>1.2234500000000001E-3</v>
      </c>
      <c r="AA823">
        <v>0.99845079999999997</v>
      </c>
      <c r="AB823">
        <v>34</v>
      </c>
      <c r="AC823">
        <v>30.555999999999901</v>
      </c>
      <c r="AD823">
        <v>-1.1542539999999999</v>
      </c>
      <c r="AE823">
        <v>1.5674000000000201</v>
      </c>
      <c r="AF823">
        <v>-1.7127986414034799</v>
      </c>
      <c r="AG823">
        <v>-1.1542539999999999</v>
      </c>
      <c r="AH823">
        <v>30.504643460259</v>
      </c>
      <c r="AI823">
        <v>92.163555585575494</v>
      </c>
      <c r="AJ823">
        <v>93.213713914662605</v>
      </c>
      <c r="AK823">
        <v>30.574486980488</v>
      </c>
    </row>
    <row r="824" spans="1:37" x14ac:dyDescent="0.2">
      <c r="A824" t="str">
        <f>"20200111155516182"</f>
        <v>20200111155516182</v>
      </c>
      <c r="B824" t="str">
        <f>"1578729316172934"</f>
        <v>1578729316172934</v>
      </c>
      <c r="C824" t="s">
        <v>37</v>
      </c>
      <c r="D824">
        <v>4.6676669999999998</v>
      </c>
      <c r="E824">
        <v>0.52332420000000002</v>
      </c>
      <c r="F824" t="s">
        <v>39</v>
      </c>
      <c r="G824">
        <v>-310.27010000000001</v>
      </c>
      <c r="H824">
        <v>-0.05</v>
      </c>
      <c r="I824">
        <v>368.87849999999997</v>
      </c>
      <c r="J824">
        <v>-340.60570000000001</v>
      </c>
      <c r="K824">
        <v>1.1042809999999901</v>
      </c>
      <c r="L824">
        <v>367.31799999999998</v>
      </c>
      <c r="M824">
        <v>0.99995789999999996</v>
      </c>
      <c r="N824">
        <v>0</v>
      </c>
      <c r="O824">
        <v>-4.7587619999999997E-3</v>
      </c>
      <c r="P824">
        <v>0.99370040000000004</v>
      </c>
      <c r="Q824">
        <v>9.8842380000000005E-4</v>
      </c>
      <c r="R824">
        <v>0.11206439999999999</v>
      </c>
      <c r="S824">
        <v>3.0018310000000001</v>
      </c>
      <c r="T824">
        <v>-0.1134222</v>
      </c>
      <c r="U824">
        <v>0.15325929999999999</v>
      </c>
      <c r="V824">
        <v>-0.116795</v>
      </c>
      <c r="W824">
        <v>8.752536E-3</v>
      </c>
      <c r="X824">
        <v>0.99311749999999899</v>
      </c>
      <c r="Y824">
        <v>-5.5697969999999999E-2</v>
      </c>
      <c r="Z824">
        <v>1.2308320000000001E-3</v>
      </c>
      <c r="AA824">
        <v>0.99844690000000003</v>
      </c>
      <c r="AB824">
        <v>34</v>
      </c>
      <c r="AC824">
        <v>30.335599999999999</v>
      </c>
      <c r="AD824">
        <v>-1.1542809999999999</v>
      </c>
      <c r="AE824">
        <v>1.5604999999999301</v>
      </c>
      <c r="AF824">
        <v>-1.7023884070931199</v>
      </c>
      <c r="AG824">
        <v>-1.1542809999999999</v>
      </c>
      <c r="AH824">
        <v>30.284099669930399</v>
      </c>
      <c r="AI824">
        <v>92.179339514180597</v>
      </c>
      <c r="AJ824">
        <v>93.217435031712199</v>
      </c>
      <c r="AK824">
        <v>30.353866042628599</v>
      </c>
    </row>
    <row r="825" spans="1:37" x14ac:dyDescent="0.2">
      <c r="A825" t="str">
        <f>"20200111155516202"</f>
        <v>20200111155516202</v>
      </c>
      <c r="B825" t="str">
        <f>"1578729316193428"</f>
        <v>1578729316193428</v>
      </c>
      <c r="C825" t="s">
        <v>37</v>
      </c>
      <c r="D825">
        <v>4.6401959999999898</v>
      </c>
      <c r="E825">
        <v>0.5234839</v>
      </c>
      <c r="F825" t="s">
        <v>39</v>
      </c>
      <c r="G825">
        <v>-310.4341</v>
      </c>
      <c r="H825">
        <v>-0.05</v>
      </c>
      <c r="I825">
        <v>368.86079999999998</v>
      </c>
      <c r="J825">
        <v>-340.30959999999999</v>
      </c>
      <c r="K825">
        <v>1.1042989999999999</v>
      </c>
      <c r="L825">
        <v>367.31670000000003</v>
      </c>
      <c r="M825">
        <v>0.99995460000000003</v>
      </c>
      <c r="N825">
        <v>0</v>
      </c>
      <c r="O825">
        <v>-4.6694320000000003E-3</v>
      </c>
      <c r="P825">
        <v>0.99365170000000003</v>
      </c>
      <c r="Q825">
        <v>5.4397709999999999E-4</v>
      </c>
      <c r="R825">
        <v>0.1124981</v>
      </c>
      <c r="S825">
        <v>3.0018009999999999</v>
      </c>
      <c r="T825">
        <v>-0.1148405</v>
      </c>
      <c r="U825">
        <v>0.15350339999999901</v>
      </c>
      <c r="V825">
        <v>-0.1171393</v>
      </c>
      <c r="W825">
        <v>8.7611200000000007E-3</v>
      </c>
      <c r="X825">
        <v>0.99307690000000004</v>
      </c>
      <c r="Y825">
        <v>-5.5689280000000001E-2</v>
      </c>
      <c r="Z825">
        <v>1.2426430000000001E-3</v>
      </c>
      <c r="AA825">
        <v>0.99844739999999998</v>
      </c>
      <c r="AB825">
        <v>34</v>
      </c>
      <c r="AC825">
        <v>29.875499999999899</v>
      </c>
      <c r="AD825">
        <v>-1.154299</v>
      </c>
      <c r="AE825">
        <v>1.5440999999999501</v>
      </c>
      <c r="AF825">
        <v>-1.68108672641197</v>
      </c>
      <c r="AG825">
        <v>-1.154299</v>
      </c>
      <c r="AH825">
        <v>29.823561483127001</v>
      </c>
      <c r="AI825">
        <v>92.212975265908</v>
      </c>
      <c r="AJ825">
        <v>93.226219516575895</v>
      </c>
      <c r="AK825">
        <v>29.893197860064699</v>
      </c>
    </row>
    <row r="826" spans="1:37" x14ac:dyDescent="0.2">
      <c r="A826" t="str">
        <f>"20200111155516213"</f>
        <v>20200111155516213</v>
      </c>
      <c r="B826" t="str">
        <f>"1578729316203189"</f>
        <v>1578729316203189</v>
      </c>
      <c r="C826" t="s">
        <v>37</v>
      </c>
      <c r="D826">
        <v>4.6528679999999998</v>
      </c>
      <c r="E826">
        <v>0.52356990000000003</v>
      </c>
      <c r="F826" t="s">
        <v>39</v>
      </c>
      <c r="G826">
        <v>-310.791</v>
      </c>
      <c r="H826">
        <v>-0.05</v>
      </c>
      <c r="I826">
        <v>368.82589999999999</v>
      </c>
      <c r="J826">
        <v>-340.1164</v>
      </c>
      <c r="K826">
        <v>1.1042989999999999</v>
      </c>
      <c r="L826">
        <v>367.3159</v>
      </c>
      <c r="M826">
        <v>0.99995259999999997</v>
      </c>
      <c r="N826">
        <v>0</v>
      </c>
      <c r="O826">
        <v>-4.623645E-3</v>
      </c>
      <c r="P826">
        <v>0.99364549999999996</v>
      </c>
      <c r="Q826">
        <v>4.206821E-4</v>
      </c>
      <c r="R826">
        <v>0.11255610000000001</v>
      </c>
      <c r="S826">
        <v>3.0018310000000001</v>
      </c>
      <c r="T826">
        <v>-0.1173838</v>
      </c>
      <c r="U826">
        <v>0.1534729</v>
      </c>
      <c r="V826">
        <v>-0.117151399999999</v>
      </c>
      <c r="W826">
        <v>8.914656E-3</v>
      </c>
      <c r="X826">
        <v>0.99307409999999996</v>
      </c>
      <c r="Y826">
        <v>-5.563104E-2</v>
      </c>
      <c r="Z826">
        <v>1.2672029999999999E-3</v>
      </c>
      <c r="AA826">
        <v>0.99845059999999997</v>
      </c>
      <c r="AB826">
        <v>34</v>
      </c>
      <c r="AC826">
        <v>29.325399999999998</v>
      </c>
      <c r="AD826">
        <v>-1.154299</v>
      </c>
      <c r="AE826">
        <v>1.50999999999999</v>
      </c>
      <c r="AF826">
        <v>-1.64304016696757</v>
      </c>
      <c r="AG826">
        <v>-1.154299</v>
      </c>
      <c r="AH826">
        <v>29.2728706451582</v>
      </c>
      <c r="AI826">
        <v>92.254594138765896</v>
      </c>
      <c r="AJ826">
        <v>93.212551168439106</v>
      </c>
      <c r="AK826">
        <v>29.341658831426599</v>
      </c>
    </row>
    <row r="827" spans="1:37" x14ac:dyDescent="0.2">
      <c r="A827" t="str">
        <f>"20200111155516226"</f>
        <v>20200111155516226</v>
      </c>
      <c r="B827" t="str">
        <f>"1578729316223215"</f>
        <v>1578729316223215</v>
      </c>
      <c r="C827" t="s">
        <v>37</v>
      </c>
      <c r="D827">
        <v>4.7895120000000002</v>
      </c>
      <c r="E827">
        <v>0.52352600000000005</v>
      </c>
      <c r="F827" t="s">
        <v>39</v>
      </c>
      <c r="G827">
        <v>-310.80360000000002</v>
      </c>
      <c r="H827">
        <v>-0.05</v>
      </c>
      <c r="I827">
        <v>368.80880000000002</v>
      </c>
      <c r="J827">
        <v>-339.93799999999999</v>
      </c>
      <c r="K827">
        <v>1.104298</v>
      </c>
      <c r="L827">
        <v>367.31509999999997</v>
      </c>
      <c r="M827">
        <v>0.99995059999999902</v>
      </c>
      <c r="N827">
        <v>0</v>
      </c>
      <c r="O827">
        <v>-4.5900150000000002E-3</v>
      </c>
      <c r="P827">
        <v>0.99361469999999896</v>
      </c>
      <c r="Q827">
        <v>1.9581150000000001E-4</v>
      </c>
      <c r="R827">
        <v>0.1128267</v>
      </c>
      <c r="S827">
        <v>3.0019529999999999</v>
      </c>
      <c r="T827">
        <v>-0.118212699999999</v>
      </c>
      <c r="U827">
        <v>0.1528931</v>
      </c>
      <c r="V827">
        <v>-0.1173882</v>
      </c>
      <c r="W827">
        <v>8.9294349999999995E-3</v>
      </c>
      <c r="X827">
        <v>0.99304599999999899</v>
      </c>
      <c r="Y827">
        <v>-5.5402609999999998E-2</v>
      </c>
      <c r="Z827">
        <v>1.270284E-3</v>
      </c>
      <c r="AA827">
        <v>0.99846329999999905</v>
      </c>
      <c r="AB827">
        <v>34</v>
      </c>
      <c r="AC827">
        <v>29.134399999999999</v>
      </c>
      <c r="AD827">
        <v>-1.154298</v>
      </c>
      <c r="AE827">
        <v>1.49370000000004</v>
      </c>
      <c r="AF827">
        <v>-1.6248728767748699</v>
      </c>
      <c r="AG827">
        <v>-1.154298</v>
      </c>
      <c r="AH827">
        <v>29.081706079187502</v>
      </c>
      <c r="AI827">
        <v>92.269429358877204</v>
      </c>
      <c r="AJ827">
        <v>93.1979438236297</v>
      </c>
      <c r="AK827">
        <v>29.149927001876598</v>
      </c>
    </row>
    <row r="828" spans="1:37" x14ac:dyDescent="0.2">
      <c r="A828" t="str">
        <f>"20200111155516238"</f>
        <v>20200111155516238</v>
      </c>
      <c r="B828" t="str">
        <f>"1578729316232976"</f>
        <v>1578729316232976</v>
      </c>
      <c r="C828" t="s">
        <v>37</v>
      </c>
      <c r="D828">
        <v>4.589251</v>
      </c>
      <c r="E828">
        <v>0.52356749999999996</v>
      </c>
      <c r="F828" t="s">
        <v>39</v>
      </c>
      <c r="G828">
        <v>-310.82</v>
      </c>
      <c r="H828">
        <v>-0.05</v>
      </c>
      <c r="I828">
        <v>368.8109</v>
      </c>
      <c r="J828">
        <v>-339.741999999999</v>
      </c>
      <c r="K828">
        <v>1.1042909999999999</v>
      </c>
      <c r="L828">
        <v>367.31420000000003</v>
      </c>
      <c r="M828">
        <v>0.99994850000000002</v>
      </c>
      <c r="N828">
        <v>0</v>
      </c>
      <c r="O828">
        <v>-4.5588870000000002E-3</v>
      </c>
      <c r="P828">
        <v>0.9935853</v>
      </c>
      <c r="Q828">
        <v>1.628585E-4</v>
      </c>
      <c r="R828">
        <v>0.11308459999999999</v>
      </c>
      <c r="S828">
        <v>3.0018009999999999</v>
      </c>
      <c r="T828">
        <v>-0.1189972</v>
      </c>
      <c r="U828">
        <v>0.15420529999999999</v>
      </c>
      <c r="V828">
        <v>-0.117614699999999</v>
      </c>
      <c r="W828">
        <v>9.1511579999999995E-3</v>
      </c>
      <c r="X828">
        <v>0.99301709999999999</v>
      </c>
      <c r="Y828">
        <v>-5.5808539999999997E-2</v>
      </c>
      <c r="Z828">
        <v>1.285563E-3</v>
      </c>
      <c r="AA828">
        <v>0.99844069999999996</v>
      </c>
      <c r="AB828">
        <v>34</v>
      </c>
      <c r="AC828">
        <v>28.921999999999901</v>
      </c>
      <c r="AD828">
        <v>-1.154291</v>
      </c>
      <c r="AE828">
        <v>1.4966999999999699</v>
      </c>
      <c r="AF828">
        <v>-1.6259590093911001</v>
      </c>
      <c r="AG828">
        <v>-1.154291</v>
      </c>
      <c r="AH828">
        <v>28.869014759847602</v>
      </c>
      <c r="AI828">
        <v>92.286060391577294</v>
      </c>
      <c r="AJ828">
        <v>93.223603920430904</v>
      </c>
      <c r="AK828">
        <v>28.937797836345499</v>
      </c>
    </row>
    <row r="829" spans="1:37" x14ac:dyDescent="0.2">
      <c r="A829" t="str">
        <f>"20200111155516251"</f>
        <v>20200111155516251</v>
      </c>
      <c r="B829" t="str">
        <f>"1578729316243712"</f>
        <v>1578729316243712</v>
      </c>
      <c r="C829" t="s">
        <v>37</v>
      </c>
      <c r="D829">
        <v>4.6070489999999999</v>
      </c>
      <c r="E829">
        <v>0.52362159999999902</v>
      </c>
      <c r="F829" t="s">
        <v>39</v>
      </c>
      <c r="G829">
        <v>-310.7097</v>
      </c>
      <c r="H829">
        <v>-0.05</v>
      </c>
      <c r="I829">
        <v>368.80950000000001</v>
      </c>
      <c r="J829">
        <v>-339.54989999999998</v>
      </c>
      <c r="K829">
        <v>1.1042809999999901</v>
      </c>
      <c r="L829">
        <v>367.3134</v>
      </c>
      <c r="M829">
        <v>0.99994660000000002</v>
      </c>
      <c r="N829">
        <v>0</v>
      </c>
      <c r="O829">
        <v>-4.5403989999999997E-3</v>
      </c>
      <c r="P829">
        <v>0.99354140000000002</v>
      </c>
      <c r="Q829" s="1">
        <v>1.053512E-5</v>
      </c>
      <c r="R829">
        <v>0.113471699999999</v>
      </c>
      <c r="S829">
        <v>3.0018009999999999</v>
      </c>
      <c r="T829">
        <v>-0.11934829999999901</v>
      </c>
      <c r="U829">
        <v>0.15460209999999999</v>
      </c>
      <c r="V829">
        <v>-0.11798309999999999</v>
      </c>
      <c r="W829">
        <v>9.2245850000000004E-3</v>
      </c>
      <c r="X829">
        <v>0.99297279999999999</v>
      </c>
      <c r="Y829">
        <v>-5.5921350000000002E-2</v>
      </c>
      <c r="Z829">
        <v>1.290855E-3</v>
      </c>
      <c r="AA829">
        <v>0.99843440000000006</v>
      </c>
      <c r="AB829">
        <v>34</v>
      </c>
      <c r="AC829">
        <v>28.8401999999999</v>
      </c>
      <c r="AD829">
        <v>-1.1542809999999999</v>
      </c>
      <c r="AE829">
        <v>1.49610000000001</v>
      </c>
      <c r="AF829">
        <v>-1.62444108012635</v>
      </c>
      <c r="AG829">
        <v>-1.1542809999999999</v>
      </c>
      <c r="AH829">
        <v>28.7871201273861</v>
      </c>
      <c r="AI829">
        <v>92.292523254398603</v>
      </c>
      <c r="AJ829">
        <v>93.229743544744693</v>
      </c>
      <c r="AK829">
        <v>28.856012522147299</v>
      </c>
    </row>
    <row r="830" spans="1:37" x14ac:dyDescent="0.2">
      <c r="A830" t="str">
        <f>"20200111155516263"</f>
        <v>20200111155516263</v>
      </c>
      <c r="B830" t="str">
        <f>"1578729316253471"</f>
        <v>1578729316253471</v>
      </c>
      <c r="C830" t="s">
        <v>37</v>
      </c>
      <c r="D830">
        <v>4.7027000000000001</v>
      </c>
      <c r="E830">
        <v>0.52358359999999904</v>
      </c>
      <c r="F830" t="s">
        <v>39</v>
      </c>
      <c r="G830">
        <v>-310.61810000000003</v>
      </c>
      <c r="H830">
        <v>-0.05</v>
      </c>
      <c r="I830">
        <v>368.8073</v>
      </c>
      <c r="J830">
        <v>-339.3673</v>
      </c>
      <c r="K830">
        <v>1.1042719999999999</v>
      </c>
      <c r="L830">
        <v>367.31259999999997</v>
      </c>
      <c r="M830">
        <v>0.99994470000000002</v>
      </c>
      <c r="N830">
        <v>0</v>
      </c>
      <c r="O830">
        <v>-4.5269480000000003E-3</v>
      </c>
      <c r="P830">
        <v>0.99349619999999905</v>
      </c>
      <c r="Q830">
        <v>1.7698949999999999E-4</v>
      </c>
      <c r="R830">
        <v>0.11386599999999999</v>
      </c>
      <c r="S830">
        <v>3.0018009999999999</v>
      </c>
      <c r="T830">
        <v>-0.1197616</v>
      </c>
      <c r="U830">
        <v>0.15499879999999999</v>
      </c>
      <c r="V830">
        <v>-0.1183633</v>
      </c>
      <c r="W830">
        <v>9.596027E-3</v>
      </c>
      <c r="X830">
        <v>0.99292400000000003</v>
      </c>
      <c r="Y830">
        <v>-5.6039119999999998E-2</v>
      </c>
      <c r="Z830">
        <v>1.297128E-3</v>
      </c>
      <c r="AA830">
        <v>0.99842770000000003</v>
      </c>
      <c r="AB830">
        <v>34</v>
      </c>
      <c r="AC830">
        <v>28.749199999999899</v>
      </c>
      <c r="AD830">
        <v>-1.154272</v>
      </c>
      <c r="AE830">
        <v>1.4947000000000199</v>
      </c>
      <c r="AF830">
        <v>-1.6222286984188601</v>
      </c>
      <c r="AG830">
        <v>-1.154272</v>
      </c>
      <c r="AH830">
        <v>28.696005421929598</v>
      </c>
      <c r="AI830">
        <v>92.299763487753495</v>
      </c>
      <c r="AJ830">
        <v>93.235573464409796</v>
      </c>
      <c r="AK830">
        <v>28.7649908217501</v>
      </c>
    </row>
    <row r="831" spans="1:37" x14ac:dyDescent="0.2">
      <c r="A831" t="str">
        <f>"20200111155516275"</f>
        <v>20200111155516275</v>
      </c>
      <c r="B831" t="str">
        <f>"1578729316272991"</f>
        <v>1578729316272991</v>
      </c>
      <c r="C831" t="s">
        <v>37</v>
      </c>
      <c r="D831">
        <v>4.7615319999999999</v>
      </c>
      <c r="E831">
        <v>0.52353870000000002</v>
      </c>
      <c r="F831" t="s">
        <v>39</v>
      </c>
      <c r="G831">
        <v>-310.19779999999997</v>
      </c>
      <c r="H831">
        <v>-0.05</v>
      </c>
      <c r="I831">
        <v>368.8331</v>
      </c>
      <c r="J831">
        <v>-339.17469999999997</v>
      </c>
      <c r="K831">
        <v>1.1042609999999999</v>
      </c>
      <c r="L831">
        <v>367.31169999999997</v>
      </c>
      <c r="M831">
        <v>0.99994289999999997</v>
      </c>
      <c r="N831">
        <v>0</v>
      </c>
      <c r="O831">
        <v>-4.5190969999999997E-3</v>
      </c>
      <c r="P831">
        <v>0.9934771</v>
      </c>
      <c r="Q831" s="1">
        <v>-9.9997969999999903E-5</v>
      </c>
      <c r="R831">
        <v>0.1140333</v>
      </c>
      <c r="S831">
        <v>3.0017399999999999</v>
      </c>
      <c r="T831">
        <v>-0.118782399999999</v>
      </c>
      <c r="U831">
        <v>0.15646360000000001</v>
      </c>
      <c r="V831">
        <v>-0.118523</v>
      </c>
      <c r="W831">
        <v>9.5211659999999993E-3</v>
      </c>
      <c r="X831">
        <v>0.992905699999999</v>
      </c>
      <c r="Y831">
        <v>-5.651867E-2</v>
      </c>
      <c r="Z831">
        <v>1.2957089999999999E-3</v>
      </c>
      <c r="AA831">
        <v>0.99840069999999903</v>
      </c>
      <c r="AB831">
        <v>34</v>
      </c>
      <c r="AC831">
        <v>28.976900000000001</v>
      </c>
      <c r="AD831">
        <v>-1.154261</v>
      </c>
      <c r="AE831">
        <v>1.5214000000000201</v>
      </c>
      <c r="AF831">
        <v>-1.64972953924997</v>
      </c>
      <c r="AG831">
        <v>-1.154261</v>
      </c>
      <c r="AH831">
        <v>28.923959937368899</v>
      </c>
      <c r="AI831">
        <v>92.281570999981994</v>
      </c>
      <c r="AJ831">
        <v>93.264429894370195</v>
      </c>
      <c r="AK831">
        <v>28.993954274422801</v>
      </c>
    </row>
    <row r="832" spans="1:37" x14ac:dyDescent="0.2">
      <c r="A832" t="str">
        <f>"20200111155516288"</f>
        <v>20200111155516288</v>
      </c>
      <c r="B832" t="str">
        <f>"1578729316283727"</f>
        <v>1578729316283727</v>
      </c>
      <c r="C832" t="s">
        <v>37</v>
      </c>
      <c r="D832">
        <v>4.5222009999999999</v>
      </c>
      <c r="E832">
        <v>0.52359259999999996</v>
      </c>
      <c r="F832" t="s">
        <v>39</v>
      </c>
      <c r="G832">
        <v>-310.05790000000002</v>
      </c>
      <c r="H832">
        <v>-0.05</v>
      </c>
      <c r="I832">
        <v>368.83839999999998</v>
      </c>
      <c r="J832">
        <v>-338.98680000000002</v>
      </c>
      <c r="K832">
        <v>1.1042529999999999</v>
      </c>
      <c r="L832">
        <v>367.3109</v>
      </c>
      <c r="M832">
        <v>0.99994110000000003</v>
      </c>
      <c r="N832">
        <v>0</v>
      </c>
      <c r="O832">
        <v>-4.5170870000000004E-3</v>
      </c>
      <c r="P832">
        <v>0.99344900000000003</v>
      </c>
      <c r="Q832">
        <v>-4.32575599999999E-4</v>
      </c>
      <c r="R832">
        <v>0.11427609999999901</v>
      </c>
      <c r="S832">
        <v>3.001617</v>
      </c>
      <c r="T832">
        <v>-0.1189914</v>
      </c>
      <c r="U832">
        <v>0.1573792</v>
      </c>
      <c r="V832">
        <v>-0.1187631</v>
      </c>
      <c r="W832">
        <v>9.3685839999999992E-3</v>
      </c>
      <c r="X832">
        <v>0.99287839999999905</v>
      </c>
      <c r="Y832">
        <v>-5.6822070000000002E-2</v>
      </c>
      <c r="Z832">
        <v>1.3039569999999999E-3</v>
      </c>
      <c r="AA832">
        <v>0.99838349999999898</v>
      </c>
      <c r="AB832">
        <v>34</v>
      </c>
      <c r="AC832">
        <v>28.928899999999999</v>
      </c>
      <c r="AD832">
        <v>-1.154253</v>
      </c>
      <c r="AE832">
        <v>1.5274999999999701</v>
      </c>
      <c r="AF832">
        <v>-1.6555368793005101</v>
      </c>
      <c r="AG832">
        <v>-1.154253</v>
      </c>
      <c r="AH832">
        <v>28.875862602228899</v>
      </c>
      <c r="AI832">
        <v>92.285312938376194</v>
      </c>
      <c r="AJ832">
        <v>93.281340894196006</v>
      </c>
      <c r="AK832">
        <v>28.946304485538999</v>
      </c>
    </row>
    <row r="833" spans="1:37" x14ac:dyDescent="0.2">
      <c r="A833" t="str">
        <f>"20200111155516302"</f>
        <v>20200111155516302</v>
      </c>
      <c r="B833" t="str">
        <f>"1578729316293487"</f>
        <v>1578729316293487</v>
      </c>
      <c r="C833" t="s">
        <v>37</v>
      </c>
      <c r="D833">
        <v>4.5243169999999999</v>
      </c>
      <c r="E833">
        <v>0.52365539999999999</v>
      </c>
      <c r="F833" t="s">
        <v>39</v>
      </c>
      <c r="G833">
        <v>-310.02679999999998</v>
      </c>
      <c r="H833">
        <v>-0.05</v>
      </c>
      <c r="I833">
        <v>368.83019999999999</v>
      </c>
      <c r="J833">
        <v>-338.77809999999999</v>
      </c>
      <c r="K833">
        <v>1.1042399999999899</v>
      </c>
      <c r="L833">
        <v>367.31</v>
      </c>
      <c r="M833">
        <v>0.99993920000000003</v>
      </c>
      <c r="N833">
        <v>0</v>
      </c>
      <c r="O833">
        <v>-4.5174009999999999E-3</v>
      </c>
      <c r="P833">
        <v>0.99339339999999998</v>
      </c>
      <c r="Q833">
        <v>-7.8775589999999999E-4</v>
      </c>
      <c r="R833">
        <v>0.11475630000000001</v>
      </c>
      <c r="S833">
        <v>3.001617</v>
      </c>
      <c r="T833">
        <v>-0.11963499999999901</v>
      </c>
      <c r="U833">
        <v>0.15747069999999999</v>
      </c>
      <c r="V833">
        <v>-0.119242899999999</v>
      </c>
      <c r="W833">
        <v>9.2021749999999999E-3</v>
      </c>
      <c r="X833">
        <v>0.99282250000000005</v>
      </c>
      <c r="Y833">
        <v>-5.685221E-2</v>
      </c>
      <c r="Z833">
        <v>1.311616E-3</v>
      </c>
      <c r="AA833">
        <v>0.99838169999999904</v>
      </c>
      <c r="AB833">
        <v>34</v>
      </c>
      <c r="AC833">
        <v>28.751300000000001</v>
      </c>
      <c r="AD833">
        <v>-1.1542399999999999</v>
      </c>
      <c r="AE833">
        <v>1.52019999999998</v>
      </c>
      <c r="AF833">
        <v>-1.6474245007002799</v>
      </c>
      <c r="AG833">
        <v>-1.1542399999999999</v>
      </c>
      <c r="AH833">
        <v>28.698015996739301</v>
      </c>
      <c r="AI833">
        <v>92.299424856524794</v>
      </c>
      <c r="AJ833">
        <v>93.285488129566403</v>
      </c>
      <c r="AK833">
        <v>28.768427131357299</v>
      </c>
    </row>
    <row r="834" spans="1:37" x14ac:dyDescent="0.2">
      <c r="A834" t="str">
        <f>"20200111155516313"</f>
        <v>20200111155516313</v>
      </c>
      <c r="B834" t="str">
        <f>"1578729316303248"</f>
        <v>1578729316303248</v>
      </c>
      <c r="C834" t="s">
        <v>37</v>
      </c>
      <c r="D834">
        <v>4.5038220000000004</v>
      </c>
      <c r="E834">
        <v>0.52367699999999995</v>
      </c>
      <c r="F834" t="s">
        <v>39</v>
      </c>
      <c r="G834">
        <v>-310.0308</v>
      </c>
      <c r="H834">
        <v>-0.05</v>
      </c>
      <c r="I834">
        <v>368.82839999999999</v>
      </c>
      <c r="J834">
        <v>-338.59989999999999</v>
      </c>
      <c r="K834">
        <v>1.104233</v>
      </c>
      <c r="L834">
        <v>367.30919999999998</v>
      </c>
      <c r="M834">
        <v>0.99993779999999999</v>
      </c>
      <c r="N834">
        <v>0</v>
      </c>
      <c r="O834">
        <v>-4.5205879999999999E-3</v>
      </c>
      <c r="P834">
        <v>0.99335180000000001</v>
      </c>
      <c r="Q834">
        <v>-9.9445929999999994E-4</v>
      </c>
      <c r="R834">
        <v>0.1151158</v>
      </c>
      <c r="S834">
        <v>3.0015559999999999</v>
      </c>
      <c r="T834">
        <v>-0.120515899999999</v>
      </c>
      <c r="U834">
        <v>0.15853879999999901</v>
      </c>
      <c r="V834">
        <v>-0.11960560000000001</v>
      </c>
      <c r="W834">
        <v>9.1430509999999993E-3</v>
      </c>
      <c r="X834">
        <v>0.99277939999999998</v>
      </c>
      <c r="Y834">
        <v>-5.7209749999999997E-2</v>
      </c>
      <c r="Z834">
        <v>1.3285789999999899E-3</v>
      </c>
      <c r="AA834">
        <v>0.99836130000000001</v>
      </c>
      <c r="AB834">
        <v>34</v>
      </c>
      <c r="AC834">
        <v>28.569099999999899</v>
      </c>
      <c r="AD834">
        <v>-1.1542330000000001</v>
      </c>
      <c r="AE834">
        <v>1.5192000000000101</v>
      </c>
      <c r="AF834">
        <v>-1.6456617182953901</v>
      </c>
      <c r="AG834">
        <v>-1.1542330000000001</v>
      </c>
      <c r="AH834">
        <v>28.515526028094001</v>
      </c>
      <c r="AI834">
        <v>92.314069931002905</v>
      </c>
      <c r="AJ834">
        <v>93.302937507881396</v>
      </c>
      <c r="AK834">
        <v>28.586284840256099</v>
      </c>
    </row>
    <row r="835" spans="1:37" x14ac:dyDescent="0.2">
      <c r="A835" t="str">
        <f>"20200111155516325"</f>
        <v>20200111155516325</v>
      </c>
      <c r="B835" t="str">
        <f>"1578729316313008"</f>
        <v>1578729316313008</v>
      </c>
      <c r="C835" t="s">
        <v>37</v>
      </c>
      <c r="D835">
        <v>4.5152130000000001</v>
      </c>
      <c r="E835">
        <v>0.52371319999999999</v>
      </c>
      <c r="F835" t="s">
        <v>39</v>
      </c>
      <c r="G835">
        <v>-309.96870000000001</v>
      </c>
      <c r="H835">
        <v>-0.05</v>
      </c>
      <c r="I835">
        <v>368.82929999999999</v>
      </c>
      <c r="J835">
        <v>-338.43540000000002</v>
      </c>
      <c r="K835">
        <v>1.1042299999999901</v>
      </c>
      <c r="L835">
        <v>367.30849999999998</v>
      </c>
      <c r="M835">
        <v>0.99993650000000001</v>
      </c>
      <c r="N835">
        <v>0</v>
      </c>
      <c r="O835">
        <v>-4.5240269999999999E-3</v>
      </c>
      <c r="P835">
        <v>0.99331349999999996</v>
      </c>
      <c r="Q835">
        <v>-1.0268950000000001E-3</v>
      </c>
      <c r="R835">
        <v>0.1154456</v>
      </c>
      <c r="S835">
        <v>3.0014949999999998</v>
      </c>
      <c r="T835">
        <v>-0.1210019</v>
      </c>
      <c r="U835">
        <v>0.1593628</v>
      </c>
      <c r="V835">
        <v>-0.1199388</v>
      </c>
      <c r="W835">
        <v>9.2384140000000003E-3</v>
      </c>
      <c r="X835">
        <v>0.99273829999999996</v>
      </c>
      <c r="Y835">
        <v>-5.7486919999999997E-2</v>
      </c>
      <c r="Z835">
        <v>1.3396689999999999E-3</v>
      </c>
      <c r="AA835">
        <v>0.99834539999999905</v>
      </c>
      <c r="AB835">
        <v>34</v>
      </c>
      <c r="AC835">
        <v>28.466699999999999</v>
      </c>
      <c r="AD835">
        <v>-1.1542299999999901</v>
      </c>
      <c r="AE835">
        <v>1.5207999999999999</v>
      </c>
      <c r="AF835">
        <v>-1.64687560297804</v>
      </c>
      <c r="AG835">
        <v>-1.1542299999999901</v>
      </c>
      <c r="AH835">
        <v>28.4129492709319</v>
      </c>
      <c r="AI835">
        <v>92.322375477486702</v>
      </c>
      <c r="AJ835">
        <v>93.317274921744996</v>
      </c>
      <c r="AK835">
        <v>28.484032938071401</v>
      </c>
    </row>
    <row r="836" spans="1:37" x14ac:dyDescent="0.2">
      <c r="A836" t="str">
        <f>"20200111155516335"</f>
        <v>20200111155516335</v>
      </c>
      <c r="B836" t="str">
        <f>"1578729316332976"</f>
        <v>1578729316332976</v>
      </c>
      <c r="C836" t="s">
        <v>37</v>
      </c>
      <c r="D836">
        <v>4.4538699999999896</v>
      </c>
      <c r="E836">
        <v>0.52381460000000002</v>
      </c>
      <c r="F836" t="s">
        <v>39</v>
      </c>
      <c r="G836">
        <v>-309.70609999999999</v>
      </c>
      <c r="H836">
        <v>-0.05</v>
      </c>
      <c r="I836">
        <v>368.84230000000002</v>
      </c>
      <c r="J836">
        <v>-338.24979999999999</v>
      </c>
      <c r="K836">
        <v>1.104225</v>
      </c>
      <c r="L836">
        <v>367.30770000000001</v>
      </c>
      <c r="M836">
        <v>0.99993489999999996</v>
      </c>
      <c r="N836">
        <v>0</v>
      </c>
      <c r="O836">
        <v>-4.5282309999999997E-3</v>
      </c>
      <c r="P836">
        <v>0.99330169999999995</v>
      </c>
      <c r="Q836">
        <v>-1.199463E-3</v>
      </c>
      <c r="R836">
        <v>0.1155432</v>
      </c>
      <c r="S836">
        <v>3.001404</v>
      </c>
      <c r="T836">
        <v>-0.12058439999999999</v>
      </c>
      <c r="U836">
        <v>0.1602478</v>
      </c>
      <c r="V836">
        <v>-0.1200401</v>
      </c>
      <c r="W836">
        <v>9.2021759999999994E-3</v>
      </c>
      <c r="X836">
        <v>0.99272640000000001</v>
      </c>
      <c r="Y836">
        <v>-5.7786379999999998E-2</v>
      </c>
      <c r="Z836">
        <v>1.341259E-3</v>
      </c>
      <c r="AA836">
        <v>0.99832809999999905</v>
      </c>
      <c r="AB836">
        <v>34</v>
      </c>
      <c r="AC836">
        <v>28.543700000000001</v>
      </c>
      <c r="AD836">
        <v>-1.1542250000000001</v>
      </c>
      <c r="AE836">
        <v>1.53460000000001</v>
      </c>
      <c r="AF836">
        <v>-1.6611354268275</v>
      </c>
      <c r="AG836">
        <v>-1.1542250000000001</v>
      </c>
      <c r="AH836">
        <v>28.4900064500833</v>
      </c>
      <c r="AI836">
        <v>92.316044877947107</v>
      </c>
      <c r="AJ836">
        <v>93.336903976772106</v>
      </c>
      <c r="AK836">
        <v>28.561723928759498</v>
      </c>
    </row>
    <row r="837" spans="1:37" x14ac:dyDescent="0.2">
      <c r="A837" t="str">
        <f>"20200111155516347"</f>
        <v>20200111155516347</v>
      </c>
      <c r="B837" t="str">
        <f>"1578729316343712"</f>
        <v>1578729316343712</v>
      </c>
      <c r="C837" t="s">
        <v>37</v>
      </c>
      <c r="D837">
        <v>4.7314790000000002</v>
      </c>
      <c r="E837">
        <v>0.52385990000000004</v>
      </c>
      <c r="F837" t="s">
        <v>39</v>
      </c>
      <c r="G837">
        <v>-309.65170000000001</v>
      </c>
      <c r="H837">
        <v>-0.05</v>
      </c>
      <c r="I837">
        <v>368.82569999999998</v>
      </c>
      <c r="J837">
        <v>-338.0804</v>
      </c>
      <c r="K837">
        <v>1.1042209999999999</v>
      </c>
      <c r="L837">
        <v>367.30689999999998</v>
      </c>
      <c r="M837">
        <v>0.99993369999999904</v>
      </c>
      <c r="N837">
        <v>0</v>
      </c>
      <c r="O837">
        <v>-4.5319499999999999E-3</v>
      </c>
      <c r="P837">
        <v>0.99330839999999998</v>
      </c>
      <c r="Q837">
        <v>-1.390606E-3</v>
      </c>
      <c r="R837">
        <v>0.115483999999999</v>
      </c>
      <c r="S837">
        <v>3.0015559999999999</v>
      </c>
      <c r="T837">
        <v>-0.1211431</v>
      </c>
      <c r="U837">
        <v>0.15933229999999901</v>
      </c>
      <c r="V837">
        <v>-0.1199848</v>
      </c>
      <c r="W837">
        <v>9.1239770000000001E-3</v>
      </c>
      <c r="X837">
        <v>0.9927338</v>
      </c>
      <c r="Y837">
        <v>-5.7483520000000003E-2</v>
      </c>
      <c r="Z837">
        <v>1.341456E-3</v>
      </c>
      <c r="AA837">
        <v>0.99834560000000006</v>
      </c>
      <c r="AB837">
        <v>34</v>
      </c>
      <c r="AC837">
        <v>28.4286999999999</v>
      </c>
      <c r="AD837">
        <v>-1.1542209999999999</v>
      </c>
      <c r="AE837">
        <v>1.5187999999999899</v>
      </c>
      <c r="AF837">
        <v>-1.6449252813421</v>
      </c>
      <c r="AG837">
        <v>-1.1542209999999999</v>
      </c>
      <c r="AH837">
        <v>28.3748843300095</v>
      </c>
      <c r="AI837">
        <v>92.325468205214904</v>
      </c>
      <c r="AJ837">
        <v>93.317790125110207</v>
      </c>
      <c r="AK837">
        <v>28.4459499057327</v>
      </c>
    </row>
    <row r="838" spans="1:37" x14ac:dyDescent="0.2">
      <c r="A838" t="str">
        <f>"20200111155516372"</f>
        <v>20200111155516372</v>
      </c>
      <c r="B838" t="str">
        <f>"1578729316363232"</f>
        <v>1578729316363232</v>
      </c>
      <c r="C838" t="s">
        <v>37</v>
      </c>
      <c r="D838">
        <v>4.595898</v>
      </c>
      <c r="E838">
        <v>0.52385990000000004</v>
      </c>
      <c r="F838" t="s">
        <v>39</v>
      </c>
      <c r="G838">
        <v>-309.59219999999999</v>
      </c>
      <c r="H838">
        <v>-0.05</v>
      </c>
      <c r="I838">
        <v>368.8177</v>
      </c>
      <c r="J838">
        <v>-337.70800000000003</v>
      </c>
      <c r="K838">
        <v>1.1042160000000001</v>
      </c>
      <c r="L838">
        <v>367.30520000000001</v>
      </c>
      <c r="M838">
        <v>0.99993120000000002</v>
      </c>
      <c r="N838">
        <v>0</v>
      </c>
      <c r="O838">
        <v>-4.5380940000000003E-3</v>
      </c>
      <c r="P838">
        <v>0.99329719999999999</v>
      </c>
      <c r="Q838">
        <v>-1.665637E-3</v>
      </c>
      <c r="R838">
        <v>0.115577</v>
      </c>
      <c r="S838">
        <v>3.001465</v>
      </c>
      <c r="T838">
        <v>-0.1216066</v>
      </c>
      <c r="U838">
        <v>0.15917970000000001</v>
      </c>
      <c r="V838">
        <v>-0.12008379999999901</v>
      </c>
      <c r="W838">
        <v>9.0748659999999991E-3</v>
      </c>
      <c r="X838">
        <v>0.99272229999999995</v>
      </c>
      <c r="Y838">
        <v>-5.7440310000000001E-2</v>
      </c>
      <c r="Z838">
        <v>1.3460010000000001E-3</v>
      </c>
      <c r="AA838">
        <v>0.99834809999999996</v>
      </c>
      <c r="AB838">
        <v>34</v>
      </c>
      <c r="AC838">
        <v>28.1158</v>
      </c>
      <c r="AD838">
        <v>-1.1542159999999999</v>
      </c>
      <c r="AE838">
        <v>1.51249999999998</v>
      </c>
      <c r="AF838">
        <v>-1.63733262252912</v>
      </c>
      <c r="AG838">
        <v>-1.1542159999999999</v>
      </c>
      <c r="AH838">
        <v>28.061491044749602</v>
      </c>
      <c r="AI838">
        <v>92.351348774625805</v>
      </c>
      <c r="AJ838">
        <v>93.339309543370504</v>
      </c>
      <c r="AK838">
        <v>28.132905152970199</v>
      </c>
    </row>
    <row r="839" spans="1:37" x14ac:dyDescent="0.2">
      <c r="A839" t="str">
        <f>"20200111155516384"</f>
        <v>20200111155516384</v>
      </c>
      <c r="B839" t="str">
        <f>"1578729316372991"</f>
        <v>1578729316372991</v>
      </c>
      <c r="C839" t="s">
        <v>37</v>
      </c>
      <c r="D839">
        <v>4.4569390000000002</v>
      </c>
      <c r="E839">
        <v>0.55629910000000005</v>
      </c>
      <c r="F839" t="s">
        <v>39</v>
      </c>
      <c r="G839">
        <v>-309.38940000000002</v>
      </c>
      <c r="H839">
        <v>-0.05</v>
      </c>
      <c r="I839">
        <v>368.80930000000001</v>
      </c>
      <c r="J839">
        <v>-337.51659999999998</v>
      </c>
      <c r="K839">
        <v>1.104214</v>
      </c>
      <c r="L839">
        <v>367.30439999999999</v>
      </c>
      <c r="M839">
        <v>0.99993019999999999</v>
      </c>
      <c r="N839">
        <v>0</v>
      </c>
      <c r="O839">
        <v>-4.5402250000000002E-3</v>
      </c>
      <c r="P839">
        <v>0.9932801</v>
      </c>
      <c r="Q839">
        <v>-1.4853819999999999E-3</v>
      </c>
      <c r="R839">
        <v>0.1157281</v>
      </c>
      <c r="S839">
        <v>3.0014949999999998</v>
      </c>
      <c r="T839">
        <v>-0.1223356</v>
      </c>
      <c r="U839">
        <v>0.15942379999999901</v>
      </c>
      <c r="V839">
        <v>-0.12023689999999999</v>
      </c>
      <c r="W839">
        <v>9.3580969999999992E-3</v>
      </c>
      <c r="X839">
        <v>0.9927011</v>
      </c>
      <c r="Y839">
        <v>-5.7522209999999997E-2</v>
      </c>
      <c r="Z839">
        <v>1.355801E-3</v>
      </c>
      <c r="AA839">
        <v>0.99834330000000004</v>
      </c>
      <c r="AB839">
        <v>34</v>
      </c>
      <c r="AC839">
        <v>28.127199999999899</v>
      </c>
      <c r="AD839">
        <v>-1.1542140000000001</v>
      </c>
      <c r="AE839">
        <v>1.5049000000000201</v>
      </c>
      <c r="AF839">
        <v>-1.62985919472541</v>
      </c>
      <c r="AG839">
        <v>-1.1542140000000001</v>
      </c>
      <c r="AH839">
        <v>28.072939616544701</v>
      </c>
      <c r="AI839">
        <v>92.350426361612307</v>
      </c>
      <c r="AJ839">
        <v>93.322749301651996</v>
      </c>
      <c r="AK839">
        <v>28.143890805405601</v>
      </c>
    </row>
    <row r="840" spans="1:37" x14ac:dyDescent="0.2">
      <c r="A840" t="str">
        <f>"20200111155516397"</f>
        <v>20200111155516397</v>
      </c>
      <c r="B840" t="str">
        <f>"1578729316393488"</f>
        <v>1578729316393488</v>
      </c>
      <c r="C840" t="s">
        <v>37</v>
      </c>
      <c r="D840">
        <v>4.4490699999999999</v>
      </c>
      <c r="E840">
        <v>0.55840100000000004</v>
      </c>
      <c r="F840" t="s">
        <v>39</v>
      </c>
      <c r="G840">
        <v>-312.14210000000003</v>
      </c>
      <c r="H840">
        <v>-0.05</v>
      </c>
      <c r="I840">
        <v>366.49209999999999</v>
      </c>
      <c r="J840">
        <v>-337.31689999999998</v>
      </c>
      <c r="K840">
        <v>1.1042099999999999</v>
      </c>
      <c r="L840">
        <v>367.30340000000001</v>
      </c>
      <c r="M840">
        <v>0.99992899999999996</v>
      </c>
      <c r="N840">
        <v>0</v>
      </c>
      <c r="O840">
        <v>-4.5416270000000003E-3</v>
      </c>
      <c r="P840">
        <v>0.99328819999999995</v>
      </c>
      <c r="Q840">
        <v>-1.323409E-3</v>
      </c>
      <c r="R840">
        <v>0.115659</v>
      </c>
      <c r="S840">
        <v>3.0314640000000002</v>
      </c>
      <c r="T840">
        <v>-0.13789279999999901</v>
      </c>
      <c r="U840">
        <v>-9.7045899999999893E-2</v>
      </c>
      <c r="V840">
        <v>-0.120168899999999</v>
      </c>
      <c r="W840">
        <v>9.6212969999999991E-3</v>
      </c>
      <c r="X840">
        <v>0.9927068</v>
      </c>
      <c r="Y840">
        <v>2.7432950000000001E-2</v>
      </c>
      <c r="Z840">
        <v>-4.1700759999999999E-4</v>
      </c>
      <c r="AA840">
        <v>0.9996235</v>
      </c>
      <c r="AB840">
        <v>34</v>
      </c>
      <c r="AC840">
        <v>25.174799999999902</v>
      </c>
      <c r="AD840">
        <v>-1.15421</v>
      </c>
      <c r="AE840">
        <v>-0.81130000000001701</v>
      </c>
      <c r="AF840">
        <v>0.69548972236359896</v>
      </c>
      <c r="AG840">
        <v>-1.15421</v>
      </c>
      <c r="AH840">
        <v>25.125465650004099</v>
      </c>
      <c r="AI840">
        <v>92.629190438878794</v>
      </c>
      <c r="AJ840">
        <v>88.414419321830394</v>
      </c>
      <c r="AK840">
        <v>25.1615764769926</v>
      </c>
    </row>
    <row r="841" spans="1:37" x14ac:dyDescent="0.2">
      <c r="A841" t="str">
        <f>"20200111155516410"</f>
        <v>20200111155516410</v>
      </c>
      <c r="B841" t="str">
        <f>"1578729316403247"</f>
        <v>1578729316403247</v>
      </c>
      <c r="C841" t="s">
        <v>37</v>
      </c>
      <c r="D841">
        <v>4.4293379999999898</v>
      </c>
      <c r="E841">
        <v>0.55846319999999905</v>
      </c>
      <c r="F841" t="s">
        <v>39</v>
      </c>
      <c r="G841">
        <v>-310.69189999999998</v>
      </c>
      <c r="H841">
        <v>-0.05</v>
      </c>
      <c r="I841">
        <v>366.30239999999998</v>
      </c>
      <c r="J841">
        <v>-337.12060000000002</v>
      </c>
      <c r="K841">
        <v>1.104212</v>
      </c>
      <c r="L841">
        <v>367.30259999999998</v>
      </c>
      <c r="M841">
        <v>0.99992800000000004</v>
      </c>
      <c r="N841">
        <v>0</v>
      </c>
      <c r="O841">
        <v>-4.541771E-3</v>
      </c>
      <c r="P841">
        <v>0.99330219999999902</v>
      </c>
      <c r="Q841">
        <v>-1.2646089999999899E-3</v>
      </c>
      <c r="R841">
        <v>0.11553819999999999</v>
      </c>
      <c r="S841">
        <v>3.033417</v>
      </c>
      <c r="T841">
        <v>-0.1315006</v>
      </c>
      <c r="U841">
        <v>-0.1140442</v>
      </c>
      <c r="V841">
        <v>-0.120048</v>
      </c>
      <c r="W841">
        <v>9.7681569999999995E-3</v>
      </c>
      <c r="X841">
        <v>0.99272000000000005</v>
      </c>
      <c r="Y841">
        <v>3.3003490000000003E-2</v>
      </c>
      <c r="Z841">
        <v>-5.1803919999999896E-4</v>
      </c>
      <c r="AA841">
        <v>0.99945509999999904</v>
      </c>
      <c r="AB841">
        <v>34</v>
      </c>
      <c r="AC841">
        <v>26.428699999999999</v>
      </c>
      <c r="AD841">
        <v>-1.154212</v>
      </c>
      <c r="AE841">
        <v>-1.0002</v>
      </c>
      <c r="AF841">
        <v>0.87847605160414899</v>
      </c>
      <c r="AG841">
        <v>-1.154212</v>
      </c>
      <c r="AH841">
        <v>26.382722479766802</v>
      </c>
      <c r="AI841">
        <v>92.503637508939207</v>
      </c>
      <c r="AJ841">
        <v>88.092904138560002</v>
      </c>
      <c r="AK841">
        <v>26.4225655635212</v>
      </c>
    </row>
    <row r="842" spans="1:37" x14ac:dyDescent="0.2">
      <c r="A842" t="str">
        <f>"20200111155516427"</f>
        <v>20200111155516427</v>
      </c>
      <c r="B842" t="str">
        <f>"1578729316423275"</f>
        <v>1578729316423275</v>
      </c>
      <c r="C842" t="s">
        <v>37</v>
      </c>
      <c r="D842">
        <v>4.424506</v>
      </c>
      <c r="E842">
        <v>0.55874709999999905</v>
      </c>
      <c r="F842" t="s">
        <v>39</v>
      </c>
      <c r="G842">
        <v>-310.06150000000002</v>
      </c>
      <c r="H842">
        <v>-0.05</v>
      </c>
      <c r="I842">
        <v>366.27710000000002</v>
      </c>
      <c r="J842">
        <v>-336.87479999999999</v>
      </c>
      <c r="K842">
        <v>1.104217</v>
      </c>
      <c r="L842">
        <v>367.30149999999998</v>
      </c>
      <c r="M842">
        <v>0.99992700000000001</v>
      </c>
      <c r="N842">
        <v>0</v>
      </c>
      <c r="O842">
        <v>-4.5418799999999999E-3</v>
      </c>
      <c r="P842">
        <v>0.9933071</v>
      </c>
      <c r="Q842">
        <v>-1.138125E-3</v>
      </c>
      <c r="R842">
        <v>0.1154988</v>
      </c>
      <c r="S842">
        <v>3.0334469999999998</v>
      </c>
      <c r="T842">
        <v>-0.12939229999999999</v>
      </c>
      <c r="U842">
        <v>-0.1149597</v>
      </c>
      <c r="V842">
        <v>-0.1200094</v>
      </c>
      <c r="W842">
        <v>9.9975040000000008E-3</v>
      </c>
      <c r="X842">
        <v>0.9927224</v>
      </c>
      <c r="Y842">
        <v>3.3304790000000001E-2</v>
      </c>
      <c r="Z842">
        <v>-5.1614930000000003E-4</v>
      </c>
      <c r="AA842">
        <v>0.99944509999999898</v>
      </c>
      <c r="AB842">
        <v>34</v>
      </c>
      <c r="AC842">
        <v>26.813299999999899</v>
      </c>
      <c r="AD842">
        <v>-1.154217</v>
      </c>
      <c r="AE842">
        <v>-1.02439999999995</v>
      </c>
      <c r="AF842">
        <v>0.90093201724263505</v>
      </c>
      <c r="AG842">
        <v>-1.154217</v>
      </c>
      <c r="AH842">
        <v>26.7681474287029</v>
      </c>
      <c r="AI842">
        <v>92.467614467867904</v>
      </c>
      <c r="AJ842">
        <v>88.072331143183106</v>
      </c>
      <c r="AK842">
        <v>26.808163162506201</v>
      </c>
    </row>
    <row r="843" spans="1:37" x14ac:dyDescent="0.2">
      <c r="A843" t="str">
        <f>"20200111155516437"</f>
        <v>20200111155516437</v>
      </c>
      <c r="B843" t="str">
        <f>"1578729316433034"</f>
        <v>1578729316433034</v>
      </c>
      <c r="C843" t="s">
        <v>37</v>
      </c>
      <c r="D843">
        <v>4.3999119999999996</v>
      </c>
      <c r="E843">
        <v>0.55870010000000003</v>
      </c>
      <c r="F843" t="s">
        <v>39</v>
      </c>
      <c r="G843">
        <v>-309.825999999999</v>
      </c>
      <c r="H843">
        <v>-0.05</v>
      </c>
      <c r="I843">
        <v>366.25490000000002</v>
      </c>
      <c r="J843">
        <v>-336.70179999999999</v>
      </c>
      <c r="K843">
        <v>1.1042179999999999</v>
      </c>
      <c r="L843">
        <v>367.30070000000001</v>
      </c>
      <c r="M843">
        <v>0.99992619999999899</v>
      </c>
      <c r="N843">
        <v>0</v>
      </c>
      <c r="O843">
        <v>-4.5420259999999898E-3</v>
      </c>
      <c r="P843">
        <v>0.99331150000000001</v>
      </c>
      <c r="Q843">
        <v>-1.0731060000000001E-3</v>
      </c>
      <c r="R843">
        <v>0.1154631</v>
      </c>
      <c r="S843">
        <v>3.033722</v>
      </c>
      <c r="T843">
        <v>-0.12945380000000001</v>
      </c>
      <c r="U843">
        <v>-0.11737060000000001</v>
      </c>
      <c r="V843">
        <v>-0.1199737</v>
      </c>
      <c r="W843">
        <v>1.013006E-2</v>
      </c>
      <c r="X843">
        <v>0.99272539999999998</v>
      </c>
      <c r="Y843">
        <v>3.4093569999999997E-2</v>
      </c>
      <c r="Z843">
        <v>-5.3314859999999999E-4</v>
      </c>
      <c r="AA843">
        <v>0.99941849999999999</v>
      </c>
      <c r="AB843">
        <v>34</v>
      </c>
      <c r="AC843">
        <v>26.875800000000002</v>
      </c>
      <c r="AD843">
        <v>-1.154218</v>
      </c>
      <c r="AE843">
        <v>-1.0457999999999801</v>
      </c>
      <c r="AF843">
        <v>0.92201289789003205</v>
      </c>
      <c r="AG843">
        <v>-1.154218</v>
      </c>
      <c r="AH843">
        <v>26.830861323007099</v>
      </c>
      <c r="AI843">
        <v>92.461796895816093</v>
      </c>
      <c r="AJ843">
        <v>88.031868319590302</v>
      </c>
      <c r="AK843">
        <v>26.8714987730465</v>
      </c>
    </row>
    <row r="844" spans="1:37" x14ac:dyDescent="0.2">
      <c r="A844" t="str">
        <f>"20200111155516449"</f>
        <v>20200111155516449</v>
      </c>
      <c r="B844" t="str">
        <f>"1578729316443770"</f>
        <v>1578729316443770</v>
      </c>
      <c r="C844" t="s">
        <v>37</v>
      </c>
      <c r="D844">
        <v>4.4110250000000004</v>
      </c>
      <c r="E844">
        <v>0.55884560000000005</v>
      </c>
      <c r="F844" t="s">
        <v>39</v>
      </c>
      <c r="G844">
        <v>-309.65260000000001</v>
      </c>
      <c r="H844">
        <v>-0.05</v>
      </c>
      <c r="I844">
        <v>366.25599999999997</v>
      </c>
      <c r="J844">
        <v>-336.52170000000001</v>
      </c>
      <c r="K844">
        <v>1.10422</v>
      </c>
      <c r="L844">
        <v>367.2998</v>
      </c>
      <c r="M844">
        <v>0.99992539999999996</v>
      </c>
      <c r="N844">
        <v>0</v>
      </c>
      <c r="O844">
        <v>-4.5417879999999997E-3</v>
      </c>
      <c r="P844">
        <v>0.99331329999999995</v>
      </c>
      <c r="Q844">
        <v>-1.186313E-3</v>
      </c>
      <c r="R844">
        <v>0.115444899999999</v>
      </c>
      <c r="S844">
        <v>3.0336910000000001</v>
      </c>
      <c r="T844">
        <v>-0.12945109999999899</v>
      </c>
      <c r="U844">
        <v>-0.117157</v>
      </c>
      <c r="V844">
        <v>-0.1199553</v>
      </c>
      <c r="W844">
        <v>1.0079039999999999E-2</v>
      </c>
      <c r="X844">
        <v>0.992728099999999</v>
      </c>
      <c r="Y844">
        <v>3.4023980000000002E-2</v>
      </c>
      <c r="Z844">
        <v>-5.3167030000000003E-4</v>
      </c>
      <c r="AA844">
        <v>0.99942089999999995</v>
      </c>
      <c r="AB844">
        <v>34</v>
      </c>
      <c r="AC844">
        <v>26.8691</v>
      </c>
      <c r="AD844">
        <v>-1.15422</v>
      </c>
      <c r="AE844">
        <v>-1.04380000000003</v>
      </c>
      <c r="AF844">
        <v>0.92005240156889101</v>
      </c>
      <c r="AG844">
        <v>-1.15422</v>
      </c>
      <c r="AH844">
        <v>26.824139411615</v>
      </c>
      <c r="AI844">
        <v>92.462422742003596</v>
      </c>
      <c r="AJ844">
        <v>88.035558156219494</v>
      </c>
      <c r="AK844">
        <v>26.864719901830199</v>
      </c>
    </row>
    <row r="845" spans="1:37" x14ac:dyDescent="0.2">
      <c r="A845" t="str">
        <f>"20200111155516461"</f>
        <v>20200111155516461</v>
      </c>
      <c r="B845" t="str">
        <f>"1578729316453530"</f>
        <v>1578729316453530</v>
      </c>
      <c r="C845" t="s">
        <v>37</v>
      </c>
      <c r="D845">
        <v>4.6314599999999997</v>
      </c>
      <c r="E845">
        <v>0.55884560000000005</v>
      </c>
      <c r="F845" t="s">
        <v>39</v>
      </c>
      <c r="G845">
        <v>-309.64030000000002</v>
      </c>
      <c r="H845">
        <v>-0.05</v>
      </c>
      <c r="I845">
        <v>366.24979999999999</v>
      </c>
      <c r="J845">
        <v>-336.34</v>
      </c>
      <c r="K845">
        <v>1.104223</v>
      </c>
      <c r="L845">
        <v>367.29899999999998</v>
      </c>
      <c r="M845">
        <v>0.99992479999999995</v>
      </c>
      <c r="N845">
        <v>0</v>
      </c>
      <c r="O845">
        <v>-4.54142E-3</v>
      </c>
      <c r="P845">
        <v>0.99330849999999904</v>
      </c>
      <c r="Q845">
        <v>-1.2769280000000001E-3</v>
      </c>
      <c r="R845">
        <v>0.1154858</v>
      </c>
      <c r="S845">
        <v>3.0337830000000001</v>
      </c>
      <c r="T845">
        <v>-0.1302632</v>
      </c>
      <c r="U845">
        <v>-0.1184998</v>
      </c>
      <c r="V845">
        <v>-0.11999609999999999</v>
      </c>
      <c r="W845">
        <v>1.00489999999999E-2</v>
      </c>
      <c r="X845">
        <v>0.99272349999999998</v>
      </c>
      <c r="Y845">
        <v>3.4464120000000001E-2</v>
      </c>
      <c r="Z845">
        <v>-5.4443899999999997E-4</v>
      </c>
      <c r="AA845">
        <v>0.99940580000000001</v>
      </c>
      <c r="AB845">
        <v>34</v>
      </c>
      <c r="AC845">
        <v>26.699699999999901</v>
      </c>
      <c r="AD845">
        <v>-1.154223</v>
      </c>
      <c r="AE845">
        <v>-1.0492000000000401</v>
      </c>
      <c r="AF845">
        <v>0.92619853252589301</v>
      </c>
      <c r="AG845">
        <v>-1.154223</v>
      </c>
      <c r="AH845">
        <v>26.654454310659901</v>
      </c>
      <c r="AI845">
        <v>92.4780474262908</v>
      </c>
      <c r="AJ845">
        <v>88.009866452915603</v>
      </c>
      <c r="AK845">
        <v>26.695505409233899</v>
      </c>
    </row>
    <row r="846" spans="1:37" x14ac:dyDescent="0.2">
      <c r="A846" t="str">
        <f>"20200111155516473"</f>
        <v>20200111155516473</v>
      </c>
      <c r="B846" t="str">
        <f>"1578729316463290"</f>
        <v>1578729316463290</v>
      </c>
      <c r="C846" t="s">
        <v>37</v>
      </c>
      <c r="D846">
        <v>4.4587000000000003</v>
      </c>
      <c r="E846">
        <v>0.55910300000000002</v>
      </c>
      <c r="F846" t="s">
        <v>39</v>
      </c>
      <c r="G846">
        <v>-309.51979999999998</v>
      </c>
      <c r="H846">
        <v>-0.05</v>
      </c>
      <c r="I846">
        <v>366.25220000000002</v>
      </c>
      <c r="J846">
        <v>-336.15800000000002</v>
      </c>
      <c r="K846">
        <v>1.1042259999999999</v>
      </c>
      <c r="L846">
        <v>367.29820000000001</v>
      </c>
      <c r="M846">
        <v>0.99992409999999998</v>
      </c>
      <c r="N846">
        <v>0</v>
      </c>
      <c r="O846">
        <v>-4.5412589999999997E-3</v>
      </c>
      <c r="P846">
        <v>0.99332240000000005</v>
      </c>
      <c r="Q846">
        <v>-1.3079630000000001E-3</v>
      </c>
      <c r="R846">
        <v>0.1153661</v>
      </c>
      <c r="S846">
        <v>3.0337830000000001</v>
      </c>
      <c r="T846">
        <v>-0.13056039999999999</v>
      </c>
      <c r="U846">
        <v>-0.11840819999999901</v>
      </c>
      <c r="V846">
        <v>-0.1198758</v>
      </c>
      <c r="W846">
        <v>1.0072360000000001E-2</v>
      </c>
      <c r="X846">
        <v>0.9927378</v>
      </c>
      <c r="Y846">
        <v>3.4434069999999997E-2</v>
      </c>
      <c r="Z846">
        <v>-5.4504079999999995E-4</v>
      </c>
      <c r="AA846">
        <v>0.99940680000000004</v>
      </c>
      <c r="AB846">
        <v>34</v>
      </c>
      <c r="AC846">
        <v>26.638200000000001</v>
      </c>
      <c r="AD846">
        <v>-1.154226</v>
      </c>
      <c r="AE846">
        <v>-1.04599999999999</v>
      </c>
      <c r="AF846">
        <v>0.92327955561974195</v>
      </c>
      <c r="AG846">
        <v>-1.154226</v>
      </c>
      <c r="AH846">
        <v>26.592825503135199</v>
      </c>
      <c r="AI846">
        <v>92.483792074982901</v>
      </c>
      <c r="AJ846">
        <v>88.011539553589301</v>
      </c>
      <c r="AK846">
        <v>26.633870372837301</v>
      </c>
    </row>
    <row r="847" spans="1:37" x14ac:dyDescent="0.2">
      <c r="A847" t="str">
        <f>"20200111155516484"</f>
        <v>20200111155516484</v>
      </c>
      <c r="B847" t="str">
        <f>"1578729316473051"</f>
        <v>1578729316473051</v>
      </c>
      <c r="C847" t="s">
        <v>37</v>
      </c>
      <c r="D847">
        <v>4.4261359999999996</v>
      </c>
      <c r="E847">
        <v>0.55913729999999995</v>
      </c>
      <c r="F847" t="s">
        <v>39</v>
      </c>
      <c r="G847">
        <v>-309.06420000000003</v>
      </c>
      <c r="H847">
        <v>-0.05</v>
      </c>
      <c r="I847">
        <v>366.22140000000002</v>
      </c>
      <c r="J847">
        <v>-335.98390000000001</v>
      </c>
      <c r="K847">
        <v>1.104231</v>
      </c>
      <c r="L847">
        <v>367.29739999999998</v>
      </c>
      <c r="M847">
        <v>0.99992359999999902</v>
      </c>
      <c r="N847">
        <v>0</v>
      </c>
      <c r="O847">
        <v>-4.5409450000000002E-3</v>
      </c>
      <c r="P847">
        <v>0.99331829999999999</v>
      </c>
      <c r="Q847">
        <v>-1.282186E-3</v>
      </c>
      <c r="R847">
        <v>0.11540109999999899</v>
      </c>
      <c r="S847">
        <v>3.0339659999999999</v>
      </c>
      <c r="T847">
        <v>-0.12925049999999999</v>
      </c>
      <c r="U847">
        <v>-0.120575</v>
      </c>
      <c r="V847">
        <v>-0.1199107</v>
      </c>
      <c r="W847">
        <v>1.0147700000000001E-2</v>
      </c>
      <c r="X847">
        <v>0.99273279999999997</v>
      </c>
      <c r="Y847">
        <v>3.5144559999999998E-2</v>
      </c>
      <c r="Z847">
        <v>-5.5467199999999998E-4</v>
      </c>
      <c r="AA847">
        <v>0.99938209999999905</v>
      </c>
      <c r="AB847">
        <v>34</v>
      </c>
      <c r="AC847">
        <v>26.919699999999899</v>
      </c>
      <c r="AD847">
        <v>-1.154231</v>
      </c>
      <c r="AE847">
        <v>-1.0759999999999601</v>
      </c>
      <c r="AF847">
        <v>0.95199257666728498</v>
      </c>
      <c r="AG847">
        <v>-1.154231</v>
      </c>
      <c r="AH847">
        <v>26.874980072444298</v>
      </c>
      <c r="AI847">
        <v>92.457697539397799</v>
      </c>
      <c r="AJ847">
        <v>87.971259529959397</v>
      </c>
      <c r="AK847">
        <v>26.916595121999901</v>
      </c>
    </row>
    <row r="848" spans="1:37" x14ac:dyDescent="0.2">
      <c r="A848" t="str">
        <f>"20200111155516495"</f>
        <v>20200111155516495</v>
      </c>
      <c r="B848" t="str">
        <f>"1578729316493546"</f>
        <v>1578729316493546</v>
      </c>
      <c r="C848" t="s">
        <v>37</v>
      </c>
      <c r="D848">
        <v>4.3988800000000001</v>
      </c>
      <c r="E848">
        <v>0.55915360000000003</v>
      </c>
      <c r="F848" t="s">
        <v>39</v>
      </c>
      <c r="G848">
        <v>-308.7987</v>
      </c>
      <c r="H848">
        <v>-0.05</v>
      </c>
      <c r="I848">
        <v>366.21559999999999</v>
      </c>
      <c r="J848">
        <v>-335.7998</v>
      </c>
      <c r="K848">
        <v>1.104236</v>
      </c>
      <c r="L848">
        <v>367.29649999999998</v>
      </c>
      <c r="M848">
        <v>0.99992289999999995</v>
      </c>
      <c r="N848">
        <v>0</v>
      </c>
      <c r="O848">
        <v>-4.5407499999999996E-3</v>
      </c>
      <c r="P848">
        <v>0.99331360000000002</v>
      </c>
      <c r="Q848">
        <v>-8.7271259999999998E-4</v>
      </c>
      <c r="R848">
        <v>0.1154442</v>
      </c>
      <c r="S848">
        <v>3.0340579999999999</v>
      </c>
      <c r="T848">
        <v>-0.1288204</v>
      </c>
      <c r="U848">
        <v>-0.1207275</v>
      </c>
      <c r="V848">
        <v>-0.1199532</v>
      </c>
      <c r="W848">
        <v>1.060496E-2</v>
      </c>
      <c r="X848">
        <v>0.99272289999999996</v>
      </c>
      <c r="Y848">
        <v>3.5193889999999999E-2</v>
      </c>
      <c r="Z848">
        <v>-5.5386529999999995E-4</v>
      </c>
      <c r="AA848">
        <v>0.99938039999999995</v>
      </c>
      <c r="AB848">
        <v>34</v>
      </c>
      <c r="AC848">
        <v>27.001100000000001</v>
      </c>
      <c r="AD848">
        <v>-1.154236</v>
      </c>
      <c r="AE848">
        <v>-1.08089999999998</v>
      </c>
      <c r="AF848">
        <v>0.95653028365526205</v>
      </c>
      <c r="AG848">
        <v>-1.154236</v>
      </c>
      <c r="AH848">
        <v>26.956549270309399</v>
      </c>
      <c r="AI848">
        <v>92.450275047485704</v>
      </c>
      <c r="AJ848">
        <v>87.967760529558205</v>
      </c>
      <c r="AK848">
        <v>26.998199189758299</v>
      </c>
    </row>
    <row r="849" spans="1:37" x14ac:dyDescent="0.2">
      <c r="A849" t="str">
        <f>"20200111155516507"</f>
        <v>20200111155516507</v>
      </c>
      <c r="B849" t="str">
        <f>"1578729316503307"</f>
        <v>1578729316503307</v>
      </c>
      <c r="C849" t="s">
        <v>37</v>
      </c>
      <c r="D849">
        <v>4.4217659999999999</v>
      </c>
      <c r="E849">
        <v>0.55918040000000002</v>
      </c>
      <c r="F849" t="s">
        <v>39</v>
      </c>
      <c r="G849">
        <v>-308.05930000000001</v>
      </c>
      <c r="H849">
        <v>-0.05</v>
      </c>
      <c r="I849">
        <v>366.19240000000002</v>
      </c>
      <c r="J849">
        <v>-335.63479999999998</v>
      </c>
      <c r="K849">
        <v>1.1042419999999999</v>
      </c>
      <c r="L849">
        <v>367.29570000000001</v>
      </c>
      <c r="M849">
        <v>0.99992259999999999</v>
      </c>
      <c r="N849">
        <v>0</v>
      </c>
      <c r="O849">
        <v>-4.5405020000000001E-3</v>
      </c>
      <c r="P849">
        <v>0.99331740000000002</v>
      </c>
      <c r="Q849">
        <v>-4.0777309999999998E-4</v>
      </c>
      <c r="R849">
        <v>0.1154162</v>
      </c>
      <c r="S849">
        <v>3.034119</v>
      </c>
      <c r="T849">
        <v>-0.12624440000000001</v>
      </c>
      <c r="U849">
        <v>-0.12075809999999999</v>
      </c>
      <c r="V849">
        <v>-0.11992509999999899</v>
      </c>
      <c r="W849">
        <v>1.110943E-2</v>
      </c>
      <c r="X849">
        <v>0.99272079999999996</v>
      </c>
      <c r="Y849">
        <v>3.5204449999999998E-2</v>
      </c>
      <c r="Z849">
        <v>-5.4301779999999997E-4</v>
      </c>
      <c r="AA849">
        <v>0.99937999999999905</v>
      </c>
      <c r="AB849">
        <v>34</v>
      </c>
      <c r="AC849">
        <v>27.575499999999899</v>
      </c>
      <c r="AD849">
        <v>-1.154242</v>
      </c>
      <c r="AE849">
        <v>-1.10329999999999</v>
      </c>
      <c r="AF849">
        <v>0.97636570249420096</v>
      </c>
      <c r="AG849">
        <v>-1.154242</v>
      </c>
      <c r="AH849">
        <v>27.532065072303201</v>
      </c>
      <c r="AI849">
        <v>92.399130536898198</v>
      </c>
      <c r="AJ849">
        <v>87.968979059584797</v>
      </c>
      <c r="AK849">
        <v>27.573541153161901</v>
      </c>
    </row>
    <row r="850" spans="1:37" x14ac:dyDescent="0.2">
      <c r="A850" t="str">
        <f>"20200111155516519"</f>
        <v>20200111155516519</v>
      </c>
      <c r="B850" t="str">
        <f>"1578729316513067"</f>
        <v>1578729316513067</v>
      </c>
      <c r="C850" t="s">
        <v>37</v>
      </c>
      <c r="D850">
        <v>4.4025169999999996</v>
      </c>
      <c r="E850">
        <v>0.55908959999999996</v>
      </c>
      <c r="F850" t="s">
        <v>39</v>
      </c>
      <c r="G850">
        <v>-307.80860000000001</v>
      </c>
      <c r="H850">
        <v>-0.05</v>
      </c>
      <c r="I850">
        <v>366.18549999999999</v>
      </c>
      <c r="J850">
        <v>-335.44830000000002</v>
      </c>
      <c r="K850">
        <v>1.104247</v>
      </c>
      <c r="L850">
        <v>367.29489999999998</v>
      </c>
      <c r="M850">
        <v>0.99992190000000003</v>
      </c>
      <c r="N850">
        <v>0</v>
      </c>
      <c r="O850">
        <v>-4.5400370000000002E-3</v>
      </c>
      <c r="P850">
        <v>0.99331150000000001</v>
      </c>
      <c r="Q850" s="1">
        <v>2.080435E-5</v>
      </c>
      <c r="R850">
        <v>0.11546430000000001</v>
      </c>
      <c r="S850">
        <v>3.0342410000000002</v>
      </c>
      <c r="T850">
        <v>-0.12586130000000001</v>
      </c>
      <c r="U850">
        <v>-0.1210632</v>
      </c>
      <c r="V850">
        <v>-0.1199728</v>
      </c>
      <c r="W850">
        <v>1.1580989999999999E-2</v>
      </c>
      <c r="X850">
        <v>0.99270959999999997</v>
      </c>
      <c r="Y850">
        <v>3.5303750000000002E-2</v>
      </c>
      <c r="Z850">
        <v>-5.4342559999999895E-4</v>
      </c>
      <c r="AA850">
        <v>0.999376499999999</v>
      </c>
      <c r="AB850">
        <v>34</v>
      </c>
      <c r="AC850">
        <v>27.639700000000001</v>
      </c>
      <c r="AD850">
        <v>-1.154247</v>
      </c>
      <c r="AE850">
        <v>-1.1093999999999899</v>
      </c>
      <c r="AF850">
        <v>0.98218468325424702</v>
      </c>
      <c r="AG850">
        <v>-1.154247</v>
      </c>
      <c r="AH850">
        <v>27.596403177995199</v>
      </c>
      <c r="AI850">
        <v>92.393543212504497</v>
      </c>
      <c r="AJ850">
        <v>87.961644018531601</v>
      </c>
      <c r="AK850">
        <v>27.637989095654</v>
      </c>
    </row>
    <row r="851" spans="1:37" x14ac:dyDescent="0.2">
      <c r="A851" t="str">
        <f>"20200111155516531"</f>
        <v>20200111155516531</v>
      </c>
      <c r="B851" t="str">
        <f>"1578729316523334"</f>
        <v>1578729316523334</v>
      </c>
      <c r="C851" t="s">
        <v>37</v>
      </c>
      <c r="D851">
        <v>4.6064020000000001</v>
      </c>
      <c r="E851">
        <v>0.55943679999999996</v>
      </c>
      <c r="F851" t="s">
        <v>39</v>
      </c>
      <c r="G851">
        <v>-307.06630000000001</v>
      </c>
      <c r="H851">
        <v>-0.05</v>
      </c>
      <c r="I851">
        <v>366.1696</v>
      </c>
      <c r="J851">
        <v>-335.26850000000002</v>
      </c>
      <c r="K851">
        <v>1.1042540000000001</v>
      </c>
      <c r="L851">
        <v>367.29410000000001</v>
      </c>
      <c r="M851">
        <v>0.99992150000000002</v>
      </c>
      <c r="N851">
        <v>0</v>
      </c>
      <c r="O851">
        <v>-4.5399079999999996E-3</v>
      </c>
      <c r="P851">
        <v>0.99329559999999995</v>
      </c>
      <c r="Q851">
        <v>1.05102099999999E-4</v>
      </c>
      <c r="R851">
        <v>0.11560239999999999</v>
      </c>
      <c r="S851">
        <v>3.0341490000000002</v>
      </c>
      <c r="T851">
        <v>-0.1233934</v>
      </c>
      <c r="U851">
        <v>-0.1203003</v>
      </c>
      <c r="V851">
        <v>-0.1201103</v>
      </c>
      <c r="W851">
        <v>1.1704000000000001E-2</v>
      </c>
      <c r="X851">
        <v>0.99269159999999901</v>
      </c>
      <c r="Y851">
        <v>3.50554E-2</v>
      </c>
      <c r="Z851">
        <v>-5.2775719999999997E-4</v>
      </c>
      <c r="AA851">
        <v>0.99938519999999897</v>
      </c>
      <c r="AB851">
        <v>34</v>
      </c>
      <c r="AC851">
        <v>28.202200000000001</v>
      </c>
      <c r="AD851">
        <v>-1.1542539999999999</v>
      </c>
      <c r="AE851">
        <v>-1.12450000000001</v>
      </c>
      <c r="AF851">
        <v>0.99478058789355694</v>
      </c>
      <c r="AG851">
        <v>-1.1542539999999999</v>
      </c>
      <c r="AH851">
        <v>28.159919419892901</v>
      </c>
      <c r="AI851">
        <v>92.345735572414796</v>
      </c>
      <c r="AJ851">
        <v>87.976803955991301</v>
      </c>
      <c r="AK851">
        <v>28.201116156092699</v>
      </c>
    </row>
    <row r="852" spans="1:37" x14ac:dyDescent="0.2">
      <c r="A852" t="str">
        <f>"20200111155516542"</f>
        <v>20200111155516542</v>
      </c>
      <c r="B852" t="str">
        <f>"1578729316533094"</f>
        <v>1578729316533094</v>
      </c>
      <c r="C852" t="s">
        <v>37</v>
      </c>
      <c r="D852">
        <v>4.6403780000000001</v>
      </c>
      <c r="E852">
        <v>0.55976369999999998</v>
      </c>
      <c r="F852" t="s">
        <v>39</v>
      </c>
      <c r="G852">
        <v>-306.55169999999998</v>
      </c>
      <c r="H852">
        <v>-0.05</v>
      </c>
      <c r="I852">
        <v>366.13130000000001</v>
      </c>
      <c r="J852">
        <v>-335.08670000000001</v>
      </c>
      <c r="K852">
        <v>1.104258</v>
      </c>
      <c r="L852">
        <v>367.29320000000001</v>
      </c>
      <c r="M852">
        <v>0.99992109999999901</v>
      </c>
      <c r="N852">
        <v>0</v>
      </c>
      <c r="O852">
        <v>-4.5398959999999999E-3</v>
      </c>
      <c r="P852">
        <v>0.99329210000000001</v>
      </c>
      <c r="Q852">
        <v>5.8275320000000005E-4</v>
      </c>
      <c r="R852">
        <v>0.1156315</v>
      </c>
      <c r="S852">
        <v>3.03454599999999</v>
      </c>
      <c r="T852">
        <v>-0.121971699999999</v>
      </c>
      <c r="U852">
        <v>-0.1228638</v>
      </c>
      <c r="V852">
        <v>-0.12013989999999999</v>
      </c>
      <c r="W852">
        <v>1.2219900000000001E-2</v>
      </c>
      <c r="X852">
        <v>0.992681699999999</v>
      </c>
      <c r="Y852">
        <v>3.5893029999999999E-2</v>
      </c>
      <c r="Z852">
        <v>-5.3842530000000003E-4</v>
      </c>
      <c r="AA852">
        <v>0.99935549999999995</v>
      </c>
      <c r="AB852">
        <v>34</v>
      </c>
      <c r="AC852">
        <v>28.535</v>
      </c>
      <c r="AD852">
        <v>-1.154258</v>
      </c>
      <c r="AE852">
        <v>-1.1618999999999999</v>
      </c>
      <c r="AF852">
        <v>1.03064959506232</v>
      </c>
      <c r="AG852">
        <v>-1.154258</v>
      </c>
      <c r="AH852">
        <v>28.493435909586498</v>
      </c>
      <c r="AI852">
        <v>92.318246936342902</v>
      </c>
      <c r="AJ852">
        <v>87.928430311779394</v>
      </c>
      <c r="AK852">
        <v>28.535424301244898</v>
      </c>
    </row>
    <row r="853" spans="1:37" x14ac:dyDescent="0.2">
      <c r="A853" t="str">
        <f>"20200111155516554"</f>
        <v>20200111155516554</v>
      </c>
      <c r="B853" t="str">
        <f>"1578729316542854"</f>
        <v>1578729316542854</v>
      </c>
      <c r="C853" t="s">
        <v>37</v>
      </c>
      <c r="D853">
        <v>4.4291210000000003</v>
      </c>
      <c r="E853">
        <v>0.55973809999999902</v>
      </c>
      <c r="F853" t="s">
        <v>39</v>
      </c>
      <c r="G853">
        <v>-305.51650000000001</v>
      </c>
      <c r="H853">
        <v>-0.05</v>
      </c>
      <c r="I853">
        <v>366.07470000000001</v>
      </c>
      <c r="J853">
        <v>-334.90839999999997</v>
      </c>
      <c r="K853">
        <v>1.104263</v>
      </c>
      <c r="L853">
        <v>367.29239999999999</v>
      </c>
      <c r="M853">
        <v>0.99992080000000005</v>
      </c>
      <c r="N853">
        <v>0</v>
      </c>
      <c r="O853">
        <v>-4.5395139999999997E-3</v>
      </c>
      <c r="P853">
        <v>0.99326990000000004</v>
      </c>
      <c r="Q853">
        <v>6.5232949999999995E-4</v>
      </c>
      <c r="R853">
        <v>0.115823299999999</v>
      </c>
      <c r="S853">
        <v>3.0348820000000001</v>
      </c>
      <c r="T853">
        <v>-0.118464899999999</v>
      </c>
      <c r="U853">
        <v>-0.12506099999999901</v>
      </c>
      <c r="V853">
        <v>-0.12033139999999901</v>
      </c>
      <c r="W853">
        <v>1.2325279999999999E-2</v>
      </c>
      <c r="X853">
        <v>0.99265720000000002</v>
      </c>
      <c r="Y853">
        <v>3.6612159999999998E-2</v>
      </c>
      <c r="Z853">
        <v>-5.3693030000000002E-4</v>
      </c>
      <c r="AA853">
        <v>0.99932940000000003</v>
      </c>
      <c r="AB853">
        <v>34</v>
      </c>
      <c r="AC853">
        <v>29.3918999999999</v>
      </c>
      <c r="AD853">
        <v>-1.15426299999999</v>
      </c>
      <c r="AE853">
        <v>-1.21769999999997</v>
      </c>
      <c r="AF853">
        <v>1.08258656081899</v>
      </c>
      <c r="AG853">
        <v>-1.15426299999999</v>
      </c>
      <c r="AH853">
        <v>29.351934863638</v>
      </c>
      <c r="AI853">
        <v>92.250463935570295</v>
      </c>
      <c r="AJ853">
        <v>87.887718897974395</v>
      </c>
      <c r="AK853">
        <v>29.3945640718498</v>
      </c>
    </row>
    <row r="854" spans="1:37" x14ac:dyDescent="0.2">
      <c r="A854" t="str">
        <f>"20200111155516571"</f>
        <v>20200111155516571</v>
      </c>
      <c r="B854" t="str">
        <f>"1578729316563349"</f>
        <v>1578729316563349</v>
      </c>
      <c r="C854" t="s">
        <v>37</v>
      </c>
      <c r="D854">
        <v>4.5327869999999999</v>
      </c>
      <c r="E854">
        <v>0.55985379999999996</v>
      </c>
      <c r="F854" t="s">
        <v>39</v>
      </c>
      <c r="G854">
        <v>-305.25020000000001</v>
      </c>
      <c r="H854">
        <v>-0.05</v>
      </c>
      <c r="I854">
        <v>366.07619999999997</v>
      </c>
      <c r="J854">
        <v>-334.66739999999999</v>
      </c>
      <c r="K854">
        <v>1.1042719999999999</v>
      </c>
      <c r="L854">
        <v>367.29129999999998</v>
      </c>
      <c r="M854">
        <v>0.99992009999999898</v>
      </c>
      <c r="N854">
        <v>0</v>
      </c>
      <c r="O854">
        <v>-4.539202E-3</v>
      </c>
      <c r="P854">
        <v>0.9932841</v>
      </c>
      <c r="Q854">
        <v>5.1609989999999999E-4</v>
      </c>
      <c r="R854">
        <v>0.1157005</v>
      </c>
      <c r="S854">
        <v>3.0348820000000001</v>
      </c>
      <c r="T854">
        <v>-0.1181145</v>
      </c>
      <c r="U854">
        <v>-0.1244507</v>
      </c>
      <c r="V854">
        <v>-0.120208</v>
      </c>
      <c r="W854">
        <v>1.2237069999999999E-2</v>
      </c>
      <c r="X854">
        <v>0.99267329999999998</v>
      </c>
      <c r="Y854">
        <v>3.6412119999999999E-2</v>
      </c>
      <c r="Z854">
        <v>-5.31468E-4</v>
      </c>
      <c r="AA854">
        <v>0.99933669999999997</v>
      </c>
      <c r="AB854">
        <v>34</v>
      </c>
      <c r="AC854">
        <v>29.417199999999902</v>
      </c>
      <c r="AD854">
        <v>-1.154272</v>
      </c>
      <c r="AE854">
        <v>-1.2151000000000001</v>
      </c>
      <c r="AF854">
        <v>1.0798877875674899</v>
      </c>
      <c r="AG854">
        <v>-1.154272</v>
      </c>
      <c r="AH854">
        <v>29.3772600727177</v>
      </c>
      <c r="AI854">
        <v>92.248553602058607</v>
      </c>
      <c r="AJ854">
        <v>87.894794598800104</v>
      </c>
      <c r="AK854">
        <v>29.419753752603299</v>
      </c>
    </row>
    <row r="855" spans="1:37" x14ac:dyDescent="0.2">
      <c r="A855" t="str">
        <f>"20200111155516582"</f>
        <v>20200111155516582</v>
      </c>
      <c r="B855" t="str">
        <f>"1578729316573110"</f>
        <v>1578729316573110</v>
      </c>
      <c r="C855" t="s">
        <v>37</v>
      </c>
      <c r="D855">
        <v>4.4245449999999904</v>
      </c>
      <c r="E855">
        <v>0.55985309999999999</v>
      </c>
      <c r="F855" t="s">
        <v>39</v>
      </c>
      <c r="G855">
        <v>-305.06169999999997</v>
      </c>
      <c r="H855">
        <v>-0.05</v>
      </c>
      <c r="I855">
        <v>366.06240000000003</v>
      </c>
      <c r="J855">
        <v>-334.48540000000003</v>
      </c>
      <c r="K855">
        <v>1.104276</v>
      </c>
      <c r="L855">
        <v>367.29050000000001</v>
      </c>
      <c r="M855">
        <v>0.99991969999999997</v>
      </c>
      <c r="N855">
        <v>0</v>
      </c>
      <c r="O855">
        <v>-4.5391779999999996E-3</v>
      </c>
      <c r="P855">
        <v>0.99328729999999998</v>
      </c>
      <c r="Q855">
        <v>3.6759439999999998E-4</v>
      </c>
      <c r="R855">
        <v>0.1156744</v>
      </c>
      <c r="S855">
        <v>3.0350039999999998</v>
      </c>
      <c r="T855">
        <v>-0.1183293</v>
      </c>
      <c r="U855">
        <v>-0.12597659999999999</v>
      </c>
      <c r="V855">
        <v>-0.1201817</v>
      </c>
      <c r="W855">
        <v>1.212454E-2</v>
      </c>
      <c r="X855">
        <v>0.9926779</v>
      </c>
      <c r="Y855">
        <v>3.6911609999999997E-2</v>
      </c>
      <c r="Z855">
        <v>-5.4213699999999896E-4</v>
      </c>
      <c r="AA855">
        <v>0.99931840000000005</v>
      </c>
      <c r="AB855">
        <v>34</v>
      </c>
      <c r="AC855">
        <v>29.4237</v>
      </c>
      <c r="AD855">
        <v>-1.1542760000000001</v>
      </c>
      <c r="AE855">
        <v>-1.22809999999998</v>
      </c>
      <c r="AF855">
        <v>1.09283968324116</v>
      </c>
      <c r="AG855">
        <v>-1.1542760000000001</v>
      </c>
      <c r="AH855">
        <v>29.383830155117</v>
      </c>
      <c r="AI855">
        <v>92.248023264681706</v>
      </c>
      <c r="AJ855">
        <v>87.870044352103804</v>
      </c>
      <c r="AK855">
        <v>29.426792659788902</v>
      </c>
    </row>
    <row r="856" spans="1:37" x14ac:dyDescent="0.2">
      <c r="A856" t="str">
        <f>"20200111155516595"</f>
        <v>20200111155516595</v>
      </c>
      <c r="B856" t="str">
        <f>"1578729316593605"</f>
        <v>1578729316593605</v>
      </c>
      <c r="C856" t="s">
        <v>37</v>
      </c>
      <c r="D856">
        <v>4.4309240000000001</v>
      </c>
      <c r="E856">
        <v>0.5599132</v>
      </c>
      <c r="F856" t="s">
        <v>39</v>
      </c>
      <c r="G856">
        <v>-305.06130000000002</v>
      </c>
      <c r="H856">
        <v>-0.05</v>
      </c>
      <c r="I856">
        <v>366.06909999999999</v>
      </c>
      <c r="J856">
        <v>-334.28030000000001</v>
      </c>
      <c r="K856">
        <v>1.1042799999999999</v>
      </c>
      <c r="L856">
        <v>367.28960000000001</v>
      </c>
      <c r="M856">
        <v>0.99991919999999901</v>
      </c>
      <c r="N856">
        <v>0</v>
      </c>
      <c r="O856">
        <v>-4.5390680000000003E-3</v>
      </c>
      <c r="P856">
        <v>0.99327540000000003</v>
      </c>
      <c r="Q856">
        <v>2.9273050000000001E-4</v>
      </c>
      <c r="R856">
        <v>0.1157758</v>
      </c>
      <c r="S856">
        <v>3.0350039999999998</v>
      </c>
      <c r="T856">
        <v>-0.11905979999999999</v>
      </c>
      <c r="U856">
        <v>-0.12597659999999999</v>
      </c>
      <c r="V856">
        <v>-0.1202835</v>
      </c>
      <c r="W856">
        <v>1.2090689999999999E-2</v>
      </c>
      <c r="X856">
        <v>0.99266589999999999</v>
      </c>
      <c r="Y856">
        <v>3.6911409999999999E-2</v>
      </c>
      <c r="Z856">
        <v>-5.4548170000000003E-4</v>
      </c>
      <c r="AA856">
        <v>0.99931840000000005</v>
      </c>
      <c r="AB856">
        <v>34</v>
      </c>
      <c r="AC856">
        <v>29.218999999999902</v>
      </c>
      <c r="AD856">
        <v>-1.15428</v>
      </c>
      <c r="AE856">
        <v>-1.2205000000000099</v>
      </c>
      <c r="AF856">
        <v>1.0861589392306601</v>
      </c>
      <c r="AG856">
        <v>-1.15428</v>
      </c>
      <c r="AH856">
        <v>29.178782179045601</v>
      </c>
      <c r="AI856">
        <v>92.263809528027394</v>
      </c>
      <c r="AJ856">
        <v>87.868190571116202</v>
      </c>
      <c r="AK856">
        <v>29.2217972241931</v>
      </c>
    </row>
    <row r="857" spans="1:37" x14ac:dyDescent="0.2">
      <c r="A857" t="str">
        <f>"20200111155516607"</f>
        <v>20200111155516607</v>
      </c>
      <c r="B857" t="str">
        <f>"1578729316603366"</f>
        <v>1578729316603366</v>
      </c>
      <c r="C857" t="s">
        <v>37</v>
      </c>
      <c r="D857">
        <v>4.4492240000000001</v>
      </c>
      <c r="E857">
        <v>0.55987279999999995</v>
      </c>
      <c r="F857" t="s">
        <v>39</v>
      </c>
      <c r="G857">
        <v>-304.36470000000003</v>
      </c>
      <c r="H857">
        <v>-0.05</v>
      </c>
      <c r="I857">
        <v>366.04480000000001</v>
      </c>
      <c r="J857">
        <v>-334.10770000000002</v>
      </c>
      <c r="K857">
        <v>1.104287</v>
      </c>
      <c r="L857">
        <v>367.28879999999998</v>
      </c>
      <c r="M857">
        <v>0.99991890000000005</v>
      </c>
      <c r="N857">
        <v>0</v>
      </c>
      <c r="O857">
        <v>-4.5392740000000003E-3</v>
      </c>
      <c r="P857">
        <v>0.99329789999999996</v>
      </c>
      <c r="Q857">
        <v>-1.9488439999999999E-4</v>
      </c>
      <c r="R857">
        <v>0.11558350000000001</v>
      </c>
      <c r="S857">
        <v>3.0350649999999999</v>
      </c>
      <c r="T857">
        <v>-0.1171063</v>
      </c>
      <c r="U857">
        <v>-0.1262817</v>
      </c>
      <c r="V857">
        <v>-0.120091</v>
      </c>
      <c r="W857">
        <v>1.1637730000000001E-2</v>
      </c>
      <c r="X857">
        <v>0.99269470000000004</v>
      </c>
      <c r="Y857">
        <v>3.7011410000000002E-2</v>
      </c>
      <c r="Z857">
        <v>-5.384462E-4</v>
      </c>
      <c r="AA857">
        <v>0.999314699999999</v>
      </c>
      <c r="AB857">
        <v>34</v>
      </c>
      <c r="AC857">
        <v>29.742999999999899</v>
      </c>
      <c r="AD857">
        <v>-1.1542870000000001</v>
      </c>
      <c r="AE857">
        <v>-1.24399999999997</v>
      </c>
      <c r="AF857">
        <v>1.10730118579686</v>
      </c>
      <c r="AG857">
        <v>-1.1542870000000001</v>
      </c>
      <c r="AH857">
        <v>29.703681753858302</v>
      </c>
      <c r="AI857">
        <v>92.223854844461897</v>
      </c>
      <c r="AJ857">
        <v>87.865102344721507</v>
      </c>
      <c r="AK857">
        <v>29.746717535367399</v>
      </c>
    </row>
    <row r="858" spans="1:37" x14ac:dyDescent="0.2">
      <c r="A858" t="str">
        <f>"20200111155516619"</f>
        <v>20200111155516619</v>
      </c>
      <c r="B858" t="str">
        <f>"1578729316613126"</f>
        <v>1578729316613126</v>
      </c>
      <c r="C858" t="s">
        <v>37</v>
      </c>
      <c r="D858">
        <v>4.4941449999999996</v>
      </c>
      <c r="E858">
        <v>0.55990059999999997</v>
      </c>
      <c r="F858" t="s">
        <v>39</v>
      </c>
      <c r="G858">
        <v>-304.57740000000001</v>
      </c>
      <c r="H858">
        <v>-0.05</v>
      </c>
      <c r="I858">
        <v>366.06</v>
      </c>
      <c r="J858">
        <v>-333.91980000000001</v>
      </c>
      <c r="K858">
        <v>1.1042909999999999</v>
      </c>
      <c r="L858">
        <v>367.28789999999998</v>
      </c>
      <c r="M858">
        <v>0.99991839999999999</v>
      </c>
      <c r="N858">
        <v>0</v>
      </c>
      <c r="O858">
        <v>-4.5393780000000002E-3</v>
      </c>
      <c r="P858">
        <v>0.99330879999999999</v>
      </c>
      <c r="Q858" s="1">
        <v>-7.2618020000000003E-5</v>
      </c>
      <c r="R858">
        <v>0.11549</v>
      </c>
      <c r="S858">
        <v>3.0349119999999998</v>
      </c>
      <c r="T858">
        <v>-0.1186295</v>
      </c>
      <c r="U858">
        <v>-0.1262817</v>
      </c>
      <c r="V858">
        <v>-0.11999799999999999</v>
      </c>
      <c r="W858">
        <v>1.179698E-2</v>
      </c>
      <c r="X858">
        <v>0.99270400000000003</v>
      </c>
      <c r="Y858">
        <v>3.7012759999999999E-2</v>
      </c>
      <c r="Z858">
        <v>-5.454937E-4</v>
      </c>
      <c r="AA858">
        <v>0.999314699999999</v>
      </c>
      <c r="AB858">
        <v>34</v>
      </c>
      <c r="AC858">
        <v>29.342400000000001</v>
      </c>
      <c r="AD858">
        <v>-1.154291</v>
      </c>
      <c r="AE858">
        <v>-1.22789999999997</v>
      </c>
      <c r="AF858">
        <v>1.0929931211581101</v>
      </c>
      <c r="AG858">
        <v>-1.154291</v>
      </c>
      <c r="AH858">
        <v>29.302404833181399</v>
      </c>
      <c r="AI858">
        <v>92.254283789798706</v>
      </c>
      <c r="AJ858">
        <v>87.863831515598207</v>
      </c>
      <c r="AK858">
        <v>29.345492851258001</v>
      </c>
    </row>
    <row r="859" spans="1:37" x14ac:dyDescent="0.2">
      <c r="A859" t="str">
        <f>"20200111155516630"</f>
        <v>20200111155516630</v>
      </c>
      <c r="B859" t="str">
        <f>"1578729316622885"</f>
        <v>1578729316622885</v>
      </c>
      <c r="C859" t="s">
        <v>37</v>
      </c>
      <c r="D859">
        <v>4.474221</v>
      </c>
      <c r="E859">
        <v>0.55985669999999899</v>
      </c>
      <c r="F859" t="s">
        <v>39</v>
      </c>
      <c r="G859">
        <v>-304.34210000000002</v>
      </c>
      <c r="H859">
        <v>-0.05</v>
      </c>
      <c r="I859">
        <v>366.05270000000002</v>
      </c>
      <c r="J859">
        <v>-333.7432</v>
      </c>
      <c r="K859">
        <v>1.1042920000000001</v>
      </c>
      <c r="L859">
        <v>367.28710000000001</v>
      </c>
      <c r="M859">
        <v>0.99991790000000003</v>
      </c>
      <c r="N859">
        <v>0</v>
      </c>
      <c r="O859">
        <v>-4.53923E-3</v>
      </c>
      <c r="P859">
        <v>0.99332359999999897</v>
      </c>
      <c r="Q859">
        <v>-4.7415260000000002E-4</v>
      </c>
      <c r="R859">
        <v>0.115361899999999</v>
      </c>
      <c r="S859">
        <v>3.0349430000000002</v>
      </c>
      <c r="T859">
        <v>-0.1184408</v>
      </c>
      <c r="U859">
        <v>-0.1267395</v>
      </c>
      <c r="V859">
        <v>-0.1198698</v>
      </c>
      <c r="W859">
        <v>1.143079E-2</v>
      </c>
      <c r="X859">
        <v>0.99272380000000005</v>
      </c>
      <c r="Y859">
        <v>3.7162920000000002E-2</v>
      </c>
      <c r="Z859">
        <v>-5.4755319999999995E-4</v>
      </c>
      <c r="AA859">
        <v>0.99930909999999995</v>
      </c>
      <c r="AB859">
        <v>34</v>
      </c>
      <c r="AC859">
        <v>29.4010999999999</v>
      </c>
      <c r="AD859">
        <v>-1.1542920000000001</v>
      </c>
      <c r="AE859">
        <v>-1.2343999999999899</v>
      </c>
      <c r="AF859">
        <v>1.0992280179484</v>
      </c>
      <c r="AG859">
        <v>-1.1542920000000001</v>
      </c>
      <c r="AH859">
        <v>29.361224087860101</v>
      </c>
      <c r="AI859">
        <v>92.249762839164902</v>
      </c>
      <c r="AJ859">
        <v>87.855957037552898</v>
      </c>
      <c r="AK859">
        <v>29.404458372740699</v>
      </c>
    </row>
    <row r="860" spans="1:37" x14ac:dyDescent="0.2">
      <c r="A860" t="str">
        <f>"20200111155516642"</f>
        <v>20200111155516642</v>
      </c>
      <c r="B860" t="str">
        <f>"1578729316633622"</f>
        <v>1578729316633622</v>
      </c>
      <c r="C860" t="s">
        <v>37</v>
      </c>
      <c r="D860">
        <v>4.5010289999999999</v>
      </c>
      <c r="E860">
        <v>0.55981740000000002</v>
      </c>
      <c r="F860" t="s">
        <v>39</v>
      </c>
      <c r="G860">
        <v>-304.47590000000002</v>
      </c>
      <c r="H860">
        <v>-0.05</v>
      </c>
      <c r="I860">
        <v>366.06630000000001</v>
      </c>
      <c r="J860">
        <v>-333.57380000000001</v>
      </c>
      <c r="K860">
        <v>1.104298</v>
      </c>
      <c r="L860">
        <v>367.28629999999998</v>
      </c>
      <c r="M860">
        <v>0.99991739999999996</v>
      </c>
      <c r="N860">
        <v>0</v>
      </c>
      <c r="O860">
        <v>-4.5390769999999999E-3</v>
      </c>
      <c r="P860">
        <v>0.9933322</v>
      </c>
      <c r="Q860">
        <v>-8.902224E-4</v>
      </c>
      <c r="R860">
        <v>0.1152849</v>
      </c>
      <c r="S860">
        <v>3.034821</v>
      </c>
      <c r="T860">
        <v>-0.1196923</v>
      </c>
      <c r="U860">
        <v>-0.1265869</v>
      </c>
      <c r="V860">
        <v>-0.119792699999999</v>
      </c>
      <c r="W860">
        <v>1.10484E-2</v>
      </c>
      <c r="X860">
        <v>0.99273750000000005</v>
      </c>
      <c r="Y860">
        <v>3.7114090000000002E-2</v>
      </c>
      <c r="Z860">
        <v>-5.5240110000000003E-4</v>
      </c>
      <c r="AA860">
        <v>0.9993109</v>
      </c>
      <c r="AB860">
        <v>34</v>
      </c>
      <c r="AC860">
        <v>29.0978999999999</v>
      </c>
      <c r="AD860">
        <v>-1.154298</v>
      </c>
      <c r="AE860">
        <v>-1.21999999999997</v>
      </c>
      <c r="AF860">
        <v>1.0861939648319301</v>
      </c>
      <c r="AG860">
        <v>-1.154298</v>
      </c>
      <c r="AH860">
        <v>29.057491726695002</v>
      </c>
      <c r="AI860">
        <v>92.273271291433005</v>
      </c>
      <c r="AJ860">
        <v>87.859231364049606</v>
      </c>
      <c r="AK860">
        <v>29.100688078617502</v>
      </c>
    </row>
    <row r="861" spans="1:37" x14ac:dyDescent="0.2">
      <c r="A861" t="str">
        <f>"20200111155516655"</f>
        <v>20200111155516655</v>
      </c>
      <c r="B861" t="str">
        <f>"1578729316643382"</f>
        <v>1578729316643382</v>
      </c>
      <c r="C861" t="s">
        <v>37</v>
      </c>
      <c r="D861">
        <v>4.5183269999999904</v>
      </c>
      <c r="E861">
        <v>0.55974269999999904</v>
      </c>
      <c r="F861" t="s">
        <v>39</v>
      </c>
      <c r="G861">
        <v>-304.8159</v>
      </c>
      <c r="H861">
        <v>-0.05</v>
      </c>
      <c r="I861">
        <v>366.08670000000001</v>
      </c>
      <c r="J861">
        <v>-333.37790000000001</v>
      </c>
      <c r="K861">
        <v>1.1043049999999901</v>
      </c>
      <c r="L861">
        <v>367.28539999999998</v>
      </c>
      <c r="M861">
        <v>0.9999171</v>
      </c>
      <c r="N861">
        <v>0</v>
      </c>
      <c r="O861">
        <v>-4.5391999999999898E-3</v>
      </c>
      <c r="P861">
        <v>0.9933457</v>
      </c>
      <c r="Q861">
        <v>-1.218947E-3</v>
      </c>
      <c r="R861">
        <v>0.115165</v>
      </c>
      <c r="S861">
        <v>3.034729</v>
      </c>
      <c r="T861">
        <v>-0.1218095</v>
      </c>
      <c r="U861">
        <v>-0.1265869</v>
      </c>
      <c r="V861">
        <v>-0.1196728</v>
      </c>
      <c r="W861">
        <v>1.075945E-2</v>
      </c>
      <c r="X861">
        <v>0.9927551</v>
      </c>
      <c r="Y861">
        <v>3.7114319999999999E-2</v>
      </c>
      <c r="Z861">
        <v>-5.621809E-4</v>
      </c>
      <c r="AA861">
        <v>0.9993109</v>
      </c>
      <c r="AB861">
        <v>34</v>
      </c>
      <c r="AC861">
        <v>28.562000000000001</v>
      </c>
      <c r="AD861">
        <v>-1.1543049999999999</v>
      </c>
      <c r="AE861">
        <v>-1.1986999999999699</v>
      </c>
      <c r="AF861">
        <v>1.0672894749917301</v>
      </c>
      <c r="AG861">
        <v>-1.1543049999999999</v>
      </c>
      <c r="AH861">
        <v>28.520646589389202</v>
      </c>
      <c r="AI861">
        <v>92.316025496745198</v>
      </c>
      <c r="AJ861">
        <v>87.856897765200898</v>
      </c>
      <c r="AK861">
        <v>28.563942457813699</v>
      </c>
    </row>
    <row r="862" spans="1:37" x14ac:dyDescent="0.2">
      <c r="A862" t="str">
        <f>"20200111155516667"</f>
        <v>20200111155516667</v>
      </c>
      <c r="B862" t="str">
        <f>"1578729316662902"</f>
        <v>1578729316662902</v>
      </c>
      <c r="C862" t="s">
        <v>37</v>
      </c>
      <c r="D862">
        <v>4.573601</v>
      </c>
      <c r="E862">
        <v>0.55954950000000003</v>
      </c>
      <c r="F862" t="s">
        <v>39</v>
      </c>
      <c r="G862">
        <v>-305.02339999999998</v>
      </c>
      <c r="H862">
        <v>-0.05</v>
      </c>
      <c r="I862">
        <v>366.10320000000002</v>
      </c>
      <c r="J862">
        <v>-333.18869999999998</v>
      </c>
      <c r="K862">
        <v>1.1043099999999999</v>
      </c>
      <c r="L862">
        <v>367.28460000000001</v>
      </c>
      <c r="M862">
        <v>0.99991649999999999</v>
      </c>
      <c r="N862">
        <v>0</v>
      </c>
      <c r="O862">
        <v>-4.5390750000000001E-3</v>
      </c>
      <c r="P862">
        <v>0.9933594</v>
      </c>
      <c r="Q862">
        <v>-1.5965409999999999E-3</v>
      </c>
      <c r="R862">
        <v>0.11504159999999999</v>
      </c>
      <c r="S862">
        <v>3.0346069999999998</v>
      </c>
      <c r="T862">
        <v>-0.123537799999999</v>
      </c>
      <c r="U862">
        <v>-0.1265259</v>
      </c>
      <c r="V862">
        <v>-0.11954919999999999</v>
      </c>
      <c r="W862">
        <v>1.042044E-2</v>
      </c>
      <c r="X862">
        <v>0.99277359999999903</v>
      </c>
      <c r="Y862">
        <v>3.7095320000000001E-2</v>
      </c>
      <c r="Z862">
        <v>-5.6979280000000001E-4</v>
      </c>
      <c r="AA862">
        <v>0.99931159999999997</v>
      </c>
      <c r="AB862">
        <v>34</v>
      </c>
      <c r="AC862">
        <v>28.165299999999998</v>
      </c>
      <c r="AD862">
        <v>-1.1543099999999999</v>
      </c>
      <c r="AE862">
        <v>-1.18139999999999</v>
      </c>
      <c r="AF862">
        <v>1.05177056716249</v>
      </c>
      <c r="AG862">
        <v>-1.1543099999999999</v>
      </c>
      <c r="AH862">
        <v>28.123218749694001</v>
      </c>
      <c r="AI862">
        <v>92.348730566264607</v>
      </c>
      <c r="AJ862">
        <v>87.858213056632493</v>
      </c>
      <c r="AK862">
        <v>28.166541955752901</v>
      </c>
    </row>
    <row r="863" spans="1:37" x14ac:dyDescent="0.2">
      <c r="A863" t="str">
        <f>"20200111155516679"</f>
        <v>20200111155516679</v>
      </c>
      <c r="B863" t="str">
        <f>"1578729316673638"</f>
        <v>1578729316673638</v>
      </c>
      <c r="C863" t="s">
        <v>37</v>
      </c>
      <c r="D863">
        <v>4.5368269999999997</v>
      </c>
      <c r="E863">
        <v>0.55951770000000001</v>
      </c>
      <c r="F863" t="s">
        <v>39</v>
      </c>
      <c r="G863">
        <v>-305.08609999999999</v>
      </c>
      <c r="H863">
        <v>-0.05</v>
      </c>
      <c r="I863">
        <v>366.12490000000003</v>
      </c>
      <c r="J863">
        <v>-332.99930000000001</v>
      </c>
      <c r="K863">
        <v>1.104317</v>
      </c>
      <c r="L863">
        <v>367.28379999999999</v>
      </c>
      <c r="M863">
        <v>0.99991600000000003</v>
      </c>
      <c r="N863">
        <v>0</v>
      </c>
      <c r="O863">
        <v>-4.5391900000000002E-3</v>
      </c>
      <c r="P863">
        <v>0.99337549999999997</v>
      </c>
      <c r="Q863">
        <v>-2.075899E-3</v>
      </c>
      <c r="R863">
        <v>0.11489580000000001</v>
      </c>
      <c r="S863">
        <v>3.0343629999999999</v>
      </c>
      <c r="T863">
        <v>-0.12463589999999999</v>
      </c>
      <c r="U863">
        <v>-0.12521360000000001</v>
      </c>
      <c r="V863">
        <v>-0.11940389999999999</v>
      </c>
      <c r="W863">
        <v>9.9798630000000003E-3</v>
      </c>
      <c r="X863">
        <v>0.9927956</v>
      </c>
      <c r="Y863">
        <v>3.6666989999999997E-2</v>
      </c>
      <c r="Z863">
        <v>-5.6611019999999897E-4</v>
      </c>
      <c r="AA863">
        <v>0.99932739999999998</v>
      </c>
      <c r="AB863">
        <v>34</v>
      </c>
      <c r="AC863">
        <v>27.9132</v>
      </c>
      <c r="AD863">
        <v>-1.154317</v>
      </c>
      <c r="AE863">
        <v>-1.1588999999999601</v>
      </c>
      <c r="AF863">
        <v>1.0304162815512601</v>
      </c>
      <c r="AG863">
        <v>-1.154317</v>
      </c>
      <c r="AH863">
        <v>27.870592727904999</v>
      </c>
      <c r="AI863">
        <v>92.370047790624596</v>
      </c>
      <c r="AJ863">
        <v>87.882656210044601</v>
      </c>
      <c r="AK863">
        <v>27.913511861722601</v>
      </c>
    </row>
    <row r="864" spans="1:37" x14ac:dyDescent="0.2">
      <c r="A864" t="str">
        <f>"20200111155516693"</f>
        <v>20200111155516693</v>
      </c>
      <c r="B864" t="str">
        <f>"1578729316683398"</f>
        <v>1578729316683398</v>
      </c>
      <c r="C864" t="s">
        <v>37</v>
      </c>
      <c r="D864">
        <v>4.5571869999999999</v>
      </c>
      <c r="E864">
        <v>0.55944150000000004</v>
      </c>
      <c r="F864" t="s">
        <v>39</v>
      </c>
      <c r="G864">
        <v>-305.3272</v>
      </c>
      <c r="H864">
        <v>-0.05</v>
      </c>
      <c r="I864">
        <v>366.13900000000001</v>
      </c>
      <c r="J864">
        <v>-332.79239999999999</v>
      </c>
      <c r="K864">
        <v>1.1043209999999899</v>
      </c>
      <c r="L864">
        <v>367.28280000000001</v>
      </c>
      <c r="M864">
        <v>0.99991559999999902</v>
      </c>
      <c r="N864">
        <v>0</v>
      </c>
      <c r="O864">
        <v>-4.53909E-3</v>
      </c>
      <c r="P864">
        <v>0.99341520000000005</v>
      </c>
      <c r="Q864">
        <v>-2.8290030000000001E-3</v>
      </c>
      <c r="R864">
        <v>0.11453479999999901</v>
      </c>
      <c r="S864">
        <v>3.0342709999999999</v>
      </c>
      <c r="T864">
        <v>-0.1265723</v>
      </c>
      <c r="U864">
        <v>-0.12551880000000001</v>
      </c>
      <c r="V864">
        <v>-0.1190431</v>
      </c>
      <c r="W864">
        <v>9.2694070000000003E-3</v>
      </c>
      <c r="X864">
        <v>0.9928458</v>
      </c>
      <c r="Y864">
        <v>3.676774E-2</v>
      </c>
      <c r="Z864">
        <v>-5.7701789999999996E-4</v>
      </c>
      <c r="AA864">
        <v>0.99932369999999904</v>
      </c>
      <c r="AB864">
        <v>34</v>
      </c>
      <c r="AC864">
        <v>27.4651999999999</v>
      </c>
      <c r="AD864">
        <v>-1.1543209999999999</v>
      </c>
      <c r="AE864">
        <v>-1.1437999999999899</v>
      </c>
      <c r="AF864">
        <v>1.01731808856382</v>
      </c>
      <c r="AG864">
        <v>-1.1543209999999999</v>
      </c>
      <c r="AH864">
        <v>27.421755443755998</v>
      </c>
      <c r="AI864">
        <v>92.408792225217894</v>
      </c>
      <c r="AJ864">
        <v>87.875361631732702</v>
      </c>
      <c r="AK864">
        <v>27.4648878512461</v>
      </c>
    </row>
    <row r="865" spans="1:37" x14ac:dyDescent="0.2">
      <c r="A865" t="str">
        <f>"20200111155516704"</f>
        <v>20200111155516704</v>
      </c>
      <c r="B865" t="str">
        <f>"1578729316693158"</f>
        <v>1578729316693158</v>
      </c>
      <c r="C865" t="s">
        <v>37</v>
      </c>
      <c r="D865">
        <v>4.5758609999999997</v>
      </c>
      <c r="E865">
        <v>0.55938529999999997</v>
      </c>
      <c r="F865" t="s">
        <v>39</v>
      </c>
      <c r="G865">
        <v>-305.75450000000001</v>
      </c>
      <c r="H865">
        <v>-0.05</v>
      </c>
      <c r="I865">
        <v>366.16129999999998</v>
      </c>
      <c r="J865">
        <v>-332.61919999999998</v>
      </c>
      <c r="K865">
        <v>1.1043229999999999</v>
      </c>
      <c r="L865">
        <v>367.28199999999998</v>
      </c>
      <c r="M865">
        <v>0.9999152</v>
      </c>
      <c r="N865">
        <v>0</v>
      </c>
      <c r="O865">
        <v>-4.5390650000000001E-3</v>
      </c>
      <c r="P865">
        <v>0.99344920000000003</v>
      </c>
      <c r="Q865">
        <v>-2.8197700000000001E-3</v>
      </c>
      <c r="R865">
        <v>0.114241</v>
      </c>
      <c r="S865">
        <v>3.034027</v>
      </c>
      <c r="T865">
        <v>-0.1295309</v>
      </c>
      <c r="U865">
        <v>-0.12585450000000001</v>
      </c>
      <c r="V865">
        <v>-0.11874949999999999</v>
      </c>
      <c r="W865">
        <v>9.3137510000000003E-3</v>
      </c>
      <c r="X865">
        <v>0.9928806</v>
      </c>
      <c r="Y865">
        <v>3.6880019999999999E-2</v>
      </c>
      <c r="Z865">
        <v>-5.9293520000000001E-4</v>
      </c>
      <c r="AA865">
        <v>0.99931959999999997</v>
      </c>
      <c r="AB865">
        <v>34</v>
      </c>
      <c r="AC865">
        <v>26.8646999999999</v>
      </c>
      <c r="AD865">
        <v>-1.154323</v>
      </c>
      <c r="AE865">
        <v>-1.12069999999999</v>
      </c>
      <c r="AF865">
        <v>0.99690141615364702</v>
      </c>
      <c r="AG865">
        <v>-1.154323</v>
      </c>
      <c r="AH865">
        <v>26.8200799450867</v>
      </c>
      <c r="AI865">
        <v>92.462762492294999</v>
      </c>
      <c r="AJ865">
        <v>87.871297898318204</v>
      </c>
      <c r="AK865">
        <v>26.863413079552998</v>
      </c>
    </row>
    <row r="866" spans="1:37" x14ac:dyDescent="0.2">
      <c r="A866" t="str">
        <f>"20200111155516715"</f>
        <v>20200111155516715</v>
      </c>
      <c r="B866" t="str">
        <f>"1578729316713653"</f>
        <v>1578729316713653</v>
      </c>
      <c r="C866" t="s">
        <v>37</v>
      </c>
      <c r="D866">
        <v>4.5771559999999996</v>
      </c>
      <c r="E866">
        <v>0.55932939999999998</v>
      </c>
      <c r="F866" t="s">
        <v>39</v>
      </c>
      <c r="G866">
        <v>-305.6497</v>
      </c>
      <c r="H866">
        <v>-0.05</v>
      </c>
      <c r="I866">
        <v>366.15839999999997</v>
      </c>
      <c r="J866">
        <v>-332.44260000000003</v>
      </c>
      <c r="K866">
        <v>1.1043289999999999</v>
      </c>
      <c r="L866">
        <v>367.28129999999999</v>
      </c>
      <c r="M866">
        <v>0.99991479999999999</v>
      </c>
      <c r="N866">
        <v>0</v>
      </c>
      <c r="O866">
        <v>-4.5390420000000001E-3</v>
      </c>
      <c r="P866">
        <v>0.99346809999999997</v>
      </c>
      <c r="Q866">
        <v>-2.828349E-3</v>
      </c>
      <c r="R866">
        <v>0.11407639999999999</v>
      </c>
      <c r="S866">
        <v>3.0339049999999999</v>
      </c>
      <c r="T866">
        <v>-0.12985439999999901</v>
      </c>
      <c r="U866">
        <v>-0.12640380000000001</v>
      </c>
      <c r="V866">
        <v>-0.1185847</v>
      </c>
      <c r="W866">
        <v>9.3399769999999993E-3</v>
      </c>
      <c r="X866">
        <v>0.9929</v>
      </c>
      <c r="Y866">
        <v>3.7062020000000001E-2</v>
      </c>
      <c r="Z866">
        <v>-5.9832880000000002E-4</v>
      </c>
      <c r="AA866">
        <v>0.9993128</v>
      </c>
      <c r="AB866">
        <v>34</v>
      </c>
      <c r="AC866">
        <v>26.792899999999999</v>
      </c>
      <c r="AD866">
        <v>-1.1543289999999999</v>
      </c>
      <c r="AE866">
        <v>-1.12290000000001</v>
      </c>
      <c r="AF866">
        <v>0.99941338595347295</v>
      </c>
      <c r="AG866">
        <v>-1.1543289999999999</v>
      </c>
      <c r="AH866">
        <v>26.748158917833301</v>
      </c>
      <c r="AI866">
        <v>92.469371261720298</v>
      </c>
      <c r="AJ866">
        <v>87.860206213373601</v>
      </c>
      <c r="AK866">
        <v>26.791702223821598</v>
      </c>
    </row>
    <row r="867" spans="1:37" x14ac:dyDescent="0.2">
      <c r="A867" t="str">
        <f>"20200111155516727"</f>
        <v>20200111155516727</v>
      </c>
      <c r="B867" t="str">
        <f>"1578729316723419"</f>
        <v>1578729316723419</v>
      </c>
      <c r="C867" t="s">
        <v>37</v>
      </c>
      <c r="D867">
        <v>4.6617769999999998</v>
      </c>
      <c r="E867">
        <v>0.55931679999999995</v>
      </c>
      <c r="F867" t="s">
        <v>39</v>
      </c>
      <c r="G867">
        <v>-305.5847</v>
      </c>
      <c r="H867">
        <v>-0.05</v>
      </c>
      <c r="I867">
        <v>366.16379999999998</v>
      </c>
      <c r="J867">
        <v>-332.27379999999999</v>
      </c>
      <c r="K867">
        <v>1.1043319999999901</v>
      </c>
      <c r="L867">
        <v>367.28050000000002</v>
      </c>
      <c r="M867">
        <v>0.99991430000000003</v>
      </c>
      <c r="N867">
        <v>0</v>
      </c>
      <c r="O867">
        <v>-4.5390109999999999E-3</v>
      </c>
      <c r="P867">
        <v>0.9934965</v>
      </c>
      <c r="Q867">
        <v>-3.3242419999999998E-3</v>
      </c>
      <c r="R867">
        <v>0.1138151</v>
      </c>
      <c r="S867">
        <v>3.03384399999999</v>
      </c>
      <c r="T867">
        <v>-0.13039200000000001</v>
      </c>
      <c r="U867">
        <v>-0.12622069999999999</v>
      </c>
      <c r="V867">
        <v>-0.1183234</v>
      </c>
      <c r="W867">
        <v>8.8784169999999996E-3</v>
      </c>
      <c r="X867">
        <v>0.99293539999999902</v>
      </c>
      <c r="Y867">
        <v>3.7002489999999999E-2</v>
      </c>
      <c r="Z867">
        <v>-5.9953909999999999E-4</v>
      </c>
      <c r="AA867">
        <v>0.99931499999999995</v>
      </c>
      <c r="AB867">
        <v>34</v>
      </c>
      <c r="AC867">
        <v>26.6891</v>
      </c>
      <c r="AD867">
        <v>-1.1543319999999999</v>
      </c>
      <c r="AE867">
        <v>-1.11670000000003</v>
      </c>
      <c r="AF867">
        <v>0.99368165504776795</v>
      </c>
      <c r="AG867">
        <v>-1.1543319999999999</v>
      </c>
      <c r="AH867">
        <v>26.644139242385702</v>
      </c>
      <c r="AI867">
        <v>92.479012598442594</v>
      </c>
      <c r="AJ867">
        <v>87.864168536269901</v>
      </c>
      <c r="AK867">
        <v>26.687638366207</v>
      </c>
    </row>
    <row r="868" spans="1:37" x14ac:dyDescent="0.2">
      <c r="A868" t="str">
        <f>"20200111155516739"</f>
        <v>20200111155516739</v>
      </c>
      <c r="B868" t="str">
        <f>"1578729316733178"</f>
        <v>1578729316733178</v>
      </c>
      <c r="C868" t="s">
        <v>37</v>
      </c>
      <c r="D868">
        <v>4.6557490000000001</v>
      </c>
      <c r="E868">
        <v>0.559307</v>
      </c>
      <c r="F868" t="s">
        <v>39</v>
      </c>
      <c r="G868">
        <v>-305.8725</v>
      </c>
      <c r="H868">
        <v>-0.05</v>
      </c>
      <c r="I868">
        <v>366.17430000000002</v>
      </c>
      <c r="J868">
        <v>-332.0908</v>
      </c>
      <c r="K868">
        <v>1.1043369999999999</v>
      </c>
      <c r="L868">
        <v>367.27969999999999</v>
      </c>
      <c r="M868">
        <v>0.99991390000000002</v>
      </c>
      <c r="N868">
        <v>0</v>
      </c>
      <c r="O868">
        <v>-4.5388809999999998E-3</v>
      </c>
      <c r="P868">
        <v>0.99350769999999899</v>
      </c>
      <c r="Q868">
        <v>-3.2267649999999999E-3</v>
      </c>
      <c r="R868">
        <v>0.11372069999999999</v>
      </c>
      <c r="S868">
        <v>3.0337519999999998</v>
      </c>
      <c r="T868">
        <v>-0.1326437</v>
      </c>
      <c r="U868">
        <v>-0.12710569999999999</v>
      </c>
      <c r="V868">
        <v>-0.118229</v>
      </c>
      <c r="W868">
        <v>9.0124049999999994E-3</v>
      </c>
      <c r="X868">
        <v>0.99294539999999998</v>
      </c>
      <c r="Y868">
        <v>3.7293550000000002E-2</v>
      </c>
      <c r="Z868">
        <v>-6.1626029999999998E-4</v>
      </c>
      <c r="AA868">
        <v>0.99930419999999998</v>
      </c>
      <c r="AB868">
        <v>34</v>
      </c>
      <c r="AC868">
        <v>26.218299999999999</v>
      </c>
      <c r="AD868">
        <v>-1.1543369999999999</v>
      </c>
      <c r="AE868">
        <v>-1.10539999999997</v>
      </c>
      <c r="AF868">
        <v>0.98447287513774195</v>
      </c>
      <c r="AG868">
        <v>-1.1543369999999999</v>
      </c>
      <c r="AH868">
        <v>26.1724034944578</v>
      </c>
      <c r="AI868">
        <v>92.523618194387495</v>
      </c>
      <c r="AJ868">
        <v>87.845839390288702</v>
      </c>
      <c r="AK868">
        <v>26.216338139186401</v>
      </c>
    </row>
    <row r="869" spans="1:37" x14ac:dyDescent="0.2">
      <c r="A869" t="str">
        <f>"20200111155516750"</f>
        <v>20200111155516750</v>
      </c>
      <c r="B869" t="str">
        <f>"1578729316742938"</f>
        <v>1578729316742938</v>
      </c>
      <c r="C869" t="s">
        <v>37</v>
      </c>
      <c r="D869">
        <v>4.6385759999999996</v>
      </c>
      <c r="E869">
        <v>0.55928049999999996</v>
      </c>
      <c r="F869" t="s">
        <v>39</v>
      </c>
      <c r="G869">
        <v>-305.69009999999997</v>
      </c>
      <c r="H869">
        <v>-0.05</v>
      </c>
      <c r="I869">
        <v>366.17090000000002</v>
      </c>
      <c r="J869">
        <v>-331.90980000000002</v>
      </c>
      <c r="K869">
        <v>1.1043449999999999</v>
      </c>
      <c r="L869">
        <v>367.27879999999999</v>
      </c>
      <c r="M869">
        <v>0.9999133</v>
      </c>
      <c r="N869">
        <v>0</v>
      </c>
      <c r="O869">
        <v>-4.5386530000000001E-3</v>
      </c>
      <c r="P869">
        <v>0.99352410000000002</v>
      </c>
      <c r="Q869">
        <v>-3.2710980000000001E-3</v>
      </c>
      <c r="R869">
        <v>0.11357490000000001</v>
      </c>
      <c r="S869">
        <v>3.0337830000000001</v>
      </c>
      <c r="T869">
        <v>-0.13264860000000001</v>
      </c>
      <c r="U869">
        <v>-0.12741089999999999</v>
      </c>
      <c r="V869">
        <v>-0.118083199999999</v>
      </c>
      <c r="W869">
        <v>9.0081129999999999E-3</v>
      </c>
      <c r="X869">
        <v>0.99296280000000003</v>
      </c>
      <c r="Y869">
        <v>3.7393610000000001E-2</v>
      </c>
      <c r="Z869">
        <v>-6.1847110000000003E-4</v>
      </c>
      <c r="AA869">
        <v>0.99930039999999998</v>
      </c>
      <c r="AB869">
        <v>34</v>
      </c>
      <c r="AC869">
        <v>26.2197</v>
      </c>
      <c r="AD869">
        <v>-1.154345</v>
      </c>
      <c r="AE869">
        <v>-1.1078999999999699</v>
      </c>
      <c r="AF869">
        <v>0.98696776740419201</v>
      </c>
      <c r="AG869">
        <v>-1.154345</v>
      </c>
      <c r="AH869">
        <v>26.173816973976699</v>
      </c>
      <c r="AI869">
        <v>92.523490710221097</v>
      </c>
      <c r="AJ869">
        <v>87.8405019056204</v>
      </c>
      <c r="AK869">
        <v>26.217843403685102</v>
      </c>
    </row>
    <row r="870" spans="1:37" x14ac:dyDescent="0.2">
      <c r="A870" t="str">
        <f>"20200111155516761"</f>
        <v>20200111155516761</v>
      </c>
      <c r="B870" t="str">
        <f>"1578729316753675"</f>
        <v>1578729316753675</v>
      </c>
      <c r="C870" t="s">
        <v>37</v>
      </c>
      <c r="D870">
        <v>4.6525099999999897</v>
      </c>
      <c r="E870">
        <v>0.55922669999999997</v>
      </c>
      <c r="F870" t="s">
        <v>39</v>
      </c>
      <c r="G870">
        <v>-305.64240000000001</v>
      </c>
      <c r="H870">
        <v>-0.05</v>
      </c>
      <c r="I870">
        <v>366.17250000000001</v>
      </c>
      <c r="J870">
        <v>-331.75170000000003</v>
      </c>
      <c r="K870">
        <v>1.1043559999999999</v>
      </c>
      <c r="L870">
        <v>367.27809999999999</v>
      </c>
      <c r="M870">
        <v>0.99991280000000005</v>
      </c>
      <c r="N870">
        <v>0</v>
      </c>
      <c r="O870">
        <v>-4.5385169999999997E-3</v>
      </c>
      <c r="P870">
        <v>0.99355519999999997</v>
      </c>
      <c r="Q870">
        <v>-3.3115390000000001E-3</v>
      </c>
      <c r="R870">
        <v>0.1133006</v>
      </c>
      <c r="S870">
        <v>3.033722</v>
      </c>
      <c r="T870">
        <v>-0.13331960000000001</v>
      </c>
      <c r="U870">
        <v>-0.1277771</v>
      </c>
      <c r="V870">
        <v>-0.1178086</v>
      </c>
      <c r="W870">
        <v>9.0033449999999994E-3</v>
      </c>
      <c r="X870">
        <v>0.99299550000000003</v>
      </c>
      <c r="Y870">
        <v>3.7514569999999997E-2</v>
      </c>
      <c r="Z870">
        <v>-6.242687E-4</v>
      </c>
      <c r="AA870">
        <v>0.99929590000000001</v>
      </c>
      <c r="AB870">
        <v>34</v>
      </c>
      <c r="AC870">
        <v>26.109300000000001</v>
      </c>
      <c r="AD870">
        <v>-1.1543559999999999</v>
      </c>
      <c r="AE870">
        <v>-1.1055999999999799</v>
      </c>
      <c r="AF870">
        <v>0.98515971190367102</v>
      </c>
      <c r="AG870">
        <v>-1.1543559999999999</v>
      </c>
      <c r="AH870">
        <v>26.063193639833099</v>
      </c>
      <c r="AI870">
        <v>92.534203014798393</v>
      </c>
      <c r="AJ870">
        <v>87.835313846688194</v>
      </c>
      <c r="AK870">
        <v>26.107338817660601</v>
      </c>
    </row>
    <row r="871" spans="1:37" x14ac:dyDescent="0.2">
      <c r="A871" t="str">
        <f>"20200111155516772"</f>
        <v>20200111155516772</v>
      </c>
      <c r="B871" t="str">
        <f>"1578729316763434"</f>
        <v>1578729316763434</v>
      </c>
      <c r="C871" t="s">
        <v>37</v>
      </c>
      <c r="D871">
        <v>4.801914</v>
      </c>
      <c r="E871">
        <v>0.55928489999999997</v>
      </c>
      <c r="F871" t="s">
        <v>39</v>
      </c>
      <c r="G871">
        <v>-305.61919999999998</v>
      </c>
      <c r="H871">
        <v>-0.05</v>
      </c>
      <c r="I871">
        <v>366.17720000000003</v>
      </c>
      <c r="J871">
        <v>-331.57659999999998</v>
      </c>
      <c r="K871">
        <v>1.1043639999999999</v>
      </c>
      <c r="L871">
        <v>367.27730000000003</v>
      </c>
      <c r="M871">
        <v>0.99991240000000003</v>
      </c>
      <c r="N871">
        <v>0</v>
      </c>
      <c r="O871">
        <v>-4.53865E-3</v>
      </c>
      <c r="P871">
        <v>0.99353250000000004</v>
      </c>
      <c r="Q871">
        <v>-3.2633150000000001E-3</v>
      </c>
      <c r="R871">
        <v>0.11350150000000001</v>
      </c>
      <c r="S871">
        <v>3.0335999999999999</v>
      </c>
      <c r="T871">
        <v>-0.13400379999999901</v>
      </c>
      <c r="U871">
        <v>-0.12780759999999999</v>
      </c>
      <c r="V871">
        <v>-0.1180097</v>
      </c>
      <c r="W871">
        <v>9.0920319999999999E-3</v>
      </c>
      <c r="X871">
        <v>0.99297080000000004</v>
      </c>
      <c r="Y871">
        <v>3.7525820000000001E-2</v>
      </c>
      <c r="Z871">
        <v>-6.2773639999999997E-4</v>
      </c>
      <c r="AA871">
        <v>0.9992955</v>
      </c>
      <c r="AB871">
        <v>34</v>
      </c>
      <c r="AC871">
        <v>25.9574</v>
      </c>
      <c r="AD871">
        <v>-1.1543639999999999</v>
      </c>
      <c r="AE871">
        <v>-1.1000999999999901</v>
      </c>
      <c r="AF871">
        <v>0.98033266647245698</v>
      </c>
      <c r="AG871">
        <v>-1.1543639999999999</v>
      </c>
      <c r="AH871">
        <v>25.910973379744799</v>
      </c>
      <c r="AI871">
        <v>92.549085425355599</v>
      </c>
      <c r="AJ871">
        <v>87.833267578418699</v>
      </c>
      <c r="AK871">
        <v>25.955195045834198</v>
      </c>
    </row>
    <row r="872" spans="1:37" x14ac:dyDescent="0.2">
      <c r="A872" t="str">
        <f>"20200111155516784"</f>
        <v>20200111155516784</v>
      </c>
      <c r="B872" t="str">
        <f>"1578729316773195"</f>
        <v>1578729316773195</v>
      </c>
      <c r="C872" t="s">
        <v>37</v>
      </c>
      <c r="D872">
        <v>4.7703499999999996</v>
      </c>
      <c r="E872">
        <v>0.55932139999999997</v>
      </c>
      <c r="F872" t="s">
        <v>39</v>
      </c>
      <c r="G872">
        <v>-305.4171</v>
      </c>
      <c r="H872">
        <v>-0.05</v>
      </c>
      <c r="I872">
        <v>366.17529999999999</v>
      </c>
      <c r="J872">
        <v>-331.40339999999998</v>
      </c>
      <c r="K872">
        <v>1.1043719999999999</v>
      </c>
      <c r="L872">
        <v>367.27659999999997</v>
      </c>
      <c r="M872">
        <v>0.99991189999999996</v>
      </c>
      <c r="N872">
        <v>0</v>
      </c>
      <c r="O872">
        <v>-4.5385449999999997E-3</v>
      </c>
      <c r="P872">
        <v>0.99351690000000004</v>
      </c>
      <c r="Q872">
        <v>-3.146715E-3</v>
      </c>
      <c r="R872">
        <v>0.1136416</v>
      </c>
      <c r="S872">
        <v>3.033722</v>
      </c>
      <c r="T872">
        <v>-0.13387199999999999</v>
      </c>
      <c r="U872">
        <v>-0.12780759999999999</v>
      </c>
      <c r="V872">
        <v>-0.1181497</v>
      </c>
      <c r="W872">
        <v>9.2489040000000005E-3</v>
      </c>
      <c r="X872">
        <v>0.99295270000000002</v>
      </c>
      <c r="Y872">
        <v>3.7524290000000002E-2</v>
      </c>
      <c r="Z872">
        <v>-6.2706549999999995E-4</v>
      </c>
      <c r="AA872">
        <v>0.9992955</v>
      </c>
      <c r="AB872">
        <v>34</v>
      </c>
      <c r="AC872">
        <v>25.9862999999999</v>
      </c>
      <c r="AD872">
        <v>-1.154372</v>
      </c>
      <c r="AE872">
        <v>-1.10129999999998</v>
      </c>
      <c r="AF872">
        <v>0.98140630773595205</v>
      </c>
      <c r="AG872">
        <v>-1.154372</v>
      </c>
      <c r="AH872">
        <v>25.9399343815282</v>
      </c>
      <c r="AI872">
        <v>92.546260915653804</v>
      </c>
      <c r="AJ872">
        <v>87.833316296728995</v>
      </c>
      <c r="AK872">
        <v>25.984147643769901</v>
      </c>
    </row>
    <row r="873" spans="1:37" x14ac:dyDescent="0.2">
      <c r="A873" t="str">
        <f>"20200111155516795"</f>
        <v>20200111155516795</v>
      </c>
      <c r="B873" t="str">
        <f>"1578729316782955"</f>
        <v>1578729316782955</v>
      </c>
      <c r="C873" t="s">
        <v>37</v>
      </c>
      <c r="D873">
        <v>4.6684330000000003</v>
      </c>
      <c r="E873">
        <v>0.55927990000000005</v>
      </c>
      <c r="F873" t="s">
        <v>39</v>
      </c>
      <c r="G873">
        <v>-305.10059999999999</v>
      </c>
      <c r="H873">
        <v>-0.05</v>
      </c>
      <c r="I873">
        <v>366.16770000000002</v>
      </c>
      <c r="J873">
        <v>-331.22219999999999</v>
      </c>
      <c r="K873">
        <v>1.104382</v>
      </c>
      <c r="L873">
        <v>367.2758</v>
      </c>
      <c r="M873">
        <v>0.99991140000000001</v>
      </c>
      <c r="N873">
        <v>0</v>
      </c>
      <c r="O873">
        <v>-4.5384550000000003E-3</v>
      </c>
      <c r="P873">
        <v>0.99349219999999905</v>
      </c>
      <c r="Q873">
        <v>-2.7012859999999998E-3</v>
      </c>
      <c r="R873">
        <v>0.1138676</v>
      </c>
      <c r="S873">
        <v>3.0337519999999998</v>
      </c>
      <c r="T873">
        <v>-0.13314500000000001</v>
      </c>
      <c r="U873">
        <v>-0.12789919999999999</v>
      </c>
      <c r="V873">
        <v>-0.11837549999999999</v>
      </c>
      <c r="W873">
        <v>9.7362100000000004E-3</v>
      </c>
      <c r="X873">
        <v>0.99292119999999995</v>
      </c>
      <c r="Y873">
        <v>3.755439E-2</v>
      </c>
      <c r="Z873">
        <v>-6.243202E-4</v>
      </c>
      <c r="AA873">
        <v>0.99929439999999903</v>
      </c>
      <c r="AB873">
        <v>34</v>
      </c>
      <c r="AC873">
        <v>26.121600000000001</v>
      </c>
      <c r="AD873">
        <v>-1.154382</v>
      </c>
      <c r="AE873">
        <v>-1.1080999999999701</v>
      </c>
      <c r="AF873">
        <v>0.98760228594936195</v>
      </c>
      <c r="AG873">
        <v>-1.154382</v>
      </c>
      <c r="AH873">
        <v>26.075526681149501</v>
      </c>
      <c r="AI873">
        <v>92.533055697609896</v>
      </c>
      <c r="AJ873">
        <v>87.830977311989102</v>
      </c>
      <c r="AK873">
        <v>26.119744404884202</v>
      </c>
    </row>
    <row r="874" spans="1:37" x14ac:dyDescent="0.2">
      <c r="A874" t="str">
        <f>"20200111155516808"</f>
        <v>20200111155516808</v>
      </c>
      <c r="B874" t="str">
        <f>"1578729316803451"</f>
        <v>1578729316803451</v>
      </c>
      <c r="C874" t="s">
        <v>37</v>
      </c>
      <c r="D874">
        <v>4.7450299999999999</v>
      </c>
      <c r="E874">
        <v>0.559183599999999</v>
      </c>
      <c r="F874" t="s">
        <v>39</v>
      </c>
      <c r="G874">
        <v>-304.73489999999998</v>
      </c>
      <c r="H874">
        <v>-0.05</v>
      </c>
      <c r="I874">
        <v>366.1703</v>
      </c>
      <c r="J874">
        <v>-331.0421</v>
      </c>
      <c r="K874">
        <v>1.104393</v>
      </c>
      <c r="L874">
        <v>367.27499999999998</v>
      </c>
      <c r="M874">
        <v>0.99991079999999999</v>
      </c>
      <c r="N874">
        <v>0</v>
      </c>
      <c r="O874">
        <v>-4.5382640000000002E-3</v>
      </c>
      <c r="P874">
        <v>0.99349460000000001</v>
      </c>
      <c r="Q874">
        <v>-2.255983E-3</v>
      </c>
      <c r="R874">
        <v>0.1138571</v>
      </c>
      <c r="S874">
        <v>3.0338129999999999</v>
      </c>
      <c r="T874">
        <v>-0.13222100000000001</v>
      </c>
      <c r="U874">
        <v>-0.12661739999999999</v>
      </c>
      <c r="V874">
        <v>-0.1183649</v>
      </c>
      <c r="W874">
        <v>1.0226849999999999E-2</v>
      </c>
      <c r="X874">
        <v>0.99291749999999901</v>
      </c>
      <c r="Y874">
        <v>3.7133109999999997E-2</v>
      </c>
      <c r="Z874">
        <v>-6.1082119999999996E-4</v>
      </c>
      <c r="AA874">
        <v>0.99931009999999998</v>
      </c>
      <c r="AB874">
        <v>34</v>
      </c>
      <c r="AC874">
        <v>26.307200000000002</v>
      </c>
      <c r="AD874">
        <v>-1.154393</v>
      </c>
      <c r="AE874">
        <v>-1.10469999999997</v>
      </c>
      <c r="AF874">
        <v>0.98339991569477403</v>
      </c>
      <c r="AG874">
        <v>-1.154393</v>
      </c>
      <c r="AH874">
        <v>26.261463727239999</v>
      </c>
      <c r="AI874">
        <v>92.515208594020194</v>
      </c>
      <c r="AJ874">
        <v>87.855475566467604</v>
      </c>
      <c r="AK874">
        <v>26.305211949151499</v>
      </c>
    </row>
    <row r="875" spans="1:37" x14ac:dyDescent="0.2">
      <c r="A875" t="str">
        <f>"20200111155516820"</f>
        <v>20200111155516820</v>
      </c>
      <c r="B875" t="str">
        <f>"1578729316813211"</f>
        <v>1578729316813211</v>
      </c>
      <c r="C875" t="s">
        <v>37</v>
      </c>
      <c r="D875">
        <v>4.7724970000000004</v>
      </c>
      <c r="E875">
        <v>0.55920049999999999</v>
      </c>
      <c r="F875" t="s">
        <v>39</v>
      </c>
      <c r="G875">
        <v>-304.42610000000002</v>
      </c>
      <c r="H875">
        <v>-0.05</v>
      </c>
      <c r="I875">
        <v>366.17079999999999</v>
      </c>
      <c r="J875">
        <v>-330.85489999999999</v>
      </c>
      <c r="K875">
        <v>1.104403</v>
      </c>
      <c r="L875">
        <v>367.27409999999998</v>
      </c>
      <c r="M875">
        <v>0.99991019999999897</v>
      </c>
      <c r="N875">
        <v>0</v>
      </c>
      <c r="O875">
        <v>-4.5382139999999996E-3</v>
      </c>
      <c r="P875">
        <v>0.99347839999999998</v>
      </c>
      <c r="Q875">
        <v>-2.1332339999999999E-3</v>
      </c>
      <c r="R875">
        <v>0.1140012</v>
      </c>
      <c r="S875">
        <v>3.0338129999999999</v>
      </c>
      <c r="T875">
        <v>-0.13158239999999999</v>
      </c>
      <c r="U875">
        <v>-0.12585450000000001</v>
      </c>
      <c r="V875">
        <v>-0.11850869999999999</v>
      </c>
      <c r="W875">
        <v>1.03985E-2</v>
      </c>
      <c r="X875">
        <v>0.99289859999999897</v>
      </c>
      <c r="Y875">
        <v>3.6882819999999997E-2</v>
      </c>
      <c r="Z875">
        <v>-6.0245600000000002E-4</v>
      </c>
      <c r="AA875">
        <v>0.99931939999999997</v>
      </c>
      <c r="AB875">
        <v>34</v>
      </c>
      <c r="AC875">
        <v>26.428799999999899</v>
      </c>
      <c r="AD875">
        <v>-1.1544030000000001</v>
      </c>
      <c r="AE875">
        <v>-1.10329999999999</v>
      </c>
      <c r="AF875">
        <v>0.98147024208713796</v>
      </c>
      <c r="AG875">
        <v>-1.1544030000000001</v>
      </c>
      <c r="AH875">
        <v>26.383285601020699</v>
      </c>
      <c r="AI875">
        <v>92.503654301518097</v>
      </c>
      <c r="AJ875">
        <v>87.8695532976908</v>
      </c>
      <c r="AK875">
        <v>26.426760853868199</v>
      </c>
    </row>
    <row r="876" spans="1:37" x14ac:dyDescent="0.2">
      <c r="A876" t="str">
        <f>"20200111155516830"</f>
        <v>20200111155516830</v>
      </c>
      <c r="B876" t="str">
        <f>"1578729316822970"</f>
        <v>1578729316822970</v>
      </c>
      <c r="C876" t="s">
        <v>37</v>
      </c>
      <c r="D876">
        <v>4.7187659999999996</v>
      </c>
      <c r="E876">
        <v>0.55915049999999999</v>
      </c>
      <c r="F876" t="s">
        <v>39</v>
      </c>
      <c r="G876">
        <v>-304.24169999999998</v>
      </c>
      <c r="H876">
        <v>-0.05</v>
      </c>
      <c r="I876">
        <v>366.17189999999999</v>
      </c>
      <c r="J876">
        <v>-330.68090000000001</v>
      </c>
      <c r="K876">
        <v>1.1044119999999999</v>
      </c>
      <c r="L876">
        <v>367.27330000000001</v>
      </c>
      <c r="M876">
        <v>0.99990959999999995</v>
      </c>
      <c r="N876">
        <v>0</v>
      </c>
      <c r="O876">
        <v>-4.5381639999999999E-3</v>
      </c>
      <c r="P876">
        <v>0.9934809</v>
      </c>
      <c r="Q876">
        <v>-2.218551E-3</v>
      </c>
      <c r="R876">
        <v>0.1139785</v>
      </c>
      <c r="S876">
        <v>3.03384399999999</v>
      </c>
      <c r="T876">
        <v>-0.1315993</v>
      </c>
      <c r="U876">
        <v>-0.1256409</v>
      </c>
      <c r="V876">
        <v>-0.11848599999999999</v>
      </c>
      <c r="W876">
        <v>1.036131E-2</v>
      </c>
      <c r="X876">
        <v>0.9929017</v>
      </c>
      <c r="Y876">
        <v>3.6812259999999999E-2</v>
      </c>
      <c r="Z876">
        <v>-6.0100140000000002E-4</v>
      </c>
      <c r="AA876">
        <v>0.99932199999999904</v>
      </c>
      <c r="AB876">
        <v>34</v>
      </c>
      <c r="AC876">
        <v>26.4392</v>
      </c>
      <c r="AD876">
        <v>-1.154412</v>
      </c>
      <c r="AE876">
        <v>-1.1014000000000099</v>
      </c>
      <c r="AF876">
        <v>0.97952943185610097</v>
      </c>
      <c r="AG876">
        <v>-1.154412</v>
      </c>
      <c r="AH876">
        <v>26.393695385028899</v>
      </c>
      <c r="AI876">
        <v>92.502695772668503</v>
      </c>
      <c r="AJ876">
        <v>87.874600110908105</v>
      </c>
      <c r="AK876">
        <v>26.437081931471099</v>
      </c>
    </row>
    <row r="877" spans="1:37" x14ac:dyDescent="0.2">
      <c r="A877" t="str">
        <f>"20200111155516843"</f>
        <v>20200111155516843</v>
      </c>
      <c r="B877" t="str">
        <f>"1578729316833707"</f>
        <v>1578729316833707</v>
      </c>
      <c r="C877" t="s">
        <v>37</v>
      </c>
      <c r="D877">
        <v>4.7503519999999897</v>
      </c>
      <c r="E877">
        <v>0.55913389999999996</v>
      </c>
      <c r="F877" t="s">
        <v>39</v>
      </c>
      <c r="G877">
        <v>-304.25439999999998</v>
      </c>
      <c r="H877">
        <v>-0.05</v>
      </c>
      <c r="I877">
        <v>366.18369999999999</v>
      </c>
      <c r="J877">
        <v>-330.49470000000002</v>
      </c>
      <c r="K877">
        <v>1.104422</v>
      </c>
      <c r="L877">
        <v>367.27249999999998</v>
      </c>
      <c r="M877">
        <v>0.99990889999999999</v>
      </c>
      <c r="N877">
        <v>0</v>
      </c>
      <c r="O877">
        <v>-4.53802299999999E-3</v>
      </c>
      <c r="P877">
        <v>0.99350869999999902</v>
      </c>
      <c r="Q877">
        <v>-2.315512E-3</v>
      </c>
      <c r="R877">
        <v>0.11373270000000001</v>
      </c>
      <c r="S877">
        <v>3.0337830000000001</v>
      </c>
      <c r="T877">
        <v>-0.13252710000000001</v>
      </c>
      <c r="U877">
        <v>-0.1250916</v>
      </c>
      <c r="V877">
        <v>-0.11823980000000001</v>
      </c>
      <c r="W877">
        <v>1.0317440000000001E-2</v>
      </c>
      <c r="X877">
        <v>0.99293149999999997</v>
      </c>
      <c r="Y877">
        <v>3.6632339999999999E-2</v>
      </c>
      <c r="Z877">
        <v>-6.0132849999999999E-4</v>
      </c>
      <c r="AA877">
        <v>0.99932860000000001</v>
      </c>
      <c r="AB877">
        <v>34</v>
      </c>
      <c r="AC877">
        <v>26.240300000000001</v>
      </c>
      <c r="AD877">
        <v>-1.1544219999999901</v>
      </c>
      <c r="AE877">
        <v>-1.08879999999999</v>
      </c>
      <c r="AF877">
        <v>0.96783007068726801</v>
      </c>
      <c r="AG877">
        <v>-1.1544219999999901</v>
      </c>
      <c r="AH877">
        <v>26.194359302340398</v>
      </c>
      <c r="AI877">
        <v>92.521753618959707</v>
      </c>
      <c r="AJ877">
        <v>87.883996149077205</v>
      </c>
      <c r="AK877">
        <v>26.237641747304899</v>
      </c>
    </row>
    <row r="878" spans="1:37" x14ac:dyDescent="0.2">
      <c r="A878" t="str">
        <f>"20200111155516855"</f>
        <v>20200111155516855</v>
      </c>
      <c r="B878" t="str">
        <f>"1578729316853226"</f>
        <v>1578729316853226</v>
      </c>
      <c r="C878" t="s">
        <v>37</v>
      </c>
      <c r="D878">
        <v>4.7865250000000001</v>
      </c>
      <c r="E878">
        <v>0.55918869999999998</v>
      </c>
      <c r="F878" t="s">
        <v>39</v>
      </c>
      <c r="G878">
        <v>-304.22649999999999</v>
      </c>
      <c r="H878">
        <v>-0.05</v>
      </c>
      <c r="I878">
        <v>366.18699999999899</v>
      </c>
      <c r="J878">
        <v>-330.30509999999998</v>
      </c>
      <c r="K878">
        <v>1.1044320000000001</v>
      </c>
      <c r="L878">
        <v>367.27159999999998</v>
      </c>
      <c r="M878">
        <v>0.99990820000000002</v>
      </c>
      <c r="N878">
        <v>0</v>
      </c>
      <c r="O878">
        <v>-4.5380189999999999E-3</v>
      </c>
      <c r="P878">
        <v>0.99351639999999997</v>
      </c>
      <c r="Q878">
        <v>-2.5703969999999999E-3</v>
      </c>
      <c r="R878">
        <v>0.11366079999999899</v>
      </c>
      <c r="S878">
        <v>3.0336609999999999</v>
      </c>
      <c r="T878">
        <v>-0.13332149999999901</v>
      </c>
      <c r="U878">
        <v>-0.12536620000000001</v>
      </c>
      <c r="V878">
        <v>-0.1181681</v>
      </c>
      <c r="W878">
        <v>1.0117660000000001E-2</v>
      </c>
      <c r="X878">
        <v>0.99294199999999999</v>
      </c>
      <c r="Y878">
        <v>3.6723859999999997E-2</v>
      </c>
      <c r="Z878">
        <v>-6.0696209999999999E-4</v>
      </c>
      <c r="AA878">
        <v>0.99932529999999997</v>
      </c>
      <c r="AB878">
        <v>34</v>
      </c>
      <c r="AC878">
        <v>26.078599999999899</v>
      </c>
      <c r="AD878">
        <v>-1.1544319999999999</v>
      </c>
      <c r="AE878">
        <v>-1.08460000000002</v>
      </c>
      <c r="AF878">
        <v>0.96434752613976404</v>
      </c>
      <c r="AG878">
        <v>-1.1544319999999999</v>
      </c>
      <c r="AH878">
        <v>26.0323288119361</v>
      </c>
      <c r="AI878">
        <v>92.537442018244107</v>
      </c>
      <c r="AJ878">
        <v>87.878492151053194</v>
      </c>
      <c r="AK878">
        <v>26.075751624192101</v>
      </c>
    </row>
    <row r="879" spans="1:37" x14ac:dyDescent="0.2">
      <c r="A879" t="str">
        <f>"20200111155516867"</f>
        <v>20200111155516867</v>
      </c>
      <c r="B879" t="str">
        <f>"1578729316862987"</f>
        <v>1578729316862987</v>
      </c>
      <c r="C879" t="s">
        <v>37</v>
      </c>
      <c r="D879">
        <v>4.7417669999999896</v>
      </c>
      <c r="E879">
        <v>0.55916980000000005</v>
      </c>
      <c r="F879" t="s">
        <v>39</v>
      </c>
      <c r="G879">
        <v>-304.26870000000002</v>
      </c>
      <c r="H879">
        <v>-0.05</v>
      </c>
      <c r="I879">
        <v>366.18759999999997</v>
      </c>
      <c r="J879">
        <v>-330.13529999999997</v>
      </c>
      <c r="K879">
        <v>1.104444</v>
      </c>
      <c r="L879">
        <v>367.27089999999998</v>
      </c>
      <c r="M879">
        <v>0.99990759999999901</v>
      </c>
      <c r="N879">
        <v>0</v>
      </c>
      <c r="O879">
        <v>-4.537999E-3</v>
      </c>
      <c r="P879">
        <v>0.99351690000000004</v>
      </c>
      <c r="Q879">
        <v>-2.780144E-3</v>
      </c>
      <c r="R879">
        <v>0.11365169999999999</v>
      </c>
      <c r="S879">
        <v>3.0336910000000001</v>
      </c>
      <c r="T879">
        <v>-0.134511299999999</v>
      </c>
      <c r="U879">
        <v>-0.12631229999999999</v>
      </c>
      <c r="V879">
        <v>-0.11815929999999999</v>
      </c>
      <c r="W879">
        <v>9.9607889999999994E-3</v>
      </c>
      <c r="X879">
        <v>0.99294470000000001</v>
      </c>
      <c r="Y879">
        <v>3.7033699999999899E-2</v>
      </c>
      <c r="Z879">
        <v>-6.1922680000000001E-4</v>
      </c>
      <c r="AA879">
        <v>0.99931380000000003</v>
      </c>
      <c r="AB879">
        <v>34</v>
      </c>
      <c r="AC879">
        <v>25.866599999999899</v>
      </c>
      <c r="AD879">
        <v>-1.154444</v>
      </c>
      <c r="AE879">
        <v>-1.0832999999999999</v>
      </c>
      <c r="AF879">
        <v>0.96397981327237203</v>
      </c>
      <c r="AG879">
        <v>-1.154444</v>
      </c>
      <c r="AH879">
        <v>25.819909460593099</v>
      </c>
      <c r="AI879">
        <v>92.558288820845803</v>
      </c>
      <c r="AJ879">
        <v>87.861869575868496</v>
      </c>
      <c r="AK879">
        <v>25.863675736112199</v>
      </c>
    </row>
    <row r="880" spans="1:37" x14ac:dyDescent="0.2">
      <c r="A880" t="str">
        <f>"20200111155516879"</f>
        <v>20200111155516879</v>
      </c>
      <c r="B880" t="str">
        <f>"1578729316873723"</f>
        <v>1578729316873723</v>
      </c>
      <c r="C880" t="s">
        <v>37</v>
      </c>
      <c r="D880">
        <v>4.782794</v>
      </c>
      <c r="E880">
        <v>0.55913380000000001</v>
      </c>
      <c r="F880" t="s">
        <v>39</v>
      </c>
      <c r="G880">
        <v>-304.2371</v>
      </c>
      <c r="H880">
        <v>-0.05</v>
      </c>
      <c r="I880">
        <v>366.19279999999998</v>
      </c>
      <c r="J880">
        <v>-329.9511</v>
      </c>
      <c r="K880">
        <v>1.1044510000000001</v>
      </c>
      <c r="L880">
        <v>367.27</v>
      </c>
      <c r="M880">
        <v>0.99990679999999998</v>
      </c>
      <c r="N880">
        <v>0</v>
      </c>
      <c r="O880">
        <v>-4.5380200000000002E-3</v>
      </c>
      <c r="P880">
        <v>0.99354120000000001</v>
      </c>
      <c r="Q880">
        <v>-2.8247189999999998E-3</v>
      </c>
      <c r="R880">
        <v>0.113437699999999</v>
      </c>
      <c r="S880">
        <v>3.0336910000000001</v>
      </c>
      <c r="T880">
        <v>-0.13523080000000001</v>
      </c>
      <c r="U880">
        <v>-0.1262817</v>
      </c>
      <c r="V880">
        <v>-0.1179458</v>
      </c>
      <c r="W880">
        <v>9.9750940000000003E-3</v>
      </c>
      <c r="X880">
        <v>0.99296989999999996</v>
      </c>
      <c r="Y880">
        <v>3.7023309999999997E-2</v>
      </c>
      <c r="Z880">
        <v>-6.2230369999999996E-4</v>
      </c>
      <c r="AA880">
        <v>0.99931419999999904</v>
      </c>
      <c r="AB880">
        <v>34</v>
      </c>
      <c r="AC880">
        <v>25.713999999999999</v>
      </c>
      <c r="AD880">
        <v>-1.1544509999999999</v>
      </c>
      <c r="AE880">
        <v>-1.0771999999999999</v>
      </c>
      <c r="AF880">
        <v>0.95855986400257798</v>
      </c>
      <c r="AG880">
        <v>-1.1544509999999999</v>
      </c>
      <c r="AH880">
        <v>25.6669793316245</v>
      </c>
      <c r="AI880">
        <v>92.573525799692703</v>
      </c>
      <c r="AJ880">
        <v>87.861223878348198</v>
      </c>
      <c r="AK880">
        <v>25.710803607322699</v>
      </c>
    </row>
    <row r="881" spans="1:37" x14ac:dyDescent="0.2">
      <c r="A881" t="str">
        <f>"20200111155516894"</f>
        <v>20200111155516894</v>
      </c>
      <c r="B881" t="str">
        <f>"1578729316883482"</f>
        <v>1578729316883482</v>
      </c>
      <c r="C881" t="s">
        <v>37</v>
      </c>
      <c r="D881">
        <v>4.9196150000000003</v>
      </c>
      <c r="E881">
        <v>0.55910340000000003</v>
      </c>
      <c r="F881" t="s">
        <v>39</v>
      </c>
      <c r="G881">
        <v>-304.1207</v>
      </c>
      <c r="H881">
        <v>-0.05</v>
      </c>
      <c r="I881">
        <v>366.19</v>
      </c>
      <c r="J881">
        <v>-329.71719999999999</v>
      </c>
      <c r="K881">
        <v>1.1044659999999999</v>
      </c>
      <c r="L881">
        <v>367.26889999999997</v>
      </c>
      <c r="M881">
        <v>0.99990559999999995</v>
      </c>
      <c r="N881">
        <v>0</v>
      </c>
      <c r="O881">
        <v>-4.5377530000000003E-3</v>
      </c>
      <c r="P881">
        <v>0.99358380000000002</v>
      </c>
      <c r="Q881">
        <v>-3.2472349999999998E-3</v>
      </c>
      <c r="R881">
        <v>0.11305270000000001</v>
      </c>
      <c r="S881">
        <v>3.0335999999999999</v>
      </c>
      <c r="T881">
        <v>-0.13558199999999901</v>
      </c>
      <c r="U881">
        <v>-0.1268311</v>
      </c>
      <c r="V881">
        <v>-0.117560699999999</v>
      </c>
      <c r="W881">
        <v>9.6398930000000001E-3</v>
      </c>
      <c r="X881">
        <v>0.99301890000000004</v>
      </c>
      <c r="Y881">
        <v>3.720511E-2</v>
      </c>
      <c r="Z881">
        <v>-6.2800509999999998E-4</v>
      </c>
      <c r="AA881">
        <v>0.99930750000000002</v>
      </c>
      <c r="AB881">
        <v>34</v>
      </c>
      <c r="AC881">
        <v>25.596499999999899</v>
      </c>
      <c r="AD881">
        <v>-1.154466</v>
      </c>
      <c r="AE881">
        <v>-1.07889999999997</v>
      </c>
      <c r="AF881">
        <v>0.96077754488282496</v>
      </c>
      <c r="AG881">
        <v>-1.154466</v>
      </c>
      <c r="AH881">
        <v>25.5492516086425</v>
      </c>
      <c r="AI881">
        <v>92.585376760672304</v>
      </c>
      <c r="AJ881">
        <v>87.8464116040156</v>
      </c>
      <c r="AK881">
        <v>25.593361307136401</v>
      </c>
    </row>
    <row r="882" spans="1:37" x14ac:dyDescent="0.2">
      <c r="A882" t="str">
        <f>"20200111155516905"</f>
        <v>20200111155516905</v>
      </c>
      <c r="B882" t="str">
        <f>"1578729316903979"</f>
        <v>1578729316903979</v>
      </c>
      <c r="C882" t="s">
        <v>37</v>
      </c>
      <c r="D882">
        <v>4.907381</v>
      </c>
      <c r="E882">
        <v>0.55896559999999995</v>
      </c>
      <c r="F882" t="s">
        <v>39</v>
      </c>
      <c r="G882">
        <v>-303.9502</v>
      </c>
      <c r="H882">
        <v>-0.05</v>
      </c>
      <c r="I882">
        <v>366.18639999999999</v>
      </c>
      <c r="J882">
        <v>-329.54579999999999</v>
      </c>
      <c r="K882">
        <v>1.1044769999999999</v>
      </c>
      <c r="L882">
        <v>367.26819999999998</v>
      </c>
      <c r="M882">
        <v>0.99990469999999898</v>
      </c>
      <c r="N882">
        <v>0</v>
      </c>
      <c r="O882">
        <v>-4.53772799999999E-3</v>
      </c>
      <c r="P882">
        <v>0.99359799999999998</v>
      </c>
      <c r="Q882">
        <v>-3.5172269999999999E-3</v>
      </c>
      <c r="R882">
        <v>0.11291959999999999</v>
      </c>
      <c r="S882">
        <v>3.0334469999999998</v>
      </c>
      <c r="T882">
        <v>-0.13591059999999999</v>
      </c>
      <c r="U882">
        <v>-0.12744140000000001</v>
      </c>
      <c r="V882">
        <v>-0.117427399999999</v>
      </c>
      <c r="W882">
        <v>9.4396319999999999E-3</v>
      </c>
      <c r="X882">
        <v>0.99303660000000005</v>
      </c>
      <c r="Y882">
        <v>3.7407599999999999E-2</v>
      </c>
      <c r="Z882">
        <v>-6.340877E-4</v>
      </c>
      <c r="AA882">
        <v>0.99929990000000002</v>
      </c>
      <c r="AB882">
        <v>34</v>
      </c>
      <c r="AC882">
        <v>25.595599999999902</v>
      </c>
      <c r="AD882">
        <v>-1.154477</v>
      </c>
      <c r="AE882">
        <v>-1.0817999999999801</v>
      </c>
      <c r="AF882">
        <v>0.96367609297302104</v>
      </c>
      <c r="AG882">
        <v>-1.154477</v>
      </c>
      <c r="AH882">
        <v>25.548362428570101</v>
      </c>
      <c r="AI882">
        <v>92.585480076926302</v>
      </c>
      <c r="AJ882">
        <v>87.839845529399696</v>
      </c>
      <c r="AK882">
        <v>25.592583135300501</v>
      </c>
    </row>
    <row r="883" spans="1:37" x14ac:dyDescent="0.2">
      <c r="A883" t="str">
        <f>"20200111155516916"</f>
        <v>20200111155516916</v>
      </c>
      <c r="B883" t="str">
        <f>"1578729316913739"</f>
        <v>1578729316913739</v>
      </c>
      <c r="C883" t="s">
        <v>37</v>
      </c>
      <c r="D883">
        <v>4.7548579999999996</v>
      </c>
      <c r="E883">
        <v>0.55893019999999904</v>
      </c>
      <c r="F883" t="s">
        <v>39</v>
      </c>
      <c r="G883">
        <v>-303.9556</v>
      </c>
      <c r="H883">
        <v>-0.05</v>
      </c>
      <c r="I883">
        <v>366.19729999999998</v>
      </c>
      <c r="J883">
        <v>-329.37670000000003</v>
      </c>
      <c r="K883">
        <v>1.10449</v>
      </c>
      <c r="L883">
        <v>367.26740000000001</v>
      </c>
      <c r="M883">
        <v>0.99990389999999996</v>
      </c>
      <c r="N883">
        <v>0</v>
      </c>
      <c r="O883">
        <v>-4.5377159999999998E-3</v>
      </c>
      <c r="P883">
        <v>0.9936043</v>
      </c>
      <c r="Q883">
        <v>-3.7843619999999999E-3</v>
      </c>
      <c r="R883">
        <v>0.112856</v>
      </c>
      <c r="S883">
        <v>3.0332029999999999</v>
      </c>
      <c r="T883">
        <v>-0.13683979999999901</v>
      </c>
      <c r="U883">
        <v>-0.1269226</v>
      </c>
      <c r="V883">
        <v>-0.117363699999999</v>
      </c>
      <c r="W883">
        <v>9.2431819999999904E-3</v>
      </c>
      <c r="X883">
        <v>0.99304599999999899</v>
      </c>
      <c r="Y883">
        <v>3.724007E-2</v>
      </c>
      <c r="Z883">
        <v>-6.3469669999999896E-4</v>
      </c>
      <c r="AA883">
        <v>0.99930609999999997</v>
      </c>
      <c r="AB883">
        <v>34</v>
      </c>
      <c r="AC883">
        <v>25.421099999999999</v>
      </c>
      <c r="AD883">
        <v>-1.15449</v>
      </c>
      <c r="AE883">
        <v>-1.07010000000002</v>
      </c>
      <c r="AF883">
        <v>0.95276376106860605</v>
      </c>
      <c r="AG883">
        <v>-1.15449</v>
      </c>
      <c r="AH883">
        <v>25.3734545526498</v>
      </c>
      <c r="AI883">
        <v>92.603324126492595</v>
      </c>
      <c r="AJ883">
        <v>87.849575136678496</v>
      </c>
      <c r="AK883">
        <v>25.4175687641421</v>
      </c>
    </row>
    <row r="884" spans="1:37" x14ac:dyDescent="0.2">
      <c r="A884" t="str">
        <f>"20200111155516929"</f>
        <v>20200111155516929</v>
      </c>
      <c r="B884" t="str">
        <f>"1578729316923499"</f>
        <v>1578729316923499</v>
      </c>
      <c r="C884" t="s">
        <v>37</v>
      </c>
      <c r="D884">
        <v>4.7712629999999896</v>
      </c>
      <c r="E884">
        <v>0.55892089999999905</v>
      </c>
      <c r="F884" t="s">
        <v>39</v>
      </c>
      <c r="G884">
        <v>-304.0077</v>
      </c>
      <c r="H884">
        <v>-0.05</v>
      </c>
      <c r="I884">
        <v>366.20589999999999</v>
      </c>
      <c r="J884">
        <v>-329.19900000000001</v>
      </c>
      <c r="K884">
        <v>1.104498</v>
      </c>
      <c r="L884">
        <v>367.26659999999998</v>
      </c>
      <c r="M884">
        <v>0.99990279999999998</v>
      </c>
      <c r="N884">
        <v>0</v>
      </c>
      <c r="O884">
        <v>-4.5377489999999998E-3</v>
      </c>
      <c r="P884">
        <v>0.99357600000000001</v>
      </c>
      <c r="Q884">
        <v>-3.8958539999999998E-3</v>
      </c>
      <c r="R884">
        <v>0.1131009</v>
      </c>
      <c r="S884">
        <v>3.0332340000000002</v>
      </c>
      <c r="T884">
        <v>-0.13803599999999999</v>
      </c>
      <c r="U884">
        <v>-0.1269226</v>
      </c>
      <c r="V884">
        <v>-0.11760799999999901</v>
      </c>
      <c r="W884">
        <v>9.2083749999999995E-3</v>
      </c>
      <c r="X884">
        <v>0.99301740000000005</v>
      </c>
      <c r="Y884">
        <v>3.7239029999999999E-2</v>
      </c>
      <c r="Z884">
        <v>-6.4020760000000005E-4</v>
      </c>
      <c r="AA884">
        <v>0.99930620000000003</v>
      </c>
      <c r="AB884">
        <v>34</v>
      </c>
      <c r="AC884">
        <v>25.191299999999998</v>
      </c>
      <c r="AD884">
        <v>-1.154498</v>
      </c>
      <c r="AE884">
        <v>-1.06069999999999</v>
      </c>
      <c r="AF884">
        <v>0.94438734208444097</v>
      </c>
      <c r="AG884">
        <v>-1.154498</v>
      </c>
      <c r="AH884">
        <v>25.143139055310101</v>
      </c>
      <c r="AI884">
        <v>92.627154881801502</v>
      </c>
      <c r="AJ884">
        <v>87.848956539754198</v>
      </c>
      <c r="AK884">
        <v>25.1873415556019</v>
      </c>
    </row>
    <row r="885" spans="1:37" x14ac:dyDescent="0.2">
      <c r="A885" t="str">
        <f>"20200111155516942"</f>
        <v>20200111155516942</v>
      </c>
      <c r="B885" t="str">
        <f>"1578729316933258"</f>
        <v>1578729316933258</v>
      </c>
      <c r="C885" t="s">
        <v>37</v>
      </c>
      <c r="D885">
        <v>4.7912339999999896</v>
      </c>
      <c r="E885">
        <v>0.55890269999999898</v>
      </c>
      <c r="F885" t="s">
        <v>39</v>
      </c>
      <c r="G885">
        <v>-303.945999999999</v>
      </c>
      <c r="H885">
        <v>-0.05</v>
      </c>
      <c r="I885">
        <v>366.21980000000002</v>
      </c>
      <c r="J885">
        <v>-329.01240000000001</v>
      </c>
      <c r="K885">
        <v>1.1045100000000001</v>
      </c>
      <c r="L885">
        <v>367.26569999999998</v>
      </c>
      <c r="M885">
        <v>0.999901499999999</v>
      </c>
      <c r="N885">
        <v>0</v>
      </c>
      <c r="O885">
        <v>-4.5374539999999998E-3</v>
      </c>
      <c r="P885">
        <v>0.99358219999999997</v>
      </c>
      <c r="Q885">
        <v>-3.8958349999999998E-3</v>
      </c>
      <c r="R885">
        <v>0.11304449999999901</v>
      </c>
      <c r="S885">
        <v>3.0331730000000001</v>
      </c>
      <c r="T885">
        <v>-0.1386684</v>
      </c>
      <c r="U885">
        <v>-0.12573239999999999</v>
      </c>
      <c r="V885">
        <v>-0.11755209999999899</v>
      </c>
      <c r="W885">
        <v>9.2894329999999997E-3</v>
      </c>
      <c r="X885">
        <v>0.99302330000000005</v>
      </c>
      <c r="Y885">
        <v>3.6848810000000003E-2</v>
      </c>
      <c r="Z885">
        <v>-6.342575E-4</v>
      </c>
      <c r="AA885">
        <v>0.9993206</v>
      </c>
      <c r="AB885">
        <v>34</v>
      </c>
      <c r="AC885">
        <v>25.066400000000002</v>
      </c>
      <c r="AD885">
        <v>-1.1545099999999999</v>
      </c>
      <c r="AE885">
        <v>-1.0458999999999601</v>
      </c>
      <c r="AF885">
        <v>0.93017177466019196</v>
      </c>
      <c r="AG885">
        <v>-1.1545099999999999</v>
      </c>
      <c r="AH885">
        <v>25.017908656676799</v>
      </c>
      <c r="AI885">
        <v>92.640351698586102</v>
      </c>
      <c r="AJ885">
        <v>87.870710129105603</v>
      </c>
      <c r="AK885">
        <v>25.0618009413589</v>
      </c>
    </row>
    <row r="886" spans="1:37" x14ac:dyDescent="0.2">
      <c r="A886" t="str">
        <f>"20200111155516953"</f>
        <v>20200111155516953</v>
      </c>
      <c r="B886" t="str">
        <f>"1578729316943995"</f>
        <v>1578729316943995</v>
      </c>
      <c r="C886" t="s">
        <v>37</v>
      </c>
      <c r="D886">
        <v>4.7850359999999998</v>
      </c>
      <c r="E886">
        <v>0.55886809999999998</v>
      </c>
      <c r="F886" t="s">
        <v>39</v>
      </c>
      <c r="G886">
        <v>-303.7903</v>
      </c>
      <c r="H886">
        <v>-0.05</v>
      </c>
      <c r="I886">
        <v>366.21690000000001</v>
      </c>
      <c r="J886">
        <v>-328.8177</v>
      </c>
      <c r="K886">
        <v>1.104522</v>
      </c>
      <c r="L886">
        <v>367.26490000000001</v>
      </c>
      <c r="M886">
        <v>0.99990049999999997</v>
      </c>
      <c r="N886">
        <v>0</v>
      </c>
      <c r="O886">
        <v>-4.5374159999999998E-3</v>
      </c>
      <c r="P886">
        <v>0.99354949999999997</v>
      </c>
      <c r="Q886">
        <v>-4.0439880000000001E-3</v>
      </c>
      <c r="R886">
        <v>0.1133275</v>
      </c>
      <c r="S886">
        <v>3.0331419999999998</v>
      </c>
      <c r="T886">
        <v>-0.1388384</v>
      </c>
      <c r="U886">
        <v>-0.1261292</v>
      </c>
      <c r="V886">
        <v>-0.117834799999999</v>
      </c>
      <c r="W886">
        <v>9.2245859999999999E-3</v>
      </c>
      <c r="X886">
        <v>0.99299040000000005</v>
      </c>
      <c r="Y886">
        <v>3.6979520000000002E-2</v>
      </c>
      <c r="Z886">
        <v>-6.3802919999999999E-4</v>
      </c>
      <c r="AA886">
        <v>0.99931579999999998</v>
      </c>
      <c r="AB886">
        <v>34</v>
      </c>
      <c r="AC886">
        <v>25.0274</v>
      </c>
      <c r="AD886">
        <v>-1.1545219999999901</v>
      </c>
      <c r="AE886">
        <v>-1.048</v>
      </c>
      <c r="AF886">
        <v>0.93243859137655105</v>
      </c>
      <c r="AG886">
        <v>-1.1545219999999901</v>
      </c>
      <c r="AH886">
        <v>24.978835870391201</v>
      </c>
      <c r="AI886">
        <v>92.644488790894698</v>
      </c>
      <c r="AJ886">
        <v>87.862190145728604</v>
      </c>
      <c r="AK886">
        <v>25.022881612938001</v>
      </c>
    </row>
    <row r="887" spans="1:37" x14ac:dyDescent="0.2">
      <c r="A887" t="str">
        <f>"20200111155516965"</f>
        <v>20200111155516965</v>
      </c>
      <c r="B887" t="str">
        <f>"1578729316953755"</f>
        <v>1578729316953755</v>
      </c>
      <c r="C887" t="s">
        <v>37</v>
      </c>
      <c r="D887">
        <v>4.7945549999999999</v>
      </c>
      <c r="E887">
        <v>0.55884940000000005</v>
      </c>
      <c r="F887" t="s">
        <v>39</v>
      </c>
      <c r="G887">
        <v>-303.65120000000002</v>
      </c>
      <c r="H887">
        <v>-0.05</v>
      </c>
      <c r="I887">
        <v>366.22800000000001</v>
      </c>
      <c r="J887">
        <v>-328.64729999999997</v>
      </c>
      <c r="K887">
        <v>1.10453</v>
      </c>
      <c r="L887">
        <v>367.26409999999998</v>
      </c>
      <c r="M887">
        <v>0.99989950000000005</v>
      </c>
      <c r="N887">
        <v>0</v>
      </c>
      <c r="O887">
        <v>-4.53729299999999E-3</v>
      </c>
      <c r="P887">
        <v>0.99353559999999996</v>
      </c>
      <c r="Q887">
        <v>-4.1677110000000002E-3</v>
      </c>
      <c r="R887">
        <v>0.113444499999999</v>
      </c>
      <c r="S887">
        <v>3.0331419999999998</v>
      </c>
      <c r="T887">
        <v>-0.1391463</v>
      </c>
      <c r="U887">
        <v>-0.1249695</v>
      </c>
      <c r="V887">
        <v>-0.117951399999999</v>
      </c>
      <c r="W887">
        <v>9.1707059999999903E-3</v>
      </c>
      <c r="X887">
        <v>0.992977</v>
      </c>
      <c r="Y887">
        <v>3.6598470000000001E-2</v>
      </c>
      <c r="Z887">
        <v>-6.3072089999999996E-4</v>
      </c>
      <c r="AA887">
        <v>0.99932989999999999</v>
      </c>
      <c r="AB887">
        <v>34</v>
      </c>
      <c r="AC887">
        <v>24.996099999999899</v>
      </c>
      <c r="AD887">
        <v>-1.1545299999999901</v>
      </c>
      <c r="AE887">
        <v>-1.03609999999997</v>
      </c>
      <c r="AF887">
        <v>0.92070364037841701</v>
      </c>
      <c r="AG887">
        <v>-1.1545299999999901</v>
      </c>
      <c r="AH887">
        <v>24.947413420802398</v>
      </c>
      <c r="AI887">
        <v>92.647874726890706</v>
      </c>
      <c r="AJ887">
        <v>87.886414066339995</v>
      </c>
      <c r="AK887">
        <v>24.991079830666301</v>
      </c>
    </row>
    <row r="888" spans="1:37" x14ac:dyDescent="0.2">
      <c r="A888" t="str">
        <f>"20200111155516978"</f>
        <v>20200111155516978</v>
      </c>
      <c r="B888" t="str">
        <f>"1578729316973274"</f>
        <v>1578729316973274</v>
      </c>
      <c r="C888" t="s">
        <v>37</v>
      </c>
      <c r="D888">
        <v>4.7933260000000004</v>
      </c>
      <c r="E888">
        <v>0.55884149999999999</v>
      </c>
      <c r="F888" t="s">
        <v>39</v>
      </c>
      <c r="G888">
        <v>-303.58150000000001</v>
      </c>
      <c r="H888">
        <v>-0.05</v>
      </c>
      <c r="I888">
        <v>366.2346</v>
      </c>
      <c r="J888">
        <v>-328.4495</v>
      </c>
      <c r="K888">
        <v>1.1045389999999999</v>
      </c>
      <c r="L888">
        <v>367.26319999999998</v>
      </c>
      <c r="M888">
        <v>0.99989859999999897</v>
      </c>
      <c r="N888">
        <v>0</v>
      </c>
      <c r="O888">
        <v>-4.5372370000000004E-3</v>
      </c>
      <c r="P888">
        <v>0.99352229999999997</v>
      </c>
      <c r="Q888">
        <v>-4.2594009999999899E-3</v>
      </c>
      <c r="R888">
        <v>0.1135596</v>
      </c>
      <c r="S888">
        <v>3.0331730000000001</v>
      </c>
      <c r="T888">
        <v>-0.13970769999999999</v>
      </c>
      <c r="U888">
        <v>-0.1245728</v>
      </c>
      <c r="V888">
        <v>-0.118066899999999</v>
      </c>
      <c r="W888">
        <v>9.1583099999999994E-3</v>
      </c>
      <c r="X888">
        <v>0.99296340000000005</v>
      </c>
      <c r="Y888">
        <v>3.6467479999999997E-2</v>
      </c>
      <c r="Z888">
        <v>-6.3024700000000001E-4</v>
      </c>
      <c r="AA888">
        <v>0.99933459999999996</v>
      </c>
      <c r="AB888">
        <v>34</v>
      </c>
      <c r="AC888">
        <v>24.867999999999899</v>
      </c>
      <c r="AD888">
        <v>-1.154539</v>
      </c>
      <c r="AE888">
        <v>-1.02859999999998</v>
      </c>
      <c r="AF888">
        <v>0.91378088611959296</v>
      </c>
      <c r="AG888">
        <v>-1.154539</v>
      </c>
      <c r="AH888">
        <v>24.819006947188001</v>
      </c>
      <c r="AI888">
        <v>92.661583754680194</v>
      </c>
      <c r="AJ888">
        <v>87.891448656417893</v>
      </c>
      <c r="AK888">
        <v>24.862643899129601</v>
      </c>
    </row>
    <row r="889" spans="1:37" x14ac:dyDescent="0.2">
      <c r="A889" t="str">
        <f>"20200111155516990"</f>
        <v>20200111155516990</v>
      </c>
      <c r="B889" t="str">
        <f>"1578729316984011"</f>
        <v>1578729316984011</v>
      </c>
      <c r="C889" t="s">
        <v>37</v>
      </c>
      <c r="D889">
        <v>4.8008800000000003</v>
      </c>
      <c r="E889">
        <v>0.55883139999999998</v>
      </c>
      <c r="F889" t="s">
        <v>39</v>
      </c>
      <c r="G889">
        <v>-303.46039999999999</v>
      </c>
      <c r="H889">
        <v>-0.05</v>
      </c>
      <c r="I889">
        <v>366.24009999999998</v>
      </c>
      <c r="J889">
        <v>-328.26929999999999</v>
      </c>
      <c r="K889">
        <v>1.1045469999999999</v>
      </c>
      <c r="L889">
        <v>367.26240000000001</v>
      </c>
      <c r="M889">
        <v>0.99989760000000005</v>
      </c>
      <c r="N889">
        <v>0</v>
      </c>
      <c r="O889">
        <v>-4.5370949999999997E-3</v>
      </c>
      <c r="P889">
        <v>0.99351350000000005</v>
      </c>
      <c r="Q889">
        <v>-4.4633429999999998E-3</v>
      </c>
      <c r="R889">
        <v>0.113626399999999</v>
      </c>
      <c r="S889">
        <v>3.0331419999999998</v>
      </c>
      <c r="T889">
        <v>-0.14013599999999901</v>
      </c>
      <c r="U889">
        <v>-0.12417599999999999</v>
      </c>
      <c r="V889">
        <v>-0.1181329</v>
      </c>
      <c r="W889">
        <v>9.0209859999999999E-3</v>
      </c>
      <c r="X889">
        <v>0.99295679999999997</v>
      </c>
      <c r="Y889">
        <v>3.6337479999999998E-2</v>
      </c>
      <c r="Z889">
        <v>-6.2919099999999997E-4</v>
      </c>
      <c r="AA889">
        <v>0.99933939999999999</v>
      </c>
      <c r="AB889">
        <v>34</v>
      </c>
      <c r="AC889">
        <v>24.808899999999898</v>
      </c>
      <c r="AD889">
        <v>-1.154547</v>
      </c>
      <c r="AE889">
        <v>-1.02230000000002</v>
      </c>
      <c r="AF889">
        <v>0.90775613147124701</v>
      </c>
      <c r="AG889">
        <v>-1.154547</v>
      </c>
      <c r="AH889">
        <v>24.759750784513901</v>
      </c>
      <c r="AI889">
        <v>92.667978017347494</v>
      </c>
      <c r="AJ889">
        <v>87.9003298077197</v>
      </c>
      <c r="AK889">
        <v>24.803271132668499</v>
      </c>
    </row>
    <row r="890" spans="1:37" x14ac:dyDescent="0.2">
      <c r="A890" t="str">
        <f>"20200111155517002"</f>
        <v>20200111155517002</v>
      </c>
      <c r="B890" t="str">
        <f>"1578729316993770"</f>
        <v>1578729316993770</v>
      </c>
      <c r="C890" t="s">
        <v>37</v>
      </c>
      <c r="D890">
        <v>4.8312359999999996</v>
      </c>
      <c r="E890">
        <v>0.55881380000000003</v>
      </c>
      <c r="F890" t="s">
        <v>39</v>
      </c>
      <c r="G890">
        <v>-303.37990000000002</v>
      </c>
      <c r="H890">
        <v>-0.05</v>
      </c>
      <c r="I890">
        <v>366.2466</v>
      </c>
      <c r="J890">
        <v>-328.08190000000002</v>
      </c>
      <c r="K890">
        <v>1.1045579999999999</v>
      </c>
      <c r="L890">
        <v>367.26150000000001</v>
      </c>
      <c r="M890">
        <v>0.99989669999999897</v>
      </c>
      <c r="N890">
        <v>0</v>
      </c>
      <c r="O890">
        <v>-4.5369599999999996E-3</v>
      </c>
      <c r="P890">
        <v>0.99351149999999999</v>
      </c>
      <c r="Q890">
        <v>-4.4693270000000004E-3</v>
      </c>
      <c r="R890">
        <v>0.1136448</v>
      </c>
      <c r="S890">
        <v>3.033112</v>
      </c>
      <c r="T890">
        <v>-0.14069719999999999</v>
      </c>
      <c r="U890">
        <v>-0.12377929999999999</v>
      </c>
      <c r="V890">
        <v>-0.118151299999999</v>
      </c>
      <c r="W890">
        <v>9.0829719999999999E-3</v>
      </c>
      <c r="X890">
        <v>0.99295409999999995</v>
      </c>
      <c r="Y890">
        <v>3.6207389999999999E-2</v>
      </c>
      <c r="Z890">
        <v>-6.2870790000000003E-4</v>
      </c>
      <c r="AA890">
        <v>0.99934409999999896</v>
      </c>
      <c r="AB890">
        <v>34</v>
      </c>
      <c r="AC890">
        <v>24.701999999999899</v>
      </c>
      <c r="AD890">
        <v>-1.154558</v>
      </c>
      <c r="AE890">
        <v>-1.0149000000000099</v>
      </c>
      <c r="AF890">
        <v>0.90084249924122295</v>
      </c>
      <c r="AG890">
        <v>-1.154558</v>
      </c>
      <c r="AH890">
        <v>24.6525860020026</v>
      </c>
      <c r="AI890">
        <v>92.679596183638694</v>
      </c>
      <c r="AJ890">
        <v>87.907257343472693</v>
      </c>
      <c r="AK890">
        <v>24.696042556853801</v>
      </c>
    </row>
    <row r="891" spans="1:37" x14ac:dyDescent="0.2">
      <c r="A891" t="str">
        <f>"20200111155517017"</f>
        <v>20200111155517017</v>
      </c>
      <c r="B891" t="str">
        <f>"1578729317013291"</f>
        <v>1578729317013291</v>
      </c>
      <c r="C891" t="s">
        <v>37</v>
      </c>
      <c r="D891">
        <v>4.8100569999999996</v>
      </c>
      <c r="E891">
        <v>0.55878130000000004</v>
      </c>
      <c r="F891" t="s">
        <v>39</v>
      </c>
      <c r="G891">
        <v>-303.21409999999997</v>
      </c>
      <c r="H891">
        <v>-0.05</v>
      </c>
      <c r="I891">
        <v>366.25020000000001</v>
      </c>
      <c r="J891">
        <v>-327.85879999999997</v>
      </c>
      <c r="K891">
        <v>1.104573</v>
      </c>
      <c r="L891">
        <v>367.26049999999998</v>
      </c>
      <c r="M891">
        <v>0.9998958</v>
      </c>
      <c r="N891">
        <v>0</v>
      </c>
      <c r="O891">
        <v>-4.53700299999999E-3</v>
      </c>
      <c r="P891">
        <v>0.9935195</v>
      </c>
      <c r="Q891">
        <v>-4.1353869999999999E-3</v>
      </c>
      <c r="R891">
        <v>0.11358789999999901</v>
      </c>
      <c r="S891">
        <v>3.033112</v>
      </c>
      <c r="T891">
        <v>-0.140821</v>
      </c>
      <c r="U891">
        <v>-0.12335209999999899</v>
      </c>
      <c r="V891">
        <v>-0.11809449999999901</v>
      </c>
      <c r="W891">
        <v>9.49255699999999E-3</v>
      </c>
      <c r="X891">
        <v>0.99295699999999998</v>
      </c>
      <c r="Y891">
        <v>3.6066889999999997E-2</v>
      </c>
      <c r="Z891">
        <v>-6.2600139999999997E-4</v>
      </c>
      <c r="AA891">
        <v>0.99934920000000005</v>
      </c>
      <c r="AB891">
        <v>34</v>
      </c>
      <c r="AC891">
        <v>24.6447</v>
      </c>
      <c r="AD891">
        <v>-1.1545729999999901</v>
      </c>
      <c r="AE891">
        <v>-1.01029999999997</v>
      </c>
      <c r="AF891">
        <v>0.89650167678023196</v>
      </c>
      <c r="AG891">
        <v>-1.1545729999999901</v>
      </c>
      <c r="AH891">
        <v>24.595139526325401</v>
      </c>
      <c r="AI891">
        <v>92.685889472202007</v>
      </c>
      <c r="AJ891">
        <v>87.912472430049604</v>
      </c>
      <c r="AK891">
        <v>24.638539777921299</v>
      </c>
    </row>
    <row r="892" spans="1:37" x14ac:dyDescent="0.2">
      <c r="A892" t="str">
        <f>"20200111155517029"</f>
        <v>20200111155517029</v>
      </c>
      <c r="B892" t="str">
        <f>"1578729317023320"</f>
        <v>1578729317023320</v>
      </c>
      <c r="C892" t="s">
        <v>37</v>
      </c>
      <c r="D892">
        <v>4.8243839999999896</v>
      </c>
      <c r="E892">
        <v>0.55878729999999999</v>
      </c>
      <c r="F892" t="s">
        <v>39</v>
      </c>
      <c r="G892">
        <v>-302.8716</v>
      </c>
      <c r="H892">
        <v>-0.05</v>
      </c>
      <c r="I892">
        <v>366.24329999999998</v>
      </c>
      <c r="J892">
        <v>-327.6902</v>
      </c>
      <c r="K892">
        <v>1.104581</v>
      </c>
      <c r="L892">
        <v>367.25970000000001</v>
      </c>
      <c r="M892">
        <v>0.99989490000000003</v>
      </c>
      <c r="N892">
        <v>0</v>
      </c>
      <c r="O892">
        <v>-4.5367680000000001E-3</v>
      </c>
      <c r="P892">
        <v>0.99353340000000001</v>
      </c>
      <c r="Q892">
        <v>-4.0327130000000003E-3</v>
      </c>
      <c r="R892">
        <v>0.1134693</v>
      </c>
      <c r="S892">
        <v>3.0331419999999998</v>
      </c>
      <c r="T892">
        <v>-0.140151</v>
      </c>
      <c r="U892">
        <v>-0.1234741</v>
      </c>
      <c r="V892">
        <v>-0.117976</v>
      </c>
      <c r="W892">
        <v>9.6475229999999999E-3</v>
      </c>
      <c r="X892">
        <v>0.99296960000000001</v>
      </c>
      <c r="Y892">
        <v>3.6107149999999998E-2</v>
      </c>
      <c r="Z892">
        <v>-6.2395959999999998E-4</v>
      </c>
      <c r="AA892">
        <v>0.99934769999999995</v>
      </c>
      <c r="AB892">
        <v>34</v>
      </c>
      <c r="AC892">
        <v>24.8186</v>
      </c>
      <c r="AD892">
        <v>-1.1545810000000001</v>
      </c>
      <c r="AE892">
        <v>-1.0164000000000299</v>
      </c>
      <c r="AF892">
        <v>0.90183416425656704</v>
      </c>
      <c r="AG892">
        <v>-1.1545810000000001</v>
      </c>
      <c r="AH892">
        <v>24.769440266563901</v>
      </c>
      <c r="AI892">
        <v>92.6670388966687</v>
      </c>
      <c r="AJ892">
        <v>87.9148306642237</v>
      </c>
      <c r="AK892">
        <v>24.8127292586741</v>
      </c>
    </row>
    <row r="893" spans="1:37" x14ac:dyDescent="0.2">
      <c r="A893" t="str">
        <f>"20200111155517040"</f>
        <v>20200111155517040</v>
      </c>
      <c r="B893" t="str">
        <f>"1578729317033079"</f>
        <v>1578729317033079</v>
      </c>
      <c r="C893" t="s">
        <v>37</v>
      </c>
      <c r="D893">
        <v>4.8056130000000001</v>
      </c>
      <c r="E893">
        <v>0.558778</v>
      </c>
      <c r="F893" t="s">
        <v>39</v>
      </c>
      <c r="G893">
        <v>-302.67500000000001</v>
      </c>
      <c r="H893">
        <v>-0.05</v>
      </c>
      <c r="I893">
        <v>366.23809999999997</v>
      </c>
      <c r="J893">
        <v>-327.50290000000001</v>
      </c>
      <c r="K893">
        <v>1.104589</v>
      </c>
      <c r="L893">
        <v>367.25889999999998</v>
      </c>
      <c r="M893">
        <v>0.99989409999999901</v>
      </c>
      <c r="N893">
        <v>0</v>
      </c>
      <c r="O893">
        <v>-4.536801E-3</v>
      </c>
      <c r="P893">
        <v>0.99355419999999905</v>
      </c>
      <c r="Q893">
        <v>-3.8919429999999902E-3</v>
      </c>
      <c r="R893">
        <v>0.11329110000000001</v>
      </c>
      <c r="S893">
        <v>3.033112</v>
      </c>
      <c r="T893">
        <v>-0.13999400000000001</v>
      </c>
      <c r="U893">
        <v>-0.1238708</v>
      </c>
      <c r="V893">
        <v>-0.1177972</v>
      </c>
      <c r="W893">
        <v>9.8444469999999992E-3</v>
      </c>
      <c r="X893">
        <v>0.99298889999999995</v>
      </c>
      <c r="Y893">
        <v>3.623796E-2</v>
      </c>
      <c r="Z893">
        <v>-6.2627980000000004E-4</v>
      </c>
      <c r="AA893">
        <v>0.99934299999999998</v>
      </c>
      <c r="AB893">
        <v>34</v>
      </c>
      <c r="AC893">
        <v>24.8279</v>
      </c>
      <c r="AD893">
        <v>-1.1545890000000001</v>
      </c>
      <c r="AE893">
        <v>-1.0207999999999999</v>
      </c>
      <c r="AF893">
        <v>0.90618308255181401</v>
      </c>
      <c r="AG893">
        <v>-1.1545890000000001</v>
      </c>
      <c r="AH893">
        <v>24.778780056180398</v>
      </c>
      <c r="AI893">
        <v>92.666037819038806</v>
      </c>
      <c r="AJ893">
        <v>87.905573324469103</v>
      </c>
      <c r="AK893">
        <v>24.822211517320302</v>
      </c>
    </row>
    <row r="894" spans="1:37" x14ac:dyDescent="0.2">
      <c r="A894" t="str">
        <f>"20200111155517052"</f>
        <v>20200111155517052</v>
      </c>
      <c r="B894" t="str">
        <f>"1578729317043815"</f>
        <v>1578729317043815</v>
      </c>
      <c r="C894" t="s">
        <v>37</v>
      </c>
      <c r="D894">
        <v>4.8836430000000002</v>
      </c>
      <c r="E894">
        <v>0.55876340000000002</v>
      </c>
      <c r="F894" t="s">
        <v>39</v>
      </c>
      <c r="G894">
        <v>-302.4289</v>
      </c>
      <c r="H894">
        <v>-0.05</v>
      </c>
      <c r="I894">
        <v>366.23329999999999</v>
      </c>
      <c r="J894">
        <v>-327.32530000000003</v>
      </c>
      <c r="K894">
        <v>1.1045959999999999</v>
      </c>
      <c r="L894">
        <v>367.25810000000001</v>
      </c>
      <c r="M894">
        <v>0.99989349999999999</v>
      </c>
      <c r="N894">
        <v>0</v>
      </c>
      <c r="O894">
        <v>-4.5367860000000001E-3</v>
      </c>
      <c r="P894">
        <v>0.99357890000000004</v>
      </c>
      <c r="Q894">
        <v>-3.9388119999999999E-3</v>
      </c>
      <c r="R894">
        <v>0.1130738</v>
      </c>
      <c r="S894">
        <v>3.0330810000000001</v>
      </c>
      <c r="T894">
        <v>-0.13966519999999999</v>
      </c>
      <c r="U894">
        <v>-0.124054</v>
      </c>
      <c r="V894">
        <v>-0.117580399999999</v>
      </c>
      <c r="W894">
        <v>9.8473080000000008E-3</v>
      </c>
      <c r="X894">
        <v>0.99301459999999997</v>
      </c>
      <c r="Y894">
        <v>3.6298699999999899E-2</v>
      </c>
      <c r="Z894">
        <v>-6.2621409999999997E-4</v>
      </c>
      <c r="AA894">
        <v>0.99934080000000003</v>
      </c>
      <c r="AB894">
        <v>34</v>
      </c>
      <c r="AC894">
        <v>24.8964</v>
      </c>
      <c r="AD894">
        <v>-1.154596</v>
      </c>
      <c r="AE894">
        <v>-1.0248000000000199</v>
      </c>
      <c r="AF894">
        <v>0.90987535374905104</v>
      </c>
      <c r="AG894">
        <v>-1.154596</v>
      </c>
      <c r="AH894">
        <v>24.847443597131001</v>
      </c>
      <c r="AI894">
        <v>92.658692546992199</v>
      </c>
      <c r="AJ894">
        <v>87.902853277828996</v>
      </c>
      <c r="AK894">
        <v>24.890890269236699</v>
      </c>
    </row>
    <row r="895" spans="1:37" x14ac:dyDescent="0.2">
      <c r="A895" t="str">
        <f>"20200111155517064"</f>
        <v>20200111155517064</v>
      </c>
      <c r="B895" t="str">
        <f>"1578729317053576"</f>
        <v>1578729317053576</v>
      </c>
      <c r="C895" t="s">
        <v>37</v>
      </c>
      <c r="D895">
        <v>4.9939400000000003</v>
      </c>
      <c r="E895">
        <v>0.55881479999999994</v>
      </c>
      <c r="F895" t="s">
        <v>39</v>
      </c>
      <c r="G895">
        <v>-302.2953</v>
      </c>
      <c r="H895">
        <v>-0.05</v>
      </c>
      <c r="I895">
        <v>366.2285</v>
      </c>
      <c r="J895">
        <v>-327.15269999999998</v>
      </c>
      <c r="K895">
        <v>1.104595</v>
      </c>
      <c r="L895">
        <v>367.25729999999999</v>
      </c>
      <c r="M895">
        <v>0.99989280000000003</v>
      </c>
      <c r="N895">
        <v>0</v>
      </c>
      <c r="O895">
        <v>-4.5367430000000002E-3</v>
      </c>
      <c r="P895">
        <v>0.99360439999999906</v>
      </c>
      <c r="Q895">
        <v>-3.8377889999999999E-3</v>
      </c>
      <c r="R895">
        <v>0.11285249999999999</v>
      </c>
      <c r="S895">
        <v>3.0330509999999999</v>
      </c>
      <c r="T895">
        <v>-0.13990999999999901</v>
      </c>
      <c r="U895">
        <v>-0.1247559</v>
      </c>
      <c r="V895">
        <v>-0.11735899999999901</v>
      </c>
      <c r="W895">
        <v>9.993689E-3</v>
      </c>
      <c r="X895">
        <v>0.99303929999999996</v>
      </c>
      <c r="Y895">
        <v>3.6529659999999999E-2</v>
      </c>
      <c r="Z895">
        <v>-6.3263760000000001E-4</v>
      </c>
      <c r="AA895">
        <v>0.99933240000000001</v>
      </c>
      <c r="AB895">
        <v>34</v>
      </c>
      <c r="AC895">
        <v>24.857399999999899</v>
      </c>
      <c r="AD895">
        <v>-1.154595</v>
      </c>
      <c r="AE895">
        <v>-1.02879999999998</v>
      </c>
      <c r="AF895">
        <v>0.91403819335876901</v>
      </c>
      <c r="AG895">
        <v>-1.154595</v>
      </c>
      <c r="AH895">
        <v>24.808379795833002</v>
      </c>
      <c r="AI895">
        <v>92.662848665698803</v>
      </c>
      <c r="AJ895">
        <v>87.889952779049196</v>
      </c>
      <c r="AK895">
        <v>24.852047471531201</v>
      </c>
    </row>
    <row r="896" spans="1:37" x14ac:dyDescent="0.2">
      <c r="A896" t="str">
        <f>"20200111155517076"</f>
        <v>20200111155517076</v>
      </c>
      <c r="B896" t="str">
        <f>"1578729317073096"</f>
        <v>1578729317073096</v>
      </c>
      <c r="C896" t="s">
        <v>37</v>
      </c>
      <c r="D896">
        <v>5.0046799999999996</v>
      </c>
      <c r="E896">
        <v>0.55884460000000002</v>
      </c>
      <c r="F896" t="s">
        <v>39</v>
      </c>
      <c r="G896">
        <v>-302.07650000000001</v>
      </c>
      <c r="H896">
        <v>-0.05</v>
      </c>
      <c r="I896">
        <v>366.21730000000002</v>
      </c>
      <c r="J896">
        <v>-326.96890000000002</v>
      </c>
      <c r="K896">
        <v>1.1045989999999899</v>
      </c>
      <c r="L896">
        <v>367.25639999999999</v>
      </c>
      <c r="M896">
        <v>0.99989209999999995</v>
      </c>
      <c r="N896">
        <v>0</v>
      </c>
      <c r="O896">
        <v>-4.5365839999999998E-3</v>
      </c>
      <c r="P896">
        <v>0.99363310000000005</v>
      </c>
      <c r="Q896">
        <v>-3.8479769999999998E-3</v>
      </c>
      <c r="R896">
        <v>0.11259949999999901</v>
      </c>
      <c r="S896">
        <v>3.0330509999999999</v>
      </c>
      <c r="T896">
        <v>-0.1396521</v>
      </c>
      <c r="U896">
        <v>-0.1257935</v>
      </c>
      <c r="V896">
        <v>-0.1171061</v>
      </c>
      <c r="W896">
        <v>1.0029450000000001E-2</v>
      </c>
      <c r="X896">
        <v>0.99306879999999997</v>
      </c>
      <c r="Y896">
        <v>3.6870859999999998E-2</v>
      </c>
      <c r="Z896">
        <v>-6.3932289999999998E-4</v>
      </c>
      <c r="AA896">
        <v>0.99931990000000004</v>
      </c>
      <c r="AB896">
        <v>34</v>
      </c>
      <c r="AC896">
        <v>24.892399999999999</v>
      </c>
      <c r="AD896">
        <v>-1.1545989999999999</v>
      </c>
      <c r="AE896">
        <v>-1.0390999999999599</v>
      </c>
      <c r="AF896">
        <v>0.92416698873308201</v>
      </c>
      <c r="AG896">
        <v>-1.1545989999999999</v>
      </c>
      <c r="AH896">
        <v>24.843501946908201</v>
      </c>
      <c r="AI896">
        <v>92.659063796819396</v>
      </c>
      <c r="AJ896">
        <v>87.869605347419693</v>
      </c>
      <c r="AK896">
        <v>24.887482244290901</v>
      </c>
    </row>
    <row r="897" spans="1:37" x14ac:dyDescent="0.2">
      <c r="A897" t="str">
        <f>"20200111155517087"</f>
        <v>20200111155517087</v>
      </c>
      <c r="B897" t="str">
        <f>"1578729317083832"</f>
        <v>1578729317083832</v>
      </c>
      <c r="C897" t="s">
        <v>37</v>
      </c>
      <c r="D897">
        <v>4.8177289999999999</v>
      </c>
      <c r="E897">
        <v>0.55880099999999999</v>
      </c>
      <c r="F897" t="s">
        <v>39</v>
      </c>
      <c r="G897">
        <v>-301.92450000000002</v>
      </c>
      <c r="H897">
        <v>-0.05</v>
      </c>
      <c r="I897">
        <v>366.20859999999999</v>
      </c>
      <c r="J897">
        <v>-326.8091</v>
      </c>
      <c r="K897">
        <v>1.104606</v>
      </c>
      <c r="L897">
        <v>367.25569999999999</v>
      </c>
      <c r="M897">
        <v>0.9998918</v>
      </c>
      <c r="N897">
        <v>0</v>
      </c>
      <c r="O897">
        <v>-4.5368359999999998E-3</v>
      </c>
      <c r="P897">
        <v>0.99365079999999995</v>
      </c>
      <c r="Q897">
        <v>-3.7157800000000001E-3</v>
      </c>
      <c r="R897">
        <v>0.11244849999999899</v>
      </c>
      <c r="S897">
        <v>3.0330509999999999</v>
      </c>
      <c r="T897">
        <v>-0.13983010000000001</v>
      </c>
      <c r="U897">
        <v>-0.12689210000000001</v>
      </c>
      <c r="V897">
        <v>-0.116955399999999</v>
      </c>
      <c r="W897">
        <v>1.019777E-2</v>
      </c>
      <c r="X897">
        <v>0.99308479999999999</v>
      </c>
      <c r="Y897">
        <v>3.7231489999999999E-2</v>
      </c>
      <c r="Z897">
        <v>-6.4842480000000004E-4</v>
      </c>
      <c r="AA897">
        <v>0.99930640000000004</v>
      </c>
      <c r="AB897">
        <v>34</v>
      </c>
      <c r="AC897">
        <v>24.884599999999899</v>
      </c>
      <c r="AD897">
        <v>-1.154606</v>
      </c>
      <c r="AE897">
        <v>-1.0470999999999999</v>
      </c>
      <c r="AF897">
        <v>0.93217756098474402</v>
      </c>
      <c r="AG897">
        <v>-1.154606</v>
      </c>
      <c r="AH897">
        <v>24.835722671144399</v>
      </c>
      <c r="AI897">
        <v>92.659878478433797</v>
      </c>
      <c r="AJ897">
        <v>87.850484121087405</v>
      </c>
      <c r="AK897">
        <v>24.880015888629099</v>
      </c>
    </row>
    <row r="898" spans="1:37" x14ac:dyDescent="0.2">
      <c r="A898" t="str">
        <f>"20200111155517098"</f>
        <v>20200111155517098</v>
      </c>
      <c r="B898" t="str">
        <f>"1578729317093592"</f>
        <v>1578729317093592</v>
      </c>
      <c r="C898" t="s">
        <v>37</v>
      </c>
      <c r="D898">
        <v>4.8400819999999998</v>
      </c>
      <c r="E898">
        <v>0.55876680000000001</v>
      </c>
      <c r="F898" t="s">
        <v>39</v>
      </c>
      <c r="G898">
        <v>-301.73430000000002</v>
      </c>
      <c r="H898">
        <v>-0.05</v>
      </c>
      <c r="I898">
        <v>366.20510000000002</v>
      </c>
      <c r="J898">
        <v>-326.63569999999999</v>
      </c>
      <c r="K898">
        <v>1.1046100000000001</v>
      </c>
      <c r="L898">
        <v>367.25490000000002</v>
      </c>
      <c r="M898">
        <v>0.99989119999999998</v>
      </c>
      <c r="N898">
        <v>0</v>
      </c>
      <c r="O898">
        <v>-4.5367459999999899E-3</v>
      </c>
      <c r="P898">
        <v>0.99367479999999997</v>
      </c>
      <c r="Q898">
        <v>-3.9470429999999999E-3</v>
      </c>
      <c r="R898">
        <v>0.1122277</v>
      </c>
      <c r="S898">
        <v>3.0330509999999999</v>
      </c>
      <c r="T898">
        <v>-0.1396608</v>
      </c>
      <c r="U898">
        <v>-0.1270752</v>
      </c>
      <c r="V898">
        <v>-0.1167344</v>
      </c>
      <c r="W898">
        <v>1.000466E-2</v>
      </c>
      <c r="X898">
        <v>0.99311269999999996</v>
      </c>
      <c r="Y898">
        <v>3.7291810000000002E-2</v>
      </c>
      <c r="Z898">
        <v>-6.4903179999999995E-4</v>
      </c>
      <c r="AA898">
        <v>0.99930419999999998</v>
      </c>
      <c r="AB898">
        <v>34</v>
      </c>
      <c r="AC898">
        <v>24.901399999999899</v>
      </c>
      <c r="AD898">
        <v>-1.1546099999999999</v>
      </c>
      <c r="AE898">
        <v>-1.0498000000000001</v>
      </c>
      <c r="AF898">
        <v>0.93480055330416201</v>
      </c>
      <c r="AG898">
        <v>-1.1546099999999999</v>
      </c>
      <c r="AH898">
        <v>24.852570491181201</v>
      </c>
      <c r="AI898">
        <v>92.658079124147093</v>
      </c>
      <c r="AJ898">
        <v>87.845901338038601</v>
      </c>
      <c r="AK898">
        <v>24.896932267765202</v>
      </c>
    </row>
    <row r="899" spans="1:37" x14ac:dyDescent="0.2">
      <c r="A899" t="str">
        <f>"20200111155517109"</f>
        <v>20200111155517109</v>
      </c>
      <c r="B899" t="str">
        <f>"1578729317103352"</f>
        <v>1578729317103352</v>
      </c>
      <c r="C899" t="s">
        <v>37</v>
      </c>
      <c r="D899">
        <v>4.8928699999999896</v>
      </c>
      <c r="E899">
        <v>0.55878000000000005</v>
      </c>
      <c r="F899" t="s">
        <v>39</v>
      </c>
      <c r="G899">
        <v>-301.71069999999997</v>
      </c>
      <c r="H899">
        <v>-0.05</v>
      </c>
      <c r="I899">
        <v>366.20760000000001</v>
      </c>
      <c r="J899">
        <v>-326.4633</v>
      </c>
      <c r="K899">
        <v>1.104611</v>
      </c>
      <c r="L899">
        <v>367.25409999999999</v>
      </c>
      <c r="M899">
        <v>0.99989069999999902</v>
      </c>
      <c r="N899">
        <v>0</v>
      </c>
      <c r="O899">
        <v>-4.5366249999999999E-3</v>
      </c>
      <c r="P899">
        <v>0.99368179999999995</v>
      </c>
      <c r="Q899">
        <v>-3.9144200000000001E-3</v>
      </c>
      <c r="R899">
        <v>0.1121665</v>
      </c>
      <c r="S899">
        <v>3.0329280000000001</v>
      </c>
      <c r="T899">
        <v>-0.14049519999999999</v>
      </c>
      <c r="U899">
        <v>-0.12744140000000001</v>
      </c>
      <c r="V899">
        <v>-0.11667379999999999</v>
      </c>
      <c r="W899">
        <v>1.0070930000000001E-2</v>
      </c>
      <c r="X899">
        <v>0.99311919999999898</v>
      </c>
      <c r="Y899">
        <v>3.741353E-2</v>
      </c>
      <c r="Z899">
        <v>-6.5575129999999998E-4</v>
      </c>
      <c r="AA899">
        <v>0.99929959999999995</v>
      </c>
      <c r="AB899">
        <v>34</v>
      </c>
      <c r="AC899">
        <v>24.752600000000001</v>
      </c>
      <c r="AD899">
        <v>-1.1546110000000001</v>
      </c>
      <c r="AE899">
        <v>-1.04649999999998</v>
      </c>
      <c r="AF899">
        <v>0.93216022023975897</v>
      </c>
      <c r="AG899">
        <v>-1.1546110000000001</v>
      </c>
      <c r="AH899">
        <v>24.703438114207501</v>
      </c>
      <c r="AI899">
        <v>92.674092718975402</v>
      </c>
      <c r="AJ899">
        <v>87.839024714449494</v>
      </c>
      <c r="AK899">
        <v>24.747967672113901</v>
      </c>
    </row>
    <row r="900" spans="1:37" x14ac:dyDescent="0.2">
      <c r="A900" t="str">
        <f>"20200111155517123"</f>
        <v>20200111155517123</v>
      </c>
      <c r="B900" t="str">
        <f>"1578729317113113"</f>
        <v>1578729317113113</v>
      </c>
      <c r="C900" t="s">
        <v>37</v>
      </c>
      <c r="D900">
        <v>4.8673339999999996</v>
      </c>
      <c r="E900">
        <v>0.55877500000000002</v>
      </c>
      <c r="F900" t="s">
        <v>39</v>
      </c>
      <c r="G900">
        <v>-301.5215</v>
      </c>
      <c r="H900">
        <v>-0.05</v>
      </c>
      <c r="I900">
        <v>366.20510000000002</v>
      </c>
      <c r="J900">
        <v>-326.267</v>
      </c>
      <c r="K900">
        <v>1.1046149999999999</v>
      </c>
      <c r="L900">
        <v>367.25330000000002</v>
      </c>
      <c r="M900">
        <v>0.9998901</v>
      </c>
      <c r="N900">
        <v>0</v>
      </c>
      <c r="O900">
        <v>-4.5365240000000001E-3</v>
      </c>
      <c r="P900">
        <v>0.99369660000000004</v>
      </c>
      <c r="Q900">
        <v>-3.938965E-3</v>
      </c>
      <c r="R900">
        <v>0.1120336</v>
      </c>
      <c r="S900">
        <v>3.0329899999999999</v>
      </c>
      <c r="T900">
        <v>-0.140404</v>
      </c>
      <c r="U900">
        <v>-0.1275635</v>
      </c>
      <c r="V900">
        <v>-0.1165402</v>
      </c>
      <c r="W900">
        <v>1.008333E-2</v>
      </c>
      <c r="X900">
        <v>0.99313479999999998</v>
      </c>
      <c r="Y900">
        <v>3.7452930000000002E-2</v>
      </c>
      <c r="Z900">
        <v>-6.5622830000000001E-4</v>
      </c>
      <c r="AA900">
        <v>0.99929820000000003</v>
      </c>
      <c r="AB900">
        <v>34</v>
      </c>
      <c r="AC900">
        <v>24.7455</v>
      </c>
      <c r="AD900">
        <v>-1.1546149999999999</v>
      </c>
      <c r="AE900">
        <v>-1.0482</v>
      </c>
      <c r="AF900">
        <v>0.93388992734594201</v>
      </c>
      <c r="AG900">
        <v>-1.1546149999999999</v>
      </c>
      <c r="AH900">
        <v>24.696330455475</v>
      </c>
      <c r="AI900">
        <v>92.674862313785596</v>
      </c>
      <c r="AJ900">
        <v>87.834396149451194</v>
      </c>
      <c r="AK900">
        <v>24.7409382231282</v>
      </c>
    </row>
    <row r="901" spans="1:37" x14ac:dyDescent="0.2">
      <c r="A901" t="str">
        <f>"20200111155517136"</f>
        <v>20200111155517136</v>
      </c>
      <c r="B901" t="str">
        <f>"1578729317133139"</f>
        <v>1578729317133139</v>
      </c>
      <c r="C901" t="s">
        <v>37</v>
      </c>
      <c r="D901">
        <v>5.0292479999999999</v>
      </c>
      <c r="E901">
        <v>0.55864630000000004</v>
      </c>
      <c r="F901" t="s">
        <v>39</v>
      </c>
      <c r="G901">
        <v>-301.33999999999997</v>
      </c>
      <c r="H901">
        <v>-0.05</v>
      </c>
      <c r="I901">
        <v>366.20030000000003</v>
      </c>
      <c r="J901">
        <v>-326.06869999999998</v>
      </c>
      <c r="K901">
        <v>1.104617</v>
      </c>
      <c r="L901">
        <v>367.25229999999999</v>
      </c>
      <c r="M901">
        <v>0.99988969999999899</v>
      </c>
      <c r="N901">
        <v>0</v>
      </c>
      <c r="O901">
        <v>-4.5366449999999997E-3</v>
      </c>
      <c r="P901">
        <v>0.99371189999999998</v>
      </c>
      <c r="Q901">
        <v>-3.9745709999999997E-3</v>
      </c>
      <c r="R901">
        <v>0.1118976</v>
      </c>
      <c r="S901">
        <v>3.0329280000000001</v>
      </c>
      <c r="T901">
        <v>-0.14048479999999999</v>
      </c>
      <c r="U901">
        <v>-0.1281128</v>
      </c>
      <c r="V901">
        <v>-0.1164048</v>
      </c>
      <c r="W901">
        <v>1.0081420000000001E-2</v>
      </c>
      <c r="X901">
        <v>0.99315069999999905</v>
      </c>
      <c r="Y901">
        <v>3.7634090000000002E-2</v>
      </c>
      <c r="Z901">
        <v>-6.6080209999999997E-4</v>
      </c>
      <c r="AA901">
        <v>0.99929140000000005</v>
      </c>
      <c r="AB901">
        <v>34</v>
      </c>
      <c r="AC901">
        <v>24.7287</v>
      </c>
      <c r="AD901">
        <v>-1.154617</v>
      </c>
      <c r="AE901">
        <v>-1.0519999999999601</v>
      </c>
      <c r="AF901">
        <v>0.93775193307365301</v>
      </c>
      <c r="AG901">
        <v>-1.154617</v>
      </c>
      <c r="AH901">
        <v>24.679512278592298</v>
      </c>
      <c r="AI901">
        <v>92.676668674681395</v>
      </c>
      <c r="AJ901">
        <v>87.823968645232199</v>
      </c>
      <c r="AK901">
        <v>24.7242966616618</v>
      </c>
    </row>
    <row r="902" spans="1:37" x14ac:dyDescent="0.2">
      <c r="A902" t="str">
        <f>"20200111155517151"</f>
        <v>20200111155517151</v>
      </c>
      <c r="B902" t="str">
        <f>"1578729317143877"</f>
        <v>1578729317143877</v>
      </c>
      <c r="C902" t="s">
        <v>37</v>
      </c>
      <c r="D902">
        <v>4.8507110000000004</v>
      </c>
      <c r="E902">
        <v>0.55861680000000002</v>
      </c>
      <c r="F902" t="s">
        <v>39</v>
      </c>
      <c r="G902">
        <v>-301.1103</v>
      </c>
      <c r="H902">
        <v>-0.05</v>
      </c>
      <c r="I902">
        <v>366.20350000000002</v>
      </c>
      <c r="J902">
        <v>-325.84859999999998</v>
      </c>
      <c r="K902">
        <v>1.1046180000000001</v>
      </c>
      <c r="L902">
        <v>367.25130000000001</v>
      </c>
      <c r="M902">
        <v>0.99988920000000003</v>
      </c>
      <c r="N902">
        <v>0</v>
      </c>
      <c r="O902">
        <v>-4.5366460000000001E-3</v>
      </c>
      <c r="P902">
        <v>0.99371279999999995</v>
      </c>
      <c r="Q902">
        <v>-4.2514199999999997E-3</v>
      </c>
      <c r="R902">
        <v>0.1118803</v>
      </c>
      <c r="S902">
        <v>3.0327449999999998</v>
      </c>
      <c r="T902">
        <v>-0.140299799999999</v>
      </c>
      <c r="U902">
        <v>-0.12744140000000001</v>
      </c>
      <c r="V902">
        <v>-0.1163875</v>
      </c>
      <c r="W902">
        <v>9.8382499999999998E-3</v>
      </c>
      <c r="X902">
        <v>0.99315509999999996</v>
      </c>
      <c r="Y902">
        <v>3.7416110000000002E-2</v>
      </c>
      <c r="Z902">
        <v>-6.5493829999999998E-4</v>
      </c>
      <c r="AA902">
        <v>0.99929959999999995</v>
      </c>
      <c r="AB902">
        <v>34</v>
      </c>
      <c r="AC902">
        <v>24.738299999999899</v>
      </c>
      <c r="AD902">
        <v>-1.1546179999999999</v>
      </c>
      <c r="AE902">
        <v>-1.0477999999999901</v>
      </c>
      <c r="AF902">
        <v>0.93351909136495503</v>
      </c>
      <c r="AG902">
        <v>-1.1546179999999999</v>
      </c>
      <c r="AH902">
        <v>24.689112984810102</v>
      </c>
      <c r="AI902">
        <v>92.675650473184206</v>
      </c>
      <c r="AJ902">
        <v>87.834623038831296</v>
      </c>
      <c r="AK902">
        <v>24.733719910207299</v>
      </c>
    </row>
    <row r="903" spans="1:37" x14ac:dyDescent="0.2">
      <c r="A903" t="str">
        <f>"20200111155517163"</f>
        <v>20200111155517163</v>
      </c>
      <c r="B903" t="str">
        <f>"1578729317153635"</f>
        <v>1578729317153635</v>
      </c>
      <c r="C903" t="s">
        <v>37</v>
      </c>
      <c r="D903">
        <v>4.8436000000000003</v>
      </c>
      <c r="E903">
        <v>0.55858750000000001</v>
      </c>
      <c r="F903" t="s">
        <v>39</v>
      </c>
      <c r="G903">
        <v>-301.07990000000001</v>
      </c>
      <c r="H903">
        <v>-0.05</v>
      </c>
      <c r="I903">
        <v>366.21170000000001</v>
      </c>
      <c r="J903">
        <v>-325.67739999999998</v>
      </c>
      <c r="K903">
        <v>1.1046199999999999</v>
      </c>
      <c r="L903">
        <v>367.25049999999999</v>
      </c>
      <c r="M903">
        <v>0.99988880000000002</v>
      </c>
      <c r="N903">
        <v>0</v>
      </c>
      <c r="O903">
        <v>-4.5365830000000003E-3</v>
      </c>
      <c r="P903">
        <v>0.99369419999999897</v>
      </c>
      <c r="Q903">
        <v>-4.314928E-3</v>
      </c>
      <c r="R903">
        <v>0.112040599999999</v>
      </c>
      <c r="S903">
        <v>3.0326840000000002</v>
      </c>
      <c r="T903">
        <v>-0.14137130000000001</v>
      </c>
      <c r="U903">
        <v>-0.12728879999999901</v>
      </c>
      <c r="V903">
        <v>-0.1165476</v>
      </c>
      <c r="W903">
        <v>9.7991490000000001E-3</v>
      </c>
      <c r="X903">
        <v>0.99313680000000004</v>
      </c>
      <c r="Y903">
        <v>3.7366339999999998E-2</v>
      </c>
      <c r="Z903">
        <v>-6.5879269999999997E-4</v>
      </c>
      <c r="AA903">
        <v>0.99930140000000001</v>
      </c>
      <c r="AB903">
        <v>34</v>
      </c>
      <c r="AC903">
        <v>24.597499999999901</v>
      </c>
      <c r="AD903">
        <v>-1.15462</v>
      </c>
      <c r="AE903">
        <v>-1.03879999999998</v>
      </c>
      <c r="AF903">
        <v>0.92515457670759305</v>
      </c>
      <c r="AG903">
        <v>-1.15462</v>
      </c>
      <c r="AH903">
        <v>24.547966861286099</v>
      </c>
      <c r="AI903">
        <v>92.691029549900705</v>
      </c>
      <c r="AJ903">
        <v>87.841679606137404</v>
      </c>
      <c r="AK903">
        <v>24.592513807213901</v>
      </c>
    </row>
    <row r="904" spans="1:37" x14ac:dyDescent="0.2">
      <c r="A904" t="str">
        <f>"20200111155517174"</f>
        <v>20200111155517174</v>
      </c>
      <c r="B904" t="str">
        <f>"1578729317163396"</f>
        <v>1578729317163396</v>
      </c>
      <c r="C904" t="s">
        <v>37</v>
      </c>
      <c r="D904">
        <v>4.8682339999999904</v>
      </c>
      <c r="E904">
        <v>0.55857749999999995</v>
      </c>
      <c r="F904" t="s">
        <v>39</v>
      </c>
      <c r="G904">
        <v>-300.97800000000001</v>
      </c>
      <c r="H904">
        <v>-0.05</v>
      </c>
      <c r="I904">
        <v>366.22030000000001</v>
      </c>
      <c r="J904">
        <v>-325.50020000000001</v>
      </c>
      <c r="K904">
        <v>1.1046199999999999</v>
      </c>
      <c r="L904">
        <v>367.24979999999999</v>
      </c>
      <c r="M904">
        <v>0.99988860000000002</v>
      </c>
      <c r="N904">
        <v>0</v>
      </c>
      <c r="O904">
        <v>-4.5365120000000004E-3</v>
      </c>
      <c r="P904">
        <v>0.99369030000000003</v>
      </c>
      <c r="Q904">
        <v>-4.5151180000000003E-3</v>
      </c>
      <c r="R904">
        <v>0.11207019999999999</v>
      </c>
      <c r="S904">
        <v>3.032654</v>
      </c>
      <c r="T904">
        <v>-0.14176729999999901</v>
      </c>
      <c r="U904">
        <v>-0.12649540000000001</v>
      </c>
      <c r="V904">
        <v>-0.11657719999999901</v>
      </c>
      <c r="W904">
        <v>9.6222500000000006E-3</v>
      </c>
      <c r="X904">
        <v>0.99313499999999999</v>
      </c>
      <c r="Y904">
        <v>3.7105920000000001E-2</v>
      </c>
      <c r="Z904">
        <v>-6.5456879999999996E-4</v>
      </c>
      <c r="AA904">
        <v>0.99931109999999901</v>
      </c>
      <c r="AB904">
        <v>33</v>
      </c>
      <c r="AC904">
        <v>24.522200000000002</v>
      </c>
      <c r="AD904">
        <v>-1.15462</v>
      </c>
      <c r="AE904">
        <v>-1.0294999999999801</v>
      </c>
      <c r="AF904">
        <v>0.91620527725078804</v>
      </c>
      <c r="AG904">
        <v>-1.15462</v>
      </c>
      <c r="AH904">
        <v>24.4724592405042</v>
      </c>
      <c r="AI904">
        <v>92.699345438970795</v>
      </c>
      <c r="AJ904">
        <v>87.855949425923001</v>
      </c>
      <c r="AK904">
        <v>24.516807311160999</v>
      </c>
    </row>
    <row r="905" spans="1:37" x14ac:dyDescent="0.2">
      <c r="A905" t="str">
        <f>"20200111155517185"</f>
        <v>20200111155517185</v>
      </c>
      <c r="B905" t="str">
        <f>"1578729317173154"</f>
        <v>1578729317173154</v>
      </c>
      <c r="C905" t="s">
        <v>37</v>
      </c>
      <c r="D905">
        <v>5.0140909999999996</v>
      </c>
      <c r="E905">
        <v>0.55860750000000003</v>
      </c>
      <c r="F905" t="s">
        <v>39</v>
      </c>
      <c r="G905">
        <v>-300.9248</v>
      </c>
      <c r="H905">
        <v>-0.05</v>
      </c>
      <c r="I905">
        <v>366.22620000000001</v>
      </c>
      <c r="J905">
        <v>-325.33969999999999</v>
      </c>
      <c r="K905">
        <v>1.104622</v>
      </c>
      <c r="L905">
        <v>367.2491</v>
      </c>
      <c r="M905">
        <v>0.9998882</v>
      </c>
      <c r="N905">
        <v>0</v>
      </c>
      <c r="O905">
        <v>-4.5365320000000002E-3</v>
      </c>
      <c r="P905">
        <v>0.99367950000000005</v>
      </c>
      <c r="Q905">
        <v>-4.8509369999999996E-3</v>
      </c>
      <c r="R905">
        <v>0.1121504</v>
      </c>
      <c r="S905">
        <v>3.032654</v>
      </c>
      <c r="T905">
        <v>-0.14248259999999999</v>
      </c>
      <c r="U905">
        <v>-0.12631229999999999</v>
      </c>
      <c r="V905">
        <v>-0.1166576</v>
      </c>
      <c r="W905">
        <v>9.3061229999999995E-3</v>
      </c>
      <c r="X905">
        <v>0.99312860000000003</v>
      </c>
      <c r="Y905">
        <v>3.7045380000000003E-2</v>
      </c>
      <c r="Z905">
        <v>-6.5644679999999895E-4</v>
      </c>
      <c r="AA905">
        <v>0.99931340000000002</v>
      </c>
      <c r="AB905">
        <v>33</v>
      </c>
      <c r="AC905">
        <v>24.4148999999999</v>
      </c>
      <c r="AD905">
        <v>-1.154622</v>
      </c>
      <c r="AE905">
        <v>-1.0228999999999899</v>
      </c>
      <c r="AF905">
        <v>0.91008740488117601</v>
      </c>
      <c r="AG905">
        <v>-1.154622</v>
      </c>
      <c r="AH905">
        <v>24.364892900048702</v>
      </c>
      <c r="AI905">
        <v>92.711258154224694</v>
      </c>
      <c r="AJ905">
        <v>87.860859178519505</v>
      </c>
      <c r="AK905">
        <v>24.409207629053601</v>
      </c>
    </row>
    <row r="906" spans="1:37" x14ac:dyDescent="0.2">
      <c r="A906" t="str">
        <f>"20200111155517197"</f>
        <v>20200111155517197</v>
      </c>
      <c r="B906" t="str">
        <f>"1578729317193651"</f>
        <v>1578729317193651</v>
      </c>
      <c r="C906" t="s">
        <v>37</v>
      </c>
      <c r="D906">
        <v>4.7848629999999996</v>
      </c>
      <c r="E906">
        <v>0.55853129999999995</v>
      </c>
      <c r="F906" t="s">
        <v>39</v>
      </c>
      <c r="G906">
        <v>-300.91359999999997</v>
      </c>
      <c r="H906">
        <v>-0.05</v>
      </c>
      <c r="I906">
        <v>366.23140000000001</v>
      </c>
      <c r="J906">
        <v>-325.16180000000003</v>
      </c>
      <c r="K906">
        <v>1.1046209999999901</v>
      </c>
      <c r="L906">
        <v>367.2482</v>
      </c>
      <c r="M906">
        <v>0.99988790000000005</v>
      </c>
      <c r="N906">
        <v>0</v>
      </c>
      <c r="O906">
        <v>-4.5363209999999899E-3</v>
      </c>
      <c r="P906">
        <v>0.99363579999999996</v>
      </c>
      <c r="Q906">
        <v>-4.8782570000000004E-3</v>
      </c>
      <c r="R906">
        <v>0.1125353</v>
      </c>
      <c r="S906">
        <v>3.032654</v>
      </c>
      <c r="T906">
        <v>-0.1433536</v>
      </c>
      <c r="U906">
        <v>-0.12634280000000001</v>
      </c>
      <c r="V906">
        <v>-0.1170421</v>
      </c>
      <c r="W906">
        <v>9.2980149999999998E-3</v>
      </c>
      <c r="X906">
        <v>0.99308339999999995</v>
      </c>
      <c r="Y906">
        <v>3.7055169999999998E-2</v>
      </c>
      <c r="Z906">
        <v>-6.6069619999999996E-4</v>
      </c>
      <c r="AA906">
        <v>0.99931299999999901</v>
      </c>
      <c r="AB906">
        <v>33</v>
      </c>
      <c r="AC906">
        <v>24.248200000000001</v>
      </c>
      <c r="AD906">
        <v>-1.1546209999999999</v>
      </c>
      <c r="AE906">
        <v>-1.0167999999999799</v>
      </c>
      <c r="AF906">
        <v>0.904732965165988</v>
      </c>
      <c r="AG906">
        <v>-1.1546209999999999</v>
      </c>
      <c r="AH906">
        <v>24.197794722956498</v>
      </c>
      <c r="AI906">
        <v>92.729946465343005</v>
      </c>
      <c r="AJ906">
        <v>87.858761672240803</v>
      </c>
      <c r="AK906">
        <v>24.242214437757902</v>
      </c>
    </row>
    <row r="907" spans="1:37" x14ac:dyDescent="0.2">
      <c r="A907" t="str">
        <f>"20200111155517209"</f>
        <v>20200111155517209</v>
      </c>
      <c r="B907" t="str">
        <f>"1578729317203411"</f>
        <v>1578729317203411</v>
      </c>
      <c r="C907" t="s">
        <v>37</v>
      </c>
      <c r="D907">
        <v>4.8508050000000003</v>
      </c>
      <c r="E907">
        <v>0.55850610000000001</v>
      </c>
      <c r="F907" t="s">
        <v>39</v>
      </c>
      <c r="G907">
        <v>-300.80279999999999</v>
      </c>
      <c r="H907">
        <v>-0.05</v>
      </c>
      <c r="I907">
        <v>366.24860000000001</v>
      </c>
      <c r="J907">
        <v>-324.9871</v>
      </c>
      <c r="K907">
        <v>1.104622</v>
      </c>
      <c r="L907">
        <v>367.2475</v>
      </c>
      <c r="M907">
        <v>0.99988779999999999</v>
      </c>
      <c r="N907">
        <v>0</v>
      </c>
      <c r="O907">
        <v>-4.5364480000000002E-3</v>
      </c>
      <c r="P907">
        <v>0.99362929999999905</v>
      </c>
      <c r="Q907">
        <v>-5.1980200000000002E-3</v>
      </c>
      <c r="R907">
        <v>0.1125786</v>
      </c>
      <c r="S907">
        <v>3.032654</v>
      </c>
      <c r="T907">
        <v>-0.14374809999999999</v>
      </c>
      <c r="U907">
        <v>-0.1244507</v>
      </c>
      <c r="V907">
        <v>-0.11708499999999999</v>
      </c>
      <c r="W907">
        <v>8.9961920000000001E-3</v>
      </c>
      <c r="X907">
        <v>0.9930812</v>
      </c>
      <c r="Y907">
        <v>3.6433119999999999E-2</v>
      </c>
      <c r="Z907">
        <v>-6.4778649999999998E-4</v>
      </c>
      <c r="AA907">
        <v>0.99933590000000005</v>
      </c>
      <c r="AB907">
        <v>33</v>
      </c>
      <c r="AC907">
        <v>24.1843</v>
      </c>
      <c r="AD907">
        <v>-1.154622</v>
      </c>
      <c r="AE907">
        <v>-0.99889999999999202</v>
      </c>
      <c r="AF907">
        <v>0.88714903172677495</v>
      </c>
      <c r="AG907">
        <v>-1.154622</v>
      </c>
      <c r="AH907">
        <v>24.133667427569598</v>
      </c>
      <c r="AI907">
        <v>92.737255424264305</v>
      </c>
      <c r="AJ907">
        <v>87.894765940053404</v>
      </c>
      <c r="AK907">
        <v>24.1775534095556</v>
      </c>
    </row>
    <row r="908" spans="1:37" x14ac:dyDescent="0.2">
      <c r="A908" t="str">
        <f>"20200111155517220"</f>
        <v>20200111155517220</v>
      </c>
      <c r="B908" t="str">
        <f>"1578729317213171"</f>
        <v>1578729317213171</v>
      </c>
      <c r="C908" t="s">
        <v>37</v>
      </c>
      <c r="D908">
        <v>4.8105949999999904</v>
      </c>
      <c r="E908">
        <v>0.55848469999999995</v>
      </c>
      <c r="F908" t="s">
        <v>39</v>
      </c>
      <c r="G908">
        <v>-300.7826</v>
      </c>
      <c r="H908">
        <v>-0.05</v>
      </c>
      <c r="I908">
        <v>366.25560000000002</v>
      </c>
      <c r="J908">
        <v>-324.81700000000001</v>
      </c>
      <c r="K908">
        <v>1.1046240000000001</v>
      </c>
      <c r="L908">
        <v>367.24669999999998</v>
      </c>
      <c r="M908">
        <v>0.99988750000000004</v>
      </c>
      <c r="N908">
        <v>0</v>
      </c>
      <c r="O908">
        <v>-4.536567E-3</v>
      </c>
      <c r="P908">
        <v>0.99360190000000004</v>
      </c>
      <c r="Q908">
        <v>-5.5148019999999897E-3</v>
      </c>
      <c r="R908">
        <v>0.1128053</v>
      </c>
      <c r="S908">
        <v>3.0325319999999998</v>
      </c>
      <c r="T908">
        <v>-0.14466039999999999</v>
      </c>
      <c r="U908">
        <v>-0.12426760000000001</v>
      </c>
      <c r="V908">
        <v>-0.11731169999999901</v>
      </c>
      <c r="W908">
        <v>8.6957960000000004E-3</v>
      </c>
      <c r="X908">
        <v>0.99305710000000003</v>
      </c>
      <c r="Y908">
        <v>3.6374009999999998E-2</v>
      </c>
      <c r="Z908">
        <v>-6.5050570000000003E-4</v>
      </c>
      <c r="AA908">
        <v>0.99933799999999995</v>
      </c>
      <c r="AB908">
        <v>33</v>
      </c>
      <c r="AC908">
        <v>24.034400000000002</v>
      </c>
      <c r="AD908">
        <v>-1.1546240000000001</v>
      </c>
      <c r="AE908">
        <v>-0.99109999999996001</v>
      </c>
      <c r="AF908">
        <v>0.88001745466966996</v>
      </c>
      <c r="AG908">
        <v>-1.1546240000000001</v>
      </c>
      <c r="AH908">
        <v>23.9833922770957</v>
      </c>
      <c r="AI908">
        <v>92.754391714844502</v>
      </c>
      <c r="AJ908">
        <v>87.8986010268505</v>
      </c>
      <c r="AK908">
        <v>24.027290575904601</v>
      </c>
    </row>
    <row r="909" spans="1:37" x14ac:dyDescent="0.2">
      <c r="A909" t="str">
        <f>"20200111155517231"</f>
        <v>20200111155517231</v>
      </c>
      <c r="B909" t="str">
        <f>"1578729317223410"</f>
        <v>1578729317223410</v>
      </c>
      <c r="C909" t="s">
        <v>37</v>
      </c>
      <c r="D909">
        <v>4.8219729999999998</v>
      </c>
      <c r="E909">
        <v>0.55847950000000002</v>
      </c>
      <c r="F909" t="s">
        <v>39</v>
      </c>
      <c r="G909">
        <v>-300.7559</v>
      </c>
      <c r="H909">
        <v>-0.05</v>
      </c>
      <c r="I909">
        <v>366.26679999999999</v>
      </c>
      <c r="J909">
        <v>-324.64769999999999</v>
      </c>
      <c r="K909">
        <v>1.1046240000000001</v>
      </c>
      <c r="L909">
        <v>367.24599999999998</v>
      </c>
      <c r="M909">
        <v>0.99988719999999998</v>
      </c>
      <c r="N909">
        <v>0</v>
      </c>
      <c r="O909">
        <v>-4.5365520000000001E-3</v>
      </c>
      <c r="P909">
        <v>0.99356679999999997</v>
      </c>
      <c r="Q909">
        <v>-5.8971350000000004E-3</v>
      </c>
      <c r="R909">
        <v>0.1130948</v>
      </c>
      <c r="S909">
        <v>3.0325319999999998</v>
      </c>
      <c r="T909">
        <v>-0.1455227</v>
      </c>
      <c r="U909">
        <v>-0.12350460000000001</v>
      </c>
      <c r="V909">
        <v>-0.11760089999999999</v>
      </c>
      <c r="W909">
        <v>8.3276889999999992E-3</v>
      </c>
      <c r="X909">
        <v>0.99302599999999996</v>
      </c>
      <c r="Y909">
        <v>3.6122880000000003E-2</v>
      </c>
      <c r="Z909">
        <v>-6.4836309999999895E-4</v>
      </c>
      <c r="AA909">
        <v>0.99934719999999999</v>
      </c>
      <c r="AB909">
        <v>33</v>
      </c>
      <c r="AC909">
        <v>23.8917999999999</v>
      </c>
      <c r="AD909">
        <v>-1.1546240000000001</v>
      </c>
      <c r="AE909">
        <v>-0.97919999999999097</v>
      </c>
      <c r="AF909">
        <v>0.86876679810243396</v>
      </c>
      <c r="AG909">
        <v>-1.1546240000000001</v>
      </c>
      <c r="AH909">
        <v>23.840410383124901</v>
      </c>
      <c r="AI909">
        <v>92.770910843699497</v>
      </c>
      <c r="AJ909">
        <v>87.913011808619302</v>
      </c>
      <c r="AK909">
        <v>23.884159595151601</v>
      </c>
    </row>
    <row r="910" spans="1:37" x14ac:dyDescent="0.2">
      <c r="A910" t="str">
        <f>"20200111155517242"</f>
        <v>20200111155517242</v>
      </c>
      <c r="B910" t="str">
        <f>"1578729317233170"</f>
        <v>1578729317233170</v>
      </c>
      <c r="C910" t="s">
        <v>37</v>
      </c>
      <c r="D910">
        <v>4.9325589999999897</v>
      </c>
      <c r="E910">
        <v>0.55849869999999902</v>
      </c>
      <c r="F910" t="s">
        <v>39</v>
      </c>
      <c r="G910">
        <v>-300.77269999999999</v>
      </c>
      <c r="H910">
        <v>-0.05</v>
      </c>
      <c r="I910">
        <v>366.27960000000002</v>
      </c>
      <c r="J910">
        <v>-324.4862</v>
      </c>
      <c r="K910">
        <v>1.1046240000000001</v>
      </c>
      <c r="L910">
        <v>367.24520000000001</v>
      </c>
      <c r="M910">
        <v>0.99988709999999903</v>
      </c>
      <c r="N910">
        <v>0</v>
      </c>
      <c r="O910">
        <v>-4.5366470000000004E-3</v>
      </c>
      <c r="P910">
        <v>0.99352779999999996</v>
      </c>
      <c r="Q910">
        <v>-5.8973640000000004E-3</v>
      </c>
      <c r="R910">
        <v>0.113436999999999</v>
      </c>
      <c r="S910">
        <v>3.0325319999999998</v>
      </c>
      <c r="T910">
        <v>-0.14665719999999999</v>
      </c>
      <c r="U910">
        <v>-0.1227417</v>
      </c>
      <c r="V910">
        <v>-0.1179432</v>
      </c>
      <c r="W910">
        <v>8.3400869999999995E-3</v>
      </c>
      <c r="X910">
        <v>0.99298529999999996</v>
      </c>
      <c r="Y910">
        <v>3.5871519999999997E-2</v>
      </c>
      <c r="Z910">
        <v>-6.4733879999999996E-4</v>
      </c>
      <c r="AA910">
        <v>0.99935620000000003</v>
      </c>
      <c r="AB910">
        <v>33</v>
      </c>
      <c r="AC910">
        <v>23.7135</v>
      </c>
      <c r="AD910">
        <v>-1.1546240000000001</v>
      </c>
      <c r="AE910">
        <v>-0.96559999999999402</v>
      </c>
      <c r="AF910">
        <v>0.85597328440924503</v>
      </c>
      <c r="AG910">
        <v>-1.1546240000000001</v>
      </c>
      <c r="AH910">
        <v>23.661633471404599</v>
      </c>
      <c r="AI910">
        <v>92.791840450968806</v>
      </c>
      <c r="AJ910">
        <v>87.928195473627397</v>
      </c>
      <c r="AK910">
        <v>23.705247211959101</v>
      </c>
    </row>
    <row r="911" spans="1:37" x14ac:dyDescent="0.2">
      <c r="A911" t="str">
        <f>"20200111155517254"</f>
        <v>20200111155517254</v>
      </c>
      <c r="B911" t="str">
        <f>"1578729317243906"</f>
        <v>1578729317243906</v>
      </c>
      <c r="C911" t="s">
        <v>37</v>
      </c>
      <c r="D911">
        <v>4.9514680000000002</v>
      </c>
      <c r="E911">
        <v>0.55845109999999998</v>
      </c>
      <c r="F911" t="s">
        <v>39</v>
      </c>
      <c r="G911">
        <v>-300.6198</v>
      </c>
      <c r="H911">
        <v>-0.05</v>
      </c>
      <c r="I911">
        <v>366.28910000000002</v>
      </c>
      <c r="J911">
        <v>-324.29770000000002</v>
      </c>
      <c r="K911">
        <v>1.104625</v>
      </c>
      <c r="L911">
        <v>367.24439999999998</v>
      </c>
      <c r="M911">
        <v>0.99988690000000002</v>
      </c>
      <c r="N911">
        <v>0</v>
      </c>
      <c r="O911">
        <v>-4.5365099999999997E-3</v>
      </c>
      <c r="P911">
        <v>0.99351719999999899</v>
      </c>
      <c r="Q911">
        <v>-6.2362240000000003E-3</v>
      </c>
      <c r="R911">
        <v>0.11351259999999901</v>
      </c>
      <c r="S911">
        <v>3.0325009999999999</v>
      </c>
      <c r="T911">
        <v>-0.14670839999999999</v>
      </c>
      <c r="U911">
        <v>-0.1214905</v>
      </c>
      <c r="V911">
        <v>-0.11801879999999999</v>
      </c>
      <c r="W911">
        <v>8.0148960000000005E-3</v>
      </c>
      <c r="X911">
        <v>0.99297899999999995</v>
      </c>
      <c r="Y911">
        <v>3.5460829999999999E-2</v>
      </c>
      <c r="Z911">
        <v>-6.3765839999999996E-4</v>
      </c>
      <c r="AA911">
        <v>0.99937089999999995</v>
      </c>
      <c r="AB911">
        <v>33</v>
      </c>
      <c r="AC911">
        <v>23.677900000000001</v>
      </c>
      <c r="AD911">
        <v>-1.154625</v>
      </c>
      <c r="AE911">
        <v>-0.95529999999996495</v>
      </c>
      <c r="AF911">
        <v>0.84585599211573403</v>
      </c>
      <c r="AG911">
        <v>-1.154625</v>
      </c>
      <c r="AH911">
        <v>23.625901492556899</v>
      </c>
      <c r="AI911">
        <v>92.796096050194095</v>
      </c>
      <c r="AJ911">
        <v>87.949568717754801</v>
      </c>
      <c r="AK911">
        <v>23.6692174054409</v>
      </c>
    </row>
    <row r="912" spans="1:37" x14ac:dyDescent="0.2">
      <c r="A912" t="str">
        <f>"20200111155517266"</f>
        <v>20200111155517266</v>
      </c>
      <c r="B912" t="str">
        <f>"1578729317263426"</f>
        <v>1578729317263426</v>
      </c>
      <c r="C912" t="s">
        <v>37</v>
      </c>
      <c r="D912">
        <v>4.8003559999999998</v>
      </c>
      <c r="E912">
        <v>0.5584306</v>
      </c>
      <c r="F912" t="s">
        <v>39</v>
      </c>
      <c r="G912">
        <v>-300.58139999999997</v>
      </c>
      <c r="H912">
        <v>-0.05</v>
      </c>
      <c r="I912">
        <v>366.29730000000001</v>
      </c>
      <c r="J912">
        <v>-324.13069999999999</v>
      </c>
      <c r="K912">
        <v>1.104627</v>
      </c>
      <c r="L912">
        <v>367.24360000000001</v>
      </c>
      <c r="M912">
        <v>0.99988659999999996</v>
      </c>
      <c r="N912">
        <v>0</v>
      </c>
      <c r="O912">
        <v>-4.5364709999999898E-3</v>
      </c>
      <c r="P912">
        <v>0.99346970000000001</v>
      </c>
      <c r="Q912">
        <v>-6.2160519999999997E-3</v>
      </c>
      <c r="R912">
        <v>0.113926399999999</v>
      </c>
      <c r="S912">
        <v>3.0325009999999999</v>
      </c>
      <c r="T912">
        <v>-0.14763679999999901</v>
      </c>
      <c r="U912">
        <v>-0.1210938</v>
      </c>
      <c r="V912">
        <v>-0.118432199999999</v>
      </c>
      <c r="W912">
        <v>8.0454140000000007E-3</v>
      </c>
      <c r="X912">
        <v>0.99292959999999997</v>
      </c>
      <c r="Y912">
        <v>3.5330029999999998E-2</v>
      </c>
      <c r="Z912">
        <v>-6.3851130000000002E-4</v>
      </c>
      <c r="AA912">
        <v>0.99937549999999997</v>
      </c>
      <c r="AB912">
        <v>33</v>
      </c>
      <c r="AC912">
        <v>23.549299999999999</v>
      </c>
      <c r="AD912">
        <v>-1.1546270000000001</v>
      </c>
      <c r="AE912">
        <v>-0.94630000000000702</v>
      </c>
      <c r="AF912">
        <v>0.83743860361926903</v>
      </c>
      <c r="AG912">
        <v>-1.1546270000000001</v>
      </c>
      <c r="AH912">
        <v>23.496956233513</v>
      </c>
      <c r="AI912">
        <v>92.811436816610197</v>
      </c>
      <c r="AJ912">
        <v>87.958825107659706</v>
      </c>
      <c r="AK912">
        <v>23.5402085624488</v>
      </c>
    </row>
    <row r="913" spans="1:37" x14ac:dyDescent="0.2">
      <c r="A913" t="str">
        <f>"20200111155517278"</f>
        <v>20200111155517278</v>
      </c>
      <c r="B913" t="str">
        <f>"1578729317273185"</f>
        <v>1578729317273185</v>
      </c>
      <c r="C913" t="s">
        <v>37</v>
      </c>
      <c r="D913">
        <v>4.9062169999999998</v>
      </c>
      <c r="E913">
        <v>0.55847559999999996</v>
      </c>
      <c r="F913" t="s">
        <v>39</v>
      </c>
      <c r="G913">
        <v>-300.38869999999997</v>
      </c>
      <c r="H913">
        <v>-0.05</v>
      </c>
      <c r="I913">
        <v>366.30549999999999</v>
      </c>
      <c r="J913">
        <v>-323.95440000000002</v>
      </c>
      <c r="K913">
        <v>1.10463</v>
      </c>
      <c r="L913">
        <v>367.24290000000002</v>
      </c>
      <c r="M913">
        <v>0.99988659999999996</v>
      </c>
      <c r="N913">
        <v>0</v>
      </c>
      <c r="O913">
        <v>-4.5365529999999996E-3</v>
      </c>
      <c r="P913">
        <v>0.99343959999999998</v>
      </c>
      <c r="Q913">
        <v>-6.1171019999999897E-3</v>
      </c>
      <c r="R913">
        <v>0.1141952</v>
      </c>
      <c r="S913">
        <v>3.0325319999999998</v>
      </c>
      <c r="T913">
        <v>-0.1474792</v>
      </c>
      <c r="U913">
        <v>-0.119811999999999</v>
      </c>
      <c r="V913">
        <v>-0.1187015</v>
      </c>
      <c r="W913">
        <v>8.1555569999999904E-3</v>
      </c>
      <c r="X913">
        <v>0.99289649999999996</v>
      </c>
      <c r="Y913">
        <v>3.4908380000000003E-2</v>
      </c>
      <c r="Z913">
        <v>-6.2758279999999996E-4</v>
      </c>
      <c r="AA913">
        <v>0.99939029999999995</v>
      </c>
      <c r="AB913">
        <v>33</v>
      </c>
      <c r="AC913">
        <v>23.5657</v>
      </c>
      <c r="AD913">
        <v>-1.1546299999999901</v>
      </c>
      <c r="AE913">
        <v>-0.93740000000002499</v>
      </c>
      <c r="AF913">
        <v>0.82848653428645502</v>
      </c>
      <c r="AG913">
        <v>-1.1546299999999901</v>
      </c>
      <c r="AH913">
        <v>23.513352803633602</v>
      </c>
      <c r="AI913">
        <v>92.809527011715801</v>
      </c>
      <c r="AJ913">
        <v>87.982033745973496</v>
      </c>
      <c r="AK913">
        <v>23.556258625735499</v>
      </c>
    </row>
    <row r="914" spans="1:37" x14ac:dyDescent="0.2">
      <c r="A914" t="str">
        <f>"20200111155517288"</f>
        <v>20200111155517288</v>
      </c>
      <c r="B914" t="str">
        <f>"1578729317282946"</f>
        <v>1578729317282946</v>
      </c>
      <c r="C914" t="s">
        <v>37</v>
      </c>
      <c r="D914">
        <v>4.804182</v>
      </c>
      <c r="E914">
        <v>0.55846739999999995</v>
      </c>
      <c r="F914" t="s">
        <v>39</v>
      </c>
      <c r="G914">
        <v>-300.11419999999998</v>
      </c>
      <c r="H914">
        <v>-0.05</v>
      </c>
      <c r="I914">
        <v>366.30549999999999</v>
      </c>
      <c r="J914">
        <v>-323.79329999999999</v>
      </c>
      <c r="K914">
        <v>1.10463</v>
      </c>
      <c r="L914">
        <v>367.24209999999999</v>
      </c>
      <c r="M914">
        <v>0.99988639999999995</v>
      </c>
      <c r="N914">
        <v>0</v>
      </c>
      <c r="O914">
        <v>-4.5366180000000001E-3</v>
      </c>
      <c r="P914">
        <v>0.99343189999999904</v>
      </c>
      <c r="Q914">
        <v>-5.9315740000000002E-3</v>
      </c>
      <c r="R914">
        <v>0.1142716</v>
      </c>
      <c r="S914">
        <v>3.0326230000000001</v>
      </c>
      <c r="T914">
        <v>-0.14687620000000001</v>
      </c>
      <c r="U914">
        <v>-0.119232199999999</v>
      </c>
      <c r="V914">
        <v>-0.11877749999999999</v>
      </c>
      <c r="W914">
        <v>8.3500999999999992E-3</v>
      </c>
      <c r="X914">
        <v>0.99288580000000004</v>
      </c>
      <c r="Y914">
        <v>3.471685E-2</v>
      </c>
      <c r="Z914">
        <v>-6.2036619999999998E-4</v>
      </c>
      <c r="AA914">
        <v>0.99939699999999998</v>
      </c>
      <c r="AB914">
        <v>33</v>
      </c>
      <c r="AC914">
        <v>23.679099999999998</v>
      </c>
      <c r="AD914">
        <v>-1.1546299999999901</v>
      </c>
      <c r="AE914">
        <v>-0.93659999999999799</v>
      </c>
      <c r="AF914">
        <v>0.82719249447259002</v>
      </c>
      <c r="AG914">
        <v>-1.1546299999999901</v>
      </c>
      <c r="AH914">
        <v>23.627015741587901</v>
      </c>
      <c r="AI914">
        <v>92.796054628412094</v>
      </c>
      <c r="AJ914">
        <v>87.994867859982605</v>
      </c>
      <c r="AK914">
        <v>23.669670270476001</v>
      </c>
    </row>
    <row r="915" spans="1:37" x14ac:dyDescent="0.2">
      <c r="A915" t="str">
        <f>"20200111155517300"</f>
        <v>20200111155517300</v>
      </c>
      <c r="B915" t="str">
        <f>"1578729317293682"</f>
        <v>1578729317293682</v>
      </c>
      <c r="C915" t="s">
        <v>37</v>
      </c>
      <c r="D915">
        <v>4.8303719999999997</v>
      </c>
      <c r="E915">
        <v>0.55847049999999998</v>
      </c>
      <c r="F915" t="s">
        <v>39</v>
      </c>
      <c r="G915">
        <v>-299.86270000000002</v>
      </c>
      <c r="H915">
        <v>-0.05</v>
      </c>
      <c r="I915">
        <v>366.303</v>
      </c>
      <c r="J915">
        <v>-323.62369999999999</v>
      </c>
      <c r="K915">
        <v>1.1046309999999999</v>
      </c>
      <c r="L915">
        <v>367.2414</v>
      </c>
      <c r="M915">
        <v>0.99988630000000001</v>
      </c>
      <c r="N915">
        <v>0</v>
      </c>
      <c r="O915">
        <v>-4.536684E-3</v>
      </c>
      <c r="P915">
        <v>0.99340219999999901</v>
      </c>
      <c r="Q915">
        <v>-5.7466409999999898E-3</v>
      </c>
      <c r="R915">
        <v>0.1145383</v>
      </c>
      <c r="S915">
        <v>3.032715</v>
      </c>
      <c r="T915">
        <v>-0.1463256</v>
      </c>
      <c r="U915">
        <v>-0.1190186</v>
      </c>
      <c r="V915">
        <v>-0.11904429999999901</v>
      </c>
      <c r="W915">
        <v>8.5432110000000002E-3</v>
      </c>
      <c r="X915">
        <v>0.99285219999999896</v>
      </c>
      <c r="Y915">
        <v>3.4645670000000003E-2</v>
      </c>
      <c r="Z915">
        <v>-6.1630720000000003E-4</v>
      </c>
      <c r="AA915">
        <v>0.9993995</v>
      </c>
      <c r="AB915">
        <v>33</v>
      </c>
      <c r="AC915">
        <v>23.7609999999999</v>
      </c>
      <c r="AD915">
        <v>-1.154631</v>
      </c>
      <c r="AE915">
        <v>-0.93839999999994395</v>
      </c>
      <c r="AF915">
        <v>0.82862942261252603</v>
      </c>
      <c r="AG915">
        <v>-1.154631</v>
      </c>
      <c r="AH915">
        <v>23.709115193838201</v>
      </c>
      <c r="AI915">
        <v>92.786396093143793</v>
      </c>
      <c r="AJ915">
        <v>87.998337281744099</v>
      </c>
      <c r="AK915">
        <v>23.751672419871198</v>
      </c>
    </row>
    <row r="916" spans="1:37" x14ac:dyDescent="0.2">
      <c r="A916" t="str">
        <f>"20200111155517311"</f>
        <v>20200111155517311</v>
      </c>
      <c r="B916" t="str">
        <f>"1578729317303443"</f>
        <v>1578729317303443</v>
      </c>
      <c r="C916" t="s">
        <v>37</v>
      </c>
      <c r="D916">
        <v>4.840903</v>
      </c>
      <c r="E916">
        <v>0.55848350000000002</v>
      </c>
      <c r="F916" t="s">
        <v>39</v>
      </c>
      <c r="G916">
        <v>-299.59480000000002</v>
      </c>
      <c r="H916">
        <v>-0.05</v>
      </c>
      <c r="I916">
        <v>366.3039</v>
      </c>
      <c r="J916">
        <v>-323.45999999999998</v>
      </c>
      <c r="K916">
        <v>1.1046309999999999</v>
      </c>
      <c r="L916">
        <v>367.24059999999997</v>
      </c>
      <c r="M916">
        <v>0.99988619999999995</v>
      </c>
      <c r="N916">
        <v>0</v>
      </c>
      <c r="O916">
        <v>-4.5365010000000001E-3</v>
      </c>
      <c r="P916">
        <v>0.99337500000000001</v>
      </c>
      <c r="Q916">
        <v>-5.4810739999999998E-3</v>
      </c>
      <c r="R916">
        <v>0.1147876</v>
      </c>
      <c r="S916">
        <v>3.032715</v>
      </c>
      <c r="T916">
        <v>-0.14572789999999999</v>
      </c>
      <c r="U916">
        <v>-0.1183167</v>
      </c>
      <c r="V916">
        <v>-0.119293</v>
      </c>
      <c r="W916">
        <v>8.8159540000000008E-3</v>
      </c>
      <c r="X916">
        <v>0.99282000000000004</v>
      </c>
      <c r="Y916">
        <v>3.441545E-2</v>
      </c>
      <c r="Z916">
        <v>-6.0827769999999997E-4</v>
      </c>
      <c r="AA916">
        <v>0.99940739999999995</v>
      </c>
      <c r="AB916">
        <v>33</v>
      </c>
      <c r="AC916">
        <v>23.865199999999898</v>
      </c>
      <c r="AD916">
        <v>-1.154631</v>
      </c>
      <c r="AE916">
        <v>-0.936699999999973</v>
      </c>
      <c r="AF916">
        <v>0.82648302827356701</v>
      </c>
      <c r="AG916">
        <v>-1.154631</v>
      </c>
      <c r="AH916">
        <v>23.813548175285401</v>
      </c>
      <c r="AI916">
        <v>92.774219093027</v>
      </c>
      <c r="AJ916">
        <v>88.012266397653306</v>
      </c>
      <c r="AK916">
        <v>23.855844643165</v>
      </c>
    </row>
    <row r="917" spans="1:37" x14ac:dyDescent="0.2">
      <c r="A917" t="str">
        <f>"20200111155517323"</f>
        <v>20200111155517323</v>
      </c>
      <c r="B917" t="str">
        <f>"1578729317313202"</f>
        <v>1578729317313202</v>
      </c>
      <c r="C917" t="s">
        <v>37</v>
      </c>
      <c r="D917">
        <v>4.8063409999999998</v>
      </c>
      <c r="E917">
        <v>0.5584884</v>
      </c>
      <c r="F917" t="s">
        <v>39</v>
      </c>
      <c r="G917">
        <v>-299.30160000000001</v>
      </c>
      <c r="H917">
        <v>-0.05</v>
      </c>
      <c r="I917">
        <v>366.30439999999999</v>
      </c>
      <c r="J917">
        <v>-323.28449999999998</v>
      </c>
      <c r="K917">
        <v>1.1046279999999999</v>
      </c>
      <c r="L917">
        <v>367.2398</v>
      </c>
      <c r="M917">
        <v>0.999886099999999</v>
      </c>
      <c r="N917">
        <v>0</v>
      </c>
      <c r="O917">
        <v>-4.5365570000000001E-3</v>
      </c>
      <c r="P917">
        <v>0.99336449999999998</v>
      </c>
      <c r="Q917">
        <v>-5.4694180000000002E-3</v>
      </c>
      <c r="R917">
        <v>0.1148801</v>
      </c>
      <c r="S917">
        <v>3.0327759999999899</v>
      </c>
      <c r="T917">
        <v>-0.1449491</v>
      </c>
      <c r="U917">
        <v>-0.11752319999999999</v>
      </c>
      <c r="V917">
        <v>-0.1193858</v>
      </c>
      <c r="W917">
        <v>8.8359800000000002E-3</v>
      </c>
      <c r="X917">
        <v>0.99280859999999904</v>
      </c>
      <c r="Y917">
        <v>3.4154199999999899E-2</v>
      </c>
      <c r="Z917">
        <v>-5.9878199999999996E-4</v>
      </c>
      <c r="AA917">
        <v>0.99941639999999998</v>
      </c>
      <c r="AB917">
        <v>33</v>
      </c>
      <c r="AC917">
        <v>23.982899999999901</v>
      </c>
      <c r="AD917">
        <v>-1.154628</v>
      </c>
      <c r="AE917">
        <v>-0.935400000000015</v>
      </c>
      <c r="AF917">
        <v>0.82467076607317003</v>
      </c>
      <c r="AG917">
        <v>-1.154628</v>
      </c>
      <c r="AH917">
        <v>23.9315122722947</v>
      </c>
      <c r="AI917">
        <v>92.760581851029698</v>
      </c>
      <c r="AJ917">
        <v>88.026390287357003</v>
      </c>
      <c r="AK917">
        <v>23.973538064494999</v>
      </c>
    </row>
    <row r="918" spans="1:37" x14ac:dyDescent="0.2">
      <c r="A918" t="str">
        <f>"20200111155517334"</f>
        <v>20200111155517334</v>
      </c>
      <c r="B918" t="str">
        <f>"1578729317322963"</f>
        <v>1578729317322963</v>
      </c>
      <c r="C918" t="s">
        <v>37</v>
      </c>
      <c r="D918">
        <v>4.8107030000000002</v>
      </c>
      <c r="E918">
        <v>0.55850569999999999</v>
      </c>
      <c r="F918" t="s">
        <v>39</v>
      </c>
      <c r="G918">
        <v>-299.0994</v>
      </c>
      <c r="H918">
        <v>-0.05</v>
      </c>
      <c r="I918">
        <v>366.30549999999999</v>
      </c>
      <c r="J918">
        <v>-323.11709999999999</v>
      </c>
      <c r="K918">
        <v>1.1046290000000001</v>
      </c>
      <c r="L918">
        <v>367.23899999999998</v>
      </c>
      <c r="M918">
        <v>0.99988589999999999</v>
      </c>
      <c r="N918">
        <v>0</v>
      </c>
      <c r="O918">
        <v>-4.5364869999999996E-3</v>
      </c>
      <c r="P918">
        <v>0.99335890000000004</v>
      </c>
      <c r="Q918">
        <v>-5.2075139999999999E-3</v>
      </c>
      <c r="R918">
        <v>0.1149394</v>
      </c>
      <c r="S918">
        <v>3.0328059999999999</v>
      </c>
      <c r="T918">
        <v>-0.1447899</v>
      </c>
      <c r="U918">
        <v>-0.117157</v>
      </c>
      <c r="V918">
        <v>-0.119444699999999</v>
      </c>
      <c r="W918">
        <v>9.1044279999999995E-3</v>
      </c>
      <c r="X918">
        <v>0.99279910000000005</v>
      </c>
      <c r="Y918">
        <v>3.4033590000000002E-2</v>
      </c>
      <c r="Z918">
        <v>-5.9524739999999995E-4</v>
      </c>
      <c r="AA918">
        <v>0.99942050000000004</v>
      </c>
      <c r="AB918">
        <v>33</v>
      </c>
      <c r="AC918">
        <v>24.017699999999898</v>
      </c>
      <c r="AD918">
        <v>-1.1546289999999999</v>
      </c>
      <c r="AE918">
        <v>-0.93350000000003697</v>
      </c>
      <c r="AF918">
        <v>0.82262478165733199</v>
      </c>
      <c r="AG918">
        <v>-1.1546289999999999</v>
      </c>
      <c r="AH918">
        <v>23.966382472562699</v>
      </c>
      <c r="AI918">
        <v>92.7565867014942</v>
      </c>
      <c r="AJ918">
        <v>88.034145059765706</v>
      </c>
      <c r="AK918">
        <v>24.0082770827104</v>
      </c>
    </row>
    <row r="919" spans="1:37" x14ac:dyDescent="0.2">
      <c r="A919" t="str">
        <f>"20200111155517346"</f>
        <v>20200111155517346</v>
      </c>
      <c r="B919" t="str">
        <f>"1578729317343458"</f>
        <v>1578729317343458</v>
      </c>
      <c r="C919" t="s">
        <v>37</v>
      </c>
      <c r="D919">
        <v>4.8660690000000004</v>
      </c>
      <c r="E919">
        <v>0.558558</v>
      </c>
      <c r="F919" t="s">
        <v>39</v>
      </c>
      <c r="G919">
        <v>-298.78919999999999</v>
      </c>
      <c r="H919">
        <v>-0.05</v>
      </c>
      <c r="I919">
        <v>366.29930000000002</v>
      </c>
      <c r="J919">
        <v>-322.95010000000002</v>
      </c>
      <c r="K919">
        <v>1.10463</v>
      </c>
      <c r="L919">
        <v>367.23829999999998</v>
      </c>
      <c r="M919">
        <v>0.99988580000000005</v>
      </c>
      <c r="N919">
        <v>0</v>
      </c>
      <c r="O919">
        <v>-4.5362919999999999E-3</v>
      </c>
      <c r="P919">
        <v>0.99335319999999905</v>
      </c>
      <c r="Q919">
        <v>-5.1033670000000001E-3</v>
      </c>
      <c r="R919">
        <v>0.114992899999999</v>
      </c>
      <c r="S919">
        <v>3.0328369999999998</v>
      </c>
      <c r="T919">
        <v>-0.14394199999999999</v>
      </c>
      <c r="U919">
        <v>-0.117157</v>
      </c>
      <c r="V919">
        <v>-0.1194981</v>
      </c>
      <c r="W919">
        <v>9.2140969999999992E-3</v>
      </c>
      <c r="X919">
        <v>0.99279169999999906</v>
      </c>
      <c r="Y919">
        <v>3.4033790000000001E-2</v>
      </c>
      <c r="Z919">
        <v>-5.917734E-4</v>
      </c>
      <c r="AA919">
        <v>0.99942050000000004</v>
      </c>
      <c r="AB919">
        <v>33</v>
      </c>
      <c r="AC919">
        <v>24.160900000000002</v>
      </c>
      <c r="AD919">
        <v>-1.1546299999999901</v>
      </c>
      <c r="AE919">
        <v>-0.93899999999996397</v>
      </c>
      <c r="AF919">
        <v>0.82749106943722694</v>
      </c>
      <c r="AG919">
        <v>-1.1546299999999901</v>
      </c>
      <c r="AH919">
        <v>24.109931981492402</v>
      </c>
      <c r="AI919">
        <v>92.740201798287501</v>
      </c>
      <c r="AJ919">
        <v>88.0342896657626</v>
      </c>
      <c r="AK919">
        <v>24.1517438720083</v>
      </c>
    </row>
    <row r="920" spans="1:37" x14ac:dyDescent="0.2">
      <c r="A920" t="str">
        <f>"20200111155517359"</f>
        <v>20200111155517359</v>
      </c>
      <c r="B920" t="str">
        <f>"1578729317353218"</f>
        <v>1578729317353218</v>
      </c>
      <c r="C920" t="s">
        <v>37</v>
      </c>
      <c r="D920">
        <v>4.8753279999999997</v>
      </c>
      <c r="E920">
        <v>0.55858039999999998</v>
      </c>
      <c r="F920" t="s">
        <v>39</v>
      </c>
      <c r="G920">
        <v>-298.55959999999999</v>
      </c>
      <c r="H920">
        <v>-0.05</v>
      </c>
      <c r="I920">
        <v>366.29320000000001</v>
      </c>
      <c r="J920">
        <v>-322.76549999999997</v>
      </c>
      <c r="K920">
        <v>1.104635</v>
      </c>
      <c r="L920">
        <v>367.23739999999998</v>
      </c>
      <c r="M920">
        <v>0.99988569999999999</v>
      </c>
      <c r="N920">
        <v>0</v>
      </c>
      <c r="O920">
        <v>-4.5362179999999998E-3</v>
      </c>
      <c r="P920">
        <v>0.99336669999999905</v>
      </c>
      <c r="Q920">
        <v>-4.9227569999999998E-3</v>
      </c>
      <c r="R920">
        <v>0.11488469999999899</v>
      </c>
      <c r="S920">
        <v>3.0329280000000001</v>
      </c>
      <c r="T920">
        <v>-0.1435765</v>
      </c>
      <c r="U920">
        <v>-0.11752319999999999</v>
      </c>
      <c r="V920">
        <v>-0.1193895</v>
      </c>
      <c r="W920">
        <v>9.4014860000000006E-3</v>
      </c>
      <c r="X920">
        <v>0.99280299999999999</v>
      </c>
      <c r="Y920">
        <v>3.415323E-2</v>
      </c>
      <c r="Z920">
        <v>-5.9308129999999996E-4</v>
      </c>
      <c r="AA920">
        <v>0.99941639999999998</v>
      </c>
      <c r="AB920">
        <v>33</v>
      </c>
      <c r="AC920">
        <v>24.2058999999999</v>
      </c>
      <c r="AD920">
        <v>-1.1546350000000001</v>
      </c>
      <c r="AE920">
        <v>-0.94419999999996596</v>
      </c>
      <c r="AF920">
        <v>0.83248431222666597</v>
      </c>
      <c r="AG920">
        <v>-1.1546350000000001</v>
      </c>
      <c r="AH920">
        <v>24.1550568912998</v>
      </c>
      <c r="AI920">
        <v>92.735088959814206</v>
      </c>
      <c r="AJ920">
        <v>88.026129004030295</v>
      </c>
      <c r="AK920">
        <v>24.1969623204083</v>
      </c>
    </row>
    <row r="921" spans="1:37" x14ac:dyDescent="0.2">
      <c r="A921" t="str">
        <f>"20200111155517371"</f>
        <v>20200111155517371</v>
      </c>
      <c r="B921" t="str">
        <f>"1578729317363954"</f>
        <v>1578729317363954</v>
      </c>
      <c r="C921" t="s">
        <v>37</v>
      </c>
      <c r="D921">
        <v>4.8195969999999999</v>
      </c>
      <c r="E921">
        <v>0.55858809999999903</v>
      </c>
      <c r="F921" t="s">
        <v>39</v>
      </c>
      <c r="G921">
        <v>-298.2801</v>
      </c>
      <c r="H921">
        <v>-0.05</v>
      </c>
      <c r="I921">
        <v>366.28739999999999</v>
      </c>
      <c r="J921">
        <v>-322.56900000000002</v>
      </c>
      <c r="K921">
        <v>1.104636</v>
      </c>
      <c r="L921">
        <v>367.23660000000001</v>
      </c>
      <c r="M921">
        <v>0.99988569999999999</v>
      </c>
      <c r="N921">
        <v>0</v>
      </c>
      <c r="O921">
        <v>-4.536259E-3</v>
      </c>
      <c r="P921">
        <v>0.99339949999999999</v>
      </c>
      <c r="Q921">
        <v>-4.4748219999999998E-3</v>
      </c>
      <c r="R921">
        <v>0.1146194</v>
      </c>
      <c r="S921">
        <v>3.0328979999999999</v>
      </c>
      <c r="T921">
        <v>-0.14301949999999999</v>
      </c>
      <c r="U921">
        <v>-0.1176758</v>
      </c>
      <c r="V921">
        <v>-0.1191248</v>
      </c>
      <c r="W921">
        <v>9.8554130000000004E-3</v>
      </c>
      <c r="X921">
        <v>0.9928304</v>
      </c>
      <c r="Y921">
        <v>3.4203980000000002E-2</v>
      </c>
      <c r="Z921">
        <v>-5.9198189999999998E-4</v>
      </c>
      <c r="AA921">
        <v>0.99941469999999899</v>
      </c>
      <c r="AB921">
        <v>33</v>
      </c>
      <c r="AC921">
        <v>24.288900000000002</v>
      </c>
      <c r="AD921">
        <v>-1.154636</v>
      </c>
      <c r="AE921">
        <v>-0.94920000000001803</v>
      </c>
      <c r="AF921">
        <v>0.83710919518075499</v>
      </c>
      <c r="AG921">
        <v>-1.154636</v>
      </c>
      <c r="AH921">
        <v>24.238265632820799</v>
      </c>
      <c r="AI921">
        <v>92.725709280154106</v>
      </c>
      <c r="AJ921">
        <v>88.021980264437403</v>
      </c>
      <c r="AK921">
        <v>24.280186510493099</v>
      </c>
    </row>
    <row r="922" spans="1:37" x14ac:dyDescent="0.2">
      <c r="A922" t="str">
        <f>"20200111155517386"</f>
        <v>20200111155517386</v>
      </c>
      <c r="B922" t="str">
        <f>"1578729317383474"</f>
        <v>1578729317383474</v>
      </c>
      <c r="C922" t="s">
        <v>37</v>
      </c>
      <c r="D922">
        <v>5.1350169999999897</v>
      </c>
      <c r="E922">
        <v>0.5585331</v>
      </c>
      <c r="F922" t="s">
        <v>39</v>
      </c>
      <c r="G922">
        <v>-297.84820000000002</v>
      </c>
      <c r="H922">
        <v>-0.05</v>
      </c>
      <c r="I922">
        <v>366.26749999999998</v>
      </c>
      <c r="J922">
        <v>-322.35509999999999</v>
      </c>
      <c r="K922">
        <v>1.104636</v>
      </c>
      <c r="L922">
        <v>367.23559999999998</v>
      </c>
      <c r="M922">
        <v>0.99988569999999999</v>
      </c>
      <c r="N922">
        <v>0</v>
      </c>
      <c r="O922">
        <v>-4.5362989999999997E-3</v>
      </c>
      <c r="P922">
        <v>0.99347700000000005</v>
      </c>
      <c r="Q922">
        <v>-4.1758050000000003E-3</v>
      </c>
      <c r="R922">
        <v>0.113956999999999</v>
      </c>
      <c r="S922">
        <v>3.03302</v>
      </c>
      <c r="T922">
        <v>-0.14166379999999901</v>
      </c>
      <c r="U922">
        <v>-0.118896499999999</v>
      </c>
      <c r="V922">
        <v>-0.1184626</v>
      </c>
      <c r="W922">
        <v>1.016105E-2</v>
      </c>
      <c r="X922">
        <v>0.99290650000000003</v>
      </c>
      <c r="Y922">
        <v>3.460419E-2</v>
      </c>
      <c r="Z922">
        <v>-5.9568449999999895E-4</v>
      </c>
      <c r="AA922">
        <v>0.99940090000000004</v>
      </c>
      <c r="AB922">
        <v>33</v>
      </c>
      <c r="AC922">
        <v>24.506899999999899</v>
      </c>
      <c r="AD922">
        <v>-1.154636</v>
      </c>
      <c r="AE922">
        <v>-0.96809999999999197</v>
      </c>
      <c r="AF922">
        <v>0.855012848525049</v>
      </c>
      <c r="AG922">
        <v>-1.154636</v>
      </c>
      <c r="AH922">
        <v>24.4568351981018</v>
      </c>
      <c r="AI922">
        <v>92.701346356074495</v>
      </c>
      <c r="AJ922">
        <v>87.997750575861204</v>
      </c>
      <c r="AK922">
        <v>24.499000370846801</v>
      </c>
    </row>
    <row r="923" spans="1:37" x14ac:dyDescent="0.2">
      <c r="A923" t="str">
        <f>"20200111155517404"</f>
        <v>20200111155517404</v>
      </c>
      <c r="B923" t="str">
        <f>"1578729317393234"</f>
        <v>1578729317393234</v>
      </c>
      <c r="C923" t="s">
        <v>37</v>
      </c>
      <c r="D923">
        <v>5.1034680000000003</v>
      </c>
      <c r="E923">
        <v>0.55848629999999999</v>
      </c>
      <c r="F923" t="s">
        <v>39</v>
      </c>
      <c r="G923">
        <v>-297.40370000000001</v>
      </c>
      <c r="H923">
        <v>-0.05</v>
      </c>
      <c r="I923">
        <v>366.24439999999998</v>
      </c>
      <c r="J923">
        <v>-322.10570000000001</v>
      </c>
      <c r="K923">
        <v>1.104638</v>
      </c>
      <c r="L923">
        <v>367.23439999999999</v>
      </c>
      <c r="M923">
        <v>0.99988539999999904</v>
      </c>
      <c r="N923">
        <v>0</v>
      </c>
      <c r="O923">
        <v>-4.5363390000000003E-3</v>
      </c>
      <c r="P923">
        <v>0.99349799999999999</v>
      </c>
      <c r="Q923">
        <v>-4.0764529999999998E-3</v>
      </c>
      <c r="R923">
        <v>0.1137769</v>
      </c>
      <c r="S923">
        <v>3.0329280000000001</v>
      </c>
      <c r="T923">
        <v>-0.14034969999999999</v>
      </c>
      <c r="U923">
        <v>-0.12048339999999901</v>
      </c>
      <c r="V923">
        <v>-0.118283</v>
      </c>
      <c r="W923">
        <v>1.0265949999999999E-2</v>
      </c>
      <c r="X923">
        <v>0.9929268</v>
      </c>
      <c r="Y923">
        <v>3.5127459999999999E-2</v>
      </c>
      <c r="Z923">
        <v>-6.0227070000000004E-4</v>
      </c>
      <c r="AA923">
        <v>0.99938269999999996</v>
      </c>
      <c r="AB923">
        <v>33</v>
      </c>
      <c r="AC923">
        <v>24.701999999999899</v>
      </c>
      <c r="AD923">
        <v>-1.1546379999999901</v>
      </c>
      <c r="AE923">
        <v>-0.99000000000000898</v>
      </c>
      <c r="AF923">
        <v>0.87601056769330399</v>
      </c>
      <c r="AG923">
        <v>-1.1546379999999901</v>
      </c>
      <c r="AH923">
        <v>24.65246095046</v>
      </c>
      <c r="AI923">
        <v>92.679892150847095</v>
      </c>
      <c r="AJ923">
        <v>87.964884769970396</v>
      </c>
      <c r="AK923">
        <v>24.695028129964001</v>
      </c>
    </row>
    <row r="924" spans="1:37" x14ac:dyDescent="0.2">
      <c r="A924" t="str">
        <f>"20200111155517419"</f>
        <v>20200111155517419</v>
      </c>
      <c r="B924" t="str">
        <f>"1578729317413730"</f>
        <v>1578729317413730</v>
      </c>
      <c r="C924" t="s">
        <v>37</v>
      </c>
      <c r="D924">
        <v>4.8026869999999997</v>
      </c>
      <c r="E924">
        <v>0.5584865</v>
      </c>
      <c r="F924" t="s">
        <v>39</v>
      </c>
      <c r="G924">
        <v>-297.06509999999997</v>
      </c>
      <c r="H924">
        <v>-0.05</v>
      </c>
      <c r="I924">
        <v>366.23860000000002</v>
      </c>
      <c r="J924">
        <v>-321.87560000000002</v>
      </c>
      <c r="K924">
        <v>1.1046400000000001</v>
      </c>
      <c r="L924">
        <v>367.23340000000002</v>
      </c>
      <c r="M924">
        <v>0.99988539999999904</v>
      </c>
      <c r="N924">
        <v>0</v>
      </c>
      <c r="O924">
        <v>-4.5362520000000002E-3</v>
      </c>
      <c r="P924">
        <v>0.99354339999999997</v>
      </c>
      <c r="Q924">
        <v>-3.7892379999999999E-3</v>
      </c>
      <c r="R924">
        <v>0.11338959999999999</v>
      </c>
      <c r="S924">
        <v>3.0328979999999999</v>
      </c>
      <c r="T924">
        <v>-0.13984859999999999</v>
      </c>
      <c r="U924">
        <v>-0.1206055</v>
      </c>
      <c r="V924">
        <v>-0.11789529999999999</v>
      </c>
      <c r="W924">
        <v>1.055824E-2</v>
      </c>
      <c r="X924">
        <v>0.99296989999999996</v>
      </c>
      <c r="Y924">
        <v>3.51683E-2</v>
      </c>
      <c r="Z924">
        <v>-6.010729E-4</v>
      </c>
      <c r="AA924">
        <v>0.99938119999999997</v>
      </c>
      <c r="AB924">
        <v>33</v>
      </c>
      <c r="AC924">
        <v>24.810500000000001</v>
      </c>
      <c r="AD924">
        <v>-1.1546400000000001</v>
      </c>
      <c r="AE924">
        <v>-0.99479999999999702</v>
      </c>
      <c r="AF924">
        <v>0.880327771002967</v>
      </c>
      <c r="AG924">
        <v>-1.1546400000000001</v>
      </c>
      <c r="AH924">
        <v>24.761215576840499</v>
      </c>
      <c r="AI924">
        <v>92.668141632609206</v>
      </c>
      <c r="AJ924">
        <v>87.963838638688003</v>
      </c>
      <c r="AK924">
        <v>24.8037490584945</v>
      </c>
    </row>
    <row r="925" spans="1:37" x14ac:dyDescent="0.2">
      <c r="A925" t="str">
        <f>"20200111155517432"</f>
        <v>20200111155517432</v>
      </c>
      <c r="B925" t="str">
        <f>"1578729317423805"</f>
        <v>1578729317423805</v>
      </c>
      <c r="C925" t="s">
        <v>37</v>
      </c>
      <c r="D925">
        <v>4.7766919999999997</v>
      </c>
      <c r="E925">
        <v>0.55849989999999905</v>
      </c>
      <c r="F925" t="s">
        <v>39</v>
      </c>
      <c r="G925">
        <v>-296.64170000000001</v>
      </c>
      <c r="H925">
        <v>-0.05</v>
      </c>
      <c r="I925">
        <v>366.21879999999999</v>
      </c>
      <c r="J925">
        <v>-321.66890000000001</v>
      </c>
      <c r="K925">
        <v>1.1046419999999999</v>
      </c>
      <c r="L925">
        <v>367.23250000000002</v>
      </c>
      <c r="M925">
        <v>0.99988539999999904</v>
      </c>
      <c r="N925">
        <v>0</v>
      </c>
      <c r="O925">
        <v>-4.5362759999999997E-3</v>
      </c>
      <c r="P925">
        <v>0.99352929999999995</v>
      </c>
      <c r="Q925">
        <v>-3.2369859999999999E-3</v>
      </c>
      <c r="R925">
        <v>0.1135306</v>
      </c>
      <c r="S925">
        <v>3.0329280000000001</v>
      </c>
      <c r="T925">
        <v>-0.13877899999999899</v>
      </c>
      <c r="U925">
        <v>-0.12194819999999899</v>
      </c>
      <c r="V925">
        <v>-0.11803619999999999</v>
      </c>
      <c r="W925">
        <v>1.1113720000000001E-2</v>
      </c>
      <c r="X925">
        <v>0.99294709999999997</v>
      </c>
      <c r="Y925">
        <v>3.5609670000000003E-2</v>
      </c>
      <c r="Z925">
        <v>-6.0655669999999998E-4</v>
      </c>
      <c r="AA925">
        <v>0.99936559999999897</v>
      </c>
      <c r="AB925">
        <v>33</v>
      </c>
      <c r="AC925">
        <v>25.027200000000001</v>
      </c>
      <c r="AD925">
        <v>-1.1546419999999999</v>
      </c>
      <c r="AE925">
        <v>-1.01370000000002</v>
      </c>
      <c r="AF925">
        <v>0.89823868335817603</v>
      </c>
      <c r="AG925">
        <v>-1.1546419999999999</v>
      </c>
      <c r="AH925">
        <v>24.978462194649101</v>
      </c>
      <c r="AI925">
        <v>92.644935057164304</v>
      </c>
      <c r="AJ925">
        <v>87.940500977504598</v>
      </c>
      <c r="AK925">
        <v>25.021263047455399</v>
      </c>
    </row>
    <row r="926" spans="1:37" x14ac:dyDescent="0.2">
      <c r="A926" t="str">
        <f>"20200111155517446"</f>
        <v>20200111155517446</v>
      </c>
      <c r="B926" t="str">
        <f>"1578729317443326"</f>
        <v>1578729317443326</v>
      </c>
      <c r="C926" t="s">
        <v>37</v>
      </c>
      <c r="D926">
        <v>4.8918010000000001</v>
      </c>
      <c r="E926">
        <v>0.55855330000000003</v>
      </c>
      <c r="F926" t="s">
        <v>39</v>
      </c>
      <c r="G926">
        <v>-296.06259999999997</v>
      </c>
      <c r="H926">
        <v>-0.05</v>
      </c>
      <c r="I926">
        <v>366.20650000000001</v>
      </c>
      <c r="J926">
        <v>-321.47590000000002</v>
      </c>
      <c r="K926">
        <v>1.104643</v>
      </c>
      <c r="L926">
        <v>367.23160000000001</v>
      </c>
      <c r="M926">
        <v>0.99988539999999904</v>
      </c>
      <c r="N926">
        <v>0</v>
      </c>
      <c r="O926">
        <v>-4.5362950000000001E-3</v>
      </c>
      <c r="P926">
        <v>0.99349979999999904</v>
      </c>
      <c r="Q926">
        <v>-2.8603869999999998E-3</v>
      </c>
      <c r="R926">
        <v>0.1137999</v>
      </c>
      <c r="S926">
        <v>3.0329899999999999</v>
      </c>
      <c r="T926">
        <v>-0.13676389999999999</v>
      </c>
      <c r="U926">
        <v>-0.121521</v>
      </c>
      <c r="V926">
        <v>-0.11830549999999999</v>
      </c>
      <c r="W926">
        <v>1.14922999999999E-2</v>
      </c>
      <c r="X926">
        <v>0.99291070000000003</v>
      </c>
      <c r="Y926">
        <v>3.546937E-2</v>
      </c>
      <c r="Z926">
        <v>-5.9458669999999897E-4</v>
      </c>
      <c r="AA926">
        <v>0.9993706</v>
      </c>
      <c r="AB926">
        <v>33</v>
      </c>
      <c r="AC926">
        <v>25.4133</v>
      </c>
      <c r="AD926">
        <v>-1.1546430000000001</v>
      </c>
      <c r="AE926">
        <v>-1.0250999999999999</v>
      </c>
      <c r="AF926">
        <v>0.90792401326670402</v>
      </c>
      <c r="AG926">
        <v>-1.1546430000000001</v>
      </c>
      <c r="AH926">
        <v>25.365412284313201</v>
      </c>
      <c r="AI926">
        <v>92.604660285861698</v>
      </c>
      <c r="AJ926">
        <v>87.9500425796531</v>
      </c>
      <c r="AK926">
        <v>25.4079055969693</v>
      </c>
    </row>
    <row r="927" spans="1:37" x14ac:dyDescent="0.2">
      <c r="A927" t="str">
        <f>"20200111155517457"</f>
        <v>20200111155517457</v>
      </c>
      <c r="B927" t="str">
        <f>"1578729317454062"</f>
        <v>1578729317454062</v>
      </c>
      <c r="C927" t="s">
        <v>37</v>
      </c>
      <c r="D927">
        <v>4.84673</v>
      </c>
      <c r="E927">
        <v>0.55856850000000002</v>
      </c>
      <c r="F927" t="s">
        <v>39</v>
      </c>
      <c r="G927">
        <v>-295.65839999999997</v>
      </c>
      <c r="H927">
        <v>-0.05</v>
      </c>
      <c r="I927">
        <v>366.19900000000001</v>
      </c>
      <c r="J927">
        <v>-321.29809999999998</v>
      </c>
      <c r="K927">
        <v>1.104644</v>
      </c>
      <c r="L927">
        <v>367.23070000000001</v>
      </c>
      <c r="M927">
        <v>0.99988529999999998</v>
      </c>
      <c r="N927">
        <v>0</v>
      </c>
      <c r="O927">
        <v>-4.5360729999999998E-3</v>
      </c>
      <c r="P927">
        <v>0.99349750000000003</v>
      </c>
      <c r="Q927">
        <v>-2.2520359999999998E-3</v>
      </c>
      <c r="R927">
        <v>0.113832399999999</v>
      </c>
      <c r="S927">
        <v>3.0331419999999998</v>
      </c>
      <c r="T927">
        <v>-0.13565189999999999</v>
      </c>
      <c r="U927">
        <v>-0.121307399999999</v>
      </c>
      <c r="V927">
        <v>-0.11833779999999899</v>
      </c>
      <c r="W927">
        <v>1.210261E-2</v>
      </c>
      <c r="X927">
        <v>0.99289969999999905</v>
      </c>
      <c r="Y927">
        <v>3.539788E-2</v>
      </c>
      <c r="Z927">
        <v>-5.8814130000000003E-4</v>
      </c>
      <c r="AA927">
        <v>0.99937310000000001</v>
      </c>
      <c r="AB927">
        <v>33</v>
      </c>
      <c r="AC927">
        <v>25.639700000000001</v>
      </c>
      <c r="AD927">
        <v>-1.154644</v>
      </c>
      <c r="AE927">
        <v>-1.0317000000000001</v>
      </c>
      <c r="AF927">
        <v>0.91352404599800896</v>
      </c>
      <c r="AG927">
        <v>-1.154644</v>
      </c>
      <c r="AH927">
        <v>25.592298950956501</v>
      </c>
      <c r="AI927">
        <v>92.581611538410399</v>
      </c>
      <c r="AJ927">
        <v>87.955679588150105</v>
      </c>
      <c r="AK927">
        <v>25.634615162792699</v>
      </c>
    </row>
    <row r="928" spans="1:37" x14ac:dyDescent="0.2">
      <c r="A928" t="str">
        <f>"20200111155517471"</f>
        <v>20200111155517471</v>
      </c>
      <c r="B928" t="str">
        <f>"1578729317463822"</f>
        <v>1578729317463822</v>
      </c>
      <c r="C928" t="s">
        <v>37</v>
      </c>
      <c r="D928">
        <v>4.8003839999999904</v>
      </c>
      <c r="E928">
        <v>0.55857179999999995</v>
      </c>
      <c r="F928" t="s">
        <v>39</v>
      </c>
      <c r="G928">
        <v>-295.18310000000002</v>
      </c>
      <c r="H928">
        <v>-0.05</v>
      </c>
      <c r="I928">
        <v>366.18810000000002</v>
      </c>
      <c r="J928">
        <v>-321.10059999999999</v>
      </c>
      <c r="K928">
        <v>1.104503</v>
      </c>
      <c r="L928">
        <v>367.22989999999999</v>
      </c>
      <c r="M928">
        <v>0.99989300000000003</v>
      </c>
      <c r="N928">
        <v>0</v>
      </c>
      <c r="O928">
        <v>-4.5363859999999999E-3</v>
      </c>
      <c r="P928">
        <v>0.99346829999999997</v>
      </c>
      <c r="Q928">
        <v>-1.4059820000000001E-3</v>
      </c>
      <c r="R928">
        <v>0.1141006</v>
      </c>
      <c r="S928">
        <v>3.0332340000000002</v>
      </c>
      <c r="T928">
        <v>-0.1341106</v>
      </c>
      <c r="U928">
        <v>-0.1210938</v>
      </c>
      <c r="V928">
        <v>-0.1186063</v>
      </c>
      <c r="W928">
        <v>1.2423969999999999E-2</v>
      </c>
      <c r="X928">
        <v>0.99286369999999902</v>
      </c>
      <c r="Y928">
        <v>3.5326900000000001E-2</v>
      </c>
      <c r="Z928">
        <v>-5.7986819999999897E-4</v>
      </c>
      <c r="AA928">
        <v>0.99937559999999903</v>
      </c>
      <c r="AB928">
        <v>33</v>
      </c>
      <c r="AC928">
        <v>25.917499999999901</v>
      </c>
      <c r="AD928">
        <v>-1.1545030000000001</v>
      </c>
      <c r="AE928">
        <v>-1.0417999999999601</v>
      </c>
      <c r="AF928">
        <v>0.92237881345108297</v>
      </c>
      <c r="AG928">
        <v>-1.1545030000000001</v>
      </c>
      <c r="AH928">
        <v>25.870707706017299</v>
      </c>
      <c r="AI928">
        <v>92.553558745772605</v>
      </c>
      <c r="AJ928">
        <v>87.958075296412503</v>
      </c>
      <c r="AK928">
        <v>25.912876665138899</v>
      </c>
    </row>
    <row r="929" spans="1:37" x14ac:dyDescent="0.2">
      <c r="A929" t="str">
        <f>"20200111155517487"</f>
        <v>20200111155517487</v>
      </c>
      <c r="B929" t="str">
        <f>"1578729317483342"</f>
        <v>1578729317483342</v>
      </c>
      <c r="C929" t="s">
        <v>37</v>
      </c>
      <c r="D929">
        <v>4.8648110000000004</v>
      </c>
      <c r="E929">
        <v>0.55852899999999905</v>
      </c>
      <c r="F929" t="s">
        <v>39</v>
      </c>
      <c r="G929">
        <v>-294.53769999999997</v>
      </c>
      <c r="H929">
        <v>-0.05</v>
      </c>
      <c r="I929">
        <v>366.1748</v>
      </c>
      <c r="J929">
        <v>-320.87040000000002</v>
      </c>
      <c r="K929">
        <v>1.104325</v>
      </c>
      <c r="L929">
        <v>367.22879999999998</v>
      </c>
      <c r="M929">
        <v>0.99990000000000001</v>
      </c>
      <c r="N929">
        <v>0</v>
      </c>
      <c r="O929">
        <v>-4.5365170000000003E-3</v>
      </c>
      <c r="P929">
        <v>0.99346569999999901</v>
      </c>
      <c r="Q929">
        <v>-2.9372980000000001E-4</v>
      </c>
      <c r="R929">
        <v>0.1141321</v>
      </c>
      <c r="S929">
        <v>3.033417</v>
      </c>
      <c r="T929">
        <v>-0.13184119999999999</v>
      </c>
      <c r="U929">
        <v>-0.12048339999999901</v>
      </c>
      <c r="V929">
        <v>-0.1186381</v>
      </c>
      <c r="W929">
        <v>1.301711E-2</v>
      </c>
      <c r="X929">
        <v>0.99285219999999896</v>
      </c>
      <c r="Y929">
        <v>3.5124830000000003E-2</v>
      </c>
      <c r="Z929">
        <v>-5.6564129999999997E-4</v>
      </c>
      <c r="AA929">
        <v>0.99938280000000002</v>
      </c>
      <c r="AB929">
        <v>33</v>
      </c>
      <c r="AC929">
        <v>26.332699999999999</v>
      </c>
      <c r="AD929">
        <v>-1.154325</v>
      </c>
      <c r="AE929">
        <v>-1.0539999999999701</v>
      </c>
      <c r="AF929">
        <v>0.93273021616386698</v>
      </c>
      <c r="AG929">
        <v>-1.154325</v>
      </c>
      <c r="AH929">
        <v>26.286778745385401</v>
      </c>
      <c r="AI929">
        <v>92.512821096417198</v>
      </c>
      <c r="AJ929">
        <v>87.967834171047201</v>
      </c>
      <c r="AK929">
        <v>26.328638184885602</v>
      </c>
    </row>
    <row r="930" spans="1:37" x14ac:dyDescent="0.2">
      <c r="A930" t="str">
        <f>"20200111155517499"</f>
        <v>20200111155517499</v>
      </c>
      <c r="B930" t="str">
        <f>"1578729317493102"</f>
        <v>1578729317493102</v>
      </c>
      <c r="C930" t="s">
        <v>37</v>
      </c>
      <c r="D930">
        <v>4.9966679999999997</v>
      </c>
      <c r="E930">
        <v>0.54176089999999999</v>
      </c>
      <c r="F930" t="s">
        <v>39</v>
      </c>
      <c r="G930">
        <v>-293.7878</v>
      </c>
      <c r="H930">
        <v>-0.05</v>
      </c>
      <c r="I930">
        <v>366.16149999999999</v>
      </c>
      <c r="J930">
        <v>-320.68900000000002</v>
      </c>
      <c r="K930">
        <v>1.1041809999999901</v>
      </c>
      <c r="L930">
        <v>367.22800000000001</v>
      </c>
      <c r="M930">
        <v>0.99990419999999902</v>
      </c>
      <c r="N930">
        <v>0</v>
      </c>
      <c r="O930">
        <v>-4.5367890000000003E-3</v>
      </c>
      <c r="P930">
        <v>0.9934617</v>
      </c>
      <c r="Q930">
        <v>2.435963E-4</v>
      </c>
      <c r="R930">
        <v>0.11416610000000001</v>
      </c>
      <c r="S930">
        <v>3.033417</v>
      </c>
      <c r="T930">
        <v>-0.1292914</v>
      </c>
      <c r="U930">
        <v>-0.1195374</v>
      </c>
      <c r="V930">
        <v>-0.11867229999999999</v>
      </c>
      <c r="W930">
        <v>1.323739E-2</v>
      </c>
      <c r="X930">
        <v>0.99284519999999998</v>
      </c>
      <c r="Y930">
        <v>3.481476E-2</v>
      </c>
      <c r="Z930">
        <v>-5.481021E-4</v>
      </c>
      <c r="AA930">
        <v>0.99939359999999999</v>
      </c>
      <c r="AB930">
        <v>33</v>
      </c>
      <c r="AC930">
        <v>26.901199999999999</v>
      </c>
      <c r="AD930">
        <v>-1.1541809999999999</v>
      </c>
      <c r="AE930">
        <v>-1.06650000000001</v>
      </c>
      <c r="AF930">
        <v>0.94270092510500203</v>
      </c>
      <c r="AG930">
        <v>-1.1541809999999999</v>
      </c>
      <c r="AH930">
        <v>26.856402553814</v>
      </c>
      <c r="AI930">
        <v>92.4593169304447</v>
      </c>
      <c r="AJ930">
        <v>87.989655641346701</v>
      </c>
      <c r="AK930">
        <v>26.8977169467497</v>
      </c>
    </row>
    <row r="931" spans="1:37" x14ac:dyDescent="0.2">
      <c r="A931" t="str">
        <f>"20200111155517511"</f>
        <v>20200111155517511</v>
      </c>
      <c r="B931" t="str">
        <f>"1578729317503837"</f>
        <v>1578729317503837</v>
      </c>
      <c r="C931" t="s">
        <v>37</v>
      </c>
      <c r="D931">
        <v>4.9332549999999999</v>
      </c>
      <c r="E931">
        <v>0.53672209999999998</v>
      </c>
      <c r="F931" t="s">
        <v>39</v>
      </c>
      <c r="G931">
        <v>-296.56009999999998</v>
      </c>
      <c r="H931">
        <v>-0.05</v>
      </c>
      <c r="I931">
        <v>367.33670000000001</v>
      </c>
      <c r="J931">
        <v>-320.49520000000001</v>
      </c>
      <c r="K931">
        <v>1.1040270000000001</v>
      </c>
      <c r="L931">
        <v>367.22710000000001</v>
      </c>
      <c r="M931">
        <v>0.9999036</v>
      </c>
      <c r="N931">
        <v>0</v>
      </c>
      <c r="O931">
        <v>-4.5373449999999999E-3</v>
      </c>
      <c r="P931">
        <v>0.99348369999999997</v>
      </c>
      <c r="Q931">
        <v>4.1386580000000002E-4</v>
      </c>
      <c r="R931">
        <v>0.1139748</v>
      </c>
      <c r="S931">
        <v>3.01821899999999</v>
      </c>
      <c r="T931">
        <v>-0.1443731</v>
      </c>
      <c r="U931">
        <v>1.3610840000000001E-2</v>
      </c>
      <c r="V931">
        <v>-0.11848160000000001</v>
      </c>
      <c r="W931">
        <v>1.3455760000000001E-2</v>
      </c>
      <c r="X931">
        <v>0.99286509999999994</v>
      </c>
      <c r="Y931">
        <v>-9.0316440000000001E-3</v>
      </c>
      <c r="Z931">
        <v>4.3281699999999902E-4</v>
      </c>
      <c r="AA931">
        <v>0.99995909999999999</v>
      </c>
      <c r="AB931">
        <v>33</v>
      </c>
      <c r="AC931">
        <v>23.935099999999998</v>
      </c>
      <c r="AD931">
        <v>-1.1540269999999999</v>
      </c>
      <c r="AE931">
        <v>0.1096</v>
      </c>
      <c r="AF931">
        <v>-0.21770395052206001</v>
      </c>
      <c r="AG931">
        <v>-1.1540269999999999</v>
      </c>
      <c r="AH931">
        <v>23.878846945913001</v>
      </c>
      <c r="AI931">
        <v>92.766747037378806</v>
      </c>
      <c r="AJ931">
        <v>90.522352356201694</v>
      </c>
      <c r="AK931">
        <v>23.907708062320399</v>
      </c>
    </row>
    <row r="932" spans="1:37" x14ac:dyDescent="0.2">
      <c r="A932" t="str">
        <f>"20200111155517524"</f>
        <v>20200111155517524</v>
      </c>
      <c r="B932" t="str">
        <f>"1578729317513597"</f>
        <v>1578729317513597</v>
      </c>
      <c r="C932" t="s">
        <v>37</v>
      </c>
      <c r="D932">
        <v>4.9607060000000001</v>
      </c>
      <c r="E932">
        <v>0.53302559999999999</v>
      </c>
      <c r="F932" t="s">
        <v>39</v>
      </c>
      <c r="G932">
        <v>-295.99369999999999</v>
      </c>
      <c r="H932">
        <v>-0.05</v>
      </c>
      <c r="I932">
        <v>367.6583</v>
      </c>
      <c r="J932">
        <v>-320.30759999999998</v>
      </c>
      <c r="K932">
        <v>1.103837</v>
      </c>
      <c r="L932">
        <v>367.22629999999998</v>
      </c>
      <c r="M932">
        <v>0.99990109999999999</v>
      </c>
      <c r="N932">
        <v>0</v>
      </c>
      <c r="O932">
        <v>-4.5374489999999998E-3</v>
      </c>
      <c r="P932">
        <v>0.99349609999999899</v>
      </c>
      <c r="Q932">
        <v>6.3429030000000002E-4</v>
      </c>
      <c r="R932">
        <v>0.11386349999999899</v>
      </c>
      <c r="S932">
        <v>3.0136409999999998</v>
      </c>
      <c r="T932">
        <v>-0.1419435</v>
      </c>
      <c r="U932">
        <v>5.3039549999999998E-2</v>
      </c>
      <c r="V932">
        <v>-0.11837019999999999</v>
      </c>
      <c r="W932">
        <v>1.3852929999999999E-2</v>
      </c>
      <c r="X932">
        <v>0.99287289999999995</v>
      </c>
      <c r="Y932">
        <v>-2.2104539999999999E-2</v>
      </c>
      <c r="Z932">
        <v>7.3383789999999997E-4</v>
      </c>
      <c r="AA932">
        <v>0.99975539999999996</v>
      </c>
      <c r="AB932">
        <v>33</v>
      </c>
      <c r="AC932">
        <v>24.313899999999901</v>
      </c>
      <c r="AD932">
        <v>-1.153837</v>
      </c>
      <c r="AE932">
        <v>0.43200000000001598</v>
      </c>
      <c r="AF932">
        <v>-0.54111018213571205</v>
      </c>
      <c r="AG932">
        <v>-1.153837</v>
      </c>
      <c r="AH932">
        <v>24.257078190630601</v>
      </c>
      <c r="AI932">
        <v>92.722660632193794</v>
      </c>
      <c r="AJ932">
        <v>91.277902820517298</v>
      </c>
      <c r="AK932">
        <v>24.290532773040301</v>
      </c>
    </row>
    <row r="933" spans="1:37" x14ac:dyDescent="0.2">
      <c r="A933" t="str">
        <f>"20200111155517537"</f>
        <v>20200111155517537</v>
      </c>
      <c r="B933" t="str">
        <f>"1578729317533589"</f>
        <v>1578729317533589</v>
      </c>
      <c r="C933" t="s">
        <v>37</v>
      </c>
      <c r="D933">
        <v>4.933408</v>
      </c>
      <c r="E933">
        <v>0.53061720000000001</v>
      </c>
      <c r="F933" t="s">
        <v>39</v>
      </c>
      <c r="G933">
        <v>-296.00229999999999</v>
      </c>
      <c r="H933">
        <v>-0.05</v>
      </c>
      <c r="I933">
        <v>367.88810000000001</v>
      </c>
      <c r="J933">
        <v>-320.13049999999998</v>
      </c>
      <c r="K933">
        <v>1.1036170000000001</v>
      </c>
      <c r="L933">
        <v>367.22539999999998</v>
      </c>
      <c r="M933">
        <v>0.99989740000000005</v>
      </c>
      <c r="N933">
        <v>0</v>
      </c>
      <c r="O933">
        <v>-4.5377150000000003E-3</v>
      </c>
      <c r="P933">
        <v>0.99351880000000004</v>
      </c>
      <c r="Q933">
        <v>5.7867589999999896E-4</v>
      </c>
      <c r="R933">
        <v>0.11366759999999999</v>
      </c>
      <c r="S933">
        <v>3.010345</v>
      </c>
      <c r="T933">
        <v>-0.1429096</v>
      </c>
      <c r="U933">
        <v>8.1970210000000002E-2</v>
      </c>
      <c r="V933">
        <v>-0.11817469999999999</v>
      </c>
      <c r="W933">
        <v>1.408322E-2</v>
      </c>
      <c r="X933">
        <v>0.99289289999999997</v>
      </c>
      <c r="Y933">
        <v>-3.171479E-2</v>
      </c>
      <c r="Z933">
        <v>9.6751200000000002E-4</v>
      </c>
      <c r="AA933">
        <v>0.99949650000000001</v>
      </c>
      <c r="AB933">
        <v>33</v>
      </c>
      <c r="AC933">
        <v>24.1282</v>
      </c>
      <c r="AD933">
        <v>-1.1536169999999999</v>
      </c>
      <c r="AE933">
        <v>0.66270000000002904</v>
      </c>
      <c r="AF933">
        <v>-0.770430313116376</v>
      </c>
      <c r="AG933">
        <v>-1.1536169999999999</v>
      </c>
      <c r="AH933">
        <v>24.069962017188701</v>
      </c>
      <c r="AI933">
        <v>92.742550643022597</v>
      </c>
      <c r="AJ933">
        <v>91.833294951200202</v>
      </c>
      <c r="AK933">
        <v>24.109903910197701</v>
      </c>
    </row>
    <row r="934" spans="1:37" x14ac:dyDescent="0.2">
      <c r="A934" t="str">
        <f>"20200111155517548"</f>
        <v>20200111155517548</v>
      </c>
      <c r="B934" t="str">
        <f>"1578729317543348"</f>
        <v>1578729317543348</v>
      </c>
      <c r="C934" t="s">
        <v>37</v>
      </c>
      <c r="D934">
        <v>5.065607</v>
      </c>
      <c r="E934">
        <v>0.52884929999999997</v>
      </c>
      <c r="F934" t="s">
        <v>39</v>
      </c>
      <c r="G934">
        <v>-295.80959999999999</v>
      </c>
      <c r="H934">
        <v>-0.05</v>
      </c>
      <c r="I934">
        <v>368.03769999999997</v>
      </c>
      <c r="J934">
        <v>-319.95659999999998</v>
      </c>
      <c r="K934">
        <v>1.103294</v>
      </c>
      <c r="L934">
        <v>367.22469999999998</v>
      </c>
      <c r="M934">
        <v>0.99989169999999905</v>
      </c>
      <c r="N934">
        <v>0</v>
      </c>
      <c r="O934">
        <v>-4.5376309999999899E-3</v>
      </c>
      <c r="P934">
        <v>0.99353359999999902</v>
      </c>
      <c r="Q934">
        <v>1.5783219999999999E-4</v>
      </c>
      <c r="R934">
        <v>0.1135379</v>
      </c>
      <c r="S934">
        <v>3.0081479999999998</v>
      </c>
      <c r="T934">
        <v>-0.14268620000000001</v>
      </c>
      <c r="U934">
        <v>0.10046389999999999</v>
      </c>
      <c r="V934">
        <v>-0.1180446</v>
      </c>
      <c r="W934">
        <v>1.40632E-2</v>
      </c>
      <c r="X934">
        <v>0.99290869999999998</v>
      </c>
      <c r="Y934">
        <v>-3.7866219999999999E-2</v>
      </c>
      <c r="Z934">
        <v>1.112383E-3</v>
      </c>
      <c r="AA934">
        <v>0.99928220000000001</v>
      </c>
      <c r="AB934">
        <v>33</v>
      </c>
      <c r="AC934">
        <v>24.146999999999899</v>
      </c>
      <c r="AD934">
        <v>-1.153294</v>
      </c>
      <c r="AE934">
        <v>0.81299999999998795</v>
      </c>
      <c r="AF934">
        <v>-0.92047517983288496</v>
      </c>
      <c r="AG934">
        <v>-1.153294</v>
      </c>
      <c r="AH934">
        <v>24.088175395262901</v>
      </c>
      <c r="AI934">
        <v>92.7391188537771</v>
      </c>
      <c r="AJ934">
        <v>92.188363971935701</v>
      </c>
      <c r="AK934">
        <v>24.133328727717501</v>
      </c>
    </row>
    <row r="935" spans="1:37" x14ac:dyDescent="0.2">
      <c r="A935" t="str">
        <f>"20200111155517560"</f>
        <v>20200111155517560</v>
      </c>
      <c r="B935" t="str">
        <f>"1578729317553109"</f>
        <v>1578729317553109</v>
      </c>
      <c r="C935" t="s">
        <v>37</v>
      </c>
      <c r="D935">
        <v>4.9212199999999999</v>
      </c>
      <c r="E935">
        <v>0.52797139999999998</v>
      </c>
      <c r="F935" t="s">
        <v>39</v>
      </c>
      <c r="G935">
        <v>-296.0369</v>
      </c>
      <c r="H935">
        <v>-0.05</v>
      </c>
      <c r="I935">
        <v>368.13060000000002</v>
      </c>
      <c r="J935">
        <v>-319.78089999999997</v>
      </c>
      <c r="K935">
        <v>1.102919</v>
      </c>
      <c r="L935">
        <v>367.22390000000001</v>
      </c>
      <c r="M935">
        <v>0.99988519999999903</v>
      </c>
      <c r="N935">
        <v>0</v>
      </c>
      <c r="O935">
        <v>-4.5377070000000002E-3</v>
      </c>
      <c r="P935">
        <v>0.99357770000000001</v>
      </c>
      <c r="Q935" s="1">
        <v>-8.6429989999999997E-5</v>
      </c>
      <c r="R935">
        <v>0.1131538</v>
      </c>
      <c r="S935">
        <v>3.0065309999999998</v>
      </c>
      <c r="T935">
        <v>-0.14496020000000001</v>
      </c>
      <c r="U935">
        <v>0.11386110000000001</v>
      </c>
      <c r="V935">
        <v>-0.11766119999999999</v>
      </c>
      <c r="W935">
        <v>1.427966E-2</v>
      </c>
      <c r="X935">
        <v>0.99295119999999903</v>
      </c>
      <c r="Y935">
        <v>-4.2324309999999997E-2</v>
      </c>
      <c r="Z935">
        <v>1.2379859999999999E-3</v>
      </c>
      <c r="AA935">
        <v>0.99910309999999902</v>
      </c>
      <c r="AB935">
        <v>33</v>
      </c>
      <c r="AC935">
        <v>23.7439999999999</v>
      </c>
      <c r="AD935">
        <v>-1.152919</v>
      </c>
      <c r="AE935">
        <v>0.90669999999999995</v>
      </c>
      <c r="AF935">
        <v>-1.01206256637952</v>
      </c>
      <c r="AG935">
        <v>-1.152919</v>
      </c>
      <c r="AH935">
        <v>23.683882377840199</v>
      </c>
      <c r="AI935">
        <v>92.784391531858901</v>
      </c>
      <c r="AJ935">
        <v>92.446881638222195</v>
      </c>
      <c r="AK935">
        <v>23.7335159078084</v>
      </c>
    </row>
    <row r="936" spans="1:37" x14ac:dyDescent="0.2">
      <c r="A936" t="str">
        <f>"20200111155517575"</f>
        <v>20200111155517575</v>
      </c>
      <c r="B936" t="str">
        <f>"1578729317563843"</f>
        <v>1578729317563843</v>
      </c>
      <c r="C936" t="s">
        <v>37</v>
      </c>
      <c r="D936">
        <v>4.939997</v>
      </c>
      <c r="E936">
        <v>0.52738019999999997</v>
      </c>
      <c r="F936" t="s">
        <v>39</v>
      </c>
      <c r="G936">
        <v>-296.24239999999998</v>
      </c>
      <c r="H936">
        <v>-0.05</v>
      </c>
      <c r="I936">
        <v>368.1619</v>
      </c>
      <c r="J936">
        <v>-319.55759999999998</v>
      </c>
      <c r="K936">
        <v>1.1023339999999999</v>
      </c>
      <c r="L936">
        <v>367.22280000000001</v>
      </c>
      <c r="M936">
        <v>0.99987309999999996</v>
      </c>
      <c r="N936">
        <v>0</v>
      </c>
      <c r="O936">
        <v>-4.5363929999999997E-3</v>
      </c>
      <c r="P936">
        <v>0.99361769999999905</v>
      </c>
      <c r="Q936">
        <v>-6.6316970000000004E-4</v>
      </c>
      <c r="R936">
        <v>0.1127987</v>
      </c>
      <c r="S936">
        <v>3.0057369999999999</v>
      </c>
      <c r="T936">
        <v>-0.1472214</v>
      </c>
      <c r="U936">
        <v>0.1197815</v>
      </c>
      <c r="V936">
        <v>-0.117305199999999</v>
      </c>
      <c r="W936">
        <v>1.451567E-2</v>
      </c>
      <c r="X936">
        <v>0.99298980000000003</v>
      </c>
      <c r="Y936">
        <v>-4.4293810000000003E-2</v>
      </c>
      <c r="Z936">
        <v>1.3056809999999999E-3</v>
      </c>
      <c r="AA936">
        <v>0.99901770000000001</v>
      </c>
      <c r="AB936">
        <v>33</v>
      </c>
      <c r="AC936">
        <v>23.315200000000001</v>
      </c>
      <c r="AD936">
        <v>-1.152334</v>
      </c>
      <c r="AE936">
        <v>0.93909999999999605</v>
      </c>
      <c r="AF936">
        <v>-1.0423275614960801</v>
      </c>
      <c r="AG936">
        <v>-1.152334</v>
      </c>
      <c r="AH936">
        <v>23.253987819947898</v>
      </c>
      <c r="AI936">
        <v>92.834087952663396</v>
      </c>
      <c r="AJ936">
        <v>92.566485478211703</v>
      </c>
      <c r="AK936">
        <v>23.305841969843001</v>
      </c>
    </row>
    <row r="937" spans="1:37" x14ac:dyDescent="0.2">
      <c r="A937" t="str">
        <f>"20200111155517587"</f>
        <v>20200111155517587</v>
      </c>
      <c r="B937" t="str">
        <f>"1578729317583364"</f>
        <v>1578729317583364</v>
      </c>
      <c r="C937" t="s">
        <v>37</v>
      </c>
      <c r="D937">
        <v>4.98705</v>
      </c>
      <c r="E937">
        <v>0.5264375</v>
      </c>
      <c r="F937" t="s">
        <v>39</v>
      </c>
      <c r="G937">
        <v>-296.41989999999998</v>
      </c>
      <c r="H937">
        <v>-0.05</v>
      </c>
      <c r="I937">
        <v>368.17250000000001</v>
      </c>
      <c r="J937">
        <v>-319.3895</v>
      </c>
      <c r="K937">
        <v>1.1018289999999999</v>
      </c>
      <c r="L937">
        <v>367.22210000000001</v>
      </c>
      <c r="M937">
        <v>0.99986019999999898</v>
      </c>
      <c r="N937">
        <v>0</v>
      </c>
      <c r="O937">
        <v>-4.5351590000000004E-3</v>
      </c>
      <c r="P937">
        <v>0.99362999999999901</v>
      </c>
      <c r="Q937">
        <v>-1.006779E-3</v>
      </c>
      <c r="R937">
        <v>0.11268879999999901</v>
      </c>
      <c r="S937">
        <v>3.0051570000000001</v>
      </c>
      <c r="T937">
        <v>-0.14966660000000001</v>
      </c>
      <c r="U937">
        <v>0.12335209999999899</v>
      </c>
      <c r="V937">
        <v>-0.1171941</v>
      </c>
      <c r="W937">
        <v>1.4983399999999999E-2</v>
      </c>
      <c r="X937">
        <v>0.99299599999999899</v>
      </c>
      <c r="Y937">
        <v>-4.5481880000000002E-2</v>
      </c>
      <c r="Z937">
        <v>1.3570609999999999E-3</v>
      </c>
      <c r="AA937">
        <v>0.99896430000000003</v>
      </c>
      <c r="AB937">
        <v>33</v>
      </c>
      <c r="AC937">
        <v>22.9696</v>
      </c>
      <c r="AD937">
        <v>-1.151829</v>
      </c>
      <c r="AE937">
        <v>0.95040000000000202</v>
      </c>
      <c r="AF937">
        <v>-1.0519338318042299</v>
      </c>
      <c r="AG937">
        <v>-1.151829</v>
      </c>
      <c r="AH937">
        <v>22.907548045163601</v>
      </c>
      <c r="AI937">
        <v>92.875476229820094</v>
      </c>
      <c r="AJ937">
        <v>92.629223218262993</v>
      </c>
      <c r="AK937">
        <v>22.960597384937799</v>
      </c>
    </row>
    <row r="938" spans="1:37" x14ac:dyDescent="0.2">
      <c r="A938" t="str">
        <f>"20200111155517598"</f>
        <v>20200111155517598</v>
      </c>
      <c r="B938" t="str">
        <f>"1578729317593124"</f>
        <v>1578729317593124</v>
      </c>
      <c r="C938" t="s">
        <v>37</v>
      </c>
      <c r="D938">
        <v>5.1331340000000001</v>
      </c>
      <c r="E938">
        <v>0.52667339999999996</v>
      </c>
      <c r="F938" t="s">
        <v>39</v>
      </c>
      <c r="G938">
        <v>-296.38839999999999</v>
      </c>
      <c r="H938">
        <v>-0.05</v>
      </c>
      <c r="I938">
        <v>368.22210000000001</v>
      </c>
      <c r="J938">
        <v>-319.22550000000001</v>
      </c>
      <c r="K938">
        <v>1.10131</v>
      </c>
      <c r="L938">
        <v>367.22129999999999</v>
      </c>
      <c r="M938">
        <v>0.99984599999999901</v>
      </c>
      <c r="N938">
        <v>0</v>
      </c>
      <c r="O938">
        <v>-4.5339300000000003E-3</v>
      </c>
      <c r="P938">
        <v>0.99362870000000003</v>
      </c>
      <c r="Q938">
        <v>-1.297947E-3</v>
      </c>
      <c r="R938">
        <v>0.11269700000000001</v>
      </c>
      <c r="S938">
        <v>3.0042719999999998</v>
      </c>
      <c r="T938">
        <v>-0.15044569999999999</v>
      </c>
      <c r="U938">
        <v>0.13061519999999999</v>
      </c>
      <c r="V938">
        <v>-0.1172011</v>
      </c>
      <c r="W938">
        <v>1.5548380000000001E-2</v>
      </c>
      <c r="X938">
        <v>0.99298649999999999</v>
      </c>
      <c r="Y938">
        <v>-4.7899740000000003E-2</v>
      </c>
      <c r="Z938">
        <v>1.424863E-3</v>
      </c>
      <c r="AA938">
        <v>0.99885109999999999</v>
      </c>
      <c r="AB938">
        <v>33</v>
      </c>
      <c r="AC938">
        <v>22.8371</v>
      </c>
      <c r="AD938">
        <v>-1.1513100000000001</v>
      </c>
      <c r="AE938">
        <v>1.0008000000000199</v>
      </c>
      <c r="AF938">
        <v>-1.1015520975047901</v>
      </c>
      <c r="AG938">
        <v>-1.1513100000000001</v>
      </c>
      <c r="AH938">
        <v>22.7745547462548</v>
      </c>
      <c r="AI938">
        <v>92.890606154229602</v>
      </c>
      <c r="AJ938">
        <v>92.769105196297602</v>
      </c>
      <c r="AK938">
        <v>22.830227235614</v>
      </c>
    </row>
    <row r="939" spans="1:37" x14ac:dyDescent="0.2">
      <c r="A939" t="str">
        <f>"20200111155517611"</f>
        <v>20200111155517611</v>
      </c>
      <c r="B939" t="str">
        <f>"1578729317603860"</f>
        <v>1578729317603860</v>
      </c>
      <c r="C939" t="s">
        <v>37</v>
      </c>
      <c r="D939">
        <v>4.9009219999999996</v>
      </c>
      <c r="E939">
        <v>0.52647959999999905</v>
      </c>
      <c r="F939" t="s">
        <v>39</v>
      </c>
      <c r="G939">
        <v>-296.3202</v>
      </c>
      <c r="H939">
        <v>-0.05</v>
      </c>
      <c r="I939">
        <v>368.20359999999999</v>
      </c>
      <c r="J939">
        <v>-319.03629999999998</v>
      </c>
      <c r="K939">
        <v>1.100608</v>
      </c>
      <c r="L939">
        <v>367.22050000000002</v>
      </c>
      <c r="M939">
        <v>0.99982559999999998</v>
      </c>
      <c r="N939">
        <v>0</v>
      </c>
      <c r="O939">
        <v>-4.5330969999999998E-3</v>
      </c>
      <c r="P939">
        <v>0.99361829999999995</v>
      </c>
      <c r="Q939">
        <v>-1.9795870000000001E-3</v>
      </c>
      <c r="R939">
        <v>0.1127785</v>
      </c>
      <c r="S939">
        <v>3.0044249999999999</v>
      </c>
      <c r="T939">
        <v>-0.15101410000000001</v>
      </c>
      <c r="U939">
        <v>0.12884519999999999</v>
      </c>
      <c r="V939">
        <v>-0.1172817</v>
      </c>
      <c r="W939">
        <v>1.6017050000000001E-2</v>
      </c>
      <c r="X939">
        <v>0.99296949999999995</v>
      </c>
      <c r="Y939">
        <v>-4.7309669999999998E-2</v>
      </c>
      <c r="Z939">
        <v>1.4153339999999901E-3</v>
      </c>
      <c r="AA939">
        <v>0.99887929999999903</v>
      </c>
      <c r="AB939">
        <v>33</v>
      </c>
      <c r="AC939">
        <v>22.716099999999901</v>
      </c>
      <c r="AD939">
        <v>-1.1506080000000001</v>
      </c>
      <c r="AE939">
        <v>0.98309999999997899</v>
      </c>
      <c r="AF939">
        <v>-1.0833069582933901</v>
      </c>
      <c r="AG939">
        <v>-1.1506080000000001</v>
      </c>
      <c r="AH939">
        <v>22.653398627876399</v>
      </c>
      <c r="AI939">
        <v>92.904346584330895</v>
      </c>
      <c r="AJ939">
        <v>92.737852650999201</v>
      </c>
      <c r="AK939">
        <v>22.7084548600081</v>
      </c>
    </row>
    <row r="940" spans="1:37" x14ac:dyDescent="0.2">
      <c r="A940" t="str">
        <f>"20200111155517624"</f>
        <v>20200111155517624</v>
      </c>
      <c r="B940" t="str">
        <f>"1578729317613620"</f>
        <v>1578729317613620</v>
      </c>
      <c r="C940" t="s">
        <v>37</v>
      </c>
      <c r="D940">
        <v>5.1098280000000003</v>
      </c>
      <c r="E940">
        <v>0.52626090000000003</v>
      </c>
      <c r="F940" t="s">
        <v>39</v>
      </c>
      <c r="G940">
        <v>-296.65890000000002</v>
      </c>
      <c r="H940">
        <v>-0.05</v>
      </c>
      <c r="I940">
        <v>368.19409999999999</v>
      </c>
      <c r="J940">
        <v>-318.8503</v>
      </c>
      <c r="K940">
        <v>1.099874</v>
      </c>
      <c r="L940">
        <v>367.21960000000001</v>
      </c>
      <c r="M940">
        <v>0.99980419999999903</v>
      </c>
      <c r="N940">
        <v>0</v>
      </c>
      <c r="O940">
        <v>-4.5326569999999998E-3</v>
      </c>
      <c r="P940">
        <v>0.99362399999999995</v>
      </c>
      <c r="Q940">
        <v>-2.856623E-3</v>
      </c>
      <c r="R940">
        <v>0.1127075</v>
      </c>
      <c r="S940">
        <v>3.004089</v>
      </c>
      <c r="T940">
        <v>-0.15446479999999899</v>
      </c>
      <c r="U940">
        <v>0.13070680000000001</v>
      </c>
      <c r="V940">
        <v>-0.1172101</v>
      </c>
      <c r="W940">
        <v>1.627499E-2</v>
      </c>
      <c r="X940">
        <v>0.99297369999999996</v>
      </c>
      <c r="Y940">
        <v>-4.792809E-2</v>
      </c>
      <c r="Z940">
        <v>1.4636389999999899E-3</v>
      </c>
      <c r="AA940">
        <v>0.99884969999999995</v>
      </c>
      <c r="AB940">
        <v>33</v>
      </c>
      <c r="AC940">
        <v>22.191399999999899</v>
      </c>
      <c r="AD940">
        <v>-1.1498740000000001</v>
      </c>
      <c r="AE940">
        <v>0.97449999999997705</v>
      </c>
      <c r="AF940">
        <v>-1.0722213688130899</v>
      </c>
      <c r="AG940">
        <v>-1.1498740000000001</v>
      </c>
      <c r="AH940">
        <v>22.127457984228801</v>
      </c>
      <c r="AI940">
        <v>92.971272802103002</v>
      </c>
      <c r="AJ940">
        <v>92.7741886931354</v>
      </c>
      <c r="AK940">
        <v>22.1832429036745</v>
      </c>
    </row>
    <row r="941" spans="1:37" x14ac:dyDescent="0.2">
      <c r="A941" t="str">
        <f>"20200111155517634"</f>
        <v>20200111155517634</v>
      </c>
      <c r="B941" t="str">
        <f>"1578729317623380"</f>
        <v>1578729317623380</v>
      </c>
      <c r="C941" t="s">
        <v>37</v>
      </c>
      <c r="D941">
        <v>4.9542199999999896</v>
      </c>
      <c r="E941">
        <v>0.52614589999999894</v>
      </c>
      <c r="F941" t="s">
        <v>39</v>
      </c>
      <c r="G941">
        <v>-296.92599999999999</v>
      </c>
      <c r="H941">
        <v>-0.05</v>
      </c>
      <c r="I941">
        <v>368.1859</v>
      </c>
      <c r="J941">
        <v>-318.68630000000002</v>
      </c>
      <c r="K941">
        <v>1.099172</v>
      </c>
      <c r="L941">
        <v>367.21890000000002</v>
      </c>
      <c r="M941">
        <v>0.99978440000000002</v>
      </c>
      <c r="N941">
        <v>0</v>
      </c>
      <c r="O941">
        <v>-4.5325540000000003E-3</v>
      </c>
      <c r="P941">
        <v>0.99361580000000005</v>
      </c>
      <c r="Q941">
        <v>-3.4705790000000001E-3</v>
      </c>
      <c r="R941">
        <v>0.1127631</v>
      </c>
      <c r="S941">
        <v>3.003784</v>
      </c>
      <c r="T941">
        <v>-0.15754079999999901</v>
      </c>
      <c r="U941">
        <v>0.13238529999999901</v>
      </c>
      <c r="V941">
        <v>-0.1172658</v>
      </c>
      <c r="W941">
        <v>1.666022E-2</v>
      </c>
      <c r="X941">
        <v>0.99296079999999998</v>
      </c>
      <c r="Y941">
        <v>-4.848599E-2</v>
      </c>
      <c r="Z941">
        <v>1.5074909999999999E-3</v>
      </c>
      <c r="AA941">
        <v>0.99882269999999895</v>
      </c>
      <c r="AB941">
        <v>33</v>
      </c>
      <c r="AC941">
        <v>21.760300000000001</v>
      </c>
      <c r="AD941">
        <v>-1.1491720000000001</v>
      </c>
      <c r="AE941">
        <v>0.96699999999998398</v>
      </c>
      <c r="AF941">
        <v>-1.06268212982495</v>
      </c>
      <c r="AG941">
        <v>-1.1491720000000001</v>
      </c>
      <c r="AH941">
        <v>21.6953046963948</v>
      </c>
      <c r="AI941">
        <v>93.028425166758197</v>
      </c>
      <c r="AJ941">
        <v>92.804227795934906</v>
      </c>
      <c r="AK941">
        <v>21.751692703420701</v>
      </c>
    </row>
    <row r="942" spans="1:37" x14ac:dyDescent="0.2">
      <c r="A942" t="str">
        <f>"20200111155517645"</f>
        <v>20200111155517645</v>
      </c>
      <c r="B942" t="str">
        <f>"1578729317643876"</f>
        <v>1578729317643876</v>
      </c>
      <c r="C942" t="s">
        <v>37</v>
      </c>
      <c r="D942">
        <v>4.9630049999999999</v>
      </c>
      <c r="E942">
        <v>0.5258602</v>
      </c>
      <c r="F942" t="s">
        <v>39</v>
      </c>
      <c r="G942">
        <v>-297.14940000000001</v>
      </c>
      <c r="H942">
        <v>-0.05</v>
      </c>
      <c r="I942">
        <v>368.17419999999998</v>
      </c>
      <c r="J942">
        <v>-318.5292</v>
      </c>
      <c r="K942">
        <v>1.098427</v>
      </c>
      <c r="L942">
        <v>367.21820000000002</v>
      </c>
      <c r="M942">
        <v>0.99976799999999999</v>
      </c>
      <c r="N942">
        <v>0</v>
      </c>
      <c r="O942">
        <v>-4.5327459999999998E-3</v>
      </c>
      <c r="P942">
        <v>0.99361200000000005</v>
      </c>
      <c r="Q942">
        <v>-3.8119120000000002E-3</v>
      </c>
      <c r="R942">
        <v>0.1127853</v>
      </c>
      <c r="S942">
        <v>3.00360099999999</v>
      </c>
      <c r="T942">
        <v>-0.1602674</v>
      </c>
      <c r="U942">
        <v>0.13323969999999999</v>
      </c>
      <c r="V942">
        <v>-0.11728810000000001</v>
      </c>
      <c r="W942">
        <v>1.710743E-2</v>
      </c>
      <c r="X942">
        <v>0.99295059999999902</v>
      </c>
      <c r="Y942">
        <v>-4.8769590000000002E-2</v>
      </c>
      <c r="Z942">
        <v>1.5412010000000001E-3</v>
      </c>
      <c r="AA942">
        <v>0.9988089</v>
      </c>
      <c r="AB942">
        <v>33</v>
      </c>
      <c r="AC942">
        <v>21.3797999999999</v>
      </c>
      <c r="AD942">
        <v>-1.1484270000000001</v>
      </c>
      <c r="AE942">
        <v>0.95599999999995999</v>
      </c>
      <c r="AF942">
        <v>-1.049897585404</v>
      </c>
      <c r="AG942">
        <v>-1.1484270000000001</v>
      </c>
      <c r="AH942">
        <v>21.313870599677202</v>
      </c>
      <c r="AI942">
        <v>93.080482189841703</v>
      </c>
      <c r="AJ942">
        <v>92.820047025609298</v>
      </c>
      <c r="AK942">
        <v>21.3705931001914</v>
      </c>
    </row>
    <row r="943" spans="1:37" x14ac:dyDescent="0.2">
      <c r="A943" t="str">
        <f>"20200111155517657"</f>
        <v>20200111155517657</v>
      </c>
      <c r="B943" t="str">
        <f>"1578729317653637"</f>
        <v>1578729317653637</v>
      </c>
      <c r="C943" t="s">
        <v>37</v>
      </c>
      <c r="D943">
        <v>4.883807</v>
      </c>
      <c r="E943">
        <v>0.52560430000000002</v>
      </c>
      <c r="F943" t="s">
        <v>39</v>
      </c>
      <c r="G943">
        <v>-297.35039999999998</v>
      </c>
      <c r="H943">
        <v>-0.05</v>
      </c>
      <c r="I943">
        <v>368.17469999999997</v>
      </c>
      <c r="J943">
        <v>-318.34840000000003</v>
      </c>
      <c r="K943">
        <v>1.0975269999999999</v>
      </c>
      <c r="L943">
        <v>367.21730000000002</v>
      </c>
      <c r="M943">
        <v>0.99975049999999899</v>
      </c>
      <c r="N943">
        <v>0</v>
      </c>
      <c r="O943">
        <v>-4.5332920000000004E-3</v>
      </c>
      <c r="P943">
        <v>0.99362349999999999</v>
      </c>
      <c r="Q943">
        <v>-4.5273309999999999E-3</v>
      </c>
      <c r="R943">
        <v>0.1126596</v>
      </c>
      <c r="S943">
        <v>3.0032649999999999</v>
      </c>
      <c r="T943">
        <v>-0.16285289999999999</v>
      </c>
      <c r="U943">
        <v>0.13565060000000001</v>
      </c>
      <c r="V943">
        <v>-0.1171638</v>
      </c>
      <c r="W943">
        <v>1.7205640000000001E-2</v>
      </c>
      <c r="X943">
        <v>0.99296359999999995</v>
      </c>
      <c r="Y943">
        <v>-4.957168E-2</v>
      </c>
      <c r="Z943">
        <v>1.587928E-3</v>
      </c>
      <c r="AA943">
        <v>0.99876929999999997</v>
      </c>
      <c r="AB943">
        <v>33</v>
      </c>
      <c r="AC943">
        <v>20.998000000000001</v>
      </c>
      <c r="AD943">
        <v>-1.147527</v>
      </c>
      <c r="AE943">
        <v>0.95739999999994996</v>
      </c>
      <c r="AF943">
        <v>-1.0494751910215201</v>
      </c>
      <c r="AG943">
        <v>-1.147527</v>
      </c>
      <c r="AH943">
        <v>20.931060921456101</v>
      </c>
      <c r="AI943">
        <v>93.134120002979003</v>
      </c>
      <c r="AJ943">
        <v>92.870384175995497</v>
      </c>
      <c r="AK943">
        <v>20.988747644631101</v>
      </c>
    </row>
    <row r="944" spans="1:37" x14ac:dyDescent="0.2">
      <c r="A944" t="str">
        <f>"20200111155517669"</f>
        <v>20200111155517669</v>
      </c>
      <c r="B944" t="str">
        <f>"1578729317663396"</f>
        <v>1578729317663396</v>
      </c>
      <c r="C944" t="s">
        <v>37</v>
      </c>
      <c r="D944">
        <v>4.9384879999999898</v>
      </c>
      <c r="E944">
        <v>0.52549509999999999</v>
      </c>
      <c r="F944" t="s">
        <v>39</v>
      </c>
      <c r="G944">
        <v>-297.50549999999998</v>
      </c>
      <c r="H944">
        <v>-0.05</v>
      </c>
      <c r="I944">
        <v>368.17090000000002</v>
      </c>
      <c r="J944">
        <v>-318.18610000000001</v>
      </c>
      <c r="K944">
        <v>1.0966290000000001</v>
      </c>
      <c r="L944">
        <v>367.21660000000003</v>
      </c>
      <c r="M944">
        <v>0.99973819999999902</v>
      </c>
      <c r="N944">
        <v>0</v>
      </c>
      <c r="O944">
        <v>-4.5340379999999998E-3</v>
      </c>
      <c r="P944">
        <v>0.99362879999999998</v>
      </c>
      <c r="Q944">
        <v>-4.5690729999999999E-3</v>
      </c>
      <c r="R944">
        <v>0.1126098</v>
      </c>
      <c r="S944">
        <v>3.0029300000000001</v>
      </c>
      <c r="T944">
        <v>-0.16532929999999901</v>
      </c>
      <c r="U944">
        <v>0.13739009999999999</v>
      </c>
      <c r="V944">
        <v>-0.117114</v>
      </c>
      <c r="W944">
        <v>1.7713880000000001E-2</v>
      </c>
      <c r="X944">
        <v>0.99296049999999902</v>
      </c>
      <c r="Y944">
        <v>-5.0151550000000003E-2</v>
      </c>
      <c r="Z944">
        <v>1.628184E-3</v>
      </c>
      <c r="AA944">
        <v>0.99874030000000003</v>
      </c>
      <c r="AB944">
        <v>33</v>
      </c>
      <c r="AC944">
        <v>20.680599999999998</v>
      </c>
      <c r="AD944">
        <v>-1.1466289999999999</v>
      </c>
      <c r="AE944">
        <v>0.95429999999998905</v>
      </c>
      <c r="AF944">
        <v>-1.0448751648164101</v>
      </c>
      <c r="AG944">
        <v>-1.1466289999999999</v>
      </c>
      <c r="AH944">
        <v>20.6128279158367</v>
      </c>
      <c r="AI944">
        <v>93.179834492003295</v>
      </c>
      <c r="AJ944">
        <v>92.901869631344098</v>
      </c>
      <c r="AK944">
        <v>20.671119874394599</v>
      </c>
    </row>
    <row r="945" spans="1:37" x14ac:dyDescent="0.2">
      <c r="A945" t="str">
        <f>"20200111155517681"</f>
        <v>20200111155517681</v>
      </c>
      <c r="B945" t="str">
        <f>"1578729317673156"</f>
        <v>1578729317673156</v>
      </c>
      <c r="C945" t="s">
        <v>37</v>
      </c>
      <c r="D945">
        <v>5.0265469999999999</v>
      </c>
      <c r="E945">
        <v>0.52517829999999999</v>
      </c>
      <c r="F945" t="s">
        <v>39</v>
      </c>
      <c r="G945">
        <v>-297.38099999999997</v>
      </c>
      <c r="H945">
        <v>-0.05</v>
      </c>
      <c r="I945">
        <v>368.17360000000002</v>
      </c>
      <c r="J945">
        <v>-318.00450000000001</v>
      </c>
      <c r="K945">
        <v>1.095601</v>
      </c>
      <c r="L945">
        <v>367.2158</v>
      </c>
      <c r="M945">
        <v>0.99972479999999997</v>
      </c>
      <c r="N945">
        <v>0</v>
      </c>
      <c r="O945">
        <v>-4.5348280000000003E-3</v>
      </c>
      <c r="P945">
        <v>0.99364839999999999</v>
      </c>
      <c r="Q945">
        <v>-4.9116949999999998E-3</v>
      </c>
      <c r="R945">
        <v>0.112423</v>
      </c>
      <c r="S945">
        <v>3.0028380000000001</v>
      </c>
      <c r="T945">
        <v>-0.165495</v>
      </c>
      <c r="U945">
        <v>0.13812260000000001</v>
      </c>
      <c r="V945">
        <v>-0.116928399999999</v>
      </c>
      <c r="W945">
        <v>1.7953690000000001E-2</v>
      </c>
      <c r="X945">
        <v>0.99297800000000003</v>
      </c>
      <c r="Y945">
        <v>-5.0396339999999998E-2</v>
      </c>
      <c r="Z945">
        <v>1.636637E-3</v>
      </c>
      <c r="AA945">
        <v>0.99872799999999995</v>
      </c>
      <c r="AB945">
        <v>33</v>
      </c>
      <c r="AC945">
        <v>20.6235</v>
      </c>
      <c r="AD945">
        <v>-1.1456010000000001</v>
      </c>
      <c r="AE945">
        <v>0.95780000000001997</v>
      </c>
      <c r="AF945">
        <v>-1.0481118427404199</v>
      </c>
      <c r="AG945">
        <v>-1.1456010000000001</v>
      </c>
      <c r="AH945">
        <v>20.555652856007299</v>
      </c>
      <c r="AI945">
        <v>93.185759910890795</v>
      </c>
      <c r="AJ945">
        <v>92.918925687879195</v>
      </c>
      <c r="AK945">
        <v>20.614213650362</v>
      </c>
    </row>
    <row r="946" spans="1:37" x14ac:dyDescent="0.2">
      <c r="A946" t="str">
        <f>"20200111155517692"</f>
        <v>20200111155517692</v>
      </c>
      <c r="B946" t="str">
        <f>"1578729317683892"</f>
        <v>1578729317683892</v>
      </c>
      <c r="C946" t="s">
        <v>37</v>
      </c>
      <c r="D946">
        <v>4.8843870000000003</v>
      </c>
      <c r="E946">
        <v>0.52505789999999997</v>
      </c>
      <c r="F946" t="s">
        <v>39</v>
      </c>
      <c r="G946">
        <v>-297.25630000000001</v>
      </c>
      <c r="H946">
        <v>-0.05</v>
      </c>
      <c r="I946">
        <v>368.18520000000001</v>
      </c>
      <c r="J946">
        <v>-317.8295</v>
      </c>
      <c r="K946">
        <v>1.0945510000000001</v>
      </c>
      <c r="L946">
        <v>367.21499999999997</v>
      </c>
      <c r="M946">
        <v>0.99971339999999997</v>
      </c>
      <c r="N946">
        <v>0</v>
      </c>
      <c r="O946">
        <v>-4.5351159999999996E-3</v>
      </c>
      <c r="P946">
        <v>0.99366290000000002</v>
      </c>
      <c r="Q946">
        <v>-4.8883679999999997E-3</v>
      </c>
      <c r="R946">
        <v>0.112295399999999</v>
      </c>
      <c r="S946">
        <v>3.0025019999999998</v>
      </c>
      <c r="T946">
        <v>-0.16578080000000001</v>
      </c>
      <c r="U946">
        <v>0.14028929999999901</v>
      </c>
      <c r="V946">
        <v>-0.116801399999999</v>
      </c>
      <c r="W946">
        <v>1.8460959999999998E-2</v>
      </c>
      <c r="X946">
        <v>0.99298369999999903</v>
      </c>
      <c r="Y946">
        <v>-5.1119570000000003E-2</v>
      </c>
      <c r="Z946">
        <v>1.659574E-3</v>
      </c>
      <c r="AA946">
        <v>0.99869110000000005</v>
      </c>
      <c r="AB946">
        <v>33</v>
      </c>
      <c r="AC946">
        <v>20.5731999999999</v>
      </c>
      <c r="AD946">
        <v>-1.1445510000000001</v>
      </c>
      <c r="AE946">
        <v>0.97020000000003404</v>
      </c>
      <c r="AF946">
        <v>-1.0602434366262501</v>
      </c>
      <c r="AG946">
        <v>-1.1445510000000001</v>
      </c>
      <c r="AH946">
        <v>20.505263296757299</v>
      </c>
      <c r="AI946">
        <v>93.190534480831204</v>
      </c>
      <c r="AJ946">
        <v>92.959894921129006</v>
      </c>
      <c r="AK946">
        <v>20.564531018378599</v>
      </c>
    </row>
    <row r="947" spans="1:37" x14ac:dyDescent="0.2">
      <c r="A947" t="str">
        <f>"20200111155517704"</f>
        <v>20200111155517704</v>
      </c>
      <c r="B947" t="str">
        <f>"1578729317693653"</f>
        <v>1578729317693653</v>
      </c>
      <c r="C947" t="s">
        <v>37</v>
      </c>
      <c r="D947">
        <v>4.9263890000000004</v>
      </c>
      <c r="E947">
        <v>0.52497199999999999</v>
      </c>
      <c r="F947" t="s">
        <v>39</v>
      </c>
      <c r="G947">
        <v>-297.10090000000002</v>
      </c>
      <c r="H947">
        <v>-0.05</v>
      </c>
      <c r="I947">
        <v>368.1875</v>
      </c>
      <c r="J947">
        <v>-317.66489999999999</v>
      </c>
      <c r="K947">
        <v>1.093523</v>
      </c>
      <c r="L947">
        <v>367.21420000000001</v>
      </c>
      <c r="M947">
        <v>0.99970360000000003</v>
      </c>
      <c r="N947">
        <v>0</v>
      </c>
      <c r="O947">
        <v>-4.5351419999999998E-3</v>
      </c>
      <c r="P947">
        <v>0.99367609999999995</v>
      </c>
      <c r="Q947">
        <v>-5.1064880000000002E-3</v>
      </c>
      <c r="R947">
        <v>0.11216849999999901</v>
      </c>
      <c r="S947">
        <v>3.0024109999999999</v>
      </c>
      <c r="T947">
        <v>-0.16578109999999999</v>
      </c>
      <c r="U947">
        <v>0.1408691</v>
      </c>
      <c r="V947">
        <v>-0.116674499999999</v>
      </c>
      <c r="W947">
        <v>1.8655479999999999E-2</v>
      </c>
      <c r="X947">
        <v>0.99299499999999996</v>
      </c>
      <c r="Y947">
        <v>-5.1313209999999998E-2</v>
      </c>
      <c r="Z947">
        <v>1.664963E-3</v>
      </c>
      <c r="AA947">
        <v>0.99868119999999905</v>
      </c>
      <c r="AB947">
        <v>33</v>
      </c>
      <c r="AC947">
        <v>20.563999999999901</v>
      </c>
      <c r="AD947">
        <v>-1.1435230000000001</v>
      </c>
      <c r="AE947">
        <v>0.97329999999999395</v>
      </c>
      <c r="AF947">
        <v>-1.06329670560995</v>
      </c>
      <c r="AG947">
        <v>-1.1435230000000001</v>
      </c>
      <c r="AH947">
        <v>20.4961355695065</v>
      </c>
      <c r="AI947">
        <v>93.189063147184996</v>
      </c>
      <c r="AJ947">
        <v>92.969723127751195</v>
      </c>
      <c r="AK947">
        <v>20.555530107960699</v>
      </c>
    </row>
    <row r="948" spans="1:37" x14ac:dyDescent="0.2">
      <c r="A948" t="str">
        <f>"20200111155517716"</f>
        <v>20200111155517716</v>
      </c>
      <c r="B948" t="str">
        <f>"1578729317713172"</f>
        <v>1578729317713172</v>
      </c>
      <c r="C948" t="s">
        <v>37</v>
      </c>
      <c r="D948">
        <v>4.8914980000000003</v>
      </c>
      <c r="E948">
        <v>0.52490409999999998</v>
      </c>
      <c r="F948" t="s">
        <v>39</v>
      </c>
      <c r="G948">
        <v>-297.02159999999998</v>
      </c>
      <c r="H948">
        <v>-0.05</v>
      </c>
      <c r="I948">
        <v>368.18549999999999</v>
      </c>
      <c r="J948">
        <v>-317.49579999999997</v>
      </c>
      <c r="K948">
        <v>1.0924339999999999</v>
      </c>
      <c r="L948">
        <v>367.21350000000001</v>
      </c>
      <c r="M948">
        <v>0.99969419999999898</v>
      </c>
      <c r="N948">
        <v>0</v>
      </c>
      <c r="O948">
        <v>-4.5349429999999996E-3</v>
      </c>
      <c r="P948">
        <v>0.99369879999999999</v>
      </c>
      <c r="Q948">
        <v>-5.2569169999999998E-3</v>
      </c>
      <c r="R948">
        <v>0.1119594</v>
      </c>
      <c r="S948">
        <v>3.00228899999999</v>
      </c>
      <c r="T948">
        <v>-0.16631070000000001</v>
      </c>
      <c r="U948">
        <v>0.1412659</v>
      </c>
      <c r="V948">
        <v>-0.1164652</v>
      </c>
      <c r="W948">
        <v>1.889242E-2</v>
      </c>
      <c r="X948">
        <v>0.99301510000000004</v>
      </c>
      <c r="Y948">
        <v>-5.1445879999999999E-2</v>
      </c>
      <c r="Z948">
        <v>1.673997E-3</v>
      </c>
      <c r="AA948">
        <v>0.99867439999999996</v>
      </c>
      <c r="AB948">
        <v>33</v>
      </c>
      <c r="AC948">
        <v>20.4742</v>
      </c>
      <c r="AD948">
        <v>-1.1424339999999999</v>
      </c>
      <c r="AE948">
        <v>0.97199999999997999</v>
      </c>
      <c r="AF948">
        <v>-1.06156901678558</v>
      </c>
      <c r="AG948">
        <v>-1.1424339999999999</v>
      </c>
      <c r="AH948">
        <v>20.4061883546185</v>
      </c>
      <c r="AI948">
        <v>93.200022970880099</v>
      </c>
      <c r="AJ948">
        <v>92.977951775651107</v>
      </c>
      <c r="AK948">
        <v>20.465693425484599</v>
      </c>
    </row>
    <row r="949" spans="1:37" x14ac:dyDescent="0.2">
      <c r="A949" t="str">
        <f>"20200111155517727"</f>
        <v>20200111155517727</v>
      </c>
      <c r="B949" t="str">
        <f>"1578729317722931"</f>
        <v>1578729317722931</v>
      </c>
      <c r="C949" t="s">
        <v>37</v>
      </c>
      <c r="D949">
        <v>4.930447</v>
      </c>
      <c r="E949">
        <v>0.52487550000000005</v>
      </c>
      <c r="F949" t="s">
        <v>39</v>
      </c>
      <c r="G949">
        <v>-296.83980000000003</v>
      </c>
      <c r="H949">
        <v>-0.05</v>
      </c>
      <c r="I949">
        <v>368.18310000000002</v>
      </c>
      <c r="J949">
        <v>-317.32560000000001</v>
      </c>
      <c r="K949">
        <v>1.0912729999999999</v>
      </c>
      <c r="L949">
        <v>367.21269999999998</v>
      </c>
      <c r="M949">
        <v>0.99968690000000004</v>
      </c>
      <c r="N949">
        <v>0</v>
      </c>
      <c r="O949">
        <v>-4.5348949999999997E-3</v>
      </c>
      <c r="P949">
        <v>0.99372299999999902</v>
      </c>
      <c r="Q949">
        <v>-5.6340319999999998E-3</v>
      </c>
      <c r="R949">
        <v>0.1117267</v>
      </c>
      <c r="S949">
        <v>3.0022579999999999</v>
      </c>
      <c r="T949">
        <v>-0.16604669999999999</v>
      </c>
      <c r="U949">
        <v>0.14093020000000001</v>
      </c>
      <c r="V949">
        <v>-0.116232399999999</v>
      </c>
      <c r="W949">
        <v>1.88127999999999E-2</v>
      </c>
      <c r="X949">
        <v>0.99304380000000003</v>
      </c>
      <c r="Y949">
        <v>-5.1335359999999997E-2</v>
      </c>
      <c r="Z949">
        <v>1.6683119999999999E-3</v>
      </c>
      <c r="AA949">
        <v>0.99868009999999996</v>
      </c>
      <c r="AB949">
        <v>33</v>
      </c>
      <c r="AC949">
        <v>20.485799999999902</v>
      </c>
      <c r="AD949">
        <v>-1.141273</v>
      </c>
      <c r="AE949">
        <v>0.97040000000004001</v>
      </c>
      <c r="AF949">
        <v>-1.06003648766039</v>
      </c>
      <c r="AG949">
        <v>-1.141273</v>
      </c>
      <c r="AH949">
        <v>20.417958834486601</v>
      </c>
      <c r="AI949">
        <v>93.194956001406695</v>
      </c>
      <c r="AJ949">
        <v>92.971949218864395</v>
      </c>
      <c r="AK949">
        <v>20.477285571639801</v>
      </c>
    </row>
    <row r="950" spans="1:37" x14ac:dyDescent="0.2">
      <c r="A950" t="str">
        <f>"20200111155517739"</f>
        <v>20200111155517739</v>
      </c>
      <c r="B950" t="str">
        <f>"1578729317733668"</f>
        <v>1578729317733668</v>
      </c>
      <c r="C950" t="s">
        <v>37</v>
      </c>
      <c r="D950">
        <v>4.9664449999999896</v>
      </c>
      <c r="E950">
        <v>0.52486899999999903</v>
      </c>
      <c r="F950" t="s">
        <v>39</v>
      </c>
      <c r="G950">
        <v>-296.8159</v>
      </c>
      <c r="H950">
        <v>-0.05</v>
      </c>
      <c r="I950">
        <v>368.17129999999997</v>
      </c>
      <c r="J950">
        <v>-317.1592</v>
      </c>
      <c r="K950">
        <v>1.0901160000000001</v>
      </c>
      <c r="L950">
        <v>367.21199999999999</v>
      </c>
      <c r="M950">
        <v>0.99968060000000003</v>
      </c>
      <c r="N950">
        <v>0</v>
      </c>
      <c r="O950">
        <v>-4.5348960000000001E-3</v>
      </c>
      <c r="P950">
        <v>0.99375149999999901</v>
      </c>
      <c r="Q950">
        <v>-5.802303E-3</v>
      </c>
      <c r="R950">
        <v>0.11146499999999999</v>
      </c>
      <c r="S950">
        <v>3.0021969999999998</v>
      </c>
      <c r="T950">
        <v>-0.16705880000000001</v>
      </c>
      <c r="U950">
        <v>0.14031979999999999</v>
      </c>
      <c r="V950">
        <v>-0.1159708</v>
      </c>
      <c r="W950">
        <v>1.8904339999999999E-2</v>
      </c>
      <c r="X950">
        <v>0.99307269999999903</v>
      </c>
      <c r="Y950">
        <v>-5.113301E-2</v>
      </c>
      <c r="Z950">
        <v>1.6728870000000001E-3</v>
      </c>
      <c r="AA950">
        <v>0.99869039999999998</v>
      </c>
      <c r="AB950">
        <v>33</v>
      </c>
      <c r="AC950">
        <v>20.343299999999999</v>
      </c>
      <c r="AD950">
        <v>-1.1401159999999999</v>
      </c>
      <c r="AE950">
        <v>0.95929999999998405</v>
      </c>
      <c r="AF950">
        <v>-1.0482881338351799</v>
      </c>
      <c r="AG950">
        <v>-1.1401159999999999</v>
      </c>
      <c r="AH950">
        <v>20.275197769801299</v>
      </c>
      <c r="AI950">
        <v>93.214185673455006</v>
      </c>
      <c r="AJ950">
        <v>92.959727076434007</v>
      </c>
      <c r="AK950">
        <v>20.334267065954201</v>
      </c>
    </row>
    <row r="951" spans="1:37" x14ac:dyDescent="0.2">
      <c r="A951" t="str">
        <f>"20200111155517751"</f>
        <v>20200111155517751</v>
      </c>
      <c r="B951" t="str">
        <f>"1578729317743428"</f>
        <v>1578729317743428</v>
      </c>
      <c r="C951" t="s">
        <v>37</v>
      </c>
      <c r="D951">
        <v>4.949306</v>
      </c>
      <c r="E951">
        <v>0.52479819999999999</v>
      </c>
      <c r="F951" t="s">
        <v>39</v>
      </c>
      <c r="G951">
        <v>-296.75839999999999</v>
      </c>
      <c r="H951">
        <v>-0.05</v>
      </c>
      <c r="I951">
        <v>368.16199999999998</v>
      </c>
      <c r="J951">
        <v>-316.97629999999998</v>
      </c>
      <c r="K951">
        <v>1.088762</v>
      </c>
      <c r="L951">
        <v>367.21120000000002</v>
      </c>
      <c r="M951">
        <v>0.99967689999999998</v>
      </c>
      <c r="N951">
        <v>0</v>
      </c>
      <c r="O951">
        <v>-4.5346709999999997E-3</v>
      </c>
      <c r="P951">
        <v>0.99375249999999904</v>
      </c>
      <c r="Q951">
        <v>-6.1432919999999999E-3</v>
      </c>
      <c r="R951">
        <v>0.1114371</v>
      </c>
      <c r="S951">
        <v>3.002167</v>
      </c>
      <c r="T951">
        <v>-0.16777899999999901</v>
      </c>
      <c r="U951">
        <v>0.13980100000000001</v>
      </c>
      <c r="V951">
        <v>-0.1159428</v>
      </c>
      <c r="W951">
        <v>1.8706489999999999E-2</v>
      </c>
      <c r="X951">
        <v>0.99307969999999901</v>
      </c>
      <c r="Y951">
        <v>-5.096059E-2</v>
      </c>
      <c r="Z951">
        <v>1.6752879999999901E-3</v>
      </c>
      <c r="AA951">
        <v>0.99869920000000001</v>
      </c>
      <c r="AB951">
        <v>33</v>
      </c>
      <c r="AC951">
        <v>20.217899999999901</v>
      </c>
      <c r="AD951">
        <v>-1.1387620000000001</v>
      </c>
      <c r="AE951">
        <v>0.95079999999995801</v>
      </c>
      <c r="AF951">
        <v>-1.0392108690319699</v>
      </c>
      <c r="AG951">
        <v>-1.1387620000000001</v>
      </c>
      <c r="AH951">
        <v>20.149596693260399</v>
      </c>
      <c r="AI951">
        <v>93.230367188515402</v>
      </c>
      <c r="AJ951">
        <v>92.952400904785193</v>
      </c>
      <c r="AK951">
        <v>20.208487945019801</v>
      </c>
    </row>
    <row r="952" spans="1:37" x14ac:dyDescent="0.2">
      <c r="A952" t="str">
        <f>"20200111155517765"</f>
        <v>20200111155517765</v>
      </c>
      <c r="B952" t="str">
        <f>"1578729317753188"</f>
        <v>1578729317753188</v>
      </c>
      <c r="C952" t="s">
        <v>37</v>
      </c>
      <c r="D952">
        <v>4.9887920000000001</v>
      </c>
      <c r="E952">
        <v>0.52467180000000002</v>
      </c>
      <c r="F952" t="s">
        <v>39</v>
      </c>
      <c r="G952">
        <v>-296.76049999999998</v>
      </c>
      <c r="H952">
        <v>-0.05</v>
      </c>
      <c r="I952">
        <v>368.15559999999999</v>
      </c>
      <c r="J952">
        <v>-316.77080000000001</v>
      </c>
      <c r="K952">
        <v>1.0871930000000001</v>
      </c>
      <c r="L952">
        <v>367.21019999999999</v>
      </c>
      <c r="M952">
        <v>0.99967510000000004</v>
      </c>
      <c r="N952">
        <v>0</v>
      </c>
      <c r="O952">
        <v>-4.5345100000000003E-3</v>
      </c>
      <c r="P952">
        <v>0.99375879999999905</v>
      </c>
      <c r="Q952">
        <v>-6.6226540000000004E-3</v>
      </c>
      <c r="R952">
        <v>0.11135539999999899</v>
      </c>
      <c r="S952">
        <v>3.0021360000000001</v>
      </c>
      <c r="T952">
        <v>-0.1691115</v>
      </c>
      <c r="U952">
        <v>0.14025879999999999</v>
      </c>
      <c r="V952">
        <v>-0.1158613</v>
      </c>
      <c r="W952">
        <v>1.8299340000000001E-2</v>
      </c>
      <c r="X952">
        <v>0.9930968</v>
      </c>
      <c r="Y952">
        <v>-5.1111240000000002E-2</v>
      </c>
      <c r="Z952">
        <v>1.692811E-3</v>
      </c>
      <c r="AA952">
        <v>0.99869159999999901</v>
      </c>
      <c r="AB952">
        <v>33</v>
      </c>
      <c r="AC952">
        <v>20.010300000000001</v>
      </c>
      <c r="AD952">
        <v>-1.1371929999999999</v>
      </c>
      <c r="AE952">
        <v>0.94540000000000601</v>
      </c>
      <c r="AF952">
        <v>-1.03282745030037</v>
      </c>
      <c r="AG952">
        <v>-1.1371929999999999</v>
      </c>
      <c r="AH952">
        <v>19.941544259467801</v>
      </c>
      <c r="AI952">
        <v>93.259473471394898</v>
      </c>
      <c r="AJ952">
        <v>92.964856909901997</v>
      </c>
      <c r="AK952">
        <v>20.000628187975899</v>
      </c>
    </row>
    <row r="953" spans="1:37" x14ac:dyDescent="0.2">
      <c r="A953" t="str">
        <f>"20200111155517777"</f>
        <v>20200111155517777</v>
      </c>
      <c r="B953" t="str">
        <f>"1578729317773684"</f>
        <v>1578729317773684</v>
      </c>
      <c r="C953" t="s">
        <v>37</v>
      </c>
      <c r="D953">
        <v>4.8968949999999998</v>
      </c>
      <c r="E953">
        <v>0.52463389999999999</v>
      </c>
      <c r="F953" t="s">
        <v>39</v>
      </c>
      <c r="G953">
        <v>-296.77800000000002</v>
      </c>
      <c r="H953">
        <v>-0.05</v>
      </c>
      <c r="I953">
        <v>368.15050000000002</v>
      </c>
      <c r="J953">
        <v>-316.59019999999998</v>
      </c>
      <c r="K953">
        <v>1.0857749999999999</v>
      </c>
      <c r="L953">
        <v>367.20940000000002</v>
      </c>
      <c r="M953">
        <v>0.99967539999999999</v>
      </c>
      <c r="N953">
        <v>0</v>
      </c>
      <c r="O953">
        <v>-4.53440599999999E-3</v>
      </c>
      <c r="P953">
        <v>0.99373609999999901</v>
      </c>
      <c r="Q953">
        <v>-6.7951000000000001E-3</v>
      </c>
      <c r="R953">
        <v>0.11154699999999999</v>
      </c>
      <c r="S953">
        <v>3.001862</v>
      </c>
      <c r="T953">
        <v>-0.1707457</v>
      </c>
      <c r="U953">
        <v>0.1411743</v>
      </c>
      <c r="V953">
        <v>-0.1160525</v>
      </c>
      <c r="W953">
        <v>1.8117689999999999E-2</v>
      </c>
      <c r="X953">
        <v>0.99307780000000001</v>
      </c>
      <c r="Y953">
        <v>-5.1417099999999903E-2</v>
      </c>
      <c r="Z953">
        <v>1.7179679999999901E-3</v>
      </c>
      <c r="AA953">
        <v>0.9986758</v>
      </c>
      <c r="AB953">
        <v>33</v>
      </c>
      <c r="AC953">
        <v>19.812199999999901</v>
      </c>
      <c r="AD953">
        <v>-1.135775</v>
      </c>
      <c r="AE953">
        <v>0.94110000000000504</v>
      </c>
      <c r="AF953">
        <v>-1.0275856780360999</v>
      </c>
      <c r="AG953">
        <v>-1.135775</v>
      </c>
      <c r="AH953">
        <v>19.742990409810201</v>
      </c>
      <c r="AI953">
        <v>93.288042526159799</v>
      </c>
      <c r="AJ953">
        <v>92.979449515987497</v>
      </c>
      <c r="AK953">
        <v>19.8023126805479</v>
      </c>
    </row>
    <row r="954" spans="1:37" x14ac:dyDescent="0.2">
      <c r="A954" t="str">
        <f>"20200111155517790"</f>
        <v>20200111155517790</v>
      </c>
      <c r="B954" t="str">
        <f>"1578729317783444"</f>
        <v>1578729317783444</v>
      </c>
      <c r="C954" t="s">
        <v>37</v>
      </c>
      <c r="D954">
        <v>5.2270830000000004</v>
      </c>
      <c r="E954">
        <v>0.52441930000000003</v>
      </c>
      <c r="F954" t="s">
        <v>39</v>
      </c>
      <c r="G954">
        <v>-296.60140000000001</v>
      </c>
      <c r="H954">
        <v>-0.05</v>
      </c>
      <c r="I954">
        <v>368.1558</v>
      </c>
      <c r="J954">
        <v>-316.42180000000002</v>
      </c>
      <c r="K954">
        <v>1.0843989999999999</v>
      </c>
      <c r="L954">
        <v>367.20859999999999</v>
      </c>
      <c r="M954">
        <v>0.9996777</v>
      </c>
      <c r="N954">
        <v>0</v>
      </c>
      <c r="O954">
        <v>-4.5334989999999999E-3</v>
      </c>
      <c r="P954">
        <v>0.99372950000000004</v>
      </c>
      <c r="Q954">
        <v>-7.1028530000000001E-3</v>
      </c>
      <c r="R954">
        <v>0.111586899999999</v>
      </c>
      <c r="S954">
        <v>3.0018009999999999</v>
      </c>
      <c r="T954">
        <v>-0.17056470000000001</v>
      </c>
      <c r="U954">
        <v>0.14212040000000001</v>
      </c>
      <c r="V954">
        <v>-0.11609169999999901</v>
      </c>
      <c r="W954">
        <v>1.7718169999999998E-2</v>
      </c>
      <c r="X954">
        <v>0.99308039999999997</v>
      </c>
      <c r="Y954">
        <v>-5.1730859999999997E-2</v>
      </c>
      <c r="Z954">
        <v>1.7250220000000001E-3</v>
      </c>
      <c r="AA954">
        <v>0.99865959999999998</v>
      </c>
      <c r="AB954">
        <v>33</v>
      </c>
      <c r="AC954">
        <v>19.820399999999999</v>
      </c>
      <c r="AD954">
        <v>-1.1343989999999999</v>
      </c>
      <c r="AE954">
        <v>0.94720000000000903</v>
      </c>
      <c r="AF954">
        <v>-1.0336956867134699</v>
      </c>
      <c r="AG954">
        <v>-1.1343989999999999</v>
      </c>
      <c r="AH954">
        <v>19.751348249231199</v>
      </c>
      <c r="AI954">
        <v>93.282632153970397</v>
      </c>
      <c r="AJ954">
        <v>92.995867138045298</v>
      </c>
      <c r="AK954">
        <v>19.810884521553699</v>
      </c>
    </row>
    <row r="955" spans="1:37" x14ac:dyDescent="0.2">
      <c r="A955" t="str">
        <f>"20200111155517801"</f>
        <v>20200111155517801</v>
      </c>
      <c r="B955" t="str">
        <f>"1578729317793204"</f>
        <v>1578729317793204</v>
      </c>
      <c r="C955" t="s">
        <v>37</v>
      </c>
      <c r="D955">
        <v>5.0424020000000001</v>
      </c>
      <c r="E955">
        <v>0.52453079999999996</v>
      </c>
      <c r="F955" t="s">
        <v>39</v>
      </c>
      <c r="G955">
        <v>-296.40370000000001</v>
      </c>
      <c r="H955">
        <v>-0.05</v>
      </c>
      <c r="I955">
        <v>368.16739999999999</v>
      </c>
      <c r="J955">
        <v>-316.2457</v>
      </c>
      <c r="K955">
        <v>1.0829549999999999</v>
      </c>
      <c r="L955">
        <v>367.2079</v>
      </c>
      <c r="M955">
        <v>0.99968029999999997</v>
      </c>
      <c r="N955">
        <v>0</v>
      </c>
      <c r="O955">
        <v>-4.5322909999999999E-3</v>
      </c>
      <c r="P955">
        <v>0.9937049</v>
      </c>
      <c r="Q955">
        <v>-7.4756629999999996E-3</v>
      </c>
      <c r="R955">
        <v>0.1117799</v>
      </c>
      <c r="S955">
        <v>3.0015869999999998</v>
      </c>
      <c r="T955">
        <v>-0.17009659999999999</v>
      </c>
      <c r="U955">
        <v>0.14376829999999999</v>
      </c>
      <c r="V955">
        <v>-0.1162835</v>
      </c>
      <c r="W955">
        <v>1.723854E-2</v>
      </c>
      <c r="X955">
        <v>0.99306640000000002</v>
      </c>
      <c r="Y955">
        <v>-5.2279649999999997E-2</v>
      </c>
      <c r="Z955">
        <v>1.7358549999999999E-3</v>
      </c>
      <c r="AA955">
        <v>0.99863099999999905</v>
      </c>
      <c r="AB955">
        <v>33</v>
      </c>
      <c r="AC955">
        <v>19.841999999999899</v>
      </c>
      <c r="AD955">
        <v>-1.1329549999999999</v>
      </c>
      <c r="AE955">
        <v>0.95949999999999103</v>
      </c>
      <c r="AF955">
        <v>-1.0460452517538601</v>
      </c>
      <c r="AG955">
        <v>-1.1329549999999999</v>
      </c>
      <c r="AH955">
        <v>19.773130522839701</v>
      </c>
      <c r="AI955">
        <v>93.274761816070793</v>
      </c>
      <c r="AJ955">
        <v>93.028258986821299</v>
      </c>
      <c r="AK955">
        <v>19.8331663728714</v>
      </c>
    </row>
    <row r="956" spans="1:37" x14ac:dyDescent="0.2">
      <c r="A956" t="str">
        <f>"20200111155517814"</f>
        <v>20200111155517814</v>
      </c>
      <c r="B956" t="str">
        <f>"1578729317802964"</f>
        <v>1578729317802964</v>
      </c>
      <c r="C956" t="s">
        <v>37</v>
      </c>
      <c r="D956">
        <v>5.1424159999999999</v>
      </c>
      <c r="E956">
        <v>0.52459679999999997</v>
      </c>
      <c r="F956" t="s">
        <v>39</v>
      </c>
      <c r="G956">
        <v>-296.39440000000002</v>
      </c>
      <c r="H956">
        <v>-0.05</v>
      </c>
      <c r="I956">
        <v>368.15629999999999</v>
      </c>
      <c r="J956">
        <v>-316.06299999999999</v>
      </c>
      <c r="K956">
        <v>1.0814349999999999</v>
      </c>
      <c r="L956">
        <v>367.20699999999999</v>
      </c>
      <c r="M956">
        <v>0.99968369999999995</v>
      </c>
      <c r="N956">
        <v>0</v>
      </c>
      <c r="O956">
        <v>-4.5313469999999998E-3</v>
      </c>
      <c r="P956">
        <v>0.9936509</v>
      </c>
      <c r="Q956">
        <v>-7.5336229999999997E-3</v>
      </c>
      <c r="R956">
        <v>0.1122563</v>
      </c>
      <c r="S956">
        <v>3.0015259999999899</v>
      </c>
      <c r="T956">
        <v>-0.17130399999999901</v>
      </c>
      <c r="U956">
        <v>0.1434021</v>
      </c>
      <c r="V956">
        <v>-0.1167588</v>
      </c>
      <c r="W956">
        <v>1.704545E-2</v>
      </c>
      <c r="X956">
        <v>0.99301399999999995</v>
      </c>
      <c r="Y956">
        <v>-5.2157000000000002E-2</v>
      </c>
      <c r="Z956">
        <v>1.744647E-3</v>
      </c>
      <c r="AA956">
        <v>0.99863740000000001</v>
      </c>
      <c r="AB956">
        <v>32</v>
      </c>
      <c r="AC956">
        <v>19.668599999999898</v>
      </c>
      <c r="AD956">
        <v>-1.131435</v>
      </c>
      <c r="AE956">
        <v>0.94929999999999304</v>
      </c>
      <c r="AF956">
        <v>-1.03502572014241</v>
      </c>
      <c r="AG956">
        <v>-1.131435</v>
      </c>
      <c r="AH956">
        <v>19.599389052442501</v>
      </c>
      <c r="AI956">
        <v>93.299320993197497</v>
      </c>
      <c r="AJ956">
        <v>93.022929422505101</v>
      </c>
      <c r="AK956">
        <v>19.659284692724299</v>
      </c>
    </row>
    <row r="957" spans="1:37" x14ac:dyDescent="0.2">
      <c r="A957" t="str">
        <f>"20200111155517826"</f>
        <v>20200111155517826</v>
      </c>
      <c r="B957" t="str">
        <f>"1578729317823460"</f>
        <v>1578729317823460</v>
      </c>
      <c r="C957" t="s">
        <v>37</v>
      </c>
      <c r="D957">
        <v>5.1363070000000004</v>
      </c>
      <c r="E957">
        <v>0.52452019999999899</v>
      </c>
      <c r="F957" t="s">
        <v>39</v>
      </c>
      <c r="G957">
        <v>-295.98450000000003</v>
      </c>
      <c r="H957">
        <v>-0.05</v>
      </c>
      <c r="I957">
        <v>368.17399999999998</v>
      </c>
      <c r="J957">
        <v>-315.89</v>
      </c>
      <c r="K957">
        <v>1.0799920000000001</v>
      </c>
      <c r="L957">
        <v>367.20620000000002</v>
      </c>
      <c r="M957">
        <v>0.99968760000000001</v>
      </c>
      <c r="N957">
        <v>0</v>
      </c>
      <c r="O957">
        <v>-4.5306849999999996E-3</v>
      </c>
      <c r="P957">
        <v>0.99363690000000005</v>
      </c>
      <c r="Q957">
        <v>-7.8656690000000005E-3</v>
      </c>
      <c r="R957">
        <v>0.112356399999999</v>
      </c>
      <c r="S957">
        <v>3.0015559999999999</v>
      </c>
      <c r="T957">
        <v>-0.1691394</v>
      </c>
      <c r="U957">
        <v>0.14456179999999999</v>
      </c>
      <c r="V957">
        <v>-0.1168583</v>
      </c>
      <c r="W957">
        <v>1.65539E-2</v>
      </c>
      <c r="X957">
        <v>0.99301059999999997</v>
      </c>
      <c r="Y957">
        <v>-5.2542480000000003E-2</v>
      </c>
      <c r="Z957">
        <v>1.7334119999999999E-3</v>
      </c>
      <c r="AA957">
        <v>0.99861719999999898</v>
      </c>
      <c r="AB957">
        <v>32</v>
      </c>
      <c r="AC957">
        <v>19.9054999999999</v>
      </c>
      <c r="AD957">
        <v>-1.1299920000000001</v>
      </c>
      <c r="AE957">
        <v>0.96780000000001098</v>
      </c>
      <c r="AF957">
        <v>-1.0546123031630299</v>
      </c>
      <c r="AG957">
        <v>-1.1299920000000001</v>
      </c>
      <c r="AH957">
        <v>19.8371333370869</v>
      </c>
      <c r="AI957">
        <v>93.255655614963302</v>
      </c>
      <c r="AJ957">
        <v>93.043181785384505</v>
      </c>
      <c r="AK957">
        <v>19.897259812934301</v>
      </c>
    </row>
    <row r="958" spans="1:37" x14ac:dyDescent="0.2">
      <c r="A958" t="str">
        <f>"20200111155517839"</f>
        <v>20200111155517839</v>
      </c>
      <c r="B958" t="str">
        <f>"1578729317833221"</f>
        <v>1578729317833221</v>
      </c>
      <c r="C958" t="s">
        <v>37</v>
      </c>
      <c r="D958">
        <v>4.9319559999999996</v>
      </c>
      <c r="E958">
        <v>0.5245609</v>
      </c>
      <c r="F958" t="s">
        <v>39</v>
      </c>
      <c r="G958">
        <v>-295.94409999999999</v>
      </c>
      <c r="H958">
        <v>-0.05</v>
      </c>
      <c r="I958">
        <v>368.17160000000001</v>
      </c>
      <c r="J958">
        <v>-315.70359999999999</v>
      </c>
      <c r="K958">
        <v>1.0784389999999999</v>
      </c>
      <c r="L958">
        <v>367.2054</v>
      </c>
      <c r="M958">
        <v>0.99969229999999998</v>
      </c>
      <c r="N958">
        <v>0</v>
      </c>
      <c r="O958">
        <v>-4.5305529999999997E-3</v>
      </c>
      <c r="P958">
        <v>0.9936178</v>
      </c>
      <c r="Q958">
        <v>-8.0527410000000004E-3</v>
      </c>
      <c r="R958">
        <v>0.1125109</v>
      </c>
      <c r="S958">
        <v>3.0014340000000002</v>
      </c>
      <c r="T958">
        <v>-0.17003929999999901</v>
      </c>
      <c r="U958">
        <v>0.1452637</v>
      </c>
      <c r="V958">
        <v>-0.1170124</v>
      </c>
      <c r="W958">
        <v>1.6172010000000001E-2</v>
      </c>
      <c r="X958">
        <v>0.99299879999999996</v>
      </c>
      <c r="Y958">
        <v>-5.277594E-2</v>
      </c>
      <c r="Z958">
        <v>1.749275E-3</v>
      </c>
      <c r="AA958">
        <v>0.99860479999999996</v>
      </c>
      <c r="AB958">
        <v>32</v>
      </c>
      <c r="AC958">
        <v>19.759499999999999</v>
      </c>
      <c r="AD958">
        <v>-1.128439</v>
      </c>
      <c r="AE958">
        <v>0.96620000000001405</v>
      </c>
      <c r="AF958">
        <v>-1.05231434143835</v>
      </c>
      <c r="AG958">
        <v>-1.128439</v>
      </c>
      <c r="AH958">
        <v>19.690851774382399</v>
      </c>
      <c r="AI958">
        <v>93.275242903166699</v>
      </c>
      <c r="AJ958">
        <v>93.059078893071302</v>
      </c>
      <c r="AK958">
        <v>19.7512122071183</v>
      </c>
    </row>
    <row r="959" spans="1:37" x14ac:dyDescent="0.2">
      <c r="A959" t="str">
        <f>"20200111155517850"</f>
        <v>20200111155517850</v>
      </c>
      <c r="B959" t="str">
        <f>"1578729317842981"</f>
        <v>1578729317842981</v>
      </c>
      <c r="C959" t="s">
        <v>37</v>
      </c>
      <c r="D959">
        <v>4.9202159999999999</v>
      </c>
      <c r="E959">
        <v>0.5245879</v>
      </c>
      <c r="F959" t="s">
        <v>39</v>
      </c>
      <c r="G959">
        <v>-295.85039999999998</v>
      </c>
      <c r="H959">
        <v>-0.05</v>
      </c>
      <c r="I959">
        <v>368.16640000000001</v>
      </c>
      <c r="J959">
        <v>-315.53129999999999</v>
      </c>
      <c r="K959">
        <v>1.077021</v>
      </c>
      <c r="L959">
        <v>367.20460000000003</v>
      </c>
      <c r="M959">
        <v>0.99969839999999999</v>
      </c>
      <c r="N959">
        <v>0</v>
      </c>
      <c r="O959">
        <v>-4.531055E-3</v>
      </c>
      <c r="P959">
        <v>0.99360789999999999</v>
      </c>
      <c r="Q959">
        <v>-8.0020500000000001E-3</v>
      </c>
      <c r="R959">
        <v>0.1126022</v>
      </c>
      <c r="S959">
        <v>3.001465</v>
      </c>
      <c r="T959">
        <v>-0.17060020000000001</v>
      </c>
      <c r="U959">
        <v>0.14529420000000001</v>
      </c>
      <c r="V959">
        <v>-0.11710370000000001</v>
      </c>
      <c r="W959">
        <v>1.5980339999999999E-2</v>
      </c>
      <c r="X959">
        <v>0.99299110000000002</v>
      </c>
      <c r="Y959">
        <v>-5.2785430000000001E-2</v>
      </c>
      <c r="Z959">
        <v>1.755314E-3</v>
      </c>
      <c r="AA959">
        <v>0.99860439999999995</v>
      </c>
      <c r="AB959">
        <v>32</v>
      </c>
      <c r="AC959">
        <v>19.680900000000001</v>
      </c>
      <c r="AD959">
        <v>-1.1270209999999901</v>
      </c>
      <c r="AE959">
        <v>0.961799999999982</v>
      </c>
      <c r="AF959">
        <v>-1.0475643112645201</v>
      </c>
      <c r="AG959">
        <v>-1.1270209999999901</v>
      </c>
      <c r="AH959">
        <v>19.612178668744001</v>
      </c>
      <c r="AI959">
        <v>93.284234327000604</v>
      </c>
      <c r="AJ959">
        <v>93.057489496917398</v>
      </c>
      <c r="AK959">
        <v>19.672445690747601</v>
      </c>
    </row>
    <row r="960" spans="1:37" x14ac:dyDescent="0.2">
      <c r="A960" t="str">
        <f>"20200111155517867"</f>
        <v>20200111155517867</v>
      </c>
      <c r="B960" t="str">
        <f>"1578729317863475"</f>
        <v>1578729317863475</v>
      </c>
      <c r="C960" t="s">
        <v>37</v>
      </c>
      <c r="D960">
        <v>4.9217180000000003</v>
      </c>
      <c r="E960">
        <v>0.52470000000000006</v>
      </c>
      <c r="F960" t="s">
        <v>39</v>
      </c>
      <c r="G960">
        <v>-295.69850000000002</v>
      </c>
      <c r="H960">
        <v>-0.05</v>
      </c>
      <c r="I960">
        <v>368.1671</v>
      </c>
      <c r="J960">
        <v>-315.320999999999</v>
      </c>
      <c r="K960">
        <v>1.0753139999999899</v>
      </c>
      <c r="L960">
        <v>367.20359999999999</v>
      </c>
      <c r="M960">
        <v>0.99970650000000005</v>
      </c>
      <c r="N960">
        <v>0</v>
      </c>
      <c r="O960">
        <v>-4.5317949999999999E-3</v>
      </c>
      <c r="P960">
        <v>0.99359619999999904</v>
      </c>
      <c r="Q960">
        <v>-8.3375240000000007E-3</v>
      </c>
      <c r="R960">
        <v>0.1126817</v>
      </c>
      <c r="S960">
        <v>3.0014340000000002</v>
      </c>
      <c r="T960">
        <v>-0.17055979999999901</v>
      </c>
      <c r="U960">
        <v>0.1456604</v>
      </c>
      <c r="V960">
        <v>-0.117184</v>
      </c>
      <c r="W960">
        <v>1.531047E-2</v>
      </c>
      <c r="X960">
        <v>0.99299219999999899</v>
      </c>
      <c r="Y960">
        <v>-5.2908009999999998E-2</v>
      </c>
      <c r="Z960">
        <v>1.7584300000000001E-3</v>
      </c>
      <c r="AA960">
        <v>0.99859789999999904</v>
      </c>
      <c r="AB960">
        <v>32</v>
      </c>
      <c r="AC960">
        <v>19.622499999999899</v>
      </c>
      <c r="AD960">
        <v>-1.1253139999999999</v>
      </c>
      <c r="AE960">
        <v>0.96350000000001002</v>
      </c>
      <c r="AF960">
        <v>-1.04899878145659</v>
      </c>
      <c r="AG960">
        <v>-1.1253139999999999</v>
      </c>
      <c r="AH960">
        <v>19.553776788081802</v>
      </c>
      <c r="AI960">
        <v>93.289002882979005</v>
      </c>
      <c r="AJ960">
        <v>93.070795180880395</v>
      </c>
      <c r="AK960">
        <v>19.614201913925001</v>
      </c>
    </row>
    <row r="961" spans="1:37" x14ac:dyDescent="0.2">
      <c r="A961" t="str">
        <f>"20200111155517878"</f>
        <v>20200111155517878</v>
      </c>
      <c r="B961" t="str">
        <f>"1578729317873236"</f>
        <v>1578729317873236</v>
      </c>
      <c r="C961" t="s">
        <v>37</v>
      </c>
      <c r="D961">
        <v>4.8933179999999998</v>
      </c>
      <c r="E961">
        <v>0.52471859999999904</v>
      </c>
      <c r="F961" t="s">
        <v>39</v>
      </c>
      <c r="G961">
        <v>-295.59609999999998</v>
      </c>
      <c r="H961">
        <v>-0.05</v>
      </c>
      <c r="I961">
        <v>368.15640000000002</v>
      </c>
      <c r="J961">
        <v>-315.14620000000002</v>
      </c>
      <c r="K961">
        <v>1.0739209999999999</v>
      </c>
      <c r="L961">
        <v>367.20280000000002</v>
      </c>
      <c r="M961">
        <v>0.99971369999999904</v>
      </c>
      <c r="N961">
        <v>0</v>
      </c>
      <c r="O961">
        <v>-4.532309E-3</v>
      </c>
      <c r="P961">
        <v>0.99358250000000004</v>
      </c>
      <c r="Q961">
        <v>-8.5085030000000006E-3</v>
      </c>
      <c r="R961">
        <v>0.1127898</v>
      </c>
      <c r="S961">
        <v>3.0014949999999998</v>
      </c>
      <c r="T961">
        <v>-0.1712359</v>
      </c>
      <c r="U961">
        <v>0.14498900000000001</v>
      </c>
      <c r="V961">
        <v>-0.11729239999999901</v>
      </c>
      <c r="W961">
        <v>1.4831779999999999E-2</v>
      </c>
      <c r="X961">
        <v>0.9929867</v>
      </c>
      <c r="Y961">
        <v>-5.2684300000000003E-2</v>
      </c>
      <c r="Z961">
        <v>1.75901799999999E-3</v>
      </c>
      <c r="AA961">
        <v>0.99860969999999905</v>
      </c>
      <c r="AB961">
        <v>32</v>
      </c>
      <c r="AC961">
        <v>19.5501</v>
      </c>
      <c r="AD961">
        <v>-1.1239209999999999</v>
      </c>
      <c r="AE961">
        <v>0.95359999999999401</v>
      </c>
      <c r="AF961">
        <v>-1.0387966681362599</v>
      </c>
      <c r="AG961">
        <v>-1.1239209999999999</v>
      </c>
      <c r="AH961">
        <v>19.481342558059701</v>
      </c>
      <c r="AI961">
        <v>93.297184261082506</v>
      </c>
      <c r="AJ961">
        <v>93.052271722452105</v>
      </c>
      <c r="AK961">
        <v>19.541366502791998</v>
      </c>
    </row>
    <row r="962" spans="1:37" x14ac:dyDescent="0.2">
      <c r="A962" t="str">
        <f>"20200111155517889"</f>
        <v>20200111155517889</v>
      </c>
      <c r="B962" t="str">
        <f>"1578729317882996"</f>
        <v>1578729317882996</v>
      </c>
      <c r="C962" t="s">
        <v>37</v>
      </c>
      <c r="D962">
        <v>4.9225339999999997</v>
      </c>
      <c r="E962">
        <v>0.5247366</v>
      </c>
      <c r="F962" t="s">
        <v>39</v>
      </c>
      <c r="G962">
        <v>-295.48509999999999</v>
      </c>
      <c r="H962">
        <v>-0.05</v>
      </c>
      <c r="I962">
        <v>368.15309999999999</v>
      </c>
      <c r="J962">
        <v>-314.98610000000002</v>
      </c>
      <c r="K962">
        <v>1.072708</v>
      </c>
      <c r="L962">
        <v>367.20209999999997</v>
      </c>
      <c r="M962">
        <v>0.99972129999999904</v>
      </c>
      <c r="N962">
        <v>0</v>
      </c>
      <c r="O962">
        <v>-4.5329599999999999E-3</v>
      </c>
      <c r="P962">
        <v>0.99358230000000003</v>
      </c>
      <c r="Q962">
        <v>-8.3652740000000007E-3</v>
      </c>
      <c r="R962">
        <v>0.11280370000000001</v>
      </c>
      <c r="S962">
        <v>3.001404</v>
      </c>
      <c r="T962">
        <v>-0.17157439999999999</v>
      </c>
      <c r="U962">
        <v>0.1450806</v>
      </c>
      <c r="V962">
        <v>-0.11730689999999901</v>
      </c>
      <c r="W962">
        <v>1.4653940000000001E-2</v>
      </c>
      <c r="X962">
        <v>0.99298759999999997</v>
      </c>
      <c r="Y962">
        <v>-5.271634E-2</v>
      </c>
      <c r="Z962">
        <v>1.7634910000000001E-3</v>
      </c>
      <c r="AA962">
        <v>0.99860799999999905</v>
      </c>
      <c r="AB962">
        <v>32</v>
      </c>
      <c r="AC962">
        <v>19.501000000000001</v>
      </c>
      <c r="AD962">
        <v>-1.122708</v>
      </c>
      <c r="AE962">
        <v>0.95100000000002105</v>
      </c>
      <c r="AF962">
        <v>-1.03598556954438</v>
      </c>
      <c r="AG962">
        <v>-1.122708</v>
      </c>
      <c r="AH962">
        <v>19.432231943987802</v>
      </c>
      <c r="AI962">
        <v>93.301940849820696</v>
      </c>
      <c r="AJ962">
        <v>93.051706067562293</v>
      </c>
      <c r="AK962">
        <v>19.4921876062823</v>
      </c>
    </row>
    <row r="963" spans="1:37" x14ac:dyDescent="0.2">
      <c r="A963" t="str">
        <f>"20200111155517901"</f>
        <v>20200111155517901</v>
      </c>
      <c r="B963" t="str">
        <f>"1578729317893732"</f>
        <v>1578729317893732</v>
      </c>
      <c r="C963" t="s">
        <v>37</v>
      </c>
      <c r="D963">
        <v>4.9815319999999996</v>
      </c>
      <c r="E963">
        <v>0.524702</v>
      </c>
      <c r="F963" t="s">
        <v>39</v>
      </c>
      <c r="G963">
        <v>-295.25299999999999</v>
      </c>
      <c r="H963">
        <v>-0.05</v>
      </c>
      <c r="I963">
        <v>368.15589999999997</v>
      </c>
      <c r="J963">
        <v>-314.82420000000002</v>
      </c>
      <c r="K963">
        <v>1.0715030000000001</v>
      </c>
      <c r="L963">
        <v>367.2013</v>
      </c>
      <c r="M963">
        <v>0.99972890000000003</v>
      </c>
      <c r="N963">
        <v>0</v>
      </c>
      <c r="O963">
        <v>-4.53320799999999E-3</v>
      </c>
      <c r="P963">
        <v>0.99360820000000005</v>
      </c>
      <c r="Q963">
        <v>-8.3349440000000004E-3</v>
      </c>
      <c r="R963">
        <v>0.112576299999999</v>
      </c>
      <c r="S963">
        <v>3.001465</v>
      </c>
      <c r="T963">
        <v>-0.17076759999999999</v>
      </c>
      <c r="U963">
        <v>0.1450806</v>
      </c>
      <c r="V963">
        <v>-0.11708010000000001</v>
      </c>
      <c r="W963">
        <v>1.435547E-2</v>
      </c>
      <c r="X963">
        <v>0.99301870000000003</v>
      </c>
      <c r="Y963">
        <v>-5.2716449999999998E-2</v>
      </c>
      <c r="Z963">
        <v>1.755192E-3</v>
      </c>
      <c r="AA963">
        <v>0.99860799999999905</v>
      </c>
      <c r="AB963">
        <v>32</v>
      </c>
      <c r="AC963">
        <v>19.571200000000001</v>
      </c>
      <c r="AD963">
        <v>-1.1215029999999999</v>
      </c>
      <c r="AE963">
        <v>0.95459999999997003</v>
      </c>
      <c r="AF963">
        <v>-1.03992693016844</v>
      </c>
      <c r="AG963">
        <v>-1.1215029999999999</v>
      </c>
      <c r="AH963">
        <v>19.5027806202473</v>
      </c>
      <c r="AI963">
        <v>93.286497769638999</v>
      </c>
      <c r="AJ963">
        <v>93.052234013683005</v>
      </c>
      <c r="AK963">
        <v>19.562660067603101</v>
      </c>
    </row>
    <row r="964" spans="1:37" x14ac:dyDescent="0.2">
      <c r="A964" t="str">
        <f>"20200111155517912"</f>
        <v>20200111155517912</v>
      </c>
      <c r="B964" t="str">
        <f>"1578729317903492"</f>
        <v>1578729317903492</v>
      </c>
      <c r="C964" t="s">
        <v>37</v>
      </c>
      <c r="D964">
        <v>4.9707429999999997</v>
      </c>
      <c r="E964">
        <v>0.52470859999999997</v>
      </c>
      <c r="F964" t="s">
        <v>39</v>
      </c>
      <c r="G964">
        <v>-295.0942</v>
      </c>
      <c r="H964">
        <v>-0.05</v>
      </c>
      <c r="I964">
        <v>368.15140000000002</v>
      </c>
      <c r="J964">
        <v>-314.65899999999999</v>
      </c>
      <c r="K964">
        <v>1.070341</v>
      </c>
      <c r="L964">
        <v>367.20060000000001</v>
      </c>
      <c r="M964">
        <v>0.99973699999999999</v>
      </c>
      <c r="N964">
        <v>0</v>
      </c>
      <c r="O964">
        <v>-4.5332319999999999E-3</v>
      </c>
      <c r="P964">
        <v>0.99361139999999903</v>
      </c>
      <c r="Q964">
        <v>-8.2529819999999903E-3</v>
      </c>
      <c r="R964">
        <v>0.112554399999999</v>
      </c>
      <c r="S964">
        <v>3.0014949999999998</v>
      </c>
      <c r="T964">
        <v>-0.17061199999999899</v>
      </c>
      <c r="U964">
        <v>0.144531299999999</v>
      </c>
      <c r="V964">
        <v>-0.1170583</v>
      </c>
      <c r="W964">
        <v>1.408275E-2</v>
      </c>
      <c r="X964">
        <v>0.99302520000000005</v>
      </c>
      <c r="Y964">
        <v>-5.2534079999999997E-2</v>
      </c>
      <c r="Z964">
        <v>1.7484079999999999E-3</v>
      </c>
      <c r="AA964">
        <v>0.99861759999999999</v>
      </c>
      <c r="AB964">
        <v>32</v>
      </c>
      <c r="AC964">
        <v>19.564799999999899</v>
      </c>
      <c r="AD964">
        <v>-1.120341</v>
      </c>
      <c r="AE964">
        <v>0.95080000000001497</v>
      </c>
      <c r="AF964">
        <v>-1.03611494274009</v>
      </c>
      <c r="AG964">
        <v>-1.120341</v>
      </c>
      <c r="AH964">
        <v>19.496507950704199</v>
      </c>
      <c r="AI964">
        <v>93.284185047063403</v>
      </c>
      <c r="AJ964">
        <v>93.042043266323105</v>
      </c>
      <c r="AK964">
        <v>19.556137665774401</v>
      </c>
    </row>
    <row r="965" spans="1:37" x14ac:dyDescent="0.2">
      <c r="A965" t="str">
        <f>"20200111155517923"</f>
        <v>20200111155517923</v>
      </c>
      <c r="B965" t="str">
        <f>"1578729317913252"</f>
        <v>1578729317913252</v>
      </c>
      <c r="C965" t="s">
        <v>37</v>
      </c>
      <c r="D965">
        <v>4.9224730000000001</v>
      </c>
      <c r="E965">
        <v>0.52471999999999996</v>
      </c>
      <c r="F965" t="s">
        <v>39</v>
      </c>
      <c r="G965">
        <v>-294.86040000000003</v>
      </c>
      <c r="H965">
        <v>-0.05</v>
      </c>
      <c r="I965">
        <v>368.15390000000002</v>
      </c>
      <c r="J965">
        <v>-314.49860000000001</v>
      </c>
      <c r="K965">
        <v>1.069258</v>
      </c>
      <c r="L965">
        <v>367.19979999999998</v>
      </c>
      <c r="M965">
        <v>0.99974479999999999</v>
      </c>
      <c r="N965">
        <v>0</v>
      </c>
      <c r="O965">
        <v>-4.533278E-3</v>
      </c>
      <c r="P965">
        <v>0.99361869999999997</v>
      </c>
      <c r="Q965">
        <v>-8.123379E-3</v>
      </c>
      <c r="R965">
        <v>0.1124998</v>
      </c>
      <c r="S965">
        <v>3.0014949999999998</v>
      </c>
      <c r="T965">
        <v>-0.1698452</v>
      </c>
      <c r="U965">
        <v>0.144531299999999</v>
      </c>
      <c r="V965">
        <v>-0.1170037</v>
      </c>
      <c r="W965">
        <v>1.3865809999999999E-2</v>
      </c>
      <c r="X965">
        <v>0.99303469999999905</v>
      </c>
      <c r="Y965">
        <v>-5.2534909999999997E-2</v>
      </c>
      <c r="Z965">
        <v>1.740587E-3</v>
      </c>
      <c r="AA965">
        <v>0.99861759999999999</v>
      </c>
      <c r="AB965">
        <v>32</v>
      </c>
      <c r="AC965">
        <v>19.638199999999902</v>
      </c>
      <c r="AD965">
        <v>-1.1192580000000001</v>
      </c>
      <c r="AE965">
        <v>0.95410000000003903</v>
      </c>
      <c r="AF965">
        <v>-1.03976788932662</v>
      </c>
      <c r="AG965">
        <v>-1.1192580000000001</v>
      </c>
      <c r="AH965">
        <v>19.570251365858098</v>
      </c>
      <c r="AI965">
        <v>93.268683143911701</v>
      </c>
      <c r="AJ965">
        <v>93.041266559480206</v>
      </c>
      <c r="AK965">
        <v>19.629788441476101</v>
      </c>
    </row>
    <row r="966" spans="1:37" x14ac:dyDescent="0.2">
      <c r="A966" t="str">
        <f>"20200111155517934"</f>
        <v>20200111155517934</v>
      </c>
      <c r="B966" t="str">
        <f>"1578729317923012"</f>
        <v>1578729317923012</v>
      </c>
      <c r="C966" t="s">
        <v>37</v>
      </c>
      <c r="D966">
        <v>5.0969819999999997</v>
      </c>
      <c r="E966">
        <v>0.52465799999999996</v>
      </c>
      <c r="F966" t="s">
        <v>39</v>
      </c>
      <c r="G966">
        <v>-294.65109999999999</v>
      </c>
      <c r="H966">
        <v>-0.05</v>
      </c>
      <c r="I966">
        <v>368.1533</v>
      </c>
      <c r="J966">
        <v>-314.34030000000001</v>
      </c>
      <c r="K966">
        <v>1.0682339999999999</v>
      </c>
      <c r="L966">
        <v>367.19909999999999</v>
      </c>
      <c r="M966">
        <v>0.99975249999999904</v>
      </c>
      <c r="N966">
        <v>0</v>
      </c>
      <c r="O966">
        <v>-4.5331579999999998E-3</v>
      </c>
      <c r="P966">
        <v>0.99362189999999995</v>
      </c>
      <c r="Q966">
        <v>-7.5868699999999999E-3</v>
      </c>
      <c r="R966">
        <v>0.112509</v>
      </c>
      <c r="S966">
        <v>3.0015869999999998</v>
      </c>
      <c r="T966">
        <v>-0.16926830000000001</v>
      </c>
      <c r="U966">
        <v>0.14419560000000001</v>
      </c>
      <c r="V966">
        <v>-0.117012899999999</v>
      </c>
      <c r="W966">
        <v>1.405557E-2</v>
      </c>
      <c r="X966">
        <v>0.99303090000000005</v>
      </c>
      <c r="Y966">
        <v>-5.2422660000000003E-2</v>
      </c>
      <c r="Z966">
        <v>1.7314660000000001E-3</v>
      </c>
      <c r="AA966">
        <v>0.9986235</v>
      </c>
      <c r="AB966">
        <v>32</v>
      </c>
      <c r="AC966">
        <v>19.6892</v>
      </c>
      <c r="AD966">
        <v>-1.118234</v>
      </c>
      <c r="AE966">
        <v>0.95420000000001404</v>
      </c>
      <c r="AF966">
        <v>-1.0401184886852799</v>
      </c>
      <c r="AG966">
        <v>-1.118234</v>
      </c>
      <c r="AH966">
        <v>19.6215283197375</v>
      </c>
      <c r="AI966">
        <v>93.257204081410606</v>
      </c>
      <c r="AJ966">
        <v>93.034354576005995</v>
      </c>
      <c r="AK966">
        <v>19.680870594349201</v>
      </c>
    </row>
    <row r="967" spans="1:37" x14ac:dyDescent="0.2">
      <c r="A967" t="str">
        <f>"20200111155517946"</f>
        <v>20200111155517946</v>
      </c>
      <c r="B967" t="str">
        <f>"1578729317943508"</f>
        <v>1578729317943508</v>
      </c>
      <c r="C967" t="s">
        <v>37</v>
      </c>
      <c r="D967">
        <v>4.7299360000000004</v>
      </c>
      <c r="E967">
        <v>0.52478459999999905</v>
      </c>
      <c r="F967" t="s">
        <v>39</v>
      </c>
      <c r="G967">
        <v>-294.26510000000002</v>
      </c>
      <c r="H967">
        <v>-0.05</v>
      </c>
      <c r="I967">
        <v>368.16699999999997</v>
      </c>
      <c r="J967">
        <v>-314.17140000000001</v>
      </c>
      <c r="K967">
        <v>1.0672090000000001</v>
      </c>
      <c r="L967">
        <v>367.19839999999999</v>
      </c>
      <c r="M967">
        <v>0.99976039999999899</v>
      </c>
      <c r="N967">
        <v>0</v>
      </c>
      <c r="O967">
        <v>-4.5327600000000003E-3</v>
      </c>
      <c r="P967">
        <v>0.99362929999999905</v>
      </c>
      <c r="Q967">
        <v>-7.2324959999999997E-3</v>
      </c>
      <c r="R967">
        <v>0.11246680000000001</v>
      </c>
      <c r="S967">
        <v>3.0016479999999999</v>
      </c>
      <c r="T967">
        <v>-0.16719819999999999</v>
      </c>
      <c r="U967">
        <v>0.14471439999999999</v>
      </c>
      <c r="V967">
        <v>-0.1169698</v>
      </c>
      <c r="W967">
        <v>1.404413E-2</v>
      </c>
      <c r="X967">
        <v>0.99303619999999904</v>
      </c>
      <c r="Y967">
        <v>-5.2595389999999999E-2</v>
      </c>
      <c r="Z967">
        <v>1.715063E-3</v>
      </c>
      <c r="AA967">
        <v>0.99861440000000001</v>
      </c>
      <c r="AB967">
        <v>32</v>
      </c>
      <c r="AC967">
        <v>19.906299999999899</v>
      </c>
      <c r="AD967">
        <v>-1.1172089999999999</v>
      </c>
      <c r="AE967">
        <v>0.96859999999998003</v>
      </c>
      <c r="AF967">
        <v>-1.05552434802009</v>
      </c>
      <c r="AG967">
        <v>-1.1172089999999999</v>
      </c>
      <c r="AH967">
        <v>19.8393608664712</v>
      </c>
      <c r="AI967">
        <v>93.218536531357501</v>
      </c>
      <c r="AJ967">
        <v>93.045467287973196</v>
      </c>
      <c r="AK967">
        <v>19.898807180055101</v>
      </c>
    </row>
    <row r="968" spans="1:37" x14ac:dyDescent="0.2">
      <c r="A968" t="str">
        <f>"20200111155517957"</f>
        <v>20200111155517957</v>
      </c>
      <c r="B968" t="str">
        <f>"1578729317953269"</f>
        <v>1578729317953269</v>
      </c>
      <c r="C968" t="s">
        <v>37</v>
      </c>
      <c r="D968">
        <v>5.016966</v>
      </c>
      <c r="E968">
        <v>0.52479569999999998</v>
      </c>
      <c r="F968" t="s">
        <v>39</v>
      </c>
      <c r="G968">
        <v>-293.80880000000002</v>
      </c>
      <c r="H968">
        <v>-0.05</v>
      </c>
      <c r="I968">
        <v>368.1728</v>
      </c>
      <c r="J968">
        <v>-314.01889999999997</v>
      </c>
      <c r="K968">
        <v>1.066314</v>
      </c>
      <c r="L968">
        <v>367.1977</v>
      </c>
      <c r="M968">
        <v>0.99976749999999903</v>
      </c>
      <c r="N968">
        <v>0</v>
      </c>
      <c r="O968">
        <v>-4.5324659999999998E-3</v>
      </c>
      <c r="P968">
        <v>0.99365720000000002</v>
      </c>
      <c r="Q968">
        <v>-6.81015099999999E-3</v>
      </c>
      <c r="R968">
        <v>0.112247</v>
      </c>
      <c r="S968">
        <v>3.00177</v>
      </c>
      <c r="T968">
        <v>-0.164694799999999</v>
      </c>
      <c r="U968">
        <v>0.1436462</v>
      </c>
      <c r="V968">
        <v>-0.116750399999999</v>
      </c>
      <c r="W968">
        <v>1.41371E-2</v>
      </c>
      <c r="X968">
        <v>0.99306059999999996</v>
      </c>
      <c r="Y968">
        <v>-5.2241740000000002E-2</v>
      </c>
      <c r="Z968">
        <v>1.679662E-3</v>
      </c>
      <c r="AA968">
        <v>0.99863299999999999</v>
      </c>
      <c r="AB968">
        <v>32</v>
      </c>
      <c r="AC968">
        <v>20.210099999999901</v>
      </c>
      <c r="AD968">
        <v>-1.116314</v>
      </c>
      <c r="AE968">
        <v>0.97509999999999697</v>
      </c>
      <c r="AF968">
        <v>-1.0634748530305</v>
      </c>
      <c r="AG968">
        <v>-1.116314</v>
      </c>
      <c r="AH968">
        <v>20.144155548752401</v>
      </c>
      <c r="AI968">
        <v>93.167472247414693</v>
      </c>
      <c r="AJ968">
        <v>93.022023241461198</v>
      </c>
      <c r="AK968">
        <v>20.203072501032</v>
      </c>
    </row>
    <row r="969" spans="1:37" x14ac:dyDescent="0.2">
      <c r="A969" t="str">
        <f>"20200111155517967"</f>
        <v>20200111155517967</v>
      </c>
      <c r="B969" t="str">
        <f>"1578729317963029"</f>
        <v>1578729317963029</v>
      </c>
      <c r="C969" t="s">
        <v>37</v>
      </c>
      <c r="D969">
        <v>4.9097029999999897</v>
      </c>
      <c r="E969">
        <v>0.52483740000000001</v>
      </c>
      <c r="F969" t="s">
        <v>39</v>
      </c>
      <c r="G969">
        <v>-293.50170000000003</v>
      </c>
      <c r="H969">
        <v>-0.05</v>
      </c>
      <c r="I969">
        <v>368.17360000000002</v>
      </c>
      <c r="J969">
        <v>-313.8646</v>
      </c>
      <c r="K969">
        <v>1.065488</v>
      </c>
      <c r="L969">
        <v>367.19699999999898</v>
      </c>
      <c r="M969">
        <v>0.99977439999999995</v>
      </c>
      <c r="N969">
        <v>0</v>
      </c>
      <c r="O969">
        <v>-4.5320539999999998E-3</v>
      </c>
      <c r="P969">
        <v>0.993681699999999</v>
      </c>
      <c r="Q969">
        <v>-6.4210040000000001E-3</v>
      </c>
      <c r="R969">
        <v>0.112053099999999</v>
      </c>
      <c r="S969">
        <v>3.0018919999999998</v>
      </c>
      <c r="T969">
        <v>-0.163328799999999</v>
      </c>
      <c r="U969">
        <v>0.14279169999999999</v>
      </c>
      <c r="V969">
        <v>-0.1165561</v>
      </c>
      <c r="W969">
        <v>1.4204329999999999E-2</v>
      </c>
      <c r="X969">
        <v>0.99308249999999998</v>
      </c>
      <c r="Y969">
        <v>-5.1957580000000003E-2</v>
      </c>
      <c r="Z969">
        <v>1.65795E-3</v>
      </c>
      <c r="AA969">
        <v>0.99864789999999903</v>
      </c>
      <c r="AB969">
        <v>32</v>
      </c>
      <c r="AC969">
        <v>20.3628999999999</v>
      </c>
      <c r="AD969">
        <v>-1.11548799999999</v>
      </c>
      <c r="AE969">
        <v>0.97660000000007596</v>
      </c>
      <c r="AF969">
        <v>-1.0657048771003199</v>
      </c>
      <c r="AG969">
        <v>-1.11548799999999</v>
      </c>
      <c r="AH969">
        <v>20.297493001031899</v>
      </c>
      <c r="AI969">
        <v>93.141317914412298</v>
      </c>
      <c r="AJ969">
        <v>93.005512845402095</v>
      </c>
      <c r="AK969">
        <v>20.356037494811101</v>
      </c>
    </row>
    <row r="970" spans="1:37" x14ac:dyDescent="0.2">
      <c r="A970" t="str">
        <f>"20200111155517979"</f>
        <v>20200111155517979</v>
      </c>
      <c r="B970" t="str">
        <f>"1578729317973765"</f>
        <v>1578729317973765</v>
      </c>
      <c r="C970" t="s">
        <v>37</v>
      </c>
      <c r="D970">
        <v>4.9105970000000001</v>
      </c>
      <c r="E970">
        <v>0.52489399999999997</v>
      </c>
      <c r="F970" t="s">
        <v>39</v>
      </c>
      <c r="G970">
        <v>-293.19920000000002</v>
      </c>
      <c r="H970">
        <v>-0.05</v>
      </c>
      <c r="I970">
        <v>368.1755</v>
      </c>
      <c r="J970">
        <v>-313.70850000000002</v>
      </c>
      <c r="K970">
        <v>1.0646690000000001</v>
      </c>
      <c r="L970">
        <v>367.19630000000001</v>
      </c>
      <c r="M970">
        <v>0.99978109999999998</v>
      </c>
      <c r="N970">
        <v>0</v>
      </c>
      <c r="O970">
        <v>-4.5319150000000001E-3</v>
      </c>
      <c r="P970">
        <v>0.99368219999999996</v>
      </c>
      <c r="Q970">
        <v>-6.267061E-3</v>
      </c>
      <c r="R970">
        <v>0.11205519999999999</v>
      </c>
      <c r="S970">
        <v>3.002014</v>
      </c>
      <c r="T970">
        <v>-0.1620443</v>
      </c>
      <c r="U970">
        <v>0.1421509</v>
      </c>
      <c r="V970">
        <v>-0.11655739999999901</v>
      </c>
      <c r="W970">
        <v>1.4034110000000001E-2</v>
      </c>
      <c r="X970">
        <v>0.99308479999999999</v>
      </c>
      <c r="Y970">
        <v>-5.1744399999999899E-2</v>
      </c>
      <c r="Z970">
        <v>1.6391159999999999E-3</v>
      </c>
      <c r="AA970">
        <v>0.99865899999999996</v>
      </c>
      <c r="AB970">
        <v>32</v>
      </c>
      <c r="AC970">
        <v>20.5093</v>
      </c>
      <c r="AD970">
        <v>-1.1146689999999999</v>
      </c>
      <c r="AE970">
        <v>0.97919999999999097</v>
      </c>
      <c r="AF970">
        <v>-1.0690052277873701</v>
      </c>
      <c r="AG970">
        <v>-1.1146689999999999</v>
      </c>
      <c r="AH970">
        <v>20.444398141013</v>
      </c>
      <c r="AI970">
        <v>93.116540157035104</v>
      </c>
      <c r="AJ970">
        <v>92.993179769558196</v>
      </c>
      <c r="AK970">
        <v>20.502650426343699</v>
      </c>
    </row>
    <row r="971" spans="1:37" x14ac:dyDescent="0.2">
      <c r="A971" t="str">
        <f>"20200111155517991"</f>
        <v>20200111155517991</v>
      </c>
      <c r="B971" t="str">
        <f>"1578729317983524"</f>
        <v>1578729317983524</v>
      </c>
      <c r="C971" t="s">
        <v>37</v>
      </c>
      <c r="D971">
        <v>4.932067</v>
      </c>
      <c r="E971">
        <v>0.52495429999999998</v>
      </c>
      <c r="F971" t="s">
        <v>39</v>
      </c>
      <c r="G971">
        <v>-293.01920000000001</v>
      </c>
      <c r="H971">
        <v>-0.05</v>
      </c>
      <c r="I971">
        <v>368.17189999999999</v>
      </c>
      <c r="J971">
        <v>-313.529</v>
      </c>
      <c r="K971">
        <v>1.063825</v>
      </c>
      <c r="L971">
        <v>367.19549999999998</v>
      </c>
      <c r="M971">
        <v>0.99978820000000002</v>
      </c>
      <c r="N971">
        <v>0</v>
      </c>
      <c r="O971">
        <v>-4.5319940000000001E-3</v>
      </c>
      <c r="P971">
        <v>0.99372119999999997</v>
      </c>
      <c r="Q971">
        <v>-5.9631830000000004E-3</v>
      </c>
      <c r="R971">
        <v>0.111725</v>
      </c>
      <c r="S971">
        <v>3.0021059999999999</v>
      </c>
      <c r="T971">
        <v>-0.16174340000000001</v>
      </c>
      <c r="U971">
        <v>0.141571</v>
      </c>
      <c r="V971">
        <v>-0.1162279</v>
      </c>
      <c r="W971">
        <v>1.398405E-2</v>
      </c>
      <c r="X971">
        <v>0.99312409999999995</v>
      </c>
      <c r="Y971">
        <v>-5.1551140000000002E-2</v>
      </c>
      <c r="Z971">
        <v>1.6308379999999999E-3</v>
      </c>
      <c r="AA971">
        <v>0.99866900000000003</v>
      </c>
      <c r="AB971">
        <v>32</v>
      </c>
      <c r="AC971">
        <v>20.509799999999899</v>
      </c>
      <c r="AD971">
        <v>-1.1138250000000001</v>
      </c>
      <c r="AE971">
        <v>0.97640000000001204</v>
      </c>
      <c r="AF971">
        <v>-1.06622155566258</v>
      </c>
      <c r="AG971">
        <v>-1.1138250000000001</v>
      </c>
      <c r="AH971">
        <v>20.445002354147</v>
      </c>
      <c r="AI971">
        <v>93.114115470655605</v>
      </c>
      <c r="AJ971">
        <v>92.985311628044599</v>
      </c>
      <c r="AK971">
        <v>20.5030621078282</v>
      </c>
    </row>
    <row r="972" spans="1:37" x14ac:dyDescent="0.2">
      <c r="A972" t="str">
        <f>"20200111155518004"</f>
        <v>20200111155518004</v>
      </c>
      <c r="B972" t="str">
        <f>"1578729317993284"</f>
        <v>1578729317993284</v>
      </c>
      <c r="C972" t="s">
        <v>37</v>
      </c>
      <c r="D972">
        <v>5.0742159999999998</v>
      </c>
      <c r="E972">
        <v>0.52490380000000003</v>
      </c>
      <c r="F972" t="s">
        <v>39</v>
      </c>
      <c r="G972">
        <v>-292.71960000000001</v>
      </c>
      <c r="H972">
        <v>-0.05</v>
      </c>
      <c r="I972">
        <v>368.16660000000002</v>
      </c>
      <c r="J972">
        <v>-313.36540000000002</v>
      </c>
      <c r="K972">
        <v>1.063091</v>
      </c>
      <c r="L972">
        <v>367.19479999999999</v>
      </c>
      <c r="M972">
        <v>0.99979459999999998</v>
      </c>
      <c r="N972">
        <v>0</v>
      </c>
      <c r="O972">
        <v>-4.5322959999999999E-3</v>
      </c>
      <c r="P972">
        <v>0.99371860000000001</v>
      </c>
      <c r="Q972">
        <v>-5.9053150000000004E-3</v>
      </c>
      <c r="R972">
        <v>0.11175299999999901</v>
      </c>
      <c r="S972">
        <v>3.0022279999999899</v>
      </c>
      <c r="T972">
        <v>-0.160695</v>
      </c>
      <c r="U972">
        <v>0.14010619999999999</v>
      </c>
      <c r="V972">
        <v>-0.1162557</v>
      </c>
      <c r="W972">
        <v>1.372658E-2</v>
      </c>
      <c r="X972">
        <v>0.99312440000000002</v>
      </c>
      <c r="Y972">
        <v>-5.1065039999999999E-2</v>
      </c>
      <c r="Z972">
        <v>1.607256E-3</v>
      </c>
      <c r="AA972">
        <v>0.99869409999999903</v>
      </c>
      <c r="AB972">
        <v>32</v>
      </c>
      <c r="AC972">
        <v>20.645800000000001</v>
      </c>
      <c r="AD972">
        <v>-1.1130910000000001</v>
      </c>
      <c r="AE972">
        <v>0.97180000000002997</v>
      </c>
      <c r="AF972">
        <v>-1.0623002082249799</v>
      </c>
      <c r="AG972">
        <v>-1.1130910000000001</v>
      </c>
      <c r="AH972">
        <v>20.581490871116799</v>
      </c>
      <c r="AI972">
        <v>93.091555101653697</v>
      </c>
      <c r="AJ972">
        <v>92.954662317075702</v>
      </c>
      <c r="AK972">
        <v>20.638924869879698</v>
      </c>
    </row>
    <row r="973" spans="1:37" x14ac:dyDescent="0.2">
      <c r="A973" t="str">
        <f>"20200111155518016"</f>
        <v>20200111155518016</v>
      </c>
      <c r="B973" t="str">
        <f>"1578729318013780"</f>
        <v>1578729318013780</v>
      </c>
      <c r="C973" t="s">
        <v>37</v>
      </c>
      <c r="D973">
        <v>4.8846249999999998</v>
      </c>
      <c r="E973">
        <v>0.52502850000000001</v>
      </c>
      <c r="F973" t="s">
        <v>39</v>
      </c>
      <c r="G973">
        <v>-292.4973</v>
      </c>
      <c r="H973">
        <v>-0.05</v>
      </c>
      <c r="I973">
        <v>368.17239999999998</v>
      </c>
      <c r="J973">
        <v>-313.1755</v>
      </c>
      <c r="K973">
        <v>1.0623</v>
      </c>
      <c r="L973">
        <v>367.19389999999999</v>
      </c>
      <c r="M973">
        <v>0.99980149999999901</v>
      </c>
      <c r="N973">
        <v>0</v>
      </c>
      <c r="O973">
        <v>-4.5325359999999898E-3</v>
      </c>
      <c r="P973">
        <v>0.99374470000000004</v>
      </c>
      <c r="Q973">
        <v>-5.5527429999999997E-3</v>
      </c>
      <c r="R973">
        <v>0.1115391</v>
      </c>
      <c r="S973">
        <v>3.0022279999999899</v>
      </c>
      <c r="T973">
        <v>-0.16013759999999999</v>
      </c>
      <c r="U973">
        <v>0.14065549999999999</v>
      </c>
      <c r="V973">
        <v>-0.1160426</v>
      </c>
      <c r="W973">
        <v>1.372897E-2</v>
      </c>
      <c r="X973">
        <v>0.99314930000000001</v>
      </c>
      <c r="Y973">
        <v>-5.1247859999999999E-2</v>
      </c>
      <c r="Z973">
        <v>1.6065629999999899E-3</v>
      </c>
      <c r="AA973">
        <v>0.99868459999999903</v>
      </c>
      <c r="AB973">
        <v>32</v>
      </c>
      <c r="AC973">
        <v>20.6782</v>
      </c>
      <c r="AD973">
        <v>-1.1123000000000001</v>
      </c>
      <c r="AE973">
        <v>0.97849999999999604</v>
      </c>
      <c r="AF973">
        <v>-1.0691456505708401</v>
      </c>
      <c r="AG973">
        <v>-1.1123000000000001</v>
      </c>
      <c r="AH973">
        <v>20.614038829920201</v>
      </c>
      <c r="AI973">
        <v>93.084454153474198</v>
      </c>
      <c r="AJ973">
        <v>92.968981258662595</v>
      </c>
      <c r="AK973">
        <v>20.671692736532101</v>
      </c>
    </row>
    <row r="974" spans="1:37" x14ac:dyDescent="0.2">
      <c r="A974" t="str">
        <f>"20200111155518029"</f>
        <v>20200111155518029</v>
      </c>
      <c r="B974" t="str">
        <f>"1578729318023540"</f>
        <v>1578729318023540</v>
      </c>
      <c r="C974" t="s">
        <v>37</v>
      </c>
      <c r="D974">
        <v>4.877192</v>
      </c>
      <c r="E974">
        <v>0.52506960000000003</v>
      </c>
      <c r="F974" t="s">
        <v>39</v>
      </c>
      <c r="G974">
        <v>-292.12279999999998</v>
      </c>
      <c r="H974">
        <v>-0.05</v>
      </c>
      <c r="I974">
        <v>368.16640000000001</v>
      </c>
      <c r="J974">
        <v>-312.98840000000001</v>
      </c>
      <c r="K974">
        <v>1.0616000000000001</v>
      </c>
      <c r="L974">
        <v>367.19310000000002</v>
      </c>
      <c r="M974">
        <v>0.99980780000000002</v>
      </c>
      <c r="N974">
        <v>0</v>
      </c>
      <c r="O974">
        <v>-4.5327329999999997E-3</v>
      </c>
      <c r="P974">
        <v>0.99379200000000001</v>
      </c>
      <c r="Q974">
        <v>-5.2260479999999996E-3</v>
      </c>
      <c r="R974">
        <v>0.11113199999999999</v>
      </c>
      <c r="S974">
        <v>3.0024410000000001</v>
      </c>
      <c r="T974">
        <v>-0.15863089999999999</v>
      </c>
      <c r="U974">
        <v>0.138702399999999</v>
      </c>
      <c r="V974">
        <v>-0.1156358</v>
      </c>
      <c r="W974">
        <v>1.373183E-2</v>
      </c>
      <c r="X974">
        <v>0.99319669999999904</v>
      </c>
      <c r="Y974">
        <v>-5.0598839999999999E-2</v>
      </c>
      <c r="Z974">
        <v>1.5742639999999999E-3</v>
      </c>
      <c r="AA974">
        <v>0.99871779999999999</v>
      </c>
      <c r="AB974">
        <v>32</v>
      </c>
      <c r="AC974">
        <v>20.865600000000001</v>
      </c>
      <c r="AD974">
        <v>-1.1115999999999999</v>
      </c>
      <c r="AE974">
        <v>0.97329999999999395</v>
      </c>
      <c r="AF974">
        <v>-1.0648697027027101</v>
      </c>
      <c r="AG974">
        <v>-1.1115999999999999</v>
      </c>
      <c r="AH974">
        <v>20.8020618742846</v>
      </c>
      <c r="AI974">
        <v>93.054813577451895</v>
      </c>
      <c r="AJ974">
        <v>92.930446497930603</v>
      </c>
      <c r="AK974">
        <v>20.8589400561318</v>
      </c>
    </row>
    <row r="975" spans="1:37" x14ac:dyDescent="0.2">
      <c r="A975" t="str">
        <f>"20200111155518043"</f>
        <v>20200111155518043</v>
      </c>
      <c r="B975" t="str">
        <f>"1578729318033300"</f>
        <v>1578729318033300</v>
      </c>
      <c r="C975" t="s">
        <v>37</v>
      </c>
      <c r="D975">
        <v>5.180167</v>
      </c>
      <c r="E975">
        <v>0.52501980000000004</v>
      </c>
      <c r="F975" t="s">
        <v>39</v>
      </c>
      <c r="G975">
        <v>-291.79239999999999</v>
      </c>
      <c r="H975">
        <v>-0.05</v>
      </c>
      <c r="I975">
        <v>368.16160000000002</v>
      </c>
      <c r="J975">
        <v>-312.80579999999998</v>
      </c>
      <c r="K975">
        <v>1.060954</v>
      </c>
      <c r="L975">
        <v>367.19220000000001</v>
      </c>
      <c r="M975">
        <v>0.99981359999999997</v>
      </c>
      <c r="N975">
        <v>0</v>
      </c>
      <c r="O975">
        <v>-4.5329300000000001E-3</v>
      </c>
      <c r="P975">
        <v>0.99380360000000001</v>
      </c>
      <c r="Q975">
        <v>-4.8291129999999899E-3</v>
      </c>
      <c r="R975">
        <v>0.11104700000000001</v>
      </c>
      <c r="S975">
        <v>3.0025330000000001</v>
      </c>
      <c r="T975">
        <v>-0.15746489999999999</v>
      </c>
      <c r="U975">
        <v>0.137207</v>
      </c>
      <c r="V975">
        <v>-0.1155509</v>
      </c>
      <c r="W975">
        <v>1.382337E-2</v>
      </c>
      <c r="X975">
        <v>0.99320540000000002</v>
      </c>
      <c r="Y975">
        <v>-5.0103059999999998E-2</v>
      </c>
      <c r="Z975">
        <v>1.5497029999999999E-3</v>
      </c>
      <c r="AA975">
        <v>0.99874289999999999</v>
      </c>
      <c r="AB975">
        <v>32</v>
      </c>
      <c r="AC975">
        <v>21.013399999999901</v>
      </c>
      <c r="AD975">
        <v>-1.110954</v>
      </c>
      <c r="AE975">
        <v>0.96940000000000703</v>
      </c>
      <c r="AF975">
        <v>-1.0616978234641701</v>
      </c>
      <c r="AG975">
        <v>-1.110954</v>
      </c>
      <c r="AH975">
        <v>20.950354774219399</v>
      </c>
      <c r="AI975">
        <v>93.031550727357498</v>
      </c>
      <c r="AJ975">
        <v>92.901087408601796</v>
      </c>
      <c r="AK975">
        <v>21.0066367185259</v>
      </c>
    </row>
    <row r="976" spans="1:37" x14ac:dyDescent="0.2">
      <c r="A976" t="str">
        <f>"20200111155518055"</f>
        <v>20200111155518055</v>
      </c>
      <c r="B976" t="str">
        <f>"1578729318053796"</f>
        <v>1578729318053796</v>
      </c>
      <c r="C976" t="s">
        <v>37</v>
      </c>
      <c r="D976">
        <v>5.0808299999999997</v>
      </c>
      <c r="E976">
        <v>0.52500049999999998</v>
      </c>
      <c r="F976" t="s">
        <v>39</v>
      </c>
      <c r="G976">
        <v>-291.39760000000001</v>
      </c>
      <c r="H976">
        <v>-0.05</v>
      </c>
      <c r="I976">
        <v>368.17110000000002</v>
      </c>
      <c r="J976">
        <v>-312.60730000000001</v>
      </c>
      <c r="K976">
        <v>1.0603180000000001</v>
      </c>
      <c r="L976">
        <v>367.19130000000001</v>
      </c>
      <c r="M976">
        <v>0.99981949999999997</v>
      </c>
      <c r="N976">
        <v>0</v>
      </c>
      <c r="O976">
        <v>-4.5329810000000002E-3</v>
      </c>
      <c r="P976">
        <v>0.99383999999999995</v>
      </c>
      <c r="Q976">
        <v>-4.4799180000000003E-3</v>
      </c>
      <c r="R976">
        <v>0.1107336</v>
      </c>
      <c r="S976">
        <v>3.00259399999999</v>
      </c>
      <c r="T976">
        <v>-0.15581579999999901</v>
      </c>
      <c r="U976">
        <v>0.13729859999999999</v>
      </c>
      <c r="V976">
        <v>-0.115237799999999</v>
      </c>
      <c r="W976">
        <v>1.386009E-2</v>
      </c>
      <c r="X976">
        <v>0.99324129999999999</v>
      </c>
      <c r="Y976">
        <v>-5.0134079999999998E-2</v>
      </c>
      <c r="Z976">
        <v>1.5342679999999899E-3</v>
      </c>
      <c r="AA976">
        <v>0.99874130000000005</v>
      </c>
      <c r="AB976">
        <v>32</v>
      </c>
      <c r="AC976">
        <v>21.209700000000002</v>
      </c>
      <c r="AD976">
        <v>-1.1103179999999999</v>
      </c>
      <c r="AE976">
        <v>0.979800000000011</v>
      </c>
      <c r="AF976">
        <v>-1.07301515757411</v>
      </c>
      <c r="AG976">
        <v>-1.1103179999999999</v>
      </c>
      <c r="AH976">
        <v>21.147209876577701</v>
      </c>
      <c r="AI976">
        <v>93.001656696164602</v>
      </c>
      <c r="AJ976">
        <v>92.904712282167097</v>
      </c>
      <c r="AK976">
        <v>21.203505680748499</v>
      </c>
    </row>
    <row r="977" spans="1:37" x14ac:dyDescent="0.2">
      <c r="A977" t="str">
        <f>"20200111155518067"</f>
        <v>20200111155518067</v>
      </c>
      <c r="B977" t="str">
        <f>"1578729318063556"</f>
        <v>1578729318063556</v>
      </c>
      <c r="C977" t="s">
        <v>37</v>
      </c>
      <c r="D977">
        <v>5.104679</v>
      </c>
      <c r="E977">
        <v>0.52496969999999898</v>
      </c>
      <c r="F977" t="s">
        <v>39</v>
      </c>
      <c r="G977">
        <v>-290.96370000000002</v>
      </c>
      <c r="H977">
        <v>-0.05</v>
      </c>
      <c r="I977">
        <v>368.17750000000001</v>
      </c>
      <c r="J977">
        <v>-312.45359999999999</v>
      </c>
      <c r="K977">
        <v>1.0598780000000001</v>
      </c>
      <c r="L977">
        <v>367.19060000000002</v>
      </c>
      <c r="M977">
        <v>0.99982359999999904</v>
      </c>
      <c r="N977">
        <v>0</v>
      </c>
      <c r="O977">
        <v>-4.532927E-3</v>
      </c>
      <c r="P977">
        <v>0.99382099999999995</v>
      </c>
      <c r="Q977">
        <v>-4.30218099999999E-3</v>
      </c>
      <c r="R977">
        <v>0.1109116</v>
      </c>
      <c r="S977">
        <v>3.0026549999999999</v>
      </c>
      <c r="T977">
        <v>-0.15403629999999999</v>
      </c>
      <c r="U977">
        <v>0.1368103</v>
      </c>
      <c r="V977">
        <v>-0.1154155</v>
      </c>
      <c r="W977">
        <v>1.381193E-2</v>
      </c>
      <c r="X977">
        <v>0.99322129999999997</v>
      </c>
      <c r="Y977">
        <v>-4.9972870000000003E-2</v>
      </c>
      <c r="Z977">
        <v>1.51261E-3</v>
      </c>
      <c r="AA977">
        <v>0.99874940000000001</v>
      </c>
      <c r="AB977">
        <v>32</v>
      </c>
      <c r="AC977">
        <v>21.489899999999899</v>
      </c>
      <c r="AD977">
        <v>-1.1098779999999999</v>
      </c>
      <c r="AE977">
        <v>0.98689999999999101</v>
      </c>
      <c r="AF977">
        <v>-1.08143967209317</v>
      </c>
      <c r="AG977">
        <v>-1.1098779999999999</v>
      </c>
      <c r="AH977">
        <v>21.428168497657701</v>
      </c>
      <c r="AI977">
        <v>92.961239349863206</v>
      </c>
      <c r="AJ977">
        <v>92.889159795176795</v>
      </c>
      <c r="AK977">
        <v>21.4841277715263</v>
      </c>
    </row>
    <row r="978" spans="1:37" x14ac:dyDescent="0.2">
      <c r="A978" t="str">
        <f>"20200111155518080"</f>
        <v>20200111155518080</v>
      </c>
      <c r="B978" t="str">
        <f>"1578729318073316"</f>
        <v>1578729318073316</v>
      </c>
      <c r="C978" t="s">
        <v>37</v>
      </c>
      <c r="D978">
        <v>4.8665750000000001</v>
      </c>
      <c r="E978">
        <v>0.52504799999999996</v>
      </c>
      <c r="F978" t="s">
        <v>39</v>
      </c>
      <c r="G978">
        <v>-290.72460000000001</v>
      </c>
      <c r="H978">
        <v>-0.05</v>
      </c>
      <c r="I978">
        <v>368.18419999999998</v>
      </c>
      <c r="J978">
        <v>-312.28969999999998</v>
      </c>
      <c r="K978">
        <v>1.059423</v>
      </c>
      <c r="L978">
        <v>367.18990000000002</v>
      </c>
      <c r="M978">
        <v>0.99982780000000004</v>
      </c>
      <c r="N978">
        <v>0</v>
      </c>
      <c r="O978">
        <v>-4.5328069999999998E-3</v>
      </c>
      <c r="P978">
        <v>0.99379879999999998</v>
      </c>
      <c r="Q978">
        <v>-3.8562739999999998E-3</v>
      </c>
      <c r="R978">
        <v>0.11112619999999999</v>
      </c>
      <c r="S978">
        <v>3.0026250000000001</v>
      </c>
      <c r="T978">
        <v>-0.1533687</v>
      </c>
      <c r="U978">
        <v>0.13729859999999999</v>
      </c>
      <c r="V978">
        <v>-0.1156301</v>
      </c>
      <c r="W978">
        <v>1.402172E-2</v>
      </c>
      <c r="X978">
        <v>0.9931934</v>
      </c>
      <c r="Y978">
        <v>-5.0135680000000002E-2</v>
      </c>
      <c r="Z978">
        <v>1.5102189999999999E-3</v>
      </c>
      <c r="AA978">
        <v>0.99874130000000005</v>
      </c>
      <c r="AB978">
        <v>32</v>
      </c>
      <c r="AC978">
        <v>21.565099999999902</v>
      </c>
      <c r="AD978">
        <v>-1.109423</v>
      </c>
      <c r="AE978">
        <v>0.994299999999952</v>
      </c>
      <c r="AF978">
        <v>-1.08917952123768</v>
      </c>
      <c r="AG978">
        <v>-1.109423</v>
      </c>
      <c r="AH978">
        <v>21.5035796381982</v>
      </c>
      <c r="AI978">
        <v>92.949638179267296</v>
      </c>
      <c r="AJ978">
        <v>92.899615090884893</v>
      </c>
      <c r="AK978">
        <v>21.559709382984401</v>
      </c>
    </row>
    <row r="979" spans="1:37" x14ac:dyDescent="0.2">
      <c r="A979" t="str">
        <f>"20200111155518090"</f>
        <v>20200111155518090</v>
      </c>
      <c r="B979" t="str">
        <f>"1578729318083077"</f>
        <v>1578729318083077</v>
      </c>
      <c r="C979" t="s">
        <v>37</v>
      </c>
      <c r="D979">
        <v>4.7489319999999999</v>
      </c>
      <c r="E979">
        <v>0.52535069999999995</v>
      </c>
      <c r="F979" t="s">
        <v>39</v>
      </c>
      <c r="G979">
        <v>-290.33150000000001</v>
      </c>
      <c r="H979">
        <v>-0.05</v>
      </c>
      <c r="I979">
        <v>368.19299999999998</v>
      </c>
      <c r="J979">
        <v>-312.11700000000002</v>
      </c>
      <c r="K979">
        <v>1.0590059999999999</v>
      </c>
      <c r="L979">
        <v>367.1891</v>
      </c>
      <c r="M979">
        <v>0.9998319</v>
      </c>
      <c r="N979">
        <v>0</v>
      </c>
      <c r="O979">
        <v>-4.5326719999999997E-3</v>
      </c>
      <c r="P979">
        <v>0.99380389999999996</v>
      </c>
      <c r="Q979">
        <v>-3.1502079999999998E-3</v>
      </c>
      <c r="R979">
        <v>0.1111026</v>
      </c>
      <c r="S979">
        <v>3.0028079999999999</v>
      </c>
      <c r="T979">
        <v>-0.151714299999999</v>
      </c>
      <c r="U979">
        <v>0.13717650000000001</v>
      </c>
      <c r="V979">
        <v>-0.1156061</v>
      </c>
      <c r="W979">
        <v>1.4499939999999999E-2</v>
      </c>
      <c r="X979">
        <v>0.99318930000000005</v>
      </c>
      <c r="Y979">
        <v>-5.0093829999999999E-2</v>
      </c>
      <c r="Z979">
        <v>1.492796E-3</v>
      </c>
      <c r="AA979">
        <v>0.99874339999999995</v>
      </c>
      <c r="AB979">
        <v>32</v>
      </c>
      <c r="AC979">
        <v>21.785499999999999</v>
      </c>
      <c r="AD979">
        <v>-1.1090059999999999</v>
      </c>
      <c r="AE979">
        <v>1.00390000000004</v>
      </c>
      <c r="AF979">
        <v>-1.09980780564276</v>
      </c>
      <c r="AG979">
        <v>-1.1090059999999999</v>
      </c>
      <c r="AH979">
        <v>21.724547589995701</v>
      </c>
      <c r="AI979">
        <v>92.918596848906901</v>
      </c>
      <c r="AJ979">
        <v>92.898131466119295</v>
      </c>
      <c r="AK979">
        <v>21.780620732829899</v>
      </c>
    </row>
    <row r="980" spans="1:37" x14ac:dyDescent="0.2">
      <c r="A980" t="str">
        <f>"20200111155518101"</f>
        <v>20200111155518101</v>
      </c>
      <c r="B980" t="str">
        <f>"1578729318093812"</f>
        <v>1578729318093812</v>
      </c>
      <c r="C980" t="s">
        <v>37</v>
      </c>
      <c r="D980">
        <v>4.7740679999999998</v>
      </c>
      <c r="E980">
        <v>0.52562609999999999</v>
      </c>
      <c r="F980" t="s">
        <v>39</v>
      </c>
      <c r="G980">
        <v>-289.63389999999998</v>
      </c>
      <c r="H980">
        <v>-0.05</v>
      </c>
      <c r="I980">
        <v>368.19920000000002</v>
      </c>
      <c r="J980">
        <v>-311.96899999999999</v>
      </c>
      <c r="K980">
        <v>1.058662</v>
      </c>
      <c r="L980">
        <v>367.1884</v>
      </c>
      <c r="M980">
        <v>0.99983529999999998</v>
      </c>
      <c r="N980">
        <v>0</v>
      </c>
      <c r="O980">
        <v>-4.5325369999999997E-3</v>
      </c>
      <c r="P980">
        <v>0.9937783</v>
      </c>
      <c r="Q980">
        <v>-2.5982679999999999E-3</v>
      </c>
      <c r="R980">
        <v>0.1113463</v>
      </c>
      <c r="S980">
        <v>3.0031430000000001</v>
      </c>
      <c r="T980">
        <v>-0.1481333</v>
      </c>
      <c r="U980">
        <v>0.13491819999999999</v>
      </c>
      <c r="V980">
        <v>-0.11584990000000001</v>
      </c>
      <c r="W980">
        <v>1.4861340000000001E-2</v>
      </c>
      <c r="X980">
        <v>0.99315549999999997</v>
      </c>
      <c r="Y980">
        <v>-4.9343239999999997E-2</v>
      </c>
      <c r="Z980">
        <v>1.4389660000000001E-3</v>
      </c>
      <c r="AA980">
        <v>0.99878080000000002</v>
      </c>
      <c r="AB980">
        <v>32</v>
      </c>
      <c r="AC980">
        <v>22.335100000000001</v>
      </c>
      <c r="AD980">
        <v>-1.108662</v>
      </c>
      <c r="AE980">
        <v>1.0108000000000099</v>
      </c>
      <c r="AF980">
        <v>-1.10931227225076</v>
      </c>
      <c r="AG980">
        <v>-1.108662</v>
      </c>
      <c r="AH980">
        <v>22.275515913829299</v>
      </c>
      <c r="AI980">
        <v>92.845763713831204</v>
      </c>
      <c r="AJ980">
        <v>92.850952928271994</v>
      </c>
      <c r="AK980">
        <v>22.330658619370698</v>
      </c>
    </row>
    <row r="981" spans="1:37" x14ac:dyDescent="0.2">
      <c r="A981" t="str">
        <f>"20200111155518412"</f>
        <v>20200111155518412</v>
      </c>
      <c r="B981" t="str">
        <f>"1578729318403205"</f>
        <v>1578729318403205</v>
      </c>
      <c r="C981" t="s">
        <v>37</v>
      </c>
      <c r="D981">
        <v>4.9600059999999999</v>
      </c>
      <c r="E981">
        <v>0.52671999999999997</v>
      </c>
      <c r="F981" t="s">
        <v>39</v>
      </c>
      <c r="G981">
        <v>-288.9821</v>
      </c>
      <c r="H981">
        <v>-0.05</v>
      </c>
      <c r="I981">
        <v>368.20839999999998</v>
      </c>
      <c r="J981">
        <v>-307.5994</v>
      </c>
      <c r="K981">
        <v>1.055029</v>
      </c>
      <c r="L981">
        <v>367.1687</v>
      </c>
      <c r="M981">
        <v>0.99987919999999997</v>
      </c>
      <c r="N981">
        <v>0</v>
      </c>
      <c r="O981">
        <v>-4.5318310000000001E-3</v>
      </c>
      <c r="P981">
        <v>0.99320509999999995</v>
      </c>
      <c r="Q981">
        <v>8.7717410000000002E-4</v>
      </c>
      <c r="R981">
        <v>0.1163743</v>
      </c>
      <c r="S981">
        <v>3.0034480000000001</v>
      </c>
      <c r="T981">
        <v>-0.1448564</v>
      </c>
      <c r="U981">
        <v>0.13327030000000001</v>
      </c>
      <c r="V981">
        <v>-0.12087439999999899</v>
      </c>
      <c r="W981">
        <v>1.5638490000000001E-2</v>
      </c>
      <c r="X981">
        <v>0.9925446</v>
      </c>
      <c r="Y981">
        <v>-4.879435E-2</v>
      </c>
      <c r="Z981">
        <v>1.393781E-3</v>
      </c>
      <c r="AA981">
        <v>0.99880780000000002</v>
      </c>
      <c r="AB981">
        <v>31</v>
      </c>
      <c r="AC981">
        <v>18.6173</v>
      </c>
      <c r="AD981">
        <v>-1.105029</v>
      </c>
      <c r="AE981">
        <v>1.0396999999999801</v>
      </c>
      <c r="AF981">
        <v>-1.1201351261161501</v>
      </c>
      <c r="AG981">
        <v>-1.105029</v>
      </c>
      <c r="AH981">
        <v>18.547257482427302</v>
      </c>
      <c r="AI981">
        <v>93.403414240612307</v>
      </c>
      <c r="AJ981">
        <v>93.456098945833503</v>
      </c>
      <c r="AK981">
        <v>18.613880624712699</v>
      </c>
    </row>
    <row r="982" spans="1:37" x14ac:dyDescent="0.2">
      <c r="A982" t="str">
        <f>"20200111155518670"</f>
        <v>20200111155518670</v>
      </c>
      <c r="B982" t="str">
        <f>"1578729318663796"</f>
        <v>1578729318663796</v>
      </c>
      <c r="C982" t="s">
        <v>37</v>
      </c>
      <c r="D982">
        <v>4.964988</v>
      </c>
      <c r="E982">
        <v>0.52721969999999996</v>
      </c>
      <c r="F982" t="s">
        <v>39</v>
      </c>
      <c r="G982">
        <v>-282.54559999999998</v>
      </c>
      <c r="H982">
        <v>-0.05</v>
      </c>
      <c r="I982">
        <v>368.33269999999999</v>
      </c>
      <c r="J982">
        <v>-304.0453</v>
      </c>
      <c r="K982">
        <v>1.0547839999999999</v>
      </c>
      <c r="L982">
        <v>367.15260000000001</v>
      </c>
      <c r="M982">
        <v>0.99988580000000005</v>
      </c>
      <c r="N982">
        <v>0</v>
      </c>
      <c r="O982">
        <v>-4.5314090000000001E-3</v>
      </c>
      <c r="P982">
        <v>0.99251279999999997</v>
      </c>
      <c r="Q982">
        <v>1.9117489999999999E-3</v>
      </c>
      <c r="R982">
        <v>0.1221246</v>
      </c>
      <c r="S982">
        <v>3.00430299999999</v>
      </c>
      <c r="T982">
        <v>-0.13250870000000001</v>
      </c>
      <c r="U982">
        <v>0.1395874</v>
      </c>
      <c r="V982">
        <v>-0.12662019999999999</v>
      </c>
      <c r="W982">
        <v>1.621682E-2</v>
      </c>
      <c r="X982">
        <v>0.99181869999999905</v>
      </c>
      <c r="Y982">
        <v>-5.0885180000000002E-2</v>
      </c>
      <c r="Z982">
        <v>1.320714E-3</v>
      </c>
      <c r="AA982">
        <v>0.99870369999999997</v>
      </c>
      <c r="AB982">
        <v>31</v>
      </c>
      <c r="AC982">
        <v>21.499700000000001</v>
      </c>
      <c r="AD982">
        <v>-1.104784</v>
      </c>
      <c r="AE982">
        <v>1.1800999999999799</v>
      </c>
      <c r="AF982">
        <v>-1.2741675794310801</v>
      </c>
      <c r="AG982">
        <v>-1.104784</v>
      </c>
      <c r="AH982">
        <v>21.4376944560574</v>
      </c>
      <c r="AI982">
        <v>92.944920039871803</v>
      </c>
      <c r="AJ982">
        <v>93.401421778825707</v>
      </c>
      <c r="AK982">
        <v>21.503925090513199</v>
      </c>
    </row>
    <row r="983" spans="1:37" x14ac:dyDescent="0.2">
      <c r="A983" t="str">
        <f>"20200111155518696"</f>
        <v>20200111155518696</v>
      </c>
      <c r="B983" t="str">
        <f>"1578729318693076"</f>
        <v>1578729318693076</v>
      </c>
      <c r="C983" t="s">
        <v>37</v>
      </c>
      <c r="D983">
        <v>5.1343730000000001</v>
      </c>
      <c r="E983">
        <v>0.52779180000000003</v>
      </c>
      <c r="F983" t="s">
        <v>38</v>
      </c>
      <c r="G983">
        <v>-279.27789999999999</v>
      </c>
      <c r="H983" s="1">
        <v>-5.5262009999999997E-7</v>
      </c>
      <c r="I983">
        <v>368.41059999999999</v>
      </c>
      <c r="J983">
        <v>-303.68770000000001</v>
      </c>
      <c r="K983">
        <v>1.0547850000000001</v>
      </c>
      <c r="L983">
        <v>367.15100000000001</v>
      </c>
      <c r="M983">
        <v>0.99988630000000001</v>
      </c>
      <c r="N983">
        <v>0</v>
      </c>
      <c r="O983">
        <v>-4.53162599999999E-3</v>
      </c>
      <c r="P983">
        <v>0.99238289999999996</v>
      </c>
      <c r="Q983">
        <v>3.0571589999999998E-3</v>
      </c>
      <c r="R983">
        <v>0.1231553</v>
      </c>
      <c r="S983">
        <v>3.0040589999999998</v>
      </c>
      <c r="T983">
        <v>-0.12793489999999999</v>
      </c>
      <c r="U983">
        <v>0.1525879</v>
      </c>
      <c r="V983">
        <v>-0.12765109999999999</v>
      </c>
      <c r="W983">
        <v>1.734057E-2</v>
      </c>
      <c r="X983">
        <v>0.99166759999999998</v>
      </c>
      <c r="Y983">
        <v>-5.5200249999999999E-2</v>
      </c>
      <c r="Z983">
        <v>1.366931E-3</v>
      </c>
      <c r="AA983">
        <v>0.99847439999999998</v>
      </c>
      <c r="AB983">
        <v>31</v>
      </c>
      <c r="AC983">
        <v>24.409800000000001</v>
      </c>
      <c r="AD983">
        <v>-1.0547855526201</v>
      </c>
      <c r="AE983">
        <v>1.2595999999999701</v>
      </c>
      <c r="AF983">
        <v>-1.36766761038311</v>
      </c>
      <c r="AG983">
        <v>-1.0547855526201</v>
      </c>
      <c r="AH983">
        <v>24.358478375107801</v>
      </c>
      <c r="AI983">
        <v>92.475613156560698</v>
      </c>
      <c r="AJ983">
        <v>93.213640442129105</v>
      </c>
      <c r="AK983">
        <v>24.419634641105901</v>
      </c>
    </row>
    <row r="984" spans="1:37" x14ac:dyDescent="0.2">
      <c r="A984" t="str">
        <f>"20200111155518722"</f>
        <v>20200111155518722</v>
      </c>
      <c r="B984" t="str">
        <f>"1578729318713572"</f>
        <v>1578729318713572</v>
      </c>
      <c r="C984" t="s">
        <v>37</v>
      </c>
      <c r="D984">
        <v>5.2500710000000002</v>
      </c>
      <c r="E984">
        <v>0.52799309999999999</v>
      </c>
      <c r="F984" t="s">
        <v>38</v>
      </c>
      <c r="G984">
        <v>-278.16789999999997</v>
      </c>
      <c r="H984" s="1">
        <v>-9.7754550000000005E-7</v>
      </c>
      <c r="I984">
        <v>368.4366</v>
      </c>
      <c r="J984">
        <v>-303.3476</v>
      </c>
      <c r="K984">
        <v>1.0547839999999999</v>
      </c>
      <c r="L984">
        <v>367.14949999999999</v>
      </c>
      <c r="M984">
        <v>0.99988630000000001</v>
      </c>
      <c r="N984">
        <v>0</v>
      </c>
      <c r="O984">
        <v>-4.5313899999999997E-3</v>
      </c>
      <c r="P984">
        <v>0.99235930000000006</v>
      </c>
      <c r="Q984">
        <v>3.5690869999999999E-3</v>
      </c>
      <c r="R984">
        <v>0.12332989999999899</v>
      </c>
      <c r="S984">
        <v>3.0046390000000001</v>
      </c>
      <c r="T984">
        <v>-0.1241877</v>
      </c>
      <c r="U984">
        <v>0.15136720000000001</v>
      </c>
      <c r="V984">
        <v>-0.12782539999999901</v>
      </c>
      <c r="W984">
        <v>1.783593E-2</v>
      </c>
      <c r="X984">
        <v>0.99163630000000003</v>
      </c>
      <c r="Y984">
        <v>-5.4789099999999903E-2</v>
      </c>
      <c r="Z984">
        <v>1.318189E-3</v>
      </c>
      <c r="AA984">
        <v>0.99849709999999903</v>
      </c>
      <c r="AB984">
        <v>31</v>
      </c>
      <c r="AC984">
        <v>25.1797</v>
      </c>
      <c r="AD984">
        <v>-1.0547849775455</v>
      </c>
      <c r="AE984">
        <v>1.2870999999999999</v>
      </c>
      <c r="AF984">
        <v>-1.3987495023087799</v>
      </c>
      <c r="AG984">
        <v>-1.0547849775455</v>
      </c>
      <c r="AH984">
        <v>25.129626017402099</v>
      </c>
      <c r="AI984">
        <v>92.399798373405602</v>
      </c>
      <c r="AJ984">
        <v>93.185874356886401</v>
      </c>
      <c r="AK984">
        <v>25.190616810502199</v>
      </c>
    </row>
    <row r="985" spans="1:37" x14ac:dyDescent="0.2">
      <c r="A985" t="str">
        <f>"20200111155518734"</f>
        <v>20200111155518734</v>
      </c>
      <c r="B985" t="str">
        <f>"1578729318723332"</f>
        <v>1578729318723332</v>
      </c>
      <c r="C985" t="s">
        <v>37</v>
      </c>
      <c r="D985">
        <v>5.2547269999999999</v>
      </c>
      <c r="E985">
        <v>0.52809069999999902</v>
      </c>
      <c r="F985" t="s">
        <v>38</v>
      </c>
      <c r="G985">
        <v>-277.63560000000001</v>
      </c>
      <c r="H985" s="1">
        <v>-1.2062269999999899E-6</v>
      </c>
      <c r="I985">
        <v>368.43470000000002</v>
      </c>
      <c r="J985">
        <v>-303.17720000000003</v>
      </c>
      <c r="K985">
        <v>1.0547789999999999</v>
      </c>
      <c r="L985">
        <v>367.14870000000002</v>
      </c>
      <c r="M985">
        <v>0.99988650000000001</v>
      </c>
      <c r="N985">
        <v>0</v>
      </c>
      <c r="O985">
        <v>-4.5314550000000002E-3</v>
      </c>
      <c r="P985">
        <v>0.99237999999999904</v>
      </c>
      <c r="Q985">
        <v>3.6001649999999998E-3</v>
      </c>
      <c r="R985">
        <v>0.12316289999999901</v>
      </c>
      <c r="S985">
        <v>3.004883</v>
      </c>
      <c r="T985">
        <v>-0.1232692</v>
      </c>
      <c r="U985">
        <v>0.15020749999999999</v>
      </c>
      <c r="V985">
        <v>-0.12765839999999901</v>
      </c>
      <c r="W985">
        <v>1.7859770000000001E-2</v>
      </c>
      <c r="X985">
        <v>0.99165740000000002</v>
      </c>
      <c r="Y985">
        <v>-5.4401789999999998E-2</v>
      </c>
      <c r="Z985">
        <v>1.300421E-3</v>
      </c>
      <c r="AA985">
        <v>0.99851829999999997</v>
      </c>
      <c r="AB985">
        <v>31</v>
      </c>
      <c r="AC985">
        <v>25.541599999999999</v>
      </c>
      <c r="AD985">
        <v>-1.054780206227</v>
      </c>
      <c r="AE985">
        <v>1.286</v>
      </c>
      <c r="AF985">
        <v>-1.39935891383752</v>
      </c>
      <c r="AG985">
        <v>-1.054780206227</v>
      </c>
      <c r="AH985">
        <v>25.492145133063701</v>
      </c>
      <c r="AI985">
        <v>92.365799612610402</v>
      </c>
      <c r="AJ985">
        <v>93.142025564039201</v>
      </c>
      <c r="AK985">
        <v>25.552303812736099</v>
      </c>
    </row>
    <row r="986" spans="1:37" x14ac:dyDescent="0.2">
      <c r="A986" t="str">
        <f>"20200111155518749"</f>
        <v>20200111155518749</v>
      </c>
      <c r="B986" t="str">
        <f>"1578729318743828"</f>
        <v>1578729318743828</v>
      </c>
      <c r="C986" t="s">
        <v>37</v>
      </c>
      <c r="D986">
        <v>5.115856</v>
      </c>
      <c r="E986">
        <v>0.528470199999999</v>
      </c>
      <c r="F986" t="s">
        <v>38</v>
      </c>
      <c r="G986">
        <v>-277.47460000000001</v>
      </c>
      <c r="H986" s="1">
        <v>-1.27776E-6</v>
      </c>
      <c r="I986">
        <v>368.42079999999999</v>
      </c>
      <c r="J986">
        <v>-302.98090000000002</v>
      </c>
      <c r="K986">
        <v>1.054778</v>
      </c>
      <c r="L986">
        <v>367.14780000000002</v>
      </c>
      <c r="M986">
        <v>0.99988659999999996</v>
      </c>
      <c r="N986">
        <v>0</v>
      </c>
      <c r="O986">
        <v>-4.5313970000000004E-3</v>
      </c>
      <c r="P986">
        <v>0.99244089999999996</v>
      </c>
      <c r="Q986">
        <v>3.7131209999999898E-3</v>
      </c>
      <c r="R986">
        <v>0.1226674</v>
      </c>
      <c r="S986">
        <v>3.0050349999999999</v>
      </c>
      <c r="T986">
        <v>-0.1233202</v>
      </c>
      <c r="U986">
        <v>0.14874270000000001</v>
      </c>
      <c r="V986">
        <v>-0.12716350000000001</v>
      </c>
      <c r="W986">
        <v>1.796561E-2</v>
      </c>
      <c r="X986">
        <v>0.99171909999999897</v>
      </c>
      <c r="Y986">
        <v>-5.3914030000000002E-2</v>
      </c>
      <c r="Z986">
        <v>1.290907E-3</v>
      </c>
      <c r="AA986">
        <v>0.99854480000000001</v>
      </c>
      <c r="AB986">
        <v>31</v>
      </c>
      <c r="AC986">
        <v>25.5063</v>
      </c>
      <c r="AD986">
        <v>-1.05477927776</v>
      </c>
      <c r="AE986">
        <v>1.2729999999999599</v>
      </c>
      <c r="AF986">
        <v>-1.3862133102177601</v>
      </c>
      <c r="AG986">
        <v>-1.05477927776</v>
      </c>
      <c r="AH986">
        <v>25.4568427627127</v>
      </c>
      <c r="AI986">
        <v>92.369131366886805</v>
      </c>
      <c r="AJ986">
        <v>93.116875488803103</v>
      </c>
      <c r="AK986">
        <v>25.516367102542102</v>
      </c>
    </row>
    <row r="987" spans="1:37" x14ac:dyDescent="0.2">
      <c r="A987" t="str">
        <f>"20200111155518762"</f>
        <v>20200111155518762</v>
      </c>
      <c r="B987" t="str">
        <f>"1578729318753588"</f>
        <v>1578729318753588</v>
      </c>
      <c r="C987" t="s">
        <v>37</v>
      </c>
      <c r="D987">
        <v>5.0895609999999998</v>
      </c>
      <c r="E987">
        <v>0.52869270000000002</v>
      </c>
      <c r="F987" t="s">
        <v>38</v>
      </c>
      <c r="G987">
        <v>-277.2328</v>
      </c>
      <c r="H987" s="1">
        <v>-1.3876599999999901E-6</v>
      </c>
      <c r="I987">
        <v>368.385999999999</v>
      </c>
      <c r="J987">
        <v>-302.79910000000001</v>
      </c>
      <c r="K987">
        <v>1.0547770000000001</v>
      </c>
      <c r="L987">
        <v>367.14699999999999</v>
      </c>
      <c r="M987">
        <v>0.99988670000000002</v>
      </c>
      <c r="N987">
        <v>0</v>
      </c>
      <c r="O987">
        <v>-4.531584E-3</v>
      </c>
      <c r="P987">
        <v>0.99248819999999904</v>
      </c>
      <c r="Q987">
        <v>4.1013259999999998E-3</v>
      </c>
      <c r="R987">
        <v>0.1222722</v>
      </c>
      <c r="S987">
        <v>3.0054630000000002</v>
      </c>
      <c r="T987">
        <v>-0.1231198</v>
      </c>
      <c r="U987">
        <v>0.144531299999999</v>
      </c>
      <c r="V987">
        <v>-0.1267683</v>
      </c>
      <c r="W987">
        <v>1.8347490000000001E-2</v>
      </c>
      <c r="X987">
        <v>0.99176260000000005</v>
      </c>
      <c r="Y987">
        <v>-5.25126E-2</v>
      </c>
      <c r="Z987">
        <v>1.2600039999999999E-3</v>
      </c>
      <c r="AA987">
        <v>0.99861939999999905</v>
      </c>
      <c r="AB987">
        <v>31</v>
      </c>
      <c r="AC987">
        <v>25.566299999999998</v>
      </c>
      <c r="AD987">
        <v>-1.0547783876600001</v>
      </c>
      <c r="AE987">
        <v>1.2389999999999699</v>
      </c>
      <c r="AF987">
        <v>-1.35255824605561</v>
      </c>
      <c r="AG987">
        <v>-1.0547783876600001</v>
      </c>
      <c r="AH987">
        <v>25.517091192831799</v>
      </c>
      <c r="AI987">
        <v>92.363725057971607</v>
      </c>
      <c r="AJ987">
        <v>93.0341790227898</v>
      </c>
      <c r="AK987">
        <v>25.574673296043098</v>
      </c>
    </row>
    <row r="988" spans="1:37" x14ac:dyDescent="0.2">
      <c r="A988" t="str">
        <f>"20200111155518775"</f>
        <v>20200111155518775</v>
      </c>
      <c r="B988" t="str">
        <f>"1578729318763349"</f>
        <v>1578729318763349</v>
      </c>
      <c r="C988" t="s">
        <v>37</v>
      </c>
      <c r="D988">
        <v>5.0945549999999997</v>
      </c>
      <c r="E988">
        <v>0.52889359999999996</v>
      </c>
      <c r="F988" t="s">
        <v>38</v>
      </c>
      <c r="G988">
        <v>-276.8852</v>
      </c>
      <c r="H988" s="1">
        <v>-1.5402760000000001E-6</v>
      </c>
      <c r="I988">
        <v>368.3664</v>
      </c>
      <c r="J988">
        <v>-302.6164</v>
      </c>
      <c r="K988">
        <v>1.0547770000000001</v>
      </c>
      <c r="L988">
        <v>367.14609999999999</v>
      </c>
      <c r="M988">
        <v>0.99988670000000002</v>
      </c>
      <c r="N988">
        <v>0</v>
      </c>
      <c r="O988">
        <v>-4.5312979999999996E-3</v>
      </c>
      <c r="P988">
        <v>0.99253570000000002</v>
      </c>
      <c r="Q988">
        <v>4.0863970000000003E-3</v>
      </c>
      <c r="R988">
        <v>0.1218862</v>
      </c>
      <c r="S988">
        <v>3.0058289999999999</v>
      </c>
      <c r="T988">
        <v>-0.12234639999999999</v>
      </c>
      <c r="U988">
        <v>0.14144899999999999</v>
      </c>
      <c r="V988">
        <v>-0.12638239999999901</v>
      </c>
      <c r="W988">
        <v>1.8326990000000001E-2</v>
      </c>
      <c r="X988">
        <v>0.99181229999999998</v>
      </c>
      <c r="Y988">
        <v>-5.1486199999999899E-2</v>
      </c>
      <c r="Z988">
        <v>1.2310939999999901E-3</v>
      </c>
      <c r="AA988">
        <v>0.99867299999999903</v>
      </c>
      <c r="AB988">
        <v>30</v>
      </c>
      <c r="AC988">
        <v>25.731200000000001</v>
      </c>
      <c r="AD988">
        <v>-1.0547785402759999</v>
      </c>
      <c r="AE988">
        <v>1.2202999999999999</v>
      </c>
      <c r="AF988">
        <v>-1.3346575456899199</v>
      </c>
      <c r="AG988">
        <v>-1.0547785402759999</v>
      </c>
      <c r="AH988">
        <v>25.682346907034901</v>
      </c>
      <c r="AI988">
        <v>92.348660319822798</v>
      </c>
      <c r="AJ988">
        <v>92.974865029751598</v>
      </c>
      <c r="AK988">
        <v>25.738624889192899</v>
      </c>
    </row>
    <row r="989" spans="1:37" x14ac:dyDescent="0.2">
      <c r="A989" t="str">
        <f>"20200111155518787"</f>
        <v>20200111155518787</v>
      </c>
      <c r="B989" t="str">
        <f>"1578729318783845"</f>
        <v>1578729318783845</v>
      </c>
      <c r="C989" t="s">
        <v>37</v>
      </c>
      <c r="D989">
        <v>5.3259669999999897</v>
      </c>
      <c r="E989">
        <v>0.52938540000000001</v>
      </c>
      <c r="F989" t="s">
        <v>38</v>
      </c>
      <c r="G989">
        <v>-276.81490000000002</v>
      </c>
      <c r="H989" s="1">
        <v>-1.575944E-6</v>
      </c>
      <c r="I989">
        <v>368.33530000000002</v>
      </c>
      <c r="J989">
        <v>-302.45249999999999</v>
      </c>
      <c r="K989">
        <v>1.0547770000000001</v>
      </c>
      <c r="L989">
        <v>367.1454</v>
      </c>
      <c r="M989">
        <v>0.99988699999999997</v>
      </c>
      <c r="N989">
        <v>0</v>
      </c>
      <c r="O989">
        <v>-4.5316150000000001E-3</v>
      </c>
      <c r="P989">
        <v>0.99258219999999997</v>
      </c>
      <c r="Q989">
        <v>4.3062689999999997E-3</v>
      </c>
      <c r="R989">
        <v>0.12150039999999999</v>
      </c>
      <c r="S989">
        <v>3.00607299999999</v>
      </c>
      <c r="T989">
        <v>-0.1228895</v>
      </c>
      <c r="U989">
        <v>0.138549799999999</v>
      </c>
      <c r="V989">
        <v>-0.12599739999999901</v>
      </c>
      <c r="W989">
        <v>1.8541530000000001E-2</v>
      </c>
      <c r="X989">
        <v>0.99185730000000005</v>
      </c>
      <c r="Y989">
        <v>-5.0521999999999997E-2</v>
      </c>
      <c r="Z989">
        <v>1.2168039999999999E-3</v>
      </c>
      <c r="AA989">
        <v>0.9987222</v>
      </c>
      <c r="AB989">
        <v>30</v>
      </c>
      <c r="AC989">
        <v>25.6375999999999</v>
      </c>
      <c r="AD989">
        <v>-1.054778575944</v>
      </c>
      <c r="AE989">
        <v>1.1899000000000199</v>
      </c>
      <c r="AF989">
        <v>-1.30387718167485</v>
      </c>
      <c r="AG989">
        <v>-1.054778575944</v>
      </c>
      <c r="AH989">
        <v>25.5887242567219</v>
      </c>
      <c r="AI989">
        <v>92.357366270411205</v>
      </c>
      <c r="AJ989">
        <v>92.916991973120801</v>
      </c>
      <c r="AK989">
        <v>25.643624210234201</v>
      </c>
    </row>
    <row r="990" spans="1:37" x14ac:dyDescent="0.2">
      <c r="A990" t="str">
        <f>"20200111155518800"</f>
        <v>20200111155518800</v>
      </c>
      <c r="B990" t="str">
        <f>"1578729318793605"</f>
        <v>1578729318793605</v>
      </c>
      <c r="C990" t="s">
        <v>37</v>
      </c>
      <c r="D990">
        <v>5.1582439999999998</v>
      </c>
      <c r="E990">
        <v>0.52957169999999998</v>
      </c>
      <c r="F990" t="s">
        <v>38</v>
      </c>
      <c r="G990">
        <v>-276.64370000000002</v>
      </c>
      <c r="H990" s="1">
        <v>-1.6573929999999901E-6</v>
      </c>
      <c r="I990">
        <v>368.2901</v>
      </c>
      <c r="J990">
        <v>-302.2792</v>
      </c>
      <c r="K990">
        <v>1.054772</v>
      </c>
      <c r="L990">
        <v>367.1447</v>
      </c>
      <c r="M990">
        <v>0.99988679999999996</v>
      </c>
      <c r="N990">
        <v>0</v>
      </c>
      <c r="O990">
        <v>-4.5314550000000002E-3</v>
      </c>
      <c r="P990">
        <v>0.99265130000000001</v>
      </c>
      <c r="Q990">
        <v>4.4667200000000004E-3</v>
      </c>
      <c r="R990">
        <v>0.1209283</v>
      </c>
      <c r="S990">
        <v>3.0066220000000001</v>
      </c>
      <c r="T990">
        <v>-0.122877399999999</v>
      </c>
      <c r="U990">
        <v>0.1333618</v>
      </c>
      <c r="V990">
        <v>-0.12542519999999999</v>
      </c>
      <c r="W990">
        <v>1.8697430000000001E-2</v>
      </c>
      <c r="X990">
        <v>0.9919268</v>
      </c>
      <c r="Y990">
        <v>-4.879505E-2</v>
      </c>
      <c r="Z990">
        <v>1.1812459999999999E-3</v>
      </c>
      <c r="AA990">
        <v>0.99880809999999998</v>
      </c>
      <c r="AB990">
        <v>30</v>
      </c>
      <c r="AC990">
        <v>25.635499999999901</v>
      </c>
      <c r="AD990">
        <v>-1.054773657393</v>
      </c>
      <c r="AE990">
        <v>1.14539999999999</v>
      </c>
      <c r="AF990">
        <v>-1.2594384373479199</v>
      </c>
      <c r="AG990">
        <v>-1.054773657393</v>
      </c>
      <c r="AH990">
        <v>25.586815896167298</v>
      </c>
      <c r="AI990">
        <v>92.357734818546206</v>
      </c>
      <c r="AJ990">
        <v>92.8179479049017</v>
      </c>
      <c r="AK990">
        <v>25.6394984418604</v>
      </c>
    </row>
    <row r="991" spans="1:37" x14ac:dyDescent="0.2">
      <c r="A991" t="str">
        <f>"20200111155518815"</f>
        <v>20200111155518815</v>
      </c>
      <c r="B991" t="str">
        <f>"1578729318803364"</f>
        <v>1578729318803364</v>
      </c>
      <c r="C991" t="s">
        <v>37</v>
      </c>
      <c r="D991">
        <v>5.2755089999999996</v>
      </c>
      <c r="E991">
        <v>0.52980369999999999</v>
      </c>
      <c r="F991" t="s">
        <v>38</v>
      </c>
      <c r="G991">
        <v>-276.48860000000002</v>
      </c>
      <c r="H991" s="1">
        <v>-1.7292290000000001E-6</v>
      </c>
      <c r="I991">
        <v>368.2604</v>
      </c>
      <c r="J991">
        <v>-302.077</v>
      </c>
      <c r="K991">
        <v>1.05477</v>
      </c>
      <c r="L991">
        <v>367.14370000000002</v>
      </c>
      <c r="M991">
        <v>0.99988699999999997</v>
      </c>
      <c r="N991">
        <v>0</v>
      </c>
      <c r="O991">
        <v>-4.5314109999999999E-3</v>
      </c>
      <c r="P991">
        <v>0.9927589</v>
      </c>
      <c r="Q991">
        <v>4.5469259999999997E-3</v>
      </c>
      <c r="R991">
        <v>0.12003849999999899</v>
      </c>
      <c r="S991">
        <v>3.006958</v>
      </c>
      <c r="T991">
        <v>-0.12297669999999999</v>
      </c>
      <c r="U991">
        <v>0.1300964</v>
      </c>
      <c r="V991">
        <v>-0.124535799999999</v>
      </c>
      <c r="W991">
        <v>1.8773229999999998E-2</v>
      </c>
      <c r="X991">
        <v>0.99203750000000002</v>
      </c>
      <c r="Y991">
        <v>-4.7708309999999997E-2</v>
      </c>
      <c r="Z991">
        <v>1.1598909999999999E-3</v>
      </c>
      <c r="AA991">
        <v>0.99886070000000005</v>
      </c>
      <c r="AB991">
        <v>30</v>
      </c>
      <c r="AC991">
        <v>25.588399999999901</v>
      </c>
      <c r="AD991">
        <v>-1.054771729229</v>
      </c>
      <c r="AE991">
        <v>1.11669999999998</v>
      </c>
      <c r="AF991">
        <v>-1.23056506789519</v>
      </c>
      <c r="AG991">
        <v>-1.054771729229</v>
      </c>
      <c r="AH991">
        <v>25.539763190575599</v>
      </c>
      <c r="AI991">
        <v>92.362188524916505</v>
      </c>
      <c r="AJ991">
        <v>92.758510299048993</v>
      </c>
      <c r="AK991">
        <v>25.591137872665701</v>
      </c>
    </row>
    <row r="992" spans="1:37" x14ac:dyDescent="0.2">
      <c r="A992" t="str">
        <f>"20200111155518826"</f>
        <v>20200111155518826</v>
      </c>
      <c r="B992" t="str">
        <f>"1578729318823860"</f>
        <v>1578729318823860</v>
      </c>
      <c r="C992" t="s">
        <v>37</v>
      </c>
      <c r="D992">
        <v>5.2884869999999999</v>
      </c>
      <c r="E992">
        <v>0.53011790000000003</v>
      </c>
      <c r="F992" t="s">
        <v>38</v>
      </c>
      <c r="G992">
        <v>-276.40300000000002</v>
      </c>
      <c r="H992" s="1">
        <v>-1.7737780000000001E-6</v>
      </c>
      <c r="I992">
        <v>368.21629999999999</v>
      </c>
      <c r="J992">
        <v>-301.92079999999999</v>
      </c>
      <c r="K992">
        <v>1.0547660000000001</v>
      </c>
      <c r="L992">
        <v>367.14299999999997</v>
      </c>
      <c r="M992">
        <v>0.99988709999999903</v>
      </c>
      <c r="N992">
        <v>0</v>
      </c>
      <c r="O992">
        <v>-4.531378E-3</v>
      </c>
      <c r="P992">
        <v>0.99279859999999898</v>
      </c>
      <c r="Q992">
        <v>4.7244610000000001E-3</v>
      </c>
      <c r="R992">
        <v>0.11970219999999999</v>
      </c>
      <c r="S992">
        <v>3.007263</v>
      </c>
      <c r="T992">
        <v>-0.123547699999999</v>
      </c>
      <c r="U992">
        <v>0.1256409</v>
      </c>
      <c r="V992">
        <v>-0.12419949999999901</v>
      </c>
      <c r="W992">
        <v>1.8946770000000002E-2</v>
      </c>
      <c r="X992">
        <v>0.99207630000000002</v>
      </c>
      <c r="Y992">
        <v>-4.6227450000000003E-2</v>
      </c>
      <c r="Z992">
        <v>1.134796E-3</v>
      </c>
      <c r="AA992">
        <v>0.99893029999999905</v>
      </c>
      <c r="AB992">
        <v>30</v>
      </c>
      <c r="AC992">
        <v>25.517799999999902</v>
      </c>
      <c r="AD992">
        <v>-1.0547677737779999</v>
      </c>
      <c r="AE992">
        <v>1.07329999999996</v>
      </c>
      <c r="AF992">
        <v>-1.1869073374127701</v>
      </c>
      <c r="AG992">
        <v>-1.0547677737779999</v>
      </c>
      <c r="AH992">
        <v>25.469235364670201</v>
      </c>
      <c r="AI992">
        <v>92.368890292278394</v>
      </c>
      <c r="AJ992">
        <v>92.668145128625696</v>
      </c>
      <c r="AK992">
        <v>25.518684020638201</v>
      </c>
    </row>
    <row r="993" spans="1:37" x14ac:dyDescent="0.2">
      <c r="A993" t="str">
        <f>"20200111155518841"</f>
        <v>20200111155518841</v>
      </c>
      <c r="B993" t="str">
        <f>"1578729318833620"</f>
        <v>1578729318833620</v>
      </c>
      <c r="C993" t="s">
        <v>37</v>
      </c>
      <c r="D993">
        <v>5.1513939999999998</v>
      </c>
      <c r="E993">
        <v>0.53028509999999995</v>
      </c>
      <c r="F993" t="s">
        <v>38</v>
      </c>
      <c r="G993">
        <v>-276.3329</v>
      </c>
      <c r="H993" s="1">
        <v>-1.8099860000000001E-6</v>
      </c>
      <c r="I993">
        <v>368.18150000000003</v>
      </c>
      <c r="J993">
        <v>-301.73469999999998</v>
      </c>
      <c r="K993">
        <v>1.0547660000000001</v>
      </c>
      <c r="L993">
        <v>367.1422</v>
      </c>
      <c r="M993">
        <v>0.99988719999999998</v>
      </c>
      <c r="N993">
        <v>0</v>
      </c>
      <c r="O993">
        <v>-4.53134E-3</v>
      </c>
      <c r="P993">
        <v>0.99282009999999898</v>
      </c>
      <c r="Q993">
        <v>4.60100599999999E-3</v>
      </c>
      <c r="R993">
        <v>0.119529</v>
      </c>
      <c r="S993">
        <v>3.0076290000000001</v>
      </c>
      <c r="T993">
        <v>-0.123978399999999</v>
      </c>
      <c r="U993">
        <v>0.12207029999999899</v>
      </c>
      <c r="V993">
        <v>-0.124026199999999</v>
      </c>
      <c r="W993">
        <v>1.881853E-2</v>
      </c>
      <c r="X993">
        <v>0.99210049999999905</v>
      </c>
      <c r="Y993">
        <v>-4.5039139999999998E-2</v>
      </c>
      <c r="Z993">
        <v>1.1141650000000001E-3</v>
      </c>
      <c r="AA993">
        <v>0.9989846</v>
      </c>
      <c r="AB993">
        <v>30</v>
      </c>
      <c r="AC993">
        <v>25.401799999999898</v>
      </c>
      <c r="AD993">
        <v>-1.0547678099860001</v>
      </c>
      <c r="AE993">
        <v>1.0393000000000201</v>
      </c>
      <c r="AF993">
        <v>-1.1524216517503301</v>
      </c>
      <c r="AG993">
        <v>-1.0547678099860001</v>
      </c>
      <c r="AH993">
        <v>25.353188629586299</v>
      </c>
      <c r="AI993">
        <v>92.379846051466501</v>
      </c>
      <c r="AJ993">
        <v>92.602571193639605</v>
      </c>
      <c r="AK993">
        <v>25.401275253100799</v>
      </c>
    </row>
    <row r="994" spans="1:37" x14ac:dyDescent="0.2">
      <c r="A994" t="str">
        <f>"20200111155518853"</f>
        <v>20200111155518853</v>
      </c>
      <c r="B994" t="str">
        <f>"1578729318843380"</f>
        <v>1578729318843380</v>
      </c>
      <c r="C994" t="s">
        <v>37</v>
      </c>
      <c r="D994">
        <v>5.2126519999999896</v>
      </c>
      <c r="E994">
        <v>0.53047739999999999</v>
      </c>
      <c r="F994" t="s">
        <v>38</v>
      </c>
      <c r="G994">
        <v>-276.37029999999999</v>
      </c>
      <c r="H994" s="1">
        <v>-1.798375E-6</v>
      </c>
      <c r="I994">
        <v>368.15660000000003</v>
      </c>
      <c r="J994">
        <v>-301.5564</v>
      </c>
      <c r="K994">
        <v>1.0547660000000001</v>
      </c>
      <c r="L994">
        <v>367.14139999999998</v>
      </c>
      <c r="M994">
        <v>0.99988729999999904</v>
      </c>
      <c r="N994">
        <v>0</v>
      </c>
      <c r="O994">
        <v>-4.531307E-3</v>
      </c>
      <c r="P994">
        <v>0.9928266</v>
      </c>
      <c r="Q994">
        <v>4.658616E-3</v>
      </c>
      <c r="R994">
        <v>0.11947290000000001</v>
      </c>
      <c r="S994">
        <v>3.0077509999999998</v>
      </c>
      <c r="T994">
        <v>-0.1250753</v>
      </c>
      <c r="U994">
        <v>0.1203003</v>
      </c>
      <c r="V994">
        <v>-0.1239702</v>
      </c>
      <c r="W994">
        <v>1.8870970000000001E-2</v>
      </c>
      <c r="X994">
        <v>0.9921065</v>
      </c>
      <c r="Y994">
        <v>-4.445027E-2</v>
      </c>
      <c r="Z994">
        <v>1.111747E-3</v>
      </c>
      <c r="AA994">
        <v>0.99901099999999998</v>
      </c>
      <c r="AB994">
        <v>30</v>
      </c>
      <c r="AC994">
        <v>25.1861</v>
      </c>
      <c r="AD994">
        <v>-1.0547677983749999</v>
      </c>
      <c r="AE994">
        <v>1.0152000000000401</v>
      </c>
      <c r="AF994">
        <v>-1.1273532193921301</v>
      </c>
      <c r="AG994">
        <v>-1.0547677983749999</v>
      </c>
      <c r="AH994">
        <v>25.137225369829899</v>
      </c>
      <c r="AI994">
        <v>92.400333903088793</v>
      </c>
      <c r="AJ994">
        <v>92.567877992206604</v>
      </c>
      <c r="AK994">
        <v>25.184589726326401</v>
      </c>
    </row>
    <row r="995" spans="1:37" x14ac:dyDescent="0.2">
      <c r="A995" t="str">
        <f>"20200111155518871"</f>
        <v>20200111155518871</v>
      </c>
      <c r="B995" t="str">
        <f>"1578729318862899"</f>
        <v>1578729318862899</v>
      </c>
      <c r="C995" t="s">
        <v>37</v>
      </c>
      <c r="D995">
        <v>5.1499040000000003</v>
      </c>
      <c r="E995">
        <v>0.5307887</v>
      </c>
      <c r="F995" t="s">
        <v>38</v>
      </c>
      <c r="G995">
        <v>-276.28190000000001</v>
      </c>
      <c r="H995" s="1">
        <v>-1.8392750000000001E-6</v>
      </c>
      <c r="I995">
        <v>368.13990000000001</v>
      </c>
      <c r="J995">
        <v>-301.32580000000002</v>
      </c>
      <c r="K995">
        <v>1.054764</v>
      </c>
      <c r="L995">
        <v>367.1404</v>
      </c>
      <c r="M995">
        <v>0.99988739999999998</v>
      </c>
      <c r="N995">
        <v>0</v>
      </c>
      <c r="O995">
        <v>-4.5315039999999996E-3</v>
      </c>
      <c r="P995">
        <v>0.99284189999999894</v>
      </c>
      <c r="Q995">
        <v>5.2998680000000001E-3</v>
      </c>
      <c r="R995">
        <v>0.11931889999999901</v>
      </c>
      <c r="S995">
        <v>3.007965</v>
      </c>
      <c r="T995">
        <v>-0.12552930000000001</v>
      </c>
      <c r="U995">
        <v>0.11883539999999999</v>
      </c>
      <c r="V995">
        <v>-0.12381639999999999</v>
      </c>
      <c r="W995">
        <v>1.9506949999999999E-2</v>
      </c>
      <c r="X995">
        <v>0.99211340000000003</v>
      </c>
      <c r="Y995">
        <v>-4.3962010000000003E-2</v>
      </c>
      <c r="Z995">
        <v>1.105539E-3</v>
      </c>
      <c r="AA995">
        <v>0.99903259999999905</v>
      </c>
      <c r="AB995">
        <v>30</v>
      </c>
      <c r="AC995">
        <v>25.043900000000001</v>
      </c>
      <c r="AD995">
        <v>-1.0547658392749999</v>
      </c>
      <c r="AE995">
        <v>0.99950000000001105</v>
      </c>
      <c r="AF995">
        <v>-1.11102027338348</v>
      </c>
      <c r="AG995">
        <v>-1.0547658392749999</v>
      </c>
      <c r="AH995">
        <v>24.994847396811</v>
      </c>
      <c r="AI995">
        <v>92.414029060558704</v>
      </c>
      <c r="AJ995">
        <v>92.545120475740305</v>
      </c>
      <c r="AK995">
        <v>25.041751005339801</v>
      </c>
    </row>
    <row r="996" spans="1:37" x14ac:dyDescent="0.2">
      <c r="A996" t="str">
        <f>"20200111155518884"</f>
        <v>20200111155518884</v>
      </c>
      <c r="B996" t="str">
        <f>"1578729318873636"</f>
        <v>1578729318873636</v>
      </c>
      <c r="C996" t="s">
        <v>37</v>
      </c>
      <c r="D996">
        <v>5.341685</v>
      </c>
      <c r="E996">
        <v>0.5309933</v>
      </c>
      <c r="F996" t="s">
        <v>38</v>
      </c>
      <c r="G996">
        <v>-275.97809999999998</v>
      </c>
      <c r="H996" s="1">
        <v>-1.9739989999999998E-6</v>
      </c>
      <c r="I996">
        <v>368.11509999999998</v>
      </c>
      <c r="J996">
        <v>-301.14089999999999</v>
      </c>
      <c r="K996">
        <v>1.0547629999999999</v>
      </c>
      <c r="L996">
        <v>367.1395</v>
      </c>
      <c r="M996">
        <v>0.99988739999999998</v>
      </c>
      <c r="N996">
        <v>0</v>
      </c>
      <c r="O996">
        <v>-4.5314719999999999E-3</v>
      </c>
      <c r="P996">
        <v>0.99281739999999996</v>
      </c>
      <c r="Q996">
        <v>5.4314169999999896E-3</v>
      </c>
      <c r="R996">
        <v>0.119516</v>
      </c>
      <c r="S996">
        <v>3.0084230000000001</v>
      </c>
      <c r="T996">
        <v>-0.12518570000000001</v>
      </c>
      <c r="U996">
        <v>0.11569210000000001</v>
      </c>
      <c r="V996">
        <v>-0.12401330000000001</v>
      </c>
      <c r="W996">
        <v>1.963376E-2</v>
      </c>
      <c r="X996">
        <v>0.99208629999999998</v>
      </c>
      <c r="Y996">
        <v>-4.2914859999999999E-2</v>
      </c>
      <c r="Z996">
        <v>1.080599E-3</v>
      </c>
      <c r="AA996">
        <v>0.99907819999999903</v>
      </c>
      <c r="AB996">
        <v>30</v>
      </c>
      <c r="AC996">
        <v>25.162800000000001</v>
      </c>
      <c r="AD996">
        <v>-1.0547649739989999</v>
      </c>
      <c r="AE996">
        <v>0.97559999999998503</v>
      </c>
      <c r="AF996">
        <v>-1.0877178274071</v>
      </c>
      <c r="AG996">
        <v>-1.0547649739989999</v>
      </c>
      <c r="AH996">
        <v>25.114058867318899</v>
      </c>
      <c r="AI996">
        <v>92.402701331226396</v>
      </c>
      <c r="AJ996">
        <v>92.479994022760906</v>
      </c>
      <c r="AK996">
        <v>25.159722017812399</v>
      </c>
    </row>
    <row r="997" spans="1:37" x14ac:dyDescent="0.2">
      <c r="A997" t="str">
        <f>"20200111155518896"</f>
        <v>20200111155518896</v>
      </c>
      <c r="B997" t="str">
        <f>"1578729318883396"</f>
        <v>1578729318883396</v>
      </c>
      <c r="C997" t="s">
        <v>37</v>
      </c>
      <c r="D997">
        <v>5.151605</v>
      </c>
      <c r="E997">
        <v>0.53112349999999997</v>
      </c>
      <c r="F997" t="s">
        <v>38</v>
      </c>
      <c r="G997">
        <v>-275.84879999999998</v>
      </c>
      <c r="H997" s="1">
        <v>-2.0317060000000001E-6</v>
      </c>
      <c r="I997">
        <v>368.10230000000001</v>
      </c>
      <c r="J997">
        <v>-300.9862</v>
      </c>
      <c r="K997">
        <v>1.054764</v>
      </c>
      <c r="L997">
        <v>367.1388</v>
      </c>
      <c r="M997">
        <v>0.99988750000000004</v>
      </c>
      <c r="N997">
        <v>0</v>
      </c>
      <c r="O997">
        <v>-4.5314459999999997E-3</v>
      </c>
      <c r="P997">
        <v>0.99280849999999898</v>
      </c>
      <c r="Q997">
        <v>5.4937190000000002E-3</v>
      </c>
      <c r="R997">
        <v>0.11958920000000001</v>
      </c>
      <c r="S997">
        <v>3.0086059999999999</v>
      </c>
      <c r="T997">
        <v>-0.125469</v>
      </c>
      <c r="U997">
        <v>0.1145325</v>
      </c>
      <c r="V997">
        <v>-0.1240865</v>
      </c>
      <c r="W997">
        <v>1.9692399999999999E-2</v>
      </c>
      <c r="X997">
        <v>0.99207599999999996</v>
      </c>
      <c r="Y997">
        <v>-4.2528129999999997E-2</v>
      </c>
      <c r="Z997">
        <v>1.0749259999999999E-3</v>
      </c>
      <c r="AA997">
        <v>0.9990947</v>
      </c>
      <c r="AB997">
        <v>30</v>
      </c>
      <c r="AC997">
        <v>25.1374</v>
      </c>
      <c r="AD997">
        <v>-1.0547660317059999</v>
      </c>
      <c r="AE997">
        <v>0.96350000000001002</v>
      </c>
      <c r="AF997">
        <v>-1.07551969321491</v>
      </c>
      <c r="AG997">
        <v>-1.0547660317059999</v>
      </c>
      <c r="AH997">
        <v>25.0886679520213</v>
      </c>
      <c r="AI997">
        <v>92.405178240628302</v>
      </c>
      <c r="AJ997">
        <v>92.4546951736952</v>
      </c>
      <c r="AK997">
        <v>25.133852342983801</v>
      </c>
    </row>
    <row r="998" spans="1:37" x14ac:dyDescent="0.2">
      <c r="A998" t="str">
        <f>"20200111155518907"</f>
        <v>20200111155518907</v>
      </c>
      <c r="B998" t="str">
        <f>"1578729318903892"</f>
        <v>1578729318903892</v>
      </c>
      <c r="C998" t="s">
        <v>37</v>
      </c>
      <c r="D998">
        <v>5.3647289999999996</v>
      </c>
      <c r="E998">
        <v>0.53131399999999995</v>
      </c>
      <c r="F998" t="s">
        <v>38</v>
      </c>
      <c r="G998">
        <v>-275.7792</v>
      </c>
      <c r="H998" s="1">
        <v>-2.0633170000000001E-6</v>
      </c>
      <c r="I998">
        <v>368.0924</v>
      </c>
      <c r="J998">
        <v>-300.83120000000002</v>
      </c>
      <c r="K998">
        <v>1.054764</v>
      </c>
      <c r="L998">
        <v>367.13810000000001</v>
      </c>
      <c r="M998">
        <v>0.99988750000000004</v>
      </c>
      <c r="N998">
        <v>0</v>
      </c>
      <c r="O998">
        <v>-4.5314229999999997E-3</v>
      </c>
      <c r="P998">
        <v>0.99278459999999902</v>
      </c>
      <c r="Q998">
        <v>5.7815280000000002E-3</v>
      </c>
      <c r="R998">
        <v>0.119772499999999</v>
      </c>
      <c r="S998">
        <v>3.0087280000000001</v>
      </c>
      <c r="T998">
        <v>-0.1258975</v>
      </c>
      <c r="U998">
        <v>0.1138306</v>
      </c>
      <c r="V998">
        <v>-0.1242698</v>
      </c>
      <c r="W998">
        <v>1.9976540000000001E-2</v>
      </c>
      <c r="X998">
        <v>0.99204740000000002</v>
      </c>
      <c r="Y998">
        <v>-4.2293749999999998E-2</v>
      </c>
      <c r="Z998">
        <v>1.0736539999999901E-3</v>
      </c>
      <c r="AA998">
        <v>0.99910460000000001</v>
      </c>
      <c r="AB998">
        <v>30</v>
      </c>
      <c r="AC998">
        <v>25.052</v>
      </c>
      <c r="AD998">
        <v>-1.054766063317</v>
      </c>
      <c r="AE998">
        <v>0.95429999999998905</v>
      </c>
      <c r="AF998">
        <v>-1.0659362024396899</v>
      </c>
      <c r="AG998">
        <v>-1.054766063317</v>
      </c>
      <c r="AH998">
        <v>25.003159871669599</v>
      </c>
      <c r="AI998">
        <v>92.413418397293199</v>
      </c>
      <c r="AJ998">
        <v>92.441158875191604</v>
      </c>
      <c r="AK998">
        <v>25.0480888493367</v>
      </c>
    </row>
    <row r="999" spans="1:37" x14ac:dyDescent="0.2">
      <c r="A999" t="str">
        <f>"20200111155518919"</f>
        <v>20200111155518919</v>
      </c>
      <c r="B999" t="str">
        <f>"1578729318913652"</f>
        <v>1578729318913652</v>
      </c>
      <c r="C999" t="s">
        <v>37</v>
      </c>
      <c r="D999">
        <v>5.1809779999999996</v>
      </c>
      <c r="E999">
        <v>0.53141939999999999</v>
      </c>
      <c r="F999" t="s">
        <v>38</v>
      </c>
      <c r="G999">
        <v>-275.63389999999998</v>
      </c>
      <c r="H999" s="1">
        <v>-2.126964E-6</v>
      </c>
      <c r="I999">
        <v>368.08519999999999</v>
      </c>
      <c r="J999">
        <v>-300.6739</v>
      </c>
      <c r="K999">
        <v>1.054764</v>
      </c>
      <c r="L999">
        <v>367.13740000000001</v>
      </c>
      <c r="M999">
        <v>0.99988750000000004</v>
      </c>
      <c r="N999">
        <v>0</v>
      </c>
      <c r="O999">
        <v>-4.5316380000000002E-3</v>
      </c>
      <c r="P999">
        <v>0.99275219999999897</v>
      </c>
      <c r="Q999">
        <v>6.0135329999999997E-3</v>
      </c>
      <c r="R999">
        <v>0.1200296</v>
      </c>
      <c r="S999">
        <v>3.0089109999999999</v>
      </c>
      <c r="T999">
        <v>-0.1259535</v>
      </c>
      <c r="U999">
        <v>0.11309809999999999</v>
      </c>
      <c r="V999">
        <v>-0.1245271</v>
      </c>
      <c r="W999">
        <v>2.0204429999999999E-2</v>
      </c>
      <c r="X999">
        <v>0.99201049999999902</v>
      </c>
      <c r="Y999">
        <v>-4.2048990000000001E-2</v>
      </c>
      <c r="Z999">
        <v>1.0689619999999999E-3</v>
      </c>
      <c r="AA999">
        <v>0.99911499999999998</v>
      </c>
      <c r="AB999">
        <v>30</v>
      </c>
      <c r="AC999">
        <v>25.04</v>
      </c>
      <c r="AD999">
        <v>-1.0547661269640001</v>
      </c>
      <c r="AE999">
        <v>0.947799999999972</v>
      </c>
      <c r="AF999">
        <v>-1.0593970123257299</v>
      </c>
      <c r="AG999">
        <v>-1.0547661269640001</v>
      </c>
      <c r="AH999">
        <v>24.991167226722698</v>
      </c>
      <c r="AI999">
        <v>92.414599997301096</v>
      </c>
      <c r="AJ999">
        <v>92.427363950447599</v>
      </c>
      <c r="AK999">
        <v>25.035840168972499</v>
      </c>
    </row>
    <row r="1000" spans="1:37" x14ac:dyDescent="0.2">
      <c r="A1000" t="str">
        <f>"20200111155518930"</f>
        <v>20200111155518930</v>
      </c>
      <c r="B1000" t="str">
        <f>"1578729318923413"</f>
        <v>1578729318923413</v>
      </c>
      <c r="C1000" t="s">
        <v>37</v>
      </c>
      <c r="D1000">
        <v>5.2794679999999996</v>
      </c>
      <c r="E1000">
        <v>0.5314875</v>
      </c>
      <c r="F1000" t="s">
        <v>38</v>
      </c>
      <c r="G1000">
        <v>-275.43279999999999</v>
      </c>
      <c r="H1000" s="1">
        <v>-2.2132459999999998E-6</v>
      </c>
      <c r="I1000">
        <v>368.08510000000001</v>
      </c>
      <c r="J1000">
        <v>-300.51459999999997</v>
      </c>
      <c r="K1000">
        <v>1.054772</v>
      </c>
      <c r="L1000">
        <v>367.13670000000002</v>
      </c>
      <c r="M1000">
        <v>0.99988770000000005</v>
      </c>
      <c r="N1000">
        <v>0</v>
      </c>
      <c r="O1000">
        <v>-4.5316150000000001E-3</v>
      </c>
      <c r="P1000">
        <v>0.99273849999999997</v>
      </c>
      <c r="Q1000">
        <v>6.0271350000000003E-3</v>
      </c>
      <c r="R1000">
        <v>0.12014320000000001</v>
      </c>
      <c r="S1000">
        <v>3.0090029999999999</v>
      </c>
      <c r="T1000">
        <v>-0.12573899999999999</v>
      </c>
      <c r="U1000">
        <v>0.1129761</v>
      </c>
      <c r="V1000">
        <v>-0.124640599999999</v>
      </c>
      <c r="W1000">
        <v>2.0214920000000001E-2</v>
      </c>
      <c r="X1000">
        <v>0.99199599999999899</v>
      </c>
      <c r="Y1000">
        <v>-4.2007530000000001E-2</v>
      </c>
      <c r="Z1000">
        <v>1.066245E-3</v>
      </c>
      <c r="AA1000">
        <v>0.99911669999999997</v>
      </c>
      <c r="AB1000">
        <v>30</v>
      </c>
      <c r="AC1000">
        <v>25.081799999999902</v>
      </c>
      <c r="AD1000">
        <v>-1.0547742132460001</v>
      </c>
      <c r="AE1000">
        <v>0.94839999999999203</v>
      </c>
      <c r="AF1000">
        <v>-1.0601906638988501</v>
      </c>
      <c r="AG1000">
        <v>-1.0547742132460001</v>
      </c>
      <c r="AH1000">
        <v>25.033036822946201</v>
      </c>
      <c r="AI1000">
        <v>92.410588619534494</v>
      </c>
      <c r="AJ1000">
        <v>92.425122114660297</v>
      </c>
      <c r="AK1000">
        <v>25.077669059618199</v>
      </c>
    </row>
    <row r="1001" spans="1:37" x14ac:dyDescent="0.2">
      <c r="A1001" t="str">
        <f>"20200111155518941"</f>
        <v>20200111155518941</v>
      </c>
      <c r="B1001" t="str">
        <f>"1578729318933172"</f>
        <v>1578729318933172</v>
      </c>
      <c r="C1001" t="s">
        <v>37</v>
      </c>
      <c r="D1001">
        <v>5.2079510000000004</v>
      </c>
      <c r="E1001">
        <v>0.53158099999999997</v>
      </c>
      <c r="F1001" t="s">
        <v>38</v>
      </c>
      <c r="G1001">
        <v>-275.36559999999997</v>
      </c>
      <c r="H1001" s="1">
        <v>-2.243156E-6</v>
      </c>
      <c r="I1001">
        <v>368.07909999999998</v>
      </c>
      <c r="J1001">
        <v>-300.37009999999998</v>
      </c>
      <c r="K1001">
        <v>1.05477</v>
      </c>
      <c r="L1001">
        <v>367.135999999999</v>
      </c>
      <c r="M1001">
        <v>0.99988759999999999</v>
      </c>
      <c r="N1001">
        <v>0</v>
      </c>
      <c r="O1001">
        <v>-4.5313559999999899E-3</v>
      </c>
      <c r="P1001">
        <v>0.99273480000000003</v>
      </c>
      <c r="Q1001">
        <v>6.2271519999999997E-3</v>
      </c>
      <c r="R1001">
        <v>0.12016349999999899</v>
      </c>
      <c r="S1001">
        <v>3.009064</v>
      </c>
      <c r="T1001">
        <v>-0.1262027</v>
      </c>
      <c r="U1001">
        <v>0.1127625</v>
      </c>
      <c r="V1001">
        <v>-0.12466089999999901</v>
      </c>
      <c r="W1001">
        <v>2.0412280000000001E-2</v>
      </c>
      <c r="X1001">
        <v>0.99198940000000002</v>
      </c>
      <c r="Y1001">
        <v>-4.1935449999999999E-2</v>
      </c>
      <c r="Z1001">
        <v>1.0686319999999999E-3</v>
      </c>
      <c r="AA1001">
        <v>0.9991198</v>
      </c>
      <c r="AB1001">
        <v>30</v>
      </c>
      <c r="AC1001">
        <v>25.0045</v>
      </c>
      <c r="AD1001">
        <v>-1.0547722431559901</v>
      </c>
      <c r="AE1001">
        <v>0.94310000000001504</v>
      </c>
      <c r="AF1001">
        <v>-1.0545323784057701</v>
      </c>
      <c r="AG1001">
        <v>-1.0547722431559901</v>
      </c>
      <c r="AH1001">
        <v>24.9556255578422</v>
      </c>
      <c r="AI1001">
        <v>92.418062513387</v>
      </c>
      <c r="AJ1001">
        <v>92.4196681005063</v>
      </c>
      <c r="AK1001">
        <v>25.000156599614801</v>
      </c>
    </row>
    <row r="1002" spans="1:37" x14ac:dyDescent="0.2">
      <c r="A1002" t="str">
        <f>"20200111155518954"</f>
        <v>20200111155518954</v>
      </c>
      <c r="B1002" t="str">
        <f>"1578729318942933"</f>
        <v>1578729318942933</v>
      </c>
      <c r="C1002" t="s">
        <v>37</v>
      </c>
      <c r="D1002">
        <v>5.1798129999999896</v>
      </c>
      <c r="E1002">
        <v>0.53169049999999995</v>
      </c>
      <c r="F1002" t="s">
        <v>38</v>
      </c>
      <c r="G1002">
        <v>-275.2285</v>
      </c>
      <c r="H1002" s="1">
        <v>-2.3038249999999999E-6</v>
      </c>
      <c r="I1002">
        <v>368.06869999999998</v>
      </c>
      <c r="J1002">
        <v>-300.19819999999999</v>
      </c>
      <c r="K1002">
        <v>1.05477</v>
      </c>
      <c r="L1002">
        <v>367.13529999999997</v>
      </c>
      <c r="M1002">
        <v>0.99988759999999999</v>
      </c>
      <c r="N1002">
        <v>0</v>
      </c>
      <c r="O1002">
        <v>-4.5313319999999999E-3</v>
      </c>
      <c r="P1002">
        <v>0.99269750000000001</v>
      </c>
      <c r="Q1002">
        <v>6.5247259999999998E-3</v>
      </c>
      <c r="R1002">
        <v>0.12045359999999999</v>
      </c>
      <c r="S1002">
        <v>3.0092159999999999</v>
      </c>
      <c r="T1002">
        <v>-0.12624579999999999</v>
      </c>
      <c r="U1002">
        <v>0.1116333</v>
      </c>
      <c r="V1002">
        <v>-0.1249506</v>
      </c>
      <c r="W1002">
        <v>2.0705479999999998E-2</v>
      </c>
      <c r="X1002">
        <v>0.99194689999999996</v>
      </c>
      <c r="Y1002">
        <v>-4.1559449999999998E-2</v>
      </c>
      <c r="Z1002">
        <v>1.0610680000000001E-3</v>
      </c>
      <c r="AA1002">
        <v>0.99913549999999995</v>
      </c>
      <c r="AB1002">
        <v>30</v>
      </c>
      <c r="AC1002">
        <v>24.9696999999999</v>
      </c>
      <c r="AD1002">
        <v>-1.0547723038250001</v>
      </c>
      <c r="AE1002">
        <v>0.933400000000006</v>
      </c>
      <c r="AF1002">
        <v>-1.04468644182857</v>
      </c>
      <c r="AG1002">
        <v>-1.0547723038250001</v>
      </c>
      <c r="AH1002">
        <v>24.920807127927102</v>
      </c>
      <c r="AI1002">
        <v>92.421471208700197</v>
      </c>
      <c r="AJ1002">
        <v>92.400447897976704</v>
      </c>
      <c r="AK1002">
        <v>24.9649863264933</v>
      </c>
    </row>
    <row r="1003" spans="1:37" x14ac:dyDescent="0.2">
      <c r="A1003" t="str">
        <f>"20200111155518965"</f>
        <v>20200111155518965</v>
      </c>
      <c r="B1003" t="str">
        <f>"1578729318963428"</f>
        <v>1578729318963428</v>
      </c>
      <c r="C1003" t="s">
        <v>37</v>
      </c>
      <c r="D1003">
        <v>5.179392</v>
      </c>
      <c r="E1003">
        <v>0.5319026</v>
      </c>
      <c r="F1003" t="s">
        <v>38</v>
      </c>
      <c r="G1003">
        <v>-275.00479999999999</v>
      </c>
      <c r="H1003" s="1">
        <v>-2.3987419999999999E-6</v>
      </c>
      <c r="I1003">
        <v>368.07440000000003</v>
      </c>
      <c r="J1003">
        <v>-300.04680000000002</v>
      </c>
      <c r="K1003">
        <v>1.0547739999999901</v>
      </c>
      <c r="L1003">
        <v>367.13459999999998</v>
      </c>
      <c r="M1003">
        <v>0.99988759999999999</v>
      </c>
      <c r="N1003">
        <v>0</v>
      </c>
      <c r="O1003">
        <v>-4.531551E-3</v>
      </c>
      <c r="P1003">
        <v>0.99266929999999998</v>
      </c>
      <c r="Q1003">
        <v>6.4889090000000002E-3</v>
      </c>
      <c r="R1003">
        <v>0.120686899999999</v>
      </c>
      <c r="S1003">
        <v>3.009277</v>
      </c>
      <c r="T1003">
        <v>-0.12598909999999999</v>
      </c>
      <c r="U1003">
        <v>0.11218259999999999</v>
      </c>
      <c r="V1003">
        <v>-0.12518389999999999</v>
      </c>
      <c r="W1003">
        <v>2.066687E-2</v>
      </c>
      <c r="X1003">
        <v>0.99191830000000003</v>
      </c>
      <c r="Y1003">
        <v>-4.1741050000000002E-2</v>
      </c>
      <c r="Z1003">
        <v>1.062695E-3</v>
      </c>
      <c r="AA1003">
        <v>0.99912789999999996</v>
      </c>
      <c r="AB1003">
        <v>30</v>
      </c>
      <c r="AC1003">
        <v>25.042000000000002</v>
      </c>
      <c r="AD1003">
        <v>-1.05477639874199</v>
      </c>
      <c r="AE1003">
        <v>0.93980000000004704</v>
      </c>
      <c r="AF1003">
        <v>-1.05141832182072</v>
      </c>
      <c r="AG1003">
        <v>-1.05477639874199</v>
      </c>
      <c r="AH1003">
        <v>24.993205080402198</v>
      </c>
      <c r="AI1003">
        <v>92.414459641782599</v>
      </c>
      <c r="AJ1003">
        <v>92.408908043763901</v>
      </c>
      <c r="AK1003">
        <v>25.037538495823501</v>
      </c>
    </row>
    <row r="1004" spans="1:37" x14ac:dyDescent="0.2">
      <c r="A1004" t="str">
        <f>"20200111155518976"</f>
        <v>20200111155518976</v>
      </c>
      <c r="B1004" t="str">
        <f>"1578729318973188"</f>
        <v>1578729318973188</v>
      </c>
      <c r="C1004" t="s">
        <v>37</v>
      </c>
      <c r="D1004">
        <v>5.3421289999999999</v>
      </c>
      <c r="E1004">
        <v>0.53196009999999905</v>
      </c>
      <c r="F1004" t="s">
        <v>38</v>
      </c>
      <c r="G1004">
        <v>-275.13189999999997</v>
      </c>
      <c r="H1004" s="1">
        <v>-2.3480269999999999E-6</v>
      </c>
      <c r="I1004">
        <v>368.05290000000002</v>
      </c>
      <c r="J1004">
        <v>-299.89499999999998</v>
      </c>
      <c r="K1004">
        <v>1.0547739999999901</v>
      </c>
      <c r="L1004">
        <v>367.13389999999998</v>
      </c>
      <c r="M1004">
        <v>0.99988779999999999</v>
      </c>
      <c r="N1004">
        <v>0</v>
      </c>
      <c r="O1004">
        <v>-4.5315310000000001E-3</v>
      </c>
      <c r="P1004">
        <v>0.99265769999999998</v>
      </c>
      <c r="Q1004">
        <v>6.5310469999999999E-3</v>
      </c>
      <c r="R1004">
        <v>0.1207821</v>
      </c>
      <c r="S1004">
        <v>3.0095209999999999</v>
      </c>
      <c r="T1004">
        <v>-0.12740839999999901</v>
      </c>
      <c r="U1004">
        <v>0.110931399999999</v>
      </c>
      <c r="V1004">
        <v>-0.12527930000000001</v>
      </c>
      <c r="W1004">
        <v>2.0706430000000001E-2</v>
      </c>
      <c r="X1004">
        <v>0.99190540000000005</v>
      </c>
      <c r="Y1004">
        <v>-4.1322650000000002E-2</v>
      </c>
      <c r="Z1004">
        <v>1.065727E-3</v>
      </c>
      <c r="AA1004">
        <v>0.99914530000000001</v>
      </c>
      <c r="AB1004">
        <v>30</v>
      </c>
      <c r="AC1004">
        <v>24.763100000000001</v>
      </c>
      <c r="AD1004">
        <v>-1.0547763480269901</v>
      </c>
      <c r="AE1004">
        <v>0.91900000000003901</v>
      </c>
      <c r="AF1004">
        <v>-1.02935176563001</v>
      </c>
      <c r="AG1004">
        <v>-1.0547763480269901</v>
      </c>
      <c r="AH1004">
        <v>24.713903857911198</v>
      </c>
      <c r="AI1004">
        <v>92.4417559511094</v>
      </c>
      <c r="AJ1004">
        <v>92.385031649457403</v>
      </c>
      <c r="AK1004">
        <v>24.757810123269</v>
      </c>
    </row>
    <row r="1005" spans="1:37" x14ac:dyDescent="0.2">
      <c r="A1005" t="str">
        <f>"20200111155518988"</f>
        <v>20200111155518988</v>
      </c>
      <c r="B1005" t="str">
        <f>"1578729318982949"</f>
        <v>1578729318982949</v>
      </c>
      <c r="C1005" t="s">
        <v>37</v>
      </c>
      <c r="D1005">
        <v>5.2814500000000004</v>
      </c>
      <c r="E1005">
        <v>0.53202119999999997</v>
      </c>
      <c r="F1005" t="s">
        <v>38</v>
      </c>
      <c r="G1005">
        <v>-275.03789999999998</v>
      </c>
      <c r="H1005" s="1">
        <v>-2.3891079999999999E-6</v>
      </c>
      <c r="I1005">
        <v>368.04880000000003</v>
      </c>
      <c r="J1005">
        <v>-299.73790000000002</v>
      </c>
      <c r="K1005">
        <v>1.054773</v>
      </c>
      <c r="L1005">
        <v>367.13319999999999</v>
      </c>
      <c r="M1005">
        <v>0.99988790000000005</v>
      </c>
      <c r="N1005">
        <v>0</v>
      </c>
      <c r="O1005">
        <v>-4.5315119999999997E-3</v>
      </c>
      <c r="P1005">
        <v>0.99263840000000003</v>
      </c>
      <c r="Q1005">
        <v>6.73026599999999E-3</v>
      </c>
      <c r="R1005">
        <v>0.120929199999999</v>
      </c>
      <c r="S1005">
        <v>3.0095209999999999</v>
      </c>
      <c r="T1005">
        <v>-0.1277044</v>
      </c>
      <c r="U1005">
        <v>0.1107788</v>
      </c>
      <c r="V1005">
        <v>-0.12542539999999999</v>
      </c>
      <c r="W1005">
        <v>2.090237E-2</v>
      </c>
      <c r="X1005">
        <v>0.99188290000000001</v>
      </c>
      <c r="Y1005">
        <v>-4.12719E-2</v>
      </c>
      <c r="Z1005">
        <v>1.067124E-3</v>
      </c>
      <c r="AA1005">
        <v>0.99914740000000002</v>
      </c>
      <c r="AB1005">
        <v>30</v>
      </c>
      <c r="AC1005">
        <v>24.7</v>
      </c>
      <c r="AD1005">
        <v>-1.0547753891080001</v>
      </c>
      <c r="AE1005">
        <v>0.91560000000004005</v>
      </c>
      <c r="AF1005">
        <v>-1.02566252621461</v>
      </c>
      <c r="AG1005">
        <v>-1.0547753891080001</v>
      </c>
      <c r="AH1005">
        <v>24.650705890865702</v>
      </c>
      <c r="AI1005">
        <v>92.448010503308097</v>
      </c>
      <c r="AJ1005">
        <v>92.382579110982604</v>
      </c>
      <c r="AK1005">
        <v>24.694570975360399</v>
      </c>
    </row>
    <row r="1006" spans="1:37" x14ac:dyDescent="0.2">
      <c r="A1006" t="str">
        <f>"20200111155518999"</f>
        <v>20200111155518999</v>
      </c>
      <c r="B1006" t="str">
        <f>"1578729318993684"</f>
        <v>1578729318993684</v>
      </c>
      <c r="C1006" t="s">
        <v>37</v>
      </c>
      <c r="D1006">
        <v>5.1326400000000003</v>
      </c>
      <c r="E1006">
        <v>0.53213639999999995</v>
      </c>
      <c r="F1006" t="s">
        <v>38</v>
      </c>
      <c r="G1006">
        <v>-274.892</v>
      </c>
      <c r="H1006" s="1">
        <v>-2.4516500000000001E-6</v>
      </c>
      <c r="I1006">
        <v>368.0489</v>
      </c>
      <c r="J1006">
        <v>-299.58390000000003</v>
      </c>
      <c r="K1006">
        <v>1.054772</v>
      </c>
      <c r="L1006">
        <v>367.13240000000002</v>
      </c>
      <c r="M1006">
        <v>0.99988790000000005</v>
      </c>
      <c r="N1006">
        <v>0</v>
      </c>
      <c r="O1006">
        <v>-4.531612E-3</v>
      </c>
      <c r="P1006">
        <v>0.99264629999999998</v>
      </c>
      <c r="Q1006">
        <v>6.6263419999999899E-3</v>
      </c>
      <c r="R1006">
        <v>0.120869699999999</v>
      </c>
      <c r="S1006">
        <v>3.0095830000000001</v>
      </c>
      <c r="T1006">
        <v>-0.1277645</v>
      </c>
      <c r="U1006">
        <v>0.110931399999999</v>
      </c>
      <c r="V1006">
        <v>-0.12536659999999999</v>
      </c>
      <c r="W1006">
        <v>2.0795580000000001E-2</v>
      </c>
      <c r="X1006">
        <v>0.99189249999999995</v>
      </c>
      <c r="Y1006">
        <v>-4.1321759999999999E-2</v>
      </c>
      <c r="Z1006">
        <v>1.0686649999999999E-3</v>
      </c>
      <c r="AA1006">
        <v>0.99914530000000001</v>
      </c>
      <c r="AB1006">
        <v>30</v>
      </c>
      <c r="AC1006">
        <v>24.6919</v>
      </c>
      <c r="AD1006">
        <v>-1.0547744516499999</v>
      </c>
      <c r="AE1006">
        <v>0.91649999999998499</v>
      </c>
      <c r="AF1006">
        <v>-1.02652548881744</v>
      </c>
      <c r="AG1006">
        <v>-1.0547744516499999</v>
      </c>
      <c r="AH1006">
        <v>24.642587371002001</v>
      </c>
      <c r="AI1006">
        <v>92.448808893825003</v>
      </c>
      <c r="AJ1006">
        <v>92.385366125565298</v>
      </c>
      <c r="AK1006">
        <v>24.686502710195899</v>
      </c>
    </row>
    <row r="1007" spans="1:37" x14ac:dyDescent="0.2">
      <c r="A1007" t="str">
        <f>"20200111155519011"</f>
        <v>20200111155519011</v>
      </c>
      <c r="B1007" t="str">
        <f>"1578729319003444"</f>
        <v>1578729319003444</v>
      </c>
      <c r="C1007" t="s">
        <v>37</v>
      </c>
      <c r="D1007">
        <v>5.1095259999999998</v>
      </c>
      <c r="E1007">
        <v>0.53223949999999998</v>
      </c>
      <c r="F1007" t="s">
        <v>38</v>
      </c>
      <c r="G1007">
        <v>-274.9674</v>
      </c>
      <c r="H1007" s="1">
        <v>-2.4231289999999999E-6</v>
      </c>
      <c r="I1007">
        <v>368.02749999999997</v>
      </c>
      <c r="J1007">
        <v>-299.42829999999998</v>
      </c>
      <c r="K1007">
        <v>1.0547709999999999</v>
      </c>
      <c r="L1007">
        <v>367.1318</v>
      </c>
      <c r="M1007">
        <v>0.99988779999999999</v>
      </c>
      <c r="N1007">
        <v>0</v>
      </c>
      <c r="O1007">
        <v>-4.5314750000000001E-3</v>
      </c>
      <c r="P1007">
        <v>0.99262119999999998</v>
      </c>
      <c r="Q1007">
        <v>6.457361E-3</v>
      </c>
      <c r="R1007">
        <v>0.1210849</v>
      </c>
      <c r="S1007">
        <v>3.0097659999999999</v>
      </c>
      <c r="T1007">
        <v>-0.12896260000000001</v>
      </c>
      <c r="U1007">
        <v>0.10943599999999901</v>
      </c>
      <c r="V1007">
        <v>-0.12558169999999999</v>
      </c>
      <c r="W1007">
        <v>2.062348E-2</v>
      </c>
      <c r="X1007">
        <v>0.99186890000000005</v>
      </c>
      <c r="Y1007">
        <v>-4.0823329999999998E-2</v>
      </c>
      <c r="Z1007">
        <v>1.067946E-3</v>
      </c>
      <c r="AA1007">
        <v>0.99916579999999999</v>
      </c>
      <c r="AB1007">
        <v>30</v>
      </c>
      <c r="AC1007">
        <v>24.460899999999899</v>
      </c>
      <c r="AD1007">
        <v>-1.05477342312899</v>
      </c>
      <c r="AE1007">
        <v>0.89569999999997596</v>
      </c>
      <c r="AF1007">
        <v>-1.0046804541016301</v>
      </c>
      <c r="AG1007">
        <v>-1.05477342312899</v>
      </c>
      <c r="AH1007">
        <v>24.4112599620839</v>
      </c>
      <c r="AI1007">
        <v>92.472034421540997</v>
      </c>
      <c r="AJ1007">
        <v>92.356760005532607</v>
      </c>
      <c r="AK1007">
        <v>24.454683451752899</v>
      </c>
    </row>
    <row r="1008" spans="1:37" x14ac:dyDescent="0.2">
      <c r="A1008" t="str">
        <f>"20200111155519023"</f>
        <v>20200111155519023</v>
      </c>
      <c r="B1008" t="str">
        <f>"1578729319013204"</f>
        <v>1578729319013204</v>
      </c>
      <c r="C1008" t="s">
        <v>37</v>
      </c>
      <c r="D1008">
        <v>5.0658120000000002</v>
      </c>
      <c r="E1008">
        <v>0.53235549999999998</v>
      </c>
      <c r="F1008" t="s">
        <v>38</v>
      </c>
      <c r="G1008">
        <v>-275.10829999999999</v>
      </c>
      <c r="H1008" s="1">
        <v>-2.3645929999999998E-6</v>
      </c>
      <c r="I1008">
        <v>368.01679999999999</v>
      </c>
      <c r="J1008">
        <v>-299.26740000000001</v>
      </c>
      <c r="K1008">
        <v>1.05477</v>
      </c>
      <c r="L1008">
        <v>367.13099999999997</v>
      </c>
      <c r="M1008">
        <v>0.99988790000000005</v>
      </c>
      <c r="N1008">
        <v>0</v>
      </c>
      <c r="O1008">
        <v>-4.531457E-3</v>
      </c>
      <c r="P1008">
        <v>0.99262669999999997</v>
      </c>
      <c r="Q1008">
        <v>6.4654980000000001E-3</v>
      </c>
      <c r="R1008">
        <v>0.1210386</v>
      </c>
      <c r="S1008">
        <v>3.0097959999999899</v>
      </c>
      <c r="T1008">
        <v>-0.13053580000000001</v>
      </c>
      <c r="U1008">
        <v>0.1095276</v>
      </c>
      <c r="V1008">
        <v>-0.1255349</v>
      </c>
      <c r="W1008">
        <v>2.0629669999999999E-2</v>
      </c>
      <c r="X1008">
        <v>0.991874699999999</v>
      </c>
      <c r="Y1008">
        <v>-4.0852239999999998E-2</v>
      </c>
      <c r="Z1008">
        <v>1.081575E-3</v>
      </c>
      <c r="AA1008">
        <v>0.99916459999999996</v>
      </c>
      <c r="AB1008">
        <v>30</v>
      </c>
      <c r="AC1008">
        <v>24.159099999999999</v>
      </c>
      <c r="AD1008">
        <v>-1.0547723645930001</v>
      </c>
      <c r="AE1008">
        <v>0.88580000000001702</v>
      </c>
      <c r="AF1008">
        <v>-0.99338697794414399</v>
      </c>
      <c r="AG1008">
        <v>-1.0547723645930001</v>
      </c>
      <c r="AH1008">
        <v>24.108944080289302</v>
      </c>
      <c r="AI1008">
        <v>92.502986094078494</v>
      </c>
      <c r="AJ1008">
        <v>92.359485472514606</v>
      </c>
      <c r="AK1008">
        <v>24.1524439155869</v>
      </c>
    </row>
    <row r="1009" spans="1:37" x14ac:dyDescent="0.2">
      <c r="A1009" t="str">
        <f>"20200111155519034"</f>
        <v>20200111155519034</v>
      </c>
      <c r="B1009" t="str">
        <f>"1578729319022964"</f>
        <v>1578729319022964</v>
      </c>
      <c r="C1009" t="s">
        <v>37</v>
      </c>
      <c r="D1009">
        <v>5.3331559999999998</v>
      </c>
      <c r="E1009">
        <v>0.53240129999999997</v>
      </c>
      <c r="F1009" t="s">
        <v>38</v>
      </c>
      <c r="G1009">
        <v>-275.07380000000001</v>
      </c>
      <c r="H1009" s="1">
        <v>-2.3818070000000002E-6</v>
      </c>
      <c r="I1009">
        <v>368.00299999999999</v>
      </c>
      <c r="J1009">
        <v>-299.10739999999998</v>
      </c>
      <c r="K1009">
        <v>1.05477</v>
      </c>
      <c r="L1009">
        <v>367.13029999999998</v>
      </c>
      <c r="M1009">
        <v>0.99988790000000005</v>
      </c>
      <c r="N1009">
        <v>0</v>
      </c>
      <c r="O1009">
        <v>-4.5314379999999996E-3</v>
      </c>
      <c r="P1009">
        <v>0.99263780000000001</v>
      </c>
      <c r="Q1009">
        <v>6.3869319999999997E-3</v>
      </c>
      <c r="R1009">
        <v>0.120952399999999</v>
      </c>
      <c r="S1009">
        <v>3.0099179999999999</v>
      </c>
      <c r="T1009">
        <v>-0.13122339999999999</v>
      </c>
      <c r="U1009">
        <v>0.10849</v>
      </c>
      <c r="V1009">
        <v>-0.12544849999999999</v>
      </c>
      <c r="W1009">
        <v>2.0548629999999998E-2</v>
      </c>
      <c r="X1009">
        <v>0.99188729999999903</v>
      </c>
      <c r="Y1009">
        <v>-4.0506630000000002E-2</v>
      </c>
      <c r="Z1009">
        <v>1.0797019999999899E-3</v>
      </c>
      <c r="AA1009">
        <v>0.99917869999999998</v>
      </c>
      <c r="AB1009">
        <v>30</v>
      </c>
      <c r="AC1009">
        <v>24.0335999999999</v>
      </c>
      <c r="AD1009">
        <v>-1.0547723818070001</v>
      </c>
      <c r="AE1009">
        <v>0.87270000000006498</v>
      </c>
      <c r="AF1009">
        <v>-0.97972433122690405</v>
      </c>
      <c r="AG1009">
        <v>-1.0547723818070001</v>
      </c>
      <c r="AH1009">
        <v>23.983264762548501</v>
      </c>
      <c r="AI1009">
        <v>92.516122110680698</v>
      </c>
      <c r="AJ1009">
        <v>92.339250993482494</v>
      </c>
      <c r="AK1009">
        <v>24.0264311376684</v>
      </c>
    </row>
    <row r="1010" spans="1:37" x14ac:dyDescent="0.2">
      <c r="A1010" t="str">
        <f>"20200111155519050"</f>
        <v>20200111155519050</v>
      </c>
      <c r="B1010" t="str">
        <f>"1578729319043732"</f>
        <v>1578729319043732</v>
      </c>
      <c r="C1010" t="s">
        <v>37</v>
      </c>
      <c r="D1010">
        <v>4.9837759999999998</v>
      </c>
      <c r="E1010">
        <v>0.53258680000000003</v>
      </c>
      <c r="F1010" t="s">
        <v>38</v>
      </c>
      <c r="G1010">
        <v>-275.0763</v>
      </c>
      <c r="H1010" s="1">
        <v>-2.3827920000000001E-6</v>
      </c>
      <c r="I1010">
        <v>367.99160000000001</v>
      </c>
      <c r="J1010">
        <v>-298.91039999999998</v>
      </c>
      <c r="K1010">
        <v>1.0547709999999999</v>
      </c>
      <c r="L1010">
        <v>367.12939999999998</v>
      </c>
      <c r="M1010">
        <v>0.99988790000000005</v>
      </c>
      <c r="N1010">
        <v>0</v>
      </c>
      <c r="O1010">
        <v>-4.5314170000000003E-3</v>
      </c>
      <c r="P1010">
        <v>0.99263699999999999</v>
      </c>
      <c r="Q1010">
        <v>6.3721919999999996E-3</v>
      </c>
      <c r="R1010">
        <v>0.1209591</v>
      </c>
      <c r="S1010">
        <v>3.0099490000000002</v>
      </c>
      <c r="T1010">
        <v>-0.1321117</v>
      </c>
      <c r="U1010">
        <v>0.10787960000000001</v>
      </c>
      <c r="V1010">
        <v>-0.1254557</v>
      </c>
      <c r="W1010">
        <v>2.0530989999999999E-2</v>
      </c>
      <c r="X1010">
        <v>0.99188670000000001</v>
      </c>
      <c r="Y1010">
        <v>-4.0303520000000002E-2</v>
      </c>
      <c r="Z1010">
        <v>1.082541E-3</v>
      </c>
      <c r="AA1010">
        <v>0.99918689999999999</v>
      </c>
      <c r="AB1010">
        <v>30</v>
      </c>
      <c r="AC1010">
        <v>23.8340999999999</v>
      </c>
      <c r="AD1010">
        <v>-1.0547733827919901</v>
      </c>
      <c r="AE1010">
        <v>0.86220000000002905</v>
      </c>
      <c r="AF1010">
        <v>-0.96831044573992797</v>
      </c>
      <c r="AG1010">
        <v>-1.0547733827919901</v>
      </c>
      <c r="AH1010">
        <v>23.783429188277701</v>
      </c>
      <c r="AI1010">
        <v>92.537252322547104</v>
      </c>
      <c r="AJ1010">
        <v>92.331433249926803</v>
      </c>
      <c r="AK1010">
        <v>23.8264910543326</v>
      </c>
    </row>
    <row r="1011" spans="1:37" x14ac:dyDescent="0.2">
      <c r="A1011" t="str">
        <f>"20200111155519064"</f>
        <v>20200111155519064</v>
      </c>
      <c r="B1011" t="str">
        <f>"1578729319053492"</f>
        <v>1578729319053492</v>
      </c>
      <c r="C1011" t="s">
        <v>37</v>
      </c>
      <c r="D1011">
        <v>4.9299910000000002</v>
      </c>
      <c r="E1011">
        <v>0.53269849999999996</v>
      </c>
      <c r="F1011" t="s">
        <v>38</v>
      </c>
      <c r="G1011">
        <v>-275.12299999999999</v>
      </c>
      <c r="H1011" s="1">
        <v>-2.3663900000000001E-6</v>
      </c>
      <c r="I1011">
        <v>367.971</v>
      </c>
      <c r="J1011">
        <v>-298.73750000000001</v>
      </c>
      <c r="K1011">
        <v>1.0547709999999999</v>
      </c>
      <c r="L1011">
        <v>367.12860000000001</v>
      </c>
      <c r="M1011">
        <v>0.99988809999999995</v>
      </c>
      <c r="N1011">
        <v>0</v>
      </c>
      <c r="O1011">
        <v>-4.5313979999999998E-3</v>
      </c>
      <c r="P1011">
        <v>0.99263380000000001</v>
      </c>
      <c r="Q1011">
        <v>6.43992E-3</v>
      </c>
      <c r="R1011">
        <v>0.120982399999999</v>
      </c>
      <c r="S1011">
        <v>3.010132</v>
      </c>
      <c r="T1011">
        <v>-0.1334737</v>
      </c>
      <c r="U1011">
        <v>0.1065063</v>
      </c>
      <c r="V1011">
        <v>-0.1254787</v>
      </c>
      <c r="W1011">
        <v>2.0595829999999999E-2</v>
      </c>
      <c r="X1011">
        <v>0.9918825</v>
      </c>
      <c r="Y1011">
        <v>-3.9845599999999898E-2</v>
      </c>
      <c r="Z1011">
        <v>1.0834880000000001E-3</v>
      </c>
      <c r="AA1011">
        <v>0.99920520000000002</v>
      </c>
      <c r="AB1011">
        <v>30</v>
      </c>
      <c r="AC1011">
        <v>23.6145</v>
      </c>
      <c r="AD1011">
        <v>-1.0547733663900001</v>
      </c>
      <c r="AE1011">
        <v>0.84239999999999704</v>
      </c>
      <c r="AF1011">
        <v>-0.94752094432330203</v>
      </c>
      <c r="AG1011">
        <v>-1.0547733663900001</v>
      </c>
      <c r="AH1011">
        <v>23.563488518067299</v>
      </c>
      <c r="AI1011">
        <v>92.5609554028253</v>
      </c>
      <c r="AJ1011">
        <v>92.302703118763105</v>
      </c>
      <c r="AK1011">
        <v>23.606107979407899</v>
      </c>
    </row>
    <row r="1012" spans="1:37" x14ac:dyDescent="0.2">
      <c r="A1012" t="str">
        <f>"20200111155519075"</f>
        <v>20200111155519075</v>
      </c>
      <c r="B1012" t="str">
        <f>"1578729319073011"</f>
        <v>1578729319073011</v>
      </c>
      <c r="C1012" t="s">
        <v>37</v>
      </c>
      <c r="D1012">
        <v>4.8429500000000001</v>
      </c>
      <c r="E1012">
        <v>0.53298100000000004</v>
      </c>
      <c r="F1012" t="s">
        <v>38</v>
      </c>
      <c r="G1012">
        <v>-275.0197</v>
      </c>
      <c r="H1012" s="1">
        <v>-2.4124699999999998E-6</v>
      </c>
      <c r="I1012">
        <v>367.96100000000001</v>
      </c>
      <c r="J1012">
        <v>-298.56299999999999</v>
      </c>
      <c r="K1012">
        <v>1.054772</v>
      </c>
      <c r="L1012">
        <v>367.12779999999998</v>
      </c>
      <c r="M1012">
        <v>0.99988809999999995</v>
      </c>
      <c r="N1012">
        <v>0</v>
      </c>
      <c r="O1012">
        <v>-4.5313799999999998E-3</v>
      </c>
      <c r="P1012">
        <v>0.99263239999999997</v>
      </c>
      <c r="Q1012">
        <v>6.349459E-3</v>
      </c>
      <c r="R1012">
        <v>0.1209987</v>
      </c>
      <c r="S1012">
        <v>3.0102229999999999</v>
      </c>
      <c r="T1012">
        <v>-0.1338694</v>
      </c>
      <c r="U1012">
        <v>0.10565190000000001</v>
      </c>
      <c r="V1012">
        <v>-0.125495</v>
      </c>
      <c r="W1012">
        <v>2.0502869999999999E-2</v>
      </c>
      <c r="X1012">
        <v>0.99188240000000005</v>
      </c>
      <c r="Y1012">
        <v>-3.9561260000000001E-2</v>
      </c>
      <c r="Z1012">
        <v>1.080351E-3</v>
      </c>
      <c r="AA1012">
        <v>0.99921659999999901</v>
      </c>
      <c r="AB1012">
        <v>30</v>
      </c>
      <c r="AC1012">
        <v>23.543299999999899</v>
      </c>
      <c r="AD1012">
        <v>-1.05477441247</v>
      </c>
      <c r="AE1012">
        <v>0.83320000000003303</v>
      </c>
      <c r="AF1012">
        <v>-0.93800554338889597</v>
      </c>
      <c r="AG1012">
        <v>-1.05477441247</v>
      </c>
      <c r="AH1012">
        <v>23.492188438277999</v>
      </c>
      <c r="AI1012">
        <v>92.568749235172504</v>
      </c>
      <c r="AJ1012">
        <v>92.286514319791095</v>
      </c>
      <c r="AK1012">
        <v>23.534555892988301</v>
      </c>
    </row>
    <row r="1013" spans="1:37" x14ac:dyDescent="0.2">
      <c r="A1013" t="str">
        <f>"20200111155519088"</f>
        <v>20200111155519088</v>
      </c>
      <c r="B1013" t="str">
        <f>"1578729319083748"</f>
        <v>1578729319083748</v>
      </c>
      <c r="C1013" t="s">
        <v>37</v>
      </c>
      <c r="D1013">
        <v>4.8279439999999996</v>
      </c>
      <c r="E1013">
        <v>0.53309269999999997</v>
      </c>
      <c r="F1013" t="s">
        <v>38</v>
      </c>
      <c r="G1013">
        <v>-275.09609999999998</v>
      </c>
      <c r="H1013" s="1">
        <v>-2.38455299999999E-6</v>
      </c>
      <c r="I1013">
        <v>367.93369999999999</v>
      </c>
      <c r="J1013">
        <v>-298.39879999999999</v>
      </c>
      <c r="K1013">
        <v>1.0547709999999999</v>
      </c>
      <c r="L1013">
        <v>367.12709999999998</v>
      </c>
      <c r="M1013">
        <v>0.99988809999999995</v>
      </c>
      <c r="N1013">
        <v>0</v>
      </c>
      <c r="O1013">
        <v>-4.5313630000000001E-3</v>
      </c>
      <c r="P1013">
        <v>0.99263699999999999</v>
      </c>
      <c r="Q1013">
        <v>6.4131850000000001E-3</v>
      </c>
      <c r="R1013">
        <v>0.1209573</v>
      </c>
      <c r="S1013">
        <v>3.010529</v>
      </c>
      <c r="T1013">
        <v>-0.1353145</v>
      </c>
      <c r="U1013">
        <v>0.1033936</v>
      </c>
      <c r="V1013">
        <v>-0.1254537</v>
      </c>
      <c r="W1013">
        <v>2.056436E-2</v>
      </c>
      <c r="X1013">
        <v>0.9918863</v>
      </c>
      <c r="Y1013">
        <v>-3.8808860000000001E-2</v>
      </c>
      <c r="Z1013">
        <v>1.075009E-3</v>
      </c>
      <c r="AA1013">
        <v>0.99924609999999903</v>
      </c>
      <c r="AB1013">
        <v>30</v>
      </c>
      <c r="AC1013">
        <v>23.302700000000002</v>
      </c>
      <c r="AD1013">
        <v>-1.0547733845529901</v>
      </c>
      <c r="AE1013">
        <v>0.80660000000000298</v>
      </c>
      <c r="AF1013">
        <v>-0.91033255824023596</v>
      </c>
      <c r="AG1013">
        <v>-1.0547733845529901</v>
      </c>
      <c r="AH1013">
        <v>23.251224552337199</v>
      </c>
      <c r="AI1013">
        <v>92.595411148348504</v>
      </c>
      <c r="AJ1013">
        <v>92.242100717175205</v>
      </c>
      <c r="AK1013">
        <v>23.292932306658201</v>
      </c>
    </row>
    <row r="1014" spans="1:37" x14ac:dyDescent="0.2">
      <c r="A1014" t="str">
        <f>"20200111155519100"</f>
        <v>20200111155519100</v>
      </c>
      <c r="B1014" t="str">
        <f>"1578729319093508"</f>
        <v>1578729319093508</v>
      </c>
      <c r="C1014" t="s">
        <v>37</v>
      </c>
      <c r="D1014">
        <v>4.7927669999999898</v>
      </c>
      <c r="E1014">
        <v>0.533196</v>
      </c>
      <c r="F1014" t="s">
        <v>38</v>
      </c>
      <c r="G1014">
        <v>-274.98880000000003</v>
      </c>
      <c r="H1014" s="1">
        <v>-2.4322249999999998E-6</v>
      </c>
      <c r="I1014">
        <v>367.92430000000002</v>
      </c>
      <c r="J1014">
        <v>-298.24180000000001</v>
      </c>
      <c r="K1014">
        <v>1.0547660000000001</v>
      </c>
      <c r="L1014">
        <v>367.12630000000001</v>
      </c>
      <c r="M1014">
        <v>0.99988809999999995</v>
      </c>
      <c r="N1014">
        <v>0</v>
      </c>
      <c r="O1014">
        <v>-4.5313469999999998E-3</v>
      </c>
      <c r="P1014">
        <v>0.9926355</v>
      </c>
      <c r="Q1014">
        <v>6.3017169999999897E-3</v>
      </c>
      <c r="R1014">
        <v>0.1209754</v>
      </c>
      <c r="S1014">
        <v>3.0106809999999999</v>
      </c>
      <c r="T1014">
        <v>-0.13565050000000001</v>
      </c>
      <c r="U1014">
        <v>0.10253909999999999</v>
      </c>
      <c r="V1014">
        <v>-0.12547149999999899</v>
      </c>
      <c r="W1014">
        <v>2.045042E-2</v>
      </c>
      <c r="X1014">
        <v>0.99188639999999995</v>
      </c>
      <c r="Y1014">
        <v>-3.8523889999999998E-2</v>
      </c>
      <c r="Z1014">
        <v>1.0712110000000001E-3</v>
      </c>
      <c r="AA1014">
        <v>0.99925710000000001</v>
      </c>
      <c r="AB1014">
        <v>30</v>
      </c>
      <c r="AC1014">
        <v>23.252999999999901</v>
      </c>
      <c r="AD1014">
        <v>-1.0547684322249999</v>
      </c>
      <c r="AE1014">
        <v>0.79800000000000104</v>
      </c>
      <c r="AF1014">
        <v>-0.90151716755868805</v>
      </c>
      <c r="AG1014">
        <v>-1.0547684322249999</v>
      </c>
      <c r="AH1014">
        <v>23.201462183878899</v>
      </c>
      <c r="AI1014">
        <v>92.600987880001398</v>
      </c>
      <c r="AJ1014">
        <v>92.225168258923901</v>
      </c>
      <c r="AK1014">
        <v>23.242915417799502</v>
      </c>
    </row>
    <row r="1015" spans="1:37" x14ac:dyDescent="0.2">
      <c r="A1015" t="str">
        <f>"20200111155519112"</f>
        <v>20200111155519112</v>
      </c>
      <c r="B1015" t="str">
        <f>"1578729319103268"</f>
        <v>1578729319103268</v>
      </c>
      <c r="C1015" t="s">
        <v>37</v>
      </c>
      <c r="D1015">
        <v>4.7771119999999998</v>
      </c>
      <c r="E1015">
        <v>0.53330129999999998</v>
      </c>
      <c r="F1015" t="s">
        <v>38</v>
      </c>
      <c r="G1015">
        <v>-274.9803</v>
      </c>
      <c r="H1015" s="1">
        <v>-2.4377680000000002E-6</v>
      </c>
      <c r="I1015">
        <v>367.91359999999997</v>
      </c>
      <c r="J1015">
        <v>-298.07990000000001</v>
      </c>
      <c r="K1015">
        <v>1.0547660000000001</v>
      </c>
      <c r="L1015">
        <v>367.12560000000002</v>
      </c>
      <c r="M1015">
        <v>0.9998882</v>
      </c>
      <c r="N1015">
        <v>0</v>
      </c>
      <c r="O1015">
        <v>-4.53133099999999E-3</v>
      </c>
      <c r="P1015">
        <v>0.99265609999999904</v>
      </c>
      <c r="Q1015">
        <v>6.3694190000000003E-3</v>
      </c>
      <c r="R1015">
        <v>0.1208029</v>
      </c>
      <c r="S1015">
        <v>3.0106809999999999</v>
      </c>
      <c r="T1015">
        <v>-0.1365162</v>
      </c>
      <c r="U1015">
        <v>0.10189819999999999</v>
      </c>
      <c r="V1015">
        <v>-0.1252992</v>
      </c>
      <c r="W1015">
        <v>2.0516690000000001E-2</v>
      </c>
      <c r="X1015">
        <v>0.99190679999999998</v>
      </c>
      <c r="Y1015">
        <v>-3.8311079999999997E-2</v>
      </c>
      <c r="Z1015">
        <v>1.073222E-3</v>
      </c>
      <c r="AA1015">
        <v>0.99926530000000002</v>
      </c>
      <c r="AB1015">
        <v>30</v>
      </c>
      <c r="AC1015">
        <v>23.099599999999999</v>
      </c>
      <c r="AD1015">
        <v>-1.054768437768</v>
      </c>
      <c r="AE1015">
        <v>0.78799999999995396</v>
      </c>
      <c r="AF1015">
        <v>-0.890819274396768</v>
      </c>
      <c r="AG1015">
        <v>-1.054768437768</v>
      </c>
      <c r="AH1015">
        <v>23.047793035999501</v>
      </c>
      <c r="AI1015">
        <v>92.618326450035894</v>
      </c>
      <c r="AJ1015">
        <v>92.213434976518002</v>
      </c>
      <c r="AK1015">
        <v>23.089106939576801</v>
      </c>
    </row>
    <row r="1016" spans="1:37" x14ac:dyDescent="0.2">
      <c r="A1016" t="str">
        <f>"20200111155519125"</f>
        <v>20200111155519125</v>
      </c>
      <c r="B1016" t="str">
        <f>"1578729319123765"</f>
        <v>1578729319123765</v>
      </c>
      <c r="C1016" t="s">
        <v>37</v>
      </c>
      <c r="D1016">
        <v>4.7257389999999999</v>
      </c>
      <c r="E1016">
        <v>0.5335628</v>
      </c>
      <c r="F1016" t="s">
        <v>38</v>
      </c>
      <c r="G1016">
        <v>-274.863</v>
      </c>
      <c r="H1016" s="1">
        <v>-2.4906969999999998E-6</v>
      </c>
      <c r="I1016">
        <v>367.89909999999998</v>
      </c>
      <c r="J1016">
        <v>-297.90550000000002</v>
      </c>
      <c r="K1016">
        <v>1.054767</v>
      </c>
      <c r="L1016">
        <v>367.12479999999999</v>
      </c>
      <c r="M1016">
        <v>0.9998882</v>
      </c>
      <c r="N1016">
        <v>0</v>
      </c>
      <c r="O1016">
        <v>-4.5313139999999998E-3</v>
      </c>
      <c r="P1016">
        <v>0.99268729999999905</v>
      </c>
      <c r="Q1016">
        <v>6.2835709999999999E-3</v>
      </c>
      <c r="R1016">
        <v>0.1205507</v>
      </c>
      <c r="S1016">
        <v>3.010834</v>
      </c>
      <c r="T1016">
        <v>-0.1367845</v>
      </c>
      <c r="U1016">
        <v>0.10031130000000001</v>
      </c>
      <c r="V1016">
        <v>-0.1250473</v>
      </c>
      <c r="W1016">
        <v>2.0428970000000001E-2</v>
      </c>
      <c r="X1016">
        <v>0.99194040000000006</v>
      </c>
      <c r="Y1016">
        <v>-3.7783619999999997E-2</v>
      </c>
      <c r="Z1016">
        <v>1.0633120000000001E-3</v>
      </c>
      <c r="AA1016">
        <v>0.99928539999999999</v>
      </c>
      <c r="AB1016">
        <v>30</v>
      </c>
      <c r="AC1016">
        <v>23.0425</v>
      </c>
      <c r="AD1016">
        <v>-1.054769490697</v>
      </c>
      <c r="AE1016">
        <v>0.774299999999982</v>
      </c>
      <c r="AF1016">
        <v>-0.87688015855434898</v>
      </c>
      <c r="AG1016">
        <v>-1.054769490697</v>
      </c>
      <c r="AH1016">
        <v>22.9906354131965</v>
      </c>
      <c r="AI1016">
        <v>92.624880736816607</v>
      </c>
      <c r="AJ1016">
        <v>92.184245461622794</v>
      </c>
      <c r="AK1016">
        <v>23.031516975516301</v>
      </c>
    </row>
    <row r="1017" spans="1:37" x14ac:dyDescent="0.2">
      <c r="A1017" t="str">
        <f>"20200111155519139"</f>
        <v>20200111155519139</v>
      </c>
      <c r="B1017" t="str">
        <f>"1578729319133529"</f>
        <v>1578729319133529</v>
      </c>
      <c r="C1017" t="s">
        <v>37</v>
      </c>
      <c r="D1017">
        <v>4.7032619999999996</v>
      </c>
      <c r="E1017">
        <v>0.53366999999999998</v>
      </c>
      <c r="F1017" t="s">
        <v>38</v>
      </c>
      <c r="G1017">
        <v>-274.83940000000001</v>
      </c>
      <c r="H1017" s="1">
        <v>-2.505516E-6</v>
      </c>
      <c r="I1017">
        <v>367.87259999999998</v>
      </c>
      <c r="J1017">
        <v>-297.71839999999997</v>
      </c>
      <c r="K1017">
        <v>1.054765</v>
      </c>
      <c r="L1017">
        <v>367.12400000000002</v>
      </c>
      <c r="M1017">
        <v>0.9998882</v>
      </c>
      <c r="N1017">
        <v>0</v>
      </c>
      <c r="O1017">
        <v>-4.5312959999999998E-3</v>
      </c>
      <c r="P1017">
        <v>0.99275709999999995</v>
      </c>
      <c r="Q1017">
        <v>6.4061639999999998E-3</v>
      </c>
      <c r="R1017">
        <v>0.11996660000000001</v>
      </c>
      <c r="S1017">
        <v>3.0110779999999999</v>
      </c>
      <c r="T1017">
        <v>-0.1376898</v>
      </c>
      <c r="U1017">
        <v>9.7625729999999994E-2</v>
      </c>
      <c r="V1017">
        <v>-0.1244633</v>
      </c>
      <c r="W1017">
        <v>2.0549580000000001E-2</v>
      </c>
      <c r="X1017">
        <v>0.99201139999999999</v>
      </c>
      <c r="Y1017">
        <v>-3.689096E-2</v>
      </c>
      <c r="Z1017">
        <v>1.0498770000000001E-3</v>
      </c>
      <c r="AA1017">
        <v>0.9993187</v>
      </c>
      <c r="AB1017">
        <v>30</v>
      </c>
      <c r="AC1017">
        <v>22.878999999999898</v>
      </c>
      <c r="AD1017">
        <v>-1.054767505516</v>
      </c>
      <c r="AE1017">
        <v>0.74859999999995297</v>
      </c>
      <c r="AF1017">
        <v>-0.85046871351860698</v>
      </c>
      <c r="AG1017">
        <v>-1.054767505516</v>
      </c>
      <c r="AH1017">
        <v>22.8269083117866</v>
      </c>
      <c r="AI1017">
        <v>92.643764037867399</v>
      </c>
      <c r="AJ1017">
        <v>92.133698498590306</v>
      </c>
      <c r="AK1017">
        <v>22.867084960660801</v>
      </c>
    </row>
    <row r="1018" spans="1:37" x14ac:dyDescent="0.2">
      <c r="A1018" t="str">
        <f>"20200111155519151"</f>
        <v>20200111155519151</v>
      </c>
      <c r="B1018" t="str">
        <f>"1578729319143290"</f>
        <v>1578729319143290</v>
      </c>
      <c r="C1018" t="s">
        <v>37</v>
      </c>
      <c r="D1018">
        <v>4.6680299999999999</v>
      </c>
      <c r="E1018">
        <v>0.53377479999999999</v>
      </c>
      <c r="F1018" t="s">
        <v>38</v>
      </c>
      <c r="G1018">
        <v>-274.65179999999998</v>
      </c>
      <c r="H1018" s="1">
        <v>-2.5900269999999999E-6</v>
      </c>
      <c r="I1018">
        <v>367.84980000000002</v>
      </c>
      <c r="J1018">
        <v>-297.56369999999998</v>
      </c>
      <c r="K1018">
        <v>1.05477</v>
      </c>
      <c r="L1018">
        <v>367.1232</v>
      </c>
      <c r="M1018">
        <v>0.9998882</v>
      </c>
      <c r="N1018">
        <v>0</v>
      </c>
      <c r="O1018">
        <v>-4.5312809999999999E-3</v>
      </c>
      <c r="P1018">
        <v>0.99278690000000003</v>
      </c>
      <c r="Q1018">
        <v>6.2065189999999998E-3</v>
      </c>
      <c r="R1018">
        <v>0.119731399999999</v>
      </c>
      <c r="S1018">
        <v>3.0113219999999998</v>
      </c>
      <c r="T1018">
        <v>-0.1376985</v>
      </c>
      <c r="U1018">
        <v>9.4757079999999994E-2</v>
      </c>
      <c r="V1018">
        <v>-0.1242287</v>
      </c>
      <c r="W1018">
        <v>2.0348399999999999E-2</v>
      </c>
      <c r="X1018">
        <v>0.99204490000000001</v>
      </c>
      <c r="Y1018">
        <v>-3.5938299999999999E-2</v>
      </c>
      <c r="Z1018">
        <v>1.028108E-3</v>
      </c>
      <c r="AA1018">
        <v>0.99935350000000001</v>
      </c>
      <c r="AB1018">
        <v>30</v>
      </c>
      <c r="AC1018">
        <v>22.911899999999999</v>
      </c>
      <c r="AD1018">
        <v>-1.054772590027</v>
      </c>
      <c r="AE1018">
        <v>0.72660000000001901</v>
      </c>
      <c r="AF1018">
        <v>-0.82866889258731602</v>
      </c>
      <c r="AG1018">
        <v>-1.054772590027</v>
      </c>
      <c r="AH1018">
        <v>22.859973164939099</v>
      </c>
      <c r="AI1018">
        <v>92.6400556859886</v>
      </c>
      <c r="AJ1018">
        <v>92.076050114479202</v>
      </c>
      <c r="AK1018">
        <v>22.899292793707598</v>
      </c>
    </row>
    <row r="1019" spans="1:37" x14ac:dyDescent="0.2">
      <c r="A1019" t="str">
        <f>"20200111155519161"</f>
        <v>20200111155519161</v>
      </c>
      <c r="B1019" t="str">
        <f>"1578729319153050"</f>
        <v>1578729319153050</v>
      </c>
      <c r="C1019" t="s">
        <v>37</v>
      </c>
      <c r="D1019">
        <v>4.681794</v>
      </c>
      <c r="E1019">
        <v>0.5338714</v>
      </c>
      <c r="F1019" t="s">
        <v>38</v>
      </c>
      <c r="G1019">
        <v>-274.63060000000002</v>
      </c>
      <c r="H1019" s="1">
        <v>-2.6019099999999999E-6</v>
      </c>
      <c r="I1019">
        <v>367.83409999999998</v>
      </c>
      <c r="J1019">
        <v>-297.42</v>
      </c>
      <c r="K1019">
        <v>1.0547709999999999</v>
      </c>
      <c r="L1019">
        <v>367.12259999999998</v>
      </c>
      <c r="M1019">
        <v>0.99988829999999995</v>
      </c>
      <c r="N1019">
        <v>0</v>
      </c>
      <c r="O1019">
        <v>-4.5310289999999998E-3</v>
      </c>
      <c r="P1019">
        <v>0.99281980000000003</v>
      </c>
      <c r="Q1019">
        <v>6.0543940000000003E-3</v>
      </c>
      <c r="R1019">
        <v>0.11946660000000001</v>
      </c>
      <c r="S1019">
        <v>3.0113829999999999</v>
      </c>
      <c r="T1019">
        <v>-0.1385036</v>
      </c>
      <c r="U1019">
        <v>9.3353270000000002E-2</v>
      </c>
      <c r="V1019">
        <v>-0.1239637</v>
      </c>
      <c r="W1019">
        <v>2.019489E-2</v>
      </c>
      <c r="X1019">
        <v>0.9920812</v>
      </c>
      <c r="Y1019">
        <v>-3.5471990000000002E-2</v>
      </c>
      <c r="Z1019">
        <v>1.0233729999999999E-3</v>
      </c>
      <c r="AA1019">
        <v>0.99937019999999999</v>
      </c>
      <c r="AB1019">
        <v>30</v>
      </c>
      <c r="AC1019">
        <v>22.789400000000001</v>
      </c>
      <c r="AD1019">
        <v>-1.05477360190999</v>
      </c>
      <c r="AE1019">
        <v>0.71150000000000002</v>
      </c>
      <c r="AF1019">
        <v>-0.81302267025118202</v>
      </c>
      <c r="AG1019">
        <v>-1.05477360190999</v>
      </c>
      <c r="AH1019">
        <v>22.737282303132002</v>
      </c>
      <c r="AI1019">
        <v>92.654330646884304</v>
      </c>
      <c r="AJ1019">
        <v>92.047866977724794</v>
      </c>
      <c r="AK1019">
        <v>22.7762499052401</v>
      </c>
    </row>
    <row r="1020" spans="1:37" x14ac:dyDescent="0.2">
      <c r="A1020" t="str">
        <f>"20200111155519174"</f>
        <v>20200111155519174</v>
      </c>
      <c r="B1020" t="str">
        <f>"1578729319163785"</f>
        <v>1578729319163785</v>
      </c>
      <c r="C1020" t="s">
        <v>37</v>
      </c>
      <c r="D1020">
        <v>4.9545149999999998</v>
      </c>
      <c r="E1020">
        <v>0.53390740000000003</v>
      </c>
      <c r="F1020" t="s">
        <v>38</v>
      </c>
      <c r="G1020">
        <v>-274.61250000000001</v>
      </c>
      <c r="H1020" s="1">
        <v>-2.6125599999999902E-6</v>
      </c>
      <c r="I1020">
        <v>367.8177</v>
      </c>
      <c r="J1020">
        <v>-297.26429999999999</v>
      </c>
      <c r="K1020">
        <v>1.0547690000000001</v>
      </c>
      <c r="L1020">
        <v>367.12189999999998</v>
      </c>
      <c r="M1020">
        <v>0.99988840000000001</v>
      </c>
      <c r="N1020">
        <v>0</v>
      </c>
      <c r="O1020">
        <v>-4.5312540000000002E-3</v>
      </c>
      <c r="P1020">
        <v>0.99285569999999901</v>
      </c>
      <c r="Q1020">
        <v>6.3077699999999999E-3</v>
      </c>
      <c r="R1020">
        <v>0.1191557</v>
      </c>
      <c r="S1020">
        <v>3.0114749999999999</v>
      </c>
      <c r="T1020">
        <v>-0.13927039999999999</v>
      </c>
      <c r="U1020">
        <v>9.1796879999999997E-2</v>
      </c>
      <c r="V1020">
        <v>-0.1236527</v>
      </c>
      <c r="W1020">
        <v>2.0447090000000001E-2</v>
      </c>
      <c r="X1020">
        <v>0.99211479999999996</v>
      </c>
      <c r="Y1020">
        <v>-3.4955340000000001E-2</v>
      </c>
      <c r="Z1020">
        <v>1.0170819999999899E-3</v>
      </c>
      <c r="AA1020">
        <v>0.99938830000000001</v>
      </c>
      <c r="AB1020">
        <v>30</v>
      </c>
      <c r="AC1020">
        <v>22.651799999999898</v>
      </c>
      <c r="AD1020">
        <v>-1.05477161256</v>
      </c>
      <c r="AE1020">
        <v>0.69580000000001896</v>
      </c>
      <c r="AF1020">
        <v>-0.79671845205653502</v>
      </c>
      <c r="AG1020">
        <v>-1.05477161256</v>
      </c>
      <c r="AH1020">
        <v>22.599458920084601</v>
      </c>
      <c r="AI1020">
        <v>92.670537358787399</v>
      </c>
      <c r="AJ1020">
        <v>92.019061950894198</v>
      </c>
      <c r="AK1020">
        <v>22.638083994170099</v>
      </c>
    </row>
    <row r="1021" spans="1:37" x14ac:dyDescent="0.2">
      <c r="A1021" t="str">
        <f>"20200111155519186"</f>
        <v>20200111155519186</v>
      </c>
      <c r="B1021" t="str">
        <f>"1578729319183306"</f>
        <v>1578729319183306</v>
      </c>
      <c r="C1021" t="s">
        <v>37</v>
      </c>
      <c r="D1021">
        <v>4.6232739999999897</v>
      </c>
      <c r="E1021">
        <v>0.53408239999999996</v>
      </c>
      <c r="F1021" t="s">
        <v>38</v>
      </c>
      <c r="G1021">
        <v>-274.3211</v>
      </c>
      <c r="H1021" s="1">
        <v>-2.7385129999999998E-6</v>
      </c>
      <c r="I1021">
        <v>367.81259999999997</v>
      </c>
      <c r="J1021">
        <v>-297.10449999999997</v>
      </c>
      <c r="K1021">
        <v>1.054767</v>
      </c>
      <c r="L1021">
        <v>367.12119999999999</v>
      </c>
      <c r="M1021">
        <v>0.99988829999999995</v>
      </c>
      <c r="N1021">
        <v>0</v>
      </c>
      <c r="O1021">
        <v>-4.5310000000000003E-3</v>
      </c>
      <c r="P1021">
        <v>0.99289380000000005</v>
      </c>
      <c r="Q1021">
        <v>6.5180319999999896E-3</v>
      </c>
      <c r="R1021">
        <v>0.11882619999999899</v>
      </c>
      <c r="S1021">
        <v>3.0115660000000002</v>
      </c>
      <c r="T1021">
        <v>-0.13845060000000001</v>
      </c>
      <c r="U1021">
        <v>9.0667719999999993E-2</v>
      </c>
      <c r="V1021">
        <v>-0.1233239</v>
      </c>
      <c r="W1021">
        <v>2.0655420000000001E-2</v>
      </c>
      <c r="X1021">
        <v>0.99215149999999996</v>
      </c>
      <c r="Y1021">
        <v>-3.4580689999999997E-2</v>
      </c>
      <c r="Z1021">
        <v>1.0024599999999999E-3</v>
      </c>
      <c r="AA1021">
        <v>0.9994014</v>
      </c>
      <c r="AB1021">
        <v>30</v>
      </c>
      <c r="AC1021">
        <v>22.783399999999901</v>
      </c>
      <c r="AD1021">
        <v>-1.0547697385129999</v>
      </c>
      <c r="AE1021">
        <v>0.69139999999998702</v>
      </c>
      <c r="AF1021">
        <v>-0.79293703909107005</v>
      </c>
      <c r="AG1021">
        <v>-1.0547697385129999</v>
      </c>
      <c r="AH1021">
        <v>22.731358262886001</v>
      </c>
      <c r="AI1021">
        <v>92.655093462649802</v>
      </c>
      <c r="AJ1021">
        <v>91.997836256142506</v>
      </c>
      <c r="AK1021">
        <v>22.769627507381902</v>
      </c>
    </row>
    <row r="1022" spans="1:37" x14ac:dyDescent="0.2">
      <c r="A1022" t="str">
        <f>"20200111155519196"</f>
        <v>20200111155519196</v>
      </c>
      <c r="B1022" t="str">
        <f>"1578729319193066"</f>
        <v>1578729319193066</v>
      </c>
      <c r="C1022" t="s">
        <v>37</v>
      </c>
      <c r="D1022">
        <v>4.62601</v>
      </c>
      <c r="E1022">
        <v>0.53414569999999995</v>
      </c>
      <c r="F1022" t="s">
        <v>38</v>
      </c>
      <c r="G1022">
        <v>-274.02730000000003</v>
      </c>
      <c r="H1022" s="1">
        <v>-2.8676580000000002E-6</v>
      </c>
      <c r="I1022">
        <v>367.79500000000002</v>
      </c>
      <c r="J1022">
        <v>-296.95209999999997</v>
      </c>
      <c r="K1022">
        <v>1.054767</v>
      </c>
      <c r="L1022">
        <v>367.12049999999999</v>
      </c>
      <c r="M1022">
        <v>0.99988829999999995</v>
      </c>
      <c r="N1022">
        <v>0</v>
      </c>
      <c r="O1022">
        <v>-4.5309870000000002E-3</v>
      </c>
      <c r="P1022">
        <v>0.99291549999999995</v>
      </c>
      <c r="Q1022">
        <v>6.7725349999999997E-3</v>
      </c>
      <c r="R1022">
        <v>0.11862929999999999</v>
      </c>
      <c r="S1022">
        <v>3.011841</v>
      </c>
      <c r="T1022">
        <v>-0.13765910000000001</v>
      </c>
      <c r="U1022">
        <v>8.7951660000000001E-2</v>
      </c>
      <c r="V1022">
        <v>-0.1231269</v>
      </c>
      <c r="W1022">
        <v>2.0908570000000001E-2</v>
      </c>
      <c r="X1022">
        <v>0.99217060000000001</v>
      </c>
      <c r="Y1022">
        <v>-3.367887E-2</v>
      </c>
      <c r="Z1022">
        <v>9.7606210000000001E-4</v>
      </c>
      <c r="AA1022">
        <v>0.99943219999999999</v>
      </c>
      <c r="AB1022">
        <v>30</v>
      </c>
      <c r="AC1022">
        <v>22.924799999999902</v>
      </c>
      <c r="AD1022">
        <v>-1.054769867658</v>
      </c>
      <c r="AE1022">
        <v>0.67450000000002297</v>
      </c>
      <c r="AF1022">
        <v>-0.77673272448444297</v>
      </c>
      <c r="AG1022">
        <v>-1.054769867658</v>
      </c>
      <c r="AH1022">
        <v>22.8731294780486</v>
      </c>
      <c r="AI1022">
        <v>92.638744198543606</v>
      </c>
      <c r="AJ1022">
        <v>91.944920223537807</v>
      </c>
      <c r="AK1022">
        <v>22.9106068299943</v>
      </c>
    </row>
    <row r="1023" spans="1:37" x14ac:dyDescent="0.2">
      <c r="A1023" t="str">
        <f>"20200111155519207"</f>
        <v>20200111155519207</v>
      </c>
      <c r="B1023" t="str">
        <f>"1578729319203802"</f>
        <v>1578729319203802</v>
      </c>
      <c r="C1023" t="s">
        <v>37</v>
      </c>
      <c r="D1023">
        <v>4.5887479999999998</v>
      </c>
      <c r="E1023">
        <v>0.53421940000000001</v>
      </c>
      <c r="F1023" t="s">
        <v>38</v>
      </c>
      <c r="G1023">
        <v>-273.78219999999999</v>
      </c>
      <c r="H1023" s="1">
        <v>-2.9737119999999999E-6</v>
      </c>
      <c r="I1023">
        <v>367.78980000000001</v>
      </c>
      <c r="J1023">
        <v>-296.81200000000001</v>
      </c>
      <c r="K1023">
        <v>1.0547660000000001</v>
      </c>
      <c r="L1023">
        <v>367.11989999999997</v>
      </c>
      <c r="M1023">
        <v>0.99988840000000001</v>
      </c>
      <c r="N1023">
        <v>0</v>
      </c>
      <c r="O1023">
        <v>-4.5309740000000001E-3</v>
      </c>
      <c r="P1023">
        <v>0.99293869999999895</v>
      </c>
      <c r="Q1023">
        <v>6.8214340000000004E-3</v>
      </c>
      <c r="R1023">
        <v>0.11843279999999901</v>
      </c>
      <c r="S1023">
        <v>3.0119319999999998</v>
      </c>
      <c r="T1023">
        <v>-0.13711279999999901</v>
      </c>
      <c r="U1023">
        <v>8.7005620000000006E-2</v>
      </c>
      <c r="V1023">
        <v>-0.122930399999999</v>
      </c>
      <c r="W1023">
        <v>2.095576E-2</v>
      </c>
      <c r="X1023">
        <v>0.99219400000000002</v>
      </c>
      <c r="Y1023">
        <v>-3.3364959999999999E-2</v>
      </c>
      <c r="Z1023">
        <v>9.6502739999999995E-4</v>
      </c>
      <c r="AA1023">
        <v>0.99944279999999996</v>
      </c>
      <c r="AB1023">
        <v>30</v>
      </c>
      <c r="AC1023">
        <v>23.029800000000002</v>
      </c>
      <c r="AD1023">
        <v>-1.0547689737119901</v>
      </c>
      <c r="AE1023">
        <v>0.66990000000004102</v>
      </c>
      <c r="AF1023">
        <v>-0.77263177634514202</v>
      </c>
      <c r="AG1023">
        <v>-1.0547689737119901</v>
      </c>
      <c r="AH1023">
        <v>22.978367974274299</v>
      </c>
      <c r="AI1023">
        <v>92.6267033404458</v>
      </c>
      <c r="AJ1023">
        <v>91.925805523164001</v>
      </c>
      <c r="AK1023">
        <v>23.015535887979699</v>
      </c>
    </row>
    <row r="1024" spans="1:37" x14ac:dyDescent="0.2">
      <c r="A1024" t="str">
        <f>"20200111155519219"</f>
        <v>20200111155519219</v>
      </c>
      <c r="B1024" t="str">
        <f>"1578729319213562"</f>
        <v>1578729319213562</v>
      </c>
      <c r="C1024" t="s">
        <v>37</v>
      </c>
      <c r="D1024">
        <v>4.653486</v>
      </c>
      <c r="E1024">
        <v>0.5343135</v>
      </c>
      <c r="F1024" t="s">
        <v>38</v>
      </c>
      <c r="G1024">
        <v>-273.642</v>
      </c>
      <c r="H1024" s="1">
        <v>-3.035341E-6</v>
      </c>
      <c r="I1024">
        <v>367.78160000000003</v>
      </c>
      <c r="J1024">
        <v>-296.65960000000001</v>
      </c>
      <c r="K1024">
        <v>1.0547660000000001</v>
      </c>
      <c r="L1024">
        <v>367.11919999999998</v>
      </c>
      <c r="M1024">
        <v>0.99988849999999996</v>
      </c>
      <c r="N1024">
        <v>0</v>
      </c>
      <c r="O1024">
        <v>-4.530961E-3</v>
      </c>
      <c r="P1024">
        <v>0.99295460000000002</v>
      </c>
      <c r="Q1024">
        <v>6.5955569999999897E-3</v>
      </c>
      <c r="R1024">
        <v>0.1183133</v>
      </c>
      <c r="S1024">
        <v>3.0119929999999999</v>
      </c>
      <c r="T1024">
        <v>-0.13711400000000001</v>
      </c>
      <c r="U1024">
        <v>8.6029049999999996E-2</v>
      </c>
      <c r="V1024">
        <v>-0.1228108</v>
      </c>
      <c r="W1024">
        <v>2.0728839999999998E-2</v>
      </c>
      <c r="X1024">
        <v>0.99221360000000003</v>
      </c>
      <c r="Y1024">
        <v>-3.3040920000000001E-2</v>
      </c>
      <c r="Z1024">
        <v>9.5764989999999996E-4</v>
      </c>
      <c r="AA1024">
        <v>0.99945349999999999</v>
      </c>
      <c r="AB1024">
        <v>30</v>
      </c>
      <c r="AC1024">
        <v>23.017600000000002</v>
      </c>
      <c r="AD1024">
        <v>-1.054769035341</v>
      </c>
      <c r="AE1024">
        <v>0.66240000000004695</v>
      </c>
      <c r="AF1024">
        <v>-0.76509033689915296</v>
      </c>
      <c r="AG1024">
        <v>-1.054769035341</v>
      </c>
      <c r="AH1024">
        <v>22.966175739813</v>
      </c>
      <c r="AI1024">
        <v>92.628123242611494</v>
      </c>
      <c r="AJ1024">
        <v>91.908033877687203</v>
      </c>
      <c r="AK1024">
        <v>23.003111290725499</v>
      </c>
    </row>
    <row r="1025" spans="1:37" x14ac:dyDescent="0.2">
      <c r="A1025" t="str">
        <f>"20200111155519231"</f>
        <v>20200111155519231</v>
      </c>
      <c r="B1025" t="str">
        <f>"1578729319223322"</f>
        <v>1578729319223322</v>
      </c>
      <c r="C1025" t="s">
        <v>37</v>
      </c>
      <c r="D1025">
        <v>4.5914989999999998</v>
      </c>
      <c r="E1025">
        <v>0.53438469999999905</v>
      </c>
      <c r="F1025" t="s">
        <v>38</v>
      </c>
      <c r="G1025">
        <v>-273.6302</v>
      </c>
      <c r="H1025" s="1">
        <v>-3.0430119999999998E-6</v>
      </c>
      <c r="I1025">
        <v>367.76679999999999</v>
      </c>
      <c r="J1025">
        <v>-296.49869999999999</v>
      </c>
      <c r="K1025">
        <v>1.054759</v>
      </c>
      <c r="L1025">
        <v>367.11849999999998</v>
      </c>
      <c r="M1025">
        <v>0.99988849999999996</v>
      </c>
      <c r="N1025">
        <v>0</v>
      </c>
      <c r="O1025">
        <v>-4.5309469999999996E-3</v>
      </c>
      <c r="P1025">
        <v>0.9929888</v>
      </c>
      <c r="Q1025">
        <v>6.700185E-3</v>
      </c>
      <c r="R1025">
        <v>0.1180208</v>
      </c>
      <c r="S1025">
        <v>3.0120849999999999</v>
      </c>
      <c r="T1025">
        <v>-0.13795579999999999</v>
      </c>
      <c r="U1025">
        <v>8.4716799999999995E-2</v>
      </c>
      <c r="V1025">
        <v>-0.12251819999999999</v>
      </c>
      <c r="W1025">
        <v>2.0831809999999999E-2</v>
      </c>
      <c r="X1025">
        <v>0.99224760000000001</v>
      </c>
      <c r="Y1025">
        <v>-3.2604939999999999E-2</v>
      </c>
      <c r="Z1025">
        <v>9.5352199999999897E-4</v>
      </c>
      <c r="AA1025">
        <v>0.99946780000000002</v>
      </c>
      <c r="AB1025">
        <v>30</v>
      </c>
      <c r="AC1025">
        <v>22.868499999999901</v>
      </c>
      <c r="AD1025">
        <v>-1.0547620430119999</v>
      </c>
      <c r="AE1025">
        <v>0.64830000000000598</v>
      </c>
      <c r="AF1025">
        <v>-0.75032489365800603</v>
      </c>
      <c r="AG1025">
        <v>-1.0547620430119999</v>
      </c>
      <c r="AH1025">
        <v>22.816827695685099</v>
      </c>
      <c r="AI1025">
        <v>92.645321287358001</v>
      </c>
      <c r="AJ1025">
        <v>91.883476686658597</v>
      </c>
      <c r="AK1025">
        <v>22.8535147517401</v>
      </c>
    </row>
    <row r="1026" spans="1:37" x14ac:dyDescent="0.2">
      <c r="A1026" t="str">
        <f>"20200111155519243"</f>
        <v>20200111155519243</v>
      </c>
      <c r="B1026" t="str">
        <f>"1578729319233082"</f>
        <v>1578729319233082</v>
      </c>
      <c r="C1026" t="s">
        <v>37</v>
      </c>
      <c r="D1026">
        <v>4.5862980000000002</v>
      </c>
      <c r="E1026">
        <v>0.53446419999999994</v>
      </c>
      <c r="F1026" t="s">
        <v>38</v>
      </c>
      <c r="G1026">
        <v>-273.43669999999997</v>
      </c>
      <c r="H1026" s="1">
        <v>-3.127896E-6</v>
      </c>
      <c r="I1026">
        <v>367.75630000000001</v>
      </c>
      <c r="J1026">
        <v>-296.34359999999998</v>
      </c>
      <c r="K1026">
        <v>1.0547580000000001</v>
      </c>
      <c r="L1026">
        <v>367.11770000000001</v>
      </c>
      <c r="M1026">
        <v>0.99988840000000001</v>
      </c>
      <c r="N1026">
        <v>0</v>
      </c>
      <c r="O1026">
        <v>-4.5308140000000002E-3</v>
      </c>
      <c r="P1026">
        <v>0.99299899999999997</v>
      </c>
      <c r="Q1026">
        <v>7.0529909999999998E-3</v>
      </c>
      <c r="R1026">
        <v>0.1179127</v>
      </c>
      <c r="S1026">
        <v>3.0122070000000001</v>
      </c>
      <c r="T1026">
        <v>-0.13776529999999901</v>
      </c>
      <c r="U1026">
        <v>8.3312990000000003E-2</v>
      </c>
      <c r="V1026">
        <v>-0.1224104</v>
      </c>
      <c r="W1026">
        <v>2.1182690000000001E-2</v>
      </c>
      <c r="X1026">
        <v>0.99225350000000001</v>
      </c>
      <c r="Y1026">
        <v>-3.2138840000000002E-2</v>
      </c>
      <c r="Z1026">
        <v>9.41517E-4</v>
      </c>
      <c r="AA1026">
        <v>0.99948300000000001</v>
      </c>
      <c r="AB1026">
        <v>30</v>
      </c>
      <c r="AC1026">
        <v>22.9069</v>
      </c>
      <c r="AD1026">
        <v>-1.0547611278960001</v>
      </c>
      <c r="AE1026">
        <v>0.63859999999999595</v>
      </c>
      <c r="AF1026">
        <v>-0.74082140017590004</v>
      </c>
      <c r="AG1026">
        <v>-1.0547611278960001</v>
      </c>
      <c r="AH1026">
        <v>22.8553510149092</v>
      </c>
      <c r="AI1026">
        <v>92.640907086265898</v>
      </c>
      <c r="AJ1026">
        <v>91.8565054589114</v>
      </c>
      <c r="AK1026">
        <v>22.891666767594501</v>
      </c>
    </row>
    <row r="1027" spans="1:37" x14ac:dyDescent="0.2">
      <c r="A1027" t="str">
        <f>"20200111155519256"</f>
        <v>20200111155519256</v>
      </c>
      <c r="B1027" t="str">
        <f>"1578729319253577"</f>
        <v>1578729319253577</v>
      </c>
      <c r="C1027" t="s">
        <v>37</v>
      </c>
      <c r="D1027">
        <v>4.5326810000000002</v>
      </c>
      <c r="E1027">
        <v>0.53461190000000003</v>
      </c>
      <c r="F1027" t="s">
        <v>38</v>
      </c>
      <c r="G1027">
        <v>-273.10739999999998</v>
      </c>
      <c r="H1027" s="1">
        <v>-3.269522E-6</v>
      </c>
      <c r="I1027">
        <v>367.75420000000003</v>
      </c>
      <c r="J1027">
        <v>-296.17169999999999</v>
      </c>
      <c r="K1027">
        <v>1.0547569999999999</v>
      </c>
      <c r="L1027">
        <v>367.116999999999</v>
      </c>
      <c r="M1027">
        <v>0.99988849999999996</v>
      </c>
      <c r="N1027">
        <v>0</v>
      </c>
      <c r="O1027">
        <v>-4.5309180000000001E-3</v>
      </c>
      <c r="P1027">
        <v>0.99301059999999997</v>
      </c>
      <c r="Q1027">
        <v>7.0836809999999997E-3</v>
      </c>
      <c r="R1027">
        <v>0.11781269999999899</v>
      </c>
      <c r="S1027">
        <v>3.0122990000000001</v>
      </c>
      <c r="T1027">
        <v>-0.13673679999999999</v>
      </c>
      <c r="U1027">
        <v>8.2519529999999994E-2</v>
      </c>
      <c r="V1027">
        <v>-0.1223105</v>
      </c>
      <c r="W1027">
        <v>2.1211770000000001E-2</v>
      </c>
      <c r="X1027">
        <v>0.99226519999999996</v>
      </c>
      <c r="Y1027">
        <v>-3.1875870000000001E-2</v>
      </c>
      <c r="Z1027">
        <v>9.2851119999999999E-4</v>
      </c>
      <c r="AA1027">
        <v>0.99949140000000003</v>
      </c>
      <c r="AB1027">
        <v>30</v>
      </c>
      <c r="AC1027">
        <v>23.064299999999999</v>
      </c>
      <c r="AD1027">
        <v>-1.054760269522</v>
      </c>
      <c r="AE1027">
        <v>0.63720000000006305</v>
      </c>
      <c r="AF1027">
        <v>-0.74015973698626503</v>
      </c>
      <c r="AG1027">
        <v>-1.054760269522</v>
      </c>
      <c r="AH1027">
        <v>23.013084077106299</v>
      </c>
      <c r="AI1027">
        <v>92.622850580011104</v>
      </c>
      <c r="AJ1027">
        <v>91.842144030064006</v>
      </c>
      <c r="AK1027">
        <v>23.049130014002301</v>
      </c>
    </row>
    <row r="1028" spans="1:37" x14ac:dyDescent="0.2">
      <c r="A1028" t="str">
        <f>"20200111155519269"</f>
        <v>20200111155519269</v>
      </c>
      <c r="B1028" t="str">
        <f>"1578729319263338"</f>
        <v>1578729319263338</v>
      </c>
      <c r="C1028" t="s">
        <v>37</v>
      </c>
      <c r="D1028">
        <v>4.799169</v>
      </c>
      <c r="E1028">
        <v>0.53469259999999996</v>
      </c>
      <c r="F1028" t="s">
        <v>38</v>
      </c>
      <c r="G1028">
        <v>-272.93020000000001</v>
      </c>
      <c r="H1028" s="1">
        <v>-3.348131E-6</v>
      </c>
      <c r="I1028">
        <v>367.73970000000003</v>
      </c>
      <c r="J1028">
        <v>-296.00839999999999</v>
      </c>
      <c r="K1028">
        <v>1.0547549999999899</v>
      </c>
      <c r="L1028">
        <v>367.11619999999999</v>
      </c>
      <c r="M1028">
        <v>0.99988849999999996</v>
      </c>
      <c r="N1028">
        <v>0</v>
      </c>
      <c r="O1028">
        <v>-4.5307849999999998E-3</v>
      </c>
      <c r="P1028">
        <v>0.99299559999999998</v>
      </c>
      <c r="Q1028">
        <v>7.214191E-3</v>
      </c>
      <c r="R1028">
        <v>0.1179311</v>
      </c>
      <c r="S1028">
        <v>3.0124819999999999</v>
      </c>
      <c r="T1028">
        <v>-0.1367139</v>
      </c>
      <c r="U1028">
        <v>8.0718990000000004E-2</v>
      </c>
      <c r="V1028">
        <v>-0.12242889999999999</v>
      </c>
      <c r="W1028">
        <v>2.134001E-2</v>
      </c>
      <c r="X1028">
        <v>0.99224780000000001</v>
      </c>
      <c r="Y1028">
        <v>-3.127775E-2</v>
      </c>
      <c r="Z1028">
        <v>9.1473779999999897E-4</v>
      </c>
      <c r="AA1028">
        <v>0.99951029999999996</v>
      </c>
      <c r="AB1028">
        <v>30</v>
      </c>
      <c r="AC1028">
        <v>23.078199999999899</v>
      </c>
      <c r="AD1028">
        <v>-1.0547583481309999</v>
      </c>
      <c r="AE1028">
        <v>0.62350000000003503</v>
      </c>
      <c r="AF1028">
        <v>-0.72655001889597803</v>
      </c>
      <c r="AG1028">
        <v>-1.0547583481309999</v>
      </c>
      <c r="AH1028">
        <v>23.0270733993794</v>
      </c>
      <c r="AI1028">
        <v>92.621305474423295</v>
      </c>
      <c r="AJ1028">
        <v>91.807196389229006</v>
      </c>
      <c r="AK1028">
        <v>23.062664621489802</v>
      </c>
    </row>
    <row r="1029" spans="1:37" x14ac:dyDescent="0.2">
      <c r="A1029" t="str">
        <f>"20200111155519281"</f>
        <v>20200111155519281</v>
      </c>
      <c r="B1029" t="str">
        <f>"1578729319274074"</f>
        <v>1578729319274074</v>
      </c>
      <c r="C1029" t="s">
        <v>37</v>
      </c>
      <c r="D1029">
        <v>4.714823</v>
      </c>
      <c r="E1029">
        <v>0.53477830000000004</v>
      </c>
      <c r="F1029" t="s">
        <v>38</v>
      </c>
      <c r="G1029">
        <v>-272.60759999999999</v>
      </c>
      <c r="H1029" s="1">
        <v>-3.486178E-6</v>
      </c>
      <c r="I1029">
        <v>367.74149999999997</v>
      </c>
      <c r="J1029">
        <v>-295.83179999999999</v>
      </c>
      <c r="K1029">
        <v>1.0547530000000001</v>
      </c>
      <c r="L1029">
        <v>367.11540000000002</v>
      </c>
      <c r="M1029">
        <v>0.99988849999999996</v>
      </c>
      <c r="N1029">
        <v>0</v>
      </c>
      <c r="O1029">
        <v>-4.5307699999999999E-3</v>
      </c>
      <c r="P1029">
        <v>0.99296969999999996</v>
      </c>
      <c r="Q1029">
        <v>7.3560379999999996E-3</v>
      </c>
      <c r="R1029">
        <v>0.1181405</v>
      </c>
      <c r="S1029">
        <v>3.0126040000000001</v>
      </c>
      <c r="T1029">
        <v>-0.1357884</v>
      </c>
      <c r="U1029">
        <v>8.0505370000000007E-2</v>
      </c>
      <c r="V1029">
        <v>-0.1226376</v>
      </c>
      <c r="W1029">
        <v>2.1479689999999999E-2</v>
      </c>
      <c r="X1029">
        <v>0.99221899999999996</v>
      </c>
      <c r="Y1029">
        <v>-3.1206399999999999E-2</v>
      </c>
      <c r="Z1029">
        <v>9.0690849999999995E-4</v>
      </c>
      <c r="AA1029">
        <v>0.99951259999999997</v>
      </c>
      <c r="AB1029">
        <v>30</v>
      </c>
      <c r="AC1029">
        <v>23.2242</v>
      </c>
      <c r="AD1029">
        <v>-1.0547564861780001</v>
      </c>
      <c r="AE1029">
        <v>0.62609999999995103</v>
      </c>
      <c r="AF1029">
        <v>-0.72982346654194896</v>
      </c>
      <c r="AG1029">
        <v>-1.0547564861780001</v>
      </c>
      <c r="AH1029">
        <v>23.173361049556199</v>
      </c>
      <c r="AI1029">
        <v>92.604780842541302</v>
      </c>
      <c r="AJ1029">
        <v>91.803881067755398</v>
      </c>
      <c r="AK1029">
        <v>23.2088305580126</v>
      </c>
    </row>
    <row r="1030" spans="1:37" x14ac:dyDescent="0.2">
      <c r="A1030" t="str">
        <f>"20200111155519295"</f>
        <v>20200111155519295</v>
      </c>
      <c r="B1030" t="str">
        <f>"1578729319293593"</f>
        <v>1578729319293593</v>
      </c>
      <c r="C1030" t="s">
        <v>37</v>
      </c>
      <c r="D1030">
        <v>4.586633</v>
      </c>
      <c r="E1030">
        <v>0.53493020000000002</v>
      </c>
      <c r="F1030" t="s">
        <v>38</v>
      </c>
      <c r="G1030">
        <v>-272.33150000000001</v>
      </c>
      <c r="H1030" s="1">
        <v>-3.6044580000000001E-6</v>
      </c>
      <c r="I1030">
        <v>367.74239999999998</v>
      </c>
      <c r="J1030">
        <v>-295.64519999999999</v>
      </c>
      <c r="K1030">
        <v>1.054759</v>
      </c>
      <c r="L1030">
        <v>367.1146</v>
      </c>
      <c r="M1030">
        <v>0.99988860000000002</v>
      </c>
      <c r="N1030">
        <v>0</v>
      </c>
      <c r="O1030">
        <v>-4.5307539999999997E-3</v>
      </c>
      <c r="P1030">
        <v>0.99294910000000003</v>
      </c>
      <c r="Q1030">
        <v>7.3876050000000002E-3</v>
      </c>
      <c r="R1030">
        <v>0.1183133</v>
      </c>
      <c r="S1030">
        <v>3.0126949999999999</v>
      </c>
      <c r="T1030">
        <v>-0.1352177</v>
      </c>
      <c r="U1030">
        <v>8.0383300000000005E-2</v>
      </c>
      <c r="V1030">
        <v>-0.1228112</v>
      </c>
      <c r="W1030">
        <v>2.1508289999999999E-2</v>
      </c>
      <c r="X1030">
        <v>0.992196999999999</v>
      </c>
      <c r="Y1030">
        <v>-3.1165450000000001E-2</v>
      </c>
      <c r="Z1030">
        <v>9.0215429999999995E-4</v>
      </c>
      <c r="AA1030">
        <v>0.99951380000000001</v>
      </c>
      <c r="AB1030">
        <v>30</v>
      </c>
      <c r="AC1030">
        <v>23.313699999999901</v>
      </c>
      <c r="AD1030">
        <v>-1.0547626044580001</v>
      </c>
      <c r="AE1030">
        <v>0.62779999999997904</v>
      </c>
      <c r="AF1030">
        <v>-0.731935797647564</v>
      </c>
      <c r="AG1030">
        <v>-1.0547626044580001</v>
      </c>
      <c r="AH1030">
        <v>23.263034415590901</v>
      </c>
      <c r="AI1030">
        <v>92.594771316595498</v>
      </c>
      <c r="AJ1030">
        <v>91.802129554093995</v>
      </c>
      <c r="AK1030">
        <v>23.298433947040401</v>
      </c>
    </row>
    <row r="1031" spans="1:37" x14ac:dyDescent="0.2">
      <c r="A1031" t="str">
        <f>"20200111155519307"</f>
        <v>20200111155519307</v>
      </c>
      <c r="B1031" t="str">
        <f>"1578729319303354"</f>
        <v>1578729319303354</v>
      </c>
      <c r="C1031" t="s">
        <v>37</v>
      </c>
      <c r="D1031">
        <v>4.5766540000000004</v>
      </c>
      <c r="E1031">
        <v>0.53500689999999995</v>
      </c>
      <c r="F1031" t="s">
        <v>38</v>
      </c>
      <c r="G1031">
        <v>-272.0609</v>
      </c>
      <c r="H1031" s="1">
        <v>-3.7215479999999999E-6</v>
      </c>
      <c r="I1031">
        <v>367.73689999999999</v>
      </c>
      <c r="J1031">
        <v>-295.49630000000002</v>
      </c>
      <c r="K1031">
        <v>1.0547580000000001</v>
      </c>
      <c r="L1031">
        <v>367.1139</v>
      </c>
      <c r="M1031">
        <v>0.99988860000000002</v>
      </c>
      <c r="N1031">
        <v>0</v>
      </c>
      <c r="O1031">
        <v>-4.5307419999999999E-3</v>
      </c>
      <c r="P1031">
        <v>0.99303129999999995</v>
      </c>
      <c r="Q1031">
        <v>7.1249099999999999E-3</v>
      </c>
      <c r="R1031">
        <v>0.11763609999999999</v>
      </c>
      <c r="S1031">
        <v>3.0127869999999999</v>
      </c>
      <c r="T1031">
        <v>-0.13474040000000001</v>
      </c>
      <c r="U1031">
        <v>7.9498289999999999E-2</v>
      </c>
      <c r="V1031">
        <v>-0.122133899999999</v>
      </c>
      <c r="W1031">
        <v>2.1245139999999999E-2</v>
      </c>
      <c r="X1031">
        <v>0.99228619999999901</v>
      </c>
      <c r="Y1031">
        <v>-3.087177E-2</v>
      </c>
      <c r="Z1031">
        <v>8.9238619999999996E-4</v>
      </c>
      <c r="AA1031">
        <v>0.99952299999999905</v>
      </c>
      <c r="AB1031">
        <v>30</v>
      </c>
      <c r="AC1031">
        <v>23.435400000000001</v>
      </c>
      <c r="AD1031">
        <v>-1.0547617215480001</v>
      </c>
      <c r="AE1031">
        <v>0.62299999999999001</v>
      </c>
      <c r="AF1031">
        <v>-0.72771104953116095</v>
      </c>
      <c r="AG1031">
        <v>-1.0547617215480001</v>
      </c>
      <c r="AH1031">
        <v>23.385000149307999</v>
      </c>
      <c r="AI1031">
        <v>92.581282122261698</v>
      </c>
      <c r="AJ1031">
        <v>91.782395581719101</v>
      </c>
      <c r="AK1031">
        <v>23.4200836387061</v>
      </c>
    </row>
    <row r="1032" spans="1:37" x14ac:dyDescent="0.2">
      <c r="A1032" t="str">
        <f>"20200111155519319"</f>
        <v>20200111155519319</v>
      </c>
      <c r="B1032" t="str">
        <f>"1578729319314090"</f>
        <v>1578729319314090</v>
      </c>
      <c r="C1032" t="s">
        <v>37</v>
      </c>
      <c r="D1032">
        <v>4.4905269999999904</v>
      </c>
      <c r="E1032">
        <v>0.53506949999999998</v>
      </c>
      <c r="F1032" t="s">
        <v>38</v>
      </c>
      <c r="G1032">
        <v>-272.03269999999998</v>
      </c>
      <c r="H1032" s="1">
        <v>-3.7377720000000001E-6</v>
      </c>
      <c r="I1032">
        <v>367.71350000000001</v>
      </c>
      <c r="J1032">
        <v>-295.33859999999999</v>
      </c>
      <c r="K1032">
        <v>1.0547580000000001</v>
      </c>
      <c r="L1032">
        <v>367.11320000000001</v>
      </c>
      <c r="M1032">
        <v>0.99988869999999896</v>
      </c>
      <c r="N1032">
        <v>0</v>
      </c>
      <c r="O1032">
        <v>-4.530727E-3</v>
      </c>
      <c r="P1032">
        <v>0.99311949999999904</v>
      </c>
      <c r="Q1032">
        <v>6.3214200000000003E-3</v>
      </c>
      <c r="R1032">
        <v>0.1169359</v>
      </c>
      <c r="S1032">
        <v>3.01287799999999</v>
      </c>
      <c r="T1032">
        <v>-0.13543820000000001</v>
      </c>
      <c r="U1032">
        <v>7.6995850000000005E-2</v>
      </c>
      <c r="V1032">
        <v>-0.12143370000000001</v>
      </c>
      <c r="W1032">
        <v>2.044089E-2</v>
      </c>
      <c r="X1032">
        <v>0.99238899999999997</v>
      </c>
      <c r="Y1032">
        <v>-3.0041789999999999E-2</v>
      </c>
      <c r="Z1032">
        <v>8.7834229999999896E-4</v>
      </c>
      <c r="AA1032">
        <v>0.99954829999999995</v>
      </c>
      <c r="AB1032">
        <v>30</v>
      </c>
      <c r="AC1032">
        <v>23.305900000000001</v>
      </c>
      <c r="AD1032">
        <v>-1.054761737772</v>
      </c>
      <c r="AE1032">
        <v>0.60030000000000405</v>
      </c>
      <c r="AF1032">
        <v>-0.70445525349272198</v>
      </c>
      <c r="AG1032">
        <v>-1.054761737772</v>
      </c>
      <c r="AH1032">
        <v>23.255340160855699</v>
      </c>
      <c r="AI1032">
        <v>92.595720176751001</v>
      </c>
      <c r="AJ1032">
        <v>91.735084229269802</v>
      </c>
      <c r="AK1032">
        <v>23.2899039397923</v>
      </c>
    </row>
    <row r="1033" spans="1:37" x14ac:dyDescent="0.2">
      <c r="A1033" t="str">
        <f>"20200111155519330"</f>
        <v>20200111155519330</v>
      </c>
      <c r="B1033" t="str">
        <f>"1578729319323849"</f>
        <v>1578729319323849</v>
      </c>
      <c r="C1033" t="s">
        <v>37</v>
      </c>
      <c r="D1033">
        <v>4.5137869999999998</v>
      </c>
      <c r="E1033">
        <v>0.53513339999999998</v>
      </c>
      <c r="F1033" t="s">
        <v>38</v>
      </c>
      <c r="G1033">
        <v>-272.31290000000001</v>
      </c>
      <c r="H1033" s="1">
        <v>-3.6232299999999999E-6</v>
      </c>
      <c r="I1033">
        <v>367.68169999999998</v>
      </c>
      <c r="J1033">
        <v>-295.1857</v>
      </c>
      <c r="K1033">
        <v>1.0547610000000001</v>
      </c>
      <c r="L1033">
        <v>367.11250000000001</v>
      </c>
      <c r="M1033">
        <v>0.99988869999999896</v>
      </c>
      <c r="N1033">
        <v>0</v>
      </c>
      <c r="O1033">
        <v>-4.52867299999999E-3</v>
      </c>
      <c r="P1033">
        <v>0.99324009999999996</v>
      </c>
      <c r="Q1033">
        <v>5.5532159999999997E-3</v>
      </c>
      <c r="R1033">
        <v>0.1159462</v>
      </c>
      <c r="S1033">
        <v>3.0129700000000001</v>
      </c>
      <c r="T1033">
        <v>-0.13801769999999999</v>
      </c>
      <c r="U1033">
        <v>7.440186E-2</v>
      </c>
      <c r="V1033">
        <v>-0.120442699999999</v>
      </c>
      <c r="W1033">
        <v>1.967238E-2</v>
      </c>
      <c r="X1033">
        <v>0.99252530000000005</v>
      </c>
      <c r="Y1033">
        <v>-2.9178510000000001E-2</v>
      </c>
      <c r="Z1033">
        <v>8.7518209999999999E-4</v>
      </c>
      <c r="AA1033">
        <v>0.99957379999999996</v>
      </c>
      <c r="AB1033">
        <v>29</v>
      </c>
      <c r="AC1033">
        <v>22.872799999999899</v>
      </c>
      <c r="AD1033">
        <v>-1.0547646232300001</v>
      </c>
      <c r="AE1033">
        <v>0.56919999999996596</v>
      </c>
      <c r="AF1033">
        <v>-0.67136127199148898</v>
      </c>
      <c r="AG1033">
        <v>-1.0547646232300001</v>
      </c>
      <c r="AH1033">
        <v>22.821486777889898</v>
      </c>
      <c r="AI1033">
        <v>92.645073418721907</v>
      </c>
      <c r="AJ1033">
        <v>91.685038189645894</v>
      </c>
      <c r="AK1033">
        <v>22.855710733235799</v>
      </c>
    </row>
    <row r="1034" spans="1:37" x14ac:dyDescent="0.2">
      <c r="A1034" t="str">
        <f>"20200111155519341"</f>
        <v>20200111155519341</v>
      </c>
      <c r="B1034" t="str">
        <f>"1578729319333609"</f>
        <v>1578729319333609</v>
      </c>
      <c r="C1034" t="s">
        <v>37</v>
      </c>
      <c r="D1034">
        <v>4.5326699999999898</v>
      </c>
      <c r="E1034">
        <v>0.53519899999999998</v>
      </c>
      <c r="F1034" t="s">
        <v>38</v>
      </c>
      <c r="G1034">
        <v>-272.6035</v>
      </c>
      <c r="H1034" s="1">
        <v>-3.5053359999999999E-6</v>
      </c>
      <c r="I1034">
        <v>367.64350000000002</v>
      </c>
      <c r="J1034">
        <v>-295.04759999999999</v>
      </c>
      <c r="K1034">
        <v>1.0547629999999999</v>
      </c>
      <c r="L1034">
        <v>367.11180000000002</v>
      </c>
      <c r="M1034">
        <v>0.99988880000000002</v>
      </c>
      <c r="N1034">
        <v>0</v>
      </c>
      <c r="O1034">
        <v>-4.5255390000000003E-3</v>
      </c>
      <c r="P1034">
        <v>0.9934056</v>
      </c>
      <c r="Q1034">
        <v>4.7456579999999998E-3</v>
      </c>
      <c r="R1034">
        <v>0.1145568</v>
      </c>
      <c r="S1034">
        <v>3.0129700000000001</v>
      </c>
      <c r="T1034">
        <v>-0.14072870000000001</v>
      </c>
      <c r="U1034">
        <v>7.0861820000000006E-2</v>
      </c>
      <c r="V1034">
        <v>-0.11905159999999999</v>
      </c>
      <c r="W1034">
        <v>1.8865719999999999E-2</v>
      </c>
      <c r="X1034">
        <v>0.99270879999999995</v>
      </c>
      <c r="Y1034">
        <v>-2.800149E-2</v>
      </c>
      <c r="Z1034">
        <v>8.6475159999999996E-4</v>
      </c>
      <c r="AA1034">
        <v>0.99960749999999998</v>
      </c>
      <c r="AB1034">
        <v>29</v>
      </c>
      <c r="AC1034">
        <v>22.444099999999899</v>
      </c>
      <c r="AD1034">
        <v>-1.05476650533599</v>
      </c>
      <c r="AE1034">
        <v>0.53169999999999995</v>
      </c>
      <c r="AF1034">
        <v>-0.63188169669043703</v>
      </c>
      <c r="AG1034">
        <v>-1.05476650533599</v>
      </c>
      <c r="AH1034">
        <v>22.392037334073699</v>
      </c>
      <c r="AI1034">
        <v>92.695826004569497</v>
      </c>
      <c r="AJ1034">
        <v>91.616402673099302</v>
      </c>
      <c r="AK1034">
        <v>22.425769615108901</v>
      </c>
    </row>
    <row r="1035" spans="1:37" x14ac:dyDescent="0.2">
      <c r="A1035" t="str">
        <f>"20200111155519352"</f>
        <v>20200111155519352</v>
      </c>
      <c r="B1035" t="str">
        <f>"1578729319343370"</f>
        <v>1578729319343370</v>
      </c>
      <c r="C1035" t="s">
        <v>37</v>
      </c>
      <c r="D1035">
        <v>4.4828269999999897</v>
      </c>
      <c r="E1035">
        <v>0.53524759999999905</v>
      </c>
      <c r="F1035" t="s">
        <v>38</v>
      </c>
      <c r="G1035">
        <v>-272.90030000000002</v>
      </c>
      <c r="H1035" s="1">
        <v>-3.3860849999999999E-6</v>
      </c>
      <c r="I1035">
        <v>367.59789999999998</v>
      </c>
      <c r="J1035">
        <v>-294.9008</v>
      </c>
      <c r="K1035">
        <v>1.0547629999999999</v>
      </c>
      <c r="L1035">
        <v>367.1112</v>
      </c>
      <c r="M1035">
        <v>0.99988880000000002</v>
      </c>
      <c r="N1035">
        <v>0</v>
      </c>
      <c r="O1035">
        <v>-4.5185609999999999E-3</v>
      </c>
      <c r="P1035">
        <v>0.99359409999999904</v>
      </c>
      <c r="Q1035">
        <v>4.0429949999999997E-3</v>
      </c>
      <c r="R1035">
        <v>0.1129371</v>
      </c>
      <c r="S1035">
        <v>3.0129999999999999</v>
      </c>
      <c r="T1035">
        <v>-0.1434937</v>
      </c>
      <c r="U1035">
        <v>6.6131590000000004E-2</v>
      </c>
      <c r="V1035">
        <v>-0.1174256</v>
      </c>
      <c r="W1035">
        <v>1.8163459999999999E-2</v>
      </c>
      <c r="X1035">
        <v>0.99291559999999901</v>
      </c>
      <c r="Y1035">
        <v>-2.6426109999999999E-2</v>
      </c>
      <c r="Z1035">
        <v>8.4390970000000002E-4</v>
      </c>
      <c r="AA1035">
        <v>0.99965040000000005</v>
      </c>
      <c r="AB1035">
        <v>29</v>
      </c>
      <c r="AC1035">
        <v>22.000499999999899</v>
      </c>
      <c r="AD1035">
        <v>-1.0547663860849901</v>
      </c>
      <c r="AE1035">
        <v>0.48669999999998398</v>
      </c>
      <c r="AF1035">
        <v>-0.58477222157935305</v>
      </c>
      <c r="AG1035">
        <v>-1.0547663860849901</v>
      </c>
      <c r="AH1035">
        <v>21.947653602943198</v>
      </c>
      <c r="AI1035">
        <v>92.7504448448814</v>
      </c>
      <c r="AJ1035">
        <v>91.526224892070104</v>
      </c>
      <c r="AK1035">
        <v>21.980764075780598</v>
      </c>
    </row>
    <row r="1036" spans="1:37" x14ac:dyDescent="0.2">
      <c r="A1036" t="str">
        <f>"20200111155519364"</f>
        <v>20200111155519364</v>
      </c>
      <c r="B1036" t="str">
        <f>"1578729319353130"</f>
        <v>1578729319353130</v>
      </c>
      <c r="C1036" t="s">
        <v>37</v>
      </c>
      <c r="D1036">
        <v>4.6524739999999998</v>
      </c>
      <c r="E1036">
        <v>0.53527590000000003</v>
      </c>
      <c r="F1036" t="s">
        <v>38</v>
      </c>
      <c r="G1036">
        <v>-273.12939999999998</v>
      </c>
      <c r="H1036" s="1">
        <v>-3.295523E-6</v>
      </c>
      <c r="I1036">
        <v>367.55439999999999</v>
      </c>
      <c r="J1036">
        <v>-294.74009999999998</v>
      </c>
      <c r="K1036">
        <v>1.054767</v>
      </c>
      <c r="L1036">
        <v>367.11040000000003</v>
      </c>
      <c r="M1036">
        <v>0.99988880000000002</v>
      </c>
      <c r="N1036">
        <v>0</v>
      </c>
      <c r="O1036">
        <v>-4.5029459999999999E-3</v>
      </c>
      <c r="P1036">
        <v>0.99382250000000005</v>
      </c>
      <c r="Q1036">
        <v>3.8468819999999998E-3</v>
      </c>
      <c r="R1036">
        <v>0.110914899999999</v>
      </c>
      <c r="S1036">
        <v>3.0129999999999999</v>
      </c>
      <c r="T1036">
        <v>-0.1459713</v>
      </c>
      <c r="U1036">
        <v>6.1340329999999998E-2</v>
      </c>
      <c r="V1036">
        <v>-0.115388899999999</v>
      </c>
      <c r="W1036">
        <v>1.796704E-2</v>
      </c>
      <c r="X1036">
        <v>0.99315789999999904</v>
      </c>
      <c r="Y1036">
        <v>-2.4822210000000001E-2</v>
      </c>
      <c r="Z1036">
        <v>8.1889669999999997E-4</v>
      </c>
      <c r="AA1036">
        <v>0.99969149999999996</v>
      </c>
      <c r="AB1036">
        <v>29</v>
      </c>
      <c r="AC1036">
        <v>21.610700000000001</v>
      </c>
      <c r="AD1036">
        <v>-1.0547702955230001</v>
      </c>
      <c r="AE1036">
        <v>0.44399999999995998</v>
      </c>
      <c r="AF1036">
        <v>-0.54003122892073296</v>
      </c>
      <c r="AG1036">
        <v>-1.0547702955230001</v>
      </c>
      <c r="AH1036">
        <v>21.557149588374902</v>
      </c>
      <c r="AI1036">
        <v>92.800315468404193</v>
      </c>
      <c r="AJ1036">
        <v>91.435024606703294</v>
      </c>
      <c r="AK1036">
        <v>21.589693663415002</v>
      </c>
    </row>
    <row r="1037" spans="1:37" x14ac:dyDescent="0.2">
      <c r="A1037" t="str">
        <f>"20200111155519377"</f>
        <v>20200111155519377</v>
      </c>
      <c r="B1037" t="str">
        <f>"1578729319373626"</f>
        <v>1578729319373626</v>
      </c>
      <c r="C1037" t="s">
        <v>37</v>
      </c>
      <c r="D1037">
        <v>4.5040909999999998</v>
      </c>
      <c r="E1037">
        <v>0.53538109999999905</v>
      </c>
      <c r="F1037" t="s">
        <v>38</v>
      </c>
      <c r="G1037">
        <v>-273.07260000000002</v>
      </c>
      <c r="H1037" s="1">
        <v>-3.328661E-6</v>
      </c>
      <c r="I1037">
        <v>367.50490000000002</v>
      </c>
      <c r="J1037">
        <v>-294.57470000000001</v>
      </c>
      <c r="K1037">
        <v>1.054778</v>
      </c>
      <c r="L1037">
        <v>367.10969999999998</v>
      </c>
      <c r="M1037">
        <v>0.99988899999999903</v>
      </c>
      <c r="N1037">
        <v>0</v>
      </c>
      <c r="O1037">
        <v>-4.4796539999999996E-3</v>
      </c>
      <c r="P1037">
        <v>0.99403859999999999</v>
      </c>
      <c r="Q1037">
        <v>3.6431290000000002E-3</v>
      </c>
      <c r="R1037">
        <v>0.10896649999999999</v>
      </c>
      <c r="S1037">
        <v>3.0130919999999999</v>
      </c>
      <c r="T1037">
        <v>-0.14667649999999999</v>
      </c>
      <c r="U1037">
        <v>5.487061E-2</v>
      </c>
      <c r="V1037">
        <v>-0.11341849999999901</v>
      </c>
      <c r="W1037">
        <v>1.7762509999999999E-2</v>
      </c>
      <c r="X1037">
        <v>0.99338850000000001</v>
      </c>
      <c r="Y1037">
        <v>-2.2654770000000001E-2</v>
      </c>
      <c r="Z1037">
        <v>7.6898720000000002E-4</v>
      </c>
      <c r="AA1037">
        <v>0.99974300000000005</v>
      </c>
      <c r="AB1037">
        <v>29</v>
      </c>
      <c r="AC1037">
        <v>21.502099999999899</v>
      </c>
      <c r="AD1037">
        <v>-1.0547813286609999</v>
      </c>
      <c r="AE1037">
        <v>0.39520000000004502</v>
      </c>
      <c r="AF1037">
        <v>-0.49034816574065399</v>
      </c>
      <c r="AG1037">
        <v>-1.0547813286609999</v>
      </c>
      <c r="AH1037">
        <v>21.448517948072102</v>
      </c>
      <c r="AI1037">
        <v>92.814652356021597</v>
      </c>
      <c r="AJ1037">
        <v>91.309647004727196</v>
      </c>
      <c r="AK1037">
        <v>21.480035548008399</v>
      </c>
    </row>
    <row r="1038" spans="1:37" x14ac:dyDescent="0.2">
      <c r="A1038" t="str">
        <f>"20200111155519391"</f>
        <v>20200111155519391</v>
      </c>
      <c r="B1038" t="str">
        <f>"1578729319383386"</f>
        <v>1578729319383386</v>
      </c>
      <c r="C1038" t="s">
        <v>37</v>
      </c>
      <c r="D1038">
        <v>4.5273570000000003</v>
      </c>
      <c r="E1038">
        <v>0.53541949999999905</v>
      </c>
      <c r="F1038" t="s">
        <v>38</v>
      </c>
      <c r="G1038">
        <v>-273.05779999999999</v>
      </c>
      <c r="H1038" s="1">
        <v>-3.344279E-6</v>
      </c>
      <c r="I1038">
        <v>367.45260000000002</v>
      </c>
      <c r="J1038">
        <v>-294.40050000000002</v>
      </c>
      <c r="K1038">
        <v>1.054797</v>
      </c>
      <c r="L1038">
        <v>367.10890000000001</v>
      </c>
      <c r="M1038">
        <v>0.99988920000000003</v>
      </c>
      <c r="N1038">
        <v>0</v>
      </c>
      <c r="O1038">
        <v>-4.4296240000000001E-3</v>
      </c>
      <c r="P1038">
        <v>0.99424389999999996</v>
      </c>
      <c r="Q1038">
        <v>3.6304140000000002E-3</v>
      </c>
      <c r="R1038">
        <v>0.1070798</v>
      </c>
      <c r="S1038">
        <v>3.013306</v>
      </c>
      <c r="T1038">
        <v>-0.14771529999999899</v>
      </c>
      <c r="U1038">
        <v>4.8034670000000002E-2</v>
      </c>
      <c r="V1038">
        <v>-0.1114848</v>
      </c>
      <c r="W1038">
        <v>1.7745819999999999E-2</v>
      </c>
      <c r="X1038">
        <v>0.99360769999999998</v>
      </c>
      <c r="Y1038">
        <v>-2.0338450000000001E-2</v>
      </c>
      <c r="Z1038">
        <v>7.1519879999999995E-4</v>
      </c>
      <c r="AA1038">
        <v>0.99979289999999998</v>
      </c>
      <c r="AB1038">
        <v>29</v>
      </c>
      <c r="AC1038">
        <v>21.342700000000001</v>
      </c>
      <c r="AD1038">
        <v>-1.0548003442789999</v>
      </c>
      <c r="AE1038">
        <v>0.343700000000012</v>
      </c>
      <c r="AF1038">
        <v>-0.43717876182184001</v>
      </c>
      <c r="AG1038">
        <v>-1.0548003442789999</v>
      </c>
      <c r="AH1038">
        <v>21.288982229010202</v>
      </c>
      <c r="AI1038">
        <v>92.835904419782807</v>
      </c>
      <c r="AJ1038">
        <v>91.176429081686607</v>
      </c>
      <c r="AK1038">
        <v>21.319580047064498</v>
      </c>
    </row>
    <row r="1039" spans="1:37" x14ac:dyDescent="0.2">
      <c r="A1039" t="str">
        <f>"20200111155519403"</f>
        <v>20200111155519403</v>
      </c>
      <c r="B1039" t="str">
        <f>"1578729319393145"</f>
        <v>1578729319393145</v>
      </c>
      <c r="C1039" t="s">
        <v>37</v>
      </c>
      <c r="D1039">
        <v>4.5158860000000001</v>
      </c>
      <c r="E1039">
        <v>0.53545690000000001</v>
      </c>
      <c r="F1039" t="s">
        <v>38</v>
      </c>
      <c r="G1039">
        <v>-272.91160000000002</v>
      </c>
      <c r="H1039" s="1">
        <v>-3.4145329999999999E-6</v>
      </c>
      <c r="I1039">
        <v>367.41030000000001</v>
      </c>
      <c r="J1039">
        <v>-294.226</v>
      </c>
      <c r="K1039">
        <v>1.054821</v>
      </c>
      <c r="L1039">
        <v>367.10820000000001</v>
      </c>
      <c r="M1039">
        <v>0.99988949999999999</v>
      </c>
      <c r="N1039">
        <v>0</v>
      </c>
      <c r="O1039">
        <v>-4.3607849999999998E-3</v>
      </c>
      <c r="P1039">
        <v>0.99443689999999996</v>
      </c>
      <c r="Q1039">
        <v>3.7661320000000002E-3</v>
      </c>
      <c r="R1039">
        <v>0.1052661</v>
      </c>
      <c r="S1039">
        <v>3.0133969999999999</v>
      </c>
      <c r="T1039">
        <v>-0.14791470000000001</v>
      </c>
      <c r="U1039">
        <v>4.2266850000000002E-2</v>
      </c>
      <c r="V1039">
        <v>-0.10960439999999901</v>
      </c>
      <c r="W1039">
        <v>1.7876449999999999E-2</v>
      </c>
      <c r="X1039">
        <v>0.99381450000000005</v>
      </c>
      <c r="Y1039">
        <v>-1.835825E-2</v>
      </c>
      <c r="Z1039">
        <v>6.6420619999999896E-4</v>
      </c>
      <c r="AA1039">
        <v>0.99983129999999998</v>
      </c>
      <c r="AB1039">
        <v>29</v>
      </c>
      <c r="AC1039">
        <v>21.3143999999999</v>
      </c>
      <c r="AD1039">
        <v>-1.0548244145329999</v>
      </c>
      <c r="AE1039">
        <v>0.30209999999999498</v>
      </c>
      <c r="AF1039">
        <v>-0.39408904404188799</v>
      </c>
      <c r="AG1039">
        <v>-1.0548244145329999</v>
      </c>
      <c r="AH1039">
        <v>21.260819443481399</v>
      </c>
      <c r="AI1039">
        <v>92.839830205551905</v>
      </c>
      <c r="AJ1039">
        <v>91.061908906807901</v>
      </c>
      <c r="AK1039">
        <v>21.290617748868701</v>
      </c>
    </row>
    <row r="1040" spans="1:37" x14ac:dyDescent="0.2">
      <c r="A1040" t="str">
        <f>"20200111155519419"</f>
        <v>20200111155519419</v>
      </c>
      <c r="B1040" t="str">
        <f>"1578729319413641"</f>
        <v>1578729319413641</v>
      </c>
      <c r="C1040" t="s">
        <v>37</v>
      </c>
      <c r="D1040">
        <v>4.5616099999999999</v>
      </c>
      <c r="E1040">
        <v>0.53551990000000005</v>
      </c>
      <c r="F1040" t="s">
        <v>38</v>
      </c>
      <c r="G1040">
        <v>-272.702</v>
      </c>
      <c r="H1040" s="1">
        <v>-3.51179899999999E-6</v>
      </c>
      <c r="I1040">
        <v>367.36880000000002</v>
      </c>
      <c r="J1040">
        <v>-294.0324</v>
      </c>
      <c r="K1040">
        <v>1.0548519999999999</v>
      </c>
      <c r="L1040">
        <v>367.10739999999998</v>
      </c>
      <c r="M1040">
        <v>0.9998901</v>
      </c>
      <c r="N1040">
        <v>0</v>
      </c>
      <c r="O1040">
        <v>-4.2574400000000004E-3</v>
      </c>
      <c r="P1040">
        <v>0.99474449999999903</v>
      </c>
      <c r="Q1040">
        <v>3.599629E-3</v>
      </c>
      <c r="R1040">
        <v>0.1023255</v>
      </c>
      <c r="S1040">
        <v>3.0134889999999999</v>
      </c>
      <c r="T1040">
        <v>-0.14768110000000001</v>
      </c>
      <c r="U1040">
        <v>3.649902E-2</v>
      </c>
      <c r="V1040">
        <v>-0.1065637</v>
      </c>
      <c r="W1040">
        <v>1.7704339999999999E-2</v>
      </c>
      <c r="X1040">
        <v>0.99414829999999998</v>
      </c>
      <c r="Y1040">
        <v>-1.6343719999999999E-2</v>
      </c>
      <c r="Z1040">
        <v>6.0875290000000004E-4</v>
      </c>
      <c r="AA1040">
        <v>0.99986620000000004</v>
      </c>
      <c r="AB1040">
        <v>29</v>
      </c>
      <c r="AC1040">
        <v>21.330400000000001</v>
      </c>
      <c r="AD1040">
        <v>-1.0548555117989999</v>
      </c>
      <c r="AE1040">
        <v>0.26140000000003699</v>
      </c>
      <c r="AF1040">
        <v>-0.35136052352368502</v>
      </c>
      <c r="AG1040">
        <v>-1.0548555117989999</v>
      </c>
      <c r="AH1040">
        <v>21.2770659560023</v>
      </c>
      <c r="AI1040">
        <v>92.837849244199106</v>
      </c>
      <c r="AJ1040">
        <v>90.946072427778702</v>
      </c>
      <c r="AK1040">
        <v>21.306095608166601</v>
      </c>
    </row>
    <row r="1041" spans="1:37" x14ac:dyDescent="0.2">
      <c r="A1041" t="str">
        <f>"20200111155519434"</f>
        <v>20200111155519434</v>
      </c>
      <c r="B1041" t="str">
        <f>"1578729319423402"</f>
        <v>1578729319423402</v>
      </c>
      <c r="C1041" t="s">
        <v>37</v>
      </c>
      <c r="D1041">
        <v>4.7715779999999999</v>
      </c>
      <c r="E1041">
        <v>0.53558380000000005</v>
      </c>
      <c r="F1041" t="s">
        <v>38</v>
      </c>
      <c r="G1041">
        <v>-272.6454</v>
      </c>
      <c r="H1041" s="1">
        <v>-3.5478429999999999E-6</v>
      </c>
      <c r="I1041">
        <v>367.30250000000001</v>
      </c>
      <c r="J1041">
        <v>-293.83339999999998</v>
      </c>
      <c r="K1041">
        <v>1.054894</v>
      </c>
      <c r="L1041">
        <v>367.10669999999999</v>
      </c>
      <c r="M1041">
        <v>0.99989059999999896</v>
      </c>
      <c r="N1041">
        <v>0</v>
      </c>
      <c r="O1041">
        <v>-4.1022009999999998E-3</v>
      </c>
      <c r="P1041">
        <v>0.99482729999999997</v>
      </c>
      <c r="Q1041">
        <v>3.174109E-3</v>
      </c>
      <c r="R1041">
        <v>0.1015312</v>
      </c>
      <c r="S1041">
        <v>3.01355</v>
      </c>
      <c r="T1041">
        <v>-0.14863470000000001</v>
      </c>
      <c r="U1041">
        <v>2.7496340000000001E-2</v>
      </c>
      <c r="V1041">
        <v>-0.1056173</v>
      </c>
      <c r="W1041">
        <v>1.7267149999999998E-2</v>
      </c>
      <c r="X1041">
        <v>0.9942569</v>
      </c>
      <c r="Y1041">
        <v>-1.320519E-2</v>
      </c>
      <c r="Z1041">
        <v>5.276724E-4</v>
      </c>
      <c r="AA1041">
        <v>0.99991269999999999</v>
      </c>
      <c r="AB1041">
        <v>29</v>
      </c>
      <c r="AC1041">
        <v>21.187999999999899</v>
      </c>
      <c r="AD1041">
        <v>-1.054897547843</v>
      </c>
      <c r="AE1041">
        <v>0.19580000000001899</v>
      </c>
      <c r="AF1041">
        <v>-0.28202554138506503</v>
      </c>
      <c r="AG1041">
        <v>-1.054897547843</v>
      </c>
      <c r="AH1041">
        <v>21.134634438967002</v>
      </c>
      <c r="AI1041">
        <v>92.857191222165596</v>
      </c>
      <c r="AJ1041">
        <v>90.764523003978994</v>
      </c>
      <c r="AK1041">
        <v>21.162824010779101</v>
      </c>
    </row>
    <row r="1042" spans="1:37" x14ac:dyDescent="0.2">
      <c r="A1042" t="str">
        <f>"20200111155519445"</f>
        <v>20200111155519445</v>
      </c>
      <c r="B1042" t="str">
        <f>"1578729319443956"</f>
        <v>1578729319443956</v>
      </c>
      <c r="C1042" t="s">
        <v>37</v>
      </c>
      <c r="D1042">
        <v>4.6483309999999998</v>
      </c>
      <c r="E1042">
        <v>0.53562650000000001</v>
      </c>
      <c r="F1042" t="s">
        <v>38</v>
      </c>
      <c r="G1042">
        <v>-272.64400000000001</v>
      </c>
      <c r="H1042" s="1">
        <v>-3.5523409999999999E-6</v>
      </c>
      <c r="I1042">
        <v>367.28050000000002</v>
      </c>
      <c r="J1042">
        <v>-293.67540000000002</v>
      </c>
      <c r="K1042">
        <v>1.054929</v>
      </c>
      <c r="L1042">
        <v>367.1062</v>
      </c>
      <c r="M1042">
        <v>0.99989150000000004</v>
      </c>
      <c r="N1042">
        <v>0</v>
      </c>
      <c r="O1042">
        <v>-3.9524510000000001E-3</v>
      </c>
      <c r="P1042">
        <v>0.99485029999999997</v>
      </c>
      <c r="Q1042">
        <v>2.7839050000000001E-3</v>
      </c>
      <c r="R1042">
        <v>0.10131950000000001</v>
      </c>
      <c r="S1042">
        <v>3.01355</v>
      </c>
      <c r="T1042">
        <v>-0.15002660000000001</v>
      </c>
      <c r="U1042">
        <v>2.471924E-2</v>
      </c>
      <c r="V1042">
        <v>-0.1052577</v>
      </c>
      <c r="W1042">
        <v>1.686667E-2</v>
      </c>
      <c r="X1042">
        <v>0.99430189999999996</v>
      </c>
      <c r="Y1042">
        <v>-1.2135150000000001E-2</v>
      </c>
      <c r="Z1042">
        <v>4.985403E-4</v>
      </c>
      <c r="AA1042">
        <v>0.99992630000000005</v>
      </c>
      <c r="AB1042">
        <v>29</v>
      </c>
      <c r="AC1042">
        <v>21.031400000000001</v>
      </c>
      <c r="AD1042">
        <v>-1.054932552341</v>
      </c>
      <c r="AE1042">
        <v>0.174300000000016</v>
      </c>
      <c r="AF1042">
        <v>-0.25678655270730799</v>
      </c>
      <c r="AG1042">
        <v>-1.054932552341</v>
      </c>
      <c r="AH1042">
        <v>20.9777699757786</v>
      </c>
      <c r="AI1042">
        <v>92.878656416989202</v>
      </c>
      <c r="AJ1042">
        <v>90.701316247504394</v>
      </c>
      <c r="AK1042">
        <v>21.0058481185673</v>
      </c>
    </row>
    <row r="1043" spans="1:37" x14ac:dyDescent="0.2">
      <c r="A1043" t="str">
        <f>"20200111155519485"</f>
        <v>20200111155519485</v>
      </c>
      <c r="B1043" t="str">
        <f>"1578729319483971"</f>
        <v>1578729319483971</v>
      </c>
      <c r="C1043" t="s">
        <v>37</v>
      </c>
      <c r="D1043">
        <v>4.6097260000000002</v>
      </c>
      <c r="E1043">
        <v>0.53564029999999996</v>
      </c>
      <c r="F1043" t="s">
        <v>38</v>
      </c>
      <c r="G1043">
        <v>-272.6542</v>
      </c>
      <c r="H1043" s="1">
        <v>-3.5492720000000001E-6</v>
      </c>
      <c r="I1043">
        <v>367.2731</v>
      </c>
      <c r="J1043">
        <v>-293.161</v>
      </c>
      <c r="K1043">
        <v>1.055051</v>
      </c>
      <c r="L1043">
        <v>367.10489999999999</v>
      </c>
      <c r="M1043">
        <v>0.99989380000000005</v>
      </c>
      <c r="N1043">
        <v>0</v>
      </c>
      <c r="O1043">
        <v>-3.262193E-3</v>
      </c>
      <c r="P1043">
        <v>0.99458959999999996</v>
      </c>
      <c r="Q1043">
        <v>1.9436169999999999E-3</v>
      </c>
      <c r="R1043">
        <v>0.1038645</v>
      </c>
      <c r="S1043">
        <v>3.0135190000000001</v>
      </c>
      <c r="T1043">
        <v>-0.15123120000000001</v>
      </c>
      <c r="U1043">
        <v>2.3925780000000001E-2</v>
      </c>
      <c r="V1043">
        <v>-0.10712000000000001</v>
      </c>
      <c r="W1043">
        <v>1.598368E-2</v>
      </c>
      <c r="X1043">
        <v>0.99411759999999905</v>
      </c>
      <c r="Y1043">
        <v>-1.1183429999999999E-2</v>
      </c>
      <c r="Z1043">
        <v>4.4405710000000001E-4</v>
      </c>
      <c r="AA1043">
        <v>0.99993739999999998</v>
      </c>
      <c r="AB1043">
        <v>29</v>
      </c>
      <c r="AC1043">
        <v>20.506799999999998</v>
      </c>
      <c r="AD1043">
        <v>-1.055054549272</v>
      </c>
      <c r="AE1043">
        <v>0.16820000000001301</v>
      </c>
      <c r="AF1043">
        <v>-0.234482360217835</v>
      </c>
      <c r="AG1043">
        <v>-1.055054549272</v>
      </c>
      <c r="AH1043">
        <v>20.452009267097502</v>
      </c>
      <c r="AI1043">
        <v>92.952896807433703</v>
      </c>
      <c r="AJ1043">
        <v>90.656867539415202</v>
      </c>
      <c r="AK1043">
        <v>20.480546993198999</v>
      </c>
    </row>
    <row r="1044" spans="1:37" x14ac:dyDescent="0.2">
      <c r="A1044" t="str">
        <f>"20200111155519496"</f>
        <v>20200111155519496</v>
      </c>
      <c r="B1044" t="str">
        <f>"1578729319493732"</f>
        <v>1578729319493732</v>
      </c>
      <c r="C1044" t="s">
        <v>37</v>
      </c>
      <c r="D1044">
        <v>4.5992660000000001</v>
      </c>
      <c r="E1044">
        <v>0.5356419</v>
      </c>
      <c r="F1044" t="s">
        <v>38</v>
      </c>
      <c r="G1044">
        <v>-272.50110000000001</v>
      </c>
      <c r="H1044" s="1">
        <v>-3.6066080000000001E-6</v>
      </c>
      <c r="I1044">
        <v>367.32010000000002</v>
      </c>
      <c r="J1044">
        <v>-293.01830000000001</v>
      </c>
      <c r="K1044">
        <v>1.0550889999999999</v>
      </c>
      <c r="L1044">
        <v>367.10469999999998</v>
      </c>
      <c r="M1044">
        <v>0.99989479999999997</v>
      </c>
      <c r="N1044">
        <v>0</v>
      </c>
      <c r="O1044">
        <v>-3.0162329999999901E-3</v>
      </c>
      <c r="P1044">
        <v>0.9944634</v>
      </c>
      <c r="Q1044">
        <v>1.743786E-3</v>
      </c>
      <c r="R1044">
        <v>0.105069699999999</v>
      </c>
      <c r="S1044">
        <v>3.0133669999999899</v>
      </c>
      <c r="T1044">
        <v>-0.1538852</v>
      </c>
      <c r="U1044">
        <v>3.1402590000000001E-2</v>
      </c>
      <c r="V1044">
        <v>-0.1080816</v>
      </c>
      <c r="W1044">
        <v>1.5770559999999999E-2</v>
      </c>
      <c r="X1044">
        <v>0.99401689999999998</v>
      </c>
      <c r="Y1044">
        <v>-1.3415450000000001E-2</v>
      </c>
      <c r="Z1044">
        <v>4.962578E-4</v>
      </c>
      <c r="AA1044">
        <v>0.99990990000000002</v>
      </c>
      <c r="AB1044">
        <v>29</v>
      </c>
      <c r="AC1044">
        <v>20.517199999999999</v>
      </c>
      <c r="AD1044">
        <v>-1.055092606608</v>
      </c>
      <c r="AE1044">
        <v>0.215400000000045</v>
      </c>
      <c r="AF1044">
        <v>-0.27655862400565001</v>
      </c>
      <c r="AG1044">
        <v>-1.055092606608</v>
      </c>
      <c r="AH1044">
        <v>20.4623499937898</v>
      </c>
      <c r="AI1044">
        <v>92.951438017196395</v>
      </c>
      <c r="AJ1044">
        <v>90.774333213017599</v>
      </c>
      <c r="AK1044">
        <v>20.4913999607001</v>
      </c>
    </row>
    <row r="1045" spans="1:37" x14ac:dyDescent="0.2">
      <c r="A1045" t="str">
        <f>"20200111155519508"</f>
        <v>20200111155519508</v>
      </c>
      <c r="B1045" t="str">
        <f>"1578729319503493"</f>
        <v>1578729319503493</v>
      </c>
      <c r="C1045" t="s">
        <v>37</v>
      </c>
      <c r="D1045">
        <v>4.6367750000000001</v>
      </c>
      <c r="E1045">
        <v>0.53565099999999999</v>
      </c>
      <c r="F1045" t="s">
        <v>38</v>
      </c>
      <c r="G1045">
        <v>-272.43740000000003</v>
      </c>
      <c r="H1045" s="1">
        <v>-3.6300209999999999E-6</v>
      </c>
      <c r="I1045">
        <v>367.34219999999999</v>
      </c>
      <c r="J1045">
        <v>-292.87049999999999</v>
      </c>
      <c r="K1045">
        <v>1.0551330000000001</v>
      </c>
      <c r="L1045">
        <v>367.10449999999997</v>
      </c>
      <c r="M1045">
        <v>0.9998956</v>
      </c>
      <c r="N1045">
        <v>0</v>
      </c>
      <c r="O1045">
        <v>-2.7192240000000001E-3</v>
      </c>
      <c r="P1045">
        <v>0.99435739999999995</v>
      </c>
      <c r="Q1045">
        <v>1.657684E-3</v>
      </c>
      <c r="R1045">
        <v>0.1060695</v>
      </c>
      <c r="S1045">
        <v>3.013306</v>
      </c>
      <c r="T1045">
        <v>-0.15447829999999901</v>
      </c>
      <c r="U1045">
        <v>3.4790040000000001E-2</v>
      </c>
      <c r="V1045">
        <v>-0.1087876</v>
      </c>
      <c r="W1045">
        <v>1.5670440000000001E-2</v>
      </c>
      <c r="X1045">
        <v>0.99394150000000003</v>
      </c>
      <c r="Y1045">
        <v>-1.4241709999999999E-2</v>
      </c>
      <c r="Z1045">
        <v>5.041221E-4</v>
      </c>
      <c r="AA1045">
        <v>0.99989839999999997</v>
      </c>
      <c r="AB1045">
        <v>29</v>
      </c>
      <c r="AC1045">
        <v>20.4330999999999</v>
      </c>
      <c r="AD1045">
        <v>-1.0551366300210001</v>
      </c>
      <c r="AE1045">
        <v>0.23770000000001801</v>
      </c>
      <c r="AF1045">
        <v>-0.29248706842308803</v>
      </c>
      <c r="AG1045">
        <v>-1.0551366300210001</v>
      </c>
      <c r="AH1045">
        <v>20.378046396602201</v>
      </c>
      <c r="AI1045">
        <v>92.963715254211493</v>
      </c>
      <c r="AJ1045">
        <v>90.822312581310399</v>
      </c>
      <c r="AK1045">
        <v>20.407440724776801</v>
      </c>
    </row>
    <row r="1046" spans="1:37" x14ac:dyDescent="0.2">
      <c r="A1046" t="str">
        <f>"20200111155519520"</f>
        <v>20200111155519520</v>
      </c>
      <c r="B1046" t="str">
        <f>"1578729319513252"</f>
        <v>1578729319513252</v>
      </c>
      <c r="C1046" t="s">
        <v>37</v>
      </c>
      <c r="D1046">
        <v>4.6265279999999898</v>
      </c>
      <c r="E1046">
        <v>0.5356535</v>
      </c>
      <c r="F1046" t="s">
        <v>38</v>
      </c>
      <c r="G1046">
        <v>-272.33749999999998</v>
      </c>
      <c r="H1046" s="1">
        <v>-3.6691760000000001E-6</v>
      </c>
      <c r="I1046">
        <v>367.36320000000001</v>
      </c>
      <c r="J1046">
        <v>-292.71980000000002</v>
      </c>
      <c r="K1046">
        <v>1.0551709999999901</v>
      </c>
      <c r="L1046">
        <v>367.1044</v>
      </c>
      <c r="M1046">
        <v>0.99989629999999996</v>
      </c>
      <c r="N1046">
        <v>0</v>
      </c>
      <c r="O1046">
        <v>-2.4032509999999999E-3</v>
      </c>
      <c r="P1046">
        <v>0.99423309999999998</v>
      </c>
      <c r="Q1046">
        <v>1.832502E-3</v>
      </c>
      <c r="R1046">
        <v>0.10722419999999901</v>
      </c>
      <c r="S1046">
        <v>3.013245</v>
      </c>
      <c r="T1046">
        <v>-0.15484239999999999</v>
      </c>
      <c r="U1046">
        <v>3.7963869999999997E-2</v>
      </c>
      <c r="V1046">
        <v>-0.1096295</v>
      </c>
      <c r="W1046">
        <v>1.5830629999999998E-2</v>
      </c>
      <c r="X1046">
        <v>0.99384649999999997</v>
      </c>
      <c r="Y1046">
        <v>-1.497833E-2</v>
      </c>
      <c r="Z1046">
        <v>5.0800179999999995E-4</v>
      </c>
      <c r="AA1046">
        <v>0.99988770000000005</v>
      </c>
      <c r="AB1046">
        <v>29</v>
      </c>
      <c r="AC1046">
        <v>20.382300000000001</v>
      </c>
      <c r="AD1046">
        <v>-1.05517466917599</v>
      </c>
      <c r="AE1046">
        <v>0.25880000000000702</v>
      </c>
      <c r="AF1046">
        <v>-0.30696542497616902</v>
      </c>
      <c r="AG1046">
        <v>-1.05517466917599</v>
      </c>
      <c r="AH1046">
        <v>20.327150177001801</v>
      </c>
      <c r="AI1046">
        <v>92.971196933071695</v>
      </c>
      <c r="AJ1046">
        <v>90.8651722638146</v>
      </c>
      <c r="AK1046">
        <v>20.356833144499301</v>
      </c>
    </row>
    <row r="1047" spans="1:37" x14ac:dyDescent="0.2">
      <c r="A1047" t="str">
        <f>"20200111155519530"</f>
        <v>20200111155519530</v>
      </c>
      <c r="B1047" t="str">
        <f>"1578729319523988"</f>
        <v>1578729319523988</v>
      </c>
      <c r="C1047" t="s">
        <v>37</v>
      </c>
      <c r="D1047">
        <v>4.6359500000000002</v>
      </c>
      <c r="E1047">
        <v>0.53566340000000001</v>
      </c>
      <c r="F1047" t="s">
        <v>38</v>
      </c>
      <c r="G1047">
        <v>-272.11939999999998</v>
      </c>
      <c r="H1047" s="1">
        <v>-3.7585679999999999E-6</v>
      </c>
      <c r="I1047">
        <v>367.38670000000002</v>
      </c>
      <c r="J1047">
        <v>-292.56880000000001</v>
      </c>
      <c r="K1047">
        <v>1.0552139999999901</v>
      </c>
      <c r="L1047">
        <v>367.1044</v>
      </c>
      <c r="M1047">
        <v>0.99989719999999904</v>
      </c>
      <c r="N1047">
        <v>0</v>
      </c>
      <c r="O1047">
        <v>-2.0404310000000001E-3</v>
      </c>
      <c r="P1047">
        <v>0.99411190000000005</v>
      </c>
      <c r="Q1047">
        <v>2.0644249999999999E-3</v>
      </c>
      <c r="R1047">
        <v>0.1083392</v>
      </c>
      <c r="S1047">
        <v>3.013245</v>
      </c>
      <c r="T1047">
        <v>-0.1543407</v>
      </c>
      <c r="U1047">
        <v>4.1290279999999999E-2</v>
      </c>
      <c r="V1047">
        <v>-0.11038539999999999</v>
      </c>
      <c r="W1047">
        <v>1.604852E-2</v>
      </c>
      <c r="X1047">
        <v>0.99375930000000001</v>
      </c>
      <c r="Y1047">
        <v>-1.571879E-2</v>
      </c>
      <c r="Z1047">
        <v>5.0673180000000001E-4</v>
      </c>
      <c r="AA1047">
        <v>0.99987630000000005</v>
      </c>
      <c r="AB1047">
        <v>29</v>
      </c>
      <c r="AC1047">
        <v>20.449400000000001</v>
      </c>
      <c r="AD1047">
        <v>-1.05521775856799</v>
      </c>
      <c r="AE1047">
        <v>0.28230000000001998</v>
      </c>
      <c r="AF1047">
        <v>-0.32316886548492901</v>
      </c>
      <c r="AG1047">
        <v>-1.05521775856799</v>
      </c>
      <c r="AH1047">
        <v>20.394487195909701</v>
      </c>
      <c r="AI1047">
        <v>92.961491007538498</v>
      </c>
      <c r="AJ1047">
        <v>90.907826823900507</v>
      </c>
      <c r="AK1047">
        <v>20.424324483755601</v>
      </c>
    </row>
    <row r="1048" spans="1:37" x14ac:dyDescent="0.2">
      <c r="A1048" t="str">
        <f>"20200111155519544"</f>
        <v>20200111155519544</v>
      </c>
      <c r="B1048" t="str">
        <f>"1578729319533364"</f>
        <v>1578729319533364</v>
      </c>
      <c r="C1048" t="s">
        <v>37</v>
      </c>
      <c r="D1048">
        <v>4.6079049999999997</v>
      </c>
      <c r="E1048">
        <v>0.53567869999999995</v>
      </c>
      <c r="F1048" t="s">
        <v>38</v>
      </c>
      <c r="G1048">
        <v>-271.8802</v>
      </c>
      <c r="H1048" s="1">
        <v>-3.8568049999999903E-6</v>
      </c>
      <c r="I1048">
        <v>367.41129999999998</v>
      </c>
      <c r="J1048">
        <v>-292.40660000000003</v>
      </c>
      <c r="K1048">
        <v>1.055261</v>
      </c>
      <c r="L1048">
        <v>367.1044</v>
      </c>
      <c r="M1048">
        <v>0.99989799999999995</v>
      </c>
      <c r="N1048">
        <v>0</v>
      </c>
      <c r="O1048">
        <v>-1.6322859999999999E-3</v>
      </c>
      <c r="P1048">
        <v>0.99400919999999904</v>
      </c>
      <c r="Q1048">
        <v>2.2049940000000001E-3</v>
      </c>
      <c r="R1048">
        <v>0.1092755</v>
      </c>
      <c r="S1048">
        <v>3.0132140000000001</v>
      </c>
      <c r="T1048">
        <v>-0.15368760000000001</v>
      </c>
      <c r="U1048">
        <v>4.4708249999999998E-2</v>
      </c>
      <c r="V1048">
        <v>-0.11091819999999999</v>
      </c>
      <c r="W1048">
        <v>1.617439E-2</v>
      </c>
      <c r="X1048">
        <v>0.99369789999999902</v>
      </c>
      <c r="Y1048">
        <v>-1.6444520000000001E-2</v>
      </c>
      <c r="Z1048">
        <v>5.022812E-4</v>
      </c>
      <c r="AA1048">
        <v>0.99986459999999999</v>
      </c>
      <c r="AB1048">
        <v>29</v>
      </c>
      <c r="AC1048">
        <v>20.526399999999999</v>
      </c>
      <c r="AD1048">
        <v>-1.055264856805</v>
      </c>
      <c r="AE1048">
        <v>0.30689999999998402</v>
      </c>
      <c r="AF1048">
        <v>-0.33951079271526002</v>
      </c>
      <c r="AG1048">
        <v>-1.055264856805</v>
      </c>
      <c r="AH1048">
        <v>20.4717768108721</v>
      </c>
      <c r="AI1048">
        <v>92.950426112407499</v>
      </c>
      <c r="AJ1048">
        <v>90.950125266910206</v>
      </c>
      <c r="AK1048">
        <v>20.501768150345899</v>
      </c>
    </row>
    <row r="1049" spans="1:37" x14ac:dyDescent="0.2">
      <c r="A1049" t="str">
        <f>"20200111155519555"</f>
        <v>20200111155519555</v>
      </c>
      <c r="B1049" t="str">
        <f>"1578729319543125"</f>
        <v>1578729319543125</v>
      </c>
      <c r="C1049" t="s">
        <v>37</v>
      </c>
      <c r="D1049">
        <v>4.5871579999999996</v>
      </c>
      <c r="E1049">
        <v>0.53569369999999905</v>
      </c>
      <c r="F1049" t="s">
        <v>38</v>
      </c>
      <c r="G1049">
        <v>-271.67790000000002</v>
      </c>
      <c r="H1049" s="1">
        <v>-3.9399040000000003E-6</v>
      </c>
      <c r="I1049">
        <v>367.43209999999999</v>
      </c>
      <c r="J1049">
        <v>-292.25020000000001</v>
      </c>
      <c r="K1049">
        <v>1.0553049999999999</v>
      </c>
      <c r="L1049">
        <v>367.1046</v>
      </c>
      <c r="M1049">
        <v>0.99989859999999897</v>
      </c>
      <c r="N1049">
        <v>0</v>
      </c>
      <c r="O1049">
        <v>-1.212397E-3</v>
      </c>
      <c r="P1049">
        <v>0.99390519999999904</v>
      </c>
      <c r="Q1049">
        <v>2.4150259999999998E-3</v>
      </c>
      <c r="R1049">
        <v>0.11021300000000001</v>
      </c>
      <c r="S1049">
        <v>3.0131839999999999</v>
      </c>
      <c r="T1049">
        <v>-0.1533958</v>
      </c>
      <c r="U1049">
        <v>4.7637939999999997E-2</v>
      </c>
      <c r="V1049">
        <v>-0.1114396</v>
      </c>
      <c r="W1049">
        <v>1.6370340000000001E-2</v>
      </c>
      <c r="X1049">
        <v>0.99363639999999998</v>
      </c>
      <c r="Y1049">
        <v>-1.699664E-2</v>
      </c>
      <c r="Z1049">
        <v>4.940109E-4</v>
      </c>
      <c r="AA1049">
        <v>0.99985539999999995</v>
      </c>
      <c r="AB1049">
        <v>29</v>
      </c>
      <c r="AC1049">
        <v>20.572299999999899</v>
      </c>
      <c r="AD1049">
        <v>-1.0553089399040001</v>
      </c>
      <c r="AE1049">
        <v>0.32749999999998602</v>
      </c>
      <c r="AF1049">
        <v>-0.35151929736096799</v>
      </c>
      <c r="AG1049">
        <v>-1.0553089399040001</v>
      </c>
      <c r="AH1049">
        <v>20.517909800282901</v>
      </c>
      <c r="AI1049">
        <v>92.943899600048098</v>
      </c>
      <c r="AJ1049">
        <v>90.981513330107404</v>
      </c>
      <c r="AK1049">
        <v>20.548037992655299</v>
      </c>
    </row>
    <row r="1050" spans="1:37" x14ac:dyDescent="0.2">
      <c r="A1050" t="str">
        <f>"20200111155519577"</f>
        <v>20200111155519577</v>
      </c>
      <c r="B1050" t="str">
        <f>"1578729319573381"</f>
        <v>1578729319573381</v>
      </c>
      <c r="C1050" t="s">
        <v>37</v>
      </c>
      <c r="D1050">
        <v>4.6790789999999998</v>
      </c>
      <c r="E1050">
        <v>0.53573169999999903</v>
      </c>
      <c r="F1050" t="s">
        <v>38</v>
      </c>
      <c r="G1050">
        <v>-271.43439999999998</v>
      </c>
      <c r="H1050" s="1">
        <v>-4.0407759999999997E-6</v>
      </c>
      <c r="I1050">
        <v>367.45240000000001</v>
      </c>
      <c r="J1050">
        <v>-291.96899999999999</v>
      </c>
      <c r="K1050">
        <v>1.055372</v>
      </c>
      <c r="L1050">
        <v>367.10509999999999</v>
      </c>
      <c r="M1050">
        <v>0.99989950000000005</v>
      </c>
      <c r="N1050">
        <v>0</v>
      </c>
      <c r="O1050">
        <v>-3.9708659999999999E-4</v>
      </c>
      <c r="P1050">
        <v>0.9938089</v>
      </c>
      <c r="Q1050">
        <v>2.6434869999999999E-3</v>
      </c>
      <c r="R1050">
        <v>0.1110738</v>
      </c>
      <c r="S1050">
        <v>3.013153</v>
      </c>
      <c r="T1050">
        <v>-0.15275899999999901</v>
      </c>
      <c r="U1050">
        <v>5.0354000000000003E-2</v>
      </c>
      <c r="V1050">
        <v>-0.1114932</v>
      </c>
      <c r="W1050">
        <v>1.6579170000000001E-2</v>
      </c>
      <c r="X1050">
        <v>0.99362689999999998</v>
      </c>
      <c r="Y1050">
        <v>-1.7083689999999999E-2</v>
      </c>
      <c r="Z1050">
        <v>4.528601E-4</v>
      </c>
      <c r="AA1050">
        <v>0.99985400000000002</v>
      </c>
      <c r="AB1050">
        <v>29</v>
      </c>
      <c r="AC1050">
        <v>20.534600000000001</v>
      </c>
      <c r="AD1050">
        <v>-1.055376040776</v>
      </c>
      <c r="AE1050">
        <v>0.34730000000001798</v>
      </c>
      <c r="AF1050">
        <v>-0.35451863150180601</v>
      </c>
      <c r="AG1050">
        <v>-1.055376040776</v>
      </c>
      <c r="AH1050">
        <v>20.480378087455001</v>
      </c>
      <c r="AI1050">
        <v>92.9494631659569</v>
      </c>
      <c r="AJ1050">
        <v>90.991700094885601</v>
      </c>
      <c r="AK1050">
        <v>20.510616486410999</v>
      </c>
    </row>
    <row r="1051" spans="1:37" x14ac:dyDescent="0.2">
      <c r="A1051" t="str">
        <f>"20200111155519588"</f>
        <v>20200111155519588</v>
      </c>
      <c r="B1051" t="str">
        <f>"1578729319583142"</f>
        <v>1578729319583142</v>
      </c>
      <c r="C1051" t="s">
        <v>37</v>
      </c>
      <c r="D1051">
        <v>4.7352650000000001</v>
      </c>
      <c r="E1051">
        <v>0.53576659999999998</v>
      </c>
      <c r="F1051" t="s">
        <v>38</v>
      </c>
      <c r="G1051">
        <v>-271.07319999999999</v>
      </c>
      <c r="H1051" s="1">
        <v>-4.1926119999999998E-6</v>
      </c>
      <c r="I1051">
        <v>367.4701</v>
      </c>
      <c r="J1051">
        <v>-291.82220000000001</v>
      </c>
      <c r="K1051">
        <v>1.0553980000000001</v>
      </c>
      <c r="L1051">
        <v>367.10550000000001</v>
      </c>
      <c r="M1051">
        <v>0.99989939999999999</v>
      </c>
      <c r="N1051">
        <v>0</v>
      </c>
      <c r="O1051" s="1">
        <v>5.96677499999999E-5</v>
      </c>
      <c r="P1051">
        <v>0.99377780000000004</v>
      </c>
      <c r="Q1051">
        <v>2.5775389999999998E-3</v>
      </c>
      <c r="R1051">
        <v>0.1113523</v>
      </c>
      <c r="S1051">
        <v>3.0131839999999999</v>
      </c>
      <c r="T1051">
        <v>-0.15218489999999901</v>
      </c>
      <c r="U1051">
        <v>5.264282E-2</v>
      </c>
      <c r="V1051">
        <v>-0.111319</v>
      </c>
      <c r="W1051">
        <v>1.6504319999999999E-2</v>
      </c>
      <c r="X1051">
        <v>0.99364769999999902</v>
      </c>
      <c r="Y1051">
        <v>-1.7386430000000001E-2</v>
      </c>
      <c r="Z1051">
        <v>4.3573769999999997E-4</v>
      </c>
      <c r="AA1051">
        <v>0.99984869999999904</v>
      </c>
      <c r="AB1051">
        <v>29</v>
      </c>
      <c r="AC1051">
        <v>20.748999999999999</v>
      </c>
      <c r="AD1051">
        <v>-1.0554021926120001</v>
      </c>
      <c r="AE1051">
        <v>0.36459999999999498</v>
      </c>
      <c r="AF1051">
        <v>-0.36242442847835699</v>
      </c>
      <c r="AG1051">
        <v>-1.0554021926120001</v>
      </c>
      <c r="AH1051">
        <v>20.695493432451801</v>
      </c>
      <c r="AI1051">
        <v>92.918920782812506</v>
      </c>
      <c r="AJ1051">
        <v>91.003274835470194</v>
      </c>
      <c r="AK1051">
        <v>20.725556052062402</v>
      </c>
    </row>
    <row r="1052" spans="1:37" x14ac:dyDescent="0.2">
      <c r="A1052" t="str">
        <f>"20200111155519600"</f>
        <v>20200111155519600</v>
      </c>
      <c r="B1052" t="str">
        <f>"1578729319593876"</f>
        <v>1578729319593876</v>
      </c>
      <c r="C1052" t="s">
        <v>37</v>
      </c>
      <c r="D1052">
        <v>4.6679889999999897</v>
      </c>
      <c r="E1052">
        <v>0.53577439999999998</v>
      </c>
      <c r="F1052" t="s">
        <v>38</v>
      </c>
      <c r="G1052">
        <v>-270.94470000000001</v>
      </c>
      <c r="H1052" s="1">
        <v>-4.24690099999999E-6</v>
      </c>
      <c r="I1052">
        <v>367.47460000000001</v>
      </c>
      <c r="J1052">
        <v>-291.66919999999999</v>
      </c>
      <c r="K1052">
        <v>1.055426</v>
      </c>
      <c r="L1052">
        <v>367.10599999999999</v>
      </c>
      <c r="M1052">
        <v>0.99989930000000005</v>
      </c>
      <c r="N1052">
        <v>0</v>
      </c>
      <c r="O1052">
        <v>5.431724E-4</v>
      </c>
      <c r="P1052">
        <v>0.99375380000000002</v>
      </c>
      <c r="Q1052">
        <v>2.4709479999999902E-3</v>
      </c>
      <c r="R1052">
        <v>0.11156869999999899</v>
      </c>
      <c r="S1052">
        <v>3.0132140000000001</v>
      </c>
      <c r="T1052">
        <v>-0.1523236</v>
      </c>
      <c r="U1052">
        <v>5.3283690000000002E-2</v>
      </c>
      <c r="V1052">
        <v>-0.1110553</v>
      </c>
      <c r="W1052">
        <v>1.6389890000000001E-2</v>
      </c>
      <c r="X1052">
        <v>0.99367899999999998</v>
      </c>
      <c r="Y1052">
        <v>-1.7116280000000001E-2</v>
      </c>
      <c r="Z1052">
        <v>4.0487879999999898E-4</v>
      </c>
      <c r="AA1052">
        <v>0.9998534</v>
      </c>
      <c r="AB1052">
        <v>29</v>
      </c>
      <c r="AC1052">
        <v>20.7244999999999</v>
      </c>
      <c r="AD1052">
        <v>-1.055430246901</v>
      </c>
      <c r="AE1052">
        <v>0.36860000000001403</v>
      </c>
      <c r="AF1052">
        <v>-0.35641775006541099</v>
      </c>
      <c r="AG1052">
        <v>-1.055430246901</v>
      </c>
      <c r="AH1052">
        <v>20.6711030435902</v>
      </c>
      <c r="AI1052">
        <v>92.922450155238096</v>
      </c>
      <c r="AJ1052">
        <v>90.987814216424994</v>
      </c>
      <c r="AK1052">
        <v>20.701098223460502</v>
      </c>
    </row>
    <row r="1053" spans="1:37" x14ac:dyDescent="0.2">
      <c r="A1053" t="str">
        <f>"20200111155519613"</f>
        <v>20200111155519613</v>
      </c>
      <c r="B1053" t="str">
        <f>"1578729319603637"</f>
        <v>1578729319603637</v>
      </c>
      <c r="C1053" t="s">
        <v>37</v>
      </c>
      <c r="D1053">
        <v>4.6530649999999998</v>
      </c>
      <c r="E1053">
        <v>0.53577730000000001</v>
      </c>
      <c r="F1053" t="s">
        <v>38</v>
      </c>
      <c r="G1053">
        <v>-270.84030000000001</v>
      </c>
      <c r="H1053" s="1">
        <v>-4.2912940000000002E-6</v>
      </c>
      <c r="I1053">
        <v>367.47680000000003</v>
      </c>
      <c r="J1053">
        <v>-291.50240000000002</v>
      </c>
      <c r="K1053">
        <v>1.0554490000000001</v>
      </c>
      <c r="L1053">
        <v>367.10660000000001</v>
      </c>
      <c r="M1053">
        <v>0.99989879999999998</v>
      </c>
      <c r="N1053">
        <v>0</v>
      </c>
      <c r="O1053">
        <v>1.0903289999999999E-3</v>
      </c>
      <c r="P1053">
        <v>0.99373769999999995</v>
      </c>
      <c r="Q1053">
        <v>2.7399679999999902E-3</v>
      </c>
      <c r="R1053">
        <v>0.1117045</v>
      </c>
      <c r="S1053">
        <v>3.013245</v>
      </c>
      <c r="T1053">
        <v>-0.1526853</v>
      </c>
      <c r="U1053">
        <v>5.36499E-2</v>
      </c>
      <c r="V1053">
        <v>-0.1106492</v>
      </c>
      <c r="W1053">
        <v>1.6652589999999998E-2</v>
      </c>
      <c r="X1053">
        <v>0.99372000000000005</v>
      </c>
      <c r="Y1053">
        <v>-1.6691589999999999E-2</v>
      </c>
      <c r="Z1053">
        <v>3.6737439999999998E-4</v>
      </c>
      <c r="AA1053">
        <v>0.99986059999999999</v>
      </c>
      <c r="AB1053">
        <v>29</v>
      </c>
      <c r="AC1053">
        <v>20.662099999999999</v>
      </c>
      <c r="AD1053">
        <v>-1.055453291294</v>
      </c>
      <c r="AE1053">
        <v>0.37020000000001102</v>
      </c>
      <c r="AF1053">
        <v>-0.34676449349606803</v>
      </c>
      <c r="AG1053">
        <v>-1.055453291294</v>
      </c>
      <c r="AH1053">
        <v>20.6087336524165</v>
      </c>
      <c r="AI1053">
        <v>92.931363763494105</v>
      </c>
      <c r="AJ1053">
        <v>90.963973216887297</v>
      </c>
      <c r="AK1053">
        <v>20.638656206747001</v>
      </c>
    </row>
    <row r="1054" spans="1:37" x14ac:dyDescent="0.2">
      <c r="A1054" t="str">
        <f>"20200111155519624"</f>
        <v>20200111155519624</v>
      </c>
      <c r="B1054" t="str">
        <f>"1578729319613396"</f>
        <v>1578729319613396</v>
      </c>
      <c r="C1054" t="s">
        <v>37</v>
      </c>
      <c r="D1054">
        <v>4.6937550000000003</v>
      </c>
      <c r="E1054">
        <v>0.53578230000000004</v>
      </c>
      <c r="F1054" t="s">
        <v>38</v>
      </c>
      <c r="G1054">
        <v>-270.56880000000001</v>
      </c>
      <c r="H1054" s="1">
        <v>-4.4067910000000003E-6</v>
      </c>
      <c r="I1054">
        <v>367.48230000000001</v>
      </c>
      <c r="J1054">
        <v>-291.35770000000002</v>
      </c>
      <c r="K1054">
        <v>1.0554649999999901</v>
      </c>
      <c r="L1054">
        <v>367.10730000000001</v>
      </c>
      <c r="M1054">
        <v>0.99989819999999996</v>
      </c>
      <c r="N1054">
        <v>0</v>
      </c>
      <c r="O1054">
        <v>1.5724129999999999E-3</v>
      </c>
      <c r="P1054">
        <v>0.99369940000000001</v>
      </c>
      <c r="Q1054">
        <v>2.8381159999999999E-3</v>
      </c>
      <c r="R1054">
        <v>0.1120418</v>
      </c>
      <c r="S1054">
        <v>3.013245</v>
      </c>
      <c r="T1054">
        <v>-0.15192510000000001</v>
      </c>
      <c r="U1054">
        <v>5.4077149999999997E-2</v>
      </c>
      <c r="V1054">
        <v>-0.1105078</v>
      </c>
      <c r="W1054">
        <v>1.674556E-2</v>
      </c>
      <c r="X1054">
        <v>0.99373419999999901</v>
      </c>
      <c r="Y1054">
        <v>-1.6352490000000001E-2</v>
      </c>
      <c r="Z1054">
        <v>3.3271359999999999E-4</v>
      </c>
      <c r="AA1054">
        <v>0.99986620000000004</v>
      </c>
      <c r="AB1054">
        <v>29</v>
      </c>
      <c r="AC1054">
        <v>20.788900000000002</v>
      </c>
      <c r="AD1054">
        <v>-1.05546940679099</v>
      </c>
      <c r="AE1054">
        <v>0.375</v>
      </c>
      <c r="AF1054">
        <v>-0.34142770843741499</v>
      </c>
      <c r="AG1054">
        <v>-1.05546940679099</v>
      </c>
      <c r="AH1054">
        <v>20.736030632937101</v>
      </c>
      <c r="AI1054">
        <v>92.913461296699495</v>
      </c>
      <c r="AJ1054">
        <v>90.943314536999594</v>
      </c>
      <c r="AK1054">
        <v>20.765682145281598</v>
      </c>
    </row>
    <row r="1055" spans="1:37" x14ac:dyDescent="0.2">
      <c r="A1055" t="str">
        <f>"20200111155519635"</f>
        <v>20200111155519635</v>
      </c>
      <c r="B1055" t="str">
        <f>"1578729319633893"</f>
        <v>1578729319633893</v>
      </c>
      <c r="C1055" t="s">
        <v>37</v>
      </c>
      <c r="D1055">
        <v>4.6438629999999996</v>
      </c>
      <c r="E1055">
        <v>0.53589580000000003</v>
      </c>
      <c r="F1055" t="s">
        <v>38</v>
      </c>
      <c r="G1055">
        <v>-270.375</v>
      </c>
      <c r="H1055" s="1">
        <v>-4.4882950000000004E-6</v>
      </c>
      <c r="I1055">
        <v>367.49160000000001</v>
      </c>
      <c r="J1055">
        <v>-291.20679999999999</v>
      </c>
      <c r="K1055">
        <v>1.05548</v>
      </c>
      <c r="L1055">
        <v>367.108</v>
      </c>
      <c r="M1055">
        <v>0.99989740000000005</v>
      </c>
      <c r="N1055">
        <v>0</v>
      </c>
      <c r="O1055">
        <v>2.0814560000000002E-3</v>
      </c>
      <c r="P1055">
        <v>0.99367459999999996</v>
      </c>
      <c r="Q1055">
        <v>3.2371879999999998E-3</v>
      </c>
      <c r="R1055">
        <v>0.112251</v>
      </c>
      <c r="S1055">
        <v>3.0132140000000001</v>
      </c>
      <c r="T1055">
        <v>-0.1515695</v>
      </c>
      <c r="U1055">
        <v>5.52063E-2</v>
      </c>
      <c r="V1055">
        <v>-0.1102123</v>
      </c>
      <c r="W1055">
        <v>1.7140329999999999E-2</v>
      </c>
      <c r="X1055">
        <v>0.99376030000000004</v>
      </c>
      <c r="Y1055">
        <v>-1.6219109999999998E-2</v>
      </c>
      <c r="Z1055">
        <v>3.0299599999999998E-4</v>
      </c>
      <c r="AA1055">
        <v>0.99986839999999999</v>
      </c>
      <c r="AB1055">
        <v>29</v>
      </c>
      <c r="AC1055">
        <v>20.831799999999902</v>
      </c>
      <c r="AD1055">
        <v>-1.0554844882950001</v>
      </c>
      <c r="AE1055">
        <v>0.383600000000001</v>
      </c>
      <c r="AF1055">
        <v>-0.33936343920092699</v>
      </c>
      <c r="AG1055">
        <v>-1.0554844882950001</v>
      </c>
      <c r="AH1055">
        <v>20.779228215771699</v>
      </c>
      <c r="AI1055">
        <v>92.907462782787903</v>
      </c>
      <c r="AJ1055">
        <v>90.935663446689404</v>
      </c>
      <c r="AK1055">
        <v>20.808785170980499</v>
      </c>
    </row>
    <row r="1056" spans="1:37" x14ac:dyDescent="0.2">
      <c r="A1056" t="str">
        <f>"20200111155519647"</f>
        <v>20200111155519647</v>
      </c>
      <c r="B1056" t="str">
        <f>"1578729319643652"</f>
        <v>1578729319643652</v>
      </c>
      <c r="C1056" t="s">
        <v>37</v>
      </c>
      <c r="D1056">
        <v>4.6692960000000001</v>
      </c>
      <c r="E1056">
        <v>0.53589580000000003</v>
      </c>
      <c r="F1056" t="s">
        <v>38</v>
      </c>
      <c r="G1056">
        <v>-270.0573</v>
      </c>
      <c r="H1056" s="1">
        <v>-4.6241649999999998E-6</v>
      </c>
      <c r="I1056">
        <v>367.4941</v>
      </c>
      <c r="J1056">
        <v>-291.05919999999998</v>
      </c>
      <c r="K1056">
        <v>1.05549</v>
      </c>
      <c r="L1056">
        <v>367.10879999999997</v>
      </c>
      <c r="M1056">
        <v>0.99989609999999995</v>
      </c>
      <c r="N1056">
        <v>0</v>
      </c>
      <c r="O1056">
        <v>2.5850600000000001E-3</v>
      </c>
      <c r="P1056">
        <v>0.99361499999999903</v>
      </c>
      <c r="Q1056">
        <v>3.7079529999999999E-3</v>
      </c>
      <c r="R1056">
        <v>0.112763</v>
      </c>
      <c r="S1056">
        <v>3.0133359999999998</v>
      </c>
      <c r="T1056">
        <v>-0.15038219999999999</v>
      </c>
      <c r="U1056">
        <v>5.502319E-2</v>
      </c>
      <c r="V1056">
        <v>-0.1102252</v>
      </c>
      <c r="W1056">
        <v>1.7607560000000001E-2</v>
      </c>
      <c r="X1056">
        <v>0.99375069999999999</v>
      </c>
      <c r="Y1056">
        <v>-1.565563E-2</v>
      </c>
      <c r="Z1056">
        <v>2.6144610000000001E-4</v>
      </c>
      <c r="AA1056">
        <v>0.99987739999999903</v>
      </c>
      <c r="AB1056">
        <v>29</v>
      </c>
      <c r="AC1056">
        <v>21.0018999999999</v>
      </c>
      <c r="AD1056">
        <v>-1.0554946241650001</v>
      </c>
      <c r="AE1056">
        <v>0.38530000000002901</v>
      </c>
      <c r="AF1056">
        <v>-0.330168429752698</v>
      </c>
      <c r="AG1056">
        <v>-1.0554946241650001</v>
      </c>
      <c r="AH1056">
        <v>20.9499289070468</v>
      </c>
      <c r="AI1056">
        <v>92.883866898926399</v>
      </c>
      <c r="AJ1056">
        <v>90.902900037806404</v>
      </c>
      <c r="AK1056">
        <v>20.979099153775898</v>
      </c>
    </row>
    <row r="1057" spans="1:37" x14ac:dyDescent="0.2">
      <c r="A1057" t="str">
        <f>"20200111155519660"</f>
        <v>20200111155519660</v>
      </c>
      <c r="B1057" t="str">
        <f>"1578729319653413"</f>
        <v>1578729319653413</v>
      </c>
      <c r="C1057" t="s">
        <v>37</v>
      </c>
      <c r="D1057">
        <v>4.7967849999999999</v>
      </c>
      <c r="E1057">
        <v>0.58070429999999995</v>
      </c>
      <c r="F1057" t="s">
        <v>38</v>
      </c>
      <c r="G1057">
        <v>-269.702</v>
      </c>
      <c r="H1057" s="1">
        <v>-6.4814820000000003E-7</v>
      </c>
      <c r="I1057">
        <v>367.50909999999999</v>
      </c>
      <c r="J1057">
        <v>-290.90140000000002</v>
      </c>
      <c r="K1057">
        <v>1.055499</v>
      </c>
      <c r="L1057">
        <v>367.10969999999998</v>
      </c>
      <c r="M1057">
        <v>0.99989470000000003</v>
      </c>
      <c r="N1057">
        <v>0</v>
      </c>
      <c r="O1057">
        <v>3.125007E-3</v>
      </c>
      <c r="P1057">
        <v>0.99355419999999905</v>
      </c>
      <c r="Q1057">
        <v>4.2987709999999998E-3</v>
      </c>
      <c r="R1057">
        <v>0.1132775</v>
      </c>
      <c r="S1057">
        <v>3.013458</v>
      </c>
      <c r="T1057">
        <v>-0.14892729999999901</v>
      </c>
      <c r="U1057">
        <v>5.6488040000000003E-2</v>
      </c>
      <c r="V1057">
        <v>-0.1102046</v>
      </c>
      <c r="W1057">
        <v>1.8194450000000001E-2</v>
      </c>
      <c r="X1057">
        <v>0.99374240000000003</v>
      </c>
      <c r="Y1057">
        <v>-1.560187E-2</v>
      </c>
      <c r="Z1057">
        <v>2.3091250000000001E-4</v>
      </c>
      <c r="AA1057">
        <v>0.99987819999999905</v>
      </c>
      <c r="AB1057">
        <v>29</v>
      </c>
      <c r="AC1057">
        <v>21.199400000000001</v>
      </c>
      <c r="AD1057">
        <v>-1.0554996481482</v>
      </c>
      <c r="AE1057">
        <v>0.39940000000001402</v>
      </c>
      <c r="AF1057">
        <v>-0.33231960909002201</v>
      </c>
      <c r="AG1057">
        <v>-1.0554996481482</v>
      </c>
      <c r="AH1057">
        <v>21.1481379896329</v>
      </c>
      <c r="AI1057">
        <v>92.856898735525107</v>
      </c>
      <c r="AJ1057">
        <v>90.9002657392179</v>
      </c>
      <c r="AK1057">
        <v>21.177069113982299</v>
      </c>
    </row>
    <row r="1058" spans="1:37" x14ac:dyDescent="0.2">
      <c r="A1058" t="str">
        <f>"20200111155519672"</f>
        <v>20200111155519672</v>
      </c>
      <c r="B1058" t="str">
        <f>"1578729319663173"</f>
        <v>1578729319663173</v>
      </c>
      <c r="C1058" t="s">
        <v>37</v>
      </c>
      <c r="D1058">
        <v>4.6361520000000001</v>
      </c>
      <c r="E1058">
        <v>0.58917330000000001</v>
      </c>
      <c r="F1058" t="s">
        <v>38</v>
      </c>
      <c r="G1058">
        <v>-262.5874</v>
      </c>
      <c r="H1058" s="1">
        <v>-4.0963899999999996E-6</v>
      </c>
      <c r="I1058">
        <v>364.35039999999998</v>
      </c>
      <c r="J1058">
        <v>-290.73500000000001</v>
      </c>
      <c r="K1058">
        <v>1.0555049999999999</v>
      </c>
      <c r="L1058">
        <v>367.11090000000002</v>
      </c>
      <c r="M1058">
        <v>0.99989280000000003</v>
      </c>
      <c r="N1058">
        <v>0</v>
      </c>
      <c r="O1058">
        <v>3.6959520000000002E-3</v>
      </c>
      <c r="P1058">
        <v>0.99349869999999996</v>
      </c>
      <c r="Q1058">
        <v>4.507301E-3</v>
      </c>
      <c r="R1058">
        <v>0.1137565</v>
      </c>
      <c r="S1058">
        <v>3.0538939999999899</v>
      </c>
      <c r="T1058">
        <v>-0.1138443</v>
      </c>
      <c r="U1058">
        <v>-0.29760740000000002</v>
      </c>
      <c r="V1058">
        <v>-0.11011700000000001</v>
      </c>
      <c r="W1058">
        <v>1.8400409999999999E-2</v>
      </c>
      <c r="X1058">
        <v>0.99374830000000003</v>
      </c>
      <c r="Y1058">
        <v>0.1005988</v>
      </c>
      <c r="Z1058">
        <v>-2.0074310000000001E-3</v>
      </c>
      <c r="AA1058">
        <v>0.99492499999999995</v>
      </c>
      <c r="AB1058">
        <v>29</v>
      </c>
      <c r="AC1058">
        <v>28.147600000000001</v>
      </c>
      <c r="AD1058">
        <v>-1.05550909639</v>
      </c>
      <c r="AE1058">
        <v>-2.7605000000000302</v>
      </c>
      <c r="AF1058">
        <v>2.8605396465408499</v>
      </c>
      <c r="AG1058">
        <v>-1.05550909639</v>
      </c>
      <c r="AH1058">
        <v>28.0980694445099</v>
      </c>
      <c r="AI1058">
        <v>92.140262556113996</v>
      </c>
      <c r="AJ1058">
        <v>84.186998675509102</v>
      </c>
      <c r="AK1058">
        <v>28.263019885187401</v>
      </c>
    </row>
    <row r="1059" spans="1:37" x14ac:dyDescent="0.2">
      <c r="A1059" t="str">
        <f>"20200111155519686"</f>
        <v>20200111155519686</v>
      </c>
      <c r="B1059" t="str">
        <f>"1578729319683669"</f>
        <v>1578729319683669</v>
      </c>
      <c r="C1059" t="s">
        <v>37</v>
      </c>
      <c r="D1059">
        <v>4.5977639999999997</v>
      </c>
      <c r="E1059">
        <v>0.59749039999999998</v>
      </c>
      <c r="F1059" t="s">
        <v>38</v>
      </c>
      <c r="G1059">
        <v>-252.4014</v>
      </c>
      <c r="H1059" s="1">
        <v>-4.494426E-6</v>
      </c>
      <c r="I1059">
        <v>362.55619999999999</v>
      </c>
      <c r="J1059">
        <v>-290.5591</v>
      </c>
      <c r="K1059">
        <v>1.0555129999999999</v>
      </c>
      <c r="L1059">
        <v>367.11219999999997</v>
      </c>
      <c r="M1059">
        <v>0.99989030000000001</v>
      </c>
      <c r="N1059">
        <v>0</v>
      </c>
      <c r="O1059">
        <v>4.2994740000000002E-3</v>
      </c>
      <c r="P1059">
        <v>0.99340759999999995</v>
      </c>
      <c r="Q1059">
        <v>4.938217E-3</v>
      </c>
      <c r="R1059">
        <v>0.1145292</v>
      </c>
      <c r="S1059">
        <v>3.0616460000000001</v>
      </c>
      <c r="T1059">
        <v>-8.4301650000000006E-2</v>
      </c>
      <c r="U1059">
        <v>-0.36376950000000002</v>
      </c>
      <c r="V1059">
        <v>-0.110290899999999</v>
      </c>
      <c r="W1059">
        <v>1.8828060000000001E-2</v>
      </c>
      <c r="X1059">
        <v>0.99372099999999997</v>
      </c>
      <c r="Y1059">
        <v>0.1222067</v>
      </c>
      <c r="Z1059">
        <v>-1.794222E-3</v>
      </c>
      <c r="AA1059">
        <v>0.99250300000000002</v>
      </c>
      <c r="AB1059">
        <v>29</v>
      </c>
      <c r="AC1059">
        <v>38.157699999999998</v>
      </c>
      <c r="AD1059">
        <v>-1.055517494426</v>
      </c>
      <c r="AE1059">
        <v>-4.5559999999999796</v>
      </c>
      <c r="AF1059">
        <v>4.7164741541625697</v>
      </c>
      <c r="AG1059">
        <v>-1.055517494426</v>
      </c>
      <c r="AH1059">
        <v>38.109006304501797</v>
      </c>
      <c r="AI1059">
        <v>91.574527411236105</v>
      </c>
      <c r="AJ1059">
        <v>82.944794721422397</v>
      </c>
      <c r="AK1059">
        <v>38.414263069131998</v>
      </c>
    </row>
    <row r="1060" spans="1:37" x14ac:dyDescent="0.2">
      <c r="A1060" t="str">
        <f>"20200111155519698"</f>
        <v>20200111155519698</v>
      </c>
      <c r="B1060" t="str">
        <f>"1578729319693429"</f>
        <v>1578729319693429</v>
      </c>
      <c r="C1060" t="s">
        <v>37</v>
      </c>
      <c r="D1060">
        <v>4.6154710000000003</v>
      </c>
      <c r="E1060">
        <v>0.59970349999999994</v>
      </c>
      <c r="F1060" t="s">
        <v>38</v>
      </c>
      <c r="G1060">
        <v>-241.51480000000001</v>
      </c>
      <c r="H1060" s="1">
        <v>-5.726386E-6</v>
      </c>
      <c r="I1060">
        <v>360.28179999999998</v>
      </c>
      <c r="J1060">
        <v>-290.40289999999999</v>
      </c>
      <c r="K1060">
        <v>1.055515</v>
      </c>
      <c r="L1060">
        <v>367.11329999999998</v>
      </c>
      <c r="M1060">
        <v>0.99988790000000005</v>
      </c>
      <c r="N1060">
        <v>0</v>
      </c>
      <c r="O1060">
        <v>4.8350249999999997E-3</v>
      </c>
      <c r="P1060">
        <v>0.99336990000000003</v>
      </c>
      <c r="Q1060">
        <v>4.756588E-3</v>
      </c>
      <c r="R1060">
        <v>0.1148637</v>
      </c>
      <c r="S1060">
        <v>3.0695189999999899</v>
      </c>
      <c r="T1060">
        <v>-6.6061259999999997E-2</v>
      </c>
      <c r="U1060">
        <v>-0.42749019999999999</v>
      </c>
      <c r="V1060">
        <v>-0.1100928</v>
      </c>
      <c r="W1060">
        <v>1.8645470000000001E-2</v>
      </c>
      <c r="X1060">
        <v>0.99374640000000003</v>
      </c>
      <c r="Y1060">
        <v>0.14269229999999899</v>
      </c>
      <c r="Z1060">
        <v>-1.6315069999999999E-3</v>
      </c>
      <c r="AA1060">
        <v>0.98976580000000003</v>
      </c>
      <c r="AB1060">
        <v>29</v>
      </c>
      <c r="AC1060">
        <v>48.888099999999902</v>
      </c>
      <c r="AD1060">
        <v>-1.055520726386</v>
      </c>
      <c r="AE1060">
        <v>-6.8315000000000001</v>
      </c>
      <c r="AF1060">
        <v>7.0645889574297902</v>
      </c>
      <c r="AG1060">
        <v>-1.055520726386</v>
      </c>
      <c r="AH1060">
        <v>48.832167430856899</v>
      </c>
      <c r="AI1060">
        <v>91.225516754520797</v>
      </c>
      <c r="AJ1060">
        <v>81.768086738470004</v>
      </c>
      <c r="AK1060">
        <v>49.3518299269289</v>
      </c>
    </row>
    <row r="1061" spans="1:37" x14ac:dyDescent="0.2">
      <c r="A1061" t="str">
        <f>"20200111155519710"</f>
        <v>20200111155519710</v>
      </c>
      <c r="B1061" t="str">
        <f>"1578729319703189"</f>
        <v>1578729319703189</v>
      </c>
      <c r="C1061" t="s">
        <v>37</v>
      </c>
      <c r="D1061">
        <v>4.6138110000000001</v>
      </c>
      <c r="E1061">
        <v>0.6012864</v>
      </c>
      <c r="F1061" t="s">
        <v>38</v>
      </c>
      <c r="G1061">
        <v>-238.56290000000001</v>
      </c>
      <c r="H1061">
        <v>1.677277E-3</v>
      </c>
      <c r="I1061">
        <v>359.6164</v>
      </c>
      <c r="J1061">
        <v>-290.2482</v>
      </c>
      <c r="K1061">
        <v>1.0555129999999999</v>
      </c>
      <c r="L1061">
        <v>367.11470000000003</v>
      </c>
      <c r="M1061">
        <v>0.99988519999999903</v>
      </c>
      <c r="N1061">
        <v>0</v>
      </c>
      <c r="O1061">
        <v>5.3623300000000002E-3</v>
      </c>
      <c r="P1061">
        <v>0.9933343</v>
      </c>
      <c r="Q1061">
        <v>4.7166830000000002E-3</v>
      </c>
      <c r="R1061">
        <v>0.115173499999999</v>
      </c>
      <c r="S1061">
        <v>3.0716860000000001</v>
      </c>
      <c r="T1061">
        <v>-6.2443079999999998E-2</v>
      </c>
      <c r="U1061">
        <v>-0.44421389999999999</v>
      </c>
      <c r="V1061">
        <v>-0.1098787</v>
      </c>
      <c r="W1061">
        <v>1.860494E-2</v>
      </c>
      <c r="X1061">
        <v>0.99377079999999995</v>
      </c>
      <c r="Y1061">
        <v>0.14840120000000001</v>
      </c>
      <c r="Z1061">
        <v>-1.608892E-3</v>
      </c>
      <c r="AA1061">
        <v>0.98892590000000002</v>
      </c>
      <c r="AB1061">
        <v>29</v>
      </c>
      <c r="AC1061">
        <v>51.685299999999899</v>
      </c>
      <c r="AD1061">
        <v>-1.0538357229999999</v>
      </c>
      <c r="AE1061">
        <v>-7.4983000000000199</v>
      </c>
      <c r="AF1061">
        <v>7.7722091028686799</v>
      </c>
      <c r="AG1061">
        <v>-1.0538357229999999</v>
      </c>
      <c r="AH1061">
        <v>51.623325357676698</v>
      </c>
      <c r="AI1061">
        <v>91.156440887007307</v>
      </c>
      <c r="AJ1061">
        <v>81.4380730888751</v>
      </c>
      <c r="AK1061">
        <v>52.215759355335699</v>
      </c>
    </row>
    <row r="1062" spans="1:37" x14ac:dyDescent="0.2">
      <c r="A1062" t="str">
        <f>"20200111155519721"</f>
        <v>20200111155519721</v>
      </c>
      <c r="B1062" t="str">
        <f>"1578729319713924"</f>
        <v>1578729319713924</v>
      </c>
      <c r="C1062" t="s">
        <v>37</v>
      </c>
      <c r="D1062">
        <v>4.6288010000000002</v>
      </c>
      <c r="E1062">
        <v>0.60270859999999904</v>
      </c>
      <c r="F1062" t="s">
        <v>38</v>
      </c>
      <c r="G1062">
        <v>-238.64320000000001</v>
      </c>
      <c r="H1062">
        <v>7.9985760000000003E-2</v>
      </c>
      <c r="I1062">
        <v>359.4624</v>
      </c>
      <c r="J1062">
        <v>-290.10910000000001</v>
      </c>
      <c r="K1062">
        <v>1.0555159999999999</v>
      </c>
      <c r="L1062">
        <v>367.11590000000001</v>
      </c>
      <c r="M1062">
        <v>0.99988250000000001</v>
      </c>
      <c r="N1062">
        <v>0</v>
      </c>
      <c r="O1062">
        <v>5.8356909999999996E-3</v>
      </c>
      <c r="P1062">
        <v>0.9932957</v>
      </c>
      <c r="Q1062">
        <v>4.4987969999999997E-3</v>
      </c>
      <c r="R1062">
        <v>0.1155134</v>
      </c>
      <c r="S1062">
        <v>3.0732729999999999</v>
      </c>
      <c r="T1062">
        <v>-5.8096229999999999E-2</v>
      </c>
      <c r="U1062">
        <v>-0.45571899999999999</v>
      </c>
      <c r="V1062">
        <v>-0.10974780000000001</v>
      </c>
      <c r="W1062">
        <v>1.8386110000000001E-2</v>
      </c>
      <c r="X1062">
        <v>0.99378940000000004</v>
      </c>
      <c r="Y1062">
        <v>0.1524237</v>
      </c>
      <c r="Z1062">
        <v>-1.542456E-3</v>
      </c>
      <c r="AA1062">
        <v>0.98831399999999903</v>
      </c>
      <c r="AB1062">
        <v>29</v>
      </c>
      <c r="AC1062">
        <v>51.465899999999998</v>
      </c>
      <c r="AD1062">
        <v>-0.97553023999999999</v>
      </c>
      <c r="AE1062">
        <v>-7.6535000000000002</v>
      </c>
      <c r="AF1062">
        <v>7.9509440507182303</v>
      </c>
      <c r="AG1062">
        <v>-0.97553023999999999</v>
      </c>
      <c r="AH1062">
        <v>51.402286898139998</v>
      </c>
      <c r="AI1062">
        <v>91.074473475621801</v>
      </c>
      <c r="AJ1062">
        <v>81.207130666489505</v>
      </c>
      <c r="AK1062">
        <v>52.022728387748899</v>
      </c>
    </row>
    <row r="1063" spans="1:37" x14ac:dyDescent="0.2">
      <c r="A1063" t="str">
        <f>"20200111155519733"</f>
        <v>20200111155519733</v>
      </c>
      <c r="B1063" t="str">
        <f>"1578729319723685"</f>
        <v>1578729319723685</v>
      </c>
      <c r="C1063" t="s">
        <v>37</v>
      </c>
      <c r="D1063">
        <v>4.5997309999999896</v>
      </c>
      <c r="E1063">
        <v>0.60378039999999999</v>
      </c>
      <c r="F1063" t="s">
        <v>38</v>
      </c>
      <c r="G1063">
        <v>-236.92089999999999</v>
      </c>
      <c r="H1063">
        <v>7.9986290000000002E-2</v>
      </c>
      <c r="I1063">
        <v>359.05720000000002</v>
      </c>
      <c r="J1063">
        <v>-289.95580000000001</v>
      </c>
      <c r="K1063">
        <v>1.055515</v>
      </c>
      <c r="L1063">
        <v>367.1173</v>
      </c>
      <c r="M1063">
        <v>0.99987950000000003</v>
      </c>
      <c r="N1063">
        <v>0</v>
      </c>
      <c r="O1063">
        <v>6.3545199999999998E-3</v>
      </c>
      <c r="P1063">
        <v>0.99327699999999997</v>
      </c>
      <c r="Q1063">
        <v>4.4728789999999999E-3</v>
      </c>
      <c r="R1063">
        <v>0.1156773</v>
      </c>
      <c r="S1063">
        <v>3.0746769999999999</v>
      </c>
      <c r="T1063">
        <v>-5.6392789999999998E-2</v>
      </c>
      <c r="U1063">
        <v>-0.46585079999999901</v>
      </c>
      <c r="V1063">
        <v>-0.1093958</v>
      </c>
      <c r="W1063">
        <v>1.835989E-2</v>
      </c>
      <c r="X1063">
        <v>0.99382870000000001</v>
      </c>
      <c r="Y1063">
        <v>0.15605620000000001</v>
      </c>
      <c r="Z1063">
        <v>-1.538782E-3</v>
      </c>
      <c r="AA1063">
        <v>0.98774699999999904</v>
      </c>
      <c r="AB1063">
        <v>29</v>
      </c>
      <c r="AC1063">
        <v>53.0349</v>
      </c>
      <c r="AD1063">
        <v>-0.97552870999999997</v>
      </c>
      <c r="AE1063">
        <v>-8.0600999999999701</v>
      </c>
      <c r="AF1063">
        <v>8.3942063740379602</v>
      </c>
      <c r="AG1063">
        <v>-0.97552870999999997</v>
      </c>
      <c r="AH1063">
        <v>52.965090017634303</v>
      </c>
      <c r="AI1063">
        <v>91.042169137320499</v>
      </c>
      <c r="AJ1063">
        <v>80.9943434738653</v>
      </c>
      <c r="AK1063">
        <v>53.635017642302302</v>
      </c>
    </row>
    <row r="1064" spans="1:37" x14ac:dyDescent="0.2">
      <c r="A1064" t="str">
        <f>"20200111155519745"</f>
        <v>20200111155519745</v>
      </c>
      <c r="B1064" t="str">
        <f>"1578729319733445"</f>
        <v>1578729319733445</v>
      </c>
      <c r="C1064" t="s">
        <v>37</v>
      </c>
      <c r="D1064">
        <v>4.6159800000000004</v>
      </c>
      <c r="E1064">
        <v>0.60460499999999995</v>
      </c>
      <c r="F1064" t="s">
        <v>38</v>
      </c>
      <c r="G1064">
        <v>-234.3503</v>
      </c>
      <c r="H1064">
        <v>7.9985600000000004E-2</v>
      </c>
      <c r="I1064">
        <v>358.54790000000003</v>
      </c>
      <c r="J1064">
        <v>-289.8143</v>
      </c>
      <c r="K1064">
        <v>1.0555129999999999</v>
      </c>
      <c r="L1064">
        <v>367.11869999999999</v>
      </c>
      <c r="M1064">
        <v>0.9998764</v>
      </c>
      <c r="N1064">
        <v>0</v>
      </c>
      <c r="O1064">
        <v>6.8323430000000003E-3</v>
      </c>
      <c r="P1064">
        <v>0.99323719999999904</v>
      </c>
      <c r="Q1064">
        <v>4.6731139999999999E-3</v>
      </c>
      <c r="R1064">
        <v>0.11600869999999899</v>
      </c>
      <c r="S1064">
        <v>3.0757140000000001</v>
      </c>
      <c r="T1064">
        <v>-5.3959489999999999E-2</v>
      </c>
      <c r="U1064">
        <v>-0.473999</v>
      </c>
      <c r="V1064">
        <v>-0.1092528</v>
      </c>
      <c r="W1064">
        <v>1.855965E-2</v>
      </c>
      <c r="X1064">
        <v>0.99384069999999902</v>
      </c>
      <c r="Y1064">
        <v>0.15903699999999901</v>
      </c>
      <c r="Z1064">
        <v>-1.505939E-3</v>
      </c>
      <c r="AA1064">
        <v>0.98727149999999997</v>
      </c>
      <c r="AB1064">
        <v>29</v>
      </c>
      <c r="AC1064">
        <v>55.463999999999999</v>
      </c>
      <c r="AD1064">
        <v>-0.97552739999999905</v>
      </c>
      <c r="AE1064">
        <v>-8.5707999999999593</v>
      </c>
      <c r="AF1064">
        <v>8.9468837703618398</v>
      </c>
      <c r="AG1064">
        <v>-0.97552739999999905</v>
      </c>
      <c r="AH1064">
        <v>55.387405917529101</v>
      </c>
      <c r="AI1064">
        <v>90.996125340489201</v>
      </c>
      <c r="AJ1064">
        <v>80.824111776800905</v>
      </c>
      <c r="AK1064">
        <v>56.113840691772801</v>
      </c>
    </row>
    <row r="1065" spans="1:37" x14ac:dyDescent="0.2">
      <c r="A1065" t="str">
        <f>"20200111155519755"</f>
        <v>20200111155519755</v>
      </c>
      <c r="B1065" t="str">
        <f>"1578729319743205"</f>
        <v>1578729319743205</v>
      </c>
      <c r="C1065" t="s">
        <v>37</v>
      </c>
      <c r="D1065">
        <v>4.6029330000000002</v>
      </c>
      <c r="E1065">
        <v>0.60539730000000003</v>
      </c>
      <c r="F1065" t="s">
        <v>38</v>
      </c>
      <c r="G1065">
        <v>-230.45840000000001</v>
      </c>
      <c r="H1065">
        <v>7.9986769999999999E-2</v>
      </c>
      <c r="I1065">
        <v>357.86649999999997</v>
      </c>
      <c r="J1065">
        <v>-289.66680000000002</v>
      </c>
      <c r="K1065">
        <v>1.0555159999999999</v>
      </c>
      <c r="L1065">
        <v>367.12020000000001</v>
      </c>
      <c r="M1065">
        <v>0.99987289999999995</v>
      </c>
      <c r="N1065">
        <v>0</v>
      </c>
      <c r="O1065">
        <v>7.3295959999999999E-3</v>
      </c>
      <c r="P1065">
        <v>0.99319690000000005</v>
      </c>
      <c r="Q1065">
        <v>4.5467859999999997E-3</v>
      </c>
      <c r="R1065">
        <v>0.11635909999999999</v>
      </c>
      <c r="S1065">
        <v>3.0766909999999998</v>
      </c>
      <c r="T1065">
        <v>-5.056596E-2</v>
      </c>
      <c r="U1065">
        <v>-0.4795837</v>
      </c>
      <c r="V1065">
        <v>-0.109109</v>
      </c>
      <c r="W1065">
        <v>1.8432830000000001E-2</v>
      </c>
      <c r="X1065">
        <v>0.99385889999999999</v>
      </c>
      <c r="Y1065">
        <v>0.16123309999999999</v>
      </c>
      <c r="Z1065">
        <v>-1.436669E-3</v>
      </c>
      <c r="AA1065">
        <v>0.98691530000000005</v>
      </c>
      <c r="AB1065">
        <v>29</v>
      </c>
      <c r="AC1065">
        <v>59.208399999999997</v>
      </c>
      <c r="AD1065">
        <v>-0.97552923000000002</v>
      </c>
      <c r="AE1065">
        <v>-9.2537000000000305</v>
      </c>
      <c r="AF1065">
        <v>9.6849021111089897</v>
      </c>
      <c r="AG1065">
        <v>-0.97552923000000002</v>
      </c>
      <c r="AH1065">
        <v>59.123309337934103</v>
      </c>
      <c r="AI1065">
        <v>90.932858662436999</v>
      </c>
      <c r="AJ1065">
        <v>80.697084772268894</v>
      </c>
      <c r="AK1065">
        <v>59.9192347518674</v>
      </c>
    </row>
    <row r="1066" spans="1:37" x14ac:dyDescent="0.2">
      <c r="A1066" t="str">
        <f>"20200111155519766"</f>
        <v>20200111155519766</v>
      </c>
      <c r="B1066" t="str">
        <f>"1578729319763701"</f>
        <v>1578729319763701</v>
      </c>
      <c r="C1066" t="s">
        <v>37</v>
      </c>
      <c r="D1066">
        <v>4.6416029999999999</v>
      </c>
      <c r="E1066">
        <v>0.60677740000000002</v>
      </c>
      <c r="F1066" t="s">
        <v>38</v>
      </c>
      <c r="G1066">
        <v>-226.81389999999999</v>
      </c>
      <c r="H1066">
        <v>7.9986399999999902E-2</v>
      </c>
      <c r="I1066">
        <v>357.22280000000001</v>
      </c>
      <c r="J1066">
        <v>-289.52670000000001</v>
      </c>
      <c r="K1066">
        <v>1.055515</v>
      </c>
      <c r="L1066">
        <v>367.12180000000001</v>
      </c>
      <c r="M1066">
        <v>0.99986929999999996</v>
      </c>
      <c r="N1066">
        <v>0</v>
      </c>
      <c r="O1066">
        <v>7.8012799999999998E-3</v>
      </c>
      <c r="P1066">
        <v>0.99314880000000005</v>
      </c>
      <c r="Q1066">
        <v>4.6830650000000001E-3</v>
      </c>
      <c r="R1066">
        <v>0.1167646</v>
      </c>
      <c r="S1066">
        <v>3.0775759999999899</v>
      </c>
      <c r="T1066">
        <v>-4.7766450000000002E-2</v>
      </c>
      <c r="U1066">
        <v>-0.48461909999999903</v>
      </c>
      <c r="V1066">
        <v>-0.10904610000000001</v>
      </c>
      <c r="W1066">
        <v>1.8568230000000002E-2</v>
      </c>
      <c r="X1066">
        <v>0.99386319999999995</v>
      </c>
      <c r="Y1066">
        <v>0.163233399999999</v>
      </c>
      <c r="Z1066">
        <v>-1.3792889999999999E-3</v>
      </c>
      <c r="AA1066">
        <v>0.98658650000000003</v>
      </c>
      <c r="AB1066">
        <v>29</v>
      </c>
      <c r="AC1066">
        <v>62.712800000000001</v>
      </c>
      <c r="AD1066">
        <v>-0.97552859999999997</v>
      </c>
      <c r="AE1066">
        <v>-9.8989999999999991</v>
      </c>
      <c r="AF1066">
        <v>10.3855359480284</v>
      </c>
      <c r="AG1066">
        <v>-0.97552859999999997</v>
      </c>
      <c r="AH1066">
        <v>62.618874867197398</v>
      </c>
      <c r="AI1066">
        <v>90.8805027956478</v>
      </c>
      <c r="AJ1066">
        <v>80.583036591179507</v>
      </c>
      <c r="AK1066">
        <v>63.481765118897997</v>
      </c>
    </row>
    <row r="1067" spans="1:37" x14ac:dyDescent="0.2">
      <c r="A1067" t="str">
        <f>"20200111155519779"</f>
        <v>20200111155519779</v>
      </c>
      <c r="B1067" t="str">
        <f>"1578729319773460"</f>
        <v>1578729319773460</v>
      </c>
      <c r="C1067" t="s">
        <v>37</v>
      </c>
      <c r="D1067">
        <v>4.8389300000000004</v>
      </c>
      <c r="E1067">
        <v>0.60676140000000001</v>
      </c>
      <c r="F1067" t="s">
        <v>38</v>
      </c>
      <c r="G1067">
        <v>-216.54830000000001</v>
      </c>
      <c r="H1067">
        <v>7.9986559999999998E-2</v>
      </c>
      <c r="I1067">
        <v>355.3956</v>
      </c>
      <c r="J1067">
        <v>-289.37439999999998</v>
      </c>
      <c r="K1067">
        <v>1.055515</v>
      </c>
      <c r="L1067">
        <v>367.12349999999998</v>
      </c>
      <c r="M1067">
        <v>0.99986520000000001</v>
      </c>
      <c r="N1067">
        <v>0</v>
      </c>
      <c r="O1067">
        <v>8.3138510000000006E-3</v>
      </c>
      <c r="P1067">
        <v>0.99307889999999999</v>
      </c>
      <c r="Q1067">
        <v>4.353895E-3</v>
      </c>
      <c r="R1067">
        <v>0.11736869999999899</v>
      </c>
      <c r="S1067">
        <v>3.0791019999999998</v>
      </c>
      <c r="T1067">
        <v>-4.1159389999999997E-2</v>
      </c>
      <c r="U1067">
        <v>-0.494751</v>
      </c>
      <c r="V1067">
        <v>-0.10914059999999901</v>
      </c>
      <c r="W1067">
        <v>1.8237360000000001E-2</v>
      </c>
      <c r="X1067">
        <v>0.99385900000000005</v>
      </c>
      <c r="Y1067">
        <v>0.16683410000000001</v>
      </c>
      <c r="Z1067">
        <v>-1.218359E-3</v>
      </c>
      <c r="AA1067">
        <v>0.98598419999999898</v>
      </c>
      <c r="AB1067">
        <v>29</v>
      </c>
      <c r="AC1067">
        <v>72.826099999999897</v>
      </c>
      <c r="AD1067">
        <v>-0.97552844000000005</v>
      </c>
      <c r="AE1067">
        <v>-11.727899999999901</v>
      </c>
      <c r="AF1067">
        <v>12.3308639832767</v>
      </c>
      <c r="AG1067">
        <v>-0.97552844000000005</v>
      </c>
      <c r="AH1067">
        <v>72.713351324119799</v>
      </c>
      <c r="AI1067">
        <v>90.757820705281503</v>
      </c>
      <c r="AJ1067">
        <v>80.375242077838095</v>
      </c>
      <c r="AK1067">
        <v>73.757937356573294</v>
      </c>
    </row>
    <row r="1068" spans="1:37" x14ac:dyDescent="0.2">
      <c r="A1068" t="str">
        <f>"20200111155519790"</f>
        <v>20200111155519790</v>
      </c>
      <c r="B1068" t="str">
        <f>"1578729319783220"</f>
        <v>1578729319783220</v>
      </c>
      <c r="C1068" t="s">
        <v>37</v>
      </c>
      <c r="D1068">
        <v>4.6636290000000002</v>
      </c>
      <c r="E1068">
        <v>0.60710759999999997</v>
      </c>
      <c r="F1068" t="s">
        <v>38</v>
      </c>
      <c r="G1068">
        <v>-212.67740000000001</v>
      </c>
      <c r="H1068">
        <v>7.9986249999999995E-2</v>
      </c>
      <c r="I1068">
        <v>354.84710000000001</v>
      </c>
      <c r="J1068">
        <v>-289.21789999999999</v>
      </c>
      <c r="K1068">
        <v>1.055515</v>
      </c>
      <c r="L1068">
        <v>367.12540000000001</v>
      </c>
      <c r="M1068">
        <v>0.99986059999999999</v>
      </c>
      <c r="N1068">
        <v>0</v>
      </c>
      <c r="O1068">
        <v>8.8400719999999992E-3</v>
      </c>
      <c r="P1068">
        <v>0.99300069999999996</v>
      </c>
      <c r="Q1068">
        <v>4.2754910000000002E-3</v>
      </c>
      <c r="R1068">
        <v>0.118032399999999</v>
      </c>
      <c r="S1068">
        <v>3.0793459999999899</v>
      </c>
      <c r="T1068">
        <v>-3.9166930000000003E-2</v>
      </c>
      <c r="U1068">
        <v>-0.49288939999999998</v>
      </c>
      <c r="V1068">
        <v>-0.1092815</v>
      </c>
      <c r="W1068">
        <v>1.8156789999999999E-2</v>
      </c>
      <c r="X1068">
        <v>0.99384499999999998</v>
      </c>
      <c r="Y1068">
        <v>0.16676099999999999</v>
      </c>
      <c r="Z1068">
        <v>-1.1655400000000001E-3</v>
      </c>
      <c r="AA1068">
        <v>0.98599669999999895</v>
      </c>
      <c r="AB1068">
        <v>29</v>
      </c>
      <c r="AC1068">
        <v>76.540499999999895</v>
      </c>
      <c r="AD1068">
        <v>-0.97552874999999994</v>
      </c>
      <c r="AE1068">
        <v>-12.2783</v>
      </c>
      <c r="AF1068">
        <v>12.952460321874099</v>
      </c>
      <c r="AG1068">
        <v>-0.97552874999999994</v>
      </c>
      <c r="AH1068">
        <v>76.416854829951802</v>
      </c>
      <c r="AI1068">
        <v>90.721107551800003</v>
      </c>
      <c r="AJ1068">
        <v>80.379943472151794</v>
      </c>
      <c r="AK1068">
        <v>77.512925288842794</v>
      </c>
    </row>
    <row r="1069" spans="1:37" x14ac:dyDescent="0.2">
      <c r="A1069" t="str">
        <f>"20200111155519803"</f>
        <v>20200111155519803</v>
      </c>
      <c r="B1069" t="str">
        <f>"1578729319793956"</f>
        <v>1578729319793956</v>
      </c>
      <c r="C1069" t="s">
        <v>37</v>
      </c>
      <c r="D1069">
        <v>4.6454240000000002</v>
      </c>
      <c r="E1069">
        <v>0.60748310000000005</v>
      </c>
      <c r="F1069" t="s">
        <v>38</v>
      </c>
      <c r="G1069">
        <v>-213.47290000000001</v>
      </c>
      <c r="H1069">
        <v>7.9986020000000005E-2</v>
      </c>
      <c r="I1069">
        <v>354.99029999999999</v>
      </c>
      <c r="J1069">
        <v>-289.06270000000001</v>
      </c>
      <c r="K1069">
        <v>1.055512</v>
      </c>
      <c r="L1069">
        <v>367.12729999999999</v>
      </c>
      <c r="M1069">
        <v>0.99985590000000002</v>
      </c>
      <c r="N1069">
        <v>0</v>
      </c>
      <c r="O1069">
        <v>9.3618219999999901E-3</v>
      </c>
      <c r="P1069">
        <v>0.99292729999999996</v>
      </c>
      <c r="Q1069">
        <v>3.9454579999999998E-3</v>
      </c>
      <c r="R1069">
        <v>0.1186595</v>
      </c>
      <c r="S1069">
        <v>3.0799560000000001</v>
      </c>
      <c r="T1069">
        <v>-3.9667130000000002E-2</v>
      </c>
      <c r="U1069">
        <v>-0.49343869999999901</v>
      </c>
      <c r="V1069">
        <v>-0.10939020000000001</v>
      </c>
      <c r="W1069">
        <v>1.7825919999999999E-2</v>
      </c>
      <c r="X1069">
        <v>0.99383899999999903</v>
      </c>
      <c r="Y1069">
        <v>0.16741600000000001</v>
      </c>
      <c r="Z1069">
        <v>-1.1910480000000001E-3</v>
      </c>
      <c r="AA1069">
        <v>0.98588560000000003</v>
      </c>
      <c r="AB1069">
        <v>29</v>
      </c>
      <c r="AC1069">
        <v>75.589799999999997</v>
      </c>
      <c r="AD1069">
        <v>-0.97552598000000001</v>
      </c>
      <c r="AE1069">
        <v>-12.137</v>
      </c>
      <c r="AF1069">
        <v>12.8421121041909</v>
      </c>
      <c r="AG1069">
        <v>-0.97552598000000001</v>
      </c>
      <c r="AH1069">
        <v>75.460598667892597</v>
      </c>
      <c r="AI1069">
        <v>90.730159924039697</v>
      </c>
      <c r="AJ1069">
        <v>80.341763605124598</v>
      </c>
      <c r="AK1069">
        <v>76.551769708812202</v>
      </c>
    </row>
    <row r="1070" spans="1:37" x14ac:dyDescent="0.2">
      <c r="A1070" t="str">
        <f>"20200111155519814"</f>
        <v>20200111155519814</v>
      </c>
      <c r="B1070" t="str">
        <f>"1578729319803717"</f>
        <v>1578729319803717</v>
      </c>
      <c r="C1070" t="s">
        <v>37</v>
      </c>
      <c r="D1070">
        <v>4.6702690000000002</v>
      </c>
      <c r="E1070">
        <v>0.60775199999999996</v>
      </c>
      <c r="F1070" t="s">
        <v>38</v>
      </c>
      <c r="G1070">
        <v>-213.08580000000001</v>
      </c>
      <c r="H1070">
        <v>7.9986130000000003E-2</v>
      </c>
      <c r="I1070">
        <v>354.93729999999999</v>
      </c>
      <c r="J1070">
        <v>-288.90589999999997</v>
      </c>
      <c r="K1070">
        <v>1.0555079999999999</v>
      </c>
      <c r="L1070">
        <v>367.1293</v>
      </c>
      <c r="M1070">
        <v>0.99985089999999999</v>
      </c>
      <c r="N1070">
        <v>0</v>
      </c>
      <c r="O1070">
        <v>9.8888759999999996E-3</v>
      </c>
      <c r="P1070">
        <v>0.99284099999999997</v>
      </c>
      <c r="Q1070">
        <v>3.566517E-3</v>
      </c>
      <c r="R1070">
        <v>0.119390699999999</v>
      </c>
      <c r="S1070">
        <v>3.080597</v>
      </c>
      <c r="T1070">
        <v>-3.9554119999999998E-2</v>
      </c>
      <c r="U1070">
        <v>-0.4942627</v>
      </c>
      <c r="V1070">
        <v>-0.1095971</v>
      </c>
      <c r="W1070">
        <v>1.7444499999999901E-2</v>
      </c>
      <c r="X1070">
        <v>0.99382299999999901</v>
      </c>
      <c r="Y1070">
        <v>0.1681607</v>
      </c>
      <c r="Z1070">
        <v>-1.1988630000000001E-3</v>
      </c>
      <c r="AA1070">
        <v>0.98575889999999999</v>
      </c>
      <c r="AB1070">
        <v>29</v>
      </c>
      <c r="AC1070">
        <v>75.820099999999897</v>
      </c>
      <c r="AD1070">
        <v>-0.97552187000000001</v>
      </c>
      <c r="AE1070">
        <v>-12.192</v>
      </c>
      <c r="AF1070">
        <v>12.9391664681793</v>
      </c>
      <c r="AG1070">
        <v>-0.97552187000000001</v>
      </c>
      <c r="AH1070">
        <v>75.683601750162097</v>
      </c>
      <c r="AI1070">
        <v>90.727911444056801</v>
      </c>
      <c r="AJ1070">
        <v>80.298285065411093</v>
      </c>
      <c r="AK1070">
        <v>76.787897781403302</v>
      </c>
    </row>
    <row r="1071" spans="1:37" x14ac:dyDescent="0.2">
      <c r="A1071" t="str">
        <f>"20200111155519827"</f>
        <v>20200111155519827</v>
      </c>
      <c r="B1071" t="str">
        <f>"1578729319823237"</f>
        <v>1578729319823237</v>
      </c>
      <c r="C1071" t="s">
        <v>37</v>
      </c>
      <c r="D1071">
        <v>4.6952860000000003</v>
      </c>
      <c r="E1071">
        <v>0.60818649999999996</v>
      </c>
      <c r="F1071" t="s">
        <v>38</v>
      </c>
      <c r="G1071">
        <v>-213.28020000000001</v>
      </c>
      <c r="H1071">
        <v>7.9986070000000006E-2</v>
      </c>
      <c r="I1071">
        <v>354.99079999999998</v>
      </c>
      <c r="J1071">
        <v>-288.76209999999998</v>
      </c>
      <c r="K1071">
        <v>1.055501</v>
      </c>
      <c r="L1071">
        <v>367.13130000000001</v>
      </c>
      <c r="M1071">
        <v>0.99984589999999995</v>
      </c>
      <c r="N1071">
        <v>0</v>
      </c>
      <c r="O1071">
        <v>1.0372960000000001E-2</v>
      </c>
      <c r="P1071">
        <v>0.99275990000000003</v>
      </c>
      <c r="Q1071">
        <v>3.1339709999999902E-3</v>
      </c>
      <c r="R1071">
        <v>0.1200755</v>
      </c>
      <c r="S1071">
        <v>3.0812680000000001</v>
      </c>
      <c r="T1071">
        <v>-3.9746280000000002E-2</v>
      </c>
      <c r="U1071">
        <v>-0.4945679</v>
      </c>
      <c r="V1071">
        <v>-0.1098008</v>
      </c>
      <c r="W1071">
        <v>1.7010649999999999E-2</v>
      </c>
      <c r="X1071">
        <v>0.99380800000000002</v>
      </c>
      <c r="Y1071">
        <v>0.1686993</v>
      </c>
      <c r="Z1071">
        <v>-1.2140779999999999E-3</v>
      </c>
      <c r="AA1071">
        <v>0.98566679999999995</v>
      </c>
      <c r="AB1071">
        <v>29</v>
      </c>
      <c r="AC1071">
        <v>75.481899999999897</v>
      </c>
      <c r="AD1071">
        <v>-0.97551493</v>
      </c>
      <c r="AE1071">
        <v>-12.140499999999999</v>
      </c>
      <c r="AF1071">
        <v>12.920792289534401</v>
      </c>
      <c r="AG1071">
        <v>-0.97551493</v>
      </c>
      <c r="AH1071">
        <v>75.339626362402996</v>
      </c>
      <c r="AI1071">
        <v>90.731164007759006</v>
      </c>
      <c r="AJ1071">
        <v>80.268411522038704</v>
      </c>
      <c r="AK1071">
        <v>76.445783423249907</v>
      </c>
    </row>
    <row r="1072" spans="1:37" x14ac:dyDescent="0.2">
      <c r="A1072" t="str">
        <f>"20200111155519837"</f>
        <v>20200111155519837</v>
      </c>
      <c r="B1072" t="str">
        <f>"1578729319833972"</f>
        <v>1578729319833972</v>
      </c>
      <c r="C1072" t="s">
        <v>37</v>
      </c>
      <c r="D1072">
        <v>4.7636459999999996</v>
      </c>
      <c r="E1072">
        <v>0.60851099999999902</v>
      </c>
      <c r="F1072" t="s">
        <v>38</v>
      </c>
      <c r="G1072">
        <v>-214.58420000000001</v>
      </c>
      <c r="H1072">
        <v>7.9985689999999998E-2</v>
      </c>
      <c r="I1072">
        <v>355.20139999999998</v>
      </c>
      <c r="J1072">
        <v>-288.61660000000001</v>
      </c>
      <c r="K1072">
        <v>1.055498</v>
      </c>
      <c r="L1072">
        <v>367.13330000000002</v>
      </c>
      <c r="M1072">
        <v>0.99984079999999997</v>
      </c>
      <c r="N1072">
        <v>0</v>
      </c>
      <c r="O1072">
        <v>1.086258E-2</v>
      </c>
      <c r="P1072">
        <v>0.99266840000000001</v>
      </c>
      <c r="Q1072">
        <v>2.5534860000000002E-3</v>
      </c>
      <c r="R1072">
        <v>0.1208434</v>
      </c>
      <c r="S1072">
        <v>3.0819700000000001</v>
      </c>
      <c r="T1072">
        <v>-4.0531039999999997E-2</v>
      </c>
      <c r="U1072">
        <v>-0.49566650000000001</v>
      </c>
      <c r="V1072">
        <v>-0.1100819</v>
      </c>
      <c r="W1072">
        <v>1.642803E-2</v>
      </c>
      <c r="X1072">
        <v>0.99378679999999997</v>
      </c>
      <c r="Y1072">
        <v>0.16948859999999999</v>
      </c>
      <c r="Z1072">
        <v>-1.2492899999999999E-3</v>
      </c>
      <c r="AA1072">
        <v>0.9855313</v>
      </c>
      <c r="AB1072">
        <v>29</v>
      </c>
      <c r="AC1072">
        <v>74.032399999999996</v>
      </c>
      <c r="AD1072">
        <v>-0.97551231000000005</v>
      </c>
      <c r="AE1072">
        <v>-11.931900000000001</v>
      </c>
      <c r="AF1072">
        <v>12.7333044395171</v>
      </c>
      <c r="AG1072">
        <v>-0.97551231000000005</v>
      </c>
      <c r="AH1072">
        <v>73.885903120390907</v>
      </c>
      <c r="AI1072">
        <v>90.745442072815905</v>
      </c>
      <c r="AJ1072">
        <v>80.221843668764393</v>
      </c>
      <c r="AK1072">
        <v>74.981433342742804</v>
      </c>
    </row>
    <row r="1073" spans="1:37" x14ac:dyDescent="0.2">
      <c r="A1073" t="str">
        <f>"20200111155519849"</f>
        <v>20200111155519849</v>
      </c>
      <c r="B1073" t="str">
        <f>"1578729319843733"</f>
        <v>1578729319843733</v>
      </c>
      <c r="C1073" t="s">
        <v>37</v>
      </c>
      <c r="D1073">
        <v>4.6950699999999896</v>
      </c>
      <c r="E1073">
        <v>0.60865069999999999</v>
      </c>
      <c r="F1073" t="s">
        <v>38</v>
      </c>
      <c r="G1073">
        <v>-217.5874</v>
      </c>
      <c r="H1073">
        <v>7.998624E-2</v>
      </c>
      <c r="I1073">
        <v>355.70670000000001</v>
      </c>
      <c r="J1073">
        <v>-288.46730000000002</v>
      </c>
      <c r="K1073">
        <v>1.0554950000000001</v>
      </c>
      <c r="L1073">
        <v>367.13549999999998</v>
      </c>
      <c r="M1073">
        <v>0.99983529999999998</v>
      </c>
      <c r="N1073">
        <v>0</v>
      </c>
      <c r="O1073">
        <v>1.136581E-2</v>
      </c>
      <c r="P1073">
        <v>0.99257969999999895</v>
      </c>
      <c r="Q1073">
        <v>2.1777070000000001E-3</v>
      </c>
      <c r="R1073">
        <v>0.1215762</v>
      </c>
      <c r="S1073">
        <v>3.0826419999999999</v>
      </c>
      <c r="T1073">
        <v>-4.2336819999999997E-2</v>
      </c>
      <c r="U1073">
        <v>-0.49591059999999998</v>
      </c>
      <c r="V1073">
        <v>-0.1103143</v>
      </c>
      <c r="W1073">
        <v>1.6046620000000001E-2</v>
      </c>
      <c r="X1073">
        <v>0.99376719999999896</v>
      </c>
      <c r="Y1073">
        <v>0.1700256</v>
      </c>
      <c r="Z1073">
        <v>-1.3151910000000001E-3</v>
      </c>
      <c r="AA1073">
        <v>0.98543879999999995</v>
      </c>
      <c r="AB1073">
        <v>29</v>
      </c>
      <c r="AC1073">
        <v>70.879900000000006</v>
      </c>
      <c r="AD1073">
        <v>-0.97550875999999997</v>
      </c>
      <c r="AE1073">
        <v>-11.428799999999899</v>
      </c>
      <c r="AF1073">
        <v>12.2314916302548</v>
      </c>
      <c r="AG1073">
        <v>-0.97550875999999997</v>
      </c>
      <c r="AH1073">
        <v>70.732351849693899</v>
      </c>
      <c r="AI1073">
        <v>90.778593363780104</v>
      </c>
      <c r="AJ1073">
        <v>80.189072556350695</v>
      </c>
      <c r="AK1073">
        <v>71.788763765861901</v>
      </c>
    </row>
    <row r="1074" spans="1:37" x14ac:dyDescent="0.2">
      <c r="A1074" t="str">
        <f>"20200111155519862"</f>
        <v>20200111155519862</v>
      </c>
      <c r="B1074" t="str">
        <f>"1578729319853493"</f>
        <v>1578729319853493</v>
      </c>
      <c r="C1074" t="s">
        <v>37</v>
      </c>
      <c r="D1074">
        <v>4.7072209999999997</v>
      </c>
      <c r="E1074">
        <v>0.60881030000000003</v>
      </c>
      <c r="F1074" t="s">
        <v>38</v>
      </c>
      <c r="G1074">
        <v>-220.62440000000001</v>
      </c>
      <c r="H1074">
        <v>7.9986799999999997E-2</v>
      </c>
      <c r="I1074">
        <v>356.2466</v>
      </c>
      <c r="J1074">
        <v>-288.30329999999998</v>
      </c>
      <c r="K1074">
        <v>1.055488</v>
      </c>
      <c r="L1074">
        <v>367.1379</v>
      </c>
      <c r="M1074">
        <v>0.99982890000000002</v>
      </c>
      <c r="N1074">
        <v>0</v>
      </c>
      <c r="O1074">
        <v>1.1919249999999999E-2</v>
      </c>
      <c r="P1074">
        <v>0.9925079</v>
      </c>
      <c r="Q1074">
        <v>2.1534990000000001E-3</v>
      </c>
      <c r="R1074">
        <v>0.1221617</v>
      </c>
      <c r="S1074">
        <v>3.0831300000000001</v>
      </c>
      <c r="T1074">
        <v>-4.4332030000000001E-2</v>
      </c>
      <c r="U1074">
        <v>-0.49484250000000002</v>
      </c>
      <c r="V1074">
        <v>-0.110350399999999</v>
      </c>
      <c r="W1074">
        <v>1.6014670000000002E-2</v>
      </c>
      <c r="X1074">
        <v>0.99376369999999903</v>
      </c>
      <c r="Y1074">
        <v>0.17021210000000001</v>
      </c>
      <c r="Z1074">
        <v>-1.3862309999999999E-3</v>
      </c>
      <c r="AA1074">
        <v>0.98540649999999996</v>
      </c>
      <c r="AB1074">
        <v>29</v>
      </c>
      <c r="AC1074">
        <v>67.678899999999899</v>
      </c>
      <c r="AD1074">
        <v>-0.97550119999999896</v>
      </c>
      <c r="AE1074">
        <v>-10.891299999999999</v>
      </c>
      <c r="AF1074">
        <v>11.6949202812725</v>
      </c>
      <c r="AG1074">
        <v>-0.97550119999999896</v>
      </c>
      <c r="AH1074">
        <v>67.530586650062602</v>
      </c>
      <c r="AI1074">
        <v>90.815462211033505</v>
      </c>
      <c r="AJ1074">
        <v>80.174987362530004</v>
      </c>
      <c r="AK1074">
        <v>68.542708556622799</v>
      </c>
    </row>
    <row r="1075" spans="1:37" x14ac:dyDescent="0.2">
      <c r="A1075" t="str">
        <f>"20200111155519875"</f>
        <v>20200111155519875</v>
      </c>
      <c r="B1075" t="str">
        <f>"1578729319873988"</f>
        <v>1578729319873988</v>
      </c>
      <c r="C1075" t="s">
        <v>37</v>
      </c>
      <c r="D1075">
        <v>4.6988209999999997</v>
      </c>
      <c r="E1075">
        <v>0.60900799999999999</v>
      </c>
      <c r="F1075" t="s">
        <v>38</v>
      </c>
      <c r="G1075">
        <v>-222.2636</v>
      </c>
      <c r="H1075">
        <v>7.9986299999999996E-2</v>
      </c>
      <c r="I1075">
        <v>356.55959999999999</v>
      </c>
      <c r="J1075">
        <v>-288.12869999999998</v>
      </c>
      <c r="K1075">
        <v>1.0554840000000001</v>
      </c>
      <c r="L1075">
        <v>367.14060000000001</v>
      </c>
      <c r="M1075">
        <v>0.99982199999999999</v>
      </c>
      <c r="N1075">
        <v>0</v>
      </c>
      <c r="O1075">
        <v>1.2509080000000001E-2</v>
      </c>
      <c r="P1075">
        <v>0.99237160000000002</v>
      </c>
      <c r="Q1075">
        <v>1.9108059999999999E-3</v>
      </c>
      <c r="R1075">
        <v>0.12326769999999999</v>
      </c>
      <c r="S1075">
        <v>3.0835569999999999</v>
      </c>
      <c r="T1075">
        <v>-4.5548560000000002E-2</v>
      </c>
      <c r="U1075">
        <v>-0.493927</v>
      </c>
      <c r="V1075">
        <v>-0.1108711</v>
      </c>
      <c r="W1075">
        <v>1.5756740000000002E-2</v>
      </c>
      <c r="X1075">
        <v>0.99370990000000003</v>
      </c>
      <c r="Y1075">
        <v>0.17048569999999999</v>
      </c>
      <c r="Z1075">
        <v>-1.434774E-3</v>
      </c>
      <c r="AA1075">
        <v>0.98535910000000004</v>
      </c>
      <c r="AB1075">
        <v>29</v>
      </c>
      <c r="AC1075">
        <v>65.865099999999899</v>
      </c>
      <c r="AD1075">
        <v>-0.97549770000000002</v>
      </c>
      <c r="AE1075">
        <v>-10.581</v>
      </c>
      <c r="AF1075">
        <v>11.4017278866009</v>
      </c>
      <c r="AG1075">
        <v>-0.97549770000000002</v>
      </c>
      <c r="AH1075">
        <v>65.713522040444701</v>
      </c>
      <c r="AI1075">
        <v>90.837958523788899</v>
      </c>
      <c r="AJ1075">
        <v>80.156800038397094</v>
      </c>
      <c r="AK1075">
        <v>66.702458526824998</v>
      </c>
    </row>
    <row r="1076" spans="1:37" x14ac:dyDescent="0.2">
      <c r="A1076" t="str">
        <f>"20200111155519888"</f>
        <v>20200111155519888</v>
      </c>
      <c r="B1076" t="str">
        <f>"1578729319883749"</f>
        <v>1578729319883749</v>
      </c>
      <c r="C1076" t="s">
        <v>37</v>
      </c>
      <c r="D1076">
        <v>4.7143709999999999</v>
      </c>
      <c r="E1076">
        <v>0.60914630000000003</v>
      </c>
      <c r="F1076" t="s">
        <v>38</v>
      </c>
      <c r="G1076">
        <v>-223.69299999999899</v>
      </c>
      <c r="H1076">
        <v>7.9985870000000001E-2</v>
      </c>
      <c r="I1076">
        <v>356.85500000000002</v>
      </c>
      <c r="J1076">
        <v>-287.98110000000003</v>
      </c>
      <c r="K1076">
        <v>1.0554840000000001</v>
      </c>
      <c r="L1076">
        <v>367.14299999999997</v>
      </c>
      <c r="M1076">
        <v>0.99981589999999998</v>
      </c>
      <c r="N1076">
        <v>0</v>
      </c>
      <c r="O1076">
        <v>1.300714E-2</v>
      </c>
      <c r="P1076">
        <v>0.99228859999999997</v>
      </c>
      <c r="Q1076">
        <v>2.0136540000000001E-3</v>
      </c>
      <c r="R1076">
        <v>0.123933399999999</v>
      </c>
      <c r="S1076">
        <v>3.0843509999999998</v>
      </c>
      <c r="T1076">
        <v>-4.6694279999999998E-2</v>
      </c>
      <c r="U1076">
        <v>-0.4923401</v>
      </c>
      <c r="V1076">
        <v>-0.111043</v>
      </c>
      <c r="W1076">
        <v>1.5843510000000002E-2</v>
      </c>
      <c r="X1076">
        <v>0.9936893</v>
      </c>
      <c r="Y1076">
        <v>0.1704416</v>
      </c>
      <c r="Z1076">
        <v>-1.477711E-3</v>
      </c>
      <c r="AA1076">
        <v>0.98536669999999904</v>
      </c>
      <c r="AB1076">
        <v>29</v>
      </c>
      <c r="AC1076">
        <v>64.2881</v>
      </c>
      <c r="AD1076">
        <v>-0.97549812999999996</v>
      </c>
      <c r="AE1076">
        <v>-10.288</v>
      </c>
      <c r="AF1076">
        <v>11.1209204140756</v>
      </c>
      <c r="AG1076">
        <v>-0.97549812999999996</v>
      </c>
      <c r="AH1076">
        <v>64.134431643612601</v>
      </c>
      <c r="AI1076">
        <v>90.858603088118699</v>
      </c>
      <c r="AJ1076">
        <v>80.162719128349707</v>
      </c>
      <c r="AK1076">
        <v>65.098784855840805</v>
      </c>
    </row>
    <row r="1077" spans="1:37" x14ac:dyDescent="0.2">
      <c r="A1077" t="str">
        <f>"20200111155519899"</f>
        <v>20200111155519899</v>
      </c>
      <c r="B1077" t="str">
        <f>"1578729319893509"</f>
        <v>1578729319893509</v>
      </c>
      <c r="C1077" t="s">
        <v>37</v>
      </c>
      <c r="D1077">
        <v>4.7383540000000002</v>
      </c>
      <c r="E1077">
        <v>0.60925319999999905</v>
      </c>
      <c r="F1077" t="s">
        <v>38</v>
      </c>
      <c r="G1077">
        <v>-223.0086</v>
      </c>
      <c r="H1077">
        <v>7.9986070000000006E-2</v>
      </c>
      <c r="I1077">
        <v>356.79750000000001</v>
      </c>
      <c r="J1077">
        <v>-287.83150000000001</v>
      </c>
      <c r="K1077">
        <v>1.0554809999999999</v>
      </c>
      <c r="L1077">
        <v>367.14550000000003</v>
      </c>
      <c r="M1077">
        <v>0.99980939999999996</v>
      </c>
      <c r="N1077">
        <v>0</v>
      </c>
      <c r="O1077">
        <v>1.3512079999999999E-2</v>
      </c>
      <c r="P1077">
        <v>0.99219539999999995</v>
      </c>
      <c r="Q1077">
        <v>1.9481170000000001E-3</v>
      </c>
      <c r="R1077">
        <v>0.1246787</v>
      </c>
      <c r="S1077">
        <v>3.0847470000000001</v>
      </c>
      <c r="T1077">
        <v>-4.6314359999999999E-2</v>
      </c>
      <c r="U1077">
        <v>-0.49118040000000002</v>
      </c>
      <c r="V1077">
        <v>-0.1112876</v>
      </c>
      <c r="W1077">
        <v>1.5760070000000001E-2</v>
      </c>
      <c r="X1077">
        <v>0.99366330000000003</v>
      </c>
      <c r="Y1077">
        <v>0.1705585</v>
      </c>
      <c r="Z1077">
        <v>-1.473956E-3</v>
      </c>
      <c r="AA1077">
        <v>0.98534639999999996</v>
      </c>
      <c r="AB1077">
        <v>29</v>
      </c>
      <c r="AC1077">
        <v>64.822900000000004</v>
      </c>
      <c r="AD1077">
        <v>-0.97549492999999998</v>
      </c>
      <c r="AE1077">
        <v>-10.348000000000001</v>
      </c>
      <c r="AF1077">
        <v>11.2205564412971</v>
      </c>
      <c r="AG1077">
        <v>-0.97549492999999998</v>
      </c>
      <c r="AH1077">
        <v>64.662864389722401</v>
      </c>
      <c r="AI1077">
        <v>90.851566972869193</v>
      </c>
      <c r="AJ1077">
        <v>80.155832722810601</v>
      </c>
      <c r="AK1077">
        <v>65.636411451986206</v>
      </c>
    </row>
    <row r="1078" spans="1:37" x14ac:dyDescent="0.2">
      <c r="A1078" t="str">
        <f>"20200111155519912"</f>
        <v>20200111155519912</v>
      </c>
      <c r="B1078" t="str">
        <f>"1578729319903268"</f>
        <v>1578729319903268</v>
      </c>
      <c r="C1078" t="s">
        <v>37</v>
      </c>
      <c r="D1078">
        <v>4.7656619999999998</v>
      </c>
      <c r="E1078">
        <v>0.60888679999999995</v>
      </c>
      <c r="F1078" t="s">
        <v>38</v>
      </c>
      <c r="G1078">
        <v>-223.39789999999999</v>
      </c>
      <c r="H1078">
        <v>7.998595E-2</v>
      </c>
      <c r="I1078">
        <v>356.91300000000001</v>
      </c>
      <c r="J1078">
        <v>-287.6771</v>
      </c>
      <c r="K1078">
        <v>1.0554729999999899</v>
      </c>
      <c r="L1078">
        <v>367.1481</v>
      </c>
      <c r="M1078">
        <v>0.99980259999999999</v>
      </c>
      <c r="N1078">
        <v>0</v>
      </c>
      <c r="O1078">
        <v>1.4034110000000001E-2</v>
      </c>
      <c r="P1078">
        <v>0.99209950000000002</v>
      </c>
      <c r="Q1078">
        <v>2.1526900000000001E-3</v>
      </c>
      <c r="R1078">
        <v>0.1254364</v>
      </c>
      <c r="S1078">
        <v>3.0852659999999998</v>
      </c>
      <c r="T1078">
        <v>-4.6709420000000001E-2</v>
      </c>
      <c r="U1078">
        <v>-0.4899597</v>
      </c>
      <c r="V1078">
        <v>-0.111528</v>
      </c>
      <c r="W1078">
        <v>1.5938870000000001E-2</v>
      </c>
      <c r="X1078">
        <v>0.9936334</v>
      </c>
      <c r="Y1078">
        <v>0.1706666</v>
      </c>
      <c r="Z1078">
        <v>-1.4949970000000001E-3</v>
      </c>
      <c r="AA1078">
        <v>0.98532770000000003</v>
      </c>
      <c r="AB1078">
        <v>28</v>
      </c>
      <c r="AC1078">
        <v>64.279200000000003</v>
      </c>
      <c r="AD1078">
        <v>-0.97548705000000002</v>
      </c>
      <c r="AE1078">
        <v>-10.2350999999999</v>
      </c>
      <c r="AF1078">
        <v>11.1337816598485</v>
      </c>
      <c r="AG1078">
        <v>-0.97548705000000002</v>
      </c>
      <c r="AH1078">
        <v>64.114812809818602</v>
      </c>
      <c r="AI1078">
        <v>90.858819331197793</v>
      </c>
      <c r="AJ1078">
        <v>80.148610501130307</v>
      </c>
      <c r="AK1078">
        <v>65.0816555618553</v>
      </c>
    </row>
    <row r="1079" spans="1:37" x14ac:dyDescent="0.2">
      <c r="A1079" t="str">
        <f>"20200111155519923"</f>
        <v>20200111155519923</v>
      </c>
      <c r="B1079" t="str">
        <f>"1578729319914005"</f>
        <v>1578729319914005</v>
      </c>
      <c r="C1079" t="s">
        <v>37</v>
      </c>
      <c r="D1079">
        <v>5.0286080000000002</v>
      </c>
      <c r="E1079">
        <v>0.60888679999999995</v>
      </c>
      <c r="F1079" t="s">
        <v>38</v>
      </c>
      <c r="G1079">
        <v>-223.95660000000001</v>
      </c>
      <c r="H1079">
        <v>7.9985780000000006E-2</v>
      </c>
      <c r="I1079">
        <v>357.14109999999999</v>
      </c>
      <c r="J1079">
        <v>-287.53320000000002</v>
      </c>
      <c r="K1079">
        <v>1.0554709999999901</v>
      </c>
      <c r="L1079">
        <v>367.15069999999997</v>
      </c>
      <c r="M1079">
        <v>0.99979599999999902</v>
      </c>
      <c r="N1079">
        <v>0</v>
      </c>
      <c r="O1079">
        <v>1.452025E-2</v>
      </c>
      <c r="P1079">
        <v>0.99202219999999997</v>
      </c>
      <c r="Q1079">
        <v>2.297454E-3</v>
      </c>
      <c r="R1079">
        <v>0.12604209999999999</v>
      </c>
      <c r="S1079">
        <v>3.0852659999999998</v>
      </c>
      <c r="T1079">
        <v>-4.7231790000000003E-2</v>
      </c>
      <c r="U1079">
        <v>-0.4845276</v>
      </c>
      <c r="V1079">
        <v>-0.111651399999999</v>
      </c>
      <c r="W1079">
        <v>1.6058059999999999E-2</v>
      </c>
      <c r="X1079">
        <v>0.99361769999999905</v>
      </c>
      <c r="Y1079">
        <v>0.16945250000000001</v>
      </c>
      <c r="Z1079">
        <v>-1.510085E-3</v>
      </c>
      <c r="AA1079">
        <v>0.985537199999999</v>
      </c>
      <c r="AB1079">
        <v>28</v>
      </c>
      <c r="AC1079">
        <v>63.576599999999999</v>
      </c>
      <c r="AD1079">
        <v>-0.97548521999999904</v>
      </c>
      <c r="AE1079">
        <v>-10.009599999999899</v>
      </c>
      <c r="AF1079">
        <v>10.929272907812299</v>
      </c>
      <c r="AG1079">
        <v>-0.97548521999999904</v>
      </c>
      <c r="AH1079">
        <v>63.409972923846702</v>
      </c>
      <c r="AI1079">
        <v>90.868551416886703</v>
      </c>
      <c r="AJ1079">
        <v>80.220647585052504</v>
      </c>
      <c r="AK1079">
        <v>64.352352279546494</v>
      </c>
    </row>
    <row r="1080" spans="1:37" x14ac:dyDescent="0.2">
      <c r="A1080" t="str">
        <f>"20200111155519937"</f>
        <v>20200111155519937</v>
      </c>
      <c r="B1080" t="str">
        <f>"1578729319933525"</f>
        <v>1578729319933525</v>
      </c>
      <c r="C1080" t="s">
        <v>37</v>
      </c>
      <c r="D1080">
        <v>4.8339800000000004</v>
      </c>
      <c r="E1080">
        <v>0.54402799999999996</v>
      </c>
      <c r="F1080" t="s">
        <v>38</v>
      </c>
      <c r="G1080">
        <v>-223.47579999999999</v>
      </c>
      <c r="H1080">
        <v>7.9985920000000002E-2</v>
      </c>
      <c r="I1080">
        <v>357.12849999999997</v>
      </c>
      <c r="J1080">
        <v>-287.3587</v>
      </c>
      <c r="K1080">
        <v>1.055466</v>
      </c>
      <c r="L1080">
        <v>367.15379999999999</v>
      </c>
      <c r="M1080">
        <v>0.99978769999999995</v>
      </c>
      <c r="N1080">
        <v>0</v>
      </c>
      <c r="O1080">
        <v>1.5109630000000001E-2</v>
      </c>
      <c r="P1080">
        <v>0.99195409999999995</v>
      </c>
      <c r="Q1080">
        <v>2.2258859999999998E-3</v>
      </c>
      <c r="R1080">
        <v>0.1265799</v>
      </c>
      <c r="S1080">
        <v>3.0856020000000002</v>
      </c>
      <c r="T1080">
        <v>-4.6988370000000002E-2</v>
      </c>
      <c r="U1080">
        <v>-0.48275760000000001</v>
      </c>
      <c r="V1080">
        <v>-0.111604199999999</v>
      </c>
      <c r="W1080">
        <v>1.595365E-2</v>
      </c>
      <c r="X1080">
        <v>0.99362469999999903</v>
      </c>
      <c r="Y1080">
        <v>0.16946549999999999</v>
      </c>
      <c r="Z1080">
        <v>-1.511231E-3</v>
      </c>
      <c r="AA1080">
        <v>0.98553500000000005</v>
      </c>
      <c r="AB1080">
        <v>28</v>
      </c>
      <c r="AC1080">
        <v>63.882899999999999</v>
      </c>
      <c r="AD1080">
        <v>-0.97548007999999997</v>
      </c>
      <c r="AE1080">
        <v>-10.0253</v>
      </c>
      <c r="AF1080">
        <v>10.9869967977847</v>
      </c>
      <c r="AG1080">
        <v>-0.97548007999999997</v>
      </c>
      <c r="AH1080">
        <v>63.709614506098099</v>
      </c>
      <c r="AI1080">
        <v>90.864448672588594</v>
      </c>
      <c r="AJ1080">
        <v>80.215339262053703</v>
      </c>
      <c r="AK1080">
        <v>64.657409788334604</v>
      </c>
    </row>
    <row r="1081" spans="1:37" x14ac:dyDescent="0.2">
      <c r="A1081" t="str">
        <f>"20200111155519951"</f>
        <v>20200111155519951</v>
      </c>
      <c r="B1081" t="str">
        <f>"1578729319943285"</f>
        <v>1578729319943285</v>
      </c>
      <c r="C1081" t="s">
        <v>37</v>
      </c>
      <c r="D1081">
        <v>4.8426220000000004</v>
      </c>
      <c r="E1081">
        <v>0.54025069999999997</v>
      </c>
      <c r="F1081" t="s">
        <v>38</v>
      </c>
      <c r="G1081">
        <v>-267.31299999999999</v>
      </c>
      <c r="H1081" s="1">
        <v>-1.5321539999999999E-6</v>
      </c>
      <c r="I1081">
        <v>367.37759999999997</v>
      </c>
      <c r="J1081">
        <v>-287.18810000000002</v>
      </c>
      <c r="K1081">
        <v>1.055461</v>
      </c>
      <c r="L1081">
        <v>367.15699999999998</v>
      </c>
      <c r="M1081">
        <v>0.99977929999999904</v>
      </c>
      <c r="N1081">
        <v>0</v>
      </c>
      <c r="O1081">
        <v>1.568607E-2</v>
      </c>
      <c r="P1081">
        <v>0.99188410000000005</v>
      </c>
      <c r="Q1081">
        <v>2.0880779999999902E-3</v>
      </c>
      <c r="R1081">
        <v>0.127129399999999</v>
      </c>
      <c r="S1081">
        <v>3.020416</v>
      </c>
      <c r="T1081">
        <v>-0.15903339999999999</v>
      </c>
      <c r="U1081">
        <v>3.3721920000000002E-2</v>
      </c>
      <c r="V1081">
        <v>-0.11158129999999999</v>
      </c>
      <c r="W1081">
        <v>1.5781050000000001E-2</v>
      </c>
      <c r="X1081">
        <v>0.99362999999999901</v>
      </c>
      <c r="Y1081">
        <v>4.496079E-3</v>
      </c>
      <c r="Z1081">
        <v>-9.4363539999999999E-4</v>
      </c>
      <c r="AA1081">
        <v>0.99998940000000003</v>
      </c>
      <c r="AB1081">
        <v>28</v>
      </c>
      <c r="AC1081">
        <v>19.8751</v>
      </c>
      <c r="AD1081">
        <v>-1.0554625321539901</v>
      </c>
      <c r="AE1081">
        <v>0.22059999999999</v>
      </c>
      <c r="AF1081">
        <v>9.0963308759484704E-2</v>
      </c>
      <c r="AG1081">
        <v>-1.0554625321539901</v>
      </c>
      <c r="AH1081">
        <v>19.8202264392785</v>
      </c>
      <c r="AI1081">
        <v>93.048191605232802</v>
      </c>
      <c r="AJ1081">
        <v>89.737047550532907</v>
      </c>
      <c r="AK1081">
        <v>19.8485176168045</v>
      </c>
    </row>
    <row r="1082" spans="1:37" x14ac:dyDescent="0.2">
      <c r="A1082" t="str">
        <f>"20200111155519964"</f>
        <v>20200111155519964</v>
      </c>
      <c r="B1082" t="str">
        <f>"1578729319954021"</f>
        <v>1578729319954021</v>
      </c>
      <c r="C1082" t="s">
        <v>37</v>
      </c>
      <c r="D1082">
        <v>5.0282660000000003</v>
      </c>
      <c r="E1082">
        <v>0.53729130000000003</v>
      </c>
      <c r="F1082" t="s">
        <v>38</v>
      </c>
      <c r="G1082">
        <v>-267.49369999999999</v>
      </c>
      <c r="H1082" s="1">
        <v>-1.418167E-6</v>
      </c>
      <c r="I1082">
        <v>367.58300000000003</v>
      </c>
      <c r="J1082">
        <v>-287.0095</v>
      </c>
      <c r="K1082">
        <v>1.055453</v>
      </c>
      <c r="L1082">
        <v>367.16050000000001</v>
      </c>
      <c r="M1082">
        <v>0.99977019999999905</v>
      </c>
      <c r="N1082">
        <v>0</v>
      </c>
      <c r="O1082">
        <v>1.6288980000000002E-2</v>
      </c>
      <c r="P1082">
        <v>0.99181710000000001</v>
      </c>
      <c r="Q1082">
        <v>1.8930779999999901E-3</v>
      </c>
      <c r="R1082">
        <v>0.12765360000000001</v>
      </c>
      <c r="S1082">
        <v>3.0165410000000001</v>
      </c>
      <c r="T1082">
        <v>-0.16166259999999999</v>
      </c>
      <c r="U1082">
        <v>6.5246579999999998E-2</v>
      </c>
      <c r="V1082">
        <v>-0.1115073</v>
      </c>
      <c r="W1082">
        <v>1.555029E-2</v>
      </c>
      <c r="X1082">
        <v>0.99364189999999997</v>
      </c>
      <c r="Y1082">
        <v>-5.3506129999999997E-3</v>
      </c>
      <c r="Z1082">
        <v>-7.2899399999999995E-4</v>
      </c>
      <c r="AA1082">
        <v>0.99998539999999903</v>
      </c>
      <c r="AB1082">
        <v>28</v>
      </c>
      <c r="AC1082">
        <v>19.515799999999999</v>
      </c>
      <c r="AD1082">
        <v>-1.055454418167</v>
      </c>
      <c r="AE1082">
        <v>0.42250000000001298</v>
      </c>
      <c r="AF1082">
        <v>-0.104215908946859</v>
      </c>
      <c r="AG1082">
        <v>-1.055454418167</v>
      </c>
      <c r="AH1082">
        <v>19.463192418517</v>
      </c>
      <c r="AI1082">
        <v>93.103963862233599</v>
      </c>
      <c r="AJ1082">
        <v>90.306788041120996</v>
      </c>
      <c r="AK1082">
        <v>19.492067722659002</v>
      </c>
    </row>
    <row r="1083" spans="1:37" x14ac:dyDescent="0.2">
      <c r="A1083" t="str">
        <f>"20200111155519977"</f>
        <v>20200111155519977</v>
      </c>
      <c r="B1083" t="str">
        <f>"1578729319973540"</f>
        <v>1578729319973540</v>
      </c>
      <c r="C1083" t="s">
        <v>37</v>
      </c>
      <c r="D1083">
        <v>4.8350269999999904</v>
      </c>
      <c r="E1083">
        <v>0.53529079999999996</v>
      </c>
      <c r="F1083" t="s">
        <v>38</v>
      </c>
      <c r="G1083">
        <v>-266.83839999999998</v>
      </c>
      <c r="H1083" s="1">
        <v>-1.6670519999999901E-6</v>
      </c>
      <c r="I1083">
        <v>367.76490000000001</v>
      </c>
      <c r="J1083">
        <v>-286.84589999999997</v>
      </c>
      <c r="K1083">
        <v>1.0554459999999899</v>
      </c>
      <c r="L1083">
        <v>367.16370000000001</v>
      </c>
      <c r="M1083">
        <v>0.99976139999999902</v>
      </c>
      <c r="N1083">
        <v>0</v>
      </c>
      <c r="O1083">
        <v>1.6841330000000002E-2</v>
      </c>
      <c r="P1083">
        <v>0.99182219999999999</v>
      </c>
      <c r="Q1083">
        <v>1.4433579999999901E-3</v>
      </c>
      <c r="R1083">
        <v>0.12761900000000001</v>
      </c>
      <c r="S1083">
        <v>3.0134889999999999</v>
      </c>
      <c r="T1083">
        <v>-0.1576804</v>
      </c>
      <c r="U1083">
        <v>9.0301510000000001E-2</v>
      </c>
      <c r="V1083">
        <v>-0.11092249999999999</v>
      </c>
      <c r="W1083">
        <v>1.5068740000000001E-2</v>
      </c>
      <c r="X1083">
        <v>0.99371480000000001</v>
      </c>
      <c r="Y1083">
        <v>-1.3117770000000001E-2</v>
      </c>
      <c r="Z1083">
        <v>-5.3753790000000002E-4</v>
      </c>
      <c r="AA1083">
        <v>0.99991379999999996</v>
      </c>
      <c r="AB1083">
        <v>28</v>
      </c>
      <c r="AC1083">
        <v>20.0075</v>
      </c>
      <c r="AD1083">
        <v>-1.0554476670520001</v>
      </c>
      <c r="AE1083">
        <v>0.60120000000000495</v>
      </c>
      <c r="AF1083">
        <v>-0.26339687181384103</v>
      </c>
      <c r="AG1083">
        <v>-1.0554476670520001</v>
      </c>
      <c r="AH1083">
        <v>19.959294513975699</v>
      </c>
      <c r="AI1083">
        <v>93.0267189188922</v>
      </c>
      <c r="AJ1083">
        <v>90.7560714680926</v>
      </c>
      <c r="AK1083">
        <v>19.9889165585728</v>
      </c>
    </row>
    <row r="1084" spans="1:37" x14ac:dyDescent="0.2">
      <c r="A1084" t="str">
        <f>"20200111155519991"</f>
        <v>20200111155519991</v>
      </c>
      <c r="B1084" t="str">
        <f>"1578729319983300"</f>
        <v>1578729319983300</v>
      </c>
      <c r="C1084" t="s">
        <v>37</v>
      </c>
      <c r="D1084">
        <v>4.9617279999999999</v>
      </c>
      <c r="E1084">
        <v>0.53520179999999995</v>
      </c>
      <c r="F1084" t="s">
        <v>38</v>
      </c>
      <c r="G1084">
        <v>-266.9239</v>
      </c>
      <c r="H1084" s="1">
        <v>-1.6126710000000001E-6</v>
      </c>
      <c r="I1084">
        <v>367.86470000000003</v>
      </c>
      <c r="J1084">
        <v>-286.68450000000001</v>
      </c>
      <c r="K1084">
        <v>1.055439</v>
      </c>
      <c r="L1084">
        <v>367.1671</v>
      </c>
      <c r="M1084">
        <v>0.9997528</v>
      </c>
      <c r="N1084">
        <v>0</v>
      </c>
      <c r="O1084">
        <v>1.7384710000000001E-2</v>
      </c>
      <c r="P1084">
        <v>0.99180249999999903</v>
      </c>
      <c r="Q1084">
        <v>1.215519E-3</v>
      </c>
      <c r="R1084">
        <v>0.1277771</v>
      </c>
      <c r="S1084">
        <v>3.01135299999999</v>
      </c>
      <c r="T1084">
        <v>-0.15953829999999999</v>
      </c>
      <c r="U1084">
        <v>0.105957</v>
      </c>
      <c r="V1084">
        <v>-0.110540599999999</v>
      </c>
      <c r="W1084">
        <v>1.4809849999999999E-2</v>
      </c>
      <c r="X1084">
        <v>0.99376119999999901</v>
      </c>
      <c r="Y1084">
        <v>-1.7782599999999999E-2</v>
      </c>
      <c r="Z1084">
        <v>-4.4950110000000003E-4</v>
      </c>
      <c r="AA1084">
        <v>0.99984169999999895</v>
      </c>
      <c r="AB1084">
        <v>28</v>
      </c>
      <c r="AC1084">
        <v>19.7606</v>
      </c>
      <c r="AD1084">
        <v>-1.0554406126710001</v>
      </c>
      <c r="AE1084">
        <v>0.69760000000002198</v>
      </c>
      <c r="AF1084">
        <v>-0.35292369300117399</v>
      </c>
      <c r="AG1084">
        <v>-1.0554406126710001</v>
      </c>
      <c r="AH1084">
        <v>19.713573468208399</v>
      </c>
      <c r="AI1084">
        <v>93.064129996128102</v>
      </c>
      <c r="AJ1084">
        <v>91.025632326468994</v>
      </c>
      <c r="AK1084">
        <v>19.744961101668601</v>
      </c>
    </row>
    <row r="1085" spans="1:37" x14ac:dyDescent="0.2">
      <c r="A1085" t="str">
        <f>"20200111155520005"</f>
        <v>20200111155520005</v>
      </c>
      <c r="B1085" t="str">
        <f>"1578729319993060"</f>
        <v>1578729319993060</v>
      </c>
      <c r="C1085" t="s">
        <v>37</v>
      </c>
      <c r="D1085">
        <v>4.8033970000000004</v>
      </c>
      <c r="E1085">
        <v>0.53459760000000001</v>
      </c>
      <c r="F1085" t="s">
        <v>38</v>
      </c>
      <c r="G1085">
        <v>-266.71870000000001</v>
      </c>
      <c r="H1085" s="1">
        <v>-1.6981680000000001E-6</v>
      </c>
      <c r="I1085">
        <v>367.87889999999999</v>
      </c>
      <c r="J1085">
        <v>-286.5025</v>
      </c>
      <c r="K1085">
        <v>1.0554299999999901</v>
      </c>
      <c r="L1085">
        <v>367.17090000000002</v>
      </c>
      <c r="M1085">
        <v>0.99974229999999997</v>
      </c>
      <c r="N1085">
        <v>0</v>
      </c>
      <c r="O1085">
        <v>1.7997889999999999E-2</v>
      </c>
      <c r="P1085">
        <v>0.9917665</v>
      </c>
      <c r="Q1085">
        <v>1.18523E-3</v>
      </c>
      <c r="R1085">
        <v>0.12805430000000001</v>
      </c>
      <c r="S1085">
        <v>3.01116899999999</v>
      </c>
      <c r="T1085">
        <v>-0.15917709999999999</v>
      </c>
      <c r="U1085">
        <v>0.10736079999999899</v>
      </c>
      <c r="V1085">
        <v>-0.110207999999999</v>
      </c>
      <c r="W1085">
        <v>1.4745960000000001E-2</v>
      </c>
      <c r="X1085">
        <v>0.99379910000000005</v>
      </c>
      <c r="Y1085">
        <v>-1.76380999999999E-2</v>
      </c>
      <c r="Z1085">
        <v>-4.84697799999999E-4</v>
      </c>
      <c r="AA1085">
        <v>0.99984430000000002</v>
      </c>
      <c r="AB1085">
        <v>28</v>
      </c>
      <c r="AC1085">
        <v>19.7837999999999</v>
      </c>
      <c r="AD1085">
        <v>-1.0554316981680001</v>
      </c>
      <c r="AE1085">
        <v>0.70799999999996899</v>
      </c>
      <c r="AF1085">
        <v>-0.35078748340342603</v>
      </c>
      <c r="AG1085">
        <v>-1.0554316981680001</v>
      </c>
      <c r="AH1085">
        <v>19.7372375301684</v>
      </c>
      <c r="AI1085">
        <v>93.060444494247804</v>
      </c>
      <c r="AJ1085">
        <v>91.018203609032994</v>
      </c>
      <c r="AK1085">
        <v>19.768549093200999</v>
      </c>
    </row>
    <row r="1086" spans="1:37" x14ac:dyDescent="0.2">
      <c r="A1086" t="str">
        <f>"20200111155520018"</f>
        <v>20200111155520018</v>
      </c>
      <c r="B1086" t="str">
        <f>"1578729320013557"</f>
        <v>1578729320013557</v>
      </c>
      <c r="C1086" t="s">
        <v>37</v>
      </c>
      <c r="D1086">
        <v>4.9917540000000002</v>
      </c>
      <c r="E1086">
        <v>0.53351040000000005</v>
      </c>
      <c r="F1086" t="s">
        <v>38</v>
      </c>
      <c r="G1086">
        <v>-266.61</v>
      </c>
      <c r="H1086" s="1">
        <v>-1.7382660000000001E-6</v>
      </c>
      <c r="I1086">
        <v>367.91570000000002</v>
      </c>
      <c r="J1086">
        <v>-286.32870000000003</v>
      </c>
      <c r="K1086">
        <v>1.0554219999999901</v>
      </c>
      <c r="L1086">
        <v>367.1746</v>
      </c>
      <c r="M1086">
        <v>0.99973199999999995</v>
      </c>
      <c r="N1086">
        <v>0</v>
      </c>
      <c r="O1086">
        <v>1.8582620000000001E-2</v>
      </c>
      <c r="P1086">
        <v>0.99173639999999996</v>
      </c>
      <c r="Q1086">
        <v>8.4229050000000005E-4</v>
      </c>
      <c r="R1086">
        <v>0.12828919999999999</v>
      </c>
      <c r="S1086">
        <v>3.010529</v>
      </c>
      <c r="T1086">
        <v>-0.1597285</v>
      </c>
      <c r="U1086">
        <v>0.1127319</v>
      </c>
      <c r="V1086">
        <v>-0.10986169999999899</v>
      </c>
      <c r="W1086">
        <v>1.437216E-2</v>
      </c>
      <c r="X1086">
        <v>0.99384300000000003</v>
      </c>
      <c r="Y1086">
        <v>-1.8841469999999999E-2</v>
      </c>
      <c r="Z1086">
        <v>-4.8555339999999998E-4</v>
      </c>
      <c r="AA1086">
        <v>0.9998224</v>
      </c>
      <c r="AB1086">
        <v>28</v>
      </c>
      <c r="AC1086">
        <v>19.718699999999998</v>
      </c>
      <c r="AD1086">
        <v>-1.0554237382660001</v>
      </c>
      <c r="AE1086">
        <v>0.74110000000001697</v>
      </c>
      <c r="AF1086">
        <v>-0.37344363232052602</v>
      </c>
      <c r="AG1086">
        <v>-1.0554237382660001</v>
      </c>
      <c r="AH1086">
        <v>19.672787903855799</v>
      </c>
      <c r="AI1086">
        <v>93.0703603728997</v>
      </c>
      <c r="AJ1086">
        <v>91.087500897654806</v>
      </c>
      <c r="AK1086">
        <v>19.7046178172506</v>
      </c>
    </row>
    <row r="1087" spans="1:37" x14ac:dyDescent="0.2">
      <c r="A1087" t="str">
        <f>"20200111155520033"</f>
        <v>20200111155520033</v>
      </c>
      <c r="B1087" t="str">
        <f>"1578729320023316"</f>
        <v>1578729320023316</v>
      </c>
      <c r="C1087" t="s">
        <v>37</v>
      </c>
      <c r="D1087">
        <v>4.7909949999999997</v>
      </c>
      <c r="E1087">
        <v>0.53348459999999998</v>
      </c>
      <c r="F1087" t="s">
        <v>38</v>
      </c>
      <c r="G1087">
        <v>-266.46440000000001</v>
      </c>
      <c r="H1087" s="1">
        <v>-1.789201E-6</v>
      </c>
      <c r="I1087">
        <v>367.98079999999999</v>
      </c>
      <c r="J1087">
        <v>-286.1474</v>
      </c>
      <c r="K1087">
        <v>1.055407</v>
      </c>
      <c r="L1087">
        <v>367.17860000000002</v>
      </c>
      <c r="M1087">
        <v>0.99972099999999897</v>
      </c>
      <c r="N1087">
        <v>0</v>
      </c>
      <c r="O1087">
        <v>1.9190410000000001E-2</v>
      </c>
      <c r="P1087">
        <v>0.99176010000000003</v>
      </c>
      <c r="Q1087">
        <v>1.360984E-4</v>
      </c>
      <c r="R1087">
        <v>0.12810919999999901</v>
      </c>
      <c r="S1087">
        <v>3.0093079999999999</v>
      </c>
      <c r="T1087">
        <v>-0.15988929999999901</v>
      </c>
      <c r="U1087">
        <v>0.1221313</v>
      </c>
      <c r="V1087">
        <v>-0.10907559999999999</v>
      </c>
      <c r="W1087">
        <v>1.36379E-2</v>
      </c>
      <c r="X1087">
        <v>0.99393989999999999</v>
      </c>
      <c r="Y1087">
        <v>-2.136418E-2</v>
      </c>
      <c r="Z1087">
        <v>-4.5150710000000001E-4</v>
      </c>
      <c r="AA1087">
        <v>0.99977169999999904</v>
      </c>
      <c r="AB1087">
        <v>28</v>
      </c>
      <c r="AC1087">
        <v>19.683</v>
      </c>
      <c r="AD1087">
        <v>-1.055408789201</v>
      </c>
      <c r="AE1087">
        <v>0.80219999999997005</v>
      </c>
      <c r="AF1087">
        <v>-0.42307719306700597</v>
      </c>
      <c r="AG1087">
        <v>-1.055408789201</v>
      </c>
      <c r="AH1087">
        <v>19.638401140088799</v>
      </c>
      <c r="AI1087">
        <v>93.075523559225402</v>
      </c>
      <c r="AJ1087">
        <v>91.234152836468198</v>
      </c>
      <c r="AK1087">
        <v>19.671290790455501</v>
      </c>
    </row>
    <row r="1088" spans="1:37" x14ac:dyDescent="0.2">
      <c r="A1088" t="str">
        <f>"20200111155520045"</f>
        <v>20200111155520045</v>
      </c>
      <c r="B1088" t="str">
        <f>"1578729320034053"</f>
        <v>1578729320034053</v>
      </c>
      <c r="C1088" t="s">
        <v>37</v>
      </c>
      <c r="D1088">
        <v>4.813313</v>
      </c>
      <c r="E1088">
        <v>0.53339630000000005</v>
      </c>
      <c r="F1088" t="s">
        <v>38</v>
      </c>
      <c r="G1088">
        <v>-266.66750000000002</v>
      </c>
      <c r="H1088" s="1">
        <v>-1.7043229999999999E-6</v>
      </c>
      <c r="I1088">
        <v>367.96800000000002</v>
      </c>
      <c r="J1088">
        <v>-285.9898</v>
      </c>
      <c r="K1088">
        <v>1.055399</v>
      </c>
      <c r="L1088">
        <v>367.1823</v>
      </c>
      <c r="M1088">
        <v>0.99971119999999902</v>
      </c>
      <c r="N1088">
        <v>0</v>
      </c>
      <c r="O1088">
        <v>1.9717700000000001E-2</v>
      </c>
      <c r="P1088">
        <v>0.99170449999999999</v>
      </c>
      <c r="Q1088" s="1">
        <v>-1.263153E-5</v>
      </c>
      <c r="R1088">
        <v>0.1285393</v>
      </c>
      <c r="S1088">
        <v>3.0091549999999998</v>
      </c>
      <c r="T1088">
        <v>-0.16303339999999999</v>
      </c>
      <c r="U1088">
        <v>0.12194819999999899</v>
      </c>
      <c r="V1088">
        <v>-0.1089821</v>
      </c>
      <c r="W1088">
        <v>1.346339E-2</v>
      </c>
      <c r="X1088">
        <v>0.99395250000000002</v>
      </c>
      <c r="Y1088">
        <v>-2.0779679999999998E-2</v>
      </c>
      <c r="Z1088">
        <v>-5.0474059999999895E-4</v>
      </c>
      <c r="AA1088">
        <v>0.99978389999999995</v>
      </c>
      <c r="AB1088">
        <v>28</v>
      </c>
      <c r="AC1088">
        <v>19.322299999999899</v>
      </c>
      <c r="AD1088">
        <v>-1.055400704323</v>
      </c>
      <c r="AE1088">
        <v>0.78570000000001905</v>
      </c>
      <c r="AF1088">
        <v>-0.40331865903633701</v>
      </c>
      <c r="AG1088">
        <v>-1.055400704323</v>
      </c>
      <c r="AH1088">
        <v>19.276620767210598</v>
      </c>
      <c r="AI1088">
        <v>93.133147761473694</v>
      </c>
      <c r="AJ1088">
        <v>91.198606651537304</v>
      </c>
      <c r="AK1088">
        <v>19.309703384316101</v>
      </c>
    </row>
    <row r="1089" spans="1:37" x14ac:dyDescent="0.2">
      <c r="A1089" t="str">
        <f>"20200111155520057"</f>
        <v>20200111155520057</v>
      </c>
      <c r="B1089" t="str">
        <f>"1578729320053573"</f>
        <v>1578729320053573</v>
      </c>
      <c r="C1089" t="s">
        <v>37</v>
      </c>
      <c r="D1089">
        <v>4.7759070000000001</v>
      </c>
      <c r="E1089">
        <v>0.53346229999999994</v>
      </c>
      <c r="F1089" t="s">
        <v>38</v>
      </c>
      <c r="G1089">
        <v>-266.68049999999999</v>
      </c>
      <c r="H1089" s="1">
        <v>-1.6969409999999899E-6</v>
      </c>
      <c r="I1089">
        <v>367.97809999999998</v>
      </c>
      <c r="J1089">
        <v>-285.82889999999998</v>
      </c>
      <c r="K1089">
        <v>1.0553920000000001</v>
      </c>
      <c r="L1089">
        <v>367.18599999999998</v>
      </c>
      <c r="M1089">
        <v>0.9997007</v>
      </c>
      <c r="N1089">
        <v>0</v>
      </c>
      <c r="O1089">
        <v>2.0255490000000001E-2</v>
      </c>
      <c r="P1089">
        <v>0.9916355</v>
      </c>
      <c r="Q1089">
        <v>-2.1805199999999999E-4</v>
      </c>
      <c r="R1089">
        <v>0.12906980000000001</v>
      </c>
      <c r="S1089">
        <v>3.0090029999999999</v>
      </c>
      <c r="T1089">
        <v>-0.16446469999999999</v>
      </c>
      <c r="U1089">
        <v>0.12402339999999901</v>
      </c>
      <c r="V1089">
        <v>-0.10897859999999999</v>
      </c>
      <c r="W1089">
        <v>1.3233099999999999E-2</v>
      </c>
      <c r="X1089">
        <v>0.99395599999999995</v>
      </c>
      <c r="Y1089">
        <v>-2.0932820000000001E-2</v>
      </c>
      <c r="Z1089">
        <v>-5.3435370000000002E-4</v>
      </c>
      <c r="AA1089">
        <v>0.99978069999999897</v>
      </c>
      <c r="AB1089">
        <v>28</v>
      </c>
      <c r="AC1089">
        <v>19.148399999999899</v>
      </c>
      <c r="AD1089">
        <v>-1.055393696941</v>
      </c>
      <c r="AE1089">
        <v>0.79210000000000402</v>
      </c>
      <c r="AF1089">
        <v>-0.40281911978507001</v>
      </c>
      <c r="AG1089">
        <v>-1.055393696941</v>
      </c>
      <c r="AH1089">
        <v>19.102585243374499</v>
      </c>
      <c r="AI1089">
        <v>93.161603043956006</v>
      </c>
      <c r="AJ1089">
        <v>91.208025779477396</v>
      </c>
      <c r="AK1089">
        <v>19.135957830200098</v>
      </c>
    </row>
    <row r="1090" spans="1:37" x14ac:dyDescent="0.2">
      <c r="A1090" t="str">
        <f>"20200111155520071"</f>
        <v>20200111155520071</v>
      </c>
      <c r="B1090" t="str">
        <f>"1578729320063332"</f>
        <v>1578729320063332</v>
      </c>
      <c r="C1090" t="s">
        <v>37</v>
      </c>
      <c r="D1090">
        <v>4.8017519999999996</v>
      </c>
      <c r="E1090">
        <v>0.53332500000000005</v>
      </c>
      <c r="F1090" t="s">
        <v>38</v>
      </c>
      <c r="G1090">
        <v>-266.75839999999999</v>
      </c>
      <c r="H1090" s="1">
        <v>-1.6633470000000001E-6</v>
      </c>
      <c r="I1090">
        <v>367.97910000000002</v>
      </c>
      <c r="J1090">
        <v>-285.66309999999999</v>
      </c>
      <c r="K1090">
        <v>1.0553870000000001</v>
      </c>
      <c r="L1090">
        <v>367.18990000000002</v>
      </c>
      <c r="M1090">
        <v>0.99968989999999902</v>
      </c>
      <c r="N1090">
        <v>0</v>
      </c>
      <c r="O1090">
        <v>2.0806499999999999E-2</v>
      </c>
      <c r="P1090">
        <v>0.99156840000000002</v>
      </c>
      <c r="Q1090">
        <v>-3.0604519999999997E-4</v>
      </c>
      <c r="R1090">
        <v>0.1295859</v>
      </c>
      <c r="S1090">
        <v>3.008972</v>
      </c>
      <c r="T1090">
        <v>-0.1665218</v>
      </c>
      <c r="U1090">
        <v>0.1251526</v>
      </c>
      <c r="V1090">
        <v>-0.108947499999999</v>
      </c>
      <c r="W1090">
        <v>1.312106E-2</v>
      </c>
      <c r="X1090">
        <v>0.99396090000000004</v>
      </c>
      <c r="Y1090">
        <v>-2.0757810000000002E-2</v>
      </c>
      <c r="Z1090">
        <v>-5.763125E-4</v>
      </c>
      <c r="AA1090">
        <v>0.99978440000000002</v>
      </c>
      <c r="AB1090">
        <v>28</v>
      </c>
      <c r="AC1090">
        <v>18.904699999999899</v>
      </c>
      <c r="AD1090">
        <v>-1.055388663347</v>
      </c>
      <c r="AE1090">
        <v>0.78919999999999302</v>
      </c>
      <c r="AF1090">
        <v>-0.39442452516922999</v>
      </c>
      <c r="AG1090">
        <v>-1.055388663347</v>
      </c>
      <c r="AH1090">
        <v>18.858356524792299</v>
      </c>
      <c r="AI1090">
        <v>93.202459602117202</v>
      </c>
      <c r="AJ1090">
        <v>91.198172610421693</v>
      </c>
      <c r="AK1090">
        <v>18.891983134466098</v>
      </c>
    </row>
    <row r="1091" spans="1:37" x14ac:dyDescent="0.2">
      <c r="A1091" t="str">
        <f>"20200111155520083"</f>
        <v>20200111155520083</v>
      </c>
      <c r="B1091" t="str">
        <f>"1578729320073092"</f>
        <v>1578729320073092</v>
      </c>
      <c r="C1091" t="s">
        <v>37</v>
      </c>
      <c r="D1091">
        <v>4.8879400000000004</v>
      </c>
      <c r="E1091">
        <v>0.532979599999999</v>
      </c>
      <c r="F1091" t="s">
        <v>38</v>
      </c>
      <c r="G1091">
        <v>-266.61149999999998</v>
      </c>
      <c r="H1091" s="1">
        <v>-1.7227529999999901E-6</v>
      </c>
      <c r="I1091">
        <v>367.99950000000001</v>
      </c>
      <c r="J1091">
        <v>-285.50529999999998</v>
      </c>
      <c r="K1091">
        <v>1.055383</v>
      </c>
      <c r="L1091">
        <v>367.19380000000001</v>
      </c>
      <c r="M1091">
        <v>0.99967899999999998</v>
      </c>
      <c r="N1091">
        <v>0</v>
      </c>
      <c r="O1091">
        <v>2.1329959999999999E-2</v>
      </c>
      <c r="P1091">
        <v>0.99144849999999995</v>
      </c>
      <c r="Q1091">
        <v>-2.6898880000000001E-4</v>
      </c>
      <c r="R1091">
        <v>0.1305</v>
      </c>
      <c r="S1091">
        <v>3.0087890000000002</v>
      </c>
      <c r="T1091">
        <v>-0.16667560000000001</v>
      </c>
      <c r="U1091">
        <v>0.1278687</v>
      </c>
      <c r="V1091">
        <v>-0.109343699999999</v>
      </c>
      <c r="W1091">
        <v>1.313488E-2</v>
      </c>
      <c r="X1091">
        <v>0.99391719999999895</v>
      </c>
      <c r="Y1091">
        <v>-2.1137969999999999E-2</v>
      </c>
      <c r="Z1091">
        <v>-5.9530279999999997E-4</v>
      </c>
      <c r="AA1091">
        <v>0.99977640000000001</v>
      </c>
      <c r="AB1091">
        <v>28</v>
      </c>
      <c r="AC1091">
        <v>18.893799999999999</v>
      </c>
      <c r="AD1091">
        <v>-1.055384722753</v>
      </c>
      <c r="AE1091">
        <v>0.80570000000000097</v>
      </c>
      <c r="AF1091">
        <v>-0.40122535857875102</v>
      </c>
      <c r="AG1091">
        <v>-1.055384722753</v>
      </c>
      <c r="AH1091">
        <v>18.847985025839598</v>
      </c>
      <c r="AI1091">
        <v>93.204181101938303</v>
      </c>
      <c r="AJ1091">
        <v>91.219496308882398</v>
      </c>
      <c r="AK1091">
        <v>18.881773175092999</v>
      </c>
    </row>
    <row r="1092" spans="1:37" x14ac:dyDescent="0.2">
      <c r="A1092" t="str">
        <f>"20200111155520096"</f>
        <v>20200111155520096</v>
      </c>
      <c r="B1092" t="str">
        <f>"1578729320093588"</f>
        <v>1578729320093588</v>
      </c>
      <c r="C1092" t="s">
        <v>37</v>
      </c>
      <c r="D1092">
        <v>5.0497809999999896</v>
      </c>
      <c r="E1092">
        <v>0.5329779</v>
      </c>
      <c r="F1092" t="s">
        <v>38</v>
      </c>
      <c r="G1092">
        <v>-266.39210000000003</v>
      </c>
      <c r="H1092" s="1">
        <v>-1.8097799999999899E-6</v>
      </c>
      <c r="I1092">
        <v>368.03969999999998</v>
      </c>
      <c r="J1092">
        <v>-285.33819999999997</v>
      </c>
      <c r="K1092">
        <v>1.0553760000000001</v>
      </c>
      <c r="L1092">
        <v>367.1979</v>
      </c>
      <c r="M1092">
        <v>0.99966739999999998</v>
      </c>
      <c r="N1092">
        <v>0</v>
      </c>
      <c r="O1092">
        <v>2.188269E-2</v>
      </c>
      <c r="P1092">
        <v>0.9913438</v>
      </c>
      <c r="Q1092">
        <v>-3.3138690000000001E-4</v>
      </c>
      <c r="R1092">
        <v>0.13129209999999999</v>
      </c>
      <c r="S1092">
        <v>3.0083009999999999</v>
      </c>
      <c r="T1092">
        <v>-0.16610999999999901</v>
      </c>
      <c r="U1092">
        <v>0.13314819999999999</v>
      </c>
      <c r="V1092">
        <v>-0.1095883</v>
      </c>
      <c r="W1092">
        <v>1.3050010000000001E-2</v>
      </c>
      <c r="X1092">
        <v>0.99389139999999998</v>
      </c>
      <c r="Y1092">
        <v>-2.234237E-2</v>
      </c>
      <c r="Z1092">
        <v>-5.9061529999999995E-4</v>
      </c>
      <c r="AA1092">
        <v>0.99975020000000003</v>
      </c>
      <c r="AB1092">
        <v>28</v>
      </c>
      <c r="AC1092">
        <v>18.946099999999898</v>
      </c>
      <c r="AD1092">
        <v>-1.05537780978</v>
      </c>
      <c r="AE1092">
        <v>0.84179999999997701</v>
      </c>
      <c r="AF1092">
        <v>-0.42564997200024401</v>
      </c>
      <c r="AG1092">
        <v>-1.05537780978</v>
      </c>
      <c r="AH1092">
        <v>18.901450086094499</v>
      </c>
      <c r="AI1092">
        <v>93.195029605286507</v>
      </c>
      <c r="AJ1092">
        <v>91.290050525733605</v>
      </c>
      <c r="AK1092">
        <v>18.935675735953001</v>
      </c>
    </row>
    <row r="1093" spans="1:37" x14ac:dyDescent="0.2">
      <c r="A1093" t="str">
        <f>"20200111155520111"</f>
        <v>20200111155520111</v>
      </c>
      <c r="B1093" t="str">
        <f>"1578729320103348"</f>
        <v>1578729320103348</v>
      </c>
      <c r="C1093" t="s">
        <v>37</v>
      </c>
      <c r="D1093">
        <v>4.7689810000000001</v>
      </c>
      <c r="E1093">
        <v>0.5330163</v>
      </c>
      <c r="F1093" t="s">
        <v>38</v>
      </c>
      <c r="G1093">
        <v>-265.78100000000001</v>
      </c>
      <c r="H1093" s="1">
        <v>-2.0646819999999998E-6</v>
      </c>
      <c r="I1093">
        <v>368.0804</v>
      </c>
      <c r="J1093">
        <v>-285.15800000000002</v>
      </c>
      <c r="K1093">
        <v>1.055372</v>
      </c>
      <c r="L1093">
        <v>367.20249999999999</v>
      </c>
      <c r="M1093">
        <v>0.99965459999999995</v>
      </c>
      <c r="N1093">
        <v>0</v>
      </c>
      <c r="O1093">
        <v>2.2475889999999998E-2</v>
      </c>
      <c r="P1093">
        <v>0.99116090000000001</v>
      </c>
      <c r="Q1093">
        <v>-4.7707929999999998E-4</v>
      </c>
      <c r="R1093">
        <v>0.13266559999999999</v>
      </c>
      <c r="S1093">
        <v>3.0081180000000001</v>
      </c>
      <c r="T1093">
        <v>-0.162329</v>
      </c>
      <c r="U1093">
        <v>0.13574220000000001</v>
      </c>
      <c r="V1093">
        <v>-0.1103753</v>
      </c>
      <c r="W1093">
        <v>1.2880269999999999E-2</v>
      </c>
      <c r="X1093">
        <v>0.99380650000000004</v>
      </c>
      <c r="Y1093">
        <v>-2.2612710000000001E-2</v>
      </c>
      <c r="Z1093">
        <v>-6.0188760000000005E-4</v>
      </c>
      <c r="AA1093">
        <v>0.99974409999999903</v>
      </c>
      <c r="AB1093">
        <v>28</v>
      </c>
      <c r="AC1093">
        <v>19.376999999999999</v>
      </c>
      <c r="AD1093">
        <v>-1.055374064682</v>
      </c>
      <c r="AE1093">
        <v>0.877900000000011</v>
      </c>
      <c r="AF1093">
        <v>-0.44081747241561198</v>
      </c>
      <c r="AG1093">
        <v>-1.055374064682</v>
      </c>
      <c r="AH1093">
        <v>19.334599597955801</v>
      </c>
      <c r="AI1093">
        <v>93.123564468758303</v>
      </c>
      <c r="AJ1093">
        <v>91.3060837199248</v>
      </c>
      <c r="AK1093">
        <v>19.368398903204799</v>
      </c>
    </row>
    <row r="1094" spans="1:37" x14ac:dyDescent="0.2">
      <c r="A1094" t="str">
        <f>"20200111155520256"</f>
        <v>20200111155520256</v>
      </c>
      <c r="B1094" t="str">
        <f>"1578729320253653"</f>
        <v>1578729320253653</v>
      </c>
      <c r="C1094" t="s">
        <v>37</v>
      </c>
      <c r="D1094">
        <v>4.8040419999999999</v>
      </c>
      <c r="E1094">
        <v>0.53352709999999903</v>
      </c>
      <c r="F1094" t="s">
        <v>38</v>
      </c>
      <c r="G1094">
        <v>-265.71390000000002</v>
      </c>
      <c r="H1094" s="1">
        <v>-2.089482E-6</v>
      </c>
      <c r="I1094">
        <v>368.10309999999998</v>
      </c>
      <c r="J1094">
        <v>-283.32119999999998</v>
      </c>
      <c r="K1094">
        <v>1.0553410000000001</v>
      </c>
      <c r="L1094">
        <v>367.2552</v>
      </c>
      <c r="M1094">
        <v>0.99950629999999996</v>
      </c>
      <c r="N1094">
        <v>0</v>
      </c>
      <c r="O1094">
        <v>2.838734E-2</v>
      </c>
      <c r="P1094">
        <v>0.99017199999999905</v>
      </c>
      <c r="Q1094">
        <v>1.6358529999999901E-3</v>
      </c>
      <c r="R1094">
        <v>0.13984659999999999</v>
      </c>
      <c r="S1094">
        <v>3.0079959999999999</v>
      </c>
      <c r="T1094">
        <v>-0.16326559999999901</v>
      </c>
      <c r="U1094">
        <v>0.13931270000000001</v>
      </c>
      <c r="V1094">
        <v>-0.11170330000000001</v>
      </c>
      <c r="W1094">
        <v>1.4849899999999999E-2</v>
      </c>
      <c r="X1094">
        <v>0.99363060000000003</v>
      </c>
      <c r="Y1094">
        <v>-1.7901779999999999E-2</v>
      </c>
      <c r="Z1094">
        <v>-1.0533489999999901E-3</v>
      </c>
      <c r="AA1094">
        <v>0.99983919999999904</v>
      </c>
      <c r="AB1094">
        <v>28</v>
      </c>
      <c r="AC1094">
        <v>17.607299999999899</v>
      </c>
      <c r="AD1094">
        <v>-1.055343089482</v>
      </c>
      <c r="AE1094">
        <v>0.847899999999981</v>
      </c>
      <c r="AF1094">
        <v>-0.34644675743585002</v>
      </c>
      <c r="AG1094">
        <v>-1.055343089482</v>
      </c>
      <c r="AH1094">
        <v>17.5613309032064</v>
      </c>
      <c r="AI1094">
        <v>93.438369941617694</v>
      </c>
      <c r="AJ1094">
        <v>91.130174166535198</v>
      </c>
      <c r="AK1094">
        <v>17.596423428758602</v>
      </c>
    </row>
    <row r="1095" spans="1:37" x14ac:dyDescent="0.2">
      <c r="A1095" t="str">
        <f>"20200111155520268"</f>
        <v>20200111155520268</v>
      </c>
      <c r="B1095" t="str">
        <f>"1578729320263413"</f>
        <v>1578729320263413</v>
      </c>
      <c r="C1095" t="s">
        <v>37</v>
      </c>
      <c r="D1095">
        <v>4.7919839999999896</v>
      </c>
      <c r="E1095">
        <v>0.53352709999999903</v>
      </c>
      <c r="F1095" t="s">
        <v>38</v>
      </c>
      <c r="G1095">
        <v>-262.890999999999</v>
      </c>
      <c r="H1095" s="1">
        <v>-3.2612810000000001E-6</v>
      </c>
      <c r="I1095">
        <v>368.32400000000001</v>
      </c>
      <c r="J1095">
        <v>-283.18060000000003</v>
      </c>
      <c r="K1095">
        <v>1.0553299999999901</v>
      </c>
      <c r="L1095">
        <v>367.25970000000001</v>
      </c>
      <c r="M1095">
        <v>0.99949409999999905</v>
      </c>
      <c r="N1095">
        <v>0</v>
      </c>
      <c r="O1095">
        <v>2.8811429999999999E-2</v>
      </c>
      <c r="P1095">
        <v>0.99014329999999995</v>
      </c>
      <c r="Q1095">
        <v>1.6659559999999999E-3</v>
      </c>
      <c r="R1095">
        <v>0.140048799999999</v>
      </c>
      <c r="S1095">
        <v>3.0077820000000002</v>
      </c>
      <c r="T1095">
        <v>-0.15537010000000001</v>
      </c>
      <c r="U1095">
        <v>0.15734860000000001</v>
      </c>
      <c r="V1095">
        <v>-0.1114839</v>
      </c>
      <c r="W1095">
        <v>1.487612E-2</v>
      </c>
      <c r="X1095">
        <v>0.99365490000000001</v>
      </c>
      <c r="Y1095">
        <v>-2.3453129999999999E-2</v>
      </c>
      <c r="Z1095">
        <v>-8.8104820000000001E-4</v>
      </c>
      <c r="AA1095">
        <v>0.99972459999999996</v>
      </c>
      <c r="AB1095">
        <v>28</v>
      </c>
      <c r="AC1095">
        <v>20.2896</v>
      </c>
      <c r="AD1095">
        <v>-1.05533326128099</v>
      </c>
      <c r="AE1095">
        <v>1.0643</v>
      </c>
      <c r="AF1095">
        <v>-0.47794317805470399</v>
      </c>
      <c r="AG1095">
        <v>-1.05533326128099</v>
      </c>
      <c r="AH1095">
        <v>20.257188810870598</v>
      </c>
      <c r="AI1095">
        <v>92.981398409715695</v>
      </c>
      <c r="AJ1095">
        <v>91.351571910441393</v>
      </c>
      <c r="AK1095">
        <v>20.290289709441701</v>
      </c>
    </row>
    <row r="1096" spans="1:37" x14ac:dyDescent="0.2">
      <c r="A1096" t="str">
        <f>"20200111155520280"</f>
        <v>20200111155520280</v>
      </c>
      <c r="B1096" t="str">
        <f>"1578729320273172"</f>
        <v>1578729320273172</v>
      </c>
      <c r="C1096" t="s">
        <v>37</v>
      </c>
      <c r="D1096">
        <v>4.9046329999999996</v>
      </c>
      <c r="E1096">
        <v>0.54882050000000004</v>
      </c>
      <c r="F1096" t="s">
        <v>38</v>
      </c>
      <c r="G1096">
        <v>-262.7509</v>
      </c>
      <c r="H1096" s="1">
        <v>-3.319885E-6</v>
      </c>
      <c r="I1096">
        <v>368.33260000000001</v>
      </c>
      <c r="J1096">
        <v>-283.0204</v>
      </c>
      <c r="K1096">
        <v>1.05532</v>
      </c>
      <c r="L1096">
        <v>367.26479999999998</v>
      </c>
      <c r="M1096">
        <v>0.99948049999999999</v>
      </c>
      <c r="N1096">
        <v>0</v>
      </c>
      <c r="O1096">
        <v>2.9289199999999901E-2</v>
      </c>
      <c r="P1096">
        <v>0.99010159999999903</v>
      </c>
      <c r="Q1096">
        <v>1.371447E-3</v>
      </c>
      <c r="R1096">
        <v>0.14034739999999901</v>
      </c>
      <c r="S1096">
        <v>3.0077820000000002</v>
      </c>
      <c r="T1096">
        <v>-0.1553716</v>
      </c>
      <c r="U1096">
        <v>0.15795899999999999</v>
      </c>
      <c r="V1096">
        <v>-0.11130760000000001</v>
      </c>
      <c r="W1096">
        <v>1.457717E-2</v>
      </c>
      <c r="X1096">
        <v>0.99367909999999904</v>
      </c>
      <c r="Y1096">
        <v>-2.3178560000000001E-2</v>
      </c>
      <c r="Z1096">
        <v>-9.1276429999999895E-4</v>
      </c>
      <c r="AA1096">
        <v>0.99973089999999998</v>
      </c>
      <c r="AB1096">
        <v>28</v>
      </c>
      <c r="AC1096">
        <v>20.269499999999901</v>
      </c>
      <c r="AD1096">
        <v>-1.0553233198850001</v>
      </c>
      <c r="AE1096">
        <v>1.0678000000000301</v>
      </c>
      <c r="AF1096">
        <v>-0.472333849723445</v>
      </c>
      <c r="AG1096">
        <v>-1.0553233198850001</v>
      </c>
      <c r="AH1096">
        <v>20.237374151552999</v>
      </c>
      <c r="AI1096">
        <v>92.984301948513206</v>
      </c>
      <c r="AJ1096">
        <v>91.337022454362298</v>
      </c>
      <c r="AK1096">
        <v>20.270375406613301</v>
      </c>
    </row>
    <row r="1097" spans="1:37" x14ac:dyDescent="0.2">
      <c r="A1097" t="str">
        <f>"20200111155520293"</f>
        <v>20200111155520293</v>
      </c>
      <c r="B1097" t="str">
        <f>"1578729320283908"</f>
        <v>1578729320283908</v>
      </c>
      <c r="C1097" t="s">
        <v>37</v>
      </c>
      <c r="D1097">
        <v>5.0243099999999998</v>
      </c>
      <c r="E1097">
        <v>0.54774080000000003</v>
      </c>
      <c r="F1097" t="s">
        <v>38</v>
      </c>
      <c r="G1097">
        <v>-251.51820000000001</v>
      </c>
      <c r="H1097" s="1">
        <v>-3.96926E-6</v>
      </c>
      <c r="I1097">
        <v>367.65280000000001</v>
      </c>
      <c r="J1097">
        <v>-282.86020000000002</v>
      </c>
      <c r="K1097">
        <v>1.0553049999999999</v>
      </c>
      <c r="L1097">
        <v>367.27010000000001</v>
      </c>
      <c r="M1097">
        <v>0.99946679999999999</v>
      </c>
      <c r="N1097">
        <v>0</v>
      </c>
      <c r="O1097">
        <v>2.9753709999999999E-2</v>
      </c>
      <c r="P1097">
        <v>0.99006209999999994</v>
      </c>
      <c r="Q1097">
        <v>1.5788829999999999E-3</v>
      </c>
      <c r="R1097">
        <v>0.1406231</v>
      </c>
      <c r="S1097">
        <v>3.0248409999999999</v>
      </c>
      <c r="T1097">
        <v>-0.10133209999999999</v>
      </c>
      <c r="U1097">
        <v>3.7261959999999997E-2</v>
      </c>
      <c r="V1097">
        <v>-0.111123</v>
      </c>
      <c r="W1097">
        <v>1.478172E-2</v>
      </c>
      <c r="X1097">
        <v>0.99369669999999899</v>
      </c>
      <c r="Y1097">
        <v>1.7415429999999999E-2</v>
      </c>
      <c r="Z1097">
        <v>-1.2879810000000001E-3</v>
      </c>
      <c r="AA1097">
        <v>0.9998475</v>
      </c>
      <c r="AB1097">
        <v>28</v>
      </c>
      <c r="AC1097">
        <v>31.341999999999999</v>
      </c>
      <c r="AD1097">
        <v>-1.05530896926</v>
      </c>
      <c r="AE1097">
        <v>0.38269999999999899</v>
      </c>
      <c r="AF1097">
        <v>0.54947171991233201</v>
      </c>
      <c r="AG1097">
        <v>-1.05530896926</v>
      </c>
      <c r="AH1097">
        <v>31.3040242076206</v>
      </c>
      <c r="AI1097">
        <v>91.930504457643494</v>
      </c>
      <c r="AJ1097">
        <v>88.994404755502401</v>
      </c>
      <c r="AK1097">
        <v>31.326626498601499</v>
      </c>
    </row>
    <row r="1098" spans="1:37" x14ac:dyDescent="0.2">
      <c r="A1098" t="str">
        <f>"20200111155520305"</f>
        <v>20200111155520305</v>
      </c>
      <c r="B1098" t="str">
        <f>"1578729320303429"</f>
        <v>1578729320303429</v>
      </c>
      <c r="C1098" t="s">
        <v>37</v>
      </c>
      <c r="D1098">
        <v>4.806489</v>
      </c>
      <c r="E1098">
        <v>0.55006269999999902</v>
      </c>
      <c r="F1098" t="s">
        <v>38</v>
      </c>
      <c r="G1098">
        <v>-248.66460000000001</v>
      </c>
      <c r="H1098" s="1">
        <v>-9.8136890000000009E-7</v>
      </c>
      <c r="I1098">
        <v>367.79599999999999</v>
      </c>
      <c r="J1098">
        <v>-282.71390000000002</v>
      </c>
      <c r="K1098">
        <v>1.055293</v>
      </c>
      <c r="L1098">
        <v>367.2749</v>
      </c>
      <c r="M1098">
        <v>0.99945439999999997</v>
      </c>
      <c r="N1098">
        <v>0</v>
      </c>
      <c r="O1098">
        <v>3.0168319999999998E-2</v>
      </c>
      <c r="P1098">
        <v>0.98997630000000003</v>
      </c>
      <c r="Q1098">
        <v>1.4847489999999901E-3</v>
      </c>
      <c r="R1098">
        <v>0.1412265</v>
      </c>
      <c r="S1098">
        <v>3.0236509999999899</v>
      </c>
      <c r="T1098">
        <v>-9.3312619999999999E-2</v>
      </c>
      <c r="U1098">
        <v>4.6508790000000001E-2</v>
      </c>
      <c r="V1098">
        <v>-0.1113155</v>
      </c>
      <c r="W1098">
        <v>1.4683969999999999E-2</v>
      </c>
      <c r="X1098">
        <v>0.99367659999999902</v>
      </c>
      <c r="Y1098">
        <v>1.477325E-2</v>
      </c>
      <c r="Z1098">
        <v>-1.1585600000000001E-3</v>
      </c>
      <c r="AA1098">
        <v>0.99989019999999995</v>
      </c>
      <c r="AB1098">
        <v>28</v>
      </c>
      <c r="AC1098">
        <v>34.049300000000002</v>
      </c>
      <c r="AD1098">
        <v>-1.0552939813689</v>
      </c>
      <c r="AE1098">
        <v>0.52109999999998902</v>
      </c>
      <c r="AF1098">
        <v>0.50595437572313995</v>
      </c>
      <c r="AG1098">
        <v>-1.0552939813689</v>
      </c>
      <c r="AH1098">
        <v>34.016853168024099</v>
      </c>
      <c r="AI1098">
        <v>91.776702409619006</v>
      </c>
      <c r="AJ1098">
        <v>89.147866124077396</v>
      </c>
      <c r="AK1098">
        <v>34.036978929868802</v>
      </c>
    </row>
    <row r="1099" spans="1:37" x14ac:dyDescent="0.2">
      <c r="A1099" t="str">
        <f>"20200111155520317"</f>
        <v>20200111155520317</v>
      </c>
      <c r="B1099" t="str">
        <f>"1578729320313188"</f>
        <v>1578729320313188</v>
      </c>
      <c r="C1099" t="s">
        <v>37</v>
      </c>
      <c r="D1099">
        <v>4.8805440000000004</v>
      </c>
      <c r="E1099">
        <v>0.55070949999999996</v>
      </c>
      <c r="F1099" t="s">
        <v>38</v>
      </c>
      <c r="G1099">
        <v>-248.7757</v>
      </c>
      <c r="H1099" s="1">
        <v>-9.8749790000000008E-7</v>
      </c>
      <c r="I1099">
        <v>367.61270000000002</v>
      </c>
      <c r="J1099">
        <v>-282.56330000000003</v>
      </c>
      <c r="K1099">
        <v>1.0552790000000001</v>
      </c>
      <c r="L1099">
        <v>367.27980000000002</v>
      </c>
      <c r="M1099">
        <v>0.99944169999999999</v>
      </c>
      <c r="N1099">
        <v>0</v>
      </c>
      <c r="O1099">
        <v>3.0589129999999999E-2</v>
      </c>
      <c r="P1099">
        <v>0.98994179999999998</v>
      </c>
      <c r="Q1099">
        <v>1.5862370000000001E-3</v>
      </c>
      <c r="R1099">
        <v>0.1414666</v>
      </c>
      <c r="S1099">
        <v>3.0262449999999999</v>
      </c>
      <c r="T1099">
        <v>-9.4099879999999997E-2</v>
      </c>
      <c r="U1099">
        <v>3.0120850000000001E-2</v>
      </c>
      <c r="V1099">
        <v>-0.1111376</v>
      </c>
      <c r="W1099">
        <v>1.4783620000000001E-2</v>
      </c>
      <c r="X1099">
        <v>0.99369509999999905</v>
      </c>
      <c r="Y1099">
        <v>2.0617570000000002E-2</v>
      </c>
      <c r="Z1099">
        <v>-1.271304E-3</v>
      </c>
      <c r="AA1099">
        <v>0.99978659999999997</v>
      </c>
      <c r="AB1099">
        <v>28</v>
      </c>
      <c r="AC1099">
        <v>33.787599999999998</v>
      </c>
      <c r="AD1099">
        <v>-1.0552799874979</v>
      </c>
      <c r="AE1099">
        <v>0.33289999999999498</v>
      </c>
      <c r="AF1099">
        <v>0.70019946912737296</v>
      </c>
      <c r="AG1099">
        <v>-1.0552799874979</v>
      </c>
      <c r="AH1099">
        <v>33.749051535826801</v>
      </c>
      <c r="AI1099">
        <v>91.790580679202293</v>
      </c>
      <c r="AJ1099">
        <v>88.811441573698403</v>
      </c>
      <c r="AK1099">
        <v>33.772805253879604</v>
      </c>
    </row>
    <row r="1100" spans="1:37" x14ac:dyDescent="0.2">
      <c r="A1100" t="str">
        <f>"20200111155520328"</f>
        <v>20200111155520328</v>
      </c>
      <c r="B1100" t="str">
        <f>"1578729320323925"</f>
        <v>1578729320323925</v>
      </c>
      <c r="C1100" t="s">
        <v>37</v>
      </c>
      <c r="D1100">
        <v>4.8108219999999999</v>
      </c>
      <c r="E1100">
        <v>0.55090980000000001</v>
      </c>
      <c r="F1100" t="s">
        <v>38</v>
      </c>
      <c r="G1100">
        <v>-247.9716</v>
      </c>
      <c r="H1100" s="1">
        <v>-1.3058619999999899E-6</v>
      </c>
      <c r="I1100">
        <v>367.57670000000002</v>
      </c>
      <c r="J1100">
        <v>-282.41649999999998</v>
      </c>
      <c r="K1100">
        <v>1.0552600000000001</v>
      </c>
      <c r="L1100">
        <v>367.28480000000002</v>
      </c>
      <c r="M1100">
        <v>0.99942960000000003</v>
      </c>
      <c r="N1100">
        <v>0</v>
      </c>
      <c r="O1100">
        <v>3.0981419999999999E-2</v>
      </c>
      <c r="P1100">
        <v>0.98985119999999904</v>
      </c>
      <c r="Q1100">
        <v>1.3782110000000001E-3</v>
      </c>
      <c r="R1100">
        <v>0.1421</v>
      </c>
      <c r="S1100">
        <v>3.0268860000000002</v>
      </c>
      <c r="T1100">
        <v>-9.2340649999999996E-2</v>
      </c>
      <c r="U1100">
        <v>2.5970460000000001E-2</v>
      </c>
      <c r="V1100">
        <v>-0.1113825</v>
      </c>
      <c r="W1100">
        <v>1.4573829999999999E-2</v>
      </c>
      <c r="X1100">
        <v>0.99367079999999997</v>
      </c>
      <c r="Y1100">
        <v>2.238277E-2</v>
      </c>
      <c r="Z1100">
        <v>-1.286176E-3</v>
      </c>
      <c r="AA1100">
        <v>0.99974859999999899</v>
      </c>
      <c r="AB1100">
        <v>28</v>
      </c>
      <c r="AC1100">
        <v>34.444899999999897</v>
      </c>
      <c r="AD1100">
        <v>-1.055261305862</v>
      </c>
      <c r="AE1100">
        <v>0.29189999999999799</v>
      </c>
      <c r="AF1100">
        <v>0.77476133208042797</v>
      </c>
      <c r="AG1100">
        <v>-1.055261305862</v>
      </c>
      <c r="AH1100">
        <v>34.405116843874303</v>
      </c>
      <c r="AI1100">
        <v>91.756359684089304</v>
      </c>
      <c r="AJ1100">
        <v>88.709986845150496</v>
      </c>
      <c r="AK1100">
        <v>34.430014472636799</v>
      </c>
    </row>
    <row r="1101" spans="1:37" x14ac:dyDescent="0.2">
      <c r="A1101" t="str">
        <f>"20200111155520341"</f>
        <v>20200111155520341</v>
      </c>
      <c r="B1101" t="str">
        <f>"1578729320333684"</f>
        <v>1578729320333684</v>
      </c>
      <c r="C1101" t="s">
        <v>37</v>
      </c>
      <c r="D1101">
        <v>5.0293150000000004</v>
      </c>
      <c r="E1101">
        <v>0.55193570000000003</v>
      </c>
      <c r="F1101" t="s">
        <v>38</v>
      </c>
      <c r="G1101">
        <v>-248.32929999999999</v>
      </c>
      <c r="H1101" s="1">
        <v>-1.1680910000000001E-6</v>
      </c>
      <c r="I1101">
        <v>367.57819999999998</v>
      </c>
      <c r="J1101">
        <v>-282.26260000000002</v>
      </c>
      <c r="K1101">
        <v>1.0552440000000001</v>
      </c>
      <c r="L1101">
        <v>367.29</v>
      </c>
      <c r="M1101">
        <v>0.99941709999999995</v>
      </c>
      <c r="N1101">
        <v>0</v>
      </c>
      <c r="O1101">
        <v>3.1385429999999999E-2</v>
      </c>
      <c r="P1101">
        <v>0.98975820000000003</v>
      </c>
      <c r="Q1101">
        <v>9.9231020000000001E-4</v>
      </c>
      <c r="R1101">
        <v>0.14275089999999999</v>
      </c>
      <c r="S1101">
        <v>3.027161</v>
      </c>
      <c r="T1101">
        <v>-9.3713879999999999E-2</v>
      </c>
      <c r="U1101">
        <v>2.606201E-2</v>
      </c>
      <c r="V1101">
        <v>-0.1116333</v>
      </c>
      <c r="W1101">
        <v>1.4186209999999999E-2</v>
      </c>
      <c r="X1101">
        <v>0.99364819999999998</v>
      </c>
      <c r="Y1101">
        <v>2.275634E-2</v>
      </c>
      <c r="Z1101">
        <v>-1.3234550000000001E-3</v>
      </c>
      <c r="AA1101">
        <v>0.99974019999999997</v>
      </c>
      <c r="AB1101">
        <v>28</v>
      </c>
      <c r="AC1101">
        <v>33.933300000000003</v>
      </c>
      <c r="AD1101">
        <v>-1.055245168091</v>
      </c>
      <c r="AE1101">
        <v>0.28819999999995999</v>
      </c>
      <c r="AF1101">
        <v>0.77629862728344401</v>
      </c>
      <c r="AG1101">
        <v>-1.055245168091</v>
      </c>
      <c r="AH1101">
        <v>33.892851901898098</v>
      </c>
      <c r="AI1101">
        <v>91.782845885679507</v>
      </c>
      <c r="AJ1101">
        <v>88.687898572371793</v>
      </c>
      <c r="AK1101">
        <v>33.918160209060602</v>
      </c>
    </row>
    <row r="1102" spans="1:37" x14ac:dyDescent="0.2">
      <c r="A1102" t="str">
        <f>"20200111155520354"</f>
        <v>20200111155520354</v>
      </c>
      <c r="B1102" t="str">
        <f>"1578729320343445"</f>
        <v>1578729320343445</v>
      </c>
      <c r="C1102" t="s">
        <v>37</v>
      </c>
      <c r="D1102">
        <v>4.7733939999999997</v>
      </c>
      <c r="E1102">
        <v>0.55204279999999994</v>
      </c>
      <c r="F1102" t="s">
        <v>38</v>
      </c>
      <c r="G1102">
        <v>-247.8244</v>
      </c>
      <c r="H1102" s="1">
        <v>-1.3814109999999999E-6</v>
      </c>
      <c r="I1102">
        <v>367.5163</v>
      </c>
      <c r="J1102">
        <v>-282.1105</v>
      </c>
      <c r="K1102">
        <v>1.0552250000000001</v>
      </c>
      <c r="L1102">
        <v>367.29520000000002</v>
      </c>
      <c r="M1102">
        <v>0.99940519999999999</v>
      </c>
      <c r="N1102">
        <v>0</v>
      </c>
      <c r="O1102">
        <v>3.1768560000000001E-2</v>
      </c>
      <c r="P1102">
        <v>0.98966419999999999</v>
      </c>
      <c r="Q1102">
        <v>1.2294579999999999E-3</v>
      </c>
      <c r="R1102">
        <v>0.14340029999999901</v>
      </c>
      <c r="S1102">
        <v>3.0282589999999998</v>
      </c>
      <c r="T1102">
        <v>-9.2791020000000002E-2</v>
      </c>
      <c r="U1102">
        <v>1.9897459999999999E-2</v>
      </c>
      <c r="V1102">
        <v>-0.1119039</v>
      </c>
      <c r="W1102">
        <v>1.4422219999999999E-2</v>
      </c>
      <c r="X1102">
        <v>0.99361440000000001</v>
      </c>
      <c r="Y1102">
        <v>2.5176879999999999E-2</v>
      </c>
      <c r="Z1102">
        <v>-1.35878E-3</v>
      </c>
      <c r="AA1102">
        <v>0.99968210000000002</v>
      </c>
      <c r="AB1102">
        <v>28</v>
      </c>
      <c r="AC1102">
        <v>34.286099999999998</v>
      </c>
      <c r="AD1102">
        <v>-1.0552263814109999</v>
      </c>
      <c r="AE1102">
        <v>0.22109999999997801</v>
      </c>
      <c r="AF1102">
        <v>0.867507995785332</v>
      </c>
      <c r="AG1102">
        <v>-1.0552263814109999</v>
      </c>
      <c r="AH1102">
        <v>34.243380717584103</v>
      </c>
      <c r="AI1102">
        <v>91.764472917015098</v>
      </c>
      <c r="AJ1102">
        <v>88.548802232972605</v>
      </c>
      <c r="AK1102">
        <v>34.270617091149397</v>
      </c>
    </row>
    <row r="1103" spans="1:37" x14ac:dyDescent="0.2">
      <c r="A1103" t="str">
        <f>"20200111155520368"</f>
        <v>20200111155520368</v>
      </c>
      <c r="B1103" t="str">
        <f>"1578729320363941"</f>
        <v>1578729320363941</v>
      </c>
      <c r="C1103" t="s">
        <v>37</v>
      </c>
      <c r="D1103">
        <v>4.7244159999999997</v>
      </c>
      <c r="E1103">
        <v>0.55239709999999997</v>
      </c>
      <c r="F1103" t="s">
        <v>38</v>
      </c>
      <c r="G1103">
        <v>-247.00219999999999</v>
      </c>
      <c r="H1103" s="1">
        <v>-1.766447E-6</v>
      </c>
      <c r="I1103">
        <v>367.53680000000003</v>
      </c>
      <c r="J1103">
        <v>-281.93389999999999</v>
      </c>
      <c r="K1103">
        <v>1.0551999999999999</v>
      </c>
      <c r="L1103">
        <v>367.30130000000003</v>
      </c>
      <c r="M1103">
        <v>0.99939149999999999</v>
      </c>
      <c r="N1103">
        <v>0</v>
      </c>
      <c r="O1103">
        <v>3.2196229999999999E-2</v>
      </c>
      <c r="P1103">
        <v>0.98952390000000001</v>
      </c>
      <c r="Q1103">
        <v>5.6440199999999998E-4</v>
      </c>
      <c r="R1103">
        <v>0.14436869999999999</v>
      </c>
      <c r="S1103">
        <v>3.028381</v>
      </c>
      <c r="T1103">
        <v>-9.102201E-2</v>
      </c>
      <c r="U1103">
        <v>2.0843509999999999E-2</v>
      </c>
      <c r="V1103">
        <v>-0.1124498</v>
      </c>
      <c r="W1103">
        <v>1.375614E-2</v>
      </c>
      <c r="X1103">
        <v>0.99356219999999995</v>
      </c>
      <c r="Y1103">
        <v>2.529342E-2</v>
      </c>
      <c r="Z1103">
        <v>-1.347429E-3</v>
      </c>
      <c r="AA1103">
        <v>0.99967909999999904</v>
      </c>
      <c r="AB1103">
        <v>28</v>
      </c>
      <c r="AC1103">
        <v>34.931699999999999</v>
      </c>
      <c r="AD1103">
        <v>-1.0552017664469999</v>
      </c>
      <c r="AE1103">
        <v>0.23550000000000099</v>
      </c>
      <c r="AF1103">
        <v>0.888581621159244</v>
      </c>
      <c r="AG1103">
        <v>-1.0552017664469999</v>
      </c>
      <c r="AH1103">
        <v>34.889334910924397</v>
      </c>
      <c r="AI1103">
        <v>91.731778583486303</v>
      </c>
      <c r="AJ1103">
        <v>88.541073566785698</v>
      </c>
      <c r="AK1103">
        <v>34.916596606657201</v>
      </c>
    </row>
    <row r="1104" spans="1:37" x14ac:dyDescent="0.2">
      <c r="A1104" t="str">
        <f>"20200111155520382"</f>
        <v>20200111155520382</v>
      </c>
      <c r="B1104" t="str">
        <f>"1578729320373700"</f>
        <v>1578729320373700</v>
      </c>
      <c r="C1104" t="s">
        <v>37</v>
      </c>
      <c r="D1104">
        <v>4.7355320000000001</v>
      </c>
      <c r="E1104">
        <v>0.55245580000000005</v>
      </c>
      <c r="F1104" t="s">
        <v>38</v>
      </c>
      <c r="G1104">
        <v>-247.42789999999999</v>
      </c>
      <c r="H1104" s="1">
        <v>-1.5648029999999999E-6</v>
      </c>
      <c r="I1104">
        <v>367.53910000000002</v>
      </c>
      <c r="J1104">
        <v>-281.76330000000002</v>
      </c>
      <c r="K1104">
        <v>1.0551759999999999</v>
      </c>
      <c r="L1104">
        <v>367.3073</v>
      </c>
      <c r="M1104">
        <v>0.99937869999999995</v>
      </c>
      <c r="N1104">
        <v>0</v>
      </c>
      <c r="O1104">
        <v>3.2596069999999998E-2</v>
      </c>
      <c r="P1104">
        <v>0.98941329999999905</v>
      </c>
      <c r="Q1104">
        <v>2.4967730000000001E-4</v>
      </c>
      <c r="R1104">
        <v>0.1451276</v>
      </c>
      <c r="S1104">
        <v>3.0288089999999999</v>
      </c>
      <c r="T1104">
        <v>-9.2621560000000006E-2</v>
      </c>
      <c r="U1104">
        <v>2.087402E-2</v>
      </c>
      <c r="V1104">
        <v>-0.1128132</v>
      </c>
      <c r="W1104">
        <v>1.3440509999999999E-2</v>
      </c>
      <c r="X1104">
        <v>0.99352529999999994</v>
      </c>
      <c r="Y1104">
        <v>2.5682980000000001E-2</v>
      </c>
      <c r="Z1104">
        <v>-1.3890770000000001E-3</v>
      </c>
      <c r="AA1104">
        <v>0.99966919999999904</v>
      </c>
      <c r="AB1104">
        <v>28</v>
      </c>
      <c r="AC1104">
        <v>34.3354</v>
      </c>
      <c r="AD1104">
        <v>-1.055177564803</v>
      </c>
      <c r="AE1104">
        <v>0.23180000000002099</v>
      </c>
      <c r="AF1104">
        <v>0.88678541725525695</v>
      </c>
      <c r="AG1104">
        <v>-1.055177564803</v>
      </c>
      <c r="AH1104">
        <v>34.292322567731198</v>
      </c>
      <c r="AI1104">
        <v>91.761851107178501</v>
      </c>
      <c r="AJ1104">
        <v>88.518684742557895</v>
      </c>
      <c r="AK1104">
        <v>34.320011293104898</v>
      </c>
    </row>
    <row r="1105" spans="1:37" x14ac:dyDescent="0.2">
      <c r="A1105" t="str">
        <f>"20200111155520394"</f>
        <v>20200111155520394</v>
      </c>
      <c r="B1105" t="str">
        <f>"1578729320383460"</f>
        <v>1578729320383460</v>
      </c>
      <c r="C1105" t="s">
        <v>37</v>
      </c>
      <c r="D1105">
        <v>4.8097300000000001</v>
      </c>
      <c r="E1105">
        <v>0.55265059999999999</v>
      </c>
      <c r="F1105" t="s">
        <v>38</v>
      </c>
      <c r="G1105">
        <v>-247.66990000000001</v>
      </c>
      <c r="H1105" s="1">
        <v>-1.445891E-6</v>
      </c>
      <c r="I1105">
        <v>367.56450000000001</v>
      </c>
      <c r="J1105">
        <v>-281.60120000000001</v>
      </c>
      <c r="K1105">
        <v>1.055156</v>
      </c>
      <c r="L1105">
        <v>367.31299999999999</v>
      </c>
      <c r="M1105">
        <v>0.9993668</v>
      </c>
      <c r="N1105">
        <v>0</v>
      </c>
      <c r="O1105">
        <v>3.2958719999999997E-2</v>
      </c>
      <c r="P1105">
        <v>0.98935890000000004</v>
      </c>
      <c r="Q1105">
        <v>2.7376320000000002E-4</v>
      </c>
      <c r="R1105">
        <v>0.14549579999999901</v>
      </c>
      <c r="S1105">
        <v>3.028778</v>
      </c>
      <c r="T1105">
        <v>-9.3739509999999998E-2</v>
      </c>
      <c r="U1105">
        <v>2.285767E-2</v>
      </c>
      <c r="V1105">
        <v>-0.112821699999999</v>
      </c>
      <c r="W1105">
        <v>1.346578E-2</v>
      </c>
      <c r="X1105">
        <v>0.99352399999999996</v>
      </c>
      <c r="Y1105">
        <v>2.5390289999999999E-2</v>
      </c>
      <c r="Z1105">
        <v>-1.412532E-3</v>
      </c>
      <c r="AA1105">
        <v>0.99967659999999903</v>
      </c>
      <c r="AB1105">
        <v>28</v>
      </c>
      <c r="AC1105">
        <v>33.931299999999901</v>
      </c>
      <c r="AD1105">
        <v>-1.055157445891</v>
      </c>
      <c r="AE1105">
        <v>0.25149999999996397</v>
      </c>
      <c r="AF1105">
        <v>0.86623177115675498</v>
      </c>
      <c r="AG1105">
        <v>-1.055157445891</v>
      </c>
      <c r="AH1105">
        <v>33.888383342272803</v>
      </c>
      <c r="AI1105">
        <v>91.782818046164607</v>
      </c>
      <c r="AJ1105">
        <v>88.535763158377705</v>
      </c>
      <c r="AK1105">
        <v>33.915870035572098</v>
      </c>
    </row>
    <row r="1106" spans="1:37" x14ac:dyDescent="0.2">
      <c r="A1106" t="str">
        <f>"20200111155520408"</f>
        <v>20200111155520408</v>
      </c>
      <c r="B1106" t="str">
        <f>"1578729320403956"</f>
        <v>1578729320403956</v>
      </c>
      <c r="C1106" t="s">
        <v>37</v>
      </c>
      <c r="D1106">
        <v>4.7305519999999897</v>
      </c>
      <c r="E1106">
        <v>0.55244729999999997</v>
      </c>
      <c r="F1106" t="s">
        <v>38</v>
      </c>
      <c r="G1106">
        <v>-247.4614</v>
      </c>
      <c r="H1106" s="1">
        <v>-1.544008E-6</v>
      </c>
      <c r="I1106">
        <v>367.56709999999998</v>
      </c>
      <c r="J1106">
        <v>-281.43329999999997</v>
      </c>
      <c r="K1106">
        <v>1.0551349999999999</v>
      </c>
      <c r="L1106">
        <v>367.31889999999999</v>
      </c>
      <c r="M1106">
        <v>0.99935509999999905</v>
      </c>
      <c r="N1106">
        <v>0</v>
      </c>
      <c r="O1106">
        <v>3.3317779999999998E-2</v>
      </c>
      <c r="P1106">
        <v>0.98928660000000002</v>
      </c>
      <c r="Q1106" s="1">
        <v>5.28227499999999E-5</v>
      </c>
      <c r="R1106">
        <v>0.14598699999999901</v>
      </c>
      <c r="S1106">
        <v>3.0289919999999899</v>
      </c>
      <c r="T1106">
        <v>-9.3616959999999999E-2</v>
      </c>
      <c r="U1106">
        <v>2.2552490000000001E-2</v>
      </c>
      <c r="V1106">
        <v>-0.112956999999999</v>
      </c>
      <c r="W1106">
        <v>1.32455E-2</v>
      </c>
      <c r="X1106">
        <v>0.99351160000000005</v>
      </c>
      <c r="Y1106">
        <v>2.5850399999999999E-2</v>
      </c>
      <c r="Z1106">
        <v>-1.4287869999999999E-3</v>
      </c>
      <c r="AA1106">
        <v>0.99966480000000002</v>
      </c>
      <c r="AB1106">
        <v>28</v>
      </c>
      <c r="AC1106">
        <v>33.971899999999899</v>
      </c>
      <c r="AD1106">
        <v>-1.0551365440079901</v>
      </c>
      <c r="AE1106">
        <v>0.24819999999999701</v>
      </c>
      <c r="AF1106">
        <v>0.88305579491748598</v>
      </c>
      <c r="AG1106">
        <v>-1.0551365440079901</v>
      </c>
      <c r="AH1106">
        <v>33.928577875891399</v>
      </c>
      <c r="AI1106">
        <v>91.7806507281813</v>
      </c>
      <c r="AJ1106">
        <v>88.509104904998694</v>
      </c>
      <c r="AK1106">
        <v>33.956464735656198</v>
      </c>
    </row>
    <row r="1107" spans="1:37" x14ac:dyDescent="0.2">
      <c r="A1107" t="str">
        <f>"20200111155520421"</f>
        <v>20200111155520421</v>
      </c>
      <c r="B1107" t="str">
        <f>"1578729320413716"</f>
        <v>1578729320413716</v>
      </c>
      <c r="C1107" t="s">
        <v>37</v>
      </c>
      <c r="D1107">
        <v>4.7211829999999999</v>
      </c>
      <c r="E1107">
        <v>0.55244179999999998</v>
      </c>
      <c r="F1107" t="s">
        <v>38</v>
      </c>
      <c r="G1107">
        <v>-246.55799999999999</v>
      </c>
      <c r="H1107" s="1">
        <v>-1.9626929999999999E-6</v>
      </c>
      <c r="I1107">
        <v>367.61410000000001</v>
      </c>
      <c r="J1107">
        <v>-281.26639999999998</v>
      </c>
      <c r="K1107">
        <v>1.0551520000000001</v>
      </c>
      <c r="L1107">
        <v>367.32490000000001</v>
      </c>
      <c r="M1107">
        <v>0.9993417</v>
      </c>
      <c r="N1107">
        <v>0</v>
      </c>
      <c r="O1107">
        <v>3.3657840000000001E-2</v>
      </c>
      <c r="P1107">
        <v>0.9892358</v>
      </c>
      <c r="Q1107">
        <v>-1.2708549999999999E-4</v>
      </c>
      <c r="R1107">
        <v>0.146331399999999</v>
      </c>
      <c r="S1107">
        <v>3.0287169999999999</v>
      </c>
      <c r="T1107">
        <v>-9.1632599999999995E-2</v>
      </c>
      <c r="U1107">
        <v>2.5634770000000001E-2</v>
      </c>
      <c r="V1107">
        <v>-0.1129642</v>
      </c>
      <c r="W1107">
        <v>1.3210690000000001E-2</v>
      </c>
      <c r="X1107">
        <v>0.99351129999999999</v>
      </c>
      <c r="Y1107">
        <v>2.517401E-2</v>
      </c>
      <c r="Z1107">
        <v>-1.398687E-3</v>
      </c>
      <c r="AA1107">
        <v>0.99968210000000002</v>
      </c>
      <c r="AB1107">
        <v>28</v>
      </c>
      <c r="AC1107">
        <v>34.708399999999898</v>
      </c>
      <c r="AD1107">
        <v>-1.055153962693</v>
      </c>
      <c r="AE1107">
        <v>0.28919999999999302</v>
      </c>
      <c r="AF1107">
        <v>0.87846893310755902</v>
      </c>
      <c r="AG1107">
        <v>-1.055153962693</v>
      </c>
      <c r="AH1107">
        <v>34.666429620016402</v>
      </c>
      <c r="AI1107">
        <v>91.742833828905404</v>
      </c>
      <c r="AJ1107">
        <v>88.548399896866002</v>
      </c>
      <c r="AK1107">
        <v>34.693607482517201</v>
      </c>
    </row>
    <row r="1108" spans="1:37" x14ac:dyDescent="0.2">
      <c r="A1108" t="str">
        <f>"20200111155520434"</f>
        <v>20200111155520434</v>
      </c>
      <c r="B1108" t="str">
        <f>"1578729320423476"</f>
        <v>1578729320423476</v>
      </c>
      <c r="C1108" t="s">
        <v>37</v>
      </c>
      <c r="D1108">
        <v>4.9197089999999903</v>
      </c>
      <c r="E1108">
        <v>0.55222919999999998</v>
      </c>
      <c r="F1108" t="s">
        <v>38</v>
      </c>
      <c r="G1108">
        <v>-246.3458</v>
      </c>
      <c r="H1108" s="1">
        <v>-2.0596539999999999E-6</v>
      </c>
      <c r="I1108">
        <v>367.63310000000001</v>
      </c>
      <c r="J1108">
        <v>-281.10309999999998</v>
      </c>
      <c r="K1108">
        <v>1.0552900000000001</v>
      </c>
      <c r="L1108">
        <v>367.33069999999998</v>
      </c>
      <c r="M1108">
        <v>0.99932319999999997</v>
      </c>
      <c r="N1108">
        <v>0</v>
      </c>
      <c r="O1108">
        <v>3.3953730000000001E-2</v>
      </c>
      <c r="P1108">
        <v>0.98921909999999902</v>
      </c>
      <c r="Q1108">
        <v>-6.5250509999999998E-4</v>
      </c>
      <c r="R1108">
        <v>0.146442299999999</v>
      </c>
      <c r="S1108">
        <v>3.0286559999999998</v>
      </c>
      <c r="T1108">
        <v>-9.1513159999999996E-2</v>
      </c>
      <c r="U1108">
        <v>2.6733400000000001E-2</v>
      </c>
      <c r="V1108">
        <v>-0.1127807</v>
      </c>
      <c r="W1108">
        <v>1.3305569999999999E-2</v>
      </c>
      <c r="X1108">
        <v>0.99353080000000005</v>
      </c>
      <c r="Y1108">
        <v>2.510747E-2</v>
      </c>
      <c r="Z1108">
        <v>-1.404827E-3</v>
      </c>
      <c r="AA1108">
        <v>0.99968380000000001</v>
      </c>
      <c r="AB1108">
        <v>28</v>
      </c>
      <c r="AC1108">
        <v>34.757299999999901</v>
      </c>
      <c r="AD1108">
        <v>-1.0552920596540001</v>
      </c>
      <c r="AE1108">
        <v>0.30240000000003397</v>
      </c>
      <c r="AF1108">
        <v>0.87722398262246604</v>
      </c>
      <c r="AG1108">
        <v>-1.0552920596540001</v>
      </c>
      <c r="AH1108">
        <v>34.7155241965269</v>
      </c>
      <c r="AI1108">
        <v>91.740601427054003</v>
      </c>
      <c r="AJ1108">
        <v>88.552505267465705</v>
      </c>
      <c r="AK1108">
        <v>34.742636392284702</v>
      </c>
    </row>
    <row r="1109" spans="1:37" x14ac:dyDescent="0.2">
      <c r="A1109" t="str">
        <f>"20200111155520446"</f>
        <v>20200111155520446</v>
      </c>
      <c r="B1109" t="str">
        <f>"1578729320443974"</f>
        <v>1578729320443974</v>
      </c>
      <c r="C1109" t="s">
        <v>37</v>
      </c>
      <c r="D1109">
        <v>4.869478</v>
      </c>
      <c r="E1109">
        <v>0.5525833</v>
      </c>
      <c r="F1109" t="s">
        <v>38</v>
      </c>
      <c r="G1109">
        <v>-246.30799999999999</v>
      </c>
      <c r="H1109" s="1">
        <v>-2.0728849999999999E-6</v>
      </c>
      <c r="I1109">
        <v>367.65929999999997</v>
      </c>
      <c r="J1109">
        <v>-280.96370000000002</v>
      </c>
      <c r="K1109">
        <v>1.055542</v>
      </c>
      <c r="L1109">
        <v>367.33580000000001</v>
      </c>
      <c r="M1109">
        <v>0.99930609999999997</v>
      </c>
      <c r="N1109">
        <v>0</v>
      </c>
      <c r="O1109">
        <v>3.4195870000000003E-2</v>
      </c>
      <c r="P1109">
        <v>0.98923130000000004</v>
      </c>
      <c r="Q1109">
        <v>-1.4904569999999999E-3</v>
      </c>
      <c r="R1109">
        <v>0.14635419999999999</v>
      </c>
      <c r="S1109">
        <v>3.0283509999999998</v>
      </c>
      <c r="T1109">
        <v>-9.1845990000000002E-2</v>
      </c>
      <c r="U1109">
        <v>2.8594970000000001E-2</v>
      </c>
      <c r="V1109">
        <v>-0.11244939999999901</v>
      </c>
      <c r="W1109">
        <v>1.308577E-2</v>
      </c>
      <c r="X1109">
        <v>0.99357129999999905</v>
      </c>
      <c r="Y1109">
        <v>2.4734510000000001E-2</v>
      </c>
      <c r="Z1109">
        <v>-1.4117629999999999E-3</v>
      </c>
      <c r="AA1109">
        <v>0.99969300000000005</v>
      </c>
      <c r="AB1109">
        <v>28</v>
      </c>
      <c r="AC1109">
        <v>34.655700000000003</v>
      </c>
      <c r="AD1109">
        <v>-1.0555440728850001</v>
      </c>
      <c r="AE1109">
        <v>0.32349999999996698</v>
      </c>
      <c r="AF1109">
        <v>0.86110145747556499</v>
      </c>
      <c r="AG1109">
        <v>-1.0555440728850001</v>
      </c>
      <c r="AH1109">
        <v>34.614382114458401</v>
      </c>
      <c r="AI1109">
        <v>91.746118029468406</v>
      </c>
      <c r="AJ1109">
        <v>88.574947687227905</v>
      </c>
      <c r="AK1109">
        <v>34.641176628047802</v>
      </c>
    </row>
    <row r="1110" spans="1:37" x14ac:dyDescent="0.2">
      <c r="A1110" t="str">
        <f>"20200111155520458"</f>
        <v>20200111155520458</v>
      </c>
      <c r="B1110" t="str">
        <f>"1578729320453732"</f>
        <v>1578729320453732</v>
      </c>
      <c r="C1110" t="s">
        <v>37</v>
      </c>
      <c r="D1110">
        <v>4.6723720000000002</v>
      </c>
      <c r="E1110">
        <v>0.552674</v>
      </c>
      <c r="F1110" t="s">
        <v>38</v>
      </c>
      <c r="G1110">
        <v>-246.79750000000001</v>
      </c>
      <c r="H1110" s="1">
        <v>-1.847199E-6</v>
      </c>
      <c r="I1110">
        <v>367.62699999999899</v>
      </c>
      <c r="J1110">
        <v>-280.81439999999998</v>
      </c>
      <c r="K1110">
        <v>1.055876</v>
      </c>
      <c r="L1110">
        <v>367.34120000000001</v>
      </c>
      <c r="M1110">
        <v>0.99928680000000003</v>
      </c>
      <c r="N1110">
        <v>0</v>
      </c>
      <c r="O1110">
        <v>3.4449849999999997E-2</v>
      </c>
      <c r="P1110">
        <v>0.98923680000000003</v>
      </c>
      <c r="Q1110">
        <v>-2.228795E-3</v>
      </c>
      <c r="R1110">
        <v>0.14630570000000001</v>
      </c>
      <c r="S1110">
        <v>3.028778</v>
      </c>
      <c r="T1110">
        <v>-9.3572260000000004E-2</v>
      </c>
      <c r="U1110">
        <v>2.581787E-2</v>
      </c>
      <c r="V1110">
        <v>-0.112146699999999</v>
      </c>
      <c r="W1110">
        <v>1.304191E-2</v>
      </c>
      <c r="X1110">
        <v>0.99360609999999905</v>
      </c>
      <c r="Y1110">
        <v>2.5905109999999999E-2</v>
      </c>
      <c r="Z1110">
        <v>-1.4640229999999901E-3</v>
      </c>
      <c r="AA1110">
        <v>0.99966339999999998</v>
      </c>
      <c r="AB1110">
        <v>27</v>
      </c>
      <c r="AC1110">
        <v>34.0168999999999</v>
      </c>
      <c r="AD1110">
        <v>-1.055877847199</v>
      </c>
      <c r="AE1110">
        <v>0.28579999999993699</v>
      </c>
      <c r="AF1110">
        <v>0.88553378413975603</v>
      </c>
      <c r="AG1110">
        <v>-1.055877847199</v>
      </c>
      <c r="AH1110">
        <v>33.973820203231803</v>
      </c>
      <c r="AI1110">
        <v>91.779527776153699</v>
      </c>
      <c r="AJ1110">
        <v>88.506913187439196</v>
      </c>
      <c r="AK1110">
        <v>34.001757415059899</v>
      </c>
    </row>
    <row r="1111" spans="1:37" x14ac:dyDescent="0.2">
      <c r="A1111" t="str">
        <f>"20200111155520471"</f>
        <v>20200111155520471</v>
      </c>
      <c r="B1111" t="str">
        <f>"1578729320463493"</f>
        <v>1578729320463493</v>
      </c>
      <c r="C1111" t="s">
        <v>37</v>
      </c>
      <c r="D1111">
        <v>4.6136819999999998</v>
      </c>
      <c r="E1111">
        <v>0.55271939999999997</v>
      </c>
      <c r="F1111" t="s">
        <v>38</v>
      </c>
      <c r="G1111">
        <v>-247.3997</v>
      </c>
      <c r="H1111" s="1">
        <v>-1.565174E-6</v>
      </c>
      <c r="I1111">
        <v>367.61219999999997</v>
      </c>
      <c r="J1111">
        <v>-280.66300000000001</v>
      </c>
      <c r="K1111">
        <v>1.056236</v>
      </c>
      <c r="L1111">
        <v>367.3467</v>
      </c>
      <c r="M1111">
        <v>0.99928019999999995</v>
      </c>
      <c r="N1111">
        <v>0</v>
      </c>
      <c r="O1111">
        <v>3.4701660000000002E-2</v>
      </c>
      <c r="P1111">
        <v>0.98924669999999904</v>
      </c>
      <c r="Q1111">
        <v>-2.206277E-3</v>
      </c>
      <c r="R1111">
        <v>0.14623929999999999</v>
      </c>
      <c r="S1111">
        <v>3.0288390000000001</v>
      </c>
      <c r="T1111">
        <v>-9.5708849999999998E-2</v>
      </c>
      <c r="U1111">
        <v>2.4566649999999999E-2</v>
      </c>
      <c r="V1111">
        <v>-0.111829399999999</v>
      </c>
      <c r="W1111">
        <v>1.29288999999999E-2</v>
      </c>
      <c r="X1111">
        <v>0.99364330000000001</v>
      </c>
      <c r="Y1111">
        <v>2.656826E-2</v>
      </c>
      <c r="Z1111">
        <v>-1.515834E-3</v>
      </c>
      <c r="AA1111">
        <v>0.99964580000000003</v>
      </c>
      <c r="AB1111">
        <v>27</v>
      </c>
      <c r="AC1111">
        <v>33.263300000000001</v>
      </c>
      <c r="AD1111">
        <v>-1.0562375651739999</v>
      </c>
      <c r="AE1111">
        <v>0.26549999999997398</v>
      </c>
      <c r="AF1111">
        <v>0.88819174061679995</v>
      </c>
      <c r="AG1111">
        <v>-1.0562375651739999</v>
      </c>
      <c r="AH1111">
        <v>33.218982930734803</v>
      </c>
      <c r="AI1111">
        <v>91.820524551113806</v>
      </c>
      <c r="AJ1111">
        <v>88.468420403909704</v>
      </c>
      <c r="AK1111">
        <v>33.247636747814603</v>
      </c>
    </row>
    <row r="1112" spans="1:37" x14ac:dyDescent="0.2">
      <c r="A1112" t="str">
        <f>"20200111155520483"</f>
        <v>20200111155520483</v>
      </c>
      <c r="B1112" t="str">
        <f>"1578729320473252"</f>
        <v>1578729320473252</v>
      </c>
      <c r="C1112" t="s">
        <v>37</v>
      </c>
      <c r="D1112">
        <v>4.7685019999999998</v>
      </c>
      <c r="E1112">
        <v>0.55298190000000003</v>
      </c>
      <c r="F1112" t="s">
        <v>38</v>
      </c>
      <c r="G1112">
        <v>-247.17760000000001</v>
      </c>
      <c r="H1112" s="1">
        <v>-1.669952E-6</v>
      </c>
      <c r="I1112">
        <v>367.61329999999998</v>
      </c>
      <c r="J1112">
        <v>-280.5043</v>
      </c>
      <c r="K1112">
        <v>1.056611</v>
      </c>
      <c r="L1112">
        <v>367.3526</v>
      </c>
      <c r="M1112">
        <v>0.99927999999999995</v>
      </c>
      <c r="N1112">
        <v>0</v>
      </c>
      <c r="O1112">
        <v>3.4956189999999998E-2</v>
      </c>
      <c r="P1112">
        <v>0.98924699999999999</v>
      </c>
      <c r="Q1112">
        <v>-1.518939E-3</v>
      </c>
      <c r="R1112">
        <v>0.14624819999999999</v>
      </c>
      <c r="S1112">
        <v>3.0288089999999999</v>
      </c>
      <c r="T1112">
        <v>-9.5538380000000006E-2</v>
      </c>
      <c r="U1112">
        <v>2.4108890000000001E-2</v>
      </c>
      <c r="V1112">
        <v>-0.1115857</v>
      </c>
      <c r="W1112">
        <v>1.305573E-2</v>
      </c>
      <c r="X1112">
        <v>0.99366900000000002</v>
      </c>
      <c r="Y1112">
        <v>2.697335E-2</v>
      </c>
      <c r="Z1112">
        <v>-1.5275529999999901E-3</v>
      </c>
      <c r="AA1112">
        <v>0.99963500000000005</v>
      </c>
      <c r="AB1112">
        <v>27</v>
      </c>
      <c r="AC1112">
        <v>33.326699999999903</v>
      </c>
      <c r="AD1112">
        <v>-1.056612669952</v>
      </c>
      <c r="AE1112">
        <v>0.260699999999985</v>
      </c>
      <c r="AF1112">
        <v>0.90365227432977002</v>
      </c>
      <c r="AG1112">
        <v>-1.056612669952</v>
      </c>
      <c r="AH1112">
        <v>33.281989291978803</v>
      </c>
      <c r="AI1112">
        <v>91.817705044484896</v>
      </c>
      <c r="AJ1112">
        <v>88.444722047258793</v>
      </c>
      <c r="AK1112">
        <v>33.311016631117703</v>
      </c>
    </row>
    <row r="1113" spans="1:37" x14ac:dyDescent="0.2">
      <c r="A1113" t="str">
        <f>"20200111155520496"</f>
        <v>20200111155520496</v>
      </c>
      <c r="B1113" t="str">
        <f>"1578729320493748"</f>
        <v>1578729320493748</v>
      </c>
      <c r="C1113" t="s">
        <v>37</v>
      </c>
      <c r="D1113">
        <v>4.6125189999999998</v>
      </c>
      <c r="E1113">
        <v>0.55304489999999995</v>
      </c>
      <c r="F1113" t="s">
        <v>38</v>
      </c>
      <c r="G1113">
        <v>-245.94120000000001</v>
      </c>
      <c r="H1113" s="1">
        <v>-2.255704E-6</v>
      </c>
      <c r="I1113">
        <v>367.60610000000003</v>
      </c>
      <c r="J1113">
        <v>-280.3424</v>
      </c>
      <c r="K1113">
        <v>1.056999</v>
      </c>
      <c r="L1113">
        <v>367.35860000000002</v>
      </c>
      <c r="M1113">
        <v>0.99928729999999999</v>
      </c>
      <c r="N1113">
        <v>0</v>
      </c>
      <c r="O1113">
        <v>3.5203640000000001E-2</v>
      </c>
      <c r="P1113">
        <v>0.98927710000000002</v>
      </c>
      <c r="Q1113">
        <v>-2.9243159999999999E-4</v>
      </c>
      <c r="R1113">
        <v>0.1460516</v>
      </c>
      <c r="S1113">
        <v>3.029175</v>
      </c>
      <c r="T1113">
        <v>-9.2603450000000004E-2</v>
      </c>
      <c r="U1113">
        <v>2.2216799999999998E-2</v>
      </c>
      <c r="V1113">
        <v>-0.11114249999999901</v>
      </c>
      <c r="W1113">
        <v>1.3161580000000001E-2</v>
      </c>
      <c r="X1113">
        <v>0.99371730000000003</v>
      </c>
      <c r="Y1113">
        <v>2.7846969999999999E-2</v>
      </c>
      <c r="Z1113">
        <v>-1.501369E-3</v>
      </c>
      <c r="AA1113">
        <v>0.99961109999999898</v>
      </c>
      <c r="AB1113">
        <v>27</v>
      </c>
      <c r="AC1113">
        <v>34.401199999999903</v>
      </c>
      <c r="AD1113">
        <v>-1.0570012557040001</v>
      </c>
      <c r="AE1113">
        <v>0.247500000000002</v>
      </c>
      <c r="AF1113">
        <v>0.96290429638970498</v>
      </c>
      <c r="AG1113">
        <v>-1.0570012557040001</v>
      </c>
      <c r="AH1113">
        <v>34.356153595006802</v>
      </c>
      <c r="AI1113">
        <v>91.761514532569706</v>
      </c>
      <c r="AJ1113">
        <v>88.394584157753499</v>
      </c>
      <c r="AK1113">
        <v>34.385894290861003</v>
      </c>
    </row>
    <row r="1114" spans="1:37" x14ac:dyDescent="0.2">
      <c r="A1114" t="str">
        <f>"20200111155520509"</f>
        <v>20200111155520509</v>
      </c>
      <c r="B1114" t="str">
        <f>"1578729320503509"</f>
        <v>1578729320503509</v>
      </c>
      <c r="C1114" t="s">
        <v>37</v>
      </c>
      <c r="D1114">
        <v>4.5937359999999998</v>
      </c>
      <c r="E1114">
        <v>0.55300719999999903</v>
      </c>
      <c r="F1114" t="s">
        <v>38</v>
      </c>
      <c r="G1114">
        <v>-243.9265</v>
      </c>
      <c r="H1114" s="1">
        <v>-3.20726099999999E-6</v>
      </c>
      <c r="I1114">
        <v>367.61059999999998</v>
      </c>
      <c r="J1114">
        <v>-280.1934</v>
      </c>
      <c r="K1114">
        <v>1.0575000000000001</v>
      </c>
      <c r="L1114">
        <v>367.36410000000001</v>
      </c>
      <c r="M1114">
        <v>0.99929489999999999</v>
      </c>
      <c r="N1114">
        <v>0</v>
      </c>
      <c r="O1114">
        <v>3.5423280000000001E-2</v>
      </c>
      <c r="P1114">
        <v>0.98928890000000003</v>
      </c>
      <c r="Q1114">
        <v>1.0990850000000001E-3</v>
      </c>
      <c r="R1114">
        <v>0.14596629999999899</v>
      </c>
      <c r="S1114">
        <v>3.029388</v>
      </c>
      <c r="T1114">
        <v>-8.7930439999999999E-2</v>
      </c>
      <c r="U1114">
        <v>2.0965580000000001E-2</v>
      </c>
      <c r="V1114">
        <v>-0.110838899999999</v>
      </c>
      <c r="W1114">
        <v>1.3380909999999999E-2</v>
      </c>
      <c r="X1114">
        <v>0.99374830000000003</v>
      </c>
      <c r="Y1114">
        <v>2.8482049999999998E-2</v>
      </c>
      <c r="Z1114">
        <v>-1.441112E-3</v>
      </c>
      <c r="AA1114">
        <v>0.99959330000000002</v>
      </c>
      <c r="AB1114">
        <v>27</v>
      </c>
      <c r="AC1114">
        <v>36.2668999999999</v>
      </c>
      <c r="AD1114">
        <v>-1.057503207261</v>
      </c>
      <c r="AE1114">
        <v>0.24649999999996899</v>
      </c>
      <c r="AF1114">
        <v>1.0375646481071601</v>
      </c>
      <c r="AG1114">
        <v>-1.057503207261</v>
      </c>
      <c r="AH1114">
        <v>36.222071731781703</v>
      </c>
      <c r="AI1114">
        <v>91.671589742981197</v>
      </c>
      <c r="AJ1114">
        <v>88.359237304091096</v>
      </c>
      <c r="AK1114">
        <v>36.252356254107198</v>
      </c>
    </row>
    <row r="1115" spans="1:37" x14ac:dyDescent="0.2">
      <c r="A1115" t="str">
        <f>"20200111155520619"</f>
        <v>20200111155520619</v>
      </c>
      <c r="B1115" t="str">
        <f>"1578729320613796"</f>
        <v>1578729320613796</v>
      </c>
      <c r="C1115" t="s">
        <v>37</v>
      </c>
      <c r="D1115">
        <v>4.6136939999999997</v>
      </c>
      <c r="E1115">
        <v>0.55307099999999998</v>
      </c>
      <c r="F1115" t="s">
        <v>38</v>
      </c>
      <c r="G1115">
        <v>-241.6823</v>
      </c>
      <c r="H1115" s="1">
        <v>-4.2644729999999999E-6</v>
      </c>
      <c r="I1115">
        <v>367.63099999999997</v>
      </c>
      <c r="J1115">
        <v>-278.84370000000001</v>
      </c>
      <c r="K1115">
        <v>1.0648309999999901</v>
      </c>
      <c r="L1115">
        <v>367.41550000000001</v>
      </c>
      <c r="M1115">
        <v>0.99929000000000001</v>
      </c>
      <c r="N1115">
        <v>0</v>
      </c>
      <c r="O1115">
        <v>3.7469130000000003E-2</v>
      </c>
      <c r="P1115">
        <v>0.98878999999999995</v>
      </c>
      <c r="Q1115">
        <v>8.6387449999999998E-3</v>
      </c>
      <c r="R1115">
        <v>0.14906240000000001</v>
      </c>
      <c r="S1115">
        <v>3.0294490000000001</v>
      </c>
      <c r="T1115">
        <v>-8.3187940000000002E-2</v>
      </c>
      <c r="U1115">
        <v>2.0996089999999999E-2</v>
      </c>
      <c r="V1115">
        <v>-0.1119158</v>
      </c>
      <c r="W1115">
        <v>1.2474519999999999E-2</v>
      </c>
      <c r="X1115">
        <v>0.99363939999999995</v>
      </c>
      <c r="Y1115">
        <v>3.0517269999999999E-2</v>
      </c>
      <c r="Z1115">
        <v>-1.447395E-3</v>
      </c>
      <c r="AA1115">
        <v>0.99953320000000001</v>
      </c>
      <c r="AB1115">
        <v>28</v>
      </c>
      <c r="AC1115">
        <v>37.1614</v>
      </c>
      <c r="AD1115">
        <v>-1.0648352644729999</v>
      </c>
      <c r="AE1115">
        <v>0.215499999999963</v>
      </c>
      <c r="AF1115">
        <v>1.1761018596539501</v>
      </c>
      <c r="AG1115">
        <v>-1.0648352644729999</v>
      </c>
      <c r="AH1115">
        <v>37.112907676037899</v>
      </c>
      <c r="AI1115">
        <v>91.642642691522695</v>
      </c>
      <c r="AJ1115">
        <v>88.184913729961806</v>
      </c>
      <c r="AK1115">
        <v>37.146803441142303</v>
      </c>
    </row>
    <row r="1116" spans="1:37" x14ac:dyDescent="0.2">
      <c r="A1116" t="str">
        <f>"20200111155520630"</f>
        <v>20200111155520630</v>
      </c>
      <c r="B1116" t="str">
        <f>"1578729320623556"</f>
        <v>1578729320623556</v>
      </c>
      <c r="C1116" t="s">
        <v>37</v>
      </c>
      <c r="D1116">
        <v>4.4661410000000004</v>
      </c>
      <c r="E1116">
        <v>0.55371110000000001</v>
      </c>
      <c r="F1116" t="s">
        <v>38</v>
      </c>
      <c r="G1116">
        <v>-224.607</v>
      </c>
      <c r="H1116" s="1">
        <v>-2.5901040000000001E-6</v>
      </c>
      <c r="I1116">
        <v>367.9579</v>
      </c>
      <c r="J1116">
        <v>-278.69720000000001</v>
      </c>
      <c r="K1116">
        <v>1.065741</v>
      </c>
      <c r="L1116">
        <v>367.42129999999997</v>
      </c>
      <c r="M1116">
        <v>0.99930259999999904</v>
      </c>
      <c r="N1116">
        <v>0</v>
      </c>
      <c r="O1116">
        <v>3.7191589999999997E-2</v>
      </c>
      <c r="P1116">
        <v>0.98882440000000005</v>
      </c>
      <c r="Q1116">
        <v>9.2357640000000005E-3</v>
      </c>
      <c r="R1116">
        <v>0.1487984</v>
      </c>
      <c r="S1116">
        <v>3.0299680000000002</v>
      </c>
      <c r="T1116">
        <v>-5.9487459999999999E-2</v>
      </c>
      <c r="U1116">
        <v>3.0303960000000001E-2</v>
      </c>
      <c r="V1116">
        <v>-0.11192719999999901</v>
      </c>
      <c r="W1116">
        <v>1.250217E-2</v>
      </c>
      <c r="X1116">
        <v>0.99363769999999996</v>
      </c>
      <c r="Y1116">
        <v>2.7183550000000001E-2</v>
      </c>
      <c r="Z1116">
        <v>-9.9675429999999997E-4</v>
      </c>
      <c r="AA1116">
        <v>0.99962999999999902</v>
      </c>
      <c r="AB1116">
        <v>28</v>
      </c>
      <c r="AC1116">
        <v>54.090200000000003</v>
      </c>
      <c r="AD1116">
        <v>-1.065743590104</v>
      </c>
      <c r="AE1116">
        <v>0.53660000000002095</v>
      </c>
      <c r="AF1116">
        <v>1.4749104339711401</v>
      </c>
      <c r="AG1116">
        <v>-1.065743590104</v>
      </c>
      <c r="AH1116">
        <v>54.051753144556997</v>
      </c>
      <c r="AI1116">
        <v>91.129139825580907</v>
      </c>
      <c r="AJ1116">
        <v>88.436957663764204</v>
      </c>
      <c r="AK1116">
        <v>54.082374099037203</v>
      </c>
    </row>
    <row r="1117" spans="1:37" x14ac:dyDescent="0.2">
      <c r="A1117" t="str">
        <f>"20200111155520644"</f>
        <v>20200111155520644</v>
      </c>
      <c r="B1117" t="str">
        <f>"1578729320633317"</f>
        <v>1578729320633317</v>
      </c>
      <c r="C1117" t="s">
        <v>37</v>
      </c>
      <c r="D1117">
        <v>4.5267850000000003</v>
      </c>
      <c r="E1117">
        <v>0.55371110000000001</v>
      </c>
      <c r="F1117" t="s">
        <v>38</v>
      </c>
      <c r="G1117">
        <v>-219.49039999999999</v>
      </c>
      <c r="H1117" s="1">
        <v>-6.1666739999999997E-7</v>
      </c>
      <c r="I1117">
        <v>367.89819999999997</v>
      </c>
      <c r="J1117">
        <v>-278.54790000000003</v>
      </c>
      <c r="K1117">
        <v>1.0666799999999901</v>
      </c>
      <c r="L1117">
        <v>367.42720000000003</v>
      </c>
      <c r="M1117">
        <v>0.99931309999999995</v>
      </c>
      <c r="N1117">
        <v>0</v>
      </c>
      <c r="O1117">
        <v>3.6939890000000003E-2</v>
      </c>
      <c r="P1117">
        <v>0.98886700000000005</v>
      </c>
      <c r="Q1117">
        <v>9.2619279999999991E-3</v>
      </c>
      <c r="R1117">
        <v>0.14851420000000001</v>
      </c>
      <c r="S1117">
        <v>3.0307309999999998</v>
      </c>
      <c r="T1117">
        <v>-5.4554099999999897E-2</v>
      </c>
      <c r="U1117">
        <v>2.4414060000000001E-2</v>
      </c>
      <c r="V1117">
        <v>-0.1118912</v>
      </c>
      <c r="W1117">
        <v>1.2148859999999999E-2</v>
      </c>
      <c r="X1117">
        <v>0.99364619999999904</v>
      </c>
      <c r="Y1117">
        <v>2.8878460000000002E-2</v>
      </c>
      <c r="Z1117">
        <v>-9.2461509999999998E-4</v>
      </c>
      <c r="AA1117">
        <v>0.99958250000000004</v>
      </c>
      <c r="AB1117">
        <v>28</v>
      </c>
      <c r="AC1117">
        <v>59.057499999999997</v>
      </c>
      <c r="AD1117">
        <v>-1.0666806166674001</v>
      </c>
      <c r="AE1117">
        <v>0.47099999999994602</v>
      </c>
      <c r="AF1117">
        <v>1.71035066271086</v>
      </c>
      <c r="AG1117">
        <v>-1.0666806166674001</v>
      </c>
      <c r="AH1117">
        <v>59.015339919187099</v>
      </c>
      <c r="AI1117">
        <v>91.035052943533302</v>
      </c>
      <c r="AJ1117">
        <v>88.339949375548699</v>
      </c>
      <c r="AK1117">
        <v>59.049754044404096</v>
      </c>
    </row>
    <row r="1118" spans="1:37" x14ac:dyDescent="0.2">
      <c r="A1118" t="str">
        <f>"20200111155520654"</f>
        <v>20200111155520654</v>
      </c>
      <c r="B1118" t="str">
        <f>"1578729320643077"</f>
        <v>1578729320643077</v>
      </c>
      <c r="C1118" t="s">
        <v>37</v>
      </c>
      <c r="D1118">
        <v>4.4939629999999999</v>
      </c>
      <c r="E1118">
        <v>0.55628849999999996</v>
      </c>
      <c r="F1118" t="s">
        <v>38</v>
      </c>
      <c r="G1118">
        <v>-219.1694</v>
      </c>
      <c r="H1118" s="1">
        <v>-7.2888409999999899E-7</v>
      </c>
      <c r="I1118">
        <v>367.88699999999898</v>
      </c>
      <c r="J1118">
        <v>-278.40359999999998</v>
      </c>
      <c r="K1118">
        <v>1.0676049999999999</v>
      </c>
      <c r="L1118">
        <v>367.4332</v>
      </c>
      <c r="M1118">
        <v>0.99932069999999995</v>
      </c>
      <c r="N1118">
        <v>0</v>
      </c>
      <c r="O1118">
        <v>3.6743459999999999E-2</v>
      </c>
      <c r="P1118">
        <v>0.98889590000000005</v>
      </c>
      <c r="Q1118">
        <v>9.4408129999999993E-3</v>
      </c>
      <c r="R1118">
        <v>0.14831040000000001</v>
      </c>
      <c r="S1118">
        <v>3.03076199999999</v>
      </c>
      <c r="T1118">
        <v>-5.444479E-2</v>
      </c>
      <c r="U1118">
        <v>2.3468019999999999E-2</v>
      </c>
      <c r="V1118">
        <v>-0.1118787</v>
      </c>
      <c r="W1118">
        <v>1.2267109999999999E-2</v>
      </c>
      <c r="X1118">
        <v>0.99364609999999998</v>
      </c>
      <c r="Y1118">
        <v>2.899409E-2</v>
      </c>
      <c r="Z1118">
        <v>-9.202673E-4</v>
      </c>
      <c r="AA1118">
        <v>0.99957909999999905</v>
      </c>
      <c r="AB1118">
        <v>27</v>
      </c>
      <c r="AC1118">
        <v>59.234199999999902</v>
      </c>
      <c r="AD1118">
        <v>-1.0676057288841001</v>
      </c>
      <c r="AE1118">
        <v>0.45379999999994403</v>
      </c>
      <c r="AF1118">
        <v>1.7224251763932199</v>
      </c>
      <c r="AG1118">
        <v>-1.0676057288841001</v>
      </c>
      <c r="AH1118">
        <v>59.191647905932101</v>
      </c>
      <c r="AI1118">
        <v>91.032861896474799</v>
      </c>
      <c r="AJ1118">
        <v>88.333213284853102</v>
      </c>
      <c r="AK1118">
        <v>59.226326175953702</v>
      </c>
    </row>
    <row r="1119" spans="1:37" x14ac:dyDescent="0.2">
      <c r="A1119" t="str">
        <f>"20200111155520669"</f>
        <v>20200111155520669</v>
      </c>
      <c r="B1119" t="str">
        <f>"1578729320663575"</f>
        <v>1578729320663575</v>
      </c>
      <c r="C1119" t="s">
        <v>37</v>
      </c>
      <c r="D1119">
        <v>4.5754440000000001</v>
      </c>
      <c r="E1119">
        <v>0.558249</v>
      </c>
      <c r="F1119" t="s">
        <v>38</v>
      </c>
      <c r="G1119">
        <v>-227.4658</v>
      </c>
      <c r="H1119" s="1">
        <v>-1.4489640000000001E-6</v>
      </c>
      <c r="I1119">
        <v>367.47719999999998</v>
      </c>
      <c r="J1119">
        <v>-278.23160000000001</v>
      </c>
      <c r="K1119">
        <v>1.0687389999999899</v>
      </c>
      <c r="L1119">
        <v>367.4402</v>
      </c>
      <c r="M1119">
        <v>0.99931159999999997</v>
      </c>
      <c r="N1119">
        <v>0</v>
      </c>
      <c r="O1119">
        <v>3.6980319999999997E-2</v>
      </c>
      <c r="P1119">
        <v>0.98888229999999999</v>
      </c>
      <c r="Q1119">
        <v>9.538665E-3</v>
      </c>
      <c r="R1119">
        <v>0.1483941</v>
      </c>
      <c r="S1119">
        <v>3.0339049999999999</v>
      </c>
      <c r="T1119">
        <v>-6.3587550000000007E-2</v>
      </c>
      <c r="U1119">
        <v>2.6245119999999999E-3</v>
      </c>
      <c r="V1119">
        <v>-0.1117191</v>
      </c>
      <c r="W1119">
        <v>1.252935E-2</v>
      </c>
      <c r="X1119">
        <v>0.99366080000000001</v>
      </c>
      <c r="Y1119">
        <v>3.609996E-2</v>
      </c>
      <c r="Z1119">
        <v>-1.1531200000000001E-3</v>
      </c>
      <c r="AA1119">
        <v>0.99934750000000006</v>
      </c>
      <c r="AB1119">
        <v>27</v>
      </c>
      <c r="AC1119">
        <v>50.765799999999999</v>
      </c>
      <c r="AD1119">
        <v>-1.06874044896399</v>
      </c>
      <c r="AE1119">
        <v>3.6999999999977697E-2</v>
      </c>
      <c r="AF1119">
        <v>1.83955378689807</v>
      </c>
      <c r="AG1119">
        <v>-1.06874044896399</v>
      </c>
      <c r="AH1119">
        <v>50.709969098768802</v>
      </c>
      <c r="AI1119">
        <v>91.206567886513497</v>
      </c>
      <c r="AJ1119">
        <v>87.922450486365506</v>
      </c>
      <c r="AK1119">
        <v>50.754577431796498</v>
      </c>
    </row>
    <row r="1120" spans="1:37" x14ac:dyDescent="0.2">
      <c r="A1120" t="str">
        <f>"20200111155520683"</f>
        <v>20200111155520683</v>
      </c>
      <c r="B1120" t="str">
        <f>"1578729320673332"</f>
        <v>1578729320673332</v>
      </c>
      <c r="C1120" t="s">
        <v>37</v>
      </c>
      <c r="D1120">
        <v>4.526675</v>
      </c>
      <c r="E1120">
        <v>0.55958889999999994</v>
      </c>
      <c r="F1120" t="s">
        <v>38</v>
      </c>
      <c r="G1120">
        <v>-243.27610000000001</v>
      </c>
      <c r="H1120" s="1">
        <v>-3.5701459999999999E-6</v>
      </c>
      <c r="I1120">
        <v>367.29790000000003</v>
      </c>
      <c r="J1120">
        <v>-278.07170000000002</v>
      </c>
      <c r="K1120">
        <v>1.0698620000000001</v>
      </c>
      <c r="L1120">
        <v>367.44670000000002</v>
      </c>
      <c r="M1120">
        <v>0.99929140000000005</v>
      </c>
      <c r="N1120">
        <v>0</v>
      </c>
      <c r="O1120">
        <v>3.7513360000000003E-2</v>
      </c>
      <c r="P1120">
        <v>0.98880119999999905</v>
      </c>
      <c r="Q1120">
        <v>9.4643090000000006E-3</v>
      </c>
      <c r="R1120">
        <v>0.1489386</v>
      </c>
      <c r="S1120">
        <v>3.036438</v>
      </c>
      <c r="T1120">
        <v>-9.2837329999999996E-2</v>
      </c>
      <c r="U1120">
        <v>-1.235962E-2</v>
      </c>
      <c r="V1120">
        <v>-0.11172849999999999</v>
      </c>
      <c r="W1120">
        <v>1.2641400000000001E-2</v>
      </c>
      <c r="X1120">
        <v>0.99365840000000005</v>
      </c>
      <c r="Y1120">
        <v>4.1543820000000002E-2</v>
      </c>
      <c r="Z1120">
        <v>-1.78144E-3</v>
      </c>
      <c r="AA1120">
        <v>0.99913510000000005</v>
      </c>
      <c r="AB1120">
        <v>27</v>
      </c>
      <c r="AC1120">
        <v>34.7956</v>
      </c>
      <c r="AD1120">
        <v>-1.069865570146</v>
      </c>
      <c r="AE1120">
        <v>-0.14879999999999399</v>
      </c>
      <c r="AF1120">
        <v>1.45262802561514</v>
      </c>
      <c r="AG1120">
        <v>-1.069865570146</v>
      </c>
      <c r="AH1120">
        <v>34.732690798472902</v>
      </c>
      <c r="AI1120">
        <v>91.762774905009493</v>
      </c>
      <c r="AJ1120">
        <v>87.605109867959996</v>
      </c>
      <c r="AK1120">
        <v>34.779513375280402</v>
      </c>
    </row>
    <row r="1121" spans="1:37" x14ac:dyDescent="0.2">
      <c r="A1121" t="str">
        <f>"20200111155520695"</f>
        <v>20200111155520695</v>
      </c>
      <c r="B1121" t="str">
        <f>"1578729320683093"</f>
        <v>1578729320683093</v>
      </c>
      <c r="C1121" t="s">
        <v>37</v>
      </c>
      <c r="D1121">
        <v>4.5832439999999997</v>
      </c>
      <c r="E1121">
        <v>0.55958889999999994</v>
      </c>
      <c r="F1121" t="s">
        <v>38</v>
      </c>
      <c r="G1121">
        <v>-247.40610000000001</v>
      </c>
      <c r="H1121" s="1">
        <v>-1.6292429999999999E-6</v>
      </c>
      <c r="I1121">
        <v>367.23390000000001</v>
      </c>
      <c r="J1121">
        <v>-277.9085</v>
      </c>
      <c r="K1121">
        <v>1.0711250000000001</v>
      </c>
      <c r="L1121">
        <v>367.45319999999998</v>
      </c>
      <c r="M1121">
        <v>0.99925529999999996</v>
      </c>
      <c r="N1121">
        <v>0</v>
      </c>
      <c r="O1121">
        <v>3.846186E-2</v>
      </c>
      <c r="P1121">
        <v>0.98865230000000004</v>
      </c>
      <c r="Q1121">
        <v>9.6414029999999998E-3</v>
      </c>
      <c r="R1121">
        <v>0.1499134</v>
      </c>
      <c r="S1121">
        <v>3.0381469999999999</v>
      </c>
      <c r="T1121">
        <v>-0.1059952</v>
      </c>
      <c r="U1121">
        <v>-2.1087649999999999E-2</v>
      </c>
      <c r="V1121">
        <v>-0.11175739999999899</v>
      </c>
      <c r="W1121">
        <v>1.292986E-2</v>
      </c>
      <c r="X1121">
        <v>0.99365139999999996</v>
      </c>
      <c r="Y1121">
        <v>4.5345789999999997E-2</v>
      </c>
      <c r="Z1121">
        <v>-2.1320039999999998E-3</v>
      </c>
      <c r="AA1121">
        <v>0.99896909999999906</v>
      </c>
      <c r="AB1121">
        <v>27</v>
      </c>
      <c r="AC1121">
        <v>30.502399999999898</v>
      </c>
      <c r="AD1121">
        <v>-1.071126629243</v>
      </c>
      <c r="AE1121">
        <v>-0.21929999999997499</v>
      </c>
      <c r="AF1121">
        <v>1.39060763061658</v>
      </c>
      <c r="AG1121">
        <v>-1.071126629243</v>
      </c>
      <c r="AH1121">
        <v>30.433867998847099</v>
      </c>
      <c r="AI1121">
        <v>92.013606253306307</v>
      </c>
      <c r="AJ1121">
        <v>87.383817014714396</v>
      </c>
      <c r="AK1121">
        <v>30.484445594589001</v>
      </c>
    </row>
    <row r="1122" spans="1:37" x14ac:dyDescent="0.2">
      <c r="A1122" t="str">
        <f>"20200111155520708"</f>
        <v>20200111155520708</v>
      </c>
      <c r="B1122" t="str">
        <f>"1578729320703588"</f>
        <v>1578729320703588</v>
      </c>
      <c r="C1122" t="s">
        <v>37</v>
      </c>
      <c r="D1122">
        <v>4.6290629999999897</v>
      </c>
      <c r="E1122">
        <v>0.5880301</v>
      </c>
      <c r="F1122" t="s">
        <v>38</v>
      </c>
      <c r="G1122">
        <v>-246.95660000000001</v>
      </c>
      <c r="H1122" s="1">
        <v>-1.8354349999999999E-6</v>
      </c>
      <c r="I1122">
        <v>367.26940000000002</v>
      </c>
      <c r="J1122">
        <v>-277.762</v>
      </c>
      <c r="K1122">
        <v>1.0724260000000001</v>
      </c>
      <c r="L1122">
        <v>367.45890000000003</v>
      </c>
      <c r="M1122">
        <v>0.99922649999999902</v>
      </c>
      <c r="N1122">
        <v>0</v>
      </c>
      <c r="O1122">
        <v>3.9204650000000001E-2</v>
      </c>
      <c r="P1122">
        <v>0.98853579999999996</v>
      </c>
      <c r="Q1122">
        <v>9.6822469999999997E-3</v>
      </c>
      <c r="R1122">
        <v>0.15067649999999999</v>
      </c>
      <c r="S1122">
        <v>3.0381770000000001</v>
      </c>
      <c r="T1122">
        <v>-0.1051396</v>
      </c>
      <c r="U1122">
        <v>-1.8035889999999999E-2</v>
      </c>
      <c r="V1122">
        <v>-0.11178339999999901</v>
      </c>
      <c r="W1122">
        <v>1.2952750000000001E-2</v>
      </c>
      <c r="X1122">
        <v>0.99364819999999998</v>
      </c>
      <c r="Y1122">
        <v>4.5085449999999999E-2</v>
      </c>
      <c r="Z1122">
        <v>-2.1359639999999902E-3</v>
      </c>
      <c r="AA1122">
        <v>0.99898089999999995</v>
      </c>
      <c r="AB1122">
        <v>27</v>
      </c>
      <c r="AC1122">
        <v>30.805399999999899</v>
      </c>
      <c r="AD1122">
        <v>-1.0724278354350001</v>
      </c>
      <c r="AE1122">
        <v>-0.18950000000000899</v>
      </c>
      <c r="AF1122">
        <v>1.39538384841955</v>
      </c>
      <c r="AG1122">
        <v>-1.0724278354350001</v>
      </c>
      <c r="AH1122">
        <v>30.737037187589198</v>
      </c>
      <c r="AI1122">
        <v>91.996208357983093</v>
      </c>
      <c r="AJ1122">
        <v>87.400701013790396</v>
      </c>
      <c r="AK1122">
        <v>30.7873781380924</v>
      </c>
    </row>
    <row r="1123" spans="1:37" x14ac:dyDescent="0.2">
      <c r="A1123" t="str">
        <f>"20200111155520720"</f>
        <v>20200111155520720</v>
      </c>
      <c r="B1123" t="str">
        <f>"1578729320713348"</f>
        <v>1578729320713348</v>
      </c>
      <c r="C1123" t="s">
        <v>37</v>
      </c>
      <c r="D1123">
        <v>4.5828720000000001</v>
      </c>
      <c r="E1123">
        <v>0.58820139999999999</v>
      </c>
      <c r="F1123" t="s">
        <v>40</v>
      </c>
      <c r="G1123">
        <v>-276.96100000000001</v>
      </c>
      <c r="H1123">
        <v>0.90379310000000002</v>
      </c>
      <c r="I1123">
        <v>367.39859999999999</v>
      </c>
      <c r="J1123">
        <v>-277.61470000000003</v>
      </c>
      <c r="K1123">
        <v>1.073801</v>
      </c>
      <c r="L1123">
        <v>367.46469999999999</v>
      </c>
      <c r="M1123">
        <v>0.99919999999999998</v>
      </c>
      <c r="N1123">
        <v>0</v>
      </c>
      <c r="O1123">
        <v>3.9876509999999997E-2</v>
      </c>
      <c r="P1123">
        <v>0.98838869999999901</v>
      </c>
      <c r="Q1123">
        <v>9.8775430000000008E-3</v>
      </c>
      <c r="R1123">
        <v>0.15162539999999999</v>
      </c>
      <c r="S1123">
        <v>3.076416</v>
      </c>
      <c r="T1123">
        <v>-0.64767889999999995</v>
      </c>
      <c r="U1123">
        <v>-0.23147579999999901</v>
      </c>
      <c r="V1123">
        <v>-0.112068</v>
      </c>
      <c r="W1123">
        <v>1.3099599999999999E-2</v>
      </c>
      <c r="X1123">
        <v>0.9936142</v>
      </c>
      <c r="Y1123">
        <v>0.11143399999999901</v>
      </c>
      <c r="Z1123">
        <v>-1.9881380000000001E-2</v>
      </c>
      <c r="AA1123">
        <v>0.99357299999999904</v>
      </c>
      <c r="AB1123">
        <v>27</v>
      </c>
      <c r="AC1123">
        <v>0.65370000000001405</v>
      </c>
      <c r="AD1123">
        <v>-0.17000789999999999</v>
      </c>
      <c r="AE1123">
        <v>-6.6100000000005807E-2</v>
      </c>
      <c r="AF1123">
        <v>8.6334551896205494E-2</v>
      </c>
      <c r="AG1123">
        <v>-0.17000789999999999</v>
      </c>
      <c r="AH1123">
        <v>0.60972211211923999</v>
      </c>
      <c r="AI1123">
        <v>105.43347885747301</v>
      </c>
      <c r="AJ1123">
        <v>81.9406918194654</v>
      </c>
      <c r="AK1123">
        <v>0.63884066473626799</v>
      </c>
    </row>
    <row r="1124" spans="1:37" x14ac:dyDescent="0.2">
      <c r="A1124" t="str">
        <f>"20200111155520731"</f>
        <v>20200111155520731</v>
      </c>
      <c r="B1124" t="str">
        <f>"1578729320723109"</f>
        <v>1578729320723109</v>
      </c>
      <c r="C1124" t="s">
        <v>37</v>
      </c>
      <c r="D1124">
        <v>4.5982760000000003</v>
      </c>
      <c r="E1124">
        <v>0.58867250000000004</v>
      </c>
      <c r="F1124" t="s">
        <v>40</v>
      </c>
      <c r="G1124">
        <v>-276.72320000000002</v>
      </c>
      <c r="H1124">
        <v>0.88679129999999995</v>
      </c>
      <c r="I1124">
        <v>367.39780000000002</v>
      </c>
      <c r="J1124">
        <v>-277.46859999999998</v>
      </c>
      <c r="K1124">
        <v>1.075318</v>
      </c>
      <c r="L1124">
        <v>367.47050000000002</v>
      </c>
      <c r="M1124">
        <v>0.99918560000000001</v>
      </c>
      <c r="N1124">
        <v>0</v>
      </c>
      <c r="O1124">
        <v>4.024084E-2</v>
      </c>
      <c r="P1124">
        <v>0.98831979999999997</v>
      </c>
      <c r="Q1124">
        <v>9.9647550000000005E-3</v>
      </c>
      <c r="R1124">
        <v>0.1520695</v>
      </c>
      <c r="S1124">
        <v>3.076965</v>
      </c>
      <c r="T1124">
        <v>-0.64564009999999905</v>
      </c>
      <c r="U1124">
        <v>-0.22985839999999999</v>
      </c>
      <c r="V1124">
        <v>-0.11215410000000001</v>
      </c>
      <c r="W1124">
        <v>1.3140600000000001E-2</v>
      </c>
      <c r="X1124">
        <v>0.99360389999999998</v>
      </c>
      <c r="Y1124">
        <v>0.1112805</v>
      </c>
      <c r="Z1124">
        <v>-1.9876660000000001E-2</v>
      </c>
      <c r="AA1124">
        <v>0.99359019999999998</v>
      </c>
      <c r="AB1124">
        <v>27</v>
      </c>
      <c r="AC1124">
        <v>0.74539999999996098</v>
      </c>
      <c r="AD1124">
        <v>-0.18852669999999999</v>
      </c>
      <c r="AE1124">
        <v>-7.2699999999997503E-2</v>
      </c>
      <c r="AF1124">
        <v>9.6520653731222497E-2</v>
      </c>
      <c r="AG1124">
        <v>-0.18852669999999999</v>
      </c>
      <c r="AH1124">
        <v>0.69766271167418104</v>
      </c>
      <c r="AI1124">
        <v>104.985425265459</v>
      </c>
      <c r="AJ1124">
        <v>82.123210413469096</v>
      </c>
      <c r="AK1124">
        <v>0.72910343057083804</v>
      </c>
    </row>
    <row r="1125" spans="1:37" x14ac:dyDescent="0.2">
      <c r="A1125" t="str">
        <f>"20200111155520743"</f>
        <v>20200111155520743</v>
      </c>
      <c r="B1125" t="str">
        <f>"1578729320733844"</f>
        <v>1578729320733844</v>
      </c>
      <c r="C1125" t="s">
        <v>37</v>
      </c>
      <c r="D1125">
        <v>4.6032479999999998</v>
      </c>
      <c r="E1125">
        <v>0.58861450000000004</v>
      </c>
      <c r="F1125" t="s">
        <v>40</v>
      </c>
      <c r="G1125">
        <v>-276.71089999999998</v>
      </c>
      <c r="H1125">
        <v>0.91600969999999904</v>
      </c>
      <c r="I1125">
        <v>367.41309999999999</v>
      </c>
      <c r="J1125">
        <v>-277.33170000000001</v>
      </c>
      <c r="K1125">
        <v>1.0767739999999999</v>
      </c>
      <c r="L1125">
        <v>367.47590000000002</v>
      </c>
      <c r="M1125">
        <v>0.99917649999999902</v>
      </c>
      <c r="N1125">
        <v>0</v>
      </c>
      <c r="O1125">
        <v>4.0465000000000001E-2</v>
      </c>
      <c r="P1125">
        <v>0.98824669999999903</v>
      </c>
      <c r="Q1125">
        <v>9.9768640000000002E-3</v>
      </c>
      <c r="R1125">
        <v>0.15254189999999901</v>
      </c>
      <c r="S1125">
        <v>3.0776979999999998</v>
      </c>
      <c r="T1125">
        <v>-0.64726219999999901</v>
      </c>
      <c r="U1125">
        <v>-0.23187260000000001</v>
      </c>
      <c r="V1125">
        <v>-0.1124086</v>
      </c>
      <c r="W1125">
        <v>1.314823E-2</v>
      </c>
      <c r="X1125">
        <v>0.99357510000000004</v>
      </c>
      <c r="Y1125">
        <v>0.1120951</v>
      </c>
      <c r="Z1125">
        <v>-2.0051650000000001E-2</v>
      </c>
      <c r="AA1125">
        <v>0.99349519999999902</v>
      </c>
      <c r="AB1125">
        <v>27</v>
      </c>
      <c r="AC1125">
        <v>0.62080000000003099</v>
      </c>
      <c r="AD1125">
        <v>-0.160764299999999</v>
      </c>
      <c r="AE1125">
        <v>-6.2800000000038297E-2</v>
      </c>
      <c r="AF1125">
        <v>8.2399458776139994E-2</v>
      </c>
      <c r="AG1125">
        <v>-0.160764299999999</v>
      </c>
      <c r="AH1125">
        <v>0.57929520918032196</v>
      </c>
      <c r="AI1125">
        <v>105.36301462493201</v>
      </c>
      <c r="AJ1125">
        <v>81.904503853891995</v>
      </c>
      <c r="AK1125">
        <v>0.60680950086527496</v>
      </c>
    </row>
    <row r="1126" spans="1:37" x14ac:dyDescent="0.2">
      <c r="A1126" t="str">
        <f>"20200111155520758"</f>
        <v>20200111155520758</v>
      </c>
      <c r="B1126" t="str">
        <f>"1578729320753364"</f>
        <v>1578729320753364</v>
      </c>
      <c r="C1126" t="s">
        <v>37</v>
      </c>
      <c r="D1126">
        <v>4.6232319999999998</v>
      </c>
      <c r="E1126">
        <v>0.58866390000000002</v>
      </c>
      <c r="F1126" t="s">
        <v>40</v>
      </c>
      <c r="G1126">
        <v>-276.47370000000001</v>
      </c>
      <c r="H1126">
        <v>0.89660309999999899</v>
      </c>
      <c r="I1126">
        <v>367.41160000000002</v>
      </c>
      <c r="J1126">
        <v>-277.13990000000001</v>
      </c>
      <c r="K1126">
        <v>1.0788850000000001</v>
      </c>
      <c r="L1126">
        <v>367.48360000000002</v>
      </c>
      <c r="M1126">
        <v>0.99917269999999903</v>
      </c>
      <c r="N1126">
        <v>0</v>
      </c>
      <c r="O1126">
        <v>4.0545190000000002E-2</v>
      </c>
      <c r="P1126">
        <v>0.98821079999999994</v>
      </c>
      <c r="Q1126">
        <v>1.03629999999999E-2</v>
      </c>
      <c r="R1126">
        <v>0.15274839999999901</v>
      </c>
      <c r="S1126">
        <v>3.077728</v>
      </c>
      <c r="T1126">
        <v>-0.64639230000000003</v>
      </c>
      <c r="U1126">
        <v>-0.23010249999999999</v>
      </c>
      <c r="V1126">
        <v>-0.1125415</v>
      </c>
      <c r="W1126">
        <v>1.3605000000000001E-2</v>
      </c>
      <c r="X1126">
        <v>0.99355389999999999</v>
      </c>
      <c r="Y1126">
        <v>0.11162319999999901</v>
      </c>
      <c r="Z1126">
        <v>-1.9993159999999999E-2</v>
      </c>
      <c r="AA1126">
        <v>0.99354949999999997</v>
      </c>
      <c r="AB1126">
        <v>28</v>
      </c>
      <c r="AC1126">
        <v>0.66620000000000301</v>
      </c>
      <c r="AD1126">
        <v>-0.1822819</v>
      </c>
      <c r="AE1126">
        <v>-7.2000000000002701E-2</v>
      </c>
      <c r="AF1126">
        <v>9.2134162829954694E-2</v>
      </c>
      <c r="AG1126">
        <v>-0.1822819</v>
      </c>
      <c r="AH1126">
        <v>0.61706947763168696</v>
      </c>
      <c r="AI1126">
        <v>106.28628594079299</v>
      </c>
      <c r="AJ1126">
        <v>81.507946119128107</v>
      </c>
      <c r="AK1126">
        <v>0.64999241168849697</v>
      </c>
    </row>
    <row r="1127" spans="1:37" x14ac:dyDescent="0.2">
      <c r="A1127" t="str">
        <f>"20200111155520770"</f>
        <v>20200111155520770</v>
      </c>
      <c r="B1127" t="str">
        <f>"1578729320763124"</f>
        <v>1578729320763124</v>
      </c>
      <c r="C1127" t="s">
        <v>37</v>
      </c>
      <c r="D1127">
        <v>4.7243149999999998</v>
      </c>
      <c r="E1127">
        <v>0.58827469999999904</v>
      </c>
      <c r="F1127" t="s">
        <v>40</v>
      </c>
      <c r="G1127">
        <v>-276.23079999999999</v>
      </c>
      <c r="H1127">
        <v>0.88830350000000002</v>
      </c>
      <c r="I1127">
        <v>367.41570000000002</v>
      </c>
      <c r="J1127">
        <v>-276.9914</v>
      </c>
      <c r="K1127">
        <v>1.0805</v>
      </c>
      <c r="L1127">
        <v>367.48970000000003</v>
      </c>
      <c r="M1127">
        <v>0.99917449999999997</v>
      </c>
      <c r="N1127">
        <v>0</v>
      </c>
      <c r="O1127">
        <v>4.049084E-2</v>
      </c>
      <c r="P1127">
        <v>0.98816589999999904</v>
      </c>
      <c r="Q1127">
        <v>1.051439E-2</v>
      </c>
      <c r="R1127">
        <v>0.15302929999999901</v>
      </c>
      <c r="S1127">
        <v>3.0780639999999999</v>
      </c>
      <c r="T1127">
        <v>-0.64532979999999995</v>
      </c>
      <c r="U1127">
        <v>-0.2295227</v>
      </c>
      <c r="V1127">
        <v>-0.112881199999999</v>
      </c>
      <c r="W1127">
        <v>1.3908240000000001E-2</v>
      </c>
      <c r="X1127">
        <v>0.99351109999999898</v>
      </c>
      <c r="Y1127">
        <v>0.11139259999999999</v>
      </c>
      <c r="Z1127">
        <v>-1.9923860000000002E-2</v>
      </c>
      <c r="AA1127">
        <v>0.99357680000000004</v>
      </c>
      <c r="AB1127">
        <v>28</v>
      </c>
      <c r="AC1127">
        <v>0.76060000000001005</v>
      </c>
      <c r="AD1127">
        <v>-0.19219649999999999</v>
      </c>
      <c r="AE1127">
        <v>-7.4000000000012195E-2</v>
      </c>
      <c r="AF1127">
        <v>9.8505935327069999E-2</v>
      </c>
      <c r="AG1127">
        <v>-0.19219649999999999</v>
      </c>
      <c r="AH1127">
        <v>0.71194655494432102</v>
      </c>
      <c r="AI1127">
        <v>104.97126060103299</v>
      </c>
      <c r="AJ1127">
        <v>82.122489295879504</v>
      </c>
      <c r="AK1127">
        <v>0.74398307171870404</v>
      </c>
    </row>
    <row r="1128" spans="1:37" x14ac:dyDescent="0.2">
      <c r="A1128" t="str">
        <f>"20200111155520782"</f>
        <v>20200111155520782</v>
      </c>
      <c r="B1128" t="str">
        <f>"1578729320773861"</f>
        <v>1578729320773861</v>
      </c>
      <c r="C1128" t="s">
        <v>37</v>
      </c>
      <c r="D1128">
        <v>4.7387649999999999</v>
      </c>
      <c r="E1128">
        <v>0.58792609999999901</v>
      </c>
      <c r="F1128" t="s">
        <v>40</v>
      </c>
      <c r="G1128">
        <v>-276.21859999999998</v>
      </c>
      <c r="H1128">
        <v>0.918070099999999</v>
      </c>
      <c r="I1128">
        <v>367.43310000000002</v>
      </c>
      <c r="J1128">
        <v>-276.84539999999998</v>
      </c>
      <c r="K1128">
        <v>1.082057</v>
      </c>
      <c r="L1128">
        <v>367.4957</v>
      </c>
      <c r="M1128">
        <v>0.999175499999999</v>
      </c>
      <c r="N1128">
        <v>0</v>
      </c>
      <c r="O1128">
        <v>4.0447699999999899E-2</v>
      </c>
      <c r="P1128">
        <v>0.98814930000000001</v>
      </c>
      <c r="Q1128">
        <v>1.049809E-2</v>
      </c>
      <c r="R1128">
        <v>0.15313660000000001</v>
      </c>
      <c r="S1128">
        <v>3.077728</v>
      </c>
      <c r="T1128">
        <v>-0.64693940000000005</v>
      </c>
      <c r="U1128">
        <v>-0.22515869999999999</v>
      </c>
      <c r="V1128">
        <v>-0.11303539999999999</v>
      </c>
      <c r="W1128">
        <v>1.4061290000000001E-2</v>
      </c>
      <c r="X1128">
        <v>0.99349149999999997</v>
      </c>
      <c r="Y1128">
        <v>0.109971</v>
      </c>
      <c r="Z1128">
        <v>-1.9819010000000001E-2</v>
      </c>
      <c r="AA1128">
        <v>0.99373719999999999</v>
      </c>
      <c r="AB1128">
        <v>28</v>
      </c>
      <c r="AC1128">
        <v>0.62680000000000202</v>
      </c>
      <c r="AD1128">
        <v>-0.16398689999999999</v>
      </c>
      <c r="AE1128">
        <v>-6.2599999999974898E-2</v>
      </c>
      <c r="AF1128">
        <v>8.2322396705630893E-2</v>
      </c>
      <c r="AG1128">
        <v>-0.16398689999999999</v>
      </c>
      <c r="AH1128">
        <v>0.58416501686768796</v>
      </c>
      <c r="AI1128">
        <v>105.534523797948</v>
      </c>
      <c r="AJ1128">
        <v>81.978518206984802</v>
      </c>
      <c r="AK1128">
        <v>0.61230502799094799</v>
      </c>
    </row>
    <row r="1129" spans="1:37" x14ac:dyDescent="0.2">
      <c r="A1129" t="str">
        <f>"20200111155520794"</f>
        <v>20200111155520794</v>
      </c>
      <c r="B1129" t="str">
        <f>"1578729320783620"</f>
        <v>1578729320783620</v>
      </c>
      <c r="C1129" t="s">
        <v>37</v>
      </c>
      <c r="D1129">
        <v>4.6913080000000003</v>
      </c>
      <c r="E1129">
        <v>0.5881229</v>
      </c>
      <c r="F1129" t="s">
        <v>40</v>
      </c>
      <c r="G1129">
        <v>-275.97969999999998</v>
      </c>
      <c r="H1129">
        <v>0.89981089999999997</v>
      </c>
      <c r="I1129">
        <v>367.4332</v>
      </c>
      <c r="J1129">
        <v>-276.68860000000001</v>
      </c>
      <c r="K1129">
        <v>1.083664</v>
      </c>
      <c r="L1129">
        <v>367.50220000000002</v>
      </c>
      <c r="M1129">
        <v>0.99917559999999905</v>
      </c>
      <c r="N1129">
        <v>0</v>
      </c>
      <c r="O1129">
        <v>4.0422970000000003E-2</v>
      </c>
      <c r="P1129">
        <v>0.98812929999999999</v>
      </c>
      <c r="Q1129">
        <v>1.042277E-2</v>
      </c>
      <c r="R1129">
        <v>0.1532715</v>
      </c>
      <c r="S1129">
        <v>3.0772400000000002</v>
      </c>
      <c r="T1129">
        <v>-0.64792869999999902</v>
      </c>
      <c r="U1129">
        <v>-0.2220154</v>
      </c>
      <c r="V1129">
        <v>-0.1131981</v>
      </c>
      <c r="W1129">
        <v>1.4209090000000001E-2</v>
      </c>
      <c r="X1129">
        <v>0.99347079999999999</v>
      </c>
      <c r="Y1129">
        <v>0.1089595</v>
      </c>
      <c r="Z1129">
        <v>-1.9742079999999999E-2</v>
      </c>
      <c r="AA1129">
        <v>0.99385009999999996</v>
      </c>
      <c r="AB1129">
        <v>28</v>
      </c>
      <c r="AC1129">
        <v>0.70890000000002795</v>
      </c>
      <c r="AD1129">
        <v>-0.18385309999999899</v>
      </c>
      <c r="AE1129">
        <v>-6.9000000000016798E-2</v>
      </c>
      <c r="AF1129">
        <v>9.15027226004584E-2</v>
      </c>
      <c r="AG1129">
        <v>-0.18385309999999899</v>
      </c>
      <c r="AH1129">
        <v>0.66145772850154805</v>
      </c>
      <c r="AI1129">
        <v>105.39379886626401</v>
      </c>
      <c r="AJ1129">
        <v>82.123977286506204</v>
      </c>
      <c r="AK1129">
        <v>0.69260453161767099</v>
      </c>
    </row>
    <row r="1130" spans="1:37" x14ac:dyDescent="0.2">
      <c r="A1130" t="str">
        <f>"20200111155520807"</f>
        <v>20200111155520807</v>
      </c>
      <c r="B1130" t="str">
        <f>"1578729320803142"</f>
        <v>1578729320803142</v>
      </c>
      <c r="C1130" t="s">
        <v>37</v>
      </c>
      <c r="D1130">
        <v>4.6793480000000001</v>
      </c>
      <c r="E1130">
        <v>0.58842450000000002</v>
      </c>
      <c r="F1130" t="s">
        <v>40</v>
      </c>
      <c r="G1130">
        <v>-275.96609999999998</v>
      </c>
      <c r="H1130">
        <v>0.93134980000000001</v>
      </c>
      <c r="I1130">
        <v>367.44979999999998</v>
      </c>
      <c r="J1130">
        <v>-276.5444</v>
      </c>
      <c r="K1130">
        <v>1.0850500000000001</v>
      </c>
      <c r="L1130">
        <v>367.50819999999999</v>
      </c>
      <c r="M1130">
        <v>0.99917309999999904</v>
      </c>
      <c r="N1130">
        <v>0</v>
      </c>
      <c r="O1130">
        <v>4.0460459999999997E-2</v>
      </c>
      <c r="P1130">
        <v>0.98814069999999898</v>
      </c>
      <c r="Q1130">
        <v>1.02578999999999E-2</v>
      </c>
      <c r="R1130">
        <v>0.15320819999999999</v>
      </c>
      <c r="S1130">
        <v>3.0774539999999999</v>
      </c>
      <c r="T1130">
        <v>-0.64886390000000005</v>
      </c>
      <c r="U1130">
        <v>-0.22293089999999999</v>
      </c>
      <c r="V1130">
        <v>-0.11309849999999901</v>
      </c>
      <c r="W1130">
        <v>1.426965E-2</v>
      </c>
      <c r="X1130">
        <v>0.99348130000000001</v>
      </c>
      <c r="Y1130">
        <v>0.10926959999999999</v>
      </c>
      <c r="Z1130">
        <v>-1.9808539999999999E-2</v>
      </c>
      <c r="AA1130">
        <v>0.9938148</v>
      </c>
      <c r="AB1130">
        <v>28</v>
      </c>
      <c r="AC1130">
        <v>0.57830000000001203</v>
      </c>
      <c r="AD1130">
        <v>-0.15370020000000001</v>
      </c>
      <c r="AE1130">
        <v>-5.8400000000006003E-2</v>
      </c>
      <c r="AF1130">
        <v>7.6407792398846597E-2</v>
      </c>
      <c r="AG1130">
        <v>-0.15370020000000001</v>
      </c>
      <c r="AH1130">
        <v>0.53785380895547297</v>
      </c>
      <c r="AI1130">
        <v>105.797541467716</v>
      </c>
      <c r="AJ1130">
        <v>81.914632826796094</v>
      </c>
      <c r="AK1130">
        <v>0.56457826917728204</v>
      </c>
    </row>
    <row r="1131" spans="1:37" x14ac:dyDescent="0.2">
      <c r="A1131" t="str">
        <f>"20200111155520818"</f>
        <v>20200111155520818</v>
      </c>
      <c r="B1131" t="str">
        <f>"1578729320813876"</f>
        <v>1578729320813876</v>
      </c>
      <c r="C1131" t="s">
        <v>37</v>
      </c>
      <c r="D1131">
        <v>4.6883369999999998</v>
      </c>
      <c r="E1131">
        <v>0.58858480000000002</v>
      </c>
      <c r="F1131" t="s">
        <v>40</v>
      </c>
      <c r="G1131">
        <v>-275.72730000000001</v>
      </c>
      <c r="H1131">
        <v>0.91229579999999999</v>
      </c>
      <c r="I1131">
        <v>367.44810000000001</v>
      </c>
      <c r="J1131">
        <v>-276.3981</v>
      </c>
      <c r="K1131">
        <v>1.0864180000000001</v>
      </c>
      <c r="L1131">
        <v>367.51429999999999</v>
      </c>
      <c r="M1131">
        <v>0.99916949999999904</v>
      </c>
      <c r="N1131">
        <v>0</v>
      </c>
      <c r="O1131">
        <v>4.0523950000000003E-2</v>
      </c>
      <c r="P1131">
        <v>0.98813569999999995</v>
      </c>
      <c r="Q1131">
        <v>1.037628E-2</v>
      </c>
      <c r="R1131">
        <v>0.15323229999999999</v>
      </c>
      <c r="S1131">
        <v>3.077728</v>
      </c>
      <c r="T1131">
        <v>-0.65078380000000002</v>
      </c>
      <c r="U1131">
        <v>-0.22555539999999999</v>
      </c>
      <c r="V1131">
        <v>-0.11306049999999999</v>
      </c>
      <c r="W1131">
        <v>1.462485E-2</v>
      </c>
      <c r="X1131">
        <v>0.99348040000000004</v>
      </c>
      <c r="Y1131">
        <v>0.1101306</v>
      </c>
      <c r="Z1131">
        <v>-1.9966790000000002E-2</v>
      </c>
      <c r="AA1131">
        <v>0.9937165</v>
      </c>
      <c r="AB1131">
        <v>28</v>
      </c>
      <c r="AC1131">
        <v>0.67079999999998496</v>
      </c>
      <c r="AD1131">
        <v>-0.1741222</v>
      </c>
      <c r="AE1131">
        <v>-6.6199999999980705E-2</v>
      </c>
      <c r="AF1131">
        <v>8.7491157684964696E-2</v>
      </c>
      <c r="AG1131">
        <v>-0.1741222</v>
      </c>
      <c r="AH1131">
        <v>0.62580695559507205</v>
      </c>
      <c r="AI1131">
        <v>105.405883142446</v>
      </c>
      <c r="AJ1131">
        <v>82.041328381139493</v>
      </c>
      <c r="AK1131">
        <v>0.65544457345916596</v>
      </c>
    </row>
    <row r="1132" spans="1:37" x14ac:dyDescent="0.2">
      <c r="A1132" t="str">
        <f>"20200111155520829"</f>
        <v>20200111155520829</v>
      </c>
      <c r="B1132" t="str">
        <f>"1578729320823636"</f>
        <v>1578729320823636</v>
      </c>
      <c r="C1132" t="s">
        <v>37</v>
      </c>
      <c r="D1132">
        <v>4.70275</v>
      </c>
      <c r="E1132">
        <v>0.58869709999999997</v>
      </c>
      <c r="F1132" t="s">
        <v>40</v>
      </c>
      <c r="G1132">
        <v>-275.4871</v>
      </c>
      <c r="H1132">
        <v>0.89383899999999905</v>
      </c>
      <c r="I1132">
        <v>367.44709999999998</v>
      </c>
      <c r="J1132">
        <v>-276.24970000000002</v>
      </c>
      <c r="K1132">
        <v>1.0876779999999999</v>
      </c>
      <c r="L1132">
        <v>367.52050000000003</v>
      </c>
      <c r="M1132">
        <v>0.99916329999999998</v>
      </c>
      <c r="N1132">
        <v>0</v>
      </c>
      <c r="O1132">
        <v>4.0649199999999899E-2</v>
      </c>
      <c r="P1132">
        <v>0.98810219999999904</v>
      </c>
      <c r="Q1132">
        <v>1.013498E-2</v>
      </c>
      <c r="R1132">
        <v>0.15346560000000001</v>
      </c>
      <c r="S1132">
        <v>3.0780639999999999</v>
      </c>
      <c r="T1132">
        <v>-0.6507018</v>
      </c>
      <c r="U1132">
        <v>-0.22683719999999999</v>
      </c>
      <c r="V1132">
        <v>-0.11317089999999901</v>
      </c>
      <c r="W1132">
        <v>1.463248E-2</v>
      </c>
      <c r="X1132">
        <v>0.99346780000000001</v>
      </c>
      <c r="Y1132">
        <v>0.11064639999999901</v>
      </c>
      <c r="Z1132">
        <v>-2.0041949999999999E-2</v>
      </c>
      <c r="AA1132">
        <v>0.99365780000000004</v>
      </c>
      <c r="AB1132">
        <v>28</v>
      </c>
      <c r="AC1132">
        <v>0.76260000000002004</v>
      </c>
      <c r="AD1132">
        <v>-0.19383900000000001</v>
      </c>
      <c r="AE1132">
        <v>-7.3400000000049204E-2</v>
      </c>
      <c r="AF1132">
        <v>9.80613015623574E-2</v>
      </c>
      <c r="AG1132">
        <v>-0.19383900000000001</v>
      </c>
      <c r="AH1132">
        <v>0.71332243546582697</v>
      </c>
      <c r="AI1132">
        <v>105.067334304038</v>
      </c>
      <c r="AJ1132">
        <v>82.172542178368701</v>
      </c>
      <c r="AK1132">
        <v>0.74566646278614601</v>
      </c>
    </row>
    <row r="1133" spans="1:37" x14ac:dyDescent="0.2">
      <c r="A1133" t="str">
        <f>"20200111155520842"</f>
        <v>20200111155520842</v>
      </c>
      <c r="B1133" t="str">
        <f>"1578729320833396"</f>
        <v>1578729320833396</v>
      </c>
      <c r="C1133" t="s">
        <v>37</v>
      </c>
      <c r="D1133">
        <v>4.6941220000000001</v>
      </c>
      <c r="E1133">
        <v>0.58881280000000003</v>
      </c>
      <c r="F1133" t="s">
        <v>40</v>
      </c>
      <c r="G1133">
        <v>-275.47480000000002</v>
      </c>
      <c r="H1133">
        <v>0.92367719999999898</v>
      </c>
      <c r="I1133">
        <v>367.4633</v>
      </c>
      <c r="J1133">
        <v>-276.10829999999999</v>
      </c>
      <c r="K1133">
        <v>1.0888450000000001</v>
      </c>
      <c r="L1133">
        <v>367.52640000000002</v>
      </c>
      <c r="M1133">
        <v>0.99915710000000002</v>
      </c>
      <c r="N1133">
        <v>0</v>
      </c>
      <c r="O1133">
        <v>4.0773490000000003E-2</v>
      </c>
      <c r="P1133">
        <v>0.98809859999999905</v>
      </c>
      <c r="Q1133">
        <v>9.9157859999999994E-3</v>
      </c>
      <c r="R1133">
        <v>0.15350249999999999</v>
      </c>
      <c r="S1133">
        <v>3.0780639999999999</v>
      </c>
      <c r="T1133">
        <v>-0.65150869999999905</v>
      </c>
      <c r="U1133">
        <v>-0.2271118</v>
      </c>
      <c r="V1133">
        <v>-0.113084199999999</v>
      </c>
      <c r="W1133">
        <v>1.464965E-2</v>
      </c>
      <c r="X1133">
        <v>0.99347739999999995</v>
      </c>
      <c r="Y1133">
        <v>0.110842899999999</v>
      </c>
      <c r="Z1133">
        <v>-2.0112749999999999E-2</v>
      </c>
      <c r="AA1133">
        <v>0.99363440000000003</v>
      </c>
      <c r="AB1133">
        <v>28</v>
      </c>
      <c r="AC1133">
        <v>0.63349999999996898</v>
      </c>
      <c r="AD1133">
        <v>-0.1651678</v>
      </c>
      <c r="AE1133">
        <v>-6.3100000000019904E-2</v>
      </c>
      <c r="AF1133">
        <v>8.3272851556795299E-2</v>
      </c>
      <c r="AG1133">
        <v>-0.1651678</v>
      </c>
      <c r="AH1133">
        <v>0.59064490946661696</v>
      </c>
      <c r="AI1133">
        <v>105.477479131056</v>
      </c>
      <c r="AJ1133">
        <v>81.974971559734101</v>
      </c>
      <c r="AK1133">
        <v>0.61893148170219003</v>
      </c>
    </row>
    <row r="1134" spans="1:37" x14ac:dyDescent="0.2">
      <c r="A1134" t="str">
        <f>"20200111155520853"</f>
        <v>20200111155520853</v>
      </c>
      <c r="B1134" t="str">
        <f>"1578729320843156"</f>
        <v>1578729320843156</v>
      </c>
      <c r="C1134" t="s">
        <v>37</v>
      </c>
      <c r="D1134">
        <v>4.8380539999999996</v>
      </c>
      <c r="E1134">
        <v>0.58874099999999996</v>
      </c>
      <c r="F1134" t="s">
        <v>40</v>
      </c>
      <c r="G1134">
        <v>-275.23509999999999</v>
      </c>
      <c r="H1134">
        <v>0.90380169999999904</v>
      </c>
      <c r="I1134">
        <v>367.46140000000003</v>
      </c>
      <c r="J1134">
        <v>-275.9504</v>
      </c>
      <c r="K1134">
        <v>1.0900620000000001</v>
      </c>
      <c r="L1134">
        <v>367.53300000000002</v>
      </c>
      <c r="M1134">
        <v>0.99914969999999903</v>
      </c>
      <c r="N1134">
        <v>0</v>
      </c>
      <c r="O1134">
        <v>4.0925000000000003E-2</v>
      </c>
      <c r="P1134">
        <v>0.98808490000000004</v>
      </c>
      <c r="Q1134">
        <v>9.6850189999999996E-3</v>
      </c>
      <c r="R1134">
        <v>0.15360599999999999</v>
      </c>
      <c r="S1134">
        <v>3.0781559999999999</v>
      </c>
      <c r="T1134">
        <v>-0.65246709999999997</v>
      </c>
      <c r="U1134">
        <v>-0.2280884</v>
      </c>
      <c r="V1134">
        <v>-0.1130372</v>
      </c>
      <c r="W1134">
        <v>1.4681110000000001E-2</v>
      </c>
      <c r="X1134">
        <v>0.99348230000000004</v>
      </c>
      <c r="Y1134">
        <v>0.11128250000000001</v>
      </c>
      <c r="Z1134">
        <v>-2.021864E-2</v>
      </c>
      <c r="AA1134">
        <v>0.99358310000000005</v>
      </c>
      <c r="AB1134">
        <v>28</v>
      </c>
      <c r="AC1134">
        <v>0.71530000000001304</v>
      </c>
      <c r="AD1134">
        <v>-0.18626029999999999</v>
      </c>
      <c r="AE1134">
        <v>-7.1599999999989394E-2</v>
      </c>
      <c r="AF1134">
        <v>9.4471876650705902E-2</v>
      </c>
      <c r="AG1134">
        <v>-0.18626029999999999</v>
      </c>
      <c r="AH1134">
        <v>0.66699336517311703</v>
      </c>
      <c r="AI1134">
        <v>105.455799230716</v>
      </c>
      <c r="AJ1134">
        <v>81.938341234140395</v>
      </c>
      <c r="AK1134">
        <v>0.69892630800317901</v>
      </c>
    </row>
    <row r="1135" spans="1:37" x14ac:dyDescent="0.2">
      <c r="A1135" t="str">
        <f>"20200111155520866"</f>
        <v>20200111155520866</v>
      </c>
      <c r="B1135" t="str">
        <f>"1578729320863652"</f>
        <v>1578729320863652</v>
      </c>
      <c r="C1135" t="s">
        <v>37</v>
      </c>
      <c r="D1135">
        <v>4.7281139999999997</v>
      </c>
      <c r="E1135">
        <v>0.58914979999999995</v>
      </c>
      <c r="F1135" t="s">
        <v>40</v>
      </c>
      <c r="G1135">
        <v>-275.2217</v>
      </c>
      <c r="H1135">
        <v>0.93506219999999995</v>
      </c>
      <c r="I1135">
        <v>367.47890000000001</v>
      </c>
      <c r="J1135">
        <v>-275.8057</v>
      </c>
      <c r="K1135">
        <v>1.0911090000000001</v>
      </c>
      <c r="L1135">
        <v>367.53890000000001</v>
      </c>
      <c r="M1135">
        <v>0.99914329999999996</v>
      </c>
      <c r="N1135">
        <v>0</v>
      </c>
      <c r="O1135">
        <v>4.105292E-2</v>
      </c>
      <c r="P1135">
        <v>0.98807289999999903</v>
      </c>
      <c r="Q1135">
        <v>9.6202189999999993E-3</v>
      </c>
      <c r="R1135">
        <v>0.15368709999999999</v>
      </c>
      <c r="S1135">
        <v>3.07794199999999</v>
      </c>
      <c r="T1135">
        <v>-0.65483769999999997</v>
      </c>
      <c r="U1135">
        <v>-0.22729489999999999</v>
      </c>
      <c r="V1135">
        <v>-0.11299139999999901</v>
      </c>
      <c r="W1135">
        <v>1.484799E-2</v>
      </c>
      <c r="X1135">
        <v>0.99348499999999995</v>
      </c>
      <c r="Y1135">
        <v>0.1111357</v>
      </c>
      <c r="Z1135">
        <v>-2.0303519999999999E-2</v>
      </c>
      <c r="AA1135">
        <v>0.99359779999999998</v>
      </c>
      <c r="AB1135">
        <v>28</v>
      </c>
      <c r="AC1135">
        <v>0.58400000000000296</v>
      </c>
      <c r="AD1135">
        <v>-0.15604680000000001</v>
      </c>
      <c r="AE1135">
        <v>-6.0000000000002197E-2</v>
      </c>
      <c r="AF1135">
        <v>7.8386494509078503E-2</v>
      </c>
      <c r="AG1135">
        <v>-0.15604680000000001</v>
      </c>
      <c r="AH1135">
        <v>0.54270155054781999</v>
      </c>
      <c r="AI1135">
        <v>105.885496737322</v>
      </c>
      <c r="AJ1135">
        <v>81.781176442406803</v>
      </c>
      <c r="AK1135">
        <v>0.570105270348091</v>
      </c>
    </row>
    <row r="1136" spans="1:37" x14ac:dyDescent="0.2">
      <c r="A1136" t="str">
        <f>"20200111155520878"</f>
        <v>20200111155520878</v>
      </c>
      <c r="B1136" t="str">
        <f>"1578729320873412"</f>
        <v>1578729320873412</v>
      </c>
      <c r="C1136" t="s">
        <v>37</v>
      </c>
      <c r="D1136">
        <v>4.7699879999999997</v>
      </c>
      <c r="E1136">
        <v>0.58923440000000005</v>
      </c>
      <c r="F1136" t="s">
        <v>40</v>
      </c>
      <c r="G1136">
        <v>-274.9819</v>
      </c>
      <c r="H1136">
        <v>0.91478179999999998</v>
      </c>
      <c r="I1136">
        <v>367.47710000000001</v>
      </c>
      <c r="J1136">
        <v>-275.65210000000002</v>
      </c>
      <c r="K1136">
        <v>1.092185</v>
      </c>
      <c r="L1136">
        <v>367.5453</v>
      </c>
      <c r="M1136">
        <v>0.99913660000000004</v>
      </c>
      <c r="N1136">
        <v>0</v>
      </c>
      <c r="O1136">
        <v>4.1183169999999998E-2</v>
      </c>
      <c r="P1136">
        <v>0.98808999999999902</v>
      </c>
      <c r="Q1136">
        <v>9.1837499999999992E-3</v>
      </c>
      <c r="R1136">
        <v>0.1536032</v>
      </c>
      <c r="S1136">
        <v>3.07843</v>
      </c>
      <c r="T1136">
        <v>-0.65901160000000003</v>
      </c>
      <c r="U1136">
        <v>-0.23010249999999999</v>
      </c>
      <c r="V1136">
        <v>-0.11277719999999999</v>
      </c>
      <c r="W1136">
        <v>1.4653940000000001E-2</v>
      </c>
      <c r="X1136">
        <v>0.99351219999999996</v>
      </c>
      <c r="Y1136">
        <v>0.112088799999999</v>
      </c>
      <c r="Z1136">
        <v>-2.0554590000000001E-2</v>
      </c>
      <c r="AA1136">
        <v>0.99348559999999997</v>
      </c>
      <c r="AB1136">
        <v>28</v>
      </c>
      <c r="AC1136">
        <v>0.670200000000022</v>
      </c>
      <c r="AD1136">
        <v>-0.17740319999999901</v>
      </c>
      <c r="AE1136">
        <v>-6.8199999999990199E-2</v>
      </c>
      <c r="AF1136">
        <v>8.9534395594837501E-2</v>
      </c>
      <c r="AG1136">
        <v>-0.17740319999999901</v>
      </c>
      <c r="AH1136">
        <v>0.62357816246799902</v>
      </c>
      <c r="AI1136">
        <v>105.727453024946</v>
      </c>
      <c r="AJ1136">
        <v>81.829219529583199</v>
      </c>
      <c r="AK1136">
        <v>0.65447538385468595</v>
      </c>
    </row>
    <row r="1137" spans="1:37" x14ac:dyDescent="0.2">
      <c r="A1137" t="str">
        <f>"20200111155520891"</f>
        <v>20200111155520891</v>
      </c>
      <c r="B1137" t="str">
        <f>"1578729320883172"</f>
        <v>1578729320883172</v>
      </c>
      <c r="C1137" t="s">
        <v>37</v>
      </c>
      <c r="D1137">
        <v>4.7152649999999996</v>
      </c>
      <c r="E1137">
        <v>0.58939079999999999</v>
      </c>
      <c r="F1137" t="s">
        <v>40</v>
      </c>
      <c r="G1137">
        <v>-274.74040000000002</v>
      </c>
      <c r="H1137">
        <v>0.89610000000000001</v>
      </c>
      <c r="I1137">
        <v>367.47669999999999</v>
      </c>
      <c r="J1137">
        <v>-275.48059999999998</v>
      </c>
      <c r="K1137">
        <v>1.0932679999999999</v>
      </c>
      <c r="L1137">
        <v>367.55250000000001</v>
      </c>
      <c r="M1137">
        <v>0.99913050000000003</v>
      </c>
      <c r="N1137">
        <v>0</v>
      </c>
      <c r="O1137">
        <v>4.1296369999999999E-2</v>
      </c>
      <c r="P1137">
        <v>0.988087099999999</v>
      </c>
      <c r="Q1137">
        <v>9.2457069999999902E-3</v>
      </c>
      <c r="R1137">
        <v>0.15361920000000001</v>
      </c>
      <c r="S1137">
        <v>3.0781559999999999</v>
      </c>
      <c r="T1137">
        <v>-0.6621802</v>
      </c>
      <c r="U1137">
        <v>-0.2307739</v>
      </c>
      <c r="V1137">
        <v>-0.1126809</v>
      </c>
      <c r="W1137">
        <v>1.4966230000000001E-2</v>
      </c>
      <c r="X1137">
        <v>0.99351849999999997</v>
      </c>
      <c r="Y1137">
        <v>0.1123808</v>
      </c>
      <c r="Z1137">
        <v>-2.0707929999999999E-2</v>
      </c>
      <c r="AA1137">
        <v>0.99344940000000004</v>
      </c>
      <c r="AB1137">
        <v>28</v>
      </c>
      <c r="AC1137">
        <v>0.740199999999958</v>
      </c>
      <c r="AD1137">
        <v>-0.19716800000000001</v>
      </c>
      <c r="AE1137">
        <v>-7.5800000000015105E-2</v>
      </c>
      <c r="AF1137">
        <v>9.9328810971130305E-2</v>
      </c>
      <c r="AG1137">
        <v>-0.19716800000000001</v>
      </c>
      <c r="AH1137">
        <v>0.68812028488365695</v>
      </c>
      <c r="AI1137">
        <v>105.832913258068</v>
      </c>
      <c r="AJ1137">
        <v>81.786201783483307</v>
      </c>
      <c r="AK1137">
        <v>0.722669329210327</v>
      </c>
    </row>
    <row r="1138" spans="1:37" x14ac:dyDescent="0.2">
      <c r="A1138" t="str">
        <f>"20200111155520904"</f>
        <v>20200111155520904</v>
      </c>
      <c r="B1138" t="str">
        <f>"1578729320893908"</f>
        <v>1578729320893908</v>
      </c>
      <c r="C1138" t="s">
        <v>37</v>
      </c>
      <c r="D1138">
        <v>4.8754109999999997</v>
      </c>
      <c r="E1138">
        <v>0.58927180000000001</v>
      </c>
      <c r="F1138" t="s">
        <v>40</v>
      </c>
      <c r="G1138">
        <v>-274.72609999999997</v>
      </c>
      <c r="H1138">
        <v>0.93063680000000004</v>
      </c>
      <c r="I1138">
        <v>367.49540000000002</v>
      </c>
      <c r="J1138">
        <v>-275.33049999999997</v>
      </c>
      <c r="K1138">
        <v>1.0941700000000001</v>
      </c>
      <c r="L1138">
        <v>367.55869999999999</v>
      </c>
      <c r="M1138">
        <v>0.99912559999999995</v>
      </c>
      <c r="N1138">
        <v>0</v>
      </c>
      <c r="O1138">
        <v>4.1384219999999999E-2</v>
      </c>
      <c r="P1138">
        <v>0.98809279999999999</v>
      </c>
      <c r="Q1138">
        <v>8.9446079999999997E-3</v>
      </c>
      <c r="R1138">
        <v>0.15359900000000001</v>
      </c>
      <c r="S1138">
        <v>3.07843</v>
      </c>
      <c r="T1138">
        <v>-0.66377149999999996</v>
      </c>
      <c r="U1138">
        <v>-0.23196410000000001</v>
      </c>
      <c r="V1138">
        <v>-0.11257349999999899</v>
      </c>
      <c r="W1138">
        <v>1.4874689999999999E-2</v>
      </c>
      <c r="X1138">
        <v>0.99353210000000003</v>
      </c>
      <c r="Y1138">
        <v>0.112815599999999</v>
      </c>
      <c r="Z1138">
        <v>-2.0819509999999999E-2</v>
      </c>
      <c r="AA1138">
        <v>0.9933978</v>
      </c>
      <c r="AB1138">
        <v>28</v>
      </c>
      <c r="AC1138">
        <v>0.60439999999999805</v>
      </c>
      <c r="AD1138">
        <v>-0.16353319999999999</v>
      </c>
      <c r="AE1138">
        <v>-6.32999999999697E-2</v>
      </c>
      <c r="AF1138">
        <v>8.2299184579697607E-2</v>
      </c>
      <c r="AG1138">
        <v>-0.16353319999999999</v>
      </c>
      <c r="AH1138">
        <v>0.56066246655624796</v>
      </c>
      <c r="AI1138">
        <v>106.097399565979</v>
      </c>
      <c r="AJ1138">
        <v>81.649236771653804</v>
      </c>
      <c r="AK1138">
        <v>0.58979544308994103</v>
      </c>
    </row>
    <row r="1139" spans="1:37" x14ac:dyDescent="0.2">
      <c r="A1139" t="str">
        <f>"20200111155520916"</f>
        <v>20200111155520916</v>
      </c>
      <c r="B1139" t="str">
        <f>"1578729320903669"</f>
        <v>1578729320903669</v>
      </c>
      <c r="C1139" t="s">
        <v>37</v>
      </c>
      <c r="D1139">
        <v>4.8481430000000003</v>
      </c>
      <c r="E1139">
        <v>0.58916469999999999</v>
      </c>
      <c r="F1139" t="s">
        <v>40</v>
      </c>
      <c r="G1139">
        <v>-274.48520000000002</v>
      </c>
      <c r="H1139">
        <v>0.91093349999999995</v>
      </c>
      <c r="I1139">
        <v>367.49509999999998</v>
      </c>
      <c r="J1139">
        <v>-275.18079999999998</v>
      </c>
      <c r="K1139">
        <v>1.095016</v>
      </c>
      <c r="L1139">
        <v>367.56490000000002</v>
      </c>
      <c r="M1139">
        <v>0.99912119999999904</v>
      </c>
      <c r="N1139">
        <v>0</v>
      </c>
      <c r="O1139">
        <v>4.1459599999999999E-2</v>
      </c>
      <c r="P1139">
        <v>0.98809020000000003</v>
      </c>
      <c r="Q1139">
        <v>8.9426130000000003E-3</v>
      </c>
      <c r="R1139">
        <v>0.15361639999999999</v>
      </c>
      <c r="S1139">
        <v>3.078125</v>
      </c>
      <c r="T1139">
        <v>-0.66728089999999995</v>
      </c>
      <c r="U1139">
        <v>-0.23107910000000001</v>
      </c>
      <c r="V1139">
        <v>-0.1125164</v>
      </c>
      <c r="W1139">
        <v>1.507208E-2</v>
      </c>
      <c r="X1139">
        <v>0.99353559999999996</v>
      </c>
      <c r="Y1139">
        <v>0.1125799</v>
      </c>
      <c r="Z1139">
        <v>-2.092024E-2</v>
      </c>
      <c r="AA1139">
        <v>0.99342240000000004</v>
      </c>
      <c r="AB1139">
        <v>28</v>
      </c>
      <c r="AC1139">
        <v>0.69559999999995603</v>
      </c>
      <c r="AD1139">
        <v>-0.18408250000000001</v>
      </c>
      <c r="AE1139">
        <v>-6.98000000000433E-2</v>
      </c>
      <c r="AF1139">
        <v>9.2187942995949901E-2</v>
      </c>
      <c r="AG1139">
        <v>-0.18408250000000001</v>
      </c>
      <c r="AH1139">
        <v>0.64723189677676596</v>
      </c>
      <c r="AI1139">
        <v>105.72579672512801</v>
      </c>
      <c r="AJ1139">
        <v>81.893648487141107</v>
      </c>
      <c r="AK1139">
        <v>0.679186360173204</v>
      </c>
    </row>
    <row r="1140" spans="1:37" x14ac:dyDescent="0.2">
      <c r="A1140" t="str">
        <f>"20200111155520927"</f>
        <v>20200111155520927</v>
      </c>
      <c r="B1140" t="str">
        <f>"1578729320923188"</f>
        <v>1578729320923188</v>
      </c>
      <c r="C1140" t="s">
        <v>37</v>
      </c>
      <c r="D1140">
        <v>4.657718</v>
      </c>
      <c r="E1140">
        <v>0.58947579999999999</v>
      </c>
      <c r="F1140" t="s">
        <v>40</v>
      </c>
      <c r="G1140">
        <v>-274.47219999999999</v>
      </c>
      <c r="H1140">
        <v>0.94096759999999902</v>
      </c>
      <c r="I1140">
        <v>367.51199999999898</v>
      </c>
      <c r="J1140">
        <v>-275.04590000000002</v>
      </c>
      <c r="K1140">
        <v>1.09571</v>
      </c>
      <c r="L1140">
        <v>367.57060000000001</v>
      </c>
      <c r="M1140">
        <v>0.99911779999999994</v>
      </c>
      <c r="N1140">
        <v>0</v>
      </c>
      <c r="O1140">
        <v>4.1517060000000001E-2</v>
      </c>
      <c r="P1140">
        <v>0.98812860000000002</v>
      </c>
      <c r="Q1140">
        <v>8.5830839999999995E-3</v>
      </c>
      <c r="R1140">
        <v>0.15338950000000001</v>
      </c>
      <c r="S1140">
        <v>3.07794199999999</v>
      </c>
      <c r="T1140">
        <v>-0.66921409999999903</v>
      </c>
      <c r="U1140">
        <v>-0.22976679999999899</v>
      </c>
      <c r="V1140">
        <v>-0.1122315</v>
      </c>
      <c r="W1140">
        <v>1.4878499999999999E-2</v>
      </c>
      <c r="X1140">
        <v>0.99357070000000003</v>
      </c>
      <c r="Y1140">
        <v>0.11220670000000001</v>
      </c>
      <c r="Z1140">
        <v>-2.0953289999999999E-2</v>
      </c>
      <c r="AA1140">
        <v>0.99346389999999996</v>
      </c>
      <c r="AB1140">
        <v>28</v>
      </c>
      <c r="AC1140">
        <v>0.57370000000002996</v>
      </c>
      <c r="AD1140">
        <v>-0.1547424</v>
      </c>
      <c r="AE1140">
        <v>-5.8600000000069402E-2</v>
      </c>
      <c r="AF1140">
        <v>7.6835983421971704E-2</v>
      </c>
      <c r="AG1140">
        <v>-0.1547424</v>
      </c>
      <c r="AH1140">
        <v>0.53243620412159298</v>
      </c>
      <c r="AI1140">
        <v>106.04793832431599</v>
      </c>
      <c r="AJ1140">
        <v>81.788324457379602</v>
      </c>
      <c r="AK1140">
        <v>0.55976538850271196</v>
      </c>
    </row>
    <row r="1141" spans="1:37" x14ac:dyDescent="0.2">
      <c r="A1141" t="str">
        <f>"20200111155520940"</f>
        <v>20200111155520940</v>
      </c>
      <c r="B1141" t="str">
        <f>"1578729320933924"</f>
        <v>1578729320933924</v>
      </c>
      <c r="C1141" t="s">
        <v>37</v>
      </c>
      <c r="D1141">
        <v>4.6672500000000001</v>
      </c>
      <c r="E1141">
        <v>0.58962969999999904</v>
      </c>
      <c r="F1141" t="s">
        <v>40</v>
      </c>
      <c r="G1141">
        <v>-274.23219999999998</v>
      </c>
      <c r="H1141">
        <v>0.91821779999999997</v>
      </c>
      <c r="I1141">
        <v>367.50880000000001</v>
      </c>
      <c r="J1141">
        <v>-274.8852</v>
      </c>
      <c r="K1141">
        <v>1.096503</v>
      </c>
      <c r="L1141">
        <v>367.57729999999998</v>
      </c>
      <c r="M1141">
        <v>0.99911380000000005</v>
      </c>
      <c r="N1141">
        <v>0</v>
      </c>
      <c r="O1141">
        <v>4.158154E-2</v>
      </c>
      <c r="P1141">
        <v>0.98816559999999898</v>
      </c>
      <c r="Q1141">
        <v>8.4864869999999992E-3</v>
      </c>
      <c r="R1141">
        <v>0.1531563</v>
      </c>
      <c r="S1141">
        <v>3.0780939999999899</v>
      </c>
      <c r="T1141">
        <v>-0.67152860000000003</v>
      </c>
      <c r="U1141">
        <v>-0.2332458</v>
      </c>
      <c r="V1141">
        <v>-0.1119333</v>
      </c>
      <c r="W1141">
        <v>1.497338E-2</v>
      </c>
      <c r="X1141">
        <v>0.99360289999999996</v>
      </c>
      <c r="Y1141">
        <v>0.113331999999999</v>
      </c>
      <c r="Z1141">
        <v>-2.115734E-2</v>
      </c>
      <c r="AA1141">
        <v>0.99333189999999905</v>
      </c>
      <c r="AB1141">
        <v>28</v>
      </c>
      <c r="AC1141">
        <v>0.65300000000002001</v>
      </c>
      <c r="AD1141">
        <v>-0.1782852</v>
      </c>
      <c r="AE1141">
        <v>-6.8499999999971806E-2</v>
      </c>
      <c r="AF1141">
        <v>8.9029802444768893E-2</v>
      </c>
      <c r="AG1141">
        <v>-0.1782852</v>
      </c>
      <c r="AH1141">
        <v>0.60498084528967</v>
      </c>
      <c r="AI1141">
        <v>106.25433401061601</v>
      </c>
      <c r="AJ1141">
        <v>81.628363557916401</v>
      </c>
      <c r="AK1141">
        <v>0.63695662444926204</v>
      </c>
    </row>
    <row r="1142" spans="1:37" x14ac:dyDescent="0.2">
      <c r="A1142" t="str">
        <f>"20200111155520951"</f>
        <v>20200111155520951</v>
      </c>
      <c r="B1142" t="str">
        <f>"1578729320943216"</f>
        <v>1578729320943216</v>
      </c>
      <c r="C1142" t="s">
        <v>37</v>
      </c>
      <c r="D1142">
        <v>4.5435829999999999</v>
      </c>
      <c r="E1142">
        <v>0.5898774</v>
      </c>
      <c r="F1142" t="s">
        <v>40</v>
      </c>
      <c r="G1142">
        <v>-273.98880000000003</v>
      </c>
      <c r="H1142">
        <v>0.90066219999999997</v>
      </c>
      <c r="I1142">
        <v>367.50889999999998</v>
      </c>
      <c r="J1142">
        <v>-274.74270000000001</v>
      </c>
      <c r="K1142">
        <v>1.097129</v>
      </c>
      <c r="L1142">
        <v>367.58330000000001</v>
      </c>
      <c r="M1142">
        <v>0.99911070000000002</v>
      </c>
      <c r="N1142">
        <v>0</v>
      </c>
      <c r="O1142">
        <v>4.1632870000000002E-2</v>
      </c>
      <c r="P1142">
        <v>0.98818490000000003</v>
      </c>
      <c r="Q1142">
        <v>8.3223800000000007E-3</v>
      </c>
      <c r="R1142">
        <v>0.1530407</v>
      </c>
      <c r="S1142">
        <v>3.078125</v>
      </c>
      <c r="T1142">
        <v>-0.67254199999999997</v>
      </c>
      <c r="U1142">
        <v>-0.23495479999999899</v>
      </c>
      <c r="V1142">
        <v>-0.11176609999999999</v>
      </c>
      <c r="W1142">
        <v>1.496433E-2</v>
      </c>
      <c r="X1142">
        <v>0.99362189999999995</v>
      </c>
      <c r="Y1142">
        <v>0.113905399999999</v>
      </c>
      <c r="Z1142">
        <v>-2.126082E-2</v>
      </c>
      <c r="AA1142">
        <v>0.99326409999999998</v>
      </c>
      <c r="AB1142">
        <v>28</v>
      </c>
      <c r="AC1142">
        <v>0.75389999999998702</v>
      </c>
      <c r="AD1142">
        <v>-0.1964668</v>
      </c>
      <c r="AE1142">
        <v>-7.4400000000025501E-2</v>
      </c>
      <c r="AF1142">
        <v>9.9060625025238006E-2</v>
      </c>
      <c r="AG1142">
        <v>-0.1964668</v>
      </c>
      <c r="AH1142">
        <v>0.70287504370381804</v>
      </c>
      <c r="AI1142">
        <v>105.47120771380099</v>
      </c>
      <c r="AJ1142">
        <v>81.977780236311503</v>
      </c>
      <c r="AK1142">
        <v>0.73650902098635296</v>
      </c>
    </row>
    <row r="1143" spans="1:37" x14ac:dyDescent="0.2">
      <c r="A1143" t="str">
        <f>"20200111155520962"</f>
        <v>20200111155520962</v>
      </c>
      <c r="B1143" t="str">
        <f>"1578729320953952"</f>
        <v>1578729320953952</v>
      </c>
      <c r="C1143" t="s">
        <v>37</v>
      </c>
      <c r="D1143">
        <v>4.5747140000000002</v>
      </c>
      <c r="E1143">
        <v>0.59003689999999998</v>
      </c>
      <c r="F1143" t="s">
        <v>40</v>
      </c>
      <c r="G1143">
        <v>-273.9769</v>
      </c>
      <c r="H1143">
        <v>0.92959130000000001</v>
      </c>
      <c r="I1143">
        <v>367.52420000000001</v>
      </c>
      <c r="J1143">
        <v>-274.6035</v>
      </c>
      <c r="K1143">
        <v>1.09771</v>
      </c>
      <c r="L1143">
        <v>367.58909999999997</v>
      </c>
      <c r="M1143">
        <v>0.99910759999999899</v>
      </c>
      <c r="N1143">
        <v>0</v>
      </c>
      <c r="O1143">
        <v>4.1682429999999999E-2</v>
      </c>
      <c r="P1143">
        <v>0.98826440000000004</v>
      </c>
      <c r="Q1143">
        <v>8.3121059999999997E-3</v>
      </c>
      <c r="R1143">
        <v>0.1525272</v>
      </c>
      <c r="S1143">
        <v>3.0783079999999998</v>
      </c>
      <c r="T1143">
        <v>-0.67344139999999997</v>
      </c>
      <c r="U1143">
        <v>-0.23745729999999901</v>
      </c>
      <c r="V1143">
        <v>-0.1112006</v>
      </c>
      <c r="W1143">
        <v>1.5100209999999999E-2</v>
      </c>
      <c r="X1143">
        <v>0.99368330000000005</v>
      </c>
      <c r="Y1143">
        <v>0.11472349999999901</v>
      </c>
      <c r="Z1143">
        <v>-2.1385789999999998E-2</v>
      </c>
      <c r="AA1143">
        <v>0.99316719999999903</v>
      </c>
      <c r="AB1143">
        <v>28</v>
      </c>
      <c r="AC1143">
        <v>0.62659999999999605</v>
      </c>
      <c r="AD1143">
        <v>-0.16811869999999901</v>
      </c>
      <c r="AE1143">
        <v>-6.4899999999965902E-2</v>
      </c>
      <c r="AF1143">
        <v>8.4914585231728304E-2</v>
      </c>
      <c r="AG1143">
        <v>-0.16811869999999901</v>
      </c>
      <c r="AH1143">
        <v>0.58190540546093295</v>
      </c>
      <c r="AI1143">
        <v>105.954328515973</v>
      </c>
      <c r="AJ1143">
        <v>81.6977086027252</v>
      </c>
      <c r="AK1143">
        <v>0.61162757048666405</v>
      </c>
    </row>
    <row r="1144" spans="1:37" x14ac:dyDescent="0.2">
      <c r="A1144" t="str">
        <f>"20200111155520974"</f>
        <v>20200111155520974</v>
      </c>
      <c r="B1144" t="str">
        <f>"1578729320963712"</f>
        <v>1578729320963712</v>
      </c>
      <c r="C1144" t="s">
        <v>37</v>
      </c>
      <c r="D1144">
        <v>4.5314180000000004</v>
      </c>
      <c r="E1144">
        <v>0.59021959999999996</v>
      </c>
      <c r="F1144" t="s">
        <v>40</v>
      </c>
      <c r="G1144">
        <v>-273.73520000000002</v>
      </c>
      <c r="H1144">
        <v>0.9077016</v>
      </c>
      <c r="I1144">
        <v>367.52109999999999</v>
      </c>
      <c r="J1144">
        <v>-274.45280000000002</v>
      </c>
      <c r="K1144">
        <v>1.0982879999999999</v>
      </c>
      <c r="L1144">
        <v>367.59550000000002</v>
      </c>
      <c r="M1144">
        <v>0.99910429999999995</v>
      </c>
      <c r="N1144">
        <v>0</v>
      </c>
      <c r="O1144">
        <v>4.1734939999999998E-2</v>
      </c>
      <c r="P1144">
        <v>0.98832640000000005</v>
      </c>
      <c r="Q1144">
        <v>8.0460080000000003E-3</v>
      </c>
      <c r="R1144">
        <v>0.15213879999999999</v>
      </c>
      <c r="S1144">
        <v>3.0783999999999998</v>
      </c>
      <c r="T1144">
        <v>-0.67369829999999997</v>
      </c>
      <c r="U1144">
        <v>-0.24041750000000001</v>
      </c>
      <c r="V1144">
        <v>-0.1107578</v>
      </c>
      <c r="W1144">
        <v>1.498244E-2</v>
      </c>
      <c r="X1144">
        <v>0.99373449999999997</v>
      </c>
      <c r="Y1144">
        <v>0.1156963</v>
      </c>
      <c r="Z1144">
        <v>-2.1508820000000001E-2</v>
      </c>
      <c r="AA1144">
        <v>0.99305169999999998</v>
      </c>
      <c r="AB1144">
        <v>28</v>
      </c>
      <c r="AC1144">
        <v>0.71760000000000401</v>
      </c>
      <c r="AD1144">
        <v>-0.19058639999999999</v>
      </c>
      <c r="AE1144">
        <v>-7.4400000000025501E-2</v>
      </c>
      <c r="AF1144">
        <v>9.7481911748313901E-2</v>
      </c>
      <c r="AG1144">
        <v>-0.19058639999999999</v>
      </c>
      <c r="AH1144">
        <v>0.66730057339738102</v>
      </c>
      <c r="AI1144">
        <v>105.780739710194</v>
      </c>
      <c r="AJ1144">
        <v>81.688794595718605</v>
      </c>
      <c r="AK1144">
        <v>0.700796656841013</v>
      </c>
    </row>
    <row r="1145" spans="1:37" x14ac:dyDescent="0.2">
      <c r="A1145" t="str">
        <f>"20200111155520986"</f>
        <v>20200111155520986</v>
      </c>
      <c r="B1145" t="str">
        <f>"1578729320973473"</f>
        <v>1578729320973473</v>
      </c>
      <c r="C1145" t="s">
        <v>37</v>
      </c>
      <c r="D1145">
        <v>4.4876719999999999</v>
      </c>
      <c r="E1145">
        <v>0.59038049999999997</v>
      </c>
      <c r="F1145" t="s">
        <v>40</v>
      </c>
      <c r="G1145">
        <v>-273.72230000000002</v>
      </c>
      <c r="H1145">
        <v>0.93808210000000003</v>
      </c>
      <c r="I1145">
        <v>367.5376</v>
      </c>
      <c r="J1145">
        <v>-274.31220000000002</v>
      </c>
      <c r="K1145">
        <v>1.098781</v>
      </c>
      <c r="L1145">
        <v>367.60129999999998</v>
      </c>
      <c r="M1145">
        <v>0.99910140000000003</v>
      </c>
      <c r="N1145">
        <v>0</v>
      </c>
      <c r="O1145">
        <v>4.1783380000000002E-2</v>
      </c>
      <c r="P1145">
        <v>0.98832679999999995</v>
      </c>
      <c r="Q1145">
        <v>8.1852669999999995E-3</v>
      </c>
      <c r="R1145">
        <v>0.1521286</v>
      </c>
      <c r="S1145">
        <v>3.0783390000000002</v>
      </c>
      <c r="T1145">
        <v>-0.67519640000000003</v>
      </c>
      <c r="U1145">
        <v>-0.2430725</v>
      </c>
      <c r="V1145">
        <v>-0.11069949999999899</v>
      </c>
      <c r="W1145">
        <v>1.525135E-2</v>
      </c>
      <c r="X1145">
        <v>0.99373690000000003</v>
      </c>
      <c r="Y1145">
        <v>0.1165595</v>
      </c>
      <c r="Z1145">
        <v>-2.16592E-2</v>
      </c>
      <c r="AA1145">
        <v>0.99294749999999998</v>
      </c>
      <c r="AB1145">
        <v>28</v>
      </c>
      <c r="AC1145">
        <v>0.58989999999999998</v>
      </c>
      <c r="AD1145">
        <v>-0.16069889999999901</v>
      </c>
      <c r="AE1145">
        <v>-6.3699999999982895E-2</v>
      </c>
      <c r="AF1145">
        <v>8.2258846848067002E-2</v>
      </c>
      <c r="AG1145">
        <v>-0.16069889999999901</v>
      </c>
      <c r="AH1145">
        <v>0.54662505078742496</v>
      </c>
      <c r="AI1145">
        <v>106.20970436424</v>
      </c>
      <c r="AJ1145">
        <v>81.442061806035497</v>
      </c>
      <c r="AK1145">
        <v>0.57566448604576803</v>
      </c>
    </row>
    <row r="1146" spans="1:37" x14ac:dyDescent="0.2">
      <c r="A1146" t="str">
        <f>"20200111155520997"</f>
        <v>20200111155520997</v>
      </c>
      <c r="B1146" t="str">
        <f>"1578729320993968"</f>
        <v>1578729320993968</v>
      </c>
      <c r="C1146" t="s">
        <v>37</v>
      </c>
      <c r="D1146">
        <v>4.4318439999999999</v>
      </c>
      <c r="E1146">
        <v>0.59070849999999997</v>
      </c>
      <c r="F1146" t="s">
        <v>40</v>
      </c>
      <c r="G1146">
        <v>-273.4803</v>
      </c>
      <c r="H1146">
        <v>0.91631359999999995</v>
      </c>
      <c r="I1146">
        <v>367.5351</v>
      </c>
      <c r="J1146">
        <v>-274.15989999999999</v>
      </c>
      <c r="K1146">
        <v>1.09928</v>
      </c>
      <c r="L1146">
        <v>367.6078</v>
      </c>
      <c r="M1146">
        <v>0.99909820000000005</v>
      </c>
      <c r="N1146">
        <v>0</v>
      </c>
      <c r="O1146">
        <v>4.1835539999999997E-2</v>
      </c>
      <c r="P1146">
        <v>0.9883921</v>
      </c>
      <c r="Q1146">
        <v>8.0639960000000004E-3</v>
      </c>
      <c r="R1146">
        <v>0.15171129999999999</v>
      </c>
      <c r="S1146">
        <v>3.0786439999999899</v>
      </c>
      <c r="T1146">
        <v>-0.67531059999999998</v>
      </c>
      <c r="U1146">
        <v>-0.2443237</v>
      </c>
      <c r="V1146">
        <v>-0.11022849999999999</v>
      </c>
      <c r="W1146">
        <v>1.526565E-2</v>
      </c>
      <c r="X1146">
        <v>0.99378899999999903</v>
      </c>
      <c r="Y1146">
        <v>0.11699279999999999</v>
      </c>
      <c r="Z1146">
        <v>-2.171857E-2</v>
      </c>
      <c r="AA1146">
        <v>0.99289519999999998</v>
      </c>
      <c r="AB1146">
        <v>28</v>
      </c>
      <c r="AC1146">
        <v>0.67959999999999299</v>
      </c>
      <c r="AD1146">
        <v>-0.1829664</v>
      </c>
      <c r="AE1146">
        <v>-7.2699999999997503E-2</v>
      </c>
      <c r="AF1146">
        <v>9.4310002218787201E-2</v>
      </c>
      <c r="AG1146">
        <v>-0.1829664</v>
      </c>
      <c r="AH1146">
        <v>0.63076128927886299</v>
      </c>
      <c r="AI1146">
        <v>106.00730347005</v>
      </c>
      <c r="AJ1146">
        <v>81.496259756109794</v>
      </c>
      <c r="AK1146">
        <v>0.66349897068511099</v>
      </c>
    </row>
    <row r="1147" spans="1:37" x14ac:dyDescent="0.2">
      <c r="A1147" t="str">
        <f>"20200111155521008"</f>
        <v>20200111155521008</v>
      </c>
      <c r="B1147" t="str">
        <f>"1578729321003729"</f>
        <v>1578729321003729</v>
      </c>
      <c r="C1147" t="s">
        <v>37</v>
      </c>
      <c r="D1147">
        <v>4.5453429999999999</v>
      </c>
      <c r="E1147">
        <v>0.59064240000000001</v>
      </c>
      <c r="F1147" t="s">
        <v>40</v>
      </c>
      <c r="G1147">
        <v>-273.46690000000001</v>
      </c>
      <c r="H1147">
        <v>0.947198599999999</v>
      </c>
      <c r="I1147">
        <v>367.55160000000001</v>
      </c>
      <c r="J1147">
        <v>-274.02420000000001</v>
      </c>
      <c r="K1147">
        <v>1.099675</v>
      </c>
      <c r="L1147">
        <v>367.61349999999999</v>
      </c>
      <c r="M1147">
        <v>0.99909559999999997</v>
      </c>
      <c r="N1147">
        <v>0</v>
      </c>
      <c r="O1147">
        <v>4.1880859999999999E-2</v>
      </c>
      <c r="P1147">
        <v>0.98841979999999996</v>
      </c>
      <c r="Q1147">
        <v>7.9634100000000006E-3</v>
      </c>
      <c r="R1147">
        <v>0.1515358</v>
      </c>
      <c r="S1147">
        <v>3.0788880000000001</v>
      </c>
      <c r="T1147">
        <v>-0.67569429999999997</v>
      </c>
      <c r="U1147">
        <v>-0.24850459999999999</v>
      </c>
      <c r="V1147">
        <v>-0.110007199999999</v>
      </c>
      <c r="W1147">
        <v>1.5275189999999999E-2</v>
      </c>
      <c r="X1147">
        <v>0.99381339999999996</v>
      </c>
      <c r="Y1147">
        <v>0.118335199999999</v>
      </c>
      <c r="Z1147">
        <v>-2.1883039999999999E-2</v>
      </c>
      <c r="AA1147">
        <v>0.99273250000000002</v>
      </c>
      <c r="AB1147">
        <v>28</v>
      </c>
      <c r="AC1147">
        <v>0.55729999999999702</v>
      </c>
      <c r="AD1147">
        <v>-0.15247640000000001</v>
      </c>
      <c r="AE1147">
        <v>-6.1899999999979999E-2</v>
      </c>
      <c r="AF1147">
        <v>7.9321203663071396E-2</v>
      </c>
      <c r="AG1147">
        <v>-0.15247640000000001</v>
      </c>
      <c r="AH1147">
        <v>0.51605910574163805</v>
      </c>
      <c r="AI1147">
        <v>106.27957219461599</v>
      </c>
      <c r="AJ1147">
        <v>81.261701681028001</v>
      </c>
      <c r="AK1147">
        <v>0.54392821817439996</v>
      </c>
    </row>
    <row r="1148" spans="1:37" x14ac:dyDescent="0.2">
      <c r="A1148" t="str">
        <f>"20200111155521020"</f>
        <v>20200111155521020</v>
      </c>
      <c r="B1148" t="str">
        <f>"1578729321013488"</f>
        <v>1578729321013488</v>
      </c>
      <c r="C1148" t="s">
        <v>37</v>
      </c>
      <c r="D1148">
        <v>4.463063</v>
      </c>
      <c r="E1148">
        <v>0.59068959999999904</v>
      </c>
      <c r="F1148" t="s">
        <v>40</v>
      </c>
      <c r="G1148">
        <v>-273.2253</v>
      </c>
      <c r="H1148">
        <v>0.92404719999999996</v>
      </c>
      <c r="I1148">
        <v>367.54899999999998</v>
      </c>
      <c r="J1148">
        <v>-273.87580000000003</v>
      </c>
      <c r="K1148">
        <v>1.1000920000000001</v>
      </c>
      <c r="L1148">
        <v>367.6198</v>
      </c>
      <c r="M1148">
        <v>0.99909249999999905</v>
      </c>
      <c r="N1148">
        <v>0</v>
      </c>
      <c r="O1148">
        <v>4.1930080000000002E-2</v>
      </c>
      <c r="P1148">
        <v>0.98845119999999898</v>
      </c>
      <c r="Q1148">
        <v>8.1334900000000002E-3</v>
      </c>
      <c r="R1148">
        <v>0.1513215</v>
      </c>
      <c r="S1148">
        <v>3.0786439999999899</v>
      </c>
      <c r="T1148">
        <v>-0.67681429999999998</v>
      </c>
      <c r="U1148">
        <v>-0.24819949999999999</v>
      </c>
      <c r="V1148">
        <v>-0.109742699999999</v>
      </c>
      <c r="W1148">
        <v>1.5564110000000001E-2</v>
      </c>
      <c r="X1148">
        <v>0.9938382</v>
      </c>
      <c r="Y1148">
        <v>0.1182797</v>
      </c>
      <c r="Z1148">
        <v>-2.1924920000000001E-2</v>
      </c>
      <c r="AA1148">
        <v>0.99273820000000002</v>
      </c>
      <c r="AB1148">
        <v>28</v>
      </c>
      <c r="AC1148">
        <v>0.65050000000002195</v>
      </c>
      <c r="AD1148">
        <v>-0.1760448</v>
      </c>
      <c r="AE1148">
        <v>-7.0799999999962795E-2</v>
      </c>
      <c r="AF1148">
        <v>9.1398316152468795E-2</v>
      </c>
      <c r="AG1148">
        <v>-0.1760448</v>
      </c>
      <c r="AH1148">
        <v>0.60329105430400898</v>
      </c>
      <c r="AI1148">
        <v>106.09365352191401</v>
      </c>
      <c r="AJ1148">
        <v>81.385226316792199</v>
      </c>
      <c r="AK1148">
        <v>0.63506339841451198</v>
      </c>
    </row>
    <row r="1149" spans="1:37" x14ac:dyDescent="0.2">
      <c r="A1149" t="str">
        <f>"20200111155521032"</f>
        <v>20200111155521032</v>
      </c>
      <c r="B1149" t="str">
        <f>"1578729321023248"</f>
        <v>1578729321023248</v>
      </c>
      <c r="C1149" t="s">
        <v>37</v>
      </c>
      <c r="D1149">
        <v>4.4842469999999999</v>
      </c>
      <c r="E1149">
        <v>0.59067259999999999</v>
      </c>
      <c r="F1149" t="s">
        <v>40</v>
      </c>
      <c r="G1149">
        <v>-272.98129999999998</v>
      </c>
      <c r="H1149">
        <v>0.903612999999999</v>
      </c>
      <c r="I1149">
        <v>367.546999999999</v>
      </c>
      <c r="J1149">
        <v>-273.71960000000001</v>
      </c>
      <c r="K1149">
        <v>1.1004799999999999</v>
      </c>
      <c r="L1149">
        <v>367.62639999999999</v>
      </c>
      <c r="M1149">
        <v>0.99908960000000002</v>
      </c>
      <c r="N1149">
        <v>0</v>
      </c>
      <c r="O1149">
        <v>4.1979830000000003E-2</v>
      </c>
      <c r="P1149">
        <v>0.98843320000000001</v>
      </c>
      <c r="Q1149">
        <v>8.1454960000000003E-3</v>
      </c>
      <c r="R1149">
        <v>0.15143779999999901</v>
      </c>
      <c r="S1149">
        <v>3.0788880000000001</v>
      </c>
      <c r="T1149">
        <v>-0.67634989999999995</v>
      </c>
      <c r="U1149">
        <v>-0.24987789999999999</v>
      </c>
      <c r="V1149">
        <v>-0.1098103</v>
      </c>
      <c r="W1149">
        <v>1.5689990000000001E-2</v>
      </c>
      <c r="X1149">
        <v>0.99382870000000001</v>
      </c>
      <c r="Y1149">
        <v>0.1188517</v>
      </c>
      <c r="Z1149">
        <v>-2.198087E-2</v>
      </c>
      <c r="AA1149">
        <v>0.99266869999999996</v>
      </c>
      <c r="AB1149">
        <v>28</v>
      </c>
      <c r="AC1149">
        <v>0.73830000000003704</v>
      </c>
      <c r="AD1149">
        <v>-0.19686699999999999</v>
      </c>
      <c r="AE1149">
        <v>-7.9400000000020995E-2</v>
      </c>
      <c r="AF1149">
        <v>0.103079286875362</v>
      </c>
      <c r="AG1149">
        <v>-0.19686699999999999</v>
      </c>
      <c r="AH1149">
        <v>0.68609130786772798</v>
      </c>
      <c r="AI1149">
        <v>105.841570942267</v>
      </c>
      <c r="AJ1149">
        <v>81.455710614843596</v>
      </c>
      <c r="AK1149">
        <v>0.72118183407749803</v>
      </c>
    </row>
    <row r="1150" spans="1:37" x14ac:dyDescent="0.2">
      <c r="A1150" t="str">
        <f>"20200111155521046"</f>
        <v>20200111155521046</v>
      </c>
      <c r="B1150" t="str">
        <f>"1578729321033984"</f>
        <v>1578729321033984</v>
      </c>
      <c r="C1150" t="s">
        <v>37</v>
      </c>
      <c r="D1150">
        <v>4.3723999999999998</v>
      </c>
      <c r="E1150">
        <v>0.59063500000000002</v>
      </c>
      <c r="F1150" t="s">
        <v>40</v>
      </c>
      <c r="G1150">
        <v>-272.9683</v>
      </c>
      <c r="H1150">
        <v>0.93540689999999904</v>
      </c>
      <c r="I1150">
        <v>367.56540000000001</v>
      </c>
      <c r="J1150">
        <v>-273.55630000000002</v>
      </c>
      <c r="K1150">
        <v>1.1008530000000001</v>
      </c>
      <c r="L1150">
        <v>367.63330000000002</v>
      </c>
      <c r="M1150">
        <v>0.99908660000000005</v>
      </c>
      <c r="N1150">
        <v>0</v>
      </c>
      <c r="O1150">
        <v>4.2030350000000001E-2</v>
      </c>
      <c r="P1150">
        <v>0.98845930000000004</v>
      </c>
      <c r="Q1150">
        <v>8.2167219999999992E-3</v>
      </c>
      <c r="R1150">
        <v>0.15126410000000001</v>
      </c>
      <c r="S1150">
        <v>3.0788570000000002</v>
      </c>
      <c r="T1150">
        <v>-0.67654419999999904</v>
      </c>
      <c r="U1150">
        <v>-0.249115</v>
      </c>
      <c r="V1150">
        <v>-0.1095853</v>
      </c>
      <c r="W1150">
        <v>1.587498E-2</v>
      </c>
      <c r="X1150">
        <v>0.99385059999999903</v>
      </c>
      <c r="Y1150">
        <v>0.1186594</v>
      </c>
      <c r="Z1150">
        <v>-2.1977569999999998E-2</v>
      </c>
      <c r="AA1150">
        <v>0.99269180000000001</v>
      </c>
      <c r="AB1150">
        <v>28</v>
      </c>
      <c r="AC1150">
        <v>0.58800000000002195</v>
      </c>
      <c r="AD1150">
        <v>-0.16544610000000001</v>
      </c>
      <c r="AE1150">
        <v>-6.7900000000008703E-2</v>
      </c>
      <c r="AF1150">
        <v>8.5847500959011502E-2</v>
      </c>
      <c r="AG1150">
        <v>-0.16544610000000001</v>
      </c>
      <c r="AH1150">
        <v>0.54226079639459301</v>
      </c>
      <c r="AI1150">
        <v>106.770245394546</v>
      </c>
      <c r="AJ1150">
        <v>81.003934608299701</v>
      </c>
      <c r="AK1150">
        <v>0.57340123537764998</v>
      </c>
    </row>
    <row r="1151" spans="1:37" x14ac:dyDescent="0.2">
      <c r="A1151" t="str">
        <f>"20200111155521058"</f>
        <v>20200111155521058</v>
      </c>
      <c r="B1151" t="str">
        <f>"1578729321054011"</f>
        <v>1578729321054011</v>
      </c>
      <c r="C1151" t="s">
        <v>37</v>
      </c>
      <c r="D1151">
        <v>4.3931979999999999</v>
      </c>
      <c r="E1151">
        <v>0.59051609999999999</v>
      </c>
      <c r="F1151" t="s">
        <v>40</v>
      </c>
      <c r="G1151">
        <v>-272.72320000000002</v>
      </c>
      <c r="H1151">
        <v>0.91789209999999999</v>
      </c>
      <c r="I1151">
        <v>367.56549999999999</v>
      </c>
      <c r="J1151">
        <v>-273.3827</v>
      </c>
      <c r="K1151">
        <v>1.1012189999999999</v>
      </c>
      <c r="L1151">
        <v>367.64060000000001</v>
      </c>
      <c r="M1151">
        <v>0.99908349999999901</v>
      </c>
      <c r="N1151">
        <v>0</v>
      </c>
      <c r="O1151">
        <v>4.2082219999999997E-2</v>
      </c>
      <c r="P1151">
        <v>0.98848009999999997</v>
      </c>
      <c r="Q1151">
        <v>7.9256580000000004E-3</v>
      </c>
      <c r="R1151">
        <v>0.15114339999999901</v>
      </c>
      <c r="S1151">
        <v>3.078827</v>
      </c>
      <c r="T1151">
        <v>-0.67626779999999997</v>
      </c>
      <c r="U1151">
        <v>-0.2493591</v>
      </c>
      <c r="V1151">
        <v>-0.1094121</v>
      </c>
      <c r="W1151">
        <v>1.5698569999999998E-2</v>
      </c>
      <c r="X1151">
        <v>0.99387250000000005</v>
      </c>
      <c r="Y1151">
        <v>0.1187887</v>
      </c>
      <c r="Z1151">
        <v>-2.199421E-2</v>
      </c>
      <c r="AA1151">
        <v>0.99267590000000006</v>
      </c>
      <c r="AB1151">
        <v>28</v>
      </c>
      <c r="AC1151">
        <v>0.65949999999997999</v>
      </c>
      <c r="AD1151">
        <v>-0.18332689999999999</v>
      </c>
      <c r="AE1151">
        <v>-7.5100000000020303E-2</v>
      </c>
      <c r="AF1151">
        <v>9.5502344239595902E-2</v>
      </c>
      <c r="AG1151">
        <v>-0.18332689999999999</v>
      </c>
      <c r="AH1151">
        <v>0.60927778208814598</v>
      </c>
      <c r="AI1151">
        <v>106.555239632728</v>
      </c>
      <c r="AJ1151">
        <v>81.091556641438203</v>
      </c>
      <c r="AK1151">
        <v>0.64338858069219595</v>
      </c>
    </row>
    <row r="1152" spans="1:37" x14ac:dyDescent="0.2">
      <c r="A1152" t="str">
        <f>"20200111155521071"</f>
        <v>20200111155521071</v>
      </c>
      <c r="B1152" t="str">
        <f>"1578729321063770"</f>
        <v>1578729321063770</v>
      </c>
      <c r="C1152" t="s">
        <v>37</v>
      </c>
      <c r="D1152">
        <v>4.26912</v>
      </c>
      <c r="E1152">
        <v>0.59045170000000002</v>
      </c>
      <c r="F1152" t="s">
        <v>40</v>
      </c>
      <c r="G1152">
        <v>-272.47640000000001</v>
      </c>
      <c r="H1152">
        <v>0.90190550000000003</v>
      </c>
      <c r="I1152">
        <v>367.56709999999998</v>
      </c>
      <c r="J1152">
        <v>-273.2269</v>
      </c>
      <c r="K1152">
        <v>1.101502</v>
      </c>
      <c r="L1152">
        <v>367.6472</v>
      </c>
      <c r="M1152">
        <v>0.999081</v>
      </c>
      <c r="N1152">
        <v>0</v>
      </c>
      <c r="O1152">
        <v>4.2125360000000001E-2</v>
      </c>
      <c r="P1152">
        <v>0.98854109999999995</v>
      </c>
      <c r="Q1152">
        <v>7.5606809999999997E-3</v>
      </c>
      <c r="R1152">
        <v>0.1507626</v>
      </c>
      <c r="S1152">
        <v>3.0784910000000001</v>
      </c>
      <c r="T1152">
        <v>-0.67711009999999905</v>
      </c>
      <c r="U1152">
        <v>-0.248962399999999</v>
      </c>
      <c r="V1152">
        <v>-0.1089865</v>
      </c>
      <c r="W1152">
        <v>1.542776E-2</v>
      </c>
      <c r="X1152">
        <v>0.99392349999999996</v>
      </c>
      <c r="Y1152">
        <v>0.1187039</v>
      </c>
      <c r="Z1152">
        <v>-2.2023580000000001E-2</v>
      </c>
      <c r="AA1152">
        <v>0.99268539999999905</v>
      </c>
      <c r="AB1152">
        <v>28</v>
      </c>
      <c r="AC1152">
        <v>0.75049999999998795</v>
      </c>
      <c r="AD1152">
        <v>-0.19959649999999901</v>
      </c>
      <c r="AE1152">
        <v>-8.0100000000015797E-2</v>
      </c>
      <c r="AF1152">
        <v>0.104347573463854</v>
      </c>
      <c r="AG1152">
        <v>-0.19959649999999901</v>
      </c>
      <c r="AH1152">
        <v>0.69766897490704805</v>
      </c>
      <c r="AI1152">
        <v>105.79850693509</v>
      </c>
      <c r="AJ1152">
        <v>81.4935538735091</v>
      </c>
      <c r="AK1152">
        <v>0.73312289382333196</v>
      </c>
    </row>
    <row r="1153" spans="1:37" x14ac:dyDescent="0.2">
      <c r="A1153" t="str">
        <f>"20200111155521084"</f>
        <v>20200111155521084</v>
      </c>
      <c r="B1153" t="str">
        <f>"1578729321073531"</f>
        <v>1578729321073531</v>
      </c>
      <c r="C1153" t="s">
        <v>37</v>
      </c>
      <c r="D1153">
        <v>4.1778120000000003</v>
      </c>
      <c r="E1153">
        <v>0.59045170000000002</v>
      </c>
      <c r="F1153" t="s">
        <v>40</v>
      </c>
      <c r="G1153">
        <v>-272.46350000000001</v>
      </c>
      <c r="H1153">
        <v>0.93363809999999903</v>
      </c>
      <c r="I1153">
        <v>367.58510000000001</v>
      </c>
      <c r="J1153">
        <v>-273.06630000000001</v>
      </c>
      <c r="K1153">
        <v>1.1017749999999999</v>
      </c>
      <c r="L1153">
        <v>367.654</v>
      </c>
      <c r="M1153">
        <v>0.99907849999999998</v>
      </c>
      <c r="N1153">
        <v>0</v>
      </c>
      <c r="O1153">
        <v>4.2167879999999998E-2</v>
      </c>
      <c r="P1153">
        <v>0.98857320000000004</v>
      </c>
      <c r="Q1153">
        <v>7.1306009999999899E-3</v>
      </c>
      <c r="R1153">
        <v>0.1505736</v>
      </c>
      <c r="S1153">
        <v>3.0780939999999899</v>
      </c>
      <c r="T1153">
        <v>-0.67699069999999995</v>
      </c>
      <c r="U1153">
        <v>-0.25006099999999998</v>
      </c>
      <c r="V1153">
        <v>-0.1087535</v>
      </c>
      <c r="W1153">
        <v>1.50902E-2</v>
      </c>
      <c r="X1153">
        <v>0.99395419999999901</v>
      </c>
      <c r="Y1153">
        <v>0.1190986</v>
      </c>
      <c r="Z1153">
        <v>-2.207431E-2</v>
      </c>
      <c r="AA1153">
        <v>0.99263699999999999</v>
      </c>
      <c r="AB1153">
        <v>28</v>
      </c>
      <c r="AC1153">
        <v>0.602800000000002</v>
      </c>
      <c r="AD1153">
        <v>-0.16813690000000001</v>
      </c>
      <c r="AE1153">
        <v>-6.8899999999985001E-2</v>
      </c>
      <c r="AF1153">
        <v>8.7535859775273894E-2</v>
      </c>
      <c r="AG1153">
        <v>-0.16813690000000001</v>
      </c>
      <c r="AH1153">
        <v>0.55661235289896505</v>
      </c>
      <c r="AI1153">
        <v>106.615325371426</v>
      </c>
      <c r="AJ1153">
        <v>81.062558498856902</v>
      </c>
      <c r="AK1153">
        <v>0.58800497896525405</v>
      </c>
    </row>
    <row r="1154" spans="1:37" x14ac:dyDescent="0.2">
      <c r="A1154" t="str">
        <f>"20200111155521096"</f>
        <v>20200111155521096</v>
      </c>
      <c r="B1154" t="str">
        <f>"1578729321093050"</f>
        <v>1578729321093050</v>
      </c>
      <c r="C1154" t="s">
        <v>37</v>
      </c>
      <c r="D1154">
        <v>4.0584730000000002</v>
      </c>
      <c r="E1154">
        <v>0.59052459999999996</v>
      </c>
      <c r="F1154" t="s">
        <v>40</v>
      </c>
      <c r="G1154">
        <v>-272.21809999999999</v>
      </c>
      <c r="H1154">
        <v>0.91484299999999996</v>
      </c>
      <c r="I1154">
        <v>367.5847</v>
      </c>
      <c r="J1154">
        <v>-272.90190000000001</v>
      </c>
      <c r="K1154">
        <v>1.102031</v>
      </c>
      <c r="L1154">
        <v>367.661</v>
      </c>
      <c r="M1154">
        <v>0.99907599999999996</v>
      </c>
      <c r="N1154">
        <v>0</v>
      </c>
      <c r="O1154">
        <v>4.2209280000000002E-2</v>
      </c>
      <c r="P1154">
        <v>0.98861309999999902</v>
      </c>
      <c r="Q1154">
        <v>7.1456330000000002E-3</v>
      </c>
      <c r="R1154">
        <v>0.15031140000000001</v>
      </c>
      <c r="S1154">
        <v>3.0777589999999999</v>
      </c>
      <c r="T1154">
        <v>-0.67830269999999904</v>
      </c>
      <c r="U1154">
        <v>-0.2507935</v>
      </c>
      <c r="V1154">
        <v>-0.108449</v>
      </c>
      <c r="W1154">
        <v>1.519509E-2</v>
      </c>
      <c r="X1154">
        <v>0.99398589999999998</v>
      </c>
      <c r="Y1154">
        <v>0.11936040000000001</v>
      </c>
      <c r="Z1154">
        <v>-2.2155729999999998E-2</v>
      </c>
      <c r="AA1154">
        <v>0.99260380000000004</v>
      </c>
      <c r="AB1154">
        <v>28</v>
      </c>
      <c r="AC1154">
        <v>0.68380000000001895</v>
      </c>
      <c r="AD1154">
        <v>-0.18718799999999899</v>
      </c>
      <c r="AE1154">
        <v>-7.6300000000003296E-2</v>
      </c>
      <c r="AF1154">
        <v>9.7852988264986202E-2</v>
      </c>
      <c r="AG1154">
        <v>-0.18718799999999899</v>
      </c>
      <c r="AH1154">
        <v>0.63310980043640097</v>
      </c>
      <c r="AI1154">
        <v>106.288093089705</v>
      </c>
      <c r="AJ1154">
        <v>81.213928209805204</v>
      </c>
      <c r="AK1154">
        <v>0.66741484405503504</v>
      </c>
    </row>
    <row r="1155" spans="1:37" x14ac:dyDescent="0.2">
      <c r="A1155" t="str">
        <f>"20200111155521109"</f>
        <v>20200111155521109</v>
      </c>
      <c r="B1155" t="str">
        <f>"1578729321103787"</f>
        <v>1578729321103787</v>
      </c>
      <c r="C1155" t="s">
        <v>37</v>
      </c>
      <c r="D1155">
        <v>4.3849780000000003</v>
      </c>
      <c r="E1155">
        <v>0.58536650000000001</v>
      </c>
      <c r="F1155" t="s">
        <v>40</v>
      </c>
      <c r="G1155">
        <v>-272.2022</v>
      </c>
      <c r="H1155">
        <v>0.95137689999999997</v>
      </c>
      <c r="I1155">
        <v>367.6035</v>
      </c>
      <c r="J1155">
        <v>-272.74790000000002</v>
      </c>
      <c r="K1155">
        <v>1.102233</v>
      </c>
      <c r="L1155">
        <v>367.66750000000002</v>
      </c>
      <c r="M1155">
        <v>0.99907389999999996</v>
      </c>
      <c r="N1155">
        <v>0</v>
      </c>
      <c r="O1155">
        <v>4.2242729999999999E-2</v>
      </c>
      <c r="P1155">
        <v>0.98863639999999997</v>
      </c>
      <c r="Q1155">
        <v>7.2330349999999996E-3</v>
      </c>
      <c r="R1155">
        <v>0.1501527</v>
      </c>
      <c r="S1155">
        <v>3.077728</v>
      </c>
      <c r="T1155">
        <v>-0.66271630000000004</v>
      </c>
      <c r="U1155">
        <v>-0.25216669999999902</v>
      </c>
      <c r="V1155">
        <v>-0.1082558</v>
      </c>
      <c r="W1155">
        <v>1.5359569999999999E-2</v>
      </c>
      <c r="X1155">
        <v>0.99400440000000001</v>
      </c>
      <c r="Y1155">
        <v>0.1199925</v>
      </c>
      <c r="Z1155">
        <v>-2.173224E-2</v>
      </c>
      <c r="AA1155">
        <v>0.99253690000000006</v>
      </c>
      <c r="AB1155">
        <v>28</v>
      </c>
      <c r="AC1155">
        <v>0.54570000000000995</v>
      </c>
      <c r="AD1155">
        <v>-0.15085609999999999</v>
      </c>
      <c r="AE1155">
        <v>-6.4000000000021304E-2</v>
      </c>
      <c r="AF1155">
        <v>8.0897071266598605E-2</v>
      </c>
      <c r="AG1155">
        <v>-0.15085609999999999</v>
      </c>
      <c r="AH1155">
        <v>0.50447908153540999</v>
      </c>
      <c r="AI1155">
        <v>106.44982830759</v>
      </c>
      <c r="AJ1155">
        <v>80.889744821696596</v>
      </c>
      <c r="AK1155">
        <v>0.53272980276452897</v>
      </c>
    </row>
    <row r="1156" spans="1:37" x14ac:dyDescent="0.2">
      <c r="A1156" t="str">
        <f>"20200111155521123"</f>
        <v>20200111155521123</v>
      </c>
      <c r="B1156" t="str">
        <f>"1578729321113546"</f>
        <v>1578729321113546</v>
      </c>
      <c r="C1156" t="s">
        <v>37</v>
      </c>
      <c r="D1156">
        <v>4.2630679999999996</v>
      </c>
      <c r="E1156">
        <v>0.58215309999999998</v>
      </c>
      <c r="F1156" t="s">
        <v>38</v>
      </c>
      <c r="G1156">
        <v>-225.33160000000001</v>
      </c>
      <c r="H1156" s="1">
        <v>-3.00259E-6</v>
      </c>
      <c r="I1156">
        <v>364.25009999999997</v>
      </c>
      <c r="J1156">
        <v>-272.5788</v>
      </c>
      <c r="K1156">
        <v>1.102444</v>
      </c>
      <c r="L1156">
        <v>367.67469999999997</v>
      </c>
      <c r="M1156">
        <v>0.99907179999999995</v>
      </c>
      <c r="N1156">
        <v>0</v>
      </c>
      <c r="O1156">
        <v>4.2275840000000002E-2</v>
      </c>
      <c r="P1156">
        <v>0.98863349999999905</v>
      </c>
      <c r="Q1156">
        <v>7.1930709999999997E-3</v>
      </c>
      <c r="R1156">
        <v>0.15017369999999999</v>
      </c>
      <c r="S1156">
        <v>3.06857299999999</v>
      </c>
      <c r="T1156">
        <v>-7.1331740000000005E-2</v>
      </c>
      <c r="U1156">
        <v>-0.22116089999999999</v>
      </c>
      <c r="V1156">
        <v>-0.1082434</v>
      </c>
      <c r="W1156">
        <v>1.5401059999999999E-2</v>
      </c>
      <c r="X1156">
        <v>0.99400509999999997</v>
      </c>
      <c r="Y1156">
        <v>0.1139481</v>
      </c>
      <c r="Z1156">
        <v>-2.3040420000000001E-3</v>
      </c>
      <c r="AA1156">
        <v>0.99348400000000003</v>
      </c>
      <c r="AB1156">
        <v>28</v>
      </c>
      <c r="AC1156">
        <v>47.2471999999999</v>
      </c>
      <c r="AD1156">
        <v>-1.1024470025899999</v>
      </c>
      <c r="AE1156">
        <v>-3.4245999999999901</v>
      </c>
      <c r="AF1156">
        <v>5.4160879807945204</v>
      </c>
      <c r="AG1156">
        <v>-1.1024470025899999</v>
      </c>
      <c r="AH1156">
        <v>47.034699728790201</v>
      </c>
      <c r="AI1156">
        <v>91.333899511488397</v>
      </c>
      <c r="AJ1156">
        <v>83.431270691631099</v>
      </c>
      <c r="AK1156">
        <v>47.3583400995715</v>
      </c>
    </row>
    <row r="1157" spans="1:37" x14ac:dyDescent="0.2">
      <c r="A1157" t="str">
        <f>"20200111155521177"</f>
        <v>20200111155521177</v>
      </c>
      <c r="B1157" t="str">
        <f>"1578729321173589"</f>
        <v>1578729321173589</v>
      </c>
      <c r="C1157" t="s">
        <v>37</v>
      </c>
      <c r="D1157">
        <v>4.1530990000000001</v>
      </c>
      <c r="E1157">
        <v>0.58269759999999904</v>
      </c>
      <c r="F1157" t="s">
        <v>38</v>
      </c>
      <c r="G1157">
        <v>-214.21789999999999</v>
      </c>
      <c r="H1157" s="1">
        <v>-3.4694720000000001E-6</v>
      </c>
      <c r="I1157">
        <v>363.94139999999999</v>
      </c>
      <c r="J1157">
        <v>-271.88060000000002</v>
      </c>
      <c r="K1157">
        <v>1.103084</v>
      </c>
      <c r="L1157">
        <v>367.70440000000002</v>
      </c>
      <c r="M1157">
        <v>0.99906620000000002</v>
      </c>
      <c r="N1157">
        <v>0</v>
      </c>
      <c r="O1157">
        <v>4.2352180000000003E-2</v>
      </c>
      <c r="P1157">
        <v>0.98856880000000003</v>
      </c>
      <c r="Q1157">
        <v>6.8326639999999996E-3</v>
      </c>
      <c r="R1157">
        <v>0.15061620000000001</v>
      </c>
      <c r="S1157">
        <v>3.0646969999999998</v>
      </c>
      <c r="T1157">
        <v>-5.7892560000000003E-2</v>
      </c>
      <c r="U1157">
        <v>-0.19604489999999999</v>
      </c>
      <c r="V1157">
        <v>-0.10861179999999999</v>
      </c>
      <c r="W1157">
        <v>1.532763E-2</v>
      </c>
      <c r="X1157">
        <v>0.99396600000000002</v>
      </c>
      <c r="Y1157">
        <v>0.10602200000000001</v>
      </c>
      <c r="Z1157">
        <v>-1.7995450000000001E-3</v>
      </c>
      <c r="AA1157">
        <v>0.99436219999999997</v>
      </c>
      <c r="AB1157">
        <v>29</v>
      </c>
      <c r="AC1157">
        <v>57.662700000000001</v>
      </c>
      <c r="AD1157">
        <v>-1.1030874694720001</v>
      </c>
      <c r="AE1157">
        <v>-3.7630000000000301</v>
      </c>
      <c r="AF1157">
        <v>6.1995944334770501</v>
      </c>
      <c r="AG1157">
        <v>-1.1030874694720001</v>
      </c>
      <c r="AH1157">
        <v>57.430652919847397</v>
      </c>
      <c r="AI1157">
        <v>91.094007381767298</v>
      </c>
      <c r="AJ1157">
        <v>83.838823264265102</v>
      </c>
      <c r="AK1157">
        <v>57.774835940094903</v>
      </c>
    </row>
    <row r="1158" spans="1:37" x14ac:dyDescent="0.2">
      <c r="A1158" t="str">
        <f>"20200111155521189"</f>
        <v>20200111155521189</v>
      </c>
      <c r="B1158" t="str">
        <f>"1578729321183349"</f>
        <v>1578729321183349</v>
      </c>
      <c r="C1158" t="s">
        <v>37</v>
      </c>
      <c r="D1158">
        <v>4.116892</v>
      </c>
      <c r="E1158">
        <v>0.58269759999999904</v>
      </c>
      <c r="F1158" t="s">
        <v>42</v>
      </c>
      <c r="G1158">
        <v>-200.97020000000001</v>
      </c>
      <c r="H1158" s="1">
        <v>-2.3051109999999998E-6</v>
      </c>
      <c r="I1158">
        <v>363.09100000000001</v>
      </c>
      <c r="J1158">
        <v>-271.73149999999998</v>
      </c>
      <c r="K1158">
        <v>1.103181</v>
      </c>
      <c r="L1158">
        <v>367.71069999999997</v>
      </c>
      <c r="M1158">
        <v>0.99906550000000005</v>
      </c>
      <c r="N1158">
        <v>0</v>
      </c>
      <c r="O1158">
        <v>4.2357869999999999E-2</v>
      </c>
      <c r="P1158">
        <v>0.98855459999999995</v>
      </c>
      <c r="Q1158">
        <v>6.6800459999999898E-3</v>
      </c>
      <c r="R1158">
        <v>0.15071579999999901</v>
      </c>
      <c r="S1158">
        <v>3.0653990000000002</v>
      </c>
      <c r="T1158">
        <v>-4.7685499999999999E-2</v>
      </c>
      <c r="U1158">
        <v>-0.19943239999999901</v>
      </c>
      <c r="V1158">
        <v>-0.10870539999999899</v>
      </c>
      <c r="W1158">
        <v>1.522512E-2</v>
      </c>
      <c r="X1158">
        <v>0.99395739999999999</v>
      </c>
      <c r="Y1158">
        <v>0.10711569999999999</v>
      </c>
      <c r="Z1158">
        <v>-1.490508E-3</v>
      </c>
      <c r="AA1158">
        <v>0.9942455</v>
      </c>
      <c r="AB1158">
        <v>29</v>
      </c>
      <c r="AC1158">
        <v>70.761299999999906</v>
      </c>
      <c r="AD1158">
        <v>-1.103183305111</v>
      </c>
      <c r="AE1158">
        <v>-4.6196999999999599</v>
      </c>
      <c r="AF1158">
        <v>7.6111202177986703</v>
      </c>
      <c r="AG1158">
        <v>-1.103183305111</v>
      </c>
      <c r="AH1158">
        <v>70.485040337304795</v>
      </c>
      <c r="AI1158">
        <v>90.891499275250098</v>
      </c>
      <c r="AJ1158">
        <v>83.836963302697598</v>
      </c>
      <c r="AK1158">
        <v>70.9033643470177</v>
      </c>
    </row>
    <row r="1159" spans="1:37" x14ac:dyDescent="0.2">
      <c r="A1159" t="str">
        <f>"20200111155521227"</f>
        <v>20200111155521227</v>
      </c>
      <c r="B1159" t="str">
        <f>"1578729321223369"</f>
        <v>1578729321223369</v>
      </c>
      <c r="C1159" t="s">
        <v>37</v>
      </c>
      <c r="D1159">
        <v>4.2242930000000003</v>
      </c>
      <c r="E1159">
        <v>0.57878799999999997</v>
      </c>
      <c r="F1159" t="s">
        <v>42</v>
      </c>
      <c r="G1159">
        <v>-201.47659999999999</v>
      </c>
      <c r="H1159" s="1">
        <v>-2.5894179999999998E-6</v>
      </c>
      <c r="I1159">
        <v>363.14909999999998</v>
      </c>
      <c r="J1159">
        <v>-271.24130000000002</v>
      </c>
      <c r="K1159">
        <v>1.103456</v>
      </c>
      <c r="L1159">
        <v>367.73149999999998</v>
      </c>
      <c r="M1159">
        <v>0.99906399999999995</v>
      </c>
      <c r="N1159">
        <v>0</v>
      </c>
      <c r="O1159">
        <v>4.2362190000000001E-2</v>
      </c>
      <c r="P1159">
        <v>0.9882029</v>
      </c>
      <c r="Q1159">
        <v>5.8491219999999896E-3</v>
      </c>
      <c r="R1159">
        <v>0.15303919999999999</v>
      </c>
      <c r="S1159">
        <v>3.0654300000000001</v>
      </c>
      <c r="T1159">
        <v>-4.8135160000000003E-2</v>
      </c>
      <c r="U1159">
        <v>-0.19903560000000001</v>
      </c>
      <c r="V1159">
        <v>-0.1110376</v>
      </c>
      <c r="W1159">
        <v>1.454952E-2</v>
      </c>
      <c r="X1159">
        <v>0.99370970000000003</v>
      </c>
      <c r="Y1159">
        <v>0.106991</v>
      </c>
      <c r="Z1159">
        <v>-1.5036419999999999E-3</v>
      </c>
      <c r="AA1159">
        <v>0.99425889999999995</v>
      </c>
      <c r="AB1159">
        <v>29</v>
      </c>
      <c r="AC1159">
        <v>69.764700000000005</v>
      </c>
      <c r="AD1159">
        <v>-1.103458589418</v>
      </c>
      <c r="AE1159">
        <v>-4.5823999999999998</v>
      </c>
      <c r="AF1159">
        <v>7.53190859565927</v>
      </c>
      <c r="AG1159">
        <v>-1.103458589418</v>
      </c>
      <c r="AH1159">
        <v>69.490630855242898</v>
      </c>
      <c r="AI1159">
        <v>90.904440918951593</v>
      </c>
      <c r="AJ1159">
        <v>83.814008163041805</v>
      </c>
      <c r="AK1159">
        <v>69.906330504551406</v>
      </c>
    </row>
    <row r="1160" spans="1:37" x14ac:dyDescent="0.2">
      <c r="A1160" t="str">
        <f>"20200111155521240"</f>
        <v>20200111155521240</v>
      </c>
      <c r="B1160" t="str">
        <f>"1578729321233128"</f>
        <v>1578729321233128</v>
      </c>
      <c r="C1160" t="s">
        <v>37</v>
      </c>
      <c r="D1160">
        <v>4.2117610000000001</v>
      </c>
      <c r="E1160">
        <v>0.57763949999999997</v>
      </c>
      <c r="F1160" t="s">
        <v>38</v>
      </c>
      <c r="G1160">
        <v>-212.7278</v>
      </c>
      <c r="H1160" s="1">
        <v>-3.9827050000000004E-6</v>
      </c>
      <c r="I1160">
        <v>364.65190000000001</v>
      </c>
      <c r="J1160">
        <v>-271.07769999999999</v>
      </c>
      <c r="K1160">
        <v>1.1035360000000001</v>
      </c>
      <c r="L1160">
        <v>367.73840000000001</v>
      </c>
      <c r="M1160">
        <v>0.99906379999999995</v>
      </c>
      <c r="N1160">
        <v>0</v>
      </c>
      <c r="O1160">
        <v>4.2358119999999999E-2</v>
      </c>
      <c r="P1160">
        <v>0.98810569999999898</v>
      </c>
      <c r="Q1160">
        <v>6.008551E-3</v>
      </c>
      <c r="R1160">
        <v>0.15365989999999999</v>
      </c>
      <c r="S1160">
        <v>3.061096</v>
      </c>
      <c r="T1160">
        <v>-5.7726739999999999E-2</v>
      </c>
      <c r="U1160">
        <v>-0.1611023</v>
      </c>
      <c r="V1160">
        <v>-0.111665</v>
      </c>
      <c r="W1160">
        <v>1.475692E-2</v>
      </c>
      <c r="X1160">
        <v>0.99363630000000003</v>
      </c>
      <c r="Y1160">
        <v>9.4785960000000002E-2</v>
      </c>
      <c r="Z1160">
        <v>-1.691297E-3</v>
      </c>
      <c r="AA1160">
        <v>0.99549619999999905</v>
      </c>
      <c r="AB1160">
        <v>29</v>
      </c>
      <c r="AC1160">
        <v>58.349899999999899</v>
      </c>
      <c r="AD1160">
        <v>-1.1035399827050001</v>
      </c>
      <c r="AE1160">
        <v>-3.0865</v>
      </c>
      <c r="AF1160">
        <v>5.5534364260751801</v>
      </c>
      <c r="AG1160">
        <v>-1.1035399827050001</v>
      </c>
      <c r="AH1160">
        <v>58.146043353107999</v>
      </c>
      <c r="AI1160">
        <v>91.082348368899702</v>
      </c>
      <c r="AJ1160">
        <v>84.544319411880494</v>
      </c>
      <c r="AK1160">
        <v>58.421064816155202</v>
      </c>
    </row>
    <row r="1161" spans="1:37" x14ac:dyDescent="0.2">
      <c r="A1161" t="str">
        <f>"20200111155521254"</f>
        <v>20200111155521254</v>
      </c>
      <c r="B1161" t="str">
        <f>"1578729321243865"</f>
        <v>1578729321243865</v>
      </c>
      <c r="C1161" t="s">
        <v>37</v>
      </c>
      <c r="D1161">
        <v>4.2408390000000002</v>
      </c>
      <c r="E1161">
        <v>0.57687739999999998</v>
      </c>
      <c r="F1161" t="s">
        <v>38</v>
      </c>
      <c r="G1161">
        <v>-213.17619999999999</v>
      </c>
      <c r="H1161" s="1">
        <v>-3.7464190000000001E-6</v>
      </c>
      <c r="I1161">
        <v>364.89940000000001</v>
      </c>
      <c r="J1161">
        <v>-270.89580000000001</v>
      </c>
      <c r="K1161">
        <v>1.1036090000000001</v>
      </c>
      <c r="L1161">
        <v>367.74619999999999</v>
      </c>
      <c r="M1161">
        <v>0.99906379999999995</v>
      </c>
      <c r="N1161">
        <v>0</v>
      </c>
      <c r="O1161">
        <v>4.2346160000000001E-2</v>
      </c>
      <c r="P1161">
        <v>0.98802440000000002</v>
      </c>
      <c r="Q1161">
        <v>6.3655609999999996E-3</v>
      </c>
      <c r="R1161">
        <v>0.15416659999999999</v>
      </c>
      <c r="S1161">
        <v>3.0597840000000001</v>
      </c>
      <c r="T1161">
        <v>-5.8316109999999997E-2</v>
      </c>
      <c r="U1161">
        <v>-0.1500244</v>
      </c>
      <c r="V1161">
        <v>-0.112187</v>
      </c>
      <c r="W1161">
        <v>1.5165049999999999E-2</v>
      </c>
      <c r="X1161">
        <v>0.99357139999999999</v>
      </c>
      <c r="Y1161">
        <v>9.1201080000000004E-2</v>
      </c>
      <c r="Z1161">
        <v>-1.675069E-3</v>
      </c>
      <c r="AA1161">
        <v>0.99583109999999997</v>
      </c>
      <c r="AB1161">
        <v>29</v>
      </c>
      <c r="AC1161">
        <v>57.7196</v>
      </c>
      <c r="AD1161">
        <v>-1.103612746419</v>
      </c>
      <c r="AE1161">
        <v>-2.8467999999999698</v>
      </c>
      <c r="AF1161">
        <v>5.2866173516898298</v>
      </c>
      <c r="AG1161">
        <v>-1.103612746419</v>
      </c>
      <c r="AH1161">
        <v>57.526286001266598</v>
      </c>
      <c r="AI1161">
        <v>91.094445077111203</v>
      </c>
      <c r="AJ1161">
        <v>84.749314335203493</v>
      </c>
      <c r="AK1161">
        <v>57.7792338579941</v>
      </c>
    </row>
    <row r="1162" spans="1:37" x14ac:dyDescent="0.2">
      <c r="A1162" t="str">
        <f>"20200111155521270"</f>
        <v>20200111155521270</v>
      </c>
      <c r="B1162" t="str">
        <f>"1578729321263386"</f>
        <v>1578729321263386</v>
      </c>
      <c r="C1162" t="s">
        <v>37</v>
      </c>
      <c r="D1162">
        <v>4.4071049999999996</v>
      </c>
      <c r="E1162">
        <v>0.57738519999999904</v>
      </c>
      <c r="F1162" t="s">
        <v>38</v>
      </c>
      <c r="G1162">
        <v>-215.2157</v>
      </c>
      <c r="H1162" s="1">
        <v>-2.8260889999999998E-6</v>
      </c>
      <c r="I1162">
        <v>365.15530000000001</v>
      </c>
      <c r="J1162">
        <v>-270.7072</v>
      </c>
      <c r="K1162">
        <v>1.103675</v>
      </c>
      <c r="L1162">
        <v>367.75409999999999</v>
      </c>
      <c r="M1162">
        <v>0.99906430000000002</v>
      </c>
      <c r="N1162">
        <v>0</v>
      </c>
      <c r="O1162">
        <v>4.232673E-2</v>
      </c>
      <c r="P1162">
        <v>0.98796340000000005</v>
      </c>
      <c r="Q1162">
        <v>6.4895939999999996E-3</v>
      </c>
      <c r="R1162">
        <v>0.15455239999999901</v>
      </c>
      <c r="S1162">
        <v>3.0589599999999999</v>
      </c>
      <c r="T1162">
        <v>-6.0630320000000001E-2</v>
      </c>
      <c r="U1162">
        <v>-0.14233399999999999</v>
      </c>
      <c r="V1162">
        <v>-0.1125941</v>
      </c>
      <c r="W1162">
        <v>1.533908E-2</v>
      </c>
      <c r="X1162">
        <v>0.99352260000000003</v>
      </c>
      <c r="Y1162">
        <v>8.8695220000000005E-2</v>
      </c>
      <c r="Z1162">
        <v>-1.7168889999999899E-3</v>
      </c>
      <c r="AA1162">
        <v>0.99605730000000003</v>
      </c>
      <c r="AB1162">
        <v>29</v>
      </c>
      <c r="AC1162">
        <v>55.491500000000002</v>
      </c>
      <c r="AD1162">
        <v>-1.1036778260889999</v>
      </c>
      <c r="AE1162">
        <v>-2.5987999999999798</v>
      </c>
      <c r="AF1162">
        <v>4.9433861037205098</v>
      </c>
      <c r="AG1162">
        <v>-1.1036778260889999</v>
      </c>
      <c r="AH1162">
        <v>55.309931293344803</v>
      </c>
      <c r="AI1162">
        <v>91.138615142185301</v>
      </c>
      <c r="AJ1162">
        <v>84.892696869054106</v>
      </c>
      <c r="AK1162">
        <v>55.541369001752003</v>
      </c>
    </row>
    <row r="1163" spans="1:37" x14ac:dyDescent="0.2">
      <c r="A1163" t="str">
        <f>"20200111155521282"</f>
        <v>20200111155521282</v>
      </c>
      <c r="B1163" t="str">
        <f>"1578729321273146"</f>
        <v>1578729321273146</v>
      </c>
      <c r="C1163" t="s">
        <v>37</v>
      </c>
      <c r="D1163">
        <v>4.2522320000000002</v>
      </c>
      <c r="E1163">
        <v>0.5770535</v>
      </c>
      <c r="F1163" t="s">
        <v>38</v>
      </c>
      <c r="G1163">
        <v>-213.18299999999999</v>
      </c>
      <c r="H1163" s="1">
        <v>-3.7206709999999899E-6</v>
      </c>
      <c r="I1163">
        <v>365.02809999999999</v>
      </c>
      <c r="J1163">
        <v>-270.53030000000001</v>
      </c>
      <c r="K1163">
        <v>1.103726</v>
      </c>
      <c r="L1163">
        <v>367.76159999999999</v>
      </c>
      <c r="M1163">
        <v>0.99906479999999998</v>
      </c>
      <c r="N1163">
        <v>0</v>
      </c>
      <c r="O1163">
        <v>4.2302480000000003E-2</v>
      </c>
      <c r="P1163">
        <v>0.98788790000000004</v>
      </c>
      <c r="Q1163">
        <v>6.7836260000000001E-3</v>
      </c>
      <c r="R1163">
        <v>0.1550213</v>
      </c>
      <c r="S1163">
        <v>3.059631</v>
      </c>
      <c r="T1163">
        <v>-5.8703060000000001E-2</v>
      </c>
      <c r="U1163">
        <v>-0.14498900000000001</v>
      </c>
      <c r="V1163">
        <v>-0.1130895</v>
      </c>
      <c r="W1163">
        <v>1.5678069999999999E-2</v>
      </c>
      <c r="X1163">
        <v>0.99346109999999899</v>
      </c>
      <c r="Y1163">
        <v>8.9524779999999998E-2</v>
      </c>
      <c r="Z1163">
        <v>-1.669418E-3</v>
      </c>
      <c r="AA1163">
        <v>0.99598319999999996</v>
      </c>
      <c r="AB1163">
        <v>29</v>
      </c>
      <c r="AC1163">
        <v>57.347299999999997</v>
      </c>
      <c r="AD1163">
        <v>-1.1037297206709999</v>
      </c>
      <c r="AE1163">
        <v>-2.73349999999999</v>
      </c>
      <c r="AF1163">
        <v>5.1551777210127003</v>
      </c>
      <c r="AG1163">
        <v>-1.1037297206709999</v>
      </c>
      <c r="AH1163">
        <v>57.1591978044857</v>
      </c>
      <c r="AI1163">
        <v>91.101758819986003</v>
      </c>
      <c r="AJ1163">
        <v>84.846447167123202</v>
      </c>
      <c r="AK1163">
        <v>57.401811559251698</v>
      </c>
    </row>
    <row r="1164" spans="1:37" x14ac:dyDescent="0.2">
      <c r="A1164" t="str">
        <f>"20200111155521295"</f>
        <v>20200111155521295</v>
      </c>
      <c r="B1164" t="str">
        <f>"1578729321283882"</f>
        <v>1578729321283882</v>
      </c>
      <c r="C1164" t="s">
        <v>37</v>
      </c>
      <c r="D1164">
        <v>4.2354029999999998</v>
      </c>
      <c r="E1164">
        <v>0.57684019999999903</v>
      </c>
      <c r="F1164" t="s">
        <v>38</v>
      </c>
      <c r="G1164">
        <v>-213.7328</v>
      </c>
      <c r="H1164" s="1">
        <v>-3.463962E-6</v>
      </c>
      <c r="I1164">
        <v>365.14569999999998</v>
      </c>
      <c r="J1164">
        <v>-270.36489999999998</v>
      </c>
      <c r="K1164">
        <v>1.1037669999999999</v>
      </c>
      <c r="L1164">
        <v>367.76859999999999</v>
      </c>
      <c r="M1164">
        <v>0.9990658</v>
      </c>
      <c r="N1164">
        <v>0</v>
      </c>
      <c r="O1164">
        <v>4.2272339999999999E-2</v>
      </c>
      <c r="P1164">
        <v>0.98780140000000005</v>
      </c>
      <c r="Q1164">
        <v>7.2694519999999896E-3</v>
      </c>
      <c r="R1164">
        <v>0.1555503</v>
      </c>
      <c r="S1164">
        <v>3.0592959999999998</v>
      </c>
      <c r="T1164">
        <v>-5.9450389999999999E-2</v>
      </c>
      <c r="U1164">
        <v>-0.14089969999999999</v>
      </c>
      <c r="V1164">
        <v>-0.1136513</v>
      </c>
      <c r="W1164">
        <v>1.6202999999999999E-2</v>
      </c>
      <c r="X1164">
        <v>0.99338859999999995</v>
      </c>
      <c r="Y1164">
        <v>8.8171050000000001E-2</v>
      </c>
      <c r="Z1164">
        <v>-1.6771689999999901E-3</v>
      </c>
      <c r="AA1164">
        <v>0.99610390000000004</v>
      </c>
      <c r="AB1164">
        <v>29</v>
      </c>
      <c r="AC1164">
        <v>56.632099999999902</v>
      </c>
      <c r="AD1164">
        <v>-1.1037704639619901</v>
      </c>
      <c r="AE1164">
        <v>-2.6229000000000098</v>
      </c>
      <c r="AF1164">
        <v>5.0127230124539102</v>
      </c>
      <c r="AG1164">
        <v>-1.1037704639619901</v>
      </c>
      <c r="AH1164">
        <v>56.449196000146699</v>
      </c>
      <c r="AI1164">
        <v>91.115791695747006</v>
      </c>
      <c r="AJ1164">
        <v>84.925410562139206</v>
      </c>
      <c r="AK1164">
        <v>56.682073271005898</v>
      </c>
    </row>
    <row r="1165" spans="1:37" x14ac:dyDescent="0.2">
      <c r="A1165" t="str">
        <f>"20200111155521310"</f>
        <v>20200111155521310</v>
      </c>
      <c r="B1165" t="str">
        <f>"1578729321303401"</f>
        <v>1578729321303401</v>
      </c>
      <c r="C1165" t="s">
        <v>37</v>
      </c>
      <c r="D1165">
        <v>4.3063219999999998</v>
      </c>
      <c r="E1165">
        <v>0.57716040000000002</v>
      </c>
      <c r="F1165" t="s">
        <v>38</v>
      </c>
      <c r="G1165">
        <v>-211.94390000000001</v>
      </c>
      <c r="H1165" s="1">
        <v>-4.2326830000000003E-6</v>
      </c>
      <c r="I1165">
        <v>365.13850000000002</v>
      </c>
      <c r="J1165">
        <v>-270.17919999999998</v>
      </c>
      <c r="K1165">
        <v>1.1038030000000001</v>
      </c>
      <c r="L1165">
        <v>367.7765</v>
      </c>
      <c r="M1165">
        <v>0.99906740000000005</v>
      </c>
      <c r="N1165">
        <v>0</v>
      </c>
      <c r="O1165">
        <v>4.2228990000000001E-2</v>
      </c>
      <c r="P1165">
        <v>0.98776039999999998</v>
      </c>
      <c r="Q1165">
        <v>7.5481189999999998E-3</v>
      </c>
      <c r="R1165">
        <v>0.15579749999999901</v>
      </c>
      <c r="S1165">
        <v>3.0591740000000001</v>
      </c>
      <c r="T1165">
        <v>-5.779815E-2</v>
      </c>
      <c r="U1165">
        <v>-0.13772579999999901</v>
      </c>
      <c r="V1165">
        <v>-0.1139425</v>
      </c>
      <c r="W1165">
        <v>1.6524339999999998E-2</v>
      </c>
      <c r="X1165">
        <v>0.99334990000000001</v>
      </c>
      <c r="Y1165">
        <v>8.7099839999999998E-2</v>
      </c>
      <c r="Z1165">
        <v>-1.6197329999999999E-3</v>
      </c>
      <c r="AA1165">
        <v>0.99619829999999998</v>
      </c>
      <c r="AB1165">
        <v>29</v>
      </c>
      <c r="AC1165">
        <v>58.235299999999903</v>
      </c>
      <c r="AD1165">
        <v>-1.103807232683</v>
      </c>
      <c r="AE1165">
        <v>-2.6379999999999701</v>
      </c>
      <c r="AF1165">
        <v>5.0931381267280802</v>
      </c>
      <c r="AG1165">
        <v>-1.103807232683</v>
      </c>
      <c r="AH1165">
        <v>58.051129904203997</v>
      </c>
      <c r="AI1165">
        <v>91.085145988176706</v>
      </c>
      <c r="AJ1165">
        <v>84.985971684105806</v>
      </c>
      <c r="AK1165">
        <v>58.284578831279397</v>
      </c>
    </row>
    <row r="1166" spans="1:37" x14ac:dyDescent="0.2">
      <c r="A1166" t="str">
        <f>"20200111155521322"</f>
        <v>20200111155521322</v>
      </c>
      <c r="B1166" t="str">
        <f>"1578729321313162"</f>
        <v>1578729321313162</v>
      </c>
      <c r="C1166" t="s">
        <v>37</v>
      </c>
      <c r="D1166">
        <v>4.2034589999999996</v>
      </c>
      <c r="E1166">
        <v>0.57704089999999997</v>
      </c>
      <c r="F1166" t="s">
        <v>42</v>
      </c>
      <c r="G1166">
        <v>-208.6979</v>
      </c>
      <c r="H1166" s="1">
        <v>-5.5756259999999999E-6</v>
      </c>
      <c r="I1166">
        <v>364.96539999999999</v>
      </c>
      <c r="J1166">
        <v>-270.00869999999998</v>
      </c>
      <c r="K1166">
        <v>1.1038330000000001</v>
      </c>
      <c r="L1166">
        <v>367.78359999999998</v>
      </c>
      <c r="M1166">
        <v>0.99906890000000004</v>
      </c>
      <c r="N1166">
        <v>0</v>
      </c>
      <c r="O1166">
        <v>4.2182799999999999E-2</v>
      </c>
      <c r="P1166">
        <v>0.98775429999999997</v>
      </c>
      <c r="Q1166">
        <v>7.8585640000000002E-3</v>
      </c>
      <c r="R1166">
        <v>0.1558194</v>
      </c>
      <c r="S1166">
        <v>3.059631</v>
      </c>
      <c r="T1166">
        <v>-5.4931279999999999E-2</v>
      </c>
      <c r="U1166">
        <v>-0.13989260000000001</v>
      </c>
      <c r="V1166">
        <v>-0.114009999999999</v>
      </c>
      <c r="W1166">
        <v>1.6872390000000001E-2</v>
      </c>
      <c r="X1166">
        <v>0.99333629999999995</v>
      </c>
      <c r="Y1166">
        <v>8.7753269999999994E-2</v>
      </c>
      <c r="Z1166">
        <v>-1.5441879999999999E-3</v>
      </c>
      <c r="AA1166">
        <v>0.99614099999999905</v>
      </c>
      <c r="AB1166">
        <v>29</v>
      </c>
      <c r="AC1166">
        <v>61.310799999999901</v>
      </c>
      <c r="AD1166">
        <v>-1.1038385756260001</v>
      </c>
      <c r="AE1166">
        <v>-2.8181999999999898</v>
      </c>
      <c r="AF1166">
        <v>5.4003117424290803</v>
      </c>
      <c r="AG1166">
        <v>-1.1038385756260001</v>
      </c>
      <c r="AH1166">
        <v>61.117569843879302</v>
      </c>
      <c r="AI1166">
        <v>91.0306863035173</v>
      </c>
      <c r="AJ1166">
        <v>84.950493251396693</v>
      </c>
      <c r="AK1166">
        <v>61.365618795363901</v>
      </c>
    </row>
    <row r="1167" spans="1:37" x14ac:dyDescent="0.2">
      <c r="A1167" t="str">
        <f>"20200111155521334"</f>
        <v>20200111155521334</v>
      </c>
      <c r="B1167" t="str">
        <f>"1578729321323897"</f>
        <v>1578729321323897</v>
      </c>
      <c r="C1167" t="s">
        <v>37</v>
      </c>
      <c r="D1167">
        <v>4.1729310000000002</v>
      </c>
      <c r="E1167">
        <v>0.57695689999999999</v>
      </c>
      <c r="F1167" t="s">
        <v>42</v>
      </c>
      <c r="G1167">
        <v>-206.88800000000001</v>
      </c>
      <c r="H1167" s="1">
        <v>-4.8744089999999999E-6</v>
      </c>
      <c r="I1167">
        <v>364.92579999999998</v>
      </c>
      <c r="J1167">
        <v>-269.85289999999998</v>
      </c>
      <c r="K1167">
        <v>1.1038559999999999</v>
      </c>
      <c r="L1167">
        <v>367.7901</v>
      </c>
      <c r="M1167">
        <v>0.99907080000000004</v>
      </c>
      <c r="N1167">
        <v>0</v>
      </c>
      <c r="O1167">
        <v>4.2133360000000002E-2</v>
      </c>
      <c r="P1167">
        <v>0.98775759999999901</v>
      </c>
      <c r="Q1167">
        <v>8.3064939999999993E-3</v>
      </c>
      <c r="R1167">
        <v>0.15577579999999999</v>
      </c>
      <c r="S1167">
        <v>3.0594790000000001</v>
      </c>
      <c r="T1167">
        <v>-5.3503389999999998E-2</v>
      </c>
      <c r="U1167">
        <v>-0.13851930000000001</v>
      </c>
      <c r="V1167">
        <v>-0.1140148</v>
      </c>
      <c r="W1167">
        <v>1.7355349999999999E-2</v>
      </c>
      <c r="X1167">
        <v>0.99332739999999997</v>
      </c>
      <c r="Y1167">
        <v>8.7261179999999994E-2</v>
      </c>
      <c r="Z1167">
        <v>-1.498978E-3</v>
      </c>
      <c r="AA1167">
        <v>0.99618430000000002</v>
      </c>
      <c r="AB1167">
        <v>29</v>
      </c>
      <c r="AC1167">
        <v>62.964899999999901</v>
      </c>
      <c r="AD1167">
        <v>-1.1038608744089999</v>
      </c>
      <c r="AE1167">
        <v>-2.8643000000000098</v>
      </c>
      <c r="AF1167">
        <v>5.5130973302593196</v>
      </c>
      <c r="AG1167">
        <v>-1.1038608744089999</v>
      </c>
      <c r="AH1167">
        <v>62.769042587970397</v>
      </c>
      <c r="AI1167">
        <v>91.003640828635696</v>
      </c>
      <c r="AJ1167">
        <v>84.980508370344893</v>
      </c>
      <c r="AK1167">
        <v>63.020357491951799</v>
      </c>
    </row>
    <row r="1168" spans="1:37" x14ac:dyDescent="0.2">
      <c r="A1168" t="str">
        <f>"20200111155521347"</f>
        <v>20200111155521347</v>
      </c>
      <c r="B1168" t="str">
        <f>"1578729321343519"</f>
        <v>1578729321343519</v>
      </c>
      <c r="C1168" t="s">
        <v>37</v>
      </c>
      <c r="D1168">
        <v>4.3578209999999897</v>
      </c>
      <c r="E1168">
        <v>0.57669040000000005</v>
      </c>
      <c r="F1168" t="s">
        <v>42</v>
      </c>
      <c r="G1168">
        <v>-204.83940000000001</v>
      </c>
      <c r="H1168" s="1">
        <v>-3.9286909999999997E-6</v>
      </c>
      <c r="I1168">
        <v>364.86020000000002</v>
      </c>
      <c r="J1168">
        <v>-269.70080000000002</v>
      </c>
      <c r="K1168">
        <v>1.1038760000000001</v>
      </c>
      <c r="L1168">
        <v>367.79649999999998</v>
      </c>
      <c r="M1168">
        <v>0.99907279999999998</v>
      </c>
      <c r="N1168">
        <v>0</v>
      </c>
      <c r="O1168">
        <v>4.2077669999999998E-2</v>
      </c>
      <c r="P1168">
        <v>0.98773089999999997</v>
      </c>
      <c r="Q1168">
        <v>8.6727920000000003E-3</v>
      </c>
      <c r="R1168">
        <v>0.15592539999999999</v>
      </c>
      <c r="S1168">
        <v>3.059418</v>
      </c>
      <c r="T1168">
        <v>-5.1945690000000003E-2</v>
      </c>
      <c r="U1168">
        <v>-0.13787839999999901</v>
      </c>
      <c r="V1168">
        <v>-0.114220499999999</v>
      </c>
      <c r="W1168">
        <v>1.7754880000000001E-2</v>
      </c>
      <c r="X1168">
        <v>0.99329669999999903</v>
      </c>
      <c r="Y1168">
        <v>8.6999489999999999E-2</v>
      </c>
      <c r="Z1168">
        <v>-1.4522139999999901E-3</v>
      </c>
      <c r="AA1168">
        <v>0.99620730000000002</v>
      </c>
      <c r="AB1168">
        <v>29</v>
      </c>
      <c r="AC1168">
        <v>64.861400000000003</v>
      </c>
      <c r="AD1168">
        <v>-1.1038799286909999</v>
      </c>
      <c r="AE1168">
        <v>-2.9362999999999602</v>
      </c>
      <c r="AF1168">
        <v>5.6613926372614101</v>
      </c>
      <c r="AG1168">
        <v>-1.1038799286909999</v>
      </c>
      <c r="AH1168">
        <v>64.6617016134268</v>
      </c>
      <c r="AI1168">
        <v>90.974310171104094</v>
      </c>
      <c r="AJ1168">
        <v>84.996283181812203</v>
      </c>
      <c r="AK1168">
        <v>64.918453255095699</v>
      </c>
    </row>
    <row r="1169" spans="1:37" x14ac:dyDescent="0.2">
      <c r="A1169" t="str">
        <f>"20200111155521359"</f>
        <v>20200111155521359</v>
      </c>
      <c r="B1169" t="str">
        <f>"1578729321353280"</f>
        <v>1578729321353280</v>
      </c>
      <c r="C1169" t="s">
        <v>37</v>
      </c>
      <c r="D1169">
        <v>4.5632820000000001</v>
      </c>
      <c r="E1169">
        <v>0.57731149999999998</v>
      </c>
      <c r="F1169" t="s">
        <v>42</v>
      </c>
      <c r="G1169">
        <v>-203.22819999999999</v>
      </c>
      <c r="H1169" s="1">
        <v>-3.1196620000000002E-6</v>
      </c>
      <c r="I1169">
        <v>364.85219999999998</v>
      </c>
      <c r="J1169">
        <v>-269.54000000000002</v>
      </c>
      <c r="K1169">
        <v>1.1038969999999999</v>
      </c>
      <c r="L1169">
        <v>367.8032</v>
      </c>
      <c r="M1169">
        <v>0.99907520000000005</v>
      </c>
      <c r="N1169">
        <v>0</v>
      </c>
      <c r="O1169">
        <v>4.2015049999999998E-2</v>
      </c>
      <c r="P1169">
        <v>0.98770530000000001</v>
      </c>
      <c r="Q1169">
        <v>9.3737899999999999E-3</v>
      </c>
      <c r="R1169">
        <v>0.15604670000000001</v>
      </c>
      <c r="S1169">
        <v>3.0590820000000001</v>
      </c>
      <c r="T1169">
        <v>-5.08008E-2</v>
      </c>
      <c r="U1169">
        <v>-0.13549800000000001</v>
      </c>
      <c r="V1169">
        <v>-0.1144046</v>
      </c>
      <c r="W1169">
        <v>1.8491E-2</v>
      </c>
      <c r="X1169">
        <v>0.99326209999999904</v>
      </c>
      <c r="Y1169">
        <v>8.6169239999999994E-2</v>
      </c>
      <c r="Z1169">
        <v>-1.4124599999999999E-3</v>
      </c>
      <c r="AA1169">
        <v>0.99627949999999998</v>
      </c>
      <c r="AB1169">
        <v>29</v>
      </c>
      <c r="AC1169">
        <v>66.311800000000005</v>
      </c>
      <c r="AD1169">
        <v>-1.103900119662</v>
      </c>
      <c r="AE1169">
        <v>-2.9510000000000201</v>
      </c>
      <c r="AF1169">
        <v>5.7330182454685401</v>
      </c>
      <c r="AG1169">
        <v>-1.103900119662</v>
      </c>
      <c r="AH1169">
        <v>66.110963854935406</v>
      </c>
      <c r="AI1169">
        <v>90.953041962058705</v>
      </c>
      <c r="AJ1169">
        <v>85.0438166706559</v>
      </c>
      <c r="AK1169">
        <v>66.368257740471407</v>
      </c>
    </row>
    <row r="1170" spans="1:37" x14ac:dyDescent="0.2">
      <c r="A1170" t="str">
        <f>"20200111155521372"</f>
        <v>20200111155521372</v>
      </c>
      <c r="B1170" t="str">
        <f>"1578729321364015"</f>
        <v>1578729321364015</v>
      </c>
      <c r="C1170" t="s">
        <v>37</v>
      </c>
      <c r="D1170">
        <v>4.2025040000000002</v>
      </c>
      <c r="E1170">
        <v>0.57723829999999998</v>
      </c>
      <c r="F1170" t="s">
        <v>42</v>
      </c>
      <c r="G1170">
        <v>-197.99250000000001</v>
      </c>
      <c r="H1170" s="1">
        <v>-8.9216710000000003E-6</v>
      </c>
      <c r="I1170">
        <v>364.53219999999999</v>
      </c>
      <c r="J1170">
        <v>-269.36810000000003</v>
      </c>
      <c r="K1170">
        <v>1.10392</v>
      </c>
      <c r="L1170">
        <v>367.81040000000002</v>
      </c>
      <c r="M1170">
        <v>0.99907809999999897</v>
      </c>
      <c r="N1170">
        <v>0</v>
      </c>
      <c r="O1170">
        <v>4.1938209999999997E-2</v>
      </c>
      <c r="P1170">
        <v>0.98768480000000003</v>
      </c>
      <c r="Q1170">
        <v>1.032828E-2</v>
      </c>
      <c r="R1170">
        <v>0.15611659999999999</v>
      </c>
      <c r="S1170">
        <v>3.0598749999999999</v>
      </c>
      <c r="T1170">
        <v>-4.7210809999999999E-2</v>
      </c>
      <c r="U1170">
        <v>-0.13989260000000001</v>
      </c>
      <c r="V1170">
        <v>-0.11455119999999901</v>
      </c>
      <c r="W1170">
        <v>1.9479779999999999E-2</v>
      </c>
      <c r="X1170">
        <v>0.99322630000000001</v>
      </c>
      <c r="Y1170">
        <v>8.7511350000000002E-2</v>
      </c>
      <c r="Z1170">
        <v>-1.3214419999999999E-3</v>
      </c>
      <c r="AA1170">
        <v>0.99616269999999996</v>
      </c>
      <c r="AB1170">
        <v>29</v>
      </c>
      <c r="AC1170">
        <v>71.375600000000006</v>
      </c>
      <c r="AD1170">
        <v>-1.103928921671</v>
      </c>
      <c r="AE1170">
        <v>-3.27820000000002</v>
      </c>
      <c r="AF1170">
        <v>6.26731039380741</v>
      </c>
      <c r="AG1170">
        <v>-1.103928921671</v>
      </c>
      <c r="AH1170">
        <v>71.158325200456204</v>
      </c>
      <c r="AI1170">
        <v>90.885371379115995</v>
      </c>
      <c r="AJ1170">
        <v>84.966629604271205</v>
      </c>
      <c r="AK1170">
        <v>71.4423199789194</v>
      </c>
    </row>
    <row r="1171" spans="1:37" x14ac:dyDescent="0.2">
      <c r="A1171" t="str">
        <f>"20200111155521386"</f>
        <v>20200111155521386</v>
      </c>
      <c r="B1171" t="str">
        <f>"1578729321373775"</f>
        <v>1578729321373775</v>
      </c>
      <c r="C1171" t="s">
        <v>37</v>
      </c>
      <c r="D1171">
        <v>4.2654500000000004</v>
      </c>
      <c r="E1171">
        <v>0.57717929999999995</v>
      </c>
      <c r="F1171" t="s">
        <v>42</v>
      </c>
      <c r="G1171">
        <v>-193.43680000000001</v>
      </c>
      <c r="H1171" s="1">
        <v>-7.3135109999999996E-6</v>
      </c>
      <c r="I1171">
        <v>364.35480000000001</v>
      </c>
      <c r="J1171">
        <v>-269.1995</v>
      </c>
      <c r="K1171">
        <v>1.1039399999999999</v>
      </c>
      <c r="L1171">
        <v>367.81740000000002</v>
      </c>
      <c r="M1171">
        <v>0.9990812</v>
      </c>
      <c r="N1171">
        <v>0</v>
      </c>
      <c r="O1171">
        <v>4.185846E-2</v>
      </c>
      <c r="P1171">
        <v>0.98769589999999996</v>
      </c>
      <c r="Q1171">
        <v>1.077377E-2</v>
      </c>
      <c r="R1171">
        <v>0.1560165</v>
      </c>
      <c r="S1171">
        <v>3.0598139999999998</v>
      </c>
      <c r="T1171">
        <v>-4.4485089999999998E-2</v>
      </c>
      <c r="U1171">
        <v>-0.13925170000000001</v>
      </c>
      <c r="V1171">
        <v>-0.1145293</v>
      </c>
      <c r="W1171">
        <v>1.9956999999999999E-2</v>
      </c>
      <c r="X1171">
        <v>0.99321939999999997</v>
      </c>
      <c r="Y1171">
        <v>8.7226289999999998E-2</v>
      </c>
      <c r="Z1171">
        <v>-1.241958E-3</v>
      </c>
      <c r="AA1171">
        <v>0.99618770000000001</v>
      </c>
      <c r="AB1171">
        <v>29</v>
      </c>
      <c r="AC1171">
        <v>75.762699999999995</v>
      </c>
      <c r="AD1171">
        <v>-1.1039473135109901</v>
      </c>
      <c r="AE1171">
        <v>-3.4626000000000001</v>
      </c>
      <c r="AF1171">
        <v>6.6296044444265601</v>
      </c>
      <c r="AG1171">
        <v>-1.1039473135109901</v>
      </c>
      <c r="AH1171">
        <v>75.535342919956506</v>
      </c>
      <c r="AI1171">
        <v>90.834110828261203</v>
      </c>
      <c r="AJ1171">
        <v>84.984103258328702</v>
      </c>
      <c r="AK1171">
        <v>75.833754916896893</v>
      </c>
    </row>
    <row r="1172" spans="1:37" x14ac:dyDescent="0.2">
      <c r="A1172" t="str">
        <f>"20200111155521399"</f>
        <v>20200111155521399</v>
      </c>
      <c r="B1172" t="str">
        <f>"1578729321393296"</f>
        <v>1578729321393296</v>
      </c>
      <c r="C1172" t="s">
        <v>37</v>
      </c>
      <c r="D1172">
        <v>4.26546</v>
      </c>
      <c r="E1172">
        <v>0.57716669999999903</v>
      </c>
      <c r="F1172" t="s">
        <v>42</v>
      </c>
      <c r="G1172">
        <v>-192.4624</v>
      </c>
      <c r="H1172" s="1">
        <v>-6.9759959999999997E-6</v>
      </c>
      <c r="I1172">
        <v>364.32589999999999</v>
      </c>
      <c r="J1172">
        <v>-269.03199999999998</v>
      </c>
      <c r="K1172">
        <v>1.103955</v>
      </c>
      <c r="L1172">
        <v>367.82429999999999</v>
      </c>
      <c r="M1172">
        <v>0.99908430000000004</v>
      </c>
      <c r="N1172">
        <v>0</v>
      </c>
      <c r="O1172">
        <v>4.1775880000000001E-2</v>
      </c>
      <c r="P1172">
        <v>0.98772649999999995</v>
      </c>
      <c r="Q1172">
        <v>1.059425E-2</v>
      </c>
      <c r="R1172">
        <v>0.15583369999999999</v>
      </c>
      <c r="S1172">
        <v>3.0598450000000001</v>
      </c>
      <c r="T1172">
        <v>-4.4019219999999998E-2</v>
      </c>
      <c r="U1172">
        <v>-0.13922119999999999</v>
      </c>
      <c r="V1172">
        <v>-0.1144268</v>
      </c>
      <c r="W1172">
        <v>1.9808249999999999E-2</v>
      </c>
      <c r="X1172">
        <v>0.99323419999999896</v>
      </c>
      <c r="Y1172">
        <v>8.7133879999999997E-2</v>
      </c>
      <c r="Z1172">
        <v>-1.227089E-3</v>
      </c>
      <c r="AA1172">
        <v>0.99619590000000002</v>
      </c>
      <c r="AB1172">
        <v>29</v>
      </c>
      <c r="AC1172">
        <v>76.569599999999895</v>
      </c>
      <c r="AD1172">
        <v>-1.103961975996</v>
      </c>
      <c r="AE1172">
        <v>-3.4984000000000002</v>
      </c>
      <c r="AF1172">
        <v>6.6928562194424002</v>
      </c>
      <c r="AG1172">
        <v>-1.103961975996</v>
      </c>
      <c r="AH1172">
        <v>76.3407585532388</v>
      </c>
      <c r="AI1172">
        <v>90.825329916568094</v>
      </c>
      <c r="AJ1172">
        <v>84.989643154154706</v>
      </c>
      <c r="AK1172">
        <v>76.641532297459193</v>
      </c>
    </row>
    <row r="1173" spans="1:37" x14ac:dyDescent="0.2">
      <c r="A1173" t="str">
        <f>"20200111155521410"</f>
        <v>20200111155521410</v>
      </c>
      <c r="B1173" t="str">
        <f>"1578729321404031"</f>
        <v>1578729321404031</v>
      </c>
      <c r="C1173" t="s">
        <v>37</v>
      </c>
      <c r="D1173">
        <v>4.4879749999999996</v>
      </c>
      <c r="E1173">
        <v>0.57717109999999905</v>
      </c>
      <c r="F1173" t="s">
        <v>42</v>
      </c>
      <c r="G1173">
        <v>-195.19299999999899</v>
      </c>
      <c r="H1173" s="1">
        <v>-7.9144800000000005E-6</v>
      </c>
      <c r="I1173">
        <v>364.4579</v>
      </c>
      <c r="J1173">
        <v>-268.86759999999998</v>
      </c>
      <c r="K1173">
        <v>1.103966</v>
      </c>
      <c r="L1173">
        <v>367.83109999999999</v>
      </c>
      <c r="M1173">
        <v>0.99908750000000002</v>
      </c>
      <c r="N1173">
        <v>0</v>
      </c>
      <c r="O1173">
        <v>4.1690390000000001E-2</v>
      </c>
      <c r="P1173">
        <v>0.98778670000000002</v>
      </c>
      <c r="Q1173">
        <v>1.0837319999999999E-2</v>
      </c>
      <c r="R1173">
        <v>0.15543379999999901</v>
      </c>
      <c r="S1173">
        <v>3.0597840000000001</v>
      </c>
      <c r="T1173">
        <v>-4.5746679999999998E-2</v>
      </c>
      <c r="U1173">
        <v>-0.139495799999999</v>
      </c>
      <c r="V1173">
        <v>-0.1141094</v>
      </c>
      <c r="W1173">
        <v>2.008095E-2</v>
      </c>
      <c r="X1173">
        <v>0.99326519999999996</v>
      </c>
      <c r="Y1173">
        <v>8.713775E-2</v>
      </c>
      <c r="Z1173">
        <v>-1.274014E-3</v>
      </c>
      <c r="AA1173">
        <v>0.99619539999999995</v>
      </c>
      <c r="AB1173">
        <v>29</v>
      </c>
      <c r="AC1173">
        <v>73.674599999999998</v>
      </c>
      <c r="AD1173">
        <v>-1.10397391448</v>
      </c>
      <c r="AE1173">
        <v>-3.37319999999999</v>
      </c>
      <c r="AF1173">
        <v>6.4404789430878804</v>
      </c>
      <c r="AG1173">
        <v>-1.10397391448</v>
      </c>
      <c r="AH1173">
        <v>73.453445777389305</v>
      </c>
      <c r="AI1173">
        <v>90.857775789396101</v>
      </c>
      <c r="AJ1173">
        <v>84.989058124135298</v>
      </c>
      <c r="AK1173">
        <v>73.743523268095103</v>
      </c>
    </row>
    <row r="1174" spans="1:37" x14ac:dyDescent="0.2">
      <c r="A1174" t="str">
        <f>"20200111155521425"</f>
        <v>20200111155521425</v>
      </c>
      <c r="B1174" t="str">
        <f>"1578729321413791"</f>
        <v>1578729321413791</v>
      </c>
      <c r="C1174" t="s">
        <v>37</v>
      </c>
      <c r="D1174">
        <v>4.3147679999999999</v>
      </c>
      <c r="E1174">
        <v>0.57715079999999996</v>
      </c>
      <c r="F1174" t="s">
        <v>42</v>
      </c>
      <c r="G1174">
        <v>-190.64429999999999</v>
      </c>
      <c r="H1174" s="1">
        <v>-6.3529639999999998E-6</v>
      </c>
      <c r="I1174">
        <v>364.22890000000001</v>
      </c>
      <c r="J1174">
        <v>-268.69240000000002</v>
      </c>
      <c r="K1174">
        <v>1.103974</v>
      </c>
      <c r="L1174">
        <v>367.8383</v>
      </c>
      <c r="M1174">
        <v>0.99909119999999996</v>
      </c>
      <c r="N1174">
        <v>0</v>
      </c>
      <c r="O1174">
        <v>4.159757E-2</v>
      </c>
      <c r="P1174">
        <v>0.98785230000000002</v>
      </c>
      <c r="Q1174">
        <v>1.0834959999999999E-2</v>
      </c>
      <c r="R1174">
        <v>0.15501789999999999</v>
      </c>
      <c r="S1174">
        <v>3.059723</v>
      </c>
      <c r="T1174">
        <v>-4.3182129999999999E-2</v>
      </c>
      <c r="U1174">
        <v>-0.14089969999999999</v>
      </c>
      <c r="V1174">
        <v>-0.11378339999999899</v>
      </c>
      <c r="W1174">
        <v>2.0110510000000002E-2</v>
      </c>
      <c r="X1174">
        <v>0.99330200000000002</v>
      </c>
      <c r="Y1174">
        <v>8.7503739999999997E-2</v>
      </c>
      <c r="Z1174">
        <v>-1.203885E-3</v>
      </c>
      <c r="AA1174">
        <v>0.99616349999999998</v>
      </c>
      <c r="AB1174">
        <v>29</v>
      </c>
      <c r="AC1174">
        <v>78.048100000000005</v>
      </c>
      <c r="AD1174">
        <v>-1.103980352964</v>
      </c>
      <c r="AE1174">
        <v>-3.6093999999999902</v>
      </c>
      <c r="AF1174">
        <v>6.8516592567160197</v>
      </c>
      <c r="AG1174">
        <v>-1.103980352964</v>
      </c>
      <c r="AH1174">
        <v>77.814854828313202</v>
      </c>
      <c r="AI1174">
        <v>90.809683924373999</v>
      </c>
      <c r="AJ1174">
        <v>84.968038875572205</v>
      </c>
      <c r="AK1174">
        <v>78.123720080020107</v>
      </c>
    </row>
    <row r="1175" spans="1:37" x14ac:dyDescent="0.2">
      <c r="A1175" t="str">
        <f>"20200111155521438"</f>
        <v>20200111155521438</v>
      </c>
      <c r="B1175" t="str">
        <f>"1578729321433310"</f>
        <v>1578729321433310</v>
      </c>
      <c r="C1175" t="s">
        <v>37</v>
      </c>
      <c r="D1175">
        <v>4.3408169999999897</v>
      </c>
      <c r="E1175">
        <v>0.57719240000000005</v>
      </c>
      <c r="F1175" t="s">
        <v>42</v>
      </c>
      <c r="G1175">
        <v>-192.24019999999999</v>
      </c>
      <c r="H1175" s="1">
        <v>-6.9040639999999902E-6</v>
      </c>
      <c r="I1175">
        <v>364.28719999999998</v>
      </c>
      <c r="J1175">
        <v>-268.51549999999997</v>
      </c>
      <c r="K1175">
        <v>1.103988</v>
      </c>
      <c r="L1175">
        <v>367.84559999999999</v>
      </c>
      <c r="M1175">
        <v>0.99909490000000001</v>
      </c>
      <c r="N1175">
        <v>0</v>
      </c>
      <c r="O1175">
        <v>4.1502379999999998E-2</v>
      </c>
      <c r="P1175">
        <v>0.98789499999999997</v>
      </c>
      <c r="Q1175">
        <v>1.0834440000000001E-2</v>
      </c>
      <c r="R1175">
        <v>0.15474570000000001</v>
      </c>
      <c r="S1175">
        <v>3.0596919999999899</v>
      </c>
      <c r="T1175">
        <v>-4.418242E-2</v>
      </c>
      <c r="U1175">
        <v>-0.14212040000000001</v>
      </c>
      <c r="V1175">
        <v>-0.11360430000000001</v>
      </c>
      <c r="W1175">
        <v>2.0141969999999999E-2</v>
      </c>
      <c r="X1175">
        <v>0.99332189999999998</v>
      </c>
      <c r="Y1175">
        <v>8.7805240000000007E-2</v>
      </c>
      <c r="Z1175">
        <v>-1.232574E-3</v>
      </c>
      <c r="AA1175">
        <v>0.99613689999999999</v>
      </c>
      <c r="AB1175">
        <v>29</v>
      </c>
      <c r="AC1175">
        <v>76.275299999999902</v>
      </c>
      <c r="AD1175">
        <v>-1.103994904064</v>
      </c>
      <c r="AE1175">
        <v>-3.5583999999999998</v>
      </c>
      <c r="AF1175">
        <v>6.7196732693571599</v>
      </c>
      <c r="AG1175">
        <v>-1.103994904064</v>
      </c>
      <c r="AH1175">
        <v>76.0459909950401</v>
      </c>
      <c r="AI1175">
        <v>90.828503200861803</v>
      </c>
      <c r="AJ1175">
        <v>84.950272556225897</v>
      </c>
      <c r="AK1175">
        <v>76.350281990394905</v>
      </c>
    </row>
    <row r="1176" spans="1:37" x14ac:dyDescent="0.2">
      <c r="A1176" t="str">
        <f>"20200111155521450"</f>
        <v>20200111155521450</v>
      </c>
      <c r="B1176" t="str">
        <f>"1578729321443071"</f>
        <v>1578729321443071</v>
      </c>
      <c r="C1176" t="s">
        <v>37</v>
      </c>
      <c r="D1176">
        <v>4.3628460000000002</v>
      </c>
      <c r="E1176">
        <v>0.57726</v>
      </c>
      <c r="F1176" t="s">
        <v>42</v>
      </c>
      <c r="G1176">
        <v>-195.05289999999999</v>
      </c>
      <c r="H1176" s="1">
        <v>-7.8722780000000007E-6</v>
      </c>
      <c r="I1176">
        <v>364.40910000000002</v>
      </c>
      <c r="J1176">
        <v>-268.35719999999998</v>
      </c>
      <c r="K1176">
        <v>1.103996</v>
      </c>
      <c r="L1176">
        <v>367.85210000000001</v>
      </c>
      <c r="M1176">
        <v>0.99909809999999999</v>
      </c>
      <c r="N1176">
        <v>0</v>
      </c>
      <c r="O1176">
        <v>4.1416689999999999E-2</v>
      </c>
      <c r="P1176">
        <v>0.98798079999999999</v>
      </c>
      <c r="Q1176">
        <v>1.106501E-2</v>
      </c>
      <c r="R1176">
        <v>0.15418090000000001</v>
      </c>
      <c r="S1176">
        <v>3.0596919999999899</v>
      </c>
      <c r="T1176">
        <v>-4.5981050000000002E-2</v>
      </c>
      <c r="U1176">
        <v>-0.14312739999999999</v>
      </c>
      <c r="V1176">
        <v>-0.113121499999999</v>
      </c>
      <c r="W1176">
        <v>2.0398940000000001E-2</v>
      </c>
      <c r="X1176">
        <v>0.99337169999999897</v>
      </c>
      <c r="Y1176">
        <v>8.8045849999999995E-2</v>
      </c>
      <c r="Z1176">
        <v>-1.2832569999999899E-3</v>
      </c>
      <c r="AA1176">
        <v>0.99611559999999899</v>
      </c>
      <c r="AB1176">
        <v>29</v>
      </c>
      <c r="AC1176">
        <v>73.304299999999898</v>
      </c>
      <c r="AD1176">
        <v>-1.1040038722779999</v>
      </c>
      <c r="AE1176">
        <v>-3.4429999999999801</v>
      </c>
      <c r="AF1176">
        <v>6.47473466467215</v>
      </c>
      <c r="AG1176">
        <v>-1.1040038722779999</v>
      </c>
      <c r="AH1176">
        <v>73.082252542597502</v>
      </c>
      <c r="AI1176">
        <v>90.862086357216995</v>
      </c>
      <c r="AJ1176">
        <v>84.937089438754001</v>
      </c>
      <c r="AK1176">
        <v>73.376812755992006</v>
      </c>
    </row>
    <row r="1177" spans="1:37" x14ac:dyDescent="0.2">
      <c r="A1177" t="str">
        <f>"20200111155521463"</f>
        <v>20200111155521463</v>
      </c>
      <c r="B1177" t="str">
        <f>"1578729321453807"</f>
        <v>1578729321453807</v>
      </c>
      <c r="C1177" t="s">
        <v>37</v>
      </c>
      <c r="D1177">
        <v>4.4090739999999897</v>
      </c>
      <c r="E1177">
        <v>0.57725479999999996</v>
      </c>
      <c r="F1177" t="s">
        <v>42</v>
      </c>
      <c r="G1177">
        <v>-194.23830000000001</v>
      </c>
      <c r="H1177" s="1">
        <v>-7.598563E-6</v>
      </c>
      <c r="I1177">
        <v>364.33099999999899</v>
      </c>
      <c r="J1177">
        <v>-268.19310000000002</v>
      </c>
      <c r="K1177">
        <v>1.1040110000000001</v>
      </c>
      <c r="L1177">
        <v>367.85890000000001</v>
      </c>
      <c r="M1177">
        <v>0.99910159999999903</v>
      </c>
      <c r="N1177">
        <v>0</v>
      </c>
      <c r="O1177">
        <v>4.1327910000000002E-2</v>
      </c>
      <c r="P1177">
        <v>0.98802459999999903</v>
      </c>
      <c r="Q1177">
        <v>1.110795E-2</v>
      </c>
      <c r="R1177">
        <v>0.153895899999999</v>
      </c>
      <c r="S1177">
        <v>3.059723</v>
      </c>
      <c r="T1177">
        <v>-4.5574669999999998E-2</v>
      </c>
      <c r="U1177">
        <v>-0.14535519999999999</v>
      </c>
      <c r="V1177">
        <v>-0.11292290000000001</v>
      </c>
      <c r="W1177">
        <v>2.046854E-2</v>
      </c>
      <c r="X1177">
        <v>0.99339290000000002</v>
      </c>
      <c r="Y1177">
        <v>8.8680739999999994E-2</v>
      </c>
      <c r="Z1177">
        <v>-1.275289E-3</v>
      </c>
      <c r="AA1177">
        <v>0.99605929999999998</v>
      </c>
      <c r="AB1177">
        <v>29</v>
      </c>
      <c r="AC1177">
        <v>73.954800000000006</v>
      </c>
      <c r="AD1177">
        <v>-1.104018598563</v>
      </c>
      <c r="AE1177">
        <v>-3.5279000000000398</v>
      </c>
      <c r="AF1177">
        <v>6.5799543925675001</v>
      </c>
      <c r="AG1177">
        <v>-1.104018598563</v>
      </c>
      <c r="AH1177">
        <v>73.729409466639893</v>
      </c>
      <c r="AI1177">
        <v>90.854482998852504</v>
      </c>
      <c r="AJ1177">
        <v>84.900169690686496</v>
      </c>
      <c r="AK1177">
        <v>74.030672543032395</v>
      </c>
    </row>
    <row r="1178" spans="1:37" x14ac:dyDescent="0.2">
      <c r="A1178" t="str">
        <f>"20200111155521474"</f>
        <v>20200111155521474</v>
      </c>
      <c r="B1178" t="str">
        <f>"1578729321463567"</f>
        <v>1578729321463567</v>
      </c>
      <c r="C1178" t="s">
        <v>37</v>
      </c>
      <c r="D1178">
        <v>4.3963289999999997</v>
      </c>
      <c r="E1178">
        <v>0.57727019999999996</v>
      </c>
      <c r="F1178" t="s">
        <v>42</v>
      </c>
      <c r="G1178">
        <v>-194.76089999999999</v>
      </c>
      <c r="H1178" s="1">
        <v>-7.7794019999999992E-6</v>
      </c>
      <c r="I1178">
        <v>364.3476</v>
      </c>
      <c r="J1178">
        <v>-268.04320000000001</v>
      </c>
      <c r="K1178">
        <v>1.1040179999999999</v>
      </c>
      <c r="L1178">
        <v>367.86500000000001</v>
      </c>
      <c r="M1178">
        <v>0.99910489999999996</v>
      </c>
      <c r="N1178">
        <v>0</v>
      </c>
      <c r="O1178">
        <v>4.1246720000000001E-2</v>
      </c>
      <c r="P1178">
        <v>0.98805049999999905</v>
      </c>
      <c r="Q1178">
        <v>1.126972E-2</v>
      </c>
      <c r="R1178">
        <v>0.15371850000000001</v>
      </c>
      <c r="S1178">
        <v>3.0596619999999999</v>
      </c>
      <c r="T1178">
        <v>-4.6000599999999899E-2</v>
      </c>
      <c r="U1178">
        <v>-0.1463013</v>
      </c>
      <c r="V1178">
        <v>-0.11282539999999899</v>
      </c>
      <c r="W1178">
        <v>2.065351E-2</v>
      </c>
      <c r="X1178">
        <v>0.99340019999999996</v>
      </c>
      <c r="Y1178">
        <v>8.8907730000000004E-2</v>
      </c>
      <c r="Z1178">
        <v>-1.2877089999999999E-3</v>
      </c>
      <c r="AA1178">
        <v>0.99603899999999901</v>
      </c>
      <c r="AB1178">
        <v>29</v>
      </c>
      <c r="AC1178">
        <v>73.282300000000006</v>
      </c>
      <c r="AD1178">
        <v>-1.1040257794020001</v>
      </c>
      <c r="AE1178">
        <v>-3.5173999999999999</v>
      </c>
      <c r="AF1178">
        <v>6.5357141031488597</v>
      </c>
      <c r="AG1178">
        <v>-1.1040257794020001</v>
      </c>
      <c r="AH1178">
        <v>73.0582994541912</v>
      </c>
      <c r="AI1178">
        <v>90.862320291748205</v>
      </c>
      <c r="AJ1178">
        <v>84.887991346161897</v>
      </c>
      <c r="AK1178">
        <v>73.358363878278794</v>
      </c>
    </row>
    <row r="1179" spans="1:37" x14ac:dyDescent="0.2">
      <c r="A1179" t="str">
        <f>"20200111155521486"</f>
        <v>20200111155521486</v>
      </c>
      <c r="B1179" t="str">
        <f>"1578729321473326"</f>
        <v>1578729321473326</v>
      </c>
      <c r="C1179" t="s">
        <v>37</v>
      </c>
      <c r="D1179">
        <v>4.3773559999999998</v>
      </c>
      <c r="E1179">
        <v>0.57719299999999996</v>
      </c>
      <c r="F1179" t="s">
        <v>42</v>
      </c>
      <c r="G1179">
        <v>-195.239</v>
      </c>
      <c r="H1179" s="1">
        <v>-7.9445740000000007E-6</v>
      </c>
      <c r="I1179">
        <v>364.36489999999998</v>
      </c>
      <c r="J1179">
        <v>-267.90410000000003</v>
      </c>
      <c r="K1179">
        <v>1.104025</v>
      </c>
      <c r="L1179">
        <v>367.87060000000002</v>
      </c>
      <c r="M1179">
        <v>0.99910769999999904</v>
      </c>
      <c r="N1179">
        <v>0</v>
      </c>
      <c r="O1179">
        <v>4.1171689999999997E-2</v>
      </c>
      <c r="P1179">
        <v>0.98806659999999902</v>
      </c>
      <c r="Q1179">
        <v>1.152336E-2</v>
      </c>
      <c r="R1179">
        <v>0.15359679999999901</v>
      </c>
      <c r="S1179">
        <v>3.0596919999999899</v>
      </c>
      <c r="T1179">
        <v>-4.6398160000000001E-2</v>
      </c>
      <c r="U1179">
        <v>-0.14709469999999999</v>
      </c>
      <c r="V1179">
        <v>-0.112777399999999</v>
      </c>
      <c r="W1179">
        <v>2.092668E-2</v>
      </c>
      <c r="X1179">
        <v>0.9933999</v>
      </c>
      <c r="Y1179">
        <v>8.9089890000000005E-2</v>
      </c>
      <c r="Z1179">
        <v>-1.2990600000000001E-3</v>
      </c>
      <c r="AA1179">
        <v>0.99602279999999999</v>
      </c>
      <c r="AB1179">
        <v>29</v>
      </c>
      <c r="AC1179">
        <v>72.665099999999995</v>
      </c>
      <c r="AD1179">
        <v>-1.104032944574</v>
      </c>
      <c r="AE1179">
        <v>-3.50570000000004</v>
      </c>
      <c r="AF1179">
        <v>6.4931094700888998</v>
      </c>
      <c r="AG1179">
        <v>-1.104032944574</v>
      </c>
      <c r="AH1179">
        <v>72.4424549854064</v>
      </c>
      <c r="AI1179">
        <v>90.869642216059205</v>
      </c>
      <c r="AJ1179">
        <v>84.878192874042597</v>
      </c>
      <c r="AK1179">
        <v>72.741244446640394</v>
      </c>
    </row>
    <row r="1180" spans="1:37" x14ac:dyDescent="0.2">
      <c r="A1180" t="str">
        <f>"20200111155521497"</f>
        <v>20200111155521497</v>
      </c>
      <c r="B1180" t="str">
        <f>"1578729321493823"</f>
        <v>1578729321493823</v>
      </c>
      <c r="C1180" t="s">
        <v>37</v>
      </c>
      <c r="D1180">
        <v>4.4419360000000001</v>
      </c>
      <c r="E1180">
        <v>0.57712209999999997</v>
      </c>
      <c r="F1180" t="s">
        <v>42</v>
      </c>
      <c r="G1180">
        <v>-195.66120000000001</v>
      </c>
      <c r="H1180" s="1">
        <v>-8.0925779999999992E-6</v>
      </c>
      <c r="I1180">
        <v>364.40320000000003</v>
      </c>
      <c r="J1180">
        <v>-267.74040000000002</v>
      </c>
      <c r="K1180">
        <v>1.104033</v>
      </c>
      <c r="L1180">
        <v>367.87729999999999</v>
      </c>
      <c r="M1180">
        <v>0.99911119999999898</v>
      </c>
      <c r="N1180">
        <v>0</v>
      </c>
      <c r="O1180">
        <v>4.1083599999999998E-2</v>
      </c>
      <c r="P1180">
        <v>0.98805949999999998</v>
      </c>
      <c r="Q1180">
        <v>1.1570810000000001E-2</v>
      </c>
      <c r="R1180">
        <v>0.153639</v>
      </c>
      <c r="S1180">
        <v>3.0596009999999998</v>
      </c>
      <c r="T1180">
        <v>-4.675758E-2</v>
      </c>
      <c r="U1180">
        <v>-0.1468506</v>
      </c>
      <c r="V1180">
        <v>-0.11290749999999999</v>
      </c>
      <c r="W1180">
        <v>2.0996290000000001E-2</v>
      </c>
      <c r="X1180">
        <v>0.99338359999999903</v>
      </c>
      <c r="Y1180">
        <v>8.8924009999999998E-2</v>
      </c>
      <c r="Z1180">
        <v>-1.306551E-3</v>
      </c>
      <c r="AA1180">
        <v>0.99603750000000002</v>
      </c>
      <c r="AB1180">
        <v>29</v>
      </c>
      <c r="AC1180">
        <v>72.0792</v>
      </c>
      <c r="AD1180">
        <v>-1.104041092578</v>
      </c>
      <c r="AE1180">
        <v>-3.47409999999996</v>
      </c>
      <c r="AF1180">
        <v>6.4310660196024703</v>
      </c>
      <c r="AG1180">
        <v>-1.104041092578</v>
      </c>
      <c r="AH1180">
        <v>71.858784261139505</v>
      </c>
      <c r="AI1180">
        <v>90.876721773035698</v>
      </c>
      <c r="AJ1180">
        <v>84.8858878963715</v>
      </c>
      <c r="AK1180">
        <v>72.154434322303302</v>
      </c>
    </row>
    <row r="1181" spans="1:37" x14ac:dyDescent="0.2">
      <c r="A1181" t="str">
        <f>"20200111155521510"</f>
        <v>20200111155521510</v>
      </c>
      <c r="B1181" t="str">
        <f>"1578729321503885"</f>
        <v>1578729321503885</v>
      </c>
      <c r="C1181" t="s">
        <v>37</v>
      </c>
      <c r="D1181">
        <v>4.4185549999999996</v>
      </c>
      <c r="E1181">
        <v>0.57708999999999999</v>
      </c>
      <c r="F1181" t="s">
        <v>42</v>
      </c>
      <c r="G1181">
        <v>-198.15899999999999</v>
      </c>
      <c r="H1181" s="1">
        <v>-8.9790520000000005E-6</v>
      </c>
      <c r="I1181">
        <v>364.55419999999998</v>
      </c>
      <c r="J1181">
        <v>-267.58550000000002</v>
      </c>
      <c r="K1181">
        <v>1.1040379999999901</v>
      </c>
      <c r="L1181">
        <v>367.8836</v>
      </c>
      <c r="M1181">
        <v>0.99911419999999995</v>
      </c>
      <c r="N1181">
        <v>0</v>
      </c>
      <c r="O1181">
        <v>4.1001419999999997E-2</v>
      </c>
      <c r="P1181">
        <v>0.98804040000000004</v>
      </c>
      <c r="Q1181">
        <v>1.1758930000000001E-2</v>
      </c>
      <c r="R1181">
        <v>0.1537453</v>
      </c>
      <c r="S1181">
        <v>3.0595400000000001</v>
      </c>
      <c r="T1181">
        <v>-4.8545480000000002E-2</v>
      </c>
      <c r="U1181">
        <v>-0.1461182</v>
      </c>
      <c r="V1181">
        <v>-0.113096</v>
      </c>
      <c r="W1181">
        <v>2.120414E-2</v>
      </c>
      <c r="X1181">
        <v>0.99335779999999996</v>
      </c>
      <c r="Y1181">
        <v>8.860403E-2</v>
      </c>
      <c r="Z1181">
        <v>-1.352699E-3</v>
      </c>
      <c r="AA1181">
        <v>0.99606600000000001</v>
      </c>
      <c r="AB1181">
        <v>29</v>
      </c>
      <c r="AC1181">
        <v>69.426500000000004</v>
      </c>
      <c r="AD1181">
        <v>-1.10404697905199</v>
      </c>
      <c r="AE1181">
        <v>-3.3294000000000201</v>
      </c>
      <c r="AF1181">
        <v>6.1717556103695097</v>
      </c>
      <c r="AG1181">
        <v>-1.10404697905199</v>
      </c>
      <c r="AH1181">
        <v>69.214133832206599</v>
      </c>
      <c r="AI1181">
        <v>90.910246723301299</v>
      </c>
      <c r="AJ1181">
        <v>84.904468744158294</v>
      </c>
      <c r="AK1181">
        <v>69.497523762999606</v>
      </c>
    </row>
    <row r="1182" spans="1:37" x14ac:dyDescent="0.2">
      <c r="A1182" t="str">
        <f>"20200111155521522"</f>
        <v>20200111155521522</v>
      </c>
      <c r="B1182" t="str">
        <f>"1578729321513343"</f>
        <v>1578729321513343</v>
      </c>
      <c r="C1182" t="s">
        <v>37</v>
      </c>
      <c r="D1182">
        <v>4.4323430000000004</v>
      </c>
      <c r="E1182">
        <v>0.57706029999999997</v>
      </c>
      <c r="F1182" t="s">
        <v>42</v>
      </c>
      <c r="G1182">
        <v>-198.01910000000001</v>
      </c>
      <c r="H1182" s="1">
        <v>-8.9245849999999999E-6</v>
      </c>
      <c r="I1182">
        <v>364.57920000000001</v>
      </c>
      <c r="J1182">
        <v>-267.43200000000002</v>
      </c>
      <c r="K1182">
        <v>1.104044</v>
      </c>
      <c r="L1182">
        <v>367.88979999999998</v>
      </c>
      <c r="M1182">
        <v>0.99911729999999999</v>
      </c>
      <c r="N1182">
        <v>0</v>
      </c>
      <c r="O1182">
        <v>4.0920070000000003E-2</v>
      </c>
      <c r="P1182">
        <v>0.98797659999999998</v>
      </c>
      <c r="Q1182">
        <v>1.2030249999999999E-2</v>
      </c>
      <c r="R1182">
        <v>0.15413470000000001</v>
      </c>
      <c r="S1182">
        <v>3.0595089999999998</v>
      </c>
      <c r="T1182">
        <v>-4.8555609999999999E-2</v>
      </c>
      <c r="U1182">
        <v>-0.1453247</v>
      </c>
      <c r="V1182">
        <v>-0.1135684</v>
      </c>
      <c r="W1182">
        <v>2.1494940000000001E-2</v>
      </c>
      <c r="X1182">
        <v>0.9932976</v>
      </c>
      <c r="Y1182">
        <v>8.8265720000000006E-2</v>
      </c>
      <c r="Z1182">
        <v>-1.3490289999999901E-3</v>
      </c>
      <c r="AA1182">
        <v>0.99609609999999904</v>
      </c>
      <c r="AB1182">
        <v>29</v>
      </c>
      <c r="AC1182">
        <v>69.412899999999993</v>
      </c>
      <c r="AD1182">
        <v>-1.1040529245849999</v>
      </c>
      <c r="AE1182">
        <v>-3.31059999999996</v>
      </c>
      <c r="AF1182">
        <v>6.1467841288472398</v>
      </c>
      <c r="AG1182">
        <v>-1.1040529245849999</v>
      </c>
      <c r="AH1182">
        <v>69.201812553123503</v>
      </c>
      <c r="AI1182">
        <v>90.910441393153803</v>
      </c>
      <c r="AJ1182">
        <v>84.924078960621799</v>
      </c>
      <c r="AK1182">
        <v>69.483039287473403</v>
      </c>
    </row>
    <row r="1183" spans="1:37" x14ac:dyDescent="0.2">
      <c r="A1183" t="str">
        <f>"20200111155521532"</f>
        <v>20200111155521532</v>
      </c>
      <c r="B1183" t="str">
        <f>"1578729321523104"</f>
        <v>1578729321523104</v>
      </c>
      <c r="C1183" t="s">
        <v>37</v>
      </c>
      <c r="D1183">
        <v>4.445811</v>
      </c>
      <c r="E1183">
        <v>0.57701389999999997</v>
      </c>
      <c r="F1183" t="s">
        <v>42</v>
      </c>
      <c r="G1183">
        <v>-198.20429999999999</v>
      </c>
      <c r="H1183" s="1">
        <v>-8.9850600000000003E-6</v>
      </c>
      <c r="I1183">
        <v>364.62720000000002</v>
      </c>
      <c r="J1183">
        <v>-267.28320000000002</v>
      </c>
      <c r="K1183">
        <v>1.10405</v>
      </c>
      <c r="L1183">
        <v>367.89580000000001</v>
      </c>
      <c r="M1183">
        <v>0.99912040000000002</v>
      </c>
      <c r="N1183">
        <v>0</v>
      </c>
      <c r="O1183">
        <v>4.0842240000000002E-2</v>
      </c>
      <c r="P1183">
        <v>0.9879405</v>
      </c>
      <c r="Q1183">
        <v>1.208856E-2</v>
      </c>
      <c r="R1183">
        <v>0.15436129999999901</v>
      </c>
      <c r="S1183">
        <v>3.0595699999999999</v>
      </c>
      <c r="T1183">
        <v>-4.8794509999999999E-2</v>
      </c>
      <c r="U1183">
        <v>-0.14419560000000001</v>
      </c>
      <c r="V1183">
        <v>-0.11387369999999999</v>
      </c>
      <c r="W1183">
        <v>2.1572649999999999E-2</v>
      </c>
      <c r="X1183">
        <v>0.99326099999999995</v>
      </c>
      <c r="Y1183">
        <v>8.7820280000000001E-2</v>
      </c>
      <c r="Z1183">
        <v>-1.350859E-3</v>
      </c>
      <c r="AA1183">
        <v>0.996135399999999</v>
      </c>
      <c r="AB1183">
        <v>29</v>
      </c>
      <c r="AC1183">
        <v>69.078900000000004</v>
      </c>
      <c r="AD1183">
        <v>-1.10405898506</v>
      </c>
      <c r="AE1183">
        <v>-3.26859999999999</v>
      </c>
      <c r="AF1183">
        <v>6.0857858188537497</v>
      </c>
      <c r="AG1183">
        <v>-1.10405898506</v>
      </c>
      <c r="AH1183">
        <v>68.870199806316606</v>
      </c>
      <c r="AI1183">
        <v>90.914866308927003</v>
      </c>
      <c r="AJ1183">
        <v>84.950116535977301</v>
      </c>
      <c r="AK1183">
        <v>69.147379969434994</v>
      </c>
    </row>
    <row r="1184" spans="1:37" x14ac:dyDescent="0.2">
      <c r="A1184" t="str">
        <f>"20200111155521544"</f>
        <v>20200111155521544</v>
      </c>
      <c r="B1184" t="str">
        <f>"1578729321533840"</f>
        <v>1578729321533840</v>
      </c>
      <c r="C1184" t="s">
        <v>37</v>
      </c>
      <c r="D1184">
        <v>4.5755989999999898</v>
      </c>
      <c r="E1184">
        <v>0.57698039999999995</v>
      </c>
      <c r="F1184" t="s">
        <v>42</v>
      </c>
      <c r="G1184">
        <v>-199.60939999999999</v>
      </c>
      <c r="H1184" s="1">
        <v>-9.4812479999999996E-6</v>
      </c>
      <c r="I1184">
        <v>364.7294</v>
      </c>
      <c r="J1184">
        <v>-267.1336</v>
      </c>
      <c r="K1184">
        <v>1.1040570000000001</v>
      </c>
      <c r="L1184">
        <v>367.90190000000001</v>
      </c>
      <c r="M1184">
        <v>0.99912330000000005</v>
      </c>
      <c r="N1184">
        <v>0</v>
      </c>
      <c r="O1184">
        <v>4.0763870000000001E-2</v>
      </c>
      <c r="P1184">
        <v>0.98788739999999997</v>
      </c>
      <c r="Q1184">
        <v>1.2195869999999999E-2</v>
      </c>
      <c r="R1184">
        <v>0.15469179999999999</v>
      </c>
      <c r="S1184">
        <v>3.059631</v>
      </c>
      <c r="T1184">
        <v>-4.9916149999999999E-2</v>
      </c>
      <c r="U1184">
        <v>-0.14315799999999901</v>
      </c>
      <c r="V1184">
        <v>-0.114284</v>
      </c>
      <c r="W1184">
        <v>2.1699940000000001E-2</v>
      </c>
      <c r="X1184">
        <v>0.99321109999999901</v>
      </c>
      <c r="Y1184">
        <v>8.7403469999999997E-2</v>
      </c>
      <c r="Z1184">
        <v>-1.3772139999999899E-3</v>
      </c>
      <c r="AA1184">
        <v>0.9961721</v>
      </c>
      <c r="AB1184">
        <v>29</v>
      </c>
      <c r="AC1184">
        <v>67.524199999999993</v>
      </c>
      <c r="AD1184">
        <v>-1.1040664812480001</v>
      </c>
      <c r="AE1184">
        <v>-3.1725000000000101</v>
      </c>
      <c r="AF1184">
        <v>5.9209562290118702</v>
      </c>
      <c r="AG1184">
        <v>-1.1040664812480001</v>
      </c>
      <c r="AH1184">
        <v>67.320781849170402</v>
      </c>
      <c r="AI1184">
        <v>90.935958959534403</v>
      </c>
      <c r="AJ1184">
        <v>84.973690268672797</v>
      </c>
      <c r="AK1184">
        <v>67.5896763880734</v>
      </c>
    </row>
    <row r="1185" spans="1:37" x14ac:dyDescent="0.2">
      <c r="A1185" t="str">
        <f>"20200111155521556"</f>
        <v>20200111155521556</v>
      </c>
      <c r="B1185" t="str">
        <f>"1578729321553360"</f>
        <v>1578729321553360</v>
      </c>
      <c r="C1185" t="s">
        <v>37</v>
      </c>
      <c r="D1185">
        <v>4.5065150000000003</v>
      </c>
      <c r="E1185">
        <v>0.57698070000000001</v>
      </c>
      <c r="F1185" t="s">
        <v>42</v>
      </c>
      <c r="G1185">
        <v>-195.90780000000001</v>
      </c>
      <c r="H1185" s="1">
        <v>-8.15298E-6</v>
      </c>
      <c r="I1185">
        <v>364.6069</v>
      </c>
      <c r="J1185">
        <v>-266.97640000000001</v>
      </c>
      <c r="K1185">
        <v>1.1040669999999999</v>
      </c>
      <c r="L1185">
        <v>367.90820000000002</v>
      </c>
      <c r="M1185">
        <v>0.99912649999999903</v>
      </c>
      <c r="N1185">
        <v>0</v>
      </c>
      <c r="O1185">
        <v>4.068169E-2</v>
      </c>
      <c r="P1185">
        <v>0.98786890000000005</v>
      </c>
      <c r="Q1185">
        <v>1.232686E-2</v>
      </c>
      <c r="R1185">
        <v>0.15479949999999901</v>
      </c>
      <c r="S1185">
        <v>3.0595400000000001</v>
      </c>
      <c r="T1185">
        <v>-4.7425630000000003E-2</v>
      </c>
      <c r="U1185">
        <v>-0.14154049999999899</v>
      </c>
      <c r="V1185">
        <v>-0.1144741</v>
      </c>
      <c r="W1185">
        <v>2.1852010000000002E-2</v>
      </c>
      <c r="X1185">
        <v>0.99318589999999995</v>
      </c>
      <c r="Y1185">
        <v>8.6799150000000005E-2</v>
      </c>
      <c r="Z1185">
        <v>-1.3026069999999999E-3</v>
      </c>
      <c r="AA1185">
        <v>0.99622500000000003</v>
      </c>
      <c r="AB1185">
        <v>29</v>
      </c>
      <c r="AC1185">
        <v>71.068600000000004</v>
      </c>
      <c r="AD1185">
        <v>-1.1040751529799999</v>
      </c>
      <c r="AE1185">
        <v>-3.3013000000000199</v>
      </c>
      <c r="AF1185">
        <v>6.18839911342946</v>
      </c>
      <c r="AG1185">
        <v>-1.1040751529799999</v>
      </c>
      <c r="AH1185">
        <v>70.858387792734604</v>
      </c>
      <c r="AI1185">
        <v>90.889293566124095</v>
      </c>
      <c r="AJ1185">
        <v>85.008752102234496</v>
      </c>
      <c r="AK1185">
        <v>71.136673988288806</v>
      </c>
    </row>
    <row r="1186" spans="1:37" x14ac:dyDescent="0.2">
      <c r="A1186" t="str">
        <f>"20200111155521567"</f>
        <v>20200111155521567</v>
      </c>
      <c r="B1186" t="str">
        <f>"1578729321563119"</f>
        <v>1578729321563119</v>
      </c>
      <c r="C1186" t="s">
        <v>37</v>
      </c>
      <c r="D1186">
        <v>4.5199099999999897</v>
      </c>
      <c r="E1186">
        <v>0.57692670000000001</v>
      </c>
      <c r="F1186" t="s">
        <v>42</v>
      </c>
      <c r="G1186">
        <v>-188.1233</v>
      </c>
      <c r="H1186" s="1">
        <v>-7.0904830000000003E-6</v>
      </c>
      <c r="I1186">
        <v>364.26029999999997</v>
      </c>
      <c r="J1186">
        <v>-266.82260000000002</v>
      </c>
      <c r="K1186">
        <v>1.104074</v>
      </c>
      <c r="L1186">
        <v>367.9144</v>
      </c>
      <c r="M1186">
        <v>0.99912979999999996</v>
      </c>
      <c r="N1186">
        <v>0</v>
      </c>
      <c r="O1186">
        <v>4.0601350000000001E-2</v>
      </c>
      <c r="P1186">
        <v>0.98781030000000003</v>
      </c>
      <c r="Q1186">
        <v>1.226587E-2</v>
      </c>
      <c r="R1186">
        <v>0.1551795</v>
      </c>
      <c r="S1186">
        <v>3.0595089999999998</v>
      </c>
      <c r="T1186">
        <v>-4.2838220000000003E-2</v>
      </c>
      <c r="U1186">
        <v>-0.14154049999999899</v>
      </c>
      <c r="V1186">
        <v>-0.11493589999999999</v>
      </c>
      <c r="W1186">
        <v>2.181054E-2</v>
      </c>
      <c r="X1186">
        <v>0.99313340000000006</v>
      </c>
      <c r="Y1186">
        <v>8.6722320000000006E-2</v>
      </c>
      <c r="Z1186">
        <v>-1.1749709999999999E-3</v>
      </c>
      <c r="AA1186">
        <v>0.99623189999999995</v>
      </c>
      <c r="AB1186">
        <v>29</v>
      </c>
      <c r="AC1186">
        <v>78.699299999999994</v>
      </c>
      <c r="AD1186">
        <v>-1.1040810904830001</v>
      </c>
      <c r="AE1186">
        <v>-3.6541000000000201</v>
      </c>
      <c r="AF1186">
        <v>6.8451857998687498</v>
      </c>
      <c r="AG1186">
        <v>-1.1040810904830001</v>
      </c>
      <c r="AH1186">
        <v>78.470621423390298</v>
      </c>
      <c r="AI1186">
        <v>90.803048814775195</v>
      </c>
      <c r="AJ1186">
        <v>85.014567868107605</v>
      </c>
      <c r="AK1186">
        <v>78.776354258509201</v>
      </c>
    </row>
    <row r="1187" spans="1:37" x14ac:dyDescent="0.2">
      <c r="A1187" t="str">
        <f>"20200111155521580"</f>
        <v>20200111155521580</v>
      </c>
      <c r="B1187" t="str">
        <f>"1578729321573855"</f>
        <v>1578729321573855</v>
      </c>
      <c r="C1187" t="s">
        <v>37</v>
      </c>
      <c r="D1187">
        <v>4.5042780000000002</v>
      </c>
      <c r="E1187">
        <v>0.5768588</v>
      </c>
      <c r="F1187" t="s">
        <v>42</v>
      </c>
      <c r="G1187">
        <v>-191.42320000000001</v>
      </c>
      <c r="H1187" s="1">
        <v>-6.5888539999999997E-6</v>
      </c>
      <c r="I1187">
        <v>364.46910000000003</v>
      </c>
      <c r="J1187">
        <v>-266.65710000000001</v>
      </c>
      <c r="K1187">
        <v>1.104079</v>
      </c>
      <c r="L1187">
        <v>367.92110000000002</v>
      </c>
      <c r="M1187">
        <v>0.99913289999999999</v>
      </c>
      <c r="N1187">
        <v>0</v>
      </c>
      <c r="O1187">
        <v>4.0515179999999998E-2</v>
      </c>
      <c r="P1187">
        <v>0.98778069999999896</v>
      </c>
      <c r="Q1187">
        <v>1.242417E-2</v>
      </c>
      <c r="R1187">
        <v>0.15535399999999999</v>
      </c>
      <c r="S1187">
        <v>3.0595400000000001</v>
      </c>
      <c r="T1187">
        <v>-4.480112E-2</v>
      </c>
      <c r="U1187">
        <v>-0.13980100000000001</v>
      </c>
      <c r="V1187">
        <v>-0.1151973</v>
      </c>
      <c r="W1187">
        <v>2.198978E-2</v>
      </c>
      <c r="X1187">
        <v>0.99309919999999996</v>
      </c>
      <c r="Y1187">
        <v>8.6069640000000003E-2</v>
      </c>
      <c r="Z1187">
        <v>-1.2227689999999901E-3</v>
      </c>
      <c r="AA1187">
        <v>0.99628839999999996</v>
      </c>
      <c r="AB1187">
        <v>29</v>
      </c>
      <c r="AC1187">
        <v>75.233900000000006</v>
      </c>
      <c r="AD1187">
        <v>-1.104085588854</v>
      </c>
      <c r="AE1187">
        <v>-3.4519999999999902</v>
      </c>
      <c r="AF1187">
        <v>6.4960244692695701</v>
      </c>
      <c r="AG1187">
        <v>-1.104085588854</v>
      </c>
      <c r="AH1187">
        <v>75.016134631482103</v>
      </c>
      <c r="AI1187">
        <v>90.840073570650503</v>
      </c>
      <c r="AJ1187">
        <v>85.050816395947606</v>
      </c>
      <c r="AK1187">
        <v>75.304965267514206</v>
      </c>
    </row>
    <row r="1188" spans="1:37" x14ac:dyDescent="0.2">
      <c r="A1188" t="str">
        <f>"20200111155521593"</f>
        <v>20200111155521593</v>
      </c>
      <c r="B1188" t="str">
        <f>"1578729321583615"</f>
        <v>1578729321583615</v>
      </c>
      <c r="C1188" t="s">
        <v>37</v>
      </c>
      <c r="D1188">
        <v>4.5331809999999999</v>
      </c>
      <c r="E1188">
        <v>0.57684239999999998</v>
      </c>
      <c r="F1188" t="s">
        <v>42</v>
      </c>
      <c r="G1188">
        <v>-193.1634</v>
      </c>
      <c r="H1188" s="1">
        <v>-7.1807950000000004E-6</v>
      </c>
      <c r="I1188">
        <v>364.59</v>
      </c>
      <c r="J1188">
        <v>-266.4898</v>
      </c>
      <c r="K1188">
        <v>1.104082</v>
      </c>
      <c r="L1188">
        <v>367.92770000000002</v>
      </c>
      <c r="M1188">
        <v>0.99913629999999998</v>
      </c>
      <c r="N1188">
        <v>0</v>
      </c>
      <c r="O1188">
        <v>4.0428230000000002E-2</v>
      </c>
      <c r="P1188">
        <v>0.98774059999999897</v>
      </c>
      <c r="Q1188">
        <v>1.2615309999999999E-2</v>
      </c>
      <c r="R1188">
        <v>0.15559410000000001</v>
      </c>
      <c r="S1188">
        <v>3.0595400000000001</v>
      </c>
      <c r="T1188">
        <v>-4.5963049999999998E-2</v>
      </c>
      <c r="U1188">
        <v>-0.13867189999999999</v>
      </c>
      <c r="V1188">
        <v>-0.115525399999999</v>
      </c>
      <c r="W1188">
        <v>2.2200020000000001E-2</v>
      </c>
      <c r="X1188">
        <v>0.99305639999999995</v>
      </c>
      <c r="Y1188">
        <v>8.5615369999999996E-2</v>
      </c>
      <c r="Z1188">
        <v>-1.249773E-3</v>
      </c>
      <c r="AA1188">
        <v>0.99632749999999903</v>
      </c>
      <c r="AB1188">
        <v>29</v>
      </c>
      <c r="AC1188">
        <v>73.326400000000007</v>
      </c>
      <c r="AD1188">
        <v>-1.104089180795</v>
      </c>
      <c r="AE1188">
        <v>-3.3377000000000399</v>
      </c>
      <c r="AF1188">
        <v>6.2981392936079299</v>
      </c>
      <c r="AG1188">
        <v>-1.104089180795</v>
      </c>
      <c r="AH1188">
        <v>73.114960309130197</v>
      </c>
      <c r="AI1188">
        <v>90.861950764452303</v>
      </c>
      <c r="AJ1188">
        <v>85.076681767321105</v>
      </c>
      <c r="AK1188">
        <v>73.394025591232705</v>
      </c>
    </row>
    <row r="1189" spans="1:37" x14ac:dyDescent="0.2">
      <c r="A1189" t="str">
        <f>"20200111155521608"</f>
        <v>20200111155521608</v>
      </c>
      <c r="B1189" t="str">
        <f>"1578729321603135"</f>
        <v>1578729321603135</v>
      </c>
      <c r="C1189" t="s">
        <v>37</v>
      </c>
      <c r="D1189">
        <v>4.7921069999999997</v>
      </c>
      <c r="E1189">
        <v>0.57692270000000001</v>
      </c>
      <c r="F1189" t="s">
        <v>42</v>
      </c>
      <c r="G1189">
        <v>-194.2628</v>
      </c>
      <c r="H1189" s="1">
        <v>-7.5537479999999998E-6</v>
      </c>
      <c r="I1189">
        <v>364.6728</v>
      </c>
      <c r="J1189">
        <v>-266.30939999999998</v>
      </c>
      <c r="K1189">
        <v>1.1040909999999999</v>
      </c>
      <c r="L1189">
        <v>367.935</v>
      </c>
      <c r="M1189">
        <v>0.99913980000000002</v>
      </c>
      <c r="N1189">
        <v>0</v>
      </c>
      <c r="O1189">
        <v>4.0334670000000003E-2</v>
      </c>
      <c r="P1189">
        <v>0.98764830000000003</v>
      </c>
      <c r="Q1189">
        <v>1.296041E-2</v>
      </c>
      <c r="R1189">
        <v>0.15615039999999999</v>
      </c>
      <c r="S1189">
        <v>3.0595400000000001</v>
      </c>
      <c r="T1189">
        <v>-4.676926E-2</v>
      </c>
      <c r="U1189">
        <v>-0.13787839999999901</v>
      </c>
      <c r="V1189">
        <v>-0.116177399999999</v>
      </c>
      <c r="W1189">
        <v>2.2564710000000002E-2</v>
      </c>
      <c r="X1189">
        <v>0.99297209999999902</v>
      </c>
      <c r="Y1189">
        <v>8.5263740000000005E-2</v>
      </c>
      <c r="Z1189">
        <v>-1.2675830000000001E-3</v>
      </c>
      <c r="AA1189">
        <v>0.99635759999999995</v>
      </c>
      <c r="AB1189">
        <v>29</v>
      </c>
      <c r="AC1189">
        <v>72.046599999999899</v>
      </c>
      <c r="AD1189">
        <v>-1.1040985537479999</v>
      </c>
      <c r="AE1189">
        <v>-3.2622</v>
      </c>
      <c r="AF1189">
        <v>6.1642110086406099</v>
      </c>
      <c r="AG1189">
        <v>-1.1040985537479999</v>
      </c>
      <c r="AH1189">
        <v>71.839542124443</v>
      </c>
      <c r="AI1189">
        <v>90.877283735277402</v>
      </c>
      <c r="AJ1189">
        <v>85.095732828624705</v>
      </c>
      <c r="AK1189">
        <v>72.111970876027598</v>
      </c>
    </row>
    <row r="1190" spans="1:37" x14ac:dyDescent="0.2">
      <c r="A1190" t="str">
        <f>"20200111155521621"</f>
        <v>20200111155521621</v>
      </c>
      <c r="B1190" t="str">
        <f>"1578729321613871"</f>
        <v>1578729321613871</v>
      </c>
      <c r="C1190" t="s">
        <v>37</v>
      </c>
      <c r="D1190">
        <v>4.5945269999999896</v>
      </c>
      <c r="E1190">
        <v>0.57688300000000003</v>
      </c>
      <c r="F1190" t="s">
        <v>42</v>
      </c>
      <c r="G1190">
        <v>-197.07919999999999</v>
      </c>
      <c r="H1190" s="1">
        <v>-8.5458610000000006E-6</v>
      </c>
      <c r="I1190">
        <v>364.83679999999998</v>
      </c>
      <c r="J1190">
        <v>-266.12360000000001</v>
      </c>
      <c r="K1190">
        <v>1.1041019999999999</v>
      </c>
      <c r="L1190">
        <v>367.94240000000002</v>
      </c>
      <c r="M1190">
        <v>0.99914360000000002</v>
      </c>
      <c r="N1190">
        <v>0</v>
      </c>
      <c r="O1190">
        <v>4.0238240000000002E-2</v>
      </c>
      <c r="P1190">
        <v>0.98761299999999996</v>
      </c>
      <c r="Q1190">
        <v>1.3410129999999999E-2</v>
      </c>
      <c r="R1190">
        <v>0.15633639999999999</v>
      </c>
      <c r="S1190">
        <v>3.0598139999999998</v>
      </c>
      <c r="T1190">
        <v>-4.8798679999999997E-2</v>
      </c>
      <c r="U1190">
        <v>-0.13693239999999901</v>
      </c>
      <c r="V1190">
        <v>-0.1164603</v>
      </c>
      <c r="W1190">
        <v>2.3034269999999999E-2</v>
      </c>
      <c r="X1190">
        <v>0.99292819999999904</v>
      </c>
      <c r="Y1190">
        <v>8.4854899999999997E-2</v>
      </c>
      <c r="Z1190">
        <v>-1.317674E-3</v>
      </c>
      <c r="AA1190">
        <v>0.99639239999999996</v>
      </c>
      <c r="AB1190">
        <v>29</v>
      </c>
      <c r="AC1190">
        <v>69.044399999999996</v>
      </c>
      <c r="AD1190">
        <v>-1.1041105458610001</v>
      </c>
      <c r="AE1190">
        <v>-3.1056000000000301</v>
      </c>
      <c r="AF1190">
        <v>5.8799382561026796</v>
      </c>
      <c r="AG1190">
        <v>-1.1041105458610001</v>
      </c>
      <c r="AH1190">
        <v>68.845937146975899</v>
      </c>
      <c r="AI1190">
        <v>90.915464920932493</v>
      </c>
      <c r="AJ1190">
        <v>85.118374778781799</v>
      </c>
      <c r="AK1190">
        <v>69.105396284504494</v>
      </c>
    </row>
    <row r="1191" spans="1:37" x14ac:dyDescent="0.2">
      <c r="A1191" t="str">
        <f>"20200111155521633"</f>
        <v>20200111155521633</v>
      </c>
      <c r="B1191" t="str">
        <f>"1578729321623631"</f>
        <v>1578729321623631</v>
      </c>
      <c r="C1191" t="s">
        <v>37</v>
      </c>
      <c r="D1191">
        <v>4.5736889999999999</v>
      </c>
      <c r="E1191">
        <v>0.57694369999999995</v>
      </c>
      <c r="F1191" t="s">
        <v>42</v>
      </c>
      <c r="G1191">
        <v>-196.982</v>
      </c>
      <c r="H1191" s="1">
        <v>-8.5059049999999997E-6</v>
      </c>
      <c r="I1191">
        <v>364.8689</v>
      </c>
      <c r="J1191">
        <v>-265.9674</v>
      </c>
      <c r="K1191">
        <v>1.104109</v>
      </c>
      <c r="L1191">
        <v>367.9486</v>
      </c>
      <c r="M1191">
        <v>0.9991466</v>
      </c>
      <c r="N1191">
        <v>0</v>
      </c>
      <c r="O1191">
        <v>4.0157379999999999E-2</v>
      </c>
      <c r="P1191">
        <v>0.98760539999999997</v>
      </c>
      <c r="Q1191">
        <v>1.3990259999999999E-2</v>
      </c>
      <c r="R1191">
        <v>0.15633320000000001</v>
      </c>
      <c r="S1191">
        <v>3.0598139999999998</v>
      </c>
      <c r="T1191">
        <v>-4.8861620000000001E-2</v>
      </c>
      <c r="U1191">
        <v>-0.13601679999999999</v>
      </c>
      <c r="V1191">
        <v>-0.11653719999999999</v>
      </c>
      <c r="W1191">
        <v>2.3633009999999999E-2</v>
      </c>
      <c r="X1191">
        <v>0.99290509999999998</v>
      </c>
      <c r="Y1191">
        <v>8.4476750000000003E-2</v>
      </c>
      <c r="Z1191">
        <v>-1.3150739999999901E-3</v>
      </c>
      <c r="AA1191">
        <v>0.99642459999999899</v>
      </c>
      <c r="AB1191">
        <v>29</v>
      </c>
      <c r="AC1191">
        <v>68.985399999999998</v>
      </c>
      <c r="AD1191">
        <v>-1.1041175059049999</v>
      </c>
      <c r="AE1191">
        <v>-3.0796999999999999</v>
      </c>
      <c r="AF1191">
        <v>5.8461233805218598</v>
      </c>
      <c r="AG1191">
        <v>-1.1041175059049999</v>
      </c>
      <c r="AH1191">
        <v>68.788484431623502</v>
      </c>
      <c r="AI1191">
        <v>90.916267732442805</v>
      </c>
      <c r="AJ1191">
        <v>85.1422795162771</v>
      </c>
      <c r="AK1191">
        <v>69.045288213221596</v>
      </c>
    </row>
    <row r="1192" spans="1:37" x14ac:dyDescent="0.2">
      <c r="A1192" t="str">
        <f>"20200111155521645"</f>
        <v>20200111155521645</v>
      </c>
      <c r="B1192" t="str">
        <f>"1578729321633392"</f>
        <v>1578729321633392</v>
      </c>
      <c r="C1192" t="s">
        <v>37</v>
      </c>
      <c r="D1192">
        <v>4.5724390000000001</v>
      </c>
      <c r="E1192">
        <v>0.57702549999999997</v>
      </c>
      <c r="F1192" t="s">
        <v>42</v>
      </c>
      <c r="G1192">
        <v>-195.1591</v>
      </c>
      <c r="H1192" s="1">
        <v>-7.8555020000000001E-6</v>
      </c>
      <c r="I1192">
        <v>364.78280000000001</v>
      </c>
      <c r="J1192">
        <v>-265.80489999999998</v>
      </c>
      <c r="K1192">
        <v>1.1041179999999999</v>
      </c>
      <c r="L1192">
        <v>367.95510000000002</v>
      </c>
      <c r="M1192">
        <v>0.99914979999999998</v>
      </c>
      <c r="N1192">
        <v>0</v>
      </c>
      <c r="O1192">
        <v>4.0073049999999999E-2</v>
      </c>
      <c r="P1192">
        <v>0.98757689999999998</v>
      </c>
      <c r="Q1192">
        <v>1.4290000000000001E-2</v>
      </c>
      <c r="R1192">
        <v>0.15648599999999999</v>
      </c>
      <c r="S1192">
        <v>3.05999799999999</v>
      </c>
      <c r="T1192">
        <v>-4.771471E-2</v>
      </c>
      <c r="U1192">
        <v>-0.1368103</v>
      </c>
      <c r="V1192">
        <v>-0.116775</v>
      </c>
      <c r="W1192">
        <v>2.3952879999999999E-2</v>
      </c>
      <c r="X1192">
        <v>0.99286949999999996</v>
      </c>
      <c r="Y1192">
        <v>8.4648589999999996E-2</v>
      </c>
      <c r="Z1192">
        <v>-1.2841510000000001E-3</v>
      </c>
      <c r="AA1192">
        <v>0.99641000000000002</v>
      </c>
      <c r="AB1192">
        <v>29</v>
      </c>
      <c r="AC1192">
        <v>70.645799999999895</v>
      </c>
      <c r="AD1192">
        <v>-1.1041258555019999</v>
      </c>
      <c r="AE1192">
        <v>-3.1722999999999999</v>
      </c>
      <c r="AF1192">
        <v>5.9994146085686602</v>
      </c>
      <c r="AG1192">
        <v>-1.1041258555019999</v>
      </c>
      <c r="AH1192">
        <v>70.444746239446602</v>
      </c>
      <c r="AI1192">
        <v>90.894721770323002</v>
      </c>
      <c r="AJ1192">
        <v>85.132161077205694</v>
      </c>
      <c r="AK1192">
        <v>70.708375333409606</v>
      </c>
    </row>
    <row r="1193" spans="1:37" x14ac:dyDescent="0.2">
      <c r="A1193" t="str">
        <f>"20200111155521657"</f>
        <v>20200111155521657</v>
      </c>
      <c r="B1193" t="str">
        <f>"1578729321653540"</f>
        <v>1578729321653540</v>
      </c>
      <c r="C1193" t="s">
        <v>37</v>
      </c>
      <c r="D1193">
        <v>4.819947</v>
      </c>
      <c r="E1193">
        <v>0.57702549999999997</v>
      </c>
      <c r="F1193" t="s">
        <v>42</v>
      </c>
      <c r="G1193">
        <v>-194.9639</v>
      </c>
      <c r="H1193" s="1">
        <v>-7.783457E-6</v>
      </c>
      <c r="I1193">
        <v>364.7901</v>
      </c>
      <c r="J1193">
        <v>-265.64109999999999</v>
      </c>
      <c r="K1193">
        <v>1.1041259999999999</v>
      </c>
      <c r="L1193">
        <v>367.96159999999998</v>
      </c>
      <c r="M1193">
        <v>0.99915299999999996</v>
      </c>
      <c r="N1193">
        <v>0</v>
      </c>
      <c r="O1193">
        <v>3.9987880000000003E-2</v>
      </c>
      <c r="P1193">
        <v>0.98756049999999995</v>
      </c>
      <c r="Q1193">
        <v>1.469781E-2</v>
      </c>
      <c r="R1193">
        <v>0.15655179999999999</v>
      </c>
      <c r="S1193">
        <v>3.06012</v>
      </c>
      <c r="T1193">
        <v>-4.7694920000000002E-2</v>
      </c>
      <c r="U1193">
        <v>-0.136718799999999</v>
      </c>
      <c r="V1193">
        <v>-0.11692619999999999</v>
      </c>
      <c r="W1193">
        <v>2.438334E-2</v>
      </c>
      <c r="X1193">
        <v>0.99284119999999998</v>
      </c>
      <c r="Y1193">
        <v>8.4532189999999993E-2</v>
      </c>
      <c r="Z1193">
        <v>-1.281335E-3</v>
      </c>
      <c r="AA1193">
        <v>0.99641990000000003</v>
      </c>
      <c r="AB1193">
        <v>29</v>
      </c>
      <c r="AC1193">
        <v>70.677199999999999</v>
      </c>
      <c r="AD1193">
        <v>-1.104133783457</v>
      </c>
      <c r="AE1193">
        <v>-3.17149999999998</v>
      </c>
      <c r="AF1193">
        <v>5.9938677906927502</v>
      </c>
      <c r="AG1193">
        <v>-1.104133783457</v>
      </c>
      <c r="AH1193">
        <v>70.476671520978101</v>
      </c>
      <c r="AI1193">
        <v>90.894331817000904</v>
      </c>
      <c r="AJ1193">
        <v>85.138832586902694</v>
      </c>
      <c r="AK1193">
        <v>70.739711557087304</v>
      </c>
    </row>
    <row r="1194" spans="1:37" x14ac:dyDescent="0.2">
      <c r="A1194" t="str">
        <f>"20200111155521670"</f>
        <v>20200111155521670</v>
      </c>
      <c r="B1194" t="str">
        <f>"1578729321663300"</f>
        <v>1578729321663300</v>
      </c>
      <c r="C1194" t="s">
        <v>37</v>
      </c>
      <c r="D1194">
        <v>4.8905089999999998</v>
      </c>
      <c r="E1194">
        <v>0.57702549999999997</v>
      </c>
      <c r="F1194" t="s">
        <v>42</v>
      </c>
      <c r="G1194">
        <v>-192.63730000000001</v>
      </c>
      <c r="H1194" s="1">
        <v>-6.9783749999999999E-6</v>
      </c>
      <c r="I1194">
        <v>364.70359999999999</v>
      </c>
      <c r="J1194">
        <v>-265.48630000000003</v>
      </c>
      <c r="K1194">
        <v>1.1041319999999999</v>
      </c>
      <c r="L1194">
        <v>367.96769999999998</v>
      </c>
      <c r="M1194">
        <v>0.99915599999999904</v>
      </c>
      <c r="N1194">
        <v>0</v>
      </c>
      <c r="O1194">
        <v>3.9907459999999999E-2</v>
      </c>
      <c r="P1194">
        <v>0.98758330000000005</v>
      </c>
      <c r="Q1194">
        <v>1.4656519999999999E-2</v>
      </c>
      <c r="R1194">
        <v>0.15641140000000001</v>
      </c>
      <c r="S1194">
        <v>3.0601500000000001</v>
      </c>
      <c r="T1194">
        <v>-4.6282650000000002E-2</v>
      </c>
      <c r="U1194">
        <v>-0.1365662</v>
      </c>
      <c r="V1194">
        <v>-0.116864699999999</v>
      </c>
      <c r="W1194">
        <v>2.4367130000000001E-2</v>
      </c>
      <c r="X1194">
        <v>0.99284889999999903</v>
      </c>
      <c r="Y1194">
        <v>8.4402870000000005E-2</v>
      </c>
      <c r="Z1194">
        <v>-1.2411939999999999E-3</v>
      </c>
      <c r="AA1194">
        <v>0.99643090000000001</v>
      </c>
      <c r="AB1194">
        <v>29</v>
      </c>
      <c r="AC1194">
        <v>72.849000000000004</v>
      </c>
      <c r="AD1194">
        <v>-1.104138978375</v>
      </c>
      <c r="AE1194">
        <v>-3.26409999999998</v>
      </c>
      <c r="AF1194">
        <v>6.1674417498734204</v>
      </c>
      <c r="AG1194">
        <v>-1.104138978375</v>
      </c>
      <c r="AH1194">
        <v>72.644039015866795</v>
      </c>
      <c r="AI1194">
        <v>90.867668085451797</v>
      </c>
      <c r="AJ1194">
        <v>85.147254708736995</v>
      </c>
      <c r="AK1194">
        <v>72.913735778386993</v>
      </c>
    </row>
    <row r="1195" spans="1:37" x14ac:dyDescent="0.2">
      <c r="A1195" t="str">
        <f>"20200111155521681"</f>
        <v>20200111155521681</v>
      </c>
      <c r="B1195" t="str">
        <f>"1578729321674036"</f>
        <v>1578729321674036</v>
      </c>
      <c r="C1195" t="s">
        <v>37</v>
      </c>
      <c r="D1195">
        <v>4.9188190000000001</v>
      </c>
      <c r="E1195">
        <v>0.57702549999999997</v>
      </c>
      <c r="F1195" t="s">
        <v>42</v>
      </c>
      <c r="G1195">
        <v>-192.4726</v>
      </c>
      <c r="H1195" s="1">
        <v>-6.9206039999999902E-6</v>
      </c>
      <c r="I1195">
        <v>364.70339999999999</v>
      </c>
      <c r="J1195">
        <v>-265.33030000000002</v>
      </c>
      <c r="K1195">
        <v>1.1041369999999999</v>
      </c>
      <c r="L1195">
        <v>367.97390000000001</v>
      </c>
      <c r="M1195">
        <v>0.99915900000000002</v>
      </c>
      <c r="N1195">
        <v>0</v>
      </c>
      <c r="O1195">
        <v>3.982637E-2</v>
      </c>
      <c r="P1195">
        <v>0.98763509999999999</v>
      </c>
      <c r="Q1195">
        <v>1.442855E-2</v>
      </c>
      <c r="R1195">
        <v>0.156106299999999</v>
      </c>
      <c r="S1195">
        <v>3.0600890000000001</v>
      </c>
      <c r="T1195">
        <v>-4.6275730000000001E-2</v>
      </c>
      <c r="U1195">
        <v>-0.1368103</v>
      </c>
      <c r="V1195">
        <v>-0.11663849999999901</v>
      </c>
      <c r="W1195">
        <v>2.4166440000000001E-2</v>
      </c>
      <c r="X1195">
        <v>0.9928804</v>
      </c>
      <c r="Y1195">
        <v>8.4402240000000003E-2</v>
      </c>
      <c r="Z1195">
        <v>-1.2398019999999999E-3</v>
      </c>
      <c r="AA1195">
        <v>0.99643099999999996</v>
      </c>
      <c r="AB1195">
        <v>29</v>
      </c>
      <c r="AC1195">
        <v>72.857699999999994</v>
      </c>
      <c r="AD1195">
        <v>-1.104143920604</v>
      </c>
      <c r="AE1195">
        <v>-3.2705000000000202</v>
      </c>
      <c r="AF1195">
        <v>6.1682869575280401</v>
      </c>
      <c r="AG1195">
        <v>-1.104143920604</v>
      </c>
      <c r="AH1195">
        <v>72.652979470889406</v>
      </c>
      <c r="AI1195">
        <v>90.867565125145205</v>
      </c>
      <c r="AJ1195">
        <v>85.147187241331807</v>
      </c>
      <c r="AK1195">
        <v>72.922714731318706</v>
      </c>
    </row>
    <row r="1196" spans="1:37" x14ac:dyDescent="0.2">
      <c r="A1196" t="str">
        <f>"20200111155521694"</f>
        <v>20200111155521694</v>
      </c>
      <c r="B1196" t="str">
        <f>"1578729321683795"</f>
        <v>1578729321683795</v>
      </c>
      <c r="C1196" t="s">
        <v>37</v>
      </c>
      <c r="D1196">
        <v>4.9193179999999996</v>
      </c>
      <c r="E1196">
        <v>0.57702549999999997</v>
      </c>
      <c r="F1196" t="s">
        <v>42</v>
      </c>
      <c r="G1196">
        <v>-193.10499999999999</v>
      </c>
      <c r="H1196" s="1">
        <v>-7.1398650000000001E-6</v>
      </c>
      <c r="I1196">
        <v>364.72089999999997</v>
      </c>
      <c r="J1196">
        <v>-265.16370000000001</v>
      </c>
      <c r="K1196">
        <v>1.1041379999999901</v>
      </c>
      <c r="L1196">
        <v>367.98039999999997</v>
      </c>
      <c r="M1196">
        <v>0.99916199999999999</v>
      </c>
      <c r="N1196">
        <v>0</v>
      </c>
      <c r="O1196">
        <v>3.9740299999999999E-2</v>
      </c>
      <c r="P1196">
        <v>0.98765400000000003</v>
      </c>
      <c r="Q1196">
        <v>1.4200809999999999E-2</v>
      </c>
      <c r="R1196">
        <v>0.15600620000000001</v>
      </c>
      <c r="S1196">
        <v>3.0599669999999999</v>
      </c>
      <c r="T1196">
        <v>-4.6779269999999998E-2</v>
      </c>
      <c r="U1196">
        <v>-0.13781740000000001</v>
      </c>
      <c r="V1196">
        <v>-0.116623399999999</v>
      </c>
      <c r="W1196">
        <v>2.3972899999999998E-2</v>
      </c>
      <c r="X1196">
        <v>0.99288679999999996</v>
      </c>
      <c r="Y1196">
        <v>8.4645120000000004E-2</v>
      </c>
      <c r="Z1196">
        <v>-1.253873E-3</v>
      </c>
      <c r="AA1196">
        <v>0.99641039999999903</v>
      </c>
      <c r="AB1196">
        <v>30</v>
      </c>
      <c r="AC1196">
        <v>72.058700000000002</v>
      </c>
      <c r="AD1196">
        <v>-1.10414513986499</v>
      </c>
      <c r="AE1196">
        <v>-3.2595000000000001</v>
      </c>
      <c r="AF1196">
        <v>6.1192629067802402</v>
      </c>
      <c r="AG1196">
        <v>-1.10414513986499</v>
      </c>
      <c r="AH1196">
        <v>71.855395003713994</v>
      </c>
      <c r="AI1196">
        <v>90.877175184443004</v>
      </c>
      <c r="AJ1196">
        <v>85.132390144136494</v>
      </c>
      <c r="AK1196">
        <v>72.123937123204499</v>
      </c>
    </row>
    <row r="1197" spans="1:37" x14ac:dyDescent="0.2">
      <c r="A1197" t="str">
        <f>"20200111155521756"</f>
        <v>20200111155521756</v>
      </c>
      <c r="B1197" t="str">
        <f>"1578729321743429"</f>
        <v>1578729321743429</v>
      </c>
      <c r="C1197" t="s">
        <v>37</v>
      </c>
      <c r="D1197">
        <v>5.0860059999999896</v>
      </c>
      <c r="E1197">
        <v>0.57674689999999995</v>
      </c>
      <c r="F1197" t="s">
        <v>42</v>
      </c>
      <c r="G1197">
        <v>-193.86859999999999</v>
      </c>
      <c r="H1197" s="1">
        <v>-7.4016380000000002E-6</v>
      </c>
      <c r="I1197">
        <v>364.76089999999999</v>
      </c>
      <c r="J1197">
        <v>-264.34660000000002</v>
      </c>
      <c r="K1197">
        <v>1.10416</v>
      </c>
      <c r="L1197">
        <v>368.01240000000001</v>
      </c>
      <c r="M1197">
        <v>0.99917659999999997</v>
      </c>
      <c r="N1197">
        <v>0</v>
      </c>
      <c r="O1197">
        <v>3.931751E-2</v>
      </c>
      <c r="P1197">
        <v>0.98782990000000004</v>
      </c>
      <c r="Q1197">
        <v>1.1603250000000001E-2</v>
      </c>
      <c r="R1197">
        <v>0.15510409999999999</v>
      </c>
      <c r="S1197">
        <v>3.060028</v>
      </c>
      <c r="T1197">
        <v>-4.7390580000000002E-2</v>
      </c>
      <c r="U1197">
        <v>-0.13818359999999999</v>
      </c>
      <c r="V1197">
        <v>-0.1161354</v>
      </c>
      <c r="W1197">
        <v>2.1590290000000002E-2</v>
      </c>
      <c r="X1197">
        <v>0.99299869999999901</v>
      </c>
      <c r="Y1197">
        <v>8.434142E-2</v>
      </c>
      <c r="Z1197">
        <v>-1.2613360000000001E-3</v>
      </c>
      <c r="AA1197">
        <v>0.99643609999999905</v>
      </c>
      <c r="AB1197">
        <v>30</v>
      </c>
      <c r="AC1197">
        <v>70.477999999999994</v>
      </c>
      <c r="AD1197">
        <v>-1.1041674016380001</v>
      </c>
      <c r="AE1197">
        <v>-3.25150000000002</v>
      </c>
      <c r="AF1197">
        <v>6.0186698245296899</v>
      </c>
      <c r="AG1197">
        <v>-1.1041674016380001</v>
      </c>
      <c r="AH1197">
        <v>70.278438187249606</v>
      </c>
      <c r="AI1197">
        <v>90.896836297825203</v>
      </c>
      <c r="AJ1197">
        <v>85.105113058372794</v>
      </c>
      <c r="AK1197">
        <v>70.544329652684397</v>
      </c>
    </row>
    <row r="1198" spans="1:37" x14ac:dyDescent="0.2">
      <c r="A1198" t="str">
        <f>"20200111155521767"</f>
        <v>20200111155521767</v>
      </c>
      <c r="B1198" t="str">
        <f>"1578729321763924"</f>
        <v>1578729321763924</v>
      </c>
      <c r="C1198" t="s">
        <v>37</v>
      </c>
      <c r="D1198">
        <v>5.1360239999999999</v>
      </c>
      <c r="E1198">
        <v>0.57674689999999995</v>
      </c>
      <c r="F1198" t="s">
        <v>42</v>
      </c>
      <c r="G1198">
        <v>-205.25380000000001</v>
      </c>
      <c r="H1198" s="1">
        <v>-4.024733E-6</v>
      </c>
      <c r="I1198">
        <v>365.3245</v>
      </c>
      <c r="J1198">
        <v>-264.19850000000002</v>
      </c>
      <c r="K1198">
        <v>1.1041669999999999</v>
      </c>
      <c r="L1198">
        <v>368.0181</v>
      </c>
      <c r="M1198">
        <v>0.99917919999999905</v>
      </c>
      <c r="N1198">
        <v>0</v>
      </c>
      <c r="O1198">
        <v>3.9240699999999899E-2</v>
      </c>
      <c r="P1198">
        <v>0.98788739999999997</v>
      </c>
      <c r="Q1198">
        <v>1.0756180000000001E-2</v>
      </c>
      <c r="R1198">
        <v>0.15480089999999999</v>
      </c>
      <c r="S1198">
        <v>3.0594790000000001</v>
      </c>
      <c r="T1198">
        <v>-5.7167170000000003E-2</v>
      </c>
      <c r="U1198">
        <v>-0.13916020000000001</v>
      </c>
      <c r="V1198">
        <v>-0.115907199999999</v>
      </c>
      <c r="W1198">
        <v>2.079462E-2</v>
      </c>
      <c r="X1198">
        <v>0.99304230000000004</v>
      </c>
      <c r="Y1198">
        <v>8.4583530000000004E-2</v>
      </c>
      <c r="Z1198">
        <v>-1.5225950000000001E-3</v>
      </c>
      <c r="AA1198">
        <v>0.9964153</v>
      </c>
      <c r="AB1198">
        <v>30</v>
      </c>
      <c r="AC1198">
        <v>58.944699999999997</v>
      </c>
      <c r="AD1198">
        <v>-1.1041710247329899</v>
      </c>
      <c r="AE1198">
        <v>-2.6936</v>
      </c>
      <c r="AF1198">
        <v>5.0029214933420203</v>
      </c>
      <c r="AG1198">
        <v>-1.1041710247329899</v>
      </c>
      <c r="AH1198">
        <v>58.773010884674399</v>
      </c>
      <c r="AI1198">
        <v>91.072414229786304</v>
      </c>
      <c r="AJ1198">
        <v>85.134553402645807</v>
      </c>
      <c r="AK1198">
        <v>58.995891599080501</v>
      </c>
    </row>
    <row r="1199" spans="1:37" x14ac:dyDescent="0.2">
      <c r="A1199" t="str">
        <f>"20200111155521779"</f>
        <v>20200111155521779</v>
      </c>
      <c r="B1199" t="str">
        <f>"1578729321773684"</f>
        <v>1578729321773684</v>
      </c>
      <c r="C1199" t="s">
        <v>37</v>
      </c>
      <c r="D1199">
        <v>4.7648950000000001</v>
      </c>
      <c r="E1199">
        <v>0.57709480000000002</v>
      </c>
      <c r="F1199" t="s">
        <v>42</v>
      </c>
      <c r="G1199">
        <v>-207.84880000000001</v>
      </c>
      <c r="H1199" s="1">
        <v>-5.2072690000000003E-6</v>
      </c>
      <c r="I1199">
        <v>365.44319999999999</v>
      </c>
      <c r="J1199">
        <v>-264.03429999999997</v>
      </c>
      <c r="K1199">
        <v>1.1041700000000001</v>
      </c>
      <c r="L1199">
        <v>368.02449999999999</v>
      </c>
      <c r="M1199">
        <v>0.99918169999999995</v>
      </c>
      <c r="N1199">
        <v>0</v>
      </c>
      <c r="O1199">
        <v>3.9155919999999997E-2</v>
      </c>
      <c r="P1199">
        <v>0.98790909999999998</v>
      </c>
      <c r="Q1199">
        <v>9.9258750000000007E-3</v>
      </c>
      <c r="R1199">
        <v>0.15471589999999999</v>
      </c>
      <c r="S1199">
        <v>3.0593569999999999</v>
      </c>
      <c r="T1199">
        <v>-5.9948090000000002E-2</v>
      </c>
      <c r="U1199">
        <v>-0.13980100000000001</v>
      </c>
      <c r="V1199">
        <v>-0.115906199999999</v>
      </c>
      <c r="W1199">
        <v>2.0022789999999999E-2</v>
      </c>
      <c r="X1199">
        <v>0.99305829999999995</v>
      </c>
      <c r="Y1199">
        <v>8.4706950000000003E-2</v>
      </c>
      <c r="Z1199">
        <v>-1.5962539999999901E-3</v>
      </c>
      <c r="AA1199">
        <v>0.99640459999999997</v>
      </c>
      <c r="AB1199">
        <v>30</v>
      </c>
      <c r="AC1199">
        <v>56.185499999999898</v>
      </c>
      <c r="AD1199">
        <v>-1.1041752072690001</v>
      </c>
      <c r="AE1199">
        <v>-2.5812999999999899</v>
      </c>
      <c r="AF1199">
        <v>4.7775869189219096</v>
      </c>
      <c r="AG1199">
        <v>-1.1041752072690001</v>
      </c>
      <c r="AH1199">
        <v>56.019739256033901</v>
      </c>
      <c r="AI1199">
        <v>91.125097192299506</v>
      </c>
      <c r="AJ1199">
        <v>85.125382720940493</v>
      </c>
      <c r="AK1199">
        <v>56.233937493032002</v>
      </c>
    </row>
    <row r="1200" spans="1:37" x14ac:dyDescent="0.2">
      <c r="A1200" t="str">
        <f>"20200111155521791"</f>
        <v>20200111155521791</v>
      </c>
      <c r="B1200" t="str">
        <f>"1578729321783444"</f>
        <v>1578729321783444</v>
      </c>
      <c r="C1200" t="s">
        <v>37</v>
      </c>
      <c r="D1200">
        <v>4.6837819999999999</v>
      </c>
      <c r="E1200">
        <v>0.57658339999999997</v>
      </c>
      <c r="F1200" t="s">
        <v>38</v>
      </c>
      <c r="G1200">
        <v>-212.81</v>
      </c>
      <c r="H1200" s="1">
        <v>-3.7735980000000001E-6</v>
      </c>
      <c r="I1200">
        <v>365.63189999999997</v>
      </c>
      <c r="J1200">
        <v>-263.8759</v>
      </c>
      <c r="K1200">
        <v>1.104179</v>
      </c>
      <c r="L1200">
        <v>368.03059999999999</v>
      </c>
      <c r="M1200">
        <v>0.99918449999999903</v>
      </c>
      <c r="N1200">
        <v>0</v>
      </c>
      <c r="O1200">
        <v>3.907397E-2</v>
      </c>
      <c r="P1200">
        <v>0.98795219999999995</v>
      </c>
      <c r="Q1200">
        <v>9.1673039999999994E-3</v>
      </c>
      <c r="R1200">
        <v>0.154489299999999</v>
      </c>
      <c r="S1200">
        <v>3.05975299999999</v>
      </c>
      <c r="T1200">
        <v>-6.595492E-2</v>
      </c>
      <c r="U1200">
        <v>-0.14291379999999901</v>
      </c>
      <c r="V1200">
        <v>-0.1157596</v>
      </c>
      <c r="W1200">
        <v>1.9327690000000002E-2</v>
      </c>
      <c r="X1200">
        <v>0.99308920000000001</v>
      </c>
      <c r="Y1200">
        <v>8.5625660000000006E-2</v>
      </c>
      <c r="Z1200">
        <v>-1.7640310000000001E-3</v>
      </c>
      <c r="AA1200">
        <v>0.99632579999999904</v>
      </c>
      <c r="AB1200">
        <v>30</v>
      </c>
      <c r="AC1200">
        <v>51.065899999999999</v>
      </c>
      <c r="AD1200">
        <v>-1.1041827735980001</v>
      </c>
      <c r="AE1200">
        <v>-2.3987000000000198</v>
      </c>
      <c r="AF1200">
        <v>4.3902706308509796</v>
      </c>
      <c r="AG1200">
        <v>-1.1041827735980001</v>
      </c>
      <c r="AH1200">
        <v>50.909416558959201</v>
      </c>
      <c r="AI1200">
        <v>91.237909767654102</v>
      </c>
      <c r="AJ1200">
        <v>85.0711832581609</v>
      </c>
      <c r="AK1200">
        <v>51.110296322592902</v>
      </c>
    </row>
    <row r="1201" spans="1:37" x14ac:dyDescent="0.2">
      <c r="A1201" t="str">
        <f>"20200111155521803"</f>
        <v>20200111155521803</v>
      </c>
      <c r="B1201" t="str">
        <f>"1578729321793205"</f>
        <v>1578729321793205</v>
      </c>
      <c r="C1201" t="s">
        <v>37</v>
      </c>
      <c r="D1201">
        <v>4.8700950000000001</v>
      </c>
      <c r="E1201">
        <v>0.57658339999999997</v>
      </c>
      <c r="F1201" t="s">
        <v>38</v>
      </c>
      <c r="G1201">
        <v>-216.51230000000001</v>
      </c>
      <c r="H1201" s="1">
        <v>-2.1699319999999998E-6</v>
      </c>
      <c r="I1201">
        <v>365.86939999999998</v>
      </c>
      <c r="J1201">
        <v>-263.71769999999998</v>
      </c>
      <c r="K1201">
        <v>1.104187</v>
      </c>
      <c r="L1201">
        <v>368.0367</v>
      </c>
      <c r="M1201">
        <v>0.99918700000000005</v>
      </c>
      <c r="N1201">
        <v>0</v>
      </c>
      <c r="O1201">
        <v>3.8992489999999998E-2</v>
      </c>
      <c r="P1201">
        <v>0.98799530000000002</v>
      </c>
      <c r="Q1201">
        <v>8.2491449999999994E-3</v>
      </c>
      <c r="R1201">
        <v>0.1542644</v>
      </c>
      <c r="S1201">
        <v>3.0590820000000001</v>
      </c>
      <c r="T1201">
        <v>-7.1315879999999998E-2</v>
      </c>
      <c r="U1201">
        <v>-0.1395874</v>
      </c>
      <c r="V1201">
        <v>-0.1156142</v>
      </c>
      <c r="W1201">
        <v>1.8474310000000001E-2</v>
      </c>
      <c r="X1201">
        <v>0.99312239999999996</v>
      </c>
      <c r="Y1201">
        <v>8.4468909999999994E-2</v>
      </c>
      <c r="Z1201">
        <v>-1.892466E-3</v>
      </c>
      <c r="AA1201">
        <v>0.99642430000000004</v>
      </c>
      <c r="AB1201">
        <v>30</v>
      </c>
      <c r="AC1201">
        <v>47.205399999999898</v>
      </c>
      <c r="AD1201">
        <v>-1.1041891699319999</v>
      </c>
      <c r="AE1201">
        <v>-2.1673000000000102</v>
      </c>
      <c r="AF1201">
        <v>4.0042179783367899</v>
      </c>
      <c r="AG1201">
        <v>-1.1041891699319999</v>
      </c>
      <c r="AH1201">
        <v>47.059289678252298</v>
      </c>
      <c r="AI1201">
        <v>91.339291570230401</v>
      </c>
      <c r="AJ1201">
        <v>85.136486365306098</v>
      </c>
      <c r="AK1201">
        <v>47.242245293409802</v>
      </c>
    </row>
    <row r="1202" spans="1:37" x14ac:dyDescent="0.2">
      <c r="A1202" t="str">
        <f>"20200111155521816"</f>
        <v>20200111155521816</v>
      </c>
      <c r="B1202" t="str">
        <f>"1578729321813701"</f>
        <v>1578729321813701</v>
      </c>
      <c r="C1202" t="s">
        <v>37</v>
      </c>
      <c r="D1202">
        <v>4.8889699999999996</v>
      </c>
      <c r="E1202">
        <v>0.54873559999999999</v>
      </c>
      <c r="F1202" t="s">
        <v>38</v>
      </c>
      <c r="G1202">
        <v>-218.05459999999999</v>
      </c>
      <c r="H1202" s="1">
        <v>-1.6251379999999999E-6</v>
      </c>
      <c r="I1202">
        <v>365.94439999999997</v>
      </c>
      <c r="J1202">
        <v>-263.54180000000002</v>
      </c>
      <c r="K1202">
        <v>1.1041989999999999</v>
      </c>
      <c r="L1202">
        <v>368.04349999999999</v>
      </c>
      <c r="M1202">
        <v>0.99918969999999896</v>
      </c>
      <c r="N1202">
        <v>0</v>
      </c>
      <c r="O1202">
        <v>3.890147E-2</v>
      </c>
      <c r="P1202">
        <v>0.98802630000000002</v>
      </c>
      <c r="Q1202">
        <v>7.4286129999999997E-3</v>
      </c>
      <c r="R1202">
        <v>0.1541081</v>
      </c>
      <c r="S1202">
        <v>3.0589900000000001</v>
      </c>
      <c r="T1202">
        <v>-7.3969960000000001E-2</v>
      </c>
      <c r="U1202">
        <v>-0.14016719999999999</v>
      </c>
      <c r="V1202">
        <v>-0.1155476</v>
      </c>
      <c r="W1202">
        <v>1.7728649999999999E-2</v>
      </c>
      <c r="X1202">
        <v>0.99314369999999996</v>
      </c>
      <c r="Y1202">
        <v>8.4565479999999998E-2</v>
      </c>
      <c r="Z1202">
        <v>-1.961895E-3</v>
      </c>
      <c r="AA1202">
        <v>0.99641599999999997</v>
      </c>
      <c r="AB1202">
        <v>30</v>
      </c>
      <c r="AC1202">
        <v>45.487200000000001</v>
      </c>
      <c r="AD1202">
        <v>-1.1042006251379901</v>
      </c>
      <c r="AE1202">
        <v>-2.0991000000000199</v>
      </c>
      <c r="AF1202">
        <v>3.8648515870796198</v>
      </c>
      <c r="AG1202">
        <v>-1.1042006251379901</v>
      </c>
      <c r="AH1202">
        <v>45.344438887118798</v>
      </c>
      <c r="AI1202">
        <v>91.389919279150206</v>
      </c>
      <c r="AJ1202">
        <v>85.128271861976401</v>
      </c>
      <c r="AK1202">
        <v>45.522241539695301</v>
      </c>
    </row>
    <row r="1203" spans="1:37" x14ac:dyDescent="0.2">
      <c r="A1203" t="str">
        <f>"20200111155521830"</f>
        <v>20200111155521830</v>
      </c>
      <c r="B1203" t="str">
        <f>"1578729321823460"</f>
        <v>1578729321823460</v>
      </c>
      <c r="C1203" t="s">
        <v>37</v>
      </c>
      <c r="D1203">
        <v>4.8370129999999998</v>
      </c>
      <c r="E1203">
        <v>0.54804980000000003</v>
      </c>
      <c r="F1203" t="s">
        <v>38</v>
      </c>
      <c r="G1203">
        <v>-236.47229999999999</v>
      </c>
      <c r="H1203" s="1">
        <v>-1.649643E-6</v>
      </c>
      <c r="I1203">
        <v>368.74860000000001</v>
      </c>
      <c r="J1203">
        <v>-263.35809999999998</v>
      </c>
      <c r="K1203">
        <v>1.1042019999999999</v>
      </c>
      <c r="L1203">
        <v>368.05059999999997</v>
      </c>
      <c r="M1203">
        <v>0.99919249999999904</v>
      </c>
      <c r="N1203">
        <v>0</v>
      </c>
      <c r="O1203">
        <v>3.8806279999999999E-2</v>
      </c>
      <c r="P1203">
        <v>0.98805469999999895</v>
      </c>
      <c r="Q1203">
        <v>6.5563660000000001E-3</v>
      </c>
      <c r="R1203">
        <v>0.15396399999999999</v>
      </c>
      <c r="S1203">
        <v>3.024994</v>
      </c>
      <c r="T1203">
        <v>-0.12339310000000001</v>
      </c>
      <c r="U1203">
        <v>7.8796389999999994E-2</v>
      </c>
      <c r="V1203">
        <v>-0.115497499999999</v>
      </c>
      <c r="W1203">
        <v>1.6942949999999998E-2</v>
      </c>
      <c r="X1203">
        <v>0.99316329999999997</v>
      </c>
      <c r="Y1203">
        <v>1.273242E-2</v>
      </c>
      <c r="Z1203">
        <v>-1.841149E-3</v>
      </c>
      <c r="AA1203">
        <v>0.99991730000000001</v>
      </c>
      <c r="AB1203">
        <v>30</v>
      </c>
      <c r="AC1203">
        <v>26.8857999999999</v>
      </c>
      <c r="AD1203">
        <v>-1.1042036496430001</v>
      </c>
      <c r="AE1203">
        <v>0.69800000000003504</v>
      </c>
      <c r="AF1203">
        <v>0.34533816167764197</v>
      </c>
      <c r="AG1203">
        <v>-1.1042036496430001</v>
      </c>
      <c r="AH1203">
        <v>26.847379902404398</v>
      </c>
      <c r="AI1203">
        <v>92.354991338347901</v>
      </c>
      <c r="AJ1203">
        <v>89.263044361068594</v>
      </c>
      <c r="AK1203">
        <v>26.8722967341801</v>
      </c>
    </row>
    <row r="1204" spans="1:37" x14ac:dyDescent="0.2">
      <c r="A1204" t="str">
        <f>"20200111155521843"</f>
        <v>20200111155521843</v>
      </c>
      <c r="B1204" t="str">
        <f>"1578729321834196"</f>
        <v>1578729321834196</v>
      </c>
      <c r="C1204" t="s">
        <v>37</v>
      </c>
      <c r="D1204">
        <v>4.8316290000000004</v>
      </c>
      <c r="E1204">
        <v>0.54746919999999899</v>
      </c>
      <c r="F1204" t="s">
        <v>38</v>
      </c>
      <c r="G1204">
        <v>-236.2654</v>
      </c>
      <c r="H1204" s="1">
        <v>-1.7291229999999899E-6</v>
      </c>
      <c r="I1204">
        <v>368.80079999999998</v>
      </c>
      <c r="J1204">
        <v>-263.18180000000001</v>
      </c>
      <c r="K1204">
        <v>1.1042149999999999</v>
      </c>
      <c r="L1204">
        <v>368.05739999999997</v>
      </c>
      <c r="M1204">
        <v>0.999195099999999</v>
      </c>
      <c r="N1204">
        <v>0</v>
      </c>
      <c r="O1204">
        <v>3.8714230000000002E-2</v>
      </c>
      <c r="P1204">
        <v>0.98810849999999995</v>
      </c>
      <c r="Q1204">
        <v>6.11370199999999E-3</v>
      </c>
      <c r="R1204">
        <v>0.1536371</v>
      </c>
      <c r="S1204">
        <v>3.02401699999999</v>
      </c>
      <c r="T1204">
        <v>-0.123248</v>
      </c>
      <c r="U1204">
        <v>8.3740229999999999E-2</v>
      </c>
      <c r="V1204">
        <v>-0.115259999999999</v>
      </c>
      <c r="W1204">
        <v>1.6587749999999998E-2</v>
      </c>
      <c r="X1204">
        <v>0.99319679999999999</v>
      </c>
      <c r="Y1204">
        <v>1.099995E-2</v>
      </c>
      <c r="Z1204">
        <v>-1.8004989999999999E-3</v>
      </c>
      <c r="AA1204">
        <v>0.99993790000000005</v>
      </c>
      <c r="AB1204">
        <v>30</v>
      </c>
      <c r="AC1204">
        <v>26.916399999999999</v>
      </c>
      <c r="AD1204">
        <v>-1.1042167291229901</v>
      </c>
      <c r="AE1204">
        <v>0.74340000000000805</v>
      </c>
      <c r="AF1204">
        <v>0.29876015768062703</v>
      </c>
      <c r="AG1204">
        <v>-1.1042167291229901</v>
      </c>
      <c r="AH1204">
        <v>26.8797976805449</v>
      </c>
      <c r="AI1204">
        <v>92.352231417178004</v>
      </c>
      <c r="AJ1204">
        <v>89.363202376230603</v>
      </c>
      <c r="AK1204">
        <v>26.904127481925901</v>
      </c>
    </row>
    <row r="1205" spans="1:37" x14ac:dyDescent="0.2">
      <c r="A1205" t="str">
        <f>"20200111155521855"</f>
        <v>20200111155521855</v>
      </c>
      <c r="B1205" t="str">
        <f>"1578729321853717"</f>
        <v>1578729321853717</v>
      </c>
      <c r="C1205" t="s">
        <v>37</v>
      </c>
      <c r="D1205">
        <v>4.8406949999999904</v>
      </c>
      <c r="E1205">
        <v>0.54670030000000003</v>
      </c>
      <c r="F1205" t="s">
        <v>38</v>
      </c>
      <c r="G1205">
        <v>-236.7696</v>
      </c>
      <c r="H1205" s="1">
        <v>-1.509198E-6</v>
      </c>
      <c r="I1205">
        <v>368.82119999999998</v>
      </c>
      <c r="J1205">
        <v>-263.0154</v>
      </c>
      <c r="K1205">
        <v>1.1042209999999999</v>
      </c>
      <c r="L1205">
        <v>368.06369999999998</v>
      </c>
      <c r="M1205">
        <v>0.99919769999999897</v>
      </c>
      <c r="N1205">
        <v>0</v>
      </c>
      <c r="O1205">
        <v>3.8626939999999998E-2</v>
      </c>
      <c r="P1205">
        <v>0.98812500000000003</v>
      </c>
      <c r="Q1205">
        <v>5.6427419999999897E-3</v>
      </c>
      <c r="R1205">
        <v>0.15354979999999999</v>
      </c>
      <c r="S1205">
        <v>3.023285</v>
      </c>
      <c r="T1205">
        <v>-0.12639449999999999</v>
      </c>
      <c r="U1205">
        <v>8.7432860000000001E-2</v>
      </c>
      <c r="V1205">
        <v>-0.1152593</v>
      </c>
      <c r="W1205">
        <v>1.6203950000000002E-2</v>
      </c>
      <c r="X1205">
        <v>0.99320330000000001</v>
      </c>
      <c r="Y1205">
        <v>9.6846580000000005E-3</v>
      </c>
      <c r="Z1205">
        <v>-1.815711E-3</v>
      </c>
      <c r="AA1205">
        <v>0.99995149999999999</v>
      </c>
      <c r="AB1205">
        <v>30</v>
      </c>
      <c r="AC1205">
        <v>26.245799999999999</v>
      </c>
      <c r="AD1205">
        <v>-1.10422250919799</v>
      </c>
      <c r="AE1205">
        <v>0.75749999999999296</v>
      </c>
      <c r="AF1205">
        <v>0.25646347731337499</v>
      </c>
      <c r="AG1205">
        <v>-1.10422250919799</v>
      </c>
      <c r="AH1205">
        <v>26.209118449281998</v>
      </c>
      <c r="AI1205">
        <v>92.412399789870904</v>
      </c>
      <c r="AJ1205">
        <v>89.4393628345656</v>
      </c>
      <c r="AK1205">
        <v>26.2336229056055</v>
      </c>
    </row>
    <row r="1206" spans="1:37" x14ac:dyDescent="0.2">
      <c r="A1206" t="str">
        <f>"20200111155521867"</f>
        <v>20200111155521867</v>
      </c>
      <c r="B1206" t="str">
        <f>"1578729321863476"</f>
        <v>1578729321863476</v>
      </c>
      <c r="C1206" t="s">
        <v>37</v>
      </c>
      <c r="D1206">
        <v>4.8588500000000003</v>
      </c>
      <c r="E1206">
        <v>0.54632939999999997</v>
      </c>
      <c r="F1206" t="s">
        <v>38</v>
      </c>
      <c r="G1206">
        <v>-236.965</v>
      </c>
      <c r="H1206" s="1">
        <v>-1.4175139999999999E-6</v>
      </c>
      <c r="I1206">
        <v>368.8657</v>
      </c>
      <c r="J1206">
        <v>-262.87540000000001</v>
      </c>
      <c r="K1206">
        <v>1.1042289999999999</v>
      </c>
      <c r="L1206">
        <v>368.06909999999999</v>
      </c>
      <c r="M1206">
        <v>0.99919979999999997</v>
      </c>
      <c r="N1206">
        <v>0</v>
      </c>
      <c r="O1206">
        <v>3.8551059999999998E-2</v>
      </c>
      <c r="P1206">
        <v>0.98814249999999904</v>
      </c>
      <c r="Q1206">
        <v>5.1733220000000002E-3</v>
      </c>
      <c r="R1206">
        <v>0.15345339999999999</v>
      </c>
      <c r="S1206">
        <v>3.0223390000000001</v>
      </c>
      <c r="T1206">
        <v>-0.1281099</v>
      </c>
      <c r="U1206">
        <v>9.3048099999999995E-2</v>
      </c>
      <c r="V1206">
        <v>-0.115237799999999</v>
      </c>
      <c r="W1206">
        <v>1.581252E-2</v>
      </c>
      <c r="X1206">
        <v>0.99321199999999998</v>
      </c>
      <c r="Y1206">
        <v>7.7441569999999998E-3</v>
      </c>
      <c r="Z1206">
        <v>-1.7965329999999999E-3</v>
      </c>
      <c r="AA1206">
        <v>0.99996839999999998</v>
      </c>
      <c r="AB1206">
        <v>30</v>
      </c>
      <c r="AC1206">
        <v>25.910399999999999</v>
      </c>
      <c r="AD1206">
        <v>-1.1042304175140001</v>
      </c>
      <c r="AE1206">
        <v>0.79660000000001197</v>
      </c>
      <c r="AF1206">
        <v>0.20255480917228</v>
      </c>
      <c r="AG1206">
        <v>-1.1042304175140001</v>
      </c>
      <c r="AH1206">
        <v>25.874897933547501</v>
      </c>
      <c r="AI1206">
        <v>92.443582252042603</v>
      </c>
      <c r="AJ1206">
        <v>89.551484274186805</v>
      </c>
      <c r="AK1206">
        <v>25.899241230916001</v>
      </c>
    </row>
    <row r="1207" spans="1:37" x14ac:dyDescent="0.2">
      <c r="A1207" t="str">
        <f>"20200111155521879"</f>
        <v>20200111155521879</v>
      </c>
      <c r="B1207" t="str">
        <f>"1578729321873237"</f>
        <v>1578729321873237</v>
      </c>
      <c r="C1207" t="s">
        <v>37</v>
      </c>
      <c r="D1207">
        <v>4.8560850000000002</v>
      </c>
      <c r="E1207">
        <v>0.54599149999999996</v>
      </c>
      <c r="F1207" t="s">
        <v>38</v>
      </c>
      <c r="G1207">
        <v>-237.10130000000001</v>
      </c>
      <c r="H1207" s="1">
        <v>-1.355577E-6</v>
      </c>
      <c r="I1207">
        <v>368.88499999999999</v>
      </c>
      <c r="J1207">
        <v>-262.7167</v>
      </c>
      <c r="K1207">
        <v>1.1042379999999901</v>
      </c>
      <c r="L1207">
        <v>368.07510000000002</v>
      </c>
      <c r="M1207">
        <v>0.99920209999999998</v>
      </c>
      <c r="N1207">
        <v>0</v>
      </c>
      <c r="O1207">
        <v>3.846509E-2</v>
      </c>
      <c r="P1207">
        <v>0.98815489999999995</v>
      </c>
      <c r="Q1207">
        <v>4.9149900000000002E-3</v>
      </c>
      <c r="R1207">
        <v>0.15338209999999999</v>
      </c>
      <c r="S1207">
        <v>3.02182</v>
      </c>
      <c r="T1207">
        <v>-0.1294622</v>
      </c>
      <c r="U1207">
        <v>9.5672610000000005E-2</v>
      </c>
      <c r="V1207">
        <v>-0.115251299999999</v>
      </c>
      <c r="W1207">
        <v>1.5645639999999999E-2</v>
      </c>
      <c r="X1207">
        <v>0.99321309999999996</v>
      </c>
      <c r="Y1207">
        <v>6.7852989999999998E-3</v>
      </c>
      <c r="Z1207">
        <v>-1.791558E-3</v>
      </c>
      <c r="AA1207">
        <v>0.99997539999999996</v>
      </c>
      <c r="AB1207">
        <v>30</v>
      </c>
      <c r="AC1207">
        <v>25.615399999999902</v>
      </c>
      <c r="AD1207">
        <v>-1.10423935557699</v>
      </c>
      <c r="AE1207">
        <v>0.80989999999996998</v>
      </c>
      <c r="AF1207">
        <v>0.17572882488272401</v>
      </c>
      <c r="AG1207">
        <v>-1.10423935557699</v>
      </c>
      <c r="AH1207">
        <v>25.580106718615099</v>
      </c>
      <c r="AI1207">
        <v>92.471745317302094</v>
      </c>
      <c r="AJ1207">
        <v>89.606398764064295</v>
      </c>
      <c r="AK1207">
        <v>25.604532507156499</v>
      </c>
    </row>
    <row r="1208" spans="1:37" x14ac:dyDescent="0.2">
      <c r="A1208" t="str">
        <f>"20200111155521890"</f>
        <v>20200111155521890</v>
      </c>
      <c r="B1208" t="str">
        <f>"1578729321883972"</f>
        <v>1578729321883972</v>
      </c>
      <c r="C1208" t="s">
        <v>37</v>
      </c>
      <c r="D1208">
        <v>4.88687</v>
      </c>
      <c r="E1208">
        <v>0.54579840000000002</v>
      </c>
      <c r="F1208" t="s">
        <v>38</v>
      </c>
      <c r="G1208">
        <v>-237.042</v>
      </c>
      <c r="H1208" s="1">
        <v>-1.3769679999999899E-6</v>
      </c>
      <c r="I1208">
        <v>368.90800000000002</v>
      </c>
      <c r="J1208">
        <v>-262.5609</v>
      </c>
      <c r="K1208">
        <v>1.104252</v>
      </c>
      <c r="L1208">
        <v>368.08099999999899</v>
      </c>
      <c r="M1208">
        <v>0.99920409999999904</v>
      </c>
      <c r="N1208">
        <v>0</v>
      </c>
      <c r="O1208">
        <v>3.8385120000000002E-2</v>
      </c>
      <c r="P1208">
        <v>0.98818909999999904</v>
      </c>
      <c r="Q1208">
        <v>4.8813169999999996E-3</v>
      </c>
      <c r="R1208">
        <v>0.1531614</v>
      </c>
      <c r="S1208">
        <v>3.0213930000000002</v>
      </c>
      <c r="T1208">
        <v>-0.12994610000000001</v>
      </c>
      <c r="U1208">
        <v>9.8022460000000006E-2</v>
      </c>
      <c r="V1208">
        <v>-0.11510869999999999</v>
      </c>
      <c r="W1208">
        <v>1.571001E-2</v>
      </c>
      <c r="X1208">
        <v>0.99322869999999996</v>
      </c>
      <c r="Y1208">
        <v>5.9244509999999998E-3</v>
      </c>
      <c r="Z1208">
        <v>-1.77654299999999E-3</v>
      </c>
      <c r="AA1208">
        <v>0.99998089999999995</v>
      </c>
      <c r="AB1208">
        <v>30</v>
      </c>
      <c r="AC1208">
        <v>25.518899999999999</v>
      </c>
      <c r="AD1208">
        <v>-1.1042533769680001</v>
      </c>
      <c r="AE1208">
        <v>0.82700000000005502</v>
      </c>
      <c r="AF1208">
        <v>0.15292721834289899</v>
      </c>
      <c r="AG1208">
        <v>-1.1042533769680001</v>
      </c>
      <c r="AH1208">
        <v>25.484169084647</v>
      </c>
      <c r="AI1208">
        <v>92.481084156488606</v>
      </c>
      <c r="AJ1208">
        <v>89.656179529285595</v>
      </c>
      <c r="AK1208">
        <v>25.5085404558852</v>
      </c>
    </row>
    <row r="1209" spans="1:37" x14ac:dyDescent="0.2">
      <c r="A1209" t="str">
        <f>"20200111155521902"</f>
        <v>20200111155521902</v>
      </c>
      <c r="B1209" t="str">
        <f>"1578729321893733"</f>
        <v>1578729321893733</v>
      </c>
      <c r="C1209" t="s">
        <v>37</v>
      </c>
      <c r="D1209">
        <v>4.8706309999999897</v>
      </c>
      <c r="E1209">
        <v>0.54558219999999902</v>
      </c>
      <c r="F1209" t="s">
        <v>38</v>
      </c>
      <c r="G1209">
        <v>-236.76300000000001</v>
      </c>
      <c r="H1209" s="1">
        <v>-1.493469E-6</v>
      </c>
      <c r="I1209">
        <v>368.92579999999998</v>
      </c>
      <c r="J1209">
        <v>-262.41669999999999</v>
      </c>
      <c r="K1209">
        <v>1.1042650000000001</v>
      </c>
      <c r="L1209">
        <v>368.0865</v>
      </c>
      <c r="M1209">
        <v>0.99920589999999998</v>
      </c>
      <c r="N1209">
        <v>0</v>
      </c>
      <c r="O1209">
        <v>3.8312319999999997E-2</v>
      </c>
      <c r="P1209">
        <v>0.98825869999999905</v>
      </c>
      <c r="Q1209">
        <v>4.7037509999999999E-3</v>
      </c>
      <c r="R1209">
        <v>0.15271779999999999</v>
      </c>
      <c r="S1209">
        <v>3.0211489999999999</v>
      </c>
      <c r="T1209">
        <v>-0.1293173</v>
      </c>
      <c r="U1209">
        <v>9.8937990000000003E-2</v>
      </c>
      <c r="V1209">
        <v>-0.11473559999999999</v>
      </c>
      <c r="W1209">
        <v>1.56261E-2</v>
      </c>
      <c r="X1209">
        <v>0.99327310000000002</v>
      </c>
      <c r="Y1209">
        <v>5.5471019999999999E-3</v>
      </c>
      <c r="Z1209">
        <v>-1.756905E-3</v>
      </c>
      <c r="AA1209">
        <v>0.99998310000000001</v>
      </c>
      <c r="AB1209">
        <v>30</v>
      </c>
      <c r="AC1209">
        <v>25.653699999999901</v>
      </c>
      <c r="AD1209">
        <v>-1.1042664934690001</v>
      </c>
      <c r="AE1209">
        <v>0.83929999999997995</v>
      </c>
      <c r="AF1209">
        <v>0.14396142824258901</v>
      </c>
      <c r="AG1209">
        <v>-1.1042664934690001</v>
      </c>
      <c r="AH1209">
        <v>25.619601258198902</v>
      </c>
      <c r="AI1209">
        <v>92.468019476713593</v>
      </c>
      <c r="AJ1209">
        <v>89.678047470199402</v>
      </c>
      <c r="AK1209">
        <v>25.643792582426801</v>
      </c>
    </row>
    <row r="1210" spans="1:37" x14ac:dyDescent="0.2">
      <c r="A1210" t="str">
        <f>"20200111155521915"</f>
        <v>20200111155521915</v>
      </c>
      <c r="B1210" t="str">
        <f>"1578729321903492"</f>
        <v>1578729321903492</v>
      </c>
      <c r="C1210" t="s">
        <v>37</v>
      </c>
      <c r="D1210">
        <v>4.8566419999999999</v>
      </c>
      <c r="E1210">
        <v>0.54558109999999904</v>
      </c>
      <c r="F1210" t="s">
        <v>38</v>
      </c>
      <c r="G1210">
        <v>-236.3476</v>
      </c>
      <c r="H1210" s="1">
        <v>-1.6688169999999899E-6</v>
      </c>
      <c r="I1210">
        <v>368.94199999999898</v>
      </c>
      <c r="J1210">
        <v>-262.23169999999999</v>
      </c>
      <c r="K1210">
        <v>1.104282</v>
      </c>
      <c r="L1210">
        <v>368.09339999999997</v>
      </c>
      <c r="M1210">
        <v>0.99920779999999998</v>
      </c>
      <c r="N1210">
        <v>0</v>
      </c>
      <c r="O1210">
        <v>3.8222279999999997E-2</v>
      </c>
      <c r="P1210">
        <v>0.98831369999999896</v>
      </c>
      <c r="Q1210">
        <v>4.6228939999999998E-3</v>
      </c>
      <c r="R1210">
        <v>0.1523639</v>
      </c>
      <c r="S1210">
        <v>3.020966</v>
      </c>
      <c r="T1210">
        <v>-0.127965</v>
      </c>
      <c r="U1210">
        <v>9.9151610000000001E-2</v>
      </c>
      <c r="V1210">
        <v>-0.1144688</v>
      </c>
      <c r="W1210">
        <v>1.5672820000000001E-2</v>
      </c>
      <c r="X1210">
        <v>0.99330319999999905</v>
      </c>
      <c r="Y1210">
        <v>5.3854929999999999E-3</v>
      </c>
      <c r="Z1210">
        <v>-1.7314260000000001E-3</v>
      </c>
      <c r="AA1210">
        <v>0.99998399999999998</v>
      </c>
      <c r="AB1210">
        <v>30</v>
      </c>
      <c r="AC1210">
        <v>25.884099999999901</v>
      </c>
      <c r="AD1210">
        <v>-1.1042836688169999</v>
      </c>
      <c r="AE1210">
        <v>0.84859999999997604</v>
      </c>
      <c r="AF1210">
        <v>0.14117359073656999</v>
      </c>
      <c r="AG1210">
        <v>-1.1042836688169999</v>
      </c>
      <c r="AH1210">
        <v>25.850620403158501</v>
      </c>
      <c r="AI1210">
        <v>92.446030581702701</v>
      </c>
      <c r="AJ1210">
        <v>89.6871034276393</v>
      </c>
      <c r="AK1210">
        <v>25.874581110273699</v>
      </c>
    </row>
    <row r="1211" spans="1:37" x14ac:dyDescent="0.2">
      <c r="A1211" t="str">
        <f>"20200111155521927"</f>
        <v>20200111155521927</v>
      </c>
      <c r="B1211" t="str">
        <f>"1578729321923988"</f>
        <v>1578729321923988</v>
      </c>
      <c r="C1211" t="s">
        <v>37</v>
      </c>
      <c r="D1211">
        <v>5.1543150000000004</v>
      </c>
      <c r="E1211">
        <v>0.54544419999999905</v>
      </c>
      <c r="F1211" t="s">
        <v>38</v>
      </c>
      <c r="G1211">
        <v>-235.93379999999999</v>
      </c>
      <c r="H1211" s="1">
        <v>-1.8454740000000001E-6</v>
      </c>
      <c r="I1211">
        <v>368.94699999999898</v>
      </c>
      <c r="J1211">
        <v>-262.07380000000001</v>
      </c>
      <c r="K1211">
        <v>1.1043049999999901</v>
      </c>
      <c r="L1211">
        <v>368.0994</v>
      </c>
      <c r="M1211">
        <v>0.99920959999999903</v>
      </c>
      <c r="N1211">
        <v>0</v>
      </c>
      <c r="O1211">
        <v>3.8142580000000002E-2</v>
      </c>
      <c r="P1211">
        <v>0.98835839999999997</v>
      </c>
      <c r="Q1211">
        <v>4.1346909999999898E-3</v>
      </c>
      <c r="R1211">
        <v>0.15208749999999999</v>
      </c>
      <c r="S1211">
        <v>3.020966</v>
      </c>
      <c r="T1211">
        <v>-0.12685389999999999</v>
      </c>
      <c r="U1211">
        <v>9.8052979999999998E-2</v>
      </c>
      <c r="V1211">
        <v>-0.1142706</v>
      </c>
      <c r="W1211">
        <v>1.530046E-2</v>
      </c>
      <c r="X1211">
        <v>0.99333179999999999</v>
      </c>
      <c r="Y1211">
        <v>5.6695469999999996E-3</v>
      </c>
      <c r="Z1211">
        <v>-1.71904E-3</v>
      </c>
      <c r="AA1211">
        <v>0.9999825</v>
      </c>
      <c r="AB1211">
        <v>30</v>
      </c>
      <c r="AC1211">
        <v>26.14</v>
      </c>
      <c r="AD1211">
        <v>-1.1043068454739999</v>
      </c>
      <c r="AE1211">
        <v>0.84759999999994295</v>
      </c>
      <c r="AF1211">
        <v>0.149859216601468</v>
      </c>
      <c r="AG1211">
        <v>-1.1043068454739999</v>
      </c>
      <c r="AH1211">
        <v>26.106763257194299</v>
      </c>
      <c r="AI1211">
        <v>92.4221074086161</v>
      </c>
      <c r="AJ1211">
        <v>89.671111801861599</v>
      </c>
      <c r="AK1211">
        <v>26.130538439935599</v>
      </c>
    </row>
    <row r="1212" spans="1:37" x14ac:dyDescent="0.2">
      <c r="A1212" t="str">
        <f>"20200111155521942"</f>
        <v>20200111155521942</v>
      </c>
      <c r="B1212" t="str">
        <f>"1578729321933749"</f>
        <v>1578729321933749</v>
      </c>
      <c r="C1212" t="s">
        <v>37</v>
      </c>
      <c r="D1212">
        <v>4.8729399999999998</v>
      </c>
      <c r="E1212">
        <v>0.54535869999999997</v>
      </c>
      <c r="F1212" t="s">
        <v>38</v>
      </c>
      <c r="G1212">
        <v>-235.7227</v>
      </c>
      <c r="H1212" s="1">
        <v>-1.93415799999999E-6</v>
      </c>
      <c r="I1212">
        <v>368.95740000000001</v>
      </c>
      <c r="J1212">
        <v>-261.88119999999998</v>
      </c>
      <c r="K1212">
        <v>1.1043289999999999</v>
      </c>
      <c r="L1212">
        <v>368.10660000000001</v>
      </c>
      <c r="M1212">
        <v>0.99921179999999998</v>
      </c>
      <c r="N1212">
        <v>0</v>
      </c>
      <c r="O1212">
        <v>3.8042739999999999E-2</v>
      </c>
      <c r="P1212">
        <v>0.98846069999999997</v>
      </c>
      <c r="Q1212">
        <v>4.3421220000000003E-3</v>
      </c>
      <c r="R1212">
        <v>0.15141689999999999</v>
      </c>
      <c r="S1212">
        <v>3.0206599999999999</v>
      </c>
      <c r="T1212">
        <v>-0.12658759999999999</v>
      </c>
      <c r="U1212">
        <v>9.8358150000000005E-2</v>
      </c>
      <c r="V1212">
        <v>-0.113695899999999</v>
      </c>
      <c r="W1212">
        <v>1.5656610000000001E-2</v>
      </c>
      <c r="X1212">
        <v>0.99339219999999895</v>
      </c>
      <c r="Y1212">
        <v>5.4659050000000001E-3</v>
      </c>
      <c r="Z1212">
        <v>-1.7071629999999901E-3</v>
      </c>
      <c r="AA1212">
        <v>0.99998359999999997</v>
      </c>
      <c r="AB1212">
        <v>30</v>
      </c>
      <c r="AC1212">
        <v>26.158499999999901</v>
      </c>
      <c r="AD1212">
        <v>-1.1043309341580001</v>
      </c>
      <c r="AE1212">
        <v>0.85079999999999201</v>
      </c>
      <c r="AF1212">
        <v>0.14476320077403099</v>
      </c>
      <c r="AG1212">
        <v>-1.1043309341580001</v>
      </c>
      <c r="AH1212">
        <v>26.1254173409156</v>
      </c>
      <c r="AI1212">
        <v>92.420435481413406</v>
      </c>
      <c r="AJ1212">
        <v>89.682522371303193</v>
      </c>
      <c r="AK1212">
        <v>26.149147872033002</v>
      </c>
    </row>
    <row r="1213" spans="1:37" x14ac:dyDescent="0.2">
      <c r="A1213" t="str">
        <f>"20200111155521954"</f>
        <v>20200111155521954</v>
      </c>
      <c r="B1213" t="str">
        <f>"1578729321944015"</f>
        <v>1578729321944015</v>
      </c>
      <c r="C1213" t="s">
        <v>37</v>
      </c>
      <c r="D1213">
        <v>4.9319689999999996</v>
      </c>
      <c r="E1213">
        <v>0.54545829999999995</v>
      </c>
      <c r="F1213" t="s">
        <v>38</v>
      </c>
      <c r="G1213">
        <v>-235.37790000000001</v>
      </c>
      <c r="H1213" s="1">
        <v>-2.0820140000000001E-6</v>
      </c>
      <c r="I1213">
        <v>368.95780000000002</v>
      </c>
      <c r="J1213">
        <v>-261.70769999999999</v>
      </c>
      <c r="K1213">
        <v>1.104358</v>
      </c>
      <c r="L1213">
        <v>368.11309999999997</v>
      </c>
      <c r="M1213">
        <v>0.99921360000000004</v>
      </c>
      <c r="N1213">
        <v>0</v>
      </c>
      <c r="O1213">
        <v>3.7949459999999997E-2</v>
      </c>
      <c r="P1213">
        <v>0.98852180000000001</v>
      </c>
      <c r="Q1213">
        <v>4.4011639999999999E-3</v>
      </c>
      <c r="R1213">
        <v>0.15101519999999999</v>
      </c>
      <c r="S1213">
        <v>3.020721</v>
      </c>
      <c r="T1213">
        <v>-0.12586629999999999</v>
      </c>
      <c r="U1213">
        <v>9.7015379999999998E-2</v>
      </c>
      <c r="V1213">
        <v>-0.11338479999999999</v>
      </c>
      <c r="W1213">
        <v>1.586019E-2</v>
      </c>
      <c r="X1213">
        <v>0.99342450000000004</v>
      </c>
      <c r="Y1213">
        <v>5.8175409999999999E-3</v>
      </c>
      <c r="Z1213">
        <v>-1.7008679999999999E-3</v>
      </c>
      <c r="AA1213">
        <v>0.99998159999999903</v>
      </c>
      <c r="AB1213">
        <v>30</v>
      </c>
      <c r="AC1213">
        <v>26.329799999999899</v>
      </c>
      <c r="AD1213">
        <v>-1.104360082014</v>
      </c>
      <c r="AE1213">
        <v>0.84470000000004497</v>
      </c>
      <c r="AF1213">
        <v>0.154903973688955</v>
      </c>
      <c r="AG1213">
        <v>-1.104360082014</v>
      </c>
      <c r="AH1213">
        <v>26.296674383634802</v>
      </c>
      <c r="AI1213">
        <v>92.404749561065998</v>
      </c>
      <c r="AJ1213">
        <v>89.662495677661795</v>
      </c>
      <c r="AK1213">
        <v>26.320309460010598</v>
      </c>
    </row>
    <row r="1214" spans="1:37" x14ac:dyDescent="0.2">
      <c r="A1214" t="str">
        <f>"20200111155521966"</f>
        <v>20200111155521966</v>
      </c>
      <c r="B1214" t="str">
        <f>"1578729321963535"</f>
        <v>1578729321963535</v>
      </c>
      <c r="C1214" t="s">
        <v>37</v>
      </c>
      <c r="D1214">
        <v>4.8872159999999996</v>
      </c>
      <c r="E1214">
        <v>0.54525819999999903</v>
      </c>
      <c r="F1214" t="s">
        <v>38</v>
      </c>
      <c r="G1214">
        <v>-235.2081</v>
      </c>
      <c r="H1214" s="1">
        <v>-2.1568159999999998E-6</v>
      </c>
      <c r="I1214">
        <v>368.94670000000002</v>
      </c>
      <c r="J1214">
        <v>-261.55990000000003</v>
      </c>
      <c r="K1214">
        <v>1.104382</v>
      </c>
      <c r="L1214">
        <v>368.11869999999999</v>
      </c>
      <c r="M1214">
        <v>0.99921519999999997</v>
      </c>
      <c r="N1214">
        <v>0</v>
      </c>
      <c r="O1214">
        <v>3.7867329999999998E-2</v>
      </c>
      <c r="P1214">
        <v>0.988606599999999</v>
      </c>
      <c r="Q1214">
        <v>4.3078769999999999E-3</v>
      </c>
      <c r="R1214">
        <v>0.1504616</v>
      </c>
      <c r="S1214">
        <v>3.0208439999999999</v>
      </c>
      <c r="T1214">
        <v>-0.12589210000000001</v>
      </c>
      <c r="U1214">
        <v>9.5031740000000003E-2</v>
      </c>
      <c r="V1214">
        <v>-0.1129095</v>
      </c>
      <c r="W1214">
        <v>1.5895949999999999E-2</v>
      </c>
      <c r="X1214">
        <v>0.99347809999999903</v>
      </c>
      <c r="Y1214">
        <v>6.3922319999999899E-3</v>
      </c>
      <c r="Z1214">
        <v>-1.7097220000000001E-3</v>
      </c>
      <c r="AA1214">
        <v>0.99997809999999898</v>
      </c>
      <c r="AB1214">
        <v>30</v>
      </c>
      <c r="AC1214">
        <v>26.351800000000001</v>
      </c>
      <c r="AD1214">
        <v>-1.104384156816</v>
      </c>
      <c r="AE1214">
        <v>0.82800000000003104</v>
      </c>
      <c r="AF1214">
        <v>0.170234933505232</v>
      </c>
      <c r="AG1214">
        <v>-1.104384156816</v>
      </c>
      <c r="AH1214">
        <v>26.3180744708053</v>
      </c>
      <c r="AI1214">
        <v>92.402840224242297</v>
      </c>
      <c r="AJ1214">
        <v>89.629395106455803</v>
      </c>
      <c r="AK1214">
        <v>26.3417859711384</v>
      </c>
    </row>
    <row r="1215" spans="1:37" x14ac:dyDescent="0.2">
      <c r="A1215" t="str">
        <f>"20200111155521979"</f>
        <v>20200111155521979</v>
      </c>
      <c r="B1215" t="str">
        <f>"1578729321973295"</f>
        <v>1578729321973295</v>
      </c>
      <c r="C1215" t="s">
        <v>37</v>
      </c>
      <c r="D1215">
        <v>4.9326679999999996</v>
      </c>
      <c r="E1215">
        <v>0.54520740000000001</v>
      </c>
      <c r="F1215" t="s">
        <v>38</v>
      </c>
      <c r="G1215">
        <v>-235.3409</v>
      </c>
      <c r="H1215" s="1">
        <v>-2.1008700000000001E-6</v>
      </c>
      <c r="I1215">
        <v>368.94110000000001</v>
      </c>
      <c r="J1215">
        <v>-261.3981</v>
      </c>
      <c r="K1215">
        <v>1.104403</v>
      </c>
      <c r="L1215">
        <v>368.12470000000002</v>
      </c>
      <c r="M1215">
        <v>0.99921689999999996</v>
      </c>
      <c r="N1215">
        <v>0</v>
      </c>
      <c r="O1215">
        <v>3.7776509999999999E-2</v>
      </c>
      <c r="P1215">
        <v>0.988671999999999</v>
      </c>
      <c r="Q1215">
        <v>4.3098190000000003E-3</v>
      </c>
      <c r="R1215">
        <v>0.15003050000000001</v>
      </c>
      <c r="S1215">
        <v>3.0207519999999999</v>
      </c>
      <c r="T1215">
        <v>-0.12723799999999999</v>
      </c>
      <c r="U1215">
        <v>9.4757079999999994E-2</v>
      </c>
      <c r="V1215">
        <v>-0.11256679999999999</v>
      </c>
      <c r="W1215">
        <v>1.604185E-2</v>
      </c>
      <c r="X1215">
        <v>0.99351469999999897</v>
      </c>
      <c r="Y1215">
        <v>6.3905450000000001E-3</v>
      </c>
      <c r="Z1215">
        <v>-1.724188E-3</v>
      </c>
      <c r="AA1215">
        <v>0.99997809999999898</v>
      </c>
      <c r="AB1215">
        <v>30</v>
      </c>
      <c r="AC1215">
        <v>26.057199999999899</v>
      </c>
      <c r="AD1215">
        <v>-1.10440510087</v>
      </c>
      <c r="AE1215">
        <v>0.81639999999998702</v>
      </c>
      <c r="AF1215">
        <v>0.16829904239333299</v>
      </c>
      <c r="AG1215">
        <v>-1.10440510087</v>
      </c>
      <c r="AH1215">
        <v>26.0227397883592</v>
      </c>
      <c r="AI1215">
        <v>92.430123835757996</v>
      </c>
      <c r="AJ1215">
        <v>89.629451377395895</v>
      </c>
      <c r="AK1215">
        <v>26.04670845399</v>
      </c>
    </row>
    <row r="1216" spans="1:37" x14ac:dyDescent="0.2">
      <c r="A1216" t="str">
        <f>"20200111155521990"</f>
        <v>20200111155521990</v>
      </c>
      <c r="B1216" t="str">
        <f>"1578729321984031"</f>
        <v>1578729321984031</v>
      </c>
      <c r="C1216" t="s">
        <v>37</v>
      </c>
      <c r="D1216">
        <v>4.8961199999999998</v>
      </c>
      <c r="E1216">
        <v>0.54512640000000001</v>
      </c>
      <c r="F1216" t="s">
        <v>38</v>
      </c>
      <c r="G1216">
        <v>-235.166</v>
      </c>
      <c r="H1216" s="1">
        <v>-2.1753339999999998E-6</v>
      </c>
      <c r="I1216">
        <v>368.94409999999999</v>
      </c>
      <c r="J1216">
        <v>-261.23540000000003</v>
      </c>
      <c r="K1216">
        <v>1.1044209999999901</v>
      </c>
      <c r="L1216">
        <v>368.13080000000002</v>
      </c>
      <c r="M1216">
        <v>0.99921890000000002</v>
      </c>
      <c r="N1216">
        <v>0</v>
      </c>
      <c r="O1216">
        <v>3.7680959999999999E-2</v>
      </c>
      <c r="P1216">
        <v>0.98872899999999997</v>
      </c>
      <c r="Q1216">
        <v>4.073658E-3</v>
      </c>
      <c r="R1216">
        <v>0.149662299999999</v>
      </c>
      <c r="S1216">
        <v>3.0206300000000001</v>
      </c>
      <c r="T1216">
        <v>-0.12717200000000001</v>
      </c>
      <c r="U1216">
        <v>9.4360349999999996E-2</v>
      </c>
      <c r="V1216">
        <v>-0.11229169999999999</v>
      </c>
      <c r="W1216">
        <v>1.5951730000000001E-2</v>
      </c>
      <c r="X1216">
        <v>0.99354730000000002</v>
      </c>
      <c r="Y1216">
        <v>6.42502E-3</v>
      </c>
      <c r="Z1216">
        <v>-1.720079E-3</v>
      </c>
      <c r="AA1216">
        <v>0.99997789999999998</v>
      </c>
      <c r="AB1216">
        <v>30</v>
      </c>
      <c r="AC1216">
        <v>26.069400000000002</v>
      </c>
      <c r="AD1216">
        <v>-1.1044231753339999</v>
      </c>
      <c r="AE1216">
        <v>0.81329999999996905</v>
      </c>
      <c r="AF1216">
        <v>0.16936363826847101</v>
      </c>
      <c r="AG1216">
        <v>-1.1044231753339999</v>
      </c>
      <c r="AH1216">
        <v>26.0348503661628</v>
      </c>
      <c r="AI1216">
        <v>92.429033882989899</v>
      </c>
      <c r="AJ1216">
        <v>89.627280946152297</v>
      </c>
      <c r="AK1216">
        <v>26.058815555981599</v>
      </c>
    </row>
    <row r="1217" spans="1:37" x14ac:dyDescent="0.2">
      <c r="A1217" t="str">
        <f>"20200111155522003"</f>
        <v>20200111155522003</v>
      </c>
      <c r="B1217" t="str">
        <f>"1578729321993791"</f>
        <v>1578729321993791</v>
      </c>
      <c r="C1217" t="s">
        <v>37</v>
      </c>
      <c r="D1217">
        <v>4.9018600000000001</v>
      </c>
      <c r="E1217">
        <v>0.54505680000000001</v>
      </c>
      <c r="F1217" t="s">
        <v>38</v>
      </c>
      <c r="G1217">
        <v>-235.1919</v>
      </c>
      <c r="H1217" s="1">
        <v>-2.1655510000000002E-6</v>
      </c>
      <c r="I1217">
        <v>368.93669999999997</v>
      </c>
      <c r="J1217">
        <v>-261.08150000000001</v>
      </c>
      <c r="K1217">
        <v>1.1044350000000001</v>
      </c>
      <c r="L1217">
        <v>368.13650000000001</v>
      </c>
      <c r="M1217">
        <v>0.99922069999999996</v>
      </c>
      <c r="N1217">
        <v>0</v>
      </c>
      <c r="O1217">
        <v>3.7588900000000001E-2</v>
      </c>
      <c r="P1217">
        <v>0.9887669</v>
      </c>
      <c r="Q1217">
        <v>3.9554830000000001E-3</v>
      </c>
      <c r="R1217">
        <v>0.1494144</v>
      </c>
      <c r="S1217">
        <v>3.0205690000000001</v>
      </c>
      <c r="T1217">
        <v>-0.1280926</v>
      </c>
      <c r="U1217">
        <v>9.3475340000000004E-2</v>
      </c>
      <c r="V1217">
        <v>-0.1121344</v>
      </c>
      <c r="W1217">
        <v>1.5969850000000001E-2</v>
      </c>
      <c r="X1217">
        <v>0.99356469999999897</v>
      </c>
      <c r="Y1217">
        <v>6.6243680000000003E-3</v>
      </c>
      <c r="Z1217">
        <v>-1.732892E-3</v>
      </c>
      <c r="AA1217">
        <v>0.99997659999999999</v>
      </c>
      <c r="AB1217">
        <v>30</v>
      </c>
      <c r="AC1217">
        <v>25.889600000000002</v>
      </c>
      <c r="AD1217">
        <v>-1.1044371655509999</v>
      </c>
      <c r="AE1217">
        <v>0.80019999999996105</v>
      </c>
      <c r="AF1217">
        <v>0.173282728913291</v>
      </c>
      <c r="AG1217">
        <v>-1.1044371655509999</v>
      </c>
      <c r="AH1217">
        <v>25.854375941729099</v>
      </c>
      <c r="AI1217">
        <v>92.445996808382404</v>
      </c>
      <c r="AJ1217">
        <v>89.615994584671995</v>
      </c>
      <c r="AK1217">
        <v>25.8785348057623</v>
      </c>
    </row>
    <row r="1218" spans="1:37" x14ac:dyDescent="0.2">
      <c r="A1218" t="str">
        <f>"20200111155522014"</f>
        <v>20200111155522014</v>
      </c>
      <c r="B1218" t="str">
        <f>"1578729322003551"</f>
        <v>1578729322003551</v>
      </c>
      <c r="C1218" t="s">
        <v>37</v>
      </c>
      <c r="D1218">
        <v>4.9180710000000003</v>
      </c>
      <c r="E1218">
        <v>0.54508610000000002</v>
      </c>
      <c r="F1218" t="s">
        <v>38</v>
      </c>
      <c r="G1218">
        <v>-235.08369999999999</v>
      </c>
      <c r="H1218" s="1">
        <v>-2.2115069999999999E-6</v>
      </c>
      <c r="I1218">
        <v>368.93939999999998</v>
      </c>
      <c r="J1218">
        <v>-260.92239999999998</v>
      </c>
      <c r="K1218">
        <v>1.1044479999999901</v>
      </c>
      <c r="L1218">
        <v>368.14240000000001</v>
      </c>
      <c r="M1218">
        <v>0.99922269999999902</v>
      </c>
      <c r="N1218">
        <v>0</v>
      </c>
      <c r="O1218">
        <v>3.7491009999999998E-2</v>
      </c>
      <c r="P1218">
        <v>0.98881219999999903</v>
      </c>
      <c r="Q1218">
        <v>3.34936E-3</v>
      </c>
      <c r="R1218">
        <v>0.14912909999999999</v>
      </c>
      <c r="S1218">
        <v>3.0204770000000001</v>
      </c>
      <c r="T1218">
        <v>-0.12831509999999999</v>
      </c>
      <c r="U1218">
        <v>9.3292239999999999E-2</v>
      </c>
      <c r="V1218">
        <v>-0.1119443</v>
      </c>
      <c r="W1218">
        <v>1.5502139999999999E-2</v>
      </c>
      <c r="X1218">
        <v>0.99359359999999997</v>
      </c>
      <c r="Y1218">
        <v>6.5860659999999998E-3</v>
      </c>
      <c r="Z1218">
        <v>-1.7309910000000001E-3</v>
      </c>
      <c r="AA1218">
        <v>0.9999768</v>
      </c>
      <c r="AB1218">
        <v>29</v>
      </c>
      <c r="AC1218">
        <v>25.8386999999999</v>
      </c>
      <c r="AD1218">
        <v>-1.1044502115069901</v>
      </c>
      <c r="AE1218">
        <v>0.79699999999996796</v>
      </c>
      <c r="AF1218">
        <v>0.17203723659616299</v>
      </c>
      <c r="AG1218">
        <v>-1.1044502115069901</v>
      </c>
      <c r="AH1218">
        <v>25.803315150119801</v>
      </c>
      <c r="AI1218">
        <v>92.450860651110503</v>
      </c>
      <c r="AJ1218">
        <v>89.618000188457799</v>
      </c>
      <c r="AK1218">
        <v>25.827514007679401</v>
      </c>
    </row>
    <row r="1219" spans="1:37" x14ac:dyDescent="0.2">
      <c r="A1219" t="str">
        <f>"20200111155522026"</f>
        <v>20200111155522026</v>
      </c>
      <c r="B1219" t="str">
        <f>"1578729322024047"</f>
        <v>1578729322024047</v>
      </c>
      <c r="C1219" t="s">
        <v>37</v>
      </c>
      <c r="D1219">
        <v>4.972766</v>
      </c>
      <c r="E1219">
        <v>0.54503630000000003</v>
      </c>
      <c r="F1219" t="s">
        <v>38</v>
      </c>
      <c r="G1219">
        <v>-235.34799999999899</v>
      </c>
      <c r="H1219" s="1">
        <v>-2.101082E-6</v>
      </c>
      <c r="I1219">
        <v>368.92270000000002</v>
      </c>
      <c r="J1219">
        <v>-260.7713</v>
      </c>
      <c r="K1219">
        <v>1.104452</v>
      </c>
      <c r="L1219">
        <v>368.14789999999999</v>
      </c>
      <c r="M1219">
        <v>0.99922509999999998</v>
      </c>
      <c r="N1219">
        <v>0</v>
      </c>
      <c r="O1219">
        <v>3.7390359999999997E-2</v>
      </c>
      <c r="P1219">
        <v>0.98884649999999996</v>
      </c>
      <c r="Q1219">
        <v>3.0467009999999902E-3</v>
      </c>
      <c r="R1219">
        <v>0.14890789999999901</v>
      </c>
      <c r="S1219">
        <v>3.0204770000000001</v>
      </c>
      <c r="T1219">
        <v>-0.13044120000000001</v>
      </c>
      <c r="U1219">
        <v>9.2163090000000003E-2</v>
      </c>
      <c r="V1219">
        <v>-0.1118219</v>
      </c>
      <c r="W1219">
        <v>1.532477E-2</v>
      </c>
      <c r="X1219">
        <v>0.99361010000000005</v>
      </c>
      <c r="Y1219">
        <v>6.8573710000000001E-3</v>
      </c>
      <c r="Z1219">
        <v>-1.761175E-3</v>
      </c>
      <c r="AA1219">
        <v>0.99997499999999995</v>
      </c>
      <c r="AB1219">
        <v>29</v>
      </c>
      <c r="AC1219">
        <v>25.423300000000001</v>
      </c>
      <c r="AD1219">
        <v>-1.1044541010819999</v>
      </c>
      <c r="AE1219">
        <v>0.77480000000002702</v>
      </c>
      <c r="AF1219">
        <v>0.17606808703189999</v>
      </c>
      <c r="AG1219">
        <v>-1.1044541010819999</v>
      </c>
      <c r="AH1219">
        <v>25.386625275210399</v>
      </c>
      <c r="AI1219">
        <v>92.491042437643102</v>
      </c>
      <c r="AJ1219">
        <v>89.602633416484196</v>
      </c>
      <c r="AK1219">
        <v>25.4112487236779</v>
      </c>
    </row>
    <row r="1220" spans="1:37" x14ac:dyDescent="0.2">
      <c r="A1220" t="str">
        <f>"20200111155522039"</f>
        <v>20200111155522039</v>
      </c>
      <c r="B1220" t="str">
        <f>"1578729322033807"</f>
        <v>1578729322033807</v>
      </c>
      <c r="C1220" t="s">
        <v>37</v>
      </c>
      <c r="D1220">
        <v>4.9014749999999996</v>
      </c>
      <c r="E1220">
        <v>0.54494390000000004</v>
      </c>
      <c r="F1220" t="s">
        <v>38</v>
      </c>
      <c r="G1220">
        <v>-235.31440000000001</v>
      </c>
      <c r="H1220" s="1">
        <v>-2.115495E-6</v>
      </c>
      <c r="I1220">
        <v>368.92259999999999</v>
      </c>
      <c r="J1220">
        <v>-260.59699999999998</v>
      </c>
      <c r="K1220">
        <v>1.104457</v>
      </c>
      <c r="L1220">
        <v>368.15440000000001</v>
      </c>
      <c r="M1220">
        <v>0.9992278</v>
      </c>
      <c r="N1220">
        <v>0</v>
      </c>
      <c r="O1220">
        <v>3.726869E-2</v>
      </c>
      <c r="P1220">
        <v>0.98885879999999904</v>
      </c>
      <c r="Q1220">
        <v>2.820688E-3</v>
      </c>
      <c r="R1220">
        <v>0.14883099999999999</v>
      </c>
      <c r="S1220">
        <v>3.0204469999999999</v>
      </c>
      <c r="T1220">
        <v>-0.13104250000000001</v>
      </c>
      <c r="U1220">
        <v>9.1918949999999999E-2</v>
      </c>
      <c r="V1220">
        <v>-0.1118651</v>
      </c>
      <c r="W1220">
        <v>1.5238949999999999E-2</v>
      </c>
      <c r="X1220">
        <v>0.99360659999999901</v>
      </c>
      <c r="Y1220">
        <v>6.8158999999999902E-3</v>
      </c>
      <c r="Z1220">
        <v>-1.7631400000000001E-3</v>
      </c>
      <c r="AA1220">
        <v>0.99997519999999995</v>
      </c>
      <c r="AB1220">
        <v>29</v>
      </c>
      <c r="AC1220">
        <v>25.282599999999899</v>
      </c>
      <c r="AD1220">
        <v>-1.1044591154950001</v>
      </c>
      <c r="AE1220">
        <v>0.76819999999997801</v>
      </c>
      <c r="AF1220">
        <v>0.17432374678475501</v>
      </c>
      <c r="AG1220">
        <v>-1.1044591154950001</v>
      </c>
      <c r="AH1220">
        <v>25.2455323725165</v>
      </c>
      <c r="AI1220">
        <v>92.504958641023094</v>
      </c>
      <c r="AJ1220">
        <v>89.604371337029505</v>
      </c>
      <c r="AK1220">
        <v>25.270281428553002</v>
      </c>
    </row>
    <row r="1221" spans="1:37" x14ac:dyDescent="0.2">
      <c r="A1221" t="str">
        <f>"20200111155522050"</f>
        <v>20200111155522050</v>
      </c>
      <c r="B1221" t="str">
        <f>"1578729322043567"</f>
        <v>1578729322043567</v>
      </c>
      <c r="C1221" t="s">
        <v>37</v>
      </c>
      <c r="D1221">
        <v>5.0090820000000003</v>
      </c>
      <c r="E1221">
        <v>0.54495689999999997</v>
      </c>
      <c r="F1221" t="s">
        <v>38</v>
      </c>
      <c r="G1221">
        <v>-235.34389999999999</v>
      </c>
      <c r="H1221" s="1">
        <v>-2.1022200000000001E-6</v>
      </c>
      <c r="I1221">
        <v>368.92619999999999</v>
      </c>
      <c r="J1221">
        <v>-260.44380000000001</v>
      </c>
      <c r="K1221">
        <v>1.1044559999999899</v>
      </c>
      <c r="L1221">
        <v>368.15989999999999</v>
      </c>
      <c r="M1221">
        <v>0.99923099999999998</v>
      </c>
      <c r="N1221">
        <v>0</v>
      </c>
      <c r="O1221">
        <v>3.7144620000000003E-2</v>
      </c>
      <c r="P1221">
        <v>0.98889259999999901</v>
      </c>
      <c r="Q1221">
        <v>2.9960500000000001E-3</v>
      </c>
      <c r="R1221">
        <v>0.1486026</v>
      </c>
      <c r="S1221">
        <v>3.0203250000000001</v>
      </c>
      <c r="T1221">
        <v>-0.13209489999999999</v>
      </c>
      <c r="U1221">
        <v>9.2315670000000002E-2</v>
      </c>
      <c r="V1221">
        <v>-0.111758</v>
      </c>
      <c r="W1221">
        <v>1.552979E-2</v>
      </c>
      <c r="X1221">
        <v>0.99361409999999994</v>
      </c>
      <c r="Y1221">
        <v>6.5590319999999898E-3</v>
      </c>
      <c r="Z1221">
        <v>-1.7663239999999899E-3</v>
      </c>
      <c r="AA1221">
        <v>0.99997689999999995</v>
      </c>
      <c r="AB1221">
        <v>29</v>
      </c>
      <c r="AC1221">
        <v>25.099900000000002</v>
      </c>
      <c r="AD1221">
        <v>-1.10445810222</v>
      </c>
      <c r="AE1221">
        <v>0.76630000000000098</v>
      </c>
      <c r="AF1221">
        <v>0.166306963378727</v>
      </c>
      <c r="AG1221">
        <v>-1.10445810222</v>
      </c>
      <c r="AH1221">
        <v>25.062560584339501</v>
      </c>
      <c r="AI1221">
        <v>92.523225083012903</v>
      </c>
      <c r="AJ1221">
        <v>89.619809507466599</v>
      </c>
      <c r="AK1221">
        <v>25.087435675040901</v>
      </c>
    </row>
    <row r="1222" spans="1:37" x14ac:dyDescent="0.2">
      <c r="A1222" t="str">
        <f>"20200111155522065"</f>
        <v>20200111155522065</v>
      </c>
      <c r="B1222" t="str">
        <f>"1578729322053327"</f>
        <v>1578729322053327</v>
      </c>
      <c r="C1222" t="s">
        <v>37</v>
      </c>
      <c r="D1222">
        <v>4.9397339999999996</v>
      </c>
      <c r="E1222">
        <v>0.54489880000000002</v>
      </c>
      <c r="F1222" t="s">
        <v>38</v>
      </c>
      <c r="G1222">
        <v>-235.1593</v>
      </c>
      <c r="H1222" s="1">
        <v>-2.1816929999999998E-6</v>
      </c>
      <c r="I1222">
        <v>368.92450000000002</v>
      </c>
      <c r="J1222">
        <v>-260.26530000000002</v>
      </c>
      <c r="K1222">
        <v>1.1044499999999999</v>
      </c>
      <c r="L1222">
        <v>368.16640000000001</v>
      </c>
      <c r="M1222">
        <v>0.99923519999999899</v>
      </c>
      <c r="N1222">
        <v>0</v>
      </c>
      <c r="O1222">
        <v>3.6987310000000002E-2</v>
      </c>
      <c r="P1222">
        <v>0.98896469999999903</v>
      </c>
      <c r="Q1222">
        <v>4.0233990000000004E-3</v>
      </c>
      <c r="R1222">
        <v>0.14809729999999999</v>
      </c>
      <c r="S1222">
        <v>3.0203549999999999</v>
      </c>
      <c r="T1222">
        <v>-0.13193270000000001</v>
      </c>
      <c r="U1222">
        <v>9.1339110000000001E-2</v>
      </c>
      <c r="V1222">
        <v>-0.1114058</v>
      </c>
      <c r="W1222">
        <v>1.668787E-2</v>
      </c>
      <c r="X1222">
        <v>0.99363489999999999</v>
      </c>
      <c r="Y1222">
        <v>6.7250819999999899E-3</v>
      </c>
      <c r="Z1222">
        <v>-1.760916E-3</v>
      </c>
      <c r="AA1222">
        <v>0.99997590000000003</v>
      </c>
      <c r="AB1222">
        <v>29</v>
      </c>
      <c r="AC1222">
        <v>25.106000000000002</v>
      </c>
      <c r="AD1222">
        <v>-1.104452181693</v>
      </c>
      <c r="AE1222">
        <v>0.75810000000001299</v>
      </c>
      <c r="AF1222">
        <v>0.17076679298001901</v>
      </c>
      <c r="AG1222">
        <v>-1.104452181693</v>
      </c>
      <c r="AH1222">
        <v>25.068390821663598</v>
      </c>
      <c r="AI1222">
        <v>92.522622513764105</v>
      </c>
      <c r="AJ1222">
        <v>89.609705096317697</v>
      </c>
      <c r="AK1222">
        <v>25.093289826304101</v>
      </c>
    </row>
    <row r="1223" spans="1:37" x14ac:dyDescent="0.2">
      <c r="A1223" t="str">
        <f>"20200111155522077"</f>
        <v>20200111155522077</v>
      </c>
      <c r="B1223" t="str">
        <f>"1578729322073823"</f>
        <v>1578729322073823</v>
      </c>
      <c r="C1223" t="s">
        <v>37</v>
      </c>
      <c r="D1223">
        <v>4.9092769999999897</v>
      </c>
      <c r="E1223">
        <v>0.54473439999999995</v>
      </c>
      <c r="F1223" t="s">
        <v>38</v>
      </c>
      <c r="G1223">
        <v>-234.50030000000001</v>
      </c>
      <c r="H1223" s="1">
        <v>-2.4622049999999998E-6</v>
      </c>
      <c r="I1223">
        <v>368.93689999999998</v>
      </c>
      <c r="J1223">
        <v>-260.09379999999999</v>
      </c>
      <c r="K1223">
        <v>1.104441</v>
      </c>
      <c r="L1223">
        <v>368.17259999999999</v>
      </c>
      <c r="M1223">
        <v>0.99923980000000001</v>
      </c>
      <c r="N1223">
        <v>0</v>
      </c>
      <c r="O1223">
        <v>3.6822399999999998E-2</v>
      </c>
      <c r="P1223">
        <v>0.98902699999999999</v>
      </c>
      <c r="Q1223">
        <v>4.8040239999999996E-3</v>
      </c>
      <c r="R1223">
        <v>0.14765629999999999</v>
      </c>
      <c r="S1223">
        <v>3.0204770000000001</v>
      </c>
      <c r="T1223">
        <v>-0.12947639999999999</v>
      </c>
      <c r="U1223">
        <v>9.0332029999999994E-2</v>
      </c>
      <c r="V1223">
        <v>-0.111125</v>
      </c>
      <c r="W1223">
        <v>1.7588489999999998E-2</v>
      </c>
      <c r="X1223">
        <v>0.99365079999999995</v>
      </c>
      <c r="Y1223">
        <v>6.8959640000000001E-3</v>
      </c>
      <c r="Z1223">
        <v>-1.7247059999999999E-3</v>
      </c>
      <c r="AA1223">
        <v>0.99997469999999999</v>
      </c>
      <c r="AB1223">
        <v>29</v>
      </c>
      <c r="AC1223">
        <v>25.593499999999899</v>
      </c>
      <c r="AD1223">
        <v>-1.1044434622049999</v>
      </c>
      <c r="AE1223">
        <v>0.76429999999999099</v>
      </c>
      <c r="AF1223">
        <v>0.17837788375779201</v>
      </c>
      <c r="AG1223">
        <v>-1.1044434622049999</v>
      </c>
      <c r="AH1223">
        <v>25.556736469171501</v>
      </c>
      <c r="AI1223">
        <v>92.474457630019501</v>
      </c>
      <c r="AJ1223">
        <v>89.600100194675306</v>
      </c>
      <c r="AK1223">
        <v>25.5812117184723</v>
      </c>
    </row>
    <row r="1224" spans="1:37" x14ac:dyDescent="0.2">
      <c r="A1224" t="str">
        <f>"20200111155522089"</f>
        <v>20200111155522089</v>
      </c>
      <c r="B1224" t="str">
        <f>"1578729322083583"</f>
        <v>1578729322083583</v>
      </c>
      <c r="C1224" t="s">
        <v>37</v>
      </c>
      <c r="D1224">
        <v>4.9174410000000002</v>
      </c>
      <c r="E1224">
        <v>0.54470940000000001</v>
      </c>
      <c r="F1224" t="s">
        <v>38</v>
      </c>
      <c r="G1224">
        <v>-234.1677</v>
      </c>
      <c r="H1224" s="1">
        <v>-2.6030380000000001E-6</v>
      </c>
      <c r="I1224">
        <v>368.94740000000002</v>
      </c>
      <c r="J1224">
        <v>-259.94540000000001</v>
      </c>
      <c r="K1224">
        <v>1.1044290000000001</v>
      </c>
      <c r="L1224">
        <v>368.17790000000002</v>
      </c>
      <c r="M1224">
        <v>0.99924500000000005</v>
      </c>
      <c r="N1224">
        <v>0</v>
      </c>
      <c r="O1224">
        <v>3.664883E-2</v>
      </c>
      <c r="P1224">
        <v>0.98903050000000003</v>
      </c>
      <c r="Q1224">
        <v>5.3944689999999998E-3</v>
      </c>
      <c r="R1224">
        <v>0.1476132</v>
      </c>
      <c r="S1224">
        <v>3.0204469999999999</v>
      </c>
      <c r="T1224">
        <v>-0.1286696</v>
      </c>
      <c r="U1224">
        <v>9.0271000000000004E-2</v>
      </c>
      <c r="V1224">
        <v>-0.11125350000000001</v>
      </c>
      <c r="W1224">
        <v>1.8274550000000001E-2</v>
      </c>
      <c r="X1224">
        <v>0.99362399999999995</v>
      </c>
      <c r="Y1224">
        <v>6.7429919999999997E-3</v>
      </c>
      <c r="Z1224">
        <v>-1.7033479999999999E-3</v>
      </c>
      <c r="AA1224">
        <v>0.99997579999999997</v>
      </c>
      <c r="AB1224">
        <v>29</v>
      </c>
      <c r="AC1224">
        <v>25.777699999999999</v>
      </c>
      <c r="AD1224">
        <v>-1.1044316030379999</v>
      </c>
      <c r="AE1224">
        <v>0.76949999999999297</v>
      </c>
      <c r="AF1224">
        <v>0.17549627437335</v>
      </c>
      <c r="AG1224">
        <v>-1.1044316030379999</v>
      </c>
      <c r="AH1224">
        <v>25.741373411516498</v>
      </c>
      <c r="AI1224">
        <v>92.4567071350573</v>
      </c>
      <c r="AJ1224">
        <v>89.609382145438801</v>
      </c>
      <c r="AK1224">
        <v>25.7656529748275</v>
      </c>
    </row>
    <row r="1225" spans="1:37" x14ac:dyDescent="0.2">
      <c r="A1225" t="str">
        <f>"20200111155522101"</f>
        <v>20200111155522101</v>
      </c>
      <c r="B1225" t="str">
        <f>"1578729322093343"</f>
        <v>1578729322093343</v>
      </c>
      <c r="C1225" t="s">
        <v>37</v>
      </c>
      <c r="D1225">
        <v>4.8790259999999996</v>
      </c>
      <c r="E1225">
        <v>0.5447014</v>
      </c>
      <c r="F1225" t="s">
        <v>38</v>
      </c>
      <c r="G1225">
        <v>-233.81530000000001</v>
      </c>
      <c r="H1225" s="1">
        <v>-2.7523759999999999E-6</v>
      </c>
      <c r="I1225">
        <v>368.95769999999999</v>
      </c>
      <c r="J1225">
        <v>-259.79250000000002</v>
      </c>
      <c r="K1225">
        <v>1.104411</v>
      </c>
      <c r="L1225">
        <v>368.18329999999997</v>
      </c>
      <c r="M1225">
        <v>0.99925079999999999</v>
      </c>
      <c r="N1225">
        <v>0</v>
      </c>
      <c r="O1225">
        <v>3.6459119999999998E-2</v>
      </c>
      <c r="P1225">
        <v>0.9890312</v>
      </c>
      <c r="Q1225">
        <v>5.7262989999999998E-3</v>
      </c>
      <c r="R1225">
        <v>0.14759549999999999</v>
      </c>
      <c r="S1225">
        <v>3.0204770000000001</v>
      </c>
      <c r="T1225">
        <v>-0.127665</v>
      </c>
      <c r="U1225">
        <v>9.0148930000000002E-2</v>
      </c>
      <c r="V1225">
        <v>-0.1114231</v>
      </c>
      <c r="W1225">
        <v>1.8703629999999999E-2</v>
      </c>
      <c r="X1225">
        <v>0.99359699999999995</v>
      </c>
      <c r="Y1225">
        <v>6.5947810000000001E-3</v>
      </c>
      <c r="Z1225">
        <v>-1.67891E-3</v>
      </c>
      <c r="AA1225">
        <v>0.99997689999999995</v>
      </c>
      <c r="AB1225">
        <v>29</v>
      </c>
      <c r="AC1225">
        <v>25.9772</v>
      </c>
      <c r="AD1225">
        <v>-1.104413752376</v>
      </c>
      <c r="AE1225">
        <v>0.77440000000001397</v>
      </c>
      <c r="AF1225">
        <v>0.17298824083837699</v>
      </c>
      <c r="AG1225">
        <v>-1.104413752376</v>
      </c>
      <c r="AH1225">
        <v>25.9413149828919</v>
      </c>
      <c r="AI1225">
        <v>92.437758198442594</v>
      </c>
      <c r="AJ1225">
        <v>89.617931889707705</v>
      </c>
      <c r="AK1225">
        <v>25.965389997254398</v>
      </c>
    </row>
    <row r="1226" spans="1:37" x14ac:dyDescent="0.2">
      <c r="A1226" t="str">
        <f>"20200111155522114"</f>
        <v>20200111155522114</v>
      </c>
      <c r="B1226" t="str">
        <f>"1578729322104079"</f>
        <v>1578729322104079</v>
      </c>
      <c r="C1226" t="s">
        <v>37</v>
      </c>
      <c r="D1226">
        <v>5.0337149999999999</v>
      </c>
      <c r="E1226">
        <v>0.5447014</v>
      </c>
      <c r="F1226" t="s">
        <v>38</v>
      </c>
      <c r="G1226">
        <v>-233.52170000000001</v>
      </c>
      <c r="H1226" s="1">
        <v>-2.876456E-6</v>
      </c>
      <c r="I1226">
        <v>368.96839999999997</v>
      </c>
      <c r="J1226">
        <v>-259.61950000000002</v>
      </c>
      <c r="K1226">
        <v>1.104382</v>
      </c>
      <c r="L1226">
        <v>368.18939999999998</v>
      </c>
      <c r="M1226">
        <v>0.9992588</v>
      </c>
      <c r="N1226">
        <v>0</v>
      </c>
      <c r="O1226">
        <v>3.6205670000000002E-2</v>
      </c>
      <c r="P1226">
        <v>0.98904899999999996</v>
      </c>
      <c r="Q1226">
        <v>6.081833E-3</v>
      </c>
      <c r="R1226">
        <v>0.1474626</v>
      </c>
      <c r="S1226">
        <v>3.0205690000000001</v>
      </c>
      <c r="T1226">
        <v>-0.1269827</v>
      </c>
      <c r="U1226">
        <v>9.0271000000000004E-2</v>
      </c>
      <c r="V1226">
        <v>-0.11153920000000001</v>
      </c>
      <c r="W1226">
        <v>1.916226E-2</v>
      </c>
      <c r="X1226">
        <v>0.99357530000000005</v>
      </c>
      <c r="Y1226">
        <v>6.3026050000000002E-3</v>
      </c>
      <c r="Z1226">
        <v>-1.653117E-3</v>
      </c>
      <c r="AA1226">
        <v>0.99997879999999995</v>
      </c>
      <c r="AB1226">
        <v>29</v>
      </c>
      <c r="AC1226">
        <v>26.097799999999999</v>
      </c>
      <c r="AD1226">
        <v>-1.104384876456</v>
      </c>
      <c r="AE1226">
        <v>0.77899999999999603</v>
      </c>
      <c r="AF1226">
        <v>0.166182638600194</v>
      </c>
      <c r="AG1226">
        <v>-1.104384876456</v>
      </c>
      <c r="AH1226">
        <v>26.0622636808008</v>
      </c>
      <c r="AI1226">
        <v>92.426399952596199</v>
      </c>
      <c r="AJ1226">
        <v>89.634665856465205</v>
      </c>
      <c r="AK1226">
        <v>26.086181606212602</v>
      </c>
    </row>
    <row r="1227" spans="1:37" x14ac:dyDescent="0.2">
      <c r="A1227" t="str">
        <f>"20200111155522129"</f>
        <v>20200111155522129</v>
      </c>
      <c r="B1227" t="str">
        <f>"1578729322123600"</f>
        <v>1578729322123600</v>
      </c>
      <c r="C1227" t="s">
        <v>37</v>
      </c>
      <c r="D1227">
        <v>4.9166230000000004</v>
      </c>
      <c r="E1227">
        <v>0.54211719999999997</v>
      </c>
      <c r="F1227" t="s">
        <v>38</v>
      </c>
      <c r="G1227">
        <v>-233.07480000000001</v>
      </c>
      <c r="H1227" s="1">
        <v>-3.0665330000000001E-6</v>
      </c>
      <c r="I1227">
        <v>368.9776</v>
      </c>
      <c r="J1227">
        <v>-259.43259999999998</v>
      </c>
      <c r="K1227">
        <v>1.1043430000000001</v>
      </c>
      <c r="L1227">
        <v>368.19589999999999</v>
      </c>
      <c r="M1227">
        <v>0.99926879999999996</v>
      </c>
      <c r="N1227">
        <v>0</v>
      </c>
      <c r="O1227">
        <v>3.5894089999999997E-2</v>
      </c>
      <c r="P1227">
        <v>0.98907160000000005</v>
      </c>
      <c r="Q1227">
        <v>6.0989149999999999E-3</v>
      </c>
      <c r="R1227">
        <v>0.14730960000000001</v>
      </c>
      <c r="S1227">
        <v>3.0206300000000001</v>
      </c>
      <c r="T1227">
        <v>-0.1256719</v>
      </c>
      <c r="U1227">
        <v>8.9691160000000006E-2</v>
      </c>
      <c r="V1227">
        <v>-0.1116934</v>
      </c>
      <c r="W1227">
        <v>1.928479E-2</v>
      </c>
      <c r="X1227">
        <v>0.99355559999999998</v>
      </c>
      <c r="Y1227">
        <v>6.1843779999999999E-3</v>
      </c>
      <c r="Z1227">
        <v>-1.620638E-3</v>
      </c>
      <c r="AA1227">
        <v>0.99997959999999997</v>
      </c>
      <c r="AB1227">
        <v>29</v>
      </c>
      <c r="AC1227">
        <v>26.357799999999902</v>
      </c>
      <c r="AD1227">
        <v>-1.104346066533</v>
      </c>
      <c r="AE1227">
        <v>0.78169999999999995</v>
      </c>
      <c r="AF1227">
        <v>0.16468628809443001</v>
      </c>
      <c r="AG1227">
        <v>-1.104346066533</v>
      </c>
      <c r="AH1227">
        <v>26.322704949500402</v>
      </c>
      <c r="AI1227">
        <v>92.402338504082195</v>
      </c>
      <c r="AJ1227">
        <v>89.641537366429503</v>
      </c>
      <c r="AK1227">
        <v>26.346375418007799</v>
      </c>
    </row>
    <row r="1228" spans="1:37" x14ac:dyDescent="0.2">
      <c r="A1228" t="str">
        <f>"20200111155522143"</f>
        <v>20200111155522143</v>
      </c>
      <c r="B1228" t="str">
        <f>"1578729322133359"</f>
        <v>1578729322133359</v>
      </c>
      <c r="C1228" t="s">
        <v>37</v>
      </c>
      <c r="D1228">
        <v>4.929748</v>
      </c>
      <c r="E1228">
        <v>0.54211719999999997</v>
      </c>
      <c r="F1228" t="s">
        <v>42</v>
      </c>
      <c r="G1228">
        <v>-205.22210000000001</v>
      </c>
      <c r="H1228" s="1">
        <v>-5.1540269999999998E-6</v>
      </c>
      <c r="I1228">
        <v>370.16489999999999</v>
      </c>
      <c r="J1228">
        <v>-259.2407</v>
      </c>
      <c r="K1228">
        <v>1.1042989999999999</v>
      </c>
      <c r="L1228">
        <v>368.20240000000001</v>
      </c>
      <c r="M1228">
        <v>0.99928030000000001</v>
      </c>
      <c r="N1228">
        <v>0</v>
      </c>
      <c r="O1228">
        <v>3.5539170000000002E-2</v>
      </c>
      <c r="P1228">
        <v>0.98909930000000001</v>
      </c>
      <c r="Q1228">
        <v>5.9712139999999999E-3</v>
      </c>
      <c r="R1228">
        <v>0.1471285</v>
      </c>
      <c r="S1228">
        <v>3.0172119999999998</v>
      </c>
      <c r="T1228">
        <v>-6.1465140000000001E-2</v>
      </c>
      <c r="U1228">
        <v>0.10958859999999999</v>
      </c>
      <c r="V1228">
        <v>-0.11186210000000001</v>
      </c>
      <c r="W1228">
        <v>1.9259519999999999E-2</v>
      </c>
      <c r="X1228">
        <v>0.99353709999999995</v>
      </c>
      <c r="Y1228">
        <v>-7.6261250000000003E-4</v>
      </c>
      <c r="Z1228">
        <v>-7.157407E-4</v>
      </c>
      <c r="AA1228">
        <v>0.99999950000000004</v>
      </c>
      <c r="AB1228">
        <v>29</v>
      </c>
      <c r="AC1228">
        <v>54.0185999999999</v>
      </c>
      <c r="AD1228">
        <v>-1.104304154027</v>
      </c>
      <c r="AE1228">
        <v>1.9624999999999699</v>
      </c>
      <c r="AF1228">
        <v>-4.1297776636425698E-2</v>
      </c>
      <c r="AG1228">
        <v>-1.104304154027</v>
      </c>
      <c r="AH1228">
        <v>54.031670318862602</v>
      </c>
      <c r="AI1228">
        <v>91.170852960684101</v>
      </c>
      <c r="AJ1228">
        <v>90.04379260959</v>
      </c>
      <c r="AK1228">
        <v>54.042969853785898</v>
      </c>
    </row>
    <row r="1229" spans="1:37" x14ac:dyDescent="0.2">
      <c r="A1229" t="str">
        <f>"20200111155522154"</f>
        <v>20200111155522154</v>
      </c>
      <c r="B1229" t="str">
        <f>"1578729322144095"</f>
        <v>1578729322144095</v>
      </c>
      <c r="C1229" t="s">
        <v>37</v>
      </c>
      <c r="D1229">
        <v>4.9124439999999998</v>
      </c>
      <c r="E1229">
        <v>0.54129780000000005</v>
      </c>
      <c r="F1229" t="s">
        <v>42</v>
      </c>
      <c r="G1229">
        <v>-205.2072</v>
      </c>
      <c r="H1229" s="1">
        <v>-5.1491369999999898E-6</v>
      </c>
      <c r="I1229">
        <v>370.15570000000002</v>
      </c>
      <c r="J1229">
        <v>-259.08609999999999</v>
      </c>
      <c r="K1229">
        <v>1.10426</v>
      </c>
      <c r="L1229">
        <v>368.20760000000001</v>
      </c>
      <c r="M1229">
        <v>0.99929069999999998</v>
      </c>
      <c r="N1229">
        <v>0</v>
      </c>
      <c r="O1229">
        <v>3.5220759999999997E-2</v>
      </c>
      <c r="P1229">
        <v>0.9890911</v>
      </c>
      <c r="Q1229">
        <v>5.9605109999999999E-3</v>
      </c>
      <c r="R1229">
        <v>0.14718539999999999</v>
      </c>
      <c r="S1229">
        <v>3.0172119999999998</v>
      </c>
      <c r="T1229">
        <v>-6.1663990000000002E-2</v>
      </c>
      <c r="U1229">
        <v>0.10906979999999999</v>
      </c>
      <c r="V1229">
        <v>-0.11223379999999999</v>
      </c>
      <c r="W1229">
        <v>1.9326260000000001E-2</v>
      </c>
      <c r="X1229">
        <v>0.99349390000000004</v>
      </c>
      <c r="Y1229">
        <v>-9.0945259999999895E-4</v>
      </c>
      <c r="Z1229">
        <v>-7.100594E-4</v>
      </c>
      <c r="AA1229">
        <v>0.99999930000000004</v>
      </c>
      <c r="AB1229">
        <v>29</v>
      </c>
      <c r="AC1229">
        <v>53.878899999999902</v>
      </c>
      <c r="AD1229">
        <v>-1.1042651491369999</v>
      </c>
      <c r="AE1229">
        <v>1.9481000000000099</v>
      </c>
      <c r="AF1229">
        <v>-4.90461885578563E-2</v>
      </c>
      <c r="AG1229">
        <v>-1.1042651491369999</v>
      </c>
      <c r="AH1229">
        <v>53.891476914686002</v>
      </c>
      <c r="AI1229">
        <v>91.173856374284398</v>
      </c>
      <c r="AJ1229">
        <v>90.052144401871999</v>
      </c>
      <c r="AK1229">
        <v>53.902811532371402</v>
      </c>
    </row>
    <row r="1230" spans="1:37" x14ac:dyDescent="0.2">
      <c r="A1230" t="str">
        <f>"20200111155522167"</f>
        <v>20200111155522167</v>
      </c>
      <c r="B1230" t="str">
        <f>"1578729322163616"</f>
        <v>1578729322163616</v>
      </c>
      <c r="C1230" t="s">
        <v>37</v>
      </c>
      <c r="D1230">
        <v>4.9270350000000001</v>
      </c>
      <c r="E1230">
        <v>0.54127349999999996</v>
      </c>
      <c r="F1230" t="s">
        <v>38</v>
      </c>
      <c r="G1230">
        <v>-234.7397</v>
      </c>
      <c r="H1230" s="1">
        <v>-2.3235720000000002E-6</v>
      </c>
      <c r="I1230">
        <v>369.1395</v>
      </c>
      <c r="J1230">
        <v>-258.92989999999998</v>
      </c>
      <c r="K1230">
        <v>1.1042209999999999</v>
      </c>
      <c r="L1230">
        <v>368.21280000000002</v>
      </c>
      <c r="M1230">
        <v>0.99930239999999904</v>
      </c>
      <c r="N1230">
        <v>0</v>
      </c>
      <c r="O1230">
        <v>3.4864520000000003E-2</v>
      </c>
      <c r="P1230">
        <v>0.98912479999999903</v>
      </c>
      <c r="Q1230">
        <v>5.7893769999999897E-3</v>
      </c>
      <c r="R1230">
        <v>0.1469655</v>
      </c>
      <c r="S1230">
        <v>3.016724</v>
      </c>
      <c r="T1230">
        <v>-0.13682659999999999</v>
      </c>
      <c r="U1230">
        <v>0.1154785</v>
      </c>
      <c r="V1230">
        <v>-0.1123653</v>
      </c>
      <c r="W1230">
        <v>1.9228530000000001E-2</v>
      </c>
      <c r="X1230">
        <v>0.9934809</v>
      </c>
      <c r="Y1230">
        <v>-3.418314E-3</v>
      </c>
      <c r="Z1230">
        <v>-1.5021119999999999E-3</v>
      </c>
      <c r="AA1230">
        <v>0.99999300000000002</v>
      </c>
      <c r="AB1230">
        <v>29</v>
      </c>
      <c r="AC1230">
        <v>24.190199999999901</v>
      </c>
      <c r="AD1230">
        <v>-1.10422332357199</v>
      </c>
      <c r="AE1230">
        <v>0.92669999999998198</v>
      </c>
      <c r="AF1230">
        <v>-8.25095569500226E-2</v>
      </c>
      <c r="AG1230">
        <v>-1.10422332357199</v>
      </c>
      <c r="AH1230">
        <v>24.1575394565807</v>
      </c>
      <c r="AI1230">
        <v>92.617110937252505</v>
      </c>
      <c r="AJ1230">
        <v>90.195691742889593</v>
      </c>
      <c r="AK1230">
        <v>24.1829036629508</v>
      </c>
    </row>
    <row r="1231" spans="1:37" x14ac:dyDescent="0.2">
      <c r="A1231" t="str">
        <f>"20200111155522180"</f>
        <v>20200111155522180</v>
      </c>
      <c r="B1231" t="str">
        <f>"1578729322173376"</f>
        <v>1578729322173376</v>
      </c>
      <c r="C1231" t="s">
        <v>37</v>
      </c>
      <c r="D1231">
        <v>5.1499519999999999</v>
      </c>
      <c r="E1231">
        <v>0.54239589999999904</v>
      </c>
      <c r="F1231" t="s">
        <v>38</v>
      </c>
      <c r="G1231">
        <v>-235.79179999999999</v>
      </c>
      <c r="H1231" s="1">
        <v>-1.880354E-6</v>
      </c>
      <c r="I1231">
        <v>369.09379999999999</v>
      </c>
      <c r="J1231">
        <v>-258.76310000000001</v>
      </c>
      <c r="K1231">
        <v>1.1041799999999999</v>
      </c>
      <c r="L1231">
        <v>368.21820000000002</v>
      </c>
      <c r="M1231">
        <v>0.99931530000000002</v>
      </c>
      <c r="N1231">
        <v>0</v>
      </c>
      <c r="O1231">
        <v>3.4464229999999998E-2</v>
      </c>
      <c r="P1231">
        <v>0.98916979999999999</v>
      </c>
      <c r="Q1231">
        <v>5.5907689999999998E-3</v>
      </c>
      <c r="R1231">
        <v>0.1466691</v>
      </c>
      <c r="S1231">
        <v>3.016785</v>
      </c>
      <c r="T1231">
        <v>-0.14396989999999901</v>
      </c>
      <c r="U1231">
        <v>0.1148682</v>
      </c>
      <c r="V1231">
        <v>-0.1124636</v>
      </c>
      <c r="W1231">
        <v>1.9105049999999998E-2</v>
      </c>
      <c r="X1231">
        <v>0.99347220000000003</v>
      </c>
      <c r="Y1231">
        <v>-3.6188240000000001E-3</v>
      </c>
      <c r="Z1231">
        <v>-1.55657E-3</v>
      </c>
      <c r="AA1231">
        <v>0.99999229999999995</v>
      </c>
      <c r="AB1231">
        <v>29</v>
      </c>
      <c r="AC1231">
        <v>22.971299999999999</v>
      </c>
      <c r="AD1231">
        <v>-1.104181880354</v>
      </c>
      <c r="AE1231">
        <v>0.87559999999996296</v>
      </c>
      <c r="AF1231">
        <v>-8.3128066476330795E-2</v>
      </c>
      <c r="AG1231">
        <v>-1.104181880354</v>
      </c>
      <c r="AH1231">
        <v>22.9349158809393</v>
      </c>
      <c r="AI1231">
        <v>92.756309873262097</v>
      </c>
      <c r="AJ1231">
        <v>90.207668802281603</v>
      </c>
      <c r="AK1231">
        <v>22.961630916947101</v>
      </c>
    </row>
    <row r="1232" spans="1:37" x14ac:dyDescent="0.2">
      <c r="A1232" t="str">
        <f>"20200111155522191"</f>
        <v>20200111155522191</v>
      </c>
      <c r="B1232" t="str">
        <f>"1578729322184111"</f>
        <v>1578729322184111</v>
      </c>
      <c r="C1232" t="s">
        <v>37</v>
      </c>
      <c r="D1232">
        <v>4.9576250000000002</v>
      </c>
      <c r="E1232">
        <v>0.54201820000000001</v>
      </c>
      <c r="F1232" t="s">
        <v>38</v>
      </c>
      <c r="G1232">
        <v>-235.34559999999999</v>
      </c>
      <c r="H1232" s="1">
        <v>-2.08207799999999E-6</v>
      </c>
      <c r="I1232">
        <v>369.03559999999999</v>
      </c>
      <c r="J1232">
        <v>-258.60379999999998</v>
      </c>
      <c r="K1232">
        <v>1.1041379999999901</v>
      </c>
      <c r="L1232">
        <v>368.22329999999999</v>
      </c>
      <c r="M1232">
        <v>0.99932929999999998</v>
      </c>
      <c r="N1232">
        <v>0</v>
      </c>
      <c r="O1232">
        <v>3.4037520000000002E-2</v>
      </c>
      <c r="P1232">
        <v>0.98923490000000003</v>
      </c>
      <c r="Q1232">
        <v>5.6042560000000002E-3</v>
      </c>
      <c r="R1232">
        <v>0.14623069999999999</v>
      </c>
      <c r="S1232">
        <v>3.0180210000000001</v>
      </c>
      <c r="T1232">
        <v>-0.14230499999999999</v>
      </c>
      <c r="U1232">
        <v>0.105346699999999</v>
      </c>
      <c r="V1232">
        <v>-0.1124454</v>
      </c>
      <c r="W1232">
        <v>1.9183240000000001E-2</v>
      </c>
      <c r="X1232">
        <v>0.99347269999999899</v>
      </c>
      <c r="Y1232">
        <v>-8.8129119999999896E-4</v>
      </c>
      <c r="Z1232">
        <v>-1.5824669999999999E-3</v>
      </c>
      <c r="AA1232">
        <v>0.99999830000000001</v>
      </c>
      <c r="AB1232">
        <v>29</v>
      </c>
      <c r="AC1232">
        <v>23.258199999999899</v>
      </c>
      <c r="AD1232">
        <v>-1.1041400820780001</v>
      </c>
      <c r="AE1232">
        <v>0.81229999999999303</v>
      </c>
      <c r="AF1232">
        <v>-2.0060421314926899E-2</v>
      </c>
      <c r="AG1232">
        <v>-1.1041400820780001</v>
      </c>
      <c r="AH1232">
        <v>23.220104509153899</v>
      </c>
      <c r="AI1232">
        <v>92.722422143871299</v>
      </c>
      <c r="AJ1232">
        <v>90.049499225560893</v>
      </c>
      <c r="AK1232">
        <v>23.246349845887199</v>
      </c>
    </row>
    <row r="1233" spans="1:37" x14ac:dyDescent="0.2">
      <c r="A1233" t="str">
        <f>"20200111155522206"</f>
        <v>20200111155522206</v>
      </c>
      <c r="B1233" t="str">
        <f>"1578729322203632"</f>
        <v>1578729322203632</v>
      </c>
      <c r="C1233" t="s">
        <v>37</v>
      </c>
      <c r="D1233">
        <v>4.8843209999999999</v>
      </c>
      <c r="E1233">
        <v>0.54188099999999995</v>
      </c>
      <c r="F1233" t="s">
        <v>38</v>
      </c>
      <c r="G1233">
        <v>-235.69280000000001</v>
      </c>
      <c r="H1233" s="1">
        <v>-1.93323E-6</v>
      </c>
      <c r="I1233">
        <v>369.0351</v>
      </c>
      <c r="J1233">
        <v>-258.42680000000001</v>
      </c>
      <c r="K1233">
        <v>1.104098</v>
      </c>
      <c r="L1233">
        <v>368.22879999999998</v>
      </c>
      <c r="M1233">
        <v>0.99934529999999999</v>
      </c>
      <c r="N1233">
        <v>0</v>
      </c>
      <c r="O1233">
        <v>3.3538499999999999E-2</v>
      </c>
      <c r="P1233">
        <v>0.98931749999999996</v>
      </c>
      <c r="Q1233">
        <v>5.1012119999999999E-3</v>
      </c>
      <c r="R1233">
        <v>0.1456876</v>
      </c>
      <c r="S1233">
        <v>3.0176699999999999</v>
      </c>
      <c r="T1233">
        <v>-0.14542869999999999</v>
      </c>
      <c r="U1233">
        <v>0.1069336</v>
      </c>
      <c r="V1233">
        <v>-0.1123943</v>
      </c>
      <c r="W1233">
        <v>1.8747960000000001E-2</v>
      </c>
      <c r="X1233">
        <v>0.9934868</v>
      </c>
      <c r="Y1233">
        <v>-1.909757E-3</v>
      </c>
      <c r="Z1233">
        <v>-1.5685619999999999E-3</v>
      </c>
      <c r="AA1233">
        <v>0.99999699999999903</v>
      </c>
      <c r="AB1233">
        <v>29</v>
      </c>
      <c r="AC1233">
        <v>22.734000000000002</v>
      </c>
      <c r="AD1233">
        <v>-1.1040999332300001</v>
      </c>
      <c r="AE1233">
        <v>0.806300000000021</v>
      </c>
      <c r="AF1233">
        <v>-4.32100545832243E-2</v>
      </c>
      <c r="AG1233">
        <v>-1.1040999332300001</v>
      </c>
      <c r="AH1233">
        <v>22.694790664664399</v>
      </c>
      <c r="AI1233">
        <v>92.785234513653293</v>
      </c>
      <c r="AJ1233">
        <v>90.109088944909701</v>
      </c>
      <c r="AK1233">
        <v>22.721673069655601</v>
      </c>
    </row>
    <row r="1234" spans="1:37" x14ac:dyDescent="0.2">
      <c r="A1234" t="str">
        <f>"20200111155522219"</f>
        <v>20200111155522219</v>
      </c>
      <c r="B1234" t="str">
        <f>"1578729322213391"</f>
        <v>1578729322213391</v>
      </c>
      <c r="C1234" t="s">
        <v>37</v>
      </c>
      <c r="D1234">
        <v>4.9264250000000001</v>
      </c>
      <c r="E1234">
        <v>0.54175839999999997</v>
      </c>
      <c r="F1234" t="s">
        <v>38</v>
      </c>
      <c r="G1234">
        <v>-236.2415</v>
      </c>
      <c r="H1234" s="1">
        <v>-1.702286E-6</v>
      </c>
      <c r="I1234">
        <v>369.01</v>
      </c>
      <c r="J1234">
        <v>-258.25920000000002</v>
      </c>
      <c r="K1234">
        <v>1.1040620000000001</v>
      </c>
      <c r="L1234">
        <v>368.23390000000001</v>
      </c>
      <c r="M1234">
        <v>0.99936130000000001</v>
      </c>
      <c r="N1234">
        <v>0</v>
      </c>
      <c r="O1234">
        <v>3.3043650000000001E-2</v>
      </c>
      <c r="P1234">
        <v>0.98940550000000005</v>
      </c>
      <c r="Q1234">
        <v>4.9935300000000004E-3</v>
      </c>
      <c r="R1234">
        <v>0.14509320000000001</v>
      </c>
      <c r="S1234">
        <v>3.0175169999999998</v>
      </c>
      <c r="T1234">
        <v>-0.15017220000000001</v>
      </c>
      <c r="U1234">
        <v>0.1062622</v>
      </c>
      <c r="V1234">
        <v>-0.11228779999999999</v>
      </c>
      <c r="W1234">
        <v>1.8701249999999999E-2</v>
      </c>
      <c r="X1234">
        <v>0.99349979999999904</v>
      </c>
      <c r="Y1234">
        <v>-2.1859649999999998E-3</v>
      </c>
      <c r="Z1234">
        <v>-1.588297E-3</v>
      </c>
      <c r="AA1234">
        <v>0.99999640000000001</v>
      </c>
      <c r="AB1234">
        <v>29</v>
      </c>
      <c r="AC1234">
        <v>22.017700000000001</v>
      </c>
      <c r="AD1234">
        <v>-1.104063702286</v>
      </c>
      <c r="AE1234">
        <v>0.77609999999998502</v>
      </c>
      <c r="AF1234">
        <v>-4.7943179529644102E-2</v>
      </c>
      <c r="AG1234">
        <v>-1.104063702286</v>
      </c>
      <c r="AH1234">
        <v>21.976132180490598</v>
      </c>
      <c r="AI1234">
        <v>92.876070249718694</v>
      </c>
      <c r="AJ1234">
        <v>90.124996403508007</v>
      </c>
      <c r="AK1234">
        <v>22.003900581977799</v>
      </c>
    </row>
    <row r="1235" spans="1:37" x14ac:dyDescent="0.2">
      <c r="A1235" t="str">
        <f>"20200111155522229"</f>
        <v>20200111155522229</v>
      </c>
      <c r="B1235" t="str">
        <f>"1578729322224128"</f>
        <v>1578729322224128</v>
      </c>
      <c r="C1235" t="s">
        <v>37</v>
      </c>
      <c r="D1235">
        <v>4.9010239999999996</v>
      </c>
      <c r="E1235">
        <v>0.54172519999999902</v>
      </c>
      <c r="F1235" t="s">
        <v>38</v>
      </c>
      <c r="G1235">
        <v>-236.18510000000001</v>
      </c>
      <c r="H1235" s="1">
        <v>-1.727001E-6</v>
      </c>
      <c r="I1235">
        <v>369.00699999999898</v>
      </c>
      <c r="J1235">
        <v>-258.09730000000002</v>
      </c>
      <c r="K1235">
        <v>1.104031</v>
      </c>
      <c r="L1235">
        <v>368.23869999999999</v>
      </c>
      <c r="M1235">
        <v>0.99937749999999903</v>
      </c>
      <c r="N1235">
        <v>0</v>
      </c>
      <c r="O1235">
        <v>3.2527260000000002E-2</v>
      </c>
      <c r="P1235">
        <v>0.98950090000000002</v>
      </c>
      <c r="Q1235">
        <v>4.8640940000000002E-3</v>
      </c>
      <c r="R1235">
        <v>0.14444470000000001</v>
      </c>
      <c r="S1235">
        <v>3.01737999999999</v>
      </c>
      <c r="T1235">
        <v>-0.150917</v>
      </c>
      <c r="U1235">
        <v>0.105682399999999</v>
      </c>
      <c r="V1235">
        <v>-0.1121486</v>
      </c>
      <c r="W1235">
        <v>1.8623529999999999E-2</v>
      </c>
      <c r="X1235">
        <v>0.99351690000000004</v>
      </c>
      <c r="Y1235">
        <v>-2.511657E-3</v>
      </c>
      <c r="Z1235">
        <v>-1.5623189999999999E-3</v>
      </c>
      <c r="AA1235">
        <v>0.99999559999999998</v>
      </c>
      <c r="AB1235">
        <v>29</v>
      </c>
      <c r="AC1235">
        <v>21.912199999999999</v>
      </c>
      <c r="AD1235">
        <v>-1.104032727001</v>
      </c>
      <c r="AE1235">
        <v>0.76829999999995302</v>
      </c>
      <c r="AF1235">
        <v>-5.4943737731662903E-2</v>
      </c>
      <c r="AG1235">
        <v>-1.104032727001</v>
      </c>
      <c r="AH1235">
        <v>21.870144912827499</v>
      </c>
      <c r="AI1235">
        <v>92.889901530249503</v>
      </c>
      <c r="AJ1235">
        <v>90.143942240543097</v>
      </c>
      <c r="AK1235">
        <v>21.898062598884898</v>
      </c>
    </row>
    <row r="1236" spans="1:37" x14ac:dyDescent="0.2">
      <c r="A1236" t="str">
        <f>"20200111155522243"</f>
        <v>20200111155522243</v>
      </c>
      <c r="B1236" t="str">
        <f>"1578729322233887"</f>
        <v>1578729322233887</v>
      </c>
      <c r="C1236" t="s">
        <v>37</v>
      </c>
      <c r="D1236">
        <v>4.9320589999999997</v>
      </c>
      <c r="E1236">
        <v>0.54180260000000002</v>
      </c>
      <c r="F1236" t="s">
        <v>38</v>
      </c>
      <c r="G1236">
        <v>-236.22049999999999</v>
      </c>
      <c r="H1236" s="1">
        <v>-1.7147159999999899E-6</v>
      </c>
      <c r="I1236">
        <v>368.99079999999998</v>
      </c>
      <c r="J1236">
        <v>-257.93360000000001</v>
      </c>
      <c r="K1236">
        <v>1.1040049999999999</v>
      </c>
      <c r="L1236">
        <v>368.24349999999998</v>
      </c>
      <c r="M1236">
        <v>0.99939419999999901</v>
      </c>
      <c r="N1236">
        <v>0</v>
      </c>
      <c r="O1236">
        <v>3.1992739999999999E-2</v>
      </c>
      <c r="P1236">
        <v>0.98969169999999995</v>
      </c>
      <c r="Q1236">
        <v>4.8406719999999999E-3</v>
      </c>
      <c r="R1236">
        <v>0.1431327</v>
      </c>
      <c r="S1236">
        <v>3.0174099999999999</v>
      </c>
      <c r="T1236">
        <v>-0.15227550000000001</v>
      </c>
      <c r="U1236">
        <v>0.10372919999999999</v>
      </c>
      <c r="V1236">
        <v>-0.11136119999999999</v>
      </c>
      <c r="W1236">
        <v>1.8649280000000001E-2</v>
      </c>
      <c r="X1236">
        <v>0.99360499999999996</v>
      </c>
      <c r="Y1236">
        <v>-2.3997710000000002E-3</v>
      </c>
      <c r="Z1236">
        <v>-1.5522579999999999E-3</v>
      </c>
      <c r="AA1236">
        <v>0.99999590000000005</v>
      </c>
      <c r="AB1236">
        <v>29</v>
      </c>
      <c r="AC1236">
        <v>21.713100000000001</v>
      </c>
      <c r="AD1236">
        <v>-1.104006714716</v>
      </c>
      <c r="AE1236">
        <v>0.74729999999999497</v>
      </c>
      <c r="AF1236">
        <v>-5.2056202809150097E-2</v>
      </c>
      <c r="AG1236">
        <v>-1.104006714716</v>
      </c>
      <c r="AH1236">
        <v>21.669937856391599</v>
      </c>
      <c r="AI1236">
        <v>92.916487431261203</v>
      </c>
      <c r="AJ1236">
        <v>90.137637449677101</v>
      </c>
      <c r="AK1236">
        <v>21.698104695439699</v>
      </c>
    </row>
    <row r="1237" spans="1:37" x14ac:dyDescent="0.2">
      <c r="A1237" t="str">
        <f>"20200111155522256"</f>
        <v>20200111155522256</v>
      </c>
      <c r="B1237" t="str">
        <f>"1578729322253407"</f>
        <v>1578729322253407</v>
      </c>
      <c r="C1237" t="s">
        <v>37</v>
      </c>
      <c r="D1237">
        <v>4.8826269999999896</v>
      </c>
      <c r="E1237">
        <v>0.54174690000000003</v>
      </c>
      <c r="F1237" t="s">
        <v>38</v>
      </c>
      <c r="G1237">
        <v>-236.23820000000001</v>
      </c>
      <c r="H1237" s="1">
        <v>-1.7129839999999999E-6</v>
      </c>
      <c r="I1237">
        <v>368.95769999999999</v>
      </c>
      <c r="J1237">
        <v>-257.7672</v>
      </c>
      <c r="K1237">
        <v>1.1039779999999999</v>
      </c>
      <c r="L1237">
        <v>368.24829999999997</v>
      </c>
      <c r="M1237">
        <v>0.99941159999999996</v>
      </c>
      <c r="N1237">
        <v>0</v>
      </c>
      <c r="O1237">
        <v>3.1431529999999999E-2</v>
      </c>
      <c r="P1237">
        <v>0.98989059999999995</v>
      </c>
      <c r="Q1237">
        <v>5.1878230000000003E-3</v>
      </c>
      <c r="R1237">
        <v>0.14173849999999999</v>
      </c>
      <c r="S1237">
        <v>3.0176240000000001</v>
      </c>
      <c r="T1237">
        <v>-0.1535562</v>
      </c>
      <c r="U1237">
        <v>9.9334720000000001E-2</v>
      </c>
      <c r="V1237">
        <v>-0.110517899999999</v>
      </c>
      <c r="W1237">
        <v>1.9041639999999999E-2</v>
      </c>
      <c r="X1237">
        <v>0.99369169999999996</v>
      </c>
      <c r="Y1237">
        <v>-1.5052920000000001E-3</v>
      </c>
      <c r="Z1237">
        <v>-1.5594560000000001E-3</v>
      </c>
      <c r="AA1237">
        <v>0.99999769999999899</v>
      </c>
      <c r="AB1237">
        <v>29</v>
      </c>
      <c r="AC1237">
        <v>21.529</v>
      </c>
      <c r="AD1237">
        <v>-1.1039797129840001</v>
      </c>
      <c r="AE1237">
        <v>0.70940000000001602</v>
      </c>
      <c r="AF1237">
        <v>-3.2211615108390899E-2</v>
      </c>
      <c r="AG1237">
        <v>-1.1039797129840001</v>
      </c>
      <c r="AH1237">
        <v>21.484228627335</v>
      </c>
      <c r="AI1237">
        <v>92.941586751029803</v>
      </c>
      <c r="AJ1237">
        <v>90.085904327592999</v>
      </c>
      <c r="AK1237">
        <v>21.512598367152901</v>
      </c>
    </row>
    <row r="1238" spans="1:37" x14ac:dyDescent="0.2">
      <c r="A1238" t="str">
        <f>"20200111155522269"</f>
        <v>20200111155522269</v>
      </c>
      <c r="B1238" t="str">
        <f>"1578729322264142"</f>
        <v>1578729322264142</v>
      </c>
      <c r="C1238" t="s">
        <v>37</v>
      </c>
      <c r="D1238">
        <v>4.9128099999999897</v>
      </c>
      <c r="E1238">
        <v>0.54166969999999903</v>
      </c>
      <c r="F1238" t="s">
        <v>38</v>
      </c>
      <c r="G1238">
        <v>-236.11869999999999</v>
      </c>
      <c r="H1238" s="1">
        <v>-1.767958E-6</v>
      </c>
      <c r="I1238">
        <v>368.9366</v>
      </c>
      <c r="J1238">
        <v>-257.61270000000002</v>
      </c>
      <c r="K1238">
        <v>1.103963</v>
      </c>
      <c r="L1238">
        <v>368.25259999999997</v>
      </c>
      <c r="M1238">
        <v>0.99942790000000004</v>
      </c>
      <c r="N1238">
        <v>0</v>
      </c>
      <c r="O1238">
        <v>3.0894120000000001E-2</v>
      </c>
      <c r="P1238">
        <v>0.99003369999999902</v>
      </c>
      <c r="Q1238">
        <v>5.3367609999999998E-3</v>
      </c>
      <c r="R1238">
        <v>0.14073069999999999</v>
      </c>
      <c r="S1238">
        <v>3.0177</v>
      </c>
      <c r="T1238">
        <v>-0.15388929999999901</v>
      </c>
      <c r="U1238">
        <v>9.5947270000000001E-2</v>
      </c>
      <c r="V1238">
        <v>-0.110039</v>
      </c>
      <c r="W1238">
        <v>1.922805E-2</v>
      </c>
      <c r="X1238">
        <v>0.99374130000000005</v>
      </c>
      <c r="Y1238">
        <v>-9.2105880000000005E-4</v>
      </c>
      <c r="Z1238">
        <v>-1.5503470000000001E-3</v>
      </c>
      <c r="AA1238">
        <v>0.99999839999999995</v>
      </c>
      <c r="AB1238">
        <v>29</v>
      </c>
      <c r="AC1238">
        <v>21.494</v>
      </c>
      <c r="AD1238">
        <v>-1.103964767958</v>
      </c>
      <c r="AE1238">
        <v>0.68400000000002503</v>
      </c>
      <c r="AF1238">
        <v>-1.95208780464971E-2</v>
      </c>
      <c r="AG1238">
        <v>-1.103964767958</v>
      </c>
      <c r="AH1238">
        <v>21.448348098026599</v>
      </c>
      <c r="AI1238">
        <v>92.946461280745694</v>
      </c>
      <c r="AJ1238">
        <v>90.052146841822804</v>
      </c>
      <c r="AK1238">
        <v>21.476749181561299</v>
      </c>
    </row>
    <row r="1239" spans="1:37" x14ac:dyDescent="0.2">
      <c r="A1239" t="str">
        <f>"20200111155522279"</f>
        <v>20200111155522279</v>
      </c>
      <c r="B1239" t="str">
        <f>"1578729322273904"</f>
        <v>1578729322273904</v>
      </c>
      <c r="C1239" t="s">
        <v>37</v>
      </c>
      <c r="D1239">
        <v>4.9243600000000001</v>
      </c>
      <c r="E1239">
        <v>0.54158459999999997</v>
      </c>
      <c r="F1239" t="s">
        <v>38</v>
      </c>
      <c r="G1239">
        <v>-236.0402</v>
      </c>
      <c r="H1239" s="1">
        <v>-1.804753E-6</v>
      </c>
      <c r="I1239">
        <v>368.91899999999998</v>
      </c>
      <c r="J1239">
        <v>-257.4622</v>
      </c>
      <c r="K1239">
        <v>1.1039490000000001</v>
      </c>
      <c r="L1239">
        <v>368.2568</v>
      </c>
      <c r="M1239">
        <v>0.99944359999999999</v>
      </c>
      <c r="N1239">
        <v>0</v>
      </c>
      <c r="O1239">
        <v>3.0366420000000002E-2</v>
      </c>
      <c r="P1239">
        <v>0.99025059999999998</v>
      </c>
      <c r="Q1239">
        <v>5.5558730000000002E-3</v>
      </c>
      <c r="R1239">
        <v>0.13918699999999901</v>
      </c>
      <c r="S1239">
        <v>3.0177459999999998</v>
      </c>
      <c r="T1239">
        <v>-0.15443189999999901</v>
      </c>
      <c r="U1239">
        <v>9.32312E-2</v>
      </c>
      <c r="V1239">
        <v>-0.1090125</v>
      </c>
      <c r="W1239">
        <v>1.9480730000000002E-2</v>
      </c>
      <c r="X1239">
        <v>0.99384950000000005</v>
      </c>
      <c r="Y1239">
        <v>-5.4948110000000003E-4</v>
      </c>
      <c r="Z1239">
        <v>-1.538343E-3</v>
      </c>
      <c r="AA1239">
        <v>0.99999869999999902</v>
      </c>
      <c r="AB1239">
        <v>29</v>
      </c>
      <c r="AC1239">
        <v>21.421999999999901</v>
      </c>
      <c r="AD1239">
        <v>-1.103950804753</v>
      </c>
      <c r="AE1239">
        <v>0.66220000000004098</v>
      </c>
      <c r="AF1239">
        <v>-1.12932177391763E-2</v>
      </c>
      <c r="AG1239">
        <v>-1.103950804753</v>
      </c>
      <c r="AH1239">
        <v>21.375516757400099</v>
      </c>
      <c r="AI1239">
        <v>92.956446259100105</v>
      </c>
      <c r="AJ1239">
        <v>90.030270784127296</v>
      </c>
      <c r="AK1239">
        <v>21.4040078387664</v>
      </c>
    </row>
    <row r="1240" spans="1:37" x14ac:dyDescent="0.2">
      <c r="A1240" t="str">
        <f>"20200111155522291"</f>
        <v>20200111155522291</v>
      </c>
      <c r="B1240" t="str">
        <f>"1578729322283663"</f>
        <v>1578729322283663</v>
      </c>
      <c r="C1240" t="s">
        <v>37</v>
      </c>
      <c r="D1240">
        <v>4.9005859999999997</v>
      </c>
      <c r="E1240">
        <v>0.54147829999999997</v>
      </c>
      <c r="F1240" t="s">
        <v>38</v>
      </c>
      <c r="G1240">
        <v>-235.89150000000001</v>
      </c>
      <c r="H1240" s="1">
        <v>-1.8726159999999899E-6</v>
      </c>
      <c r="I1240">
        <v>368.89609999999999</v>
      </c>
      <c r="J1240">
        <v>-257.31119999999999</v>
      </c>
      <c r="K1240">
        <v>1.1039399999999999</v>
      </c>
      <c r="L1240">
        <v>368.26080000000002</v>
      </c>
      <c r="M1240">
        <v>0.9994594</v>
      </c>
      <c r="N1240">
        <v>0</v>
      </c>
      <c r="O1240">
        <v>2.9827039999999999E-2</v>
      </c>
      <c r="P1240">
        <v>0.99045430000000001</v>
      </c>
      <c r="Q1240">
        <v>6.0454250000000001E-3</v>
      </c>
      <c r="R1240">
        <v>0.13770869999999999</v>
      </c>
      <c r="S1240">
        <v>3.0178219999999998</v>
      </c>
      <c r="T1240">
        <v>-0.1544461</v>
      </c>
      <c r="U1240">
        <v>8.9447020000000002E-2</v>
      </c>
      <c r="V1240">
        <v>-0.10806399999999999</v>
      </c>
      <c r="W1240">
        <v>1.9999900000000001E-2</v>
      </c>
      <c r="X1240">
        <v>0.99394269999999996</v>
      </c>
      <c r="Y1240">
        <v>1.6419749999999999E-4</v>
      </c>
      <c r="Z1240">
        <v>-1.5291619999999999E-3</v>
      </c>
      <c r="AA1240">
        <v>0.99999879999999997</v>
      </c>
      <c r="AB1240">
        <v>29</v>
      </c>
      <c r="AC1240">
        <v>21.419699999999899</v>
      </c>
      <c r="AD1240">
        <v>-1.103941872616</v>
      </c>
      <c r="AE1240">
        <v>0.635299999999972</v>
      </c>
      <c r="AF1240">
        <v>3.9196653284404503E-3</v>
      </c>
      <c r="AG1240">
        <v>-1.103941872616</v>
      </c>
      <c r="AH1240">
        <v>21.372398837936402</v>
      </c>
      <c r="AI1240">
        <v>92.956853276382304</v>
      </c>
      <c r="AJ1240">
        <v>89.989492041599604</v>
      </c>
      <c r="AK1240">
        <v>21.4008909886882</v>
      </c>
    </row>
    <row r="1241" spans="1:37" x14ac:dyDescent="0.2">
      <c r="A1241" t="str">
        <f>"20200111155522302"</f>
        <v>20200111155522302</v>
      </c>
      <c r="B1241" t="str">
        <f>"1578729322293423"</f>
        <v>1578729322293423</v>
      </c>
      <c r="C1241" t="s">
        <v>37</v>
      </c>
      <c r="D1241">
        <v>4.9400089999999999</v>
      </c>
      <c r="E1241">
        <v>0.54148909999999995</v>
      </c>
      <c r="F1241" t="s">
        <v>38</v>
      </c>
      <c r="G1241">
        <v>-235.565</v>
      </c>
      <c r="H1241" s="1">
        <v>-2.0154889999999999E-6</v>
      </c>
      <c r="I1241">
        <v>368.88040000000001</v>
      </c>
      <c r="J1241">
        <v>-257.17489999999998</v>
      </c>
      <c r="K1241">
        <v>1.103934</v>
      </c>
      <c r="L1241">
        <v>368.26429999999999</v>
      </c>
      <c r="M1241">
        <v>0.99947359999999896</v>
      </c>
      <c r="N1241">
        <v>0</v>
      </c>
      <c r="O1241">
        <v>2.933829E-2</v>
      </c>
      <c r="P1241">
        <v>0.99062819999999996</v>
      </c>
      <c r="Q1241">
        <v>6.3200230000000001E-3</v>
      </c>
      <c r="R1241">
        <v>0.136439899999999</v>
      </c>
      <c r="S1241">
        <v>3.0178829999999999</v>
      </c>
      <c r="T1241">
        <v>-0.15320129999999901</v>
      </c>
      <c r="U1241">
        <v>8.5998539999999998E-2</v>
      </c>
      <c r="V1241">
        <v>-0.1072751</v>
      </c>
      <c r="W1241">
        <v>2.0299290000000001E-2</v>
      </c>
      <c r="X1241">
        <v>0.99402209999999902</v>
      </c>
      <c r="Y1241">
        <v>8.1792859999999998E-4</v>
      </c>
      <c r="Z1241">
        <v>-1.5086539999999999E-3</v>
      </c>
      <c r="AA1241">
        <v>0.99999850000000001</v>
      </c>
      <c r="AB1241">
        <v>29</v>
      </c>
      <c r="AC1241">
        <v>21.6098999999999</v>
      </c>
      <c r="AD1241">
        <v>-1.1039360154889899</v>
      </c>
      <c r="AE1241">
        <v>0.61610000000001697</v>
      </c>
      <c r="AF1241">
        <v>1.81761807739458E-2</v>
      </c>
      <c r="AG1241">
        <v>-1.1039360154889899</v>
      </c>
      <c r="AH1241">
        <v>21.562448319999898</v>
      </c>
      <c r="AI1241">
        <v>92.930820963474503</v>
      </c>
      <c r="AJ1241">
        <v>89.951702228620306</v>
      </c>
      <c r="AK1241">
        <v>21.5906966689939</v>
      </c>
    </row>
    <row r="1242" spans="1:37" x14ac:dyDescent="0.2">
      <c r="A1242" t="str">
        <f>"20200111155522314"</f>
        <v>20200111155522314</v>
      </c>
      <c r="B1242" t="str">
        <f>"1578729322304160"</f>
        <v>1578729322304160</v>
      </c>
      <c r="C1242" t="s">
        <v>37</v>
      </c>
      <c r="D1242">
        <v>4.8723359999999998</v>
      </c>
      <c r="E1242">
        <v>0.54148909999999995</v>
      </c>
      <c r="F1242" t="s">
        <v>38</v>
      </c>
      <c r="G1242">
        <v>-235.32400000000001</v>
      </c>
      <c r="H1242" s="1">
        <v>-2.1230400000000001E-6</v>
      </c>
      <c r="I1242">
        <v>368.8569</v>
      </c>
      <c r="J1242">
        <v>-257.01069999999999</v>
      </c>
      <c r="K1242">
        <v>1.1039289999999999</v>
      </c>
      <c r="L1242">
        <v>368.26859999999999</v>
      </c>
      <c r="M1242">
        <v>0.99949059999999901</v>
      </c>
      <c r="N1242">
        <v>0</v>
      </c>
      <c r="O1242">
        <v>2.874496E-2</v>
      </c>
      <c r="P1242">
        <v>0.99082800000000004</v>
      </c>
      <c r="Q1242">
        <v>6.6440759999999996E-3</v>
      </c>
      <c r="R1242">
        <v>0.13496659999999999</v>
      </c>
      <c r="S1242">
        <v>3.0180820000000002</v>
      </c>
      <c r="T1242">
        <v>-0.15247659999999999</v>
      </c>
      <c r="U1242">
        <v>8.184814E-2</v>
      </c>
      <c r="V1242">
        <v>-0.1063861</v>
      </c>
      <c r="W1242">
        <v>2.0650180000000001E-2</v>
      </c>
      <c r="X1242">
        <v>0.99411050000000001</v>
      </c>
      <c r="Y1242">
        <v>1.600406E-3</v>
      </c>
      <c r="Z1242">
        <v>-1.491275E-3</v>
      </c>
      <c r="AA1242">
        <v>0.99999760000000004</v>
      </c>
      <c r="AB1242">
        <v>29</v>
      </c>
      <c r="AC1242">
        <v>21.686699999999899</v>
      </c>
      <c r="AD1242">
        <v>-1.10393112304</v>
      </c>
      <c r="AE1242">
        <v>0.58830000000000304</v>
      </c>
      <c r="AF1242">
        <v>3.5295017676372401E-2</v>
      </c>
      <c r="AG1242">
        <v>-1.10393112304</v>
      </c>
      <c r="AH1242">
        <v>21.638620888845999</v>
      </c>
      <c r="AI1242">
        <v>92.920505977085995</v>
      </c>
      <c r="AJ1242">
        <v>89.906544240149799</v>
      </c>
      <c r="AK1242">
        <v>21.666790801452098</v>
      </c>
    </row>
    <row r="1243" spans="1:37" x14ac:dyDescent="0.2">
      <c r="A1243" t="str">
        <f>"20200111155522327"</f>
        <v>20200111155522327</v>
      </c>
      <c r="B1243" t="str">
        <f>"1578729322323680"</f>
        <v>1578729322323680</v>
      </c>
      <c r="C1243" t="s">
        <v>37</v>
      </c>
      <c r="D1243">
        <v>5.7411669999999999</v>
      </c>
      <c r="E1243">
        <v>0.54391780000000001</v>
      </c>
      <c r="F1243" t="s">
        <v>38</v>
      </c>
      <c r="G1243">
        <v>-235.01349999999999</v>
      </c>
      <c r="H1243" s="1">
        <v>-2.260414E-6</v>
      </c>
      <c r="I1243">
        <v>368.83350000000002</v>
      </c>
      <c r="J1243">
        <v>-256.84269999999998</v>
      </c>
      <c r="K1243">
        <v>1.103934</v>
      </c>
      <c r="L1243">
        <v>368.27280000000002</v>
      </c>
      <c r="M1243">
        <v>0.99950749999999999</v>
      </c>
      <c r="N1243">
        <v>0</v>
      </c>
      <c r="O1243">
        <v>2.813769E-2</v>
      </c>
      <c r="P1243">
        <v>0.99096689999999998</v>
      </c>
      <c r="Q1243">
        <v>7.08122599999999E-3</v>
      </c>
      <c r="R1243">
        <v>0.13392000000000001</v>
      </c>
      <c r="S1243">
        <v>3.01821899999999</v>
      </c>
      <c r="T1243">
        <v>-0.15146899999999999</v>
      </c>
      <c r="U1243">
        <v>7.7514650000000004E-2</v>
      </c>
      <c r="V1243">
        <v>-0.1059394</v>
      </c>
      <c r="W1243">
        <v>2.1111649999999999E-2</v>
      </c>
      <c r="X1243">
        <v>0.99414840000000004</v>
      </c>
      <c r="Y1243">
        <v>2.4290869999999999E-3</v>
      </c>
      <c r="Z1243">
        <v>-1.4717389999999999E-3</v>
      </c>
      <c r="AA1243">
        <v>0.99999590000000005</v>
      </c>
      <c r="AB1243">
        <v>29</v>
      </c>
      <c r="AC1243">
        <v>21.829199999999901</v>
      </c>
      <c r="AD1243">
        <v>-1.1039362604139999</v>
      </c>
      <c r="AE1243">
        <v>0.56069999999999698</v>
      </c>
      <c r="AF1243">
        <v>5.3667437502938301E-2</v>
      </c>
      <c r="AG1243">
        <v>-1.1039362604139999</v>
      </c>
      <c r="AH1243">
        <v>21.780666626894799</v>
      </c>
      <c r="AI1243">
        <v>92.901500671492101</v>
      </c>
      <c r="AJ1243">
        <v>89.858823813980806</v>
      </c>
      <c r="AK1243">
        <v>21.808690794562398</v>
      </c>
    </row>
    <row r="1244" spans="1:37" x14ac:dyDescent="0.2">
      <c r="A1244" t="str">
        <f>"20200111155522340"</f>
        <v>20200111155522340</v>
      </c>
      <c r="B1244" t="str">
        <f>"1578729322333440"</f>
        <v>1578729322333440</v>
      </c>
      <c r="C1244" t="s">
        <v>37</v>
      </c>
      <c r="D1244">
        <v>4.7871990000000002</v>
      </c>
      <c r="E1244">
        <v>0.54497559999999901</v>
      </c>
      <c r="F1244" t="s">
        <v>38</v>
      </c>
      <c r="G1244">
        <v>-233.3827</v>
      </c>
      <c r="H1244" s="1">
        <v>-2.9836759999999899E-6</v>
      </c>
      <c r="I1244">
        <v>368.7</v>
      </c>
      <c r="J1244">
        <v>-256.68209999999999</v>
      </c>
      <c r="K1244">
        <v>1.103936</v>
      </c>
      <c r="L1244">
        <v>368.27670000000001</v>
      </c>
      <c r="M1244">
        <v>0.99952339999999995</v>
      </c>
      <c r="N1244">
        <v>0</v>
      </c>
      <c r="O1244">
        <v>2.7556710000000002E-2</v>
      </c>
      <c r="P1244">
        <v>0.99107029999999996</v>
      </c>
      <c r="Q1244">
        <v>7.9302019999999904E-3</v>
      </c>
      <c r="R1244">
        <v>0.13310439999999901</v>
      </c>
      <c r="S1244">
        <v>3.0209199999999998</v>
      </c>
      <c r="T1244">
        <v>-0.142152</v>
      </c>
      <c r="U1244">
        <v>5.502319E-2</v>
      </c>
      <c r="V1244">
        <v>-0.10569669999999901</v>
      </c>
      <c r="W1244">
        <v>2.1982149999999999E-2</v>
      </c>
      <c r="X1244">
        <v>0.99415540000000002</v>
      </c>
      <c r="Y1244">
        <v>9.3099199999999993E-3</v>
      </c>
      <c r="Z1244">
        <v>-1.5147050000000001E-3</v>
      </c>
      <c r="AA1244">
        <v>0.9999555</v>
      </c>
      <c r="AB1244">
        <v>29</v>
      </c>
      <c r="AC1244">
        <v>23.299399999999899</v>
      </c>
      <c r="AD1244">
        <v>-1.1039389836760001</v>
      </c>
      <c r="AE1244">
        <v>0.42329999999998302</v>
      </c>
      <c r="AF1244">
        <v>0.218487427167708</v>
      </c>
      <c r="AG1244">
        <v>-1.1039389836760001</v>
      </c>
      <c r="AH1244">
        <v>23.250038801401001</v>
      </c>
      <c r="AI1244">
        <v>92.718309016099099</v>
      </c>
      <c r="AJ1244">
        <v>89.461590619984094</v>
      </c>
      <c r="AK1244">
        <v>23.277257619877901</v>
      </c>
    </row>
    <row r="1245" spans="1:37" x14ac:dyDescent="0.2">
      <c r="A1245" t="str">
        <f>"20200111155522351"</f>
        <v>20200111155522351</v>
      </c>
      <c r="B1245" t="str">
        <f>"1578729322343199"</f>
        <v>1578729322343199</v>
      </c>
      <c r="C1245" t="s">
        <v>37</v>
      </c>
      <c r="D1245">
        <v>4.9002080000000001</v>
      </c>
      <c r="E1245">
        <v>0.54570909999999995</v>
      </c>
      <c r="F1245" t="s">
        <v>38</v>
      </c>
      <c r="G1245">
        <v>-232.45500000000001</v>
      </c>
      <c r="H1245" s="1">
        <v>-3.3942029999999999E-6</v>
      </c>
      <c r="I1245">
        <v>368.62920000000003</v>
      </c>
      <c r="J1245">
        <v>-256.5301</v>
      </c>
      <c r="K1245">
        <v>1.103944</v>
      </c>
      <c r="L1245">
        <v>368.28030000000001</v>
      </c>
      <c r="M1245">
        <v>0.99953799999999904</v>
      </c>
      <c r="N1245">
        <v>0</v>
      </c>
      <c r="O1245">
        <v>2.7010619999999999E-2</v>
      </c>
      <c r="P1245">
        <v>0.99117259999999996</v>
      </c>
      <c r="Q1245">
        <v>8.3317849999999995E-3</v>
      </c>
      <c r="R1245">
        <v>0.13231699999999999</v>
      </c>
      <c r="S1245">
        <v>3.0222020000000001</v>
      </c>
      <c r="T1245">
        <v>-0.1377102</v>
      </c>
      <c r="U1245">
        <v>4.397583E-2</v>
      </c>
      <c r="V1245">
        <v>-0.1054496</v>
      </c>
      <c r="W1245">
        <v>2.2400719999999999E-2</v>
      </c>
      <c r="X1245">
        <v>0.99417230000000001</v>
      </c>
      <c r="Y1245">
        <v>1.24254E-2</v>
      </c>
      <c r="Z1245">
        <v>-1.512942E-3</v>
      </c>
      <c r="AA1245">
        <v>0.99992169999999903</v>
      </c>
      <c r="AB1245">
        <v>29</v>
      </c>
      <c r="AC1245">
        <v>24.0750999999999</v>
      </c>
      <c r="AD1245">
        <v>-1.103947394203</v>
      </c>
      <c r="AE1245">
        <v>0.34890000000001398</v>
      </c>
      <c r="AF1245">
        <v>0.30094122373077598</v>
      </c>
      <c r="AG1245">
        <v>-1.103947394203</v>
      </c>
      <c r="AH1245">
        <v>24.025234029770399</v>
      </c>
      <c r="AI1245">
        <v>92.630655589733095</v>
      </c>
      <c r="AJ1245">
        <v>89.282347873787799</v>
      </c>
      <c r="AK1245">
        <v>24.052466311265199</v>
      </c>
    </row>
    <row r="1246" spans="1:37" x14ac:dyDescent="0.2">
      <c r="A1246" t="str">
        <f>"20200111155522367"</f>
        <v>20200111155522367</v>
      </c>
      <c r="B1246" t="str">
        <f>"1578729322363695"</f>
        <v>1578729322363695</v>
      </c>
      <c r="C1246" t="s">
        <v>37</v>
      </c>
      <c r="D1246">
        <v>4.8943260000000004</v>
      </c>
      <c r="E1246">
        <v>0.54686709999999905</v>
      </c>
      <c r="F1246" t="s">
        <v>38</v>
      </c>
      <c r="G1246">
        <v>-231.9537</v>
      </c>
      <c r="H1246" s="1">
        <v>-3.6196249999999899E-6</v>
      </c>
      <c r="I1246">
        <v>368.57080000000002</v>
      </c>
      <c r="J1246">
        <v>-256.33170000000001</v>
      </c>
      <c r="K1246">
        <v>1.103955</v>
      </c>
      <c r="L1246">
        <v>368.28489999999999</v>
      </c>
      <c r="M1246">
        <v>0.99955669999999996</v>
      </c>
      <c r="N1246">
        <v>0</v>
      </c>
      <c r="O1246">
        <v>2.6301999999999999E-2</v>
      </c>
      <c r="P1246">
        <v>0.99127540000000003</v>
      </c>
      <c r="Q1246">
        <v>9.1045780000000003E-3</v>
      </c>
      <c r="R1246">
        <v>0.13149340000000001</v>
      </c>
      <c r="S1246">
        <v>3.0231169999999898</v>
      </c>
      <c r="T1246">
        <v>-0.1357951</v>
      </c>
      <c r="U1246">
        <v>3.5736080000000003E-2</v>
      </c>
      <c r="V1246">
        <v>-0.1053268</v>
      </c>
      <c r="W1246">
        <v>2.319396E-2</v>
      </c>
      <c r="X1246">
        <v>0.99416709999999997</v>
      </c>
      <c r="Y1246">
        <v>1.4445619999999999E-2</v>
      </c>
      <c r="Z1246">
        <v>-1.5050529999999999E-3</v>
      </c>
      <c r="AA1246">
        <v>0.99989450000000002</v>
      </c>
      <c r="AB1246">
        <v>29</v>
      </c>
      <c r="AC1246">
        <v>24.378</v>
      </c>
      <c r="AD1246">
        <v>-1.103958619625</v>
      </c>
      <c r="AE1246">
        <v>0.28590000000002602</v>
      </c>
      <c r="AF1246">
        <v>0.35472413905314198</v>
      </c>
      <c r="AG1246">
        <v>-1.103958619625</v>
      </c>
      <c r="AH1246">
        <v>24.3272033060734</v>
      </c>
      <c r="AI1246">
        <v>92.598000869011003</v>
      </c>
      <c r="AJ1246">
        <v>89.164607802759903</v>
      </c>
      <c r="AK1246">
        <v>24.354822408379398</v>
      </c>
    </row>
    <row r="1247" spans="1:37" x14ac:dyDescent="0.2">
      <c r="A1247" t="str">
        <f>"20200111155522390"</f>
        <v>20200111155522390</v>
      </c>
      <c r="B1247" t="str">
        <f>"1578729322383215"</f>
        <v>1578729322383215</v>
      </c>
      <c r="C1247" t="s">
        <v>37</v>
      </c>
      <c r="D1247">
        <v>5.1019230000000002</v>
      </c>
      <c r="E1247">
        <v>0.54804299999999995</v>
      </c>
      <c r="F1247" t="s">
        <v>38</v>
      </c>
      <c r="G1247">
        <v>-231.1995</v>
      </c>
      <c r="H1247" s="1">
        <v>-3.9581789999999997E-6</v>
      </c>
      <c r="I1247">
        <v>368.48630000000003</v>
      </c>
      <c r="J1247">
        <v>-256.0487</v>
      </c>
      <c r="K1247">
        <v>1.1039669999999999</v>
      </c>
      <c r="L1247">
        <v>368.29129999999998</v>
      </c>
      <c r="M1247">
        <v>0.99958210000000003</v>
      </c>
      <c r="N1247">
        <v>0</v>
      </c>
      <c r="O1247">
        <v>2.5300759999999999E-2</v>
      </c>
      <c r="P1247">
        <v>0.99137199999999903</v>
      </c>
      <c r="Q1247">
        <v>8.6764559999999904E-3</v>
      </c>
      <c r="R1247">
        <v>0.1307923</v>
      </c>
      <c r="S1247">
        <v>3.0244140000000002</v>
      </c>
      <c r="T1247">
        <v>-0.1328501</v>
      </c>
      <c r="U1247">
        <v>2.4230959999999999E-2</v>
      </c>
      <c r="V1247">
        <v>-0.1056208</v>
      </c>
      <c r="W1247">
        <v>2.279115E-2</v>
      </c>
      <c r="X1247">
        <v>0.99414530000000001</v>
      </c>
      <c r="Y1247">
        <v>1.7252440000000001E-2</v>
      </c>
      <c r="Z1247">
        <v>-1.4895220000000001E-3</v>
      </c>
      <c r="AA1247">
        <v>0.99985000000000002</v>
      </c>
      <c r="AB1247">
        <v>29</v>
      </c>
      <c r="AC1247">
        <v>24.8492</v>
      </c>
      <c r="AD1247">
        <v>-1.10397095817899</v>
      </c>
      <c r="AE1247">
        <v>0.19500000000004999</v>
      </c>
      <c r="AF1247">
        <v>0.43297301934417598</v>
      </c>
      <c r="AG1247">
        <v>-1.10397095817899</v>
      </c>
      <c r="AH1247">
        <v>24.797237615743999</v>
      </c>
      <c r="AI1247">
        <v>92.548732119744102</v>
      </c>
      <c r="AJ1247">
        <v>88.999686720303899</v>
      </c>
      <c r="AK1247">
        <v>24.8255757412321</v>
      </c>
    </row>
    <row r="1248" spans="1:37" x14ac:dyDescent="0.2">
      <c r="A1248" t="str">
        <f>"20200111155522403"</f>
        <v>20200111155522403</v>
      </c>
      <c r="B1248" t="str">
        <f>"1578729322393952"</f>
        <v>1578729322393952</v>
      </c>
      <c r="C1248" t="s">
        <v>37</v>
      </c>
      <c r="D1248">
        <v>4.8791229999999999</v>
      </c>
      <c r="E1248">
        <v>0.54849829999999999</v>
      </c>
      <c r="F1248" t="s">
        <v>38</v>
      </c>
      <c r="G1248">
        <v>-230.89830000000001</v>
      </c>
      <c r="H1248" s="1">
        <v>-4.1037299999999998E-6</v>
      </c>
      <c r="I1248">
        <v>368.39420000000001</v>
      </c>
      <c r="J1248">
        <v>-255.8655</v>
      </c>
      <c r="K1248">
        <v>1.1039729999999901</v>
      </c>
      <c r="L1248">
        <v>368.29520000000002</v>
      </c>
      <c r="M1248">
        <v>0.99959799999999999</v>
      </c>
      <c r="N1248">
        <v>0</v>
      </c>
      <c r="O1248">
        <v>2.465786E-2</v>
      </c>
      <c r="P1248">
        <v>0.991434499999999</v>
      </c>
      <c r="Q1248">
        <v>8.4331709999999997E-3</v>
      </c>
      <c r="R1248">
        <v>0.1303328</v>
      </c>
      <c r="S1248">
        <v>3.0256349999999999</v>
      </c>
      <c r="T1248">
        <v>-0.13280890000000001</v>
      </c>
      <c r="U1248">
        <v>1.2390139999999999E-2</v>
      </c>
      <c r="V1248">
        <v>-0.10580009999999999</v>
      </c>
      <c r="W1248">
        <v>2.2561370000000001E-2</v>
      </c>
      <c r="X1248">
        <v>0.9941314</v>
      </c>
      <c r="Y1248">
        <v>2.05227999999999E-2</v>
      </c>
      <c r="Z1248">
        <v>-1.532032E-3</v>
      </c>
      <c r="AA1248">
        <v>0.99978820000000002</v>
      </c>
      <c r="AB1248">
        <v>29</v>
      </c>
      <c r="AC1248">
        <v>24.967199999999899</v>
      </c>
      <c r="AD1248">
        <v>-1.1039771037299999</v>
      </c>
      <c r="AE1248">
        <v>9.8999999999989499E-2</v>
      </c>
      <c r="AF1248">
        <v>0.51571982305534703</v>
      </c>
      <c r="AG1248">
        <v>-1.1039771037299999</v>
      </c>
      <c r="AH1248">
        <v>24.913339979316</v>
      </c>
      <c r="AI1248">
        <v>92.536727485173699</v>
      </c>
      <c r="AJ1248">
        <v>88.814115259715706</v>
      </c>
      <c r="AK1248">
        <v>24.9431201197131</v>
      </c>
    </row>
    <row r="1249" spans="1:37" x14ac:dyDescent="0.2">
      <c r="A1249" t="str">
        <f>"20200111155522417"</f>
        <v>20200111155522417</v>
      </c>
      <c r="B1249" t="str">
        <f>"1578729322413471"</f>
        <v>1578729322413471</v>
      </c>
      <c r="C1249" t="s">
        <v>37</v>
      </c>
      <c r="D1249">
        <v>4.9497970000000002</v>
      </c>
      <c r="E1249">
        <v>0.549369199999999</v>
      </c>
      <c r="F1249" t="s">
        <v>38</v>
      </c>
      <c r="G1249">
        <v>-230.7116</v>
      </c>
      <c r="H1249" s="1">
        <v>-4.1903009999999997E-6</v>
      </c>
      <c r="I1249">
        <v>368.35759999999999</v>
      </c>
      <c r="J1249">
        <v>-255.6848</v>
      </c>
      <c r="K1249">
        <v>1.1039809999999901</v>
      </c>
      <c r="L1249">
        <v>368.29899999999998</v>
      </c>
      <c r="M1249">
        <v>0.99961319999999998</v>
      </c>
      <c r="N1249">
        <v>0</v>
      </c>
      <c r="O1249">
        <v>2.4027610000000001E-2</v>
      </c>
      <c r="P1249">
        <v>0.99146060000000003</v>
      </c>
      <c r="Q1249">
        <v>8.4784530000000004E-3</v>
      </c>
      <c r="R1249">
        <v>0.130132</v>
      </c>
      <c r="S1249">
        <v>3.026062</v>
      </c>
      <c r="T1249">
        <v>-0.1328104</v>
      </c>
      <c r="U1249">
        <v>7.5073240000000001E-3</v>
      </c>
      <c r="V1249">
        <v>-0.106226099999999</v>
      </c>
      <c r="W1249">
        <v>2.2619529999999999E-2</v>
      </c>
      <c r="X1249">
        <v>0.99408469999999904</v>
      </c>
      <c r="Y1249">
        <v>2.1505900000000001E-2</v>
      </c>
      <c r="Z1249">
        <v>-1.525761E-3</v>
      </c>
      <c r="AA1249">
        <v>0.99976749999999903</v>
      </c>
      <c r="AB1249">
        <v>29</v>
      </c>
      <c r="AC1249">
        <v>24.973199999999899</v>
      </c>
      <c r="AD1249">
        <v>-1.1039851903009901</v>
      </c>
      <c r="AE1249">
        <v>5.8599999999955799E-2</v>
      </c>
      <c r="AF1249">
        <v>0.540465887226245</v>
      </c>
      <c r="AG1249">
        <v>-1.1039851903009901</v>
      </c>
      <c r="AH1249">
        <v>24.918699986162501</v>
      </c>
      <c r="AI1249">
        <v>92.536148052465293</v>
      </c>
      <c r="AJ1249">
        <v>88.757496981963897</v>
      </c>
      <c r="AK1249">
        <v>24.948997889214599</v>
      </c>
    </row>
    <row r="1250" spans="1:37" x14ac:dyDescent="0.2">
      <c r="A1250" t="str">
        <f>"20200111155522431"</f>
        <v>20200111155522431</v>
      </c>
      <c r="B1250" t="str">
        <f>"1578729322424207"</f>
        <v>1578729322424207</v>
      </c>
      <c r="C1250" t="s">
        <v>37</v>
      </c>
      <c r="D1250">
        <v>5.0383290000000001</v>
      </c>
      <c r="E1250">
        <v>0.54960529999999996</v>
      </c>
      <c r="F1250" t="s">
        <v>38</v>
      </c>
      <c r="G1250">
        <v>-230.13319999999999</v>
      </c>
      <c r="H1250" s="1">
        <v>-4.4488599999999996E-6</v>
      </c>
      <c r="I1250">
        <v>368.29899999999998</v>
      </c>
      <c r="J1250">
        <v>-255.5196</v>
      </c>
      <c r="K1250">
        <v>1.1039859999999999</v>
      </c>
      <c r="L1250">
        <v>368.3023</v>
      </c>
      <c r="M1250">
        <v>0.99962659999999903</v>
      </c>
      <c r="N1250">
        <v>0</v>
      </c>
      <c r="O1250">
        <v>2.345529E-2</v>
      </c>
      <c r="P1250">
        <v>0.99151559999999905</v>
      </c>
      <c r="Q1250">
        <v>8.5056349999999992E-3</v>
      </c>
      <c r="R1250">
        <v>0.12970950000000001</v>
      </c>
      <c r="S1250">
        <v>3.02697799999999</v>
      </c>
      <c r="T1250">
        <v>-0.13078329999999999</v>
      </c>
      <c r="U1250">
        <v>0</v>
      </c>
      <c r="V1250">
        <v>-0.10637149999999999</v>
      </c>
      <c r="W1250">
        <v>2.2656240000000001E-2</v>
      </c>
      <c r="X1250">
        <v>0.99406830000000002</v>
      </c>
      <c r="Y1250">
        <v>2.341387E-2</v>
      </c>
      <c r="Z1250">
        <v>-1.5185379999999901E-3</v>
      </c>
      <c r="AA1250">
        <v>0.99972469999999902</v>
      </c>
      <c r="AB1250">
        <v>29</v>
      </c>
      <c r="AC1250">
        <v>25.386399999999998</v>
      </c>
      <c r="AD1250">
        <v>-1.1039904488600001</v>
      </c>
      <c r="AE1250">
        <v>-3.2999999999674301E-3</v>
      </c>
      <c r="AF1250">
        <v>0.597672685124775</v>
      </c>
      <c r="AG1250">
        <v>-1.1039904488600001</v>
      </c>
      <c r="AH1250">
        <v>25.331431282195201</v>
      </c>
      <c r="AI1250">
        <v>92.4947830623518</v>
      </c>
      <c r="AJ1250">
        <v>88.648407594373097</v>
      </c>
      <c r="AK1250">
        <v>25.362519952762799</v>
      </c>
    </row>
    <row r="1251" spans="1:37" x14ac:dyDescent="0.2">
      <c r="A1251" t="str">
        <f>"20200111155522443"</f>
        <v>20200111155522443</v>
      </c>
      <c r="B1251" t="str">
        <f>"1578729322433967"</f>
        <v>1578729322433967</v>
      </c>
      <c r="C1251" t="s">
        <v>37</v>
      </c>
      <c r="D1251">
        <v>4.9772850000000002</v>
      </c>
      <c r="E1251">
        <v>0.54974869999999898</v>
      </c>
      <c r="F1251" t="s">
        <v>38</v>
      </c>
      <c r="G1251">
        <v>-230.02549999999999</v>
      </c>
      <c r="H1251" s="1">
        <v>-4.4991260000000001E-6</v>
      </c>
      <c r="I1251">
        <v>368.2758</v>
      </c>
      <c r="J1251">
        <v>-255.35040000000001</v>
      </c>
      <c r="K1251">
        <v>1.1039939999999999</v>
      </c>
      <c r="L1251">
        <v>368.3057</v>
      </c>
      <c r="M1251">
        <v>0.99963999999999997</v>
      </c>
      <c r="N1251">
        <v>0</v>
      </c>
      <c r="O1251">
        <v>2.2870109999999999E-2</v>
      </c>
      <c r="P1251">
        <v>0.99157619999999902</v>
      </c>
      <c r="Q1251">
        <v>8.3403709999999992E-3</v>
      </c>
      <c r="R1251">
        <v>0.1292565</v>
      </c>
      <c r="S1251">
        <v>3.0272060000000001</v>
      </c>
      <c r="T1251">
        <v>-0.13108900000000001</v>
      </c>
      <c r="U1251">
        <v>-3.1433109999999898E-3</v>
      </c>
      <c r="V1251">
        <v>-0.10649980000000001</v>
      </c>
      <c r="W1251">
        <v>2.2500349999999999E-2</v>
      </c>
      <c r="X1251">
        <v>0.99405809999999994</v>
      </c>
      <c r="Y1251">
        <v>2.386663E-2</v>
      </c>
      <c r="Z1251">
        <v>-1.5064429999999899E-3</v>
      </c>
      <c r="AA1251">
        <v>0.99971399999999999</v>
      </c>
      <c r="AB1251">
        <v>29</v>
      </c>
      <c r="AC1251">
        <v>25.3249</v>
      </c>
      <c r="AD1251">
        <v>-1.1039984991259999</v>
      </c>
      <c r="AE1251">
        <v>-2.98999999999978E-2</v>
      </c>
      <c r="AF1251">
        <v>0.60797704642488704</v>
      </c>
      <c r="AG1251">
        <v>-1.1039984991259999</v>
      </c>
      <c r="AH1251">
        <v>25.269569122217501</v>
      </c>
      <c r="AI1251">
        <v>92.500873292520296</v>
      </c>
      <c r="AJ1251">
        <v>88.621749367794195</v>
      </c>
      <c r="AK1251">
        <v>25.3009796726842</v>
      </c>
    </row>
    <row r="1252" spans="1:37" x14ac:dyDescent="0.2">
      <c r="A1252" t="str">
        <f>"20200111155522456"</f>
        <v>20200111155522456</v>
      </c>
      <c r="B1252" t="str">
        <f>"1578729322453487"</f>
        <v>1578729322453487</v>
      </c>
      <c r="C1252" t="s">
        <v>37</v>
      </c>
      <c r="D1252">
        <v>5.0088540000000004</v>
      </c>
      <c r="E1252">
        <v>0.5499387</v>
      </c>
      <c r="F1252" t="s">
        <v>38</v>
      </c>
      <c r="G1252">
        <v>-229.9734</v>
      </c>
      <c r="H1252" s="1">
        <v>-4.5246650000000002E-6</v>
      </c>
      <c r="I1252">
        <v>368.25810000000001</v>
      </c>
      <c r="J1252">
        <v>-255.1789</v>
      </c>
      <c r="K1252">
        <v>1.104004</v>
      </c>
      <c r="L1252">
        <v>368.30900000000003</v>
      </c>
      <c r="M1252">
        <v>0.99965319999999902</v>
      </c>
      <c r="N1252">
        <v>0</v>
      </c>
      <c r="O1252">
        <v>2.2278309999999999E-2</v>
      </c>
      <c r="P1252">
        <v>0.99158869999999899</v>
      </c>
      <c r="Q1252">
        <v>8.5061579999999998E-3</v>
      </c>
      <c r="R1252">
        <v>0.12915019999999999</v>
      </c>
      <c r="S1252">
        <v>3.0273439999999998</v>
      </c>
      <c r="T1252">
        <v>-0.1317005</v>
      </c>
      <c r="U1252">
        <v>-5.6762699999999998E-3</v>
      </c>
      <c r="V1252">
        <v>-0.10698199999999999</v>
      </c>
      <c r="W1252">
        <v>2.267483E-2</v>
      </c>
      <c r="X1252">
        <v>0.99400230000000001</v>
      </c>
      <c r="Y1252">
        <v>2.4111110000000002E-2</v>
      </c>
      <c r="Z1252">
        <v>-1.492981E-3</v>
      </c>
      <c r="AA1252">
        <v>0.99970820000000005</v>
      </c>
      <c r="AB1252">
        <v>29</v>
      </c>
      <c r="AC1252">
        <v>25.205500000000001</v>
      </c>
      <c r="AD1252">
        <v>-1.104008524665</v>
      </c>
      <c r="AE1252">
        <v>-5.0900000000012803E-2</v>
      </c>
      <c r="AF1252">
        <v>0.61130590555957898</v>
      </c>
      <c r="AG1252">
        <v>-1.104008524665</v>
      </c>
      <c r="AH1252">
        <v>25.149859909287802</v>
      </c>
      <c r="AI1252">
        <v>92.512769633544195</v>
      </c>
      <c r="AJ1252">
        <v>88.607612399303605</v>
      </c>
      <c r="AK1252">
        <v>25.181500812888601</v>
      </c>
    </row>
    <row r="1253" spans="1:37" x14ac:dyDescent="0.2">
      <c r="A1253" t="str">
        <f>"20200111155522470"</f>
        <v>20200111155522470</v>
      </c>
      <c r="B1253" t="str">
        <f>"1578729322463247"</f>
        <v>1578729322463247</v>
      </c>
      <c r="C1253" t="s">
        <v>37</v>
      </c>
      <c r="D1253">
        <v>5.0268459999999999</v>
      </c>
      <c r="E1253">
        <v>0.55011189999999999</v>
      </c>
      <c r="F1253" t="s">
        <v>38</v>
      </c>
      <c r="G1253">
        <v>-229.84799999999899</v>
      </c>
      <c r="H1253" s="1">
        <v>-4.0223669999999997E-7</v>
      </c>
      <c r="I1253">
        <v>368.24669999999998</v>
      </c>
      <c r="J1253">
        <v>-255.02010000000001</v>
      </c>
      <c r="K1253">
        <v>1.1040110000000001</v>
      </c>
      <c r="L1253">
        <v>368.31199999999899</v>
      </c>
      <c r="M1253">
        <v>0.99966509999999997</v>
      </c>
      <c r="N1253">
        <v>0</v>
      </c>
      <c r="O1253">
        <v>2.173245E-2</v>
      </c>
      <c r="P1253">
        <v>0.99165619999999999</v>
      </c>
      <c r="Q1253">
        <v>8.3335939999999997E-3</v>
      </c>
      <c r="R1253">
        <v>0.12864220000000001</v>
      </c>
      <c r="S1253">
        <v>3.027542</v>
      </c>
      <c r="T1253">
        <v>-0.13195009999999999</v>
      </c>
      <c r="U1253">
        <v>-7.446289E-3</v>
      </c>
      <c r="V1253">
        <v>-0.1070155</v>
      </c>
      <c r="W1253">
        <v>2.2509410000000001E-2</v>
      </c>
      <c r="X1253">
        <v>0.99400250000000001</v>
      </c>
      <c r="Y1253">
        <v>2.4149899999999998E-2</v>
      </c>
      <c r="Z1253">
        <v>-1.472779E-3</v>
      </c>
      <c r="AA1253">
        <v>0.99970729999999997</v>
      </c>
      <c r="AB1253">
        <v>29</v>
      </c>
      <c r="AC1253">
        <v>25.1721</v>
      </c>
      <c r="AD1253">
        <v>-1.10401140223669</v>
      </c>
      <c r="AE1253">
        <v>-6.5299999999979194E-2</v>
      </c>
      <c r="AF1253">
        <v>0.61121427187892896</v>
      </c>
      <c r="AG1253">
        <v>-1.10401140223669</v>
      </c>
      <c r="AH1253">
        <v>25.116421576344401</v>
      </c>
      <c r="AI1253">
        <v>92.5161154675218</v>
      </c>
      <c r="AJ1253">
        <v>88.605968310029795</v>
      </c>
      <c r="AK1253">
        <v>25.1481024505443</v>
      </c>
    </row>
    <row r="1254" spans="1:37" x14ac:dyDescent="0.2">
      <c r="A1254" t="str">
        <f>"20200111155522483"</f>
        <v>20200111155522483</v>
      </c>
      <c r="B1254" t="str">
        <f>"1578729322473983"</f>
        <v>1578729322473983</v>
      </c>
      <c r="C1254" t="s">
        <v>37</v>
      </c>
      <c r="D1254">
        <v>4.9852879999999997</v>
      </c>
      <c r="E1254">
        <v>0.55027619999999999</v>
      </c>
      <c r="F1254" t="s">
        <v>38</v>
      </c>
      <c r="G1254">
        <v>-229.75829999999999</v>
      </c>
      <c r="H1254" s="1">
        <v>-4.388377E-7</v>
      </c>
      <c r="I1254">
        <v>368.22379999999998</v>
      </c>
      <c r="J1254">
        <v>-254.8391</v>
      </c>
      <c r="K1254">
        <v>1.1040179999999999</v>
      </c>
      <c r="L1254">
        <v>368.31529999999998</v>
      </c>
      <c r="M1254">
        <v>0.99967830000000002</v>
      </c>
      <c r="N1254">
        <v>0</v>
      </c>
      <c r="O1254">
        <v>2.1110420000000001E-2</v>
      </c>
      <c r="P1254">
        <v>0.99172969999999905</v>
      </c>
      <c r="Q1254">
        <v>8.1680339999999994E-3</v>
      </c>
      <c r="R1254">
        <v>0.12808430000000001</v>
      </c>
      <c r="S1254">
        <v>3.0277400000000001</v>
      </c>
      <c r="T1254">
        <v>-0.13232049999999901</v>
      </c>
      <c r="U1254">
        <v>-1.055908E-2</v>
      </c>
      <c r="V1254">
        <v>-0.1070752</v>
      </c>
      <c r="W1254">
        <v>2.2351139999999999E-2</v>
      </c>
      <c r="X1254">
        <v>0.99399969999999904</v>
      </c>
      <c r="Y1254">
        <v>2.4555440000000001E-2</v>
      </c>
      <c r="Z1254">
        <v>-1.4585010000000001E-3</v>
      </c>
      <c r="AA1254">
        <v>0.99969739999999996</v>
      </c>
      <c r="AB1254">
        <v>29</v>
      </c>
      <c r="AC1254">
        <v>25.0808</v>
      </c>
      <c r="AD1254">
        <v>-1.1040184388376999</v>
      </c>
      <c r="AE1254">
        <v>-9.1499999999996307E-2</v>
      </c>
      <c r="AF1254">
        <v>0.61979723946029996</v>
      </c>
      <c r="AG1254">
        <v>-1.1040184388376999</v>
      </c>
      <c r="AH1254">
        <v>25.0247898204112</v>
      </c>
      <c r="AI1254">
        <v>92.525306005938404</v>
      </c>
      <c r="AJ1254">
        <v>88.581226548390205</v>
      </c>
      <c r="AK1254">
        <v>25.056797698171401</v>
      </c>
    </row>
    <row r="1255" spans="1:37" x14ac:dyDescent="0.2">
      <c r="A1255" t="str">
        <f>"20200111155522497"</f>
        <v>20200111155522497</v>
      </c>
      <c r="B1255" t="str">
        <f>"1578729322493503"</f>
        <v>1578729322493503</v>
      </c>
      <c r="C1255" t="s">
        <v>37</v>
      </c>
      <c r="D1255">
        <v>4.9300879999999996</v>
      </c>
      <c r="E1255">
        <v>0.55062129999999998</v>
      </c>
      <c r="F1255" t="s">
        <v>38</v>
      </c>
      <c r="G1255">
        <v>-229.62540000000001</v>
      </c>
      <c r="H1255" s="1">
        <v>-4.889709E-7</v>
      </c>
      <c r="I1255">
        <v>368.2054</v>
      </c>
      <c r="J1255">
        <v>-254.65950000000001</v>
      </c>
      <c r="K1255">
        <v>1.104025</v>
      </c>
      <c r="L1255">
        <v>368.3184</v>
      </c>
      <c r="M1255">
        <v>0.99969110000000005</v>
      </c>
      <c r="N1255">
        <v>0</v>
      </c>
      <c r="O1255">
        <v>2.049341E-2</v>
      </c>
      <c r="P1255">
        <v>0.99178899999999903</v>
      </c>
      <c r="Q1255">
        <v>7.9050909999999995E-3</v>
      </c>
      <c r="R1255">
        <v>0.1276409</v>
      </c>
      <c r="S1255">
        <v>3.02781699999999</v>
      </c>
      <c r="T1255">
        <v>-0.132576799999999</v>
      </c>
      <c r="U1255">
        <v>-1.318359E-2</v>
      </c>
      <c r="V1255">
        <v>-0.10724499999999999</v>
      </c>
      <c r="W1255">
        <v>2.2095139999999999E-2</v>
      </c>
      <c r="X1255">
        <v>0.99398709999999901</v>
      </c>
      <c r="Y1255">
        <v>2.480504E-2</v>
      </c>
      <c r="Z1255">
        <v>-1.4397450000000001E-3</v>
      </c>
      <c r="AA1255">
        <v>0.9996912</v>
      </c>
      <c r="AB1255">
        <v>29</v>
      </c>
      <c r="AC1255">
        <v>25.034099999999899</v>
      </c>
      <c r="AD1255">
        <v>-1.10402548897089</v>
      </c>
      <c r="AE1255">
        <v>-0.112999999999999</v>
      </c>
      <c r="AF1255">
        <v>0.62484583711946495</v>
      </c>
      <c r="AG1255">
        <v>-1.10402548897089</v>
      </c>
      <c r="AH1255">
        <v>24.977947235354801</v>
      </c>
      <c r="AI1255">
        <v>92.530036221245595</v>
      </c>
      <c r="AJ1255">
        <v>88.566993366564603</v>
      </c>
      <c r="AK1255">
        <v>25.010140997056201</v>
      </c>
    </row>
    <row r="1256" spans="1:37" x14ac:dyDescent="0.2">
      <c r="A1256" t="str">
        <f>"20200111155522510"</f>
        <v>20200111155522510</v>
      </c>
      <c r="B1256" t="str">
        <f>"1578729322503263"</f>
        <v>1578729322503263</v>
      </c>
      <c r="C1256" t="s">
        <v>37</v>
      </c>
      <c r="D1256">
        <v>4.9774609999999999</v>
      </c>
      <c r="E1256">
        <v>0.55070920000000001</v>
      </c>
      <c r="F1256" t="s">
        <v>38</v>
      </c>
      <c r="G1256">
        <v>-229.4913</v>
      </c>
      <c r="H1256" s="1">
        <v>-5.4314999999999898E-7</v>
      </c>
      <c r="I1256">
        <v>368.17329999999998</v>
      </c>
      <c r="J1256">
        <v>-254.49950000000001</v>
      </c>
      <c r="K1256">
        <v>1.1040289999999999</v>
      </c>
      <c r="L1256">
        <v>368.3211</v>
      </c>
      <c r="M1256">
        <v>0.99970210000000004</v>
      </c>
      <c r="N1256">
        <v>0</v>
      </c>
      <c r="O1256">
        <v>1.9943570000000001E-2</v>
      </c>
      <c r="P1256">
        <v>0.99185020000000002</v>
      </c>
      <c r="Q1256">
        <v>7.9409249999999997E-3</v>
      </c>
      <c r="R1256">
        <v>0.12716159999999899</v>
      </c>
      <c r="S1256">
        <v>3.0281370000000001</v>
      </c>
      <c r="T1256">
        <v>-0.1328317</v>
      </c>
      <c r="U1256">
        <v>-1.7456050000000001E-2</v>
      </c>
      <c r="V1256">
        <v>-0.1073112</v>
      </c>
      <c r="W1256">
        <v>2.2136139999999999E-2</v>
      </c>
      <c r="X1256">
        <v>0.99397899999999995</v>
      </c>
      <c r="Y1256">
        <v>2.5664719999999999E-2</v>
      </c>
      <c r="Z1256">
        <v>-1.437095E-3</v>
      </c>
      <c r="AA1256">
        <v>0.99966959999999905</v>
      </c>
      <c r="AB1256">
        <v>29</v>
      </c>
      <c r="AC1256">
        <v>25.008199999999999</v>
      </c>
      <c r="AD1256">
        <v>-1.10402954315</v>
      </c>
      <c r="AE1256">
        <v>-0.147800000000017</v>
      </c>
      <c r="AF1256">
        <v>0.64531512939518698</v>
      </c>
      <c r="AG1256">
        <v>-1.10402954315</v>
      </c>
      <c r="AH1256">
        <v>24.951649761593099</v>
      </c>
      <c r="AI1256">
        <v>92.532654091058902</v>
      </c>
      <c r="AJ1256">
        <v>88.518511064308996</v>
      </c>
      <c r="AK1256">
        <v>24.9843979049643</v>
      </c>
    </row>
    <row r="1257" spans="1:37" x14ac:dyDescent="0.2">
      <c r="A1257" t="str">
        <f>"20200111155522523"</f>
        <v>20200111155522523</v>
      </c>
      <c r="B1257" t="str">
        <f>"1578729322513999"</f>
        <v>1578729322513999</v>
      </c>
      <c r="C1257" t="s">
        <v>37</v>
      </c>
      <c r="D1257">
        <v>5.0126280000000003</v>
      </c>
      <c r="E1257">
        <v>0.55083179999999998</v>
      </c>
      <c r="F1257" t="s">
        <v>38</v>
      </c>
      <c r="G1257">
        <v>-229.4066</v>
      </c>
      <c r="H1257" s="1">
        <v>-5.7601510000000001E-7</v>
      </c>
      <c r="I1257">
        <v>368.15820000000002</v>
      </c>
      <c r="J1257">
        <v>-254.32419999999999</v>
      </c>
      <c r="K1257">
        <v>1.1040459999999901</v>
      </c>
      <c r="L1257">
        <v>368.32389999999998</v>
      </c>
      <c r="M1257">
        <v>0.99971379999999999</v>
      </c>
      <c r="N1257">
        <v>0</v>
      </c>
      <c r="O1257">
        <v>1.934116E-2</v>
      </c>
      <c r="P1257">
        <v>0.99197539999999995</v>
      </c>
      <c r="Q1257">
        <v>7.7799200000000001E-3</v>
      </c>
      <c r="R1257">
        <v>0.12619169999999999</v>
      </c>
      <c r="S1257">
        <v>3.0282439999999999</v>
      </c>
      <c r="T1257">
        <v>-0.13323499999999999</v>
      </c>
      <c r="U1257">
        <v>-1.9653319999999998E-2</v>
      </c>
      <c r="V1257">
        <v>-0.10693859999999999</v>
      </c>
      <c r="W1257">
        <v>2.198025E-2</v>
      </c>
      <c r="X1257">
        <v>0.99402269999999904</v>
      </c>
      <c r="Y1257">
        <v>2.5787669999999999E-2</v>
      </c>
      <c r="Z1257">
        <v>-1.417614E-3</v>
      </c>
      <c r="AA1257">
        <v>0.99966650000000001</v>
      </c>
      <c r="AB1257">
        <v>29</v>
      </c>
      <c r="AC1257">
        <v>24.9176</v>
      </c>
      <c r="AD1257">
        <v>-1.1040465760150999</v>
      </c>
      <c r="AE1257">
        <v>-0.16569999999995799</v>
      </c>
      <c r="AF1257">
        <v>0.64638314583496204</v>
      </c>
      <c r="AG1257">
        <v>-1.1040465760150999</v>
      </c>
      <c r="AH1257">
        <v>24.860928326231502</v>
      </c>
      <c r="AI1257">
        <v>92.541914173888699</v>
      </c>
      <c r="AJ1257">
        <v>88.510647555002606</v>
      </c>
      <c r="AK1257">
        <v>24.893824279432199</v>
      </c>
    </row>
    <row r="1258" spans="1:37" x14ac:dyDescent="0.2">
      <c r="A1258" t="str">
        <f>"20200111155522539"</f>
        <v>20200111155522539</v>
      </c>
      <c r="B1258" t="str">
        <f>"1578729322533520"</f>
        <v>1578729322533520</v>
      </c>
      <c r="C1258" t="s">
        <v>37</v>
      </c>
      <c r="D1258">
        <v>5.002262</v>
      </c>
      <c r="E1258">
        <v>0.55100950000000004</v>
      </c>
      <c r="F1258" t="s">
        <v>38</v>
      </c>
      <c r="G1258">
        <v>-229.31890000000001</v>
      </c>
      <c r="H1258" s="1">
        <v>-6.1323640000000002E-7</v>
      </c>
      <c r="I1258">
        <v>368.13040000000001</v>
      </c>
      <c r="J1258">
        <v>-254.13499999999999</v>
      </c>
      <c r="K1258">
        <v>1.104055</v>
      </c>
      <c r="L1258">
        <v>368.32690000000002</v>
      </c>
      <c r="M1258">
        <v>0.99972629999999996</v>
      </c>
      <c r="N1258">
        <v>0</v>
      </c>
      <c r="O1258">
        <v>1.8689819999999999E-2</v>
      </c>
      <c r="P1258">
        <v>0.992093</v>
      </c>
      <c r="Q1258">
        <v>7.564075E-3</v>
      </c>
      <c r="R1258">
        <v>0.1252789</v>
      </c>
      <c r="S1258">
        <v>3.0282900000000001</v>
      </c>
      <c r="T1258">
        <v>-0.13370589999999999</v>
      </c>
      <c r="U1258">
        <v>-2.34375E-2</v>
      </c>
      <c r="V1258">
        <v>-0.10667219999999999</v>
      </c>
      <c r="W1258">
        <v>2.176906E-2</v>
      </c>
      <c r="X1258">
        <v>0.99405589999999999</v>
      </c>
      <c r="Y1258">
        <v>2.638513E-2</v>
      </c>
      <c r="Z1258">
        <v>-1.4070339999999999E-3</v>
      </c>
      <c r="AA1258">
        <v>0.99965079999999995</v>
      </c>
      <c r="AB1258">
        <v>29</v>
      </c>
      <c r="AC1258">
        <v>24.816099999999899</v>
      </c>
      <c r="AD1258">
        <v>-1.1040556132363999</v>
      </c>
      <c r="AE1258">
        <v>-0.196500000000014</v>
      </c>
      <c r="AF1258">
        <v>0.65901572246638196</v>
      </c>
      <c r="AG1258">
        <v>-1.1040556132363999</v>
      </c>
      <c r="AH1258">
        <v>24.759088646952002</v>
      </c>
      <c r="AI1258">
        <v>92.552335344519605</v>
      </c>
      <c r="AJ1258">
        <v>88.475311153653095</v>
      </c>
      <c r="AK1258">
        <v>24.792452705353799</v>
      </c>
    </row>
    <row r="1259" spans="1:37" x14ac:dyDescent="0.2">
      <c r="A1259" t="str">
        <f>"20200111155522552"</f>
        <v>20200111155522552</v>
      </c>
      <c r="B1259" t="str">
        <f>"1578729322543279"</f>
        <v>1578729322543279</v>
      </c>
      <c r="C1259" t="s">
        <v>37</v>
      </c>
      <c r="D1259">
        <v>5.0691239999999897</v>
      </c>
      <c r="E1259">
        <v>0.55104350000000002</v>
      </c>
      <c r="F1259" t="s">
        <v>38</v>
      </c>
      <c r="G1259">
        <v>-229.25810000000001</v>
      </c>
      <c r="H1259" s="1">
        <v>-6.4262599999999997E-7</v>
      </c>
      <c r="I1259">
        <v>368.09769999999997</v>
      </c>
      <c r="J1259">
        <v>-253.96190000000001</v>
      </c>
      <c r="K1259">
        <v>1.1040639999999999</v>
      </c>
      <c r="L1259">
        <v>368.3295</v>
      </c>
      <c r="M1259">
        <v>0.99973719999999999</v>
      </c>
      <c r="N1259">
        <v>0</v>
      </c>
      <c r="O1259">
        <v>1.809326E-2</v>
      </c>
      <c r="P1259">
        <v>0.99217269999999902</v>
      </c>
      <c r="Q1259">
        <v>7.6714819999999899E-3</v>
      </c>
      <c r="R1259">
        <v>0.12463929999999999</v>
      </c>
      <c r="S1259">
        <v>3.028473</v>
      </c>
      <c r="T1259">
        <v>-0.13440539999999901</v>
      </c>
      <c r="U1259">
        <v>-2.7893069999999999E-2</v>
      </c>
      <c r="V1259">
        <v>-0.1066241</v>
      </c>
      <c r="W1259">
        <v>2.1880139999999999E-2</v>
      </c>
      <c r="X1259">
        <v>0.99405859999999902</v>
      </c>
      <c r="Y1259">
        <v>2.7258029999999999E-2</v>
      </c>
      <c r="Z1259">
        <v>-1.4071939999999901E-3</v>
      </c>
      <c r="AA1259">
        <v>0.99962739999999894</v>
      </c>
      <c r="AB1259">
        <v>29</v>
      </c>
      <c r="AC1259">
        <v>24.703800000000001</v>
      </c>
      <c r="AD1259">
        <v>-1.1040646426259999</v>
      </c>
      <c r="AE1259">
        <v>-0.23180000000002099</v>
      </c>
      <c r="AF1259">
        <v>0.67742565794541698</v>
      </c>
      <c r="AG1259">
        <v>-1.1040646426259999</v>
      </c>
      <c r="AH1259">
        <v>24.6463369860267</v>
      </c>
      <c r="AI1259">
        <v>92.563956990564094</v>
      </c>
      <c r="AJ1259">
        <v>88.425572880176901</v>
      </c>
      <c r="AK1259">
        <v>24.6803523290477</v>
      </c>
    </row>
    <row r="1260" spans="1:37" x14ac:dyDescent="0.2">
      <c r="A1260" t="str">
        <f>"20200111155522564"</f>
        <v>20200111155522564</v>
      </c>
      <c r="B1260" t="str">
        <f>"1578729322554016"</f>
        <v>1578729322554016</v>
      </c>
      <c r="C1260" t="s">
        <v>37</v>
      </c>
      <c r="D1260">
        <v>4.9935</v>
      </c>
      <c r="E1260">
        <v>0.5511798</v>
      </c>
      <c r="F1260" t="s">
        <v>38</v>
      </c>
      <c r="G1260">
        <v>-229.03030000000001</v>
      </c>
      <c r="H1260" s="1">
        <v>-7.2460439999999999E-7</v>
      </c>
      <c r="I1260">
        <v>368.08099999999899</v>
      </c>
      <c r="J1260">
        <v>-253.80420000000001</v>
      </c>
      <c r="K1260">
        <v>1.104077</v>
      </c>
      <c r="L1260">
        <v>368.33179999999999</v>
      </c>
      <c r="M1260">
        <v>0.99974669999999899</v>
      </c>
      <c r="N1260">
        <v>0</v>
      </c>
      <c r="O1260">
        <v>1.754963E-2</v>
      </c>
      <c r="P1260">
        <v>0.9922879</v>
      </c>
      <c r="Q1260">
        <v>7.5507480000000004E-3</v>
      </c>
      <c r="R1260">
        <v>0.12372519999999999</v>
      </c>
      <c r="S1260">
        <v>3.0284879999999998</v>
      </c>
      <c r="T1260">
        <v>-0.13411219999999999</v>
      </c>
      <c r="U1260">
        <v>-3.0181880000000001E-2</v>
      </c>
      <c r="V1260">
        <v>-0.10624889999999999</v>
      </c>
      <c r="W1260">
        <v>2.176239E-2</v>
      </c>
      <c r="X1260">
        <v>0.99410140000000002</v>
      </c>
      <c r="Y1260">
        <v>2.7470339999999999E-2</v>
      </c>
      <c r="Z1260">
        <v>-1.384754E-3</v>
      </c>
      <c r="AA1260">
        <v>0.99962169999999895</v>
      </c>
      <c r="AB1260">
        <v>29</v>
      </c>
      <c r="AC1260">
        <v>24.773900000000001</v>
      </c>
      <c r="AD1260">
        <v>-1.1040777246044</v>
      </c>
      <c r="AE1260">
        <v>-0.250800000000026</v>
      </c>
      <c r="AF1260">
        <v>0.68421849723910599</v>
      </c>
      <c r="AG1260">
        <v>-1.1040777246044</v>
      </c>
      <c r="AH1260">
        <v>24.716596346957498</v>
      </c>
      <c r="AI1260">
        <v>92.556694785442104</v>
      </c>
      <c r="AJ1260">
        <v>88.414311493876298</v>
      </c>
      <c r="AK1260">
        <v>24.7507025668437</v>
      </c>
    </row>
    <row r="1261" spans="1:37" x14ac:dyDescent="0.2">
      <c r="A1261" t="str">
        <f>"20200111155522579"</f>
        <v>20200111155522579</v>
      </c>
      <c r="B1261" t="str">
        <f>"1578729322573535"</f>
        <v>1578729322573535</v>
      </c>
      <c r="C1261" t="s">
        <v>37</v>
      </c>
      <c r="D1261">
        <v>5.077426</v>
      </c>
      <c r="E1261">
        <v>0.55133900000000002</v>
      </c>
      <c r="F1261" t="s">
        <v>38</v>
      </c>
      <c r="G1261">
        <v>-228.89320000000001</v>
      </c>
      <c r="H1261" s="1">
        <v>-7.7958240000000002E-7</v>
      </c>
      <c r="I1261">
        <v>368.0496</v>
      </c>
      <c r="J1261">
        <v>-253.61490000000001</v>
      </c>
      <c r="K1261">
        <v>1.104095</v>
      </c>
      <c r="L1261">
        <v>368.33440000000002</v>
      </c>
      <c r="M1261">
        <v>0.99975789999999998</v>
      </c>
      <c r="N1261">
        <v>0</v>
      </c>
      <c r="O1261">
        <v>1.689705E-2</v>
      </c>
      <c r="P1261">
        <v>0.99246819999999902</v>
      </c>
      <c r="Q1261">
        <v>7.6749690000000002E-3</v>
      </c>
      <c r="R1261">
        <v>0.122261799999999</v>
      </c>
      <c r="S1261">
        <v>3.0285950000000001</v>
      </c>
      <c r="T1261">
        <v>-0.13422999999999999</v>
      </c>
      <c r="U1261">
        <v>-3.4301760000000001E-2</v>
      </c>
      <c r="V1261">
        <v>-0.1054319</v>
      </c>
      <c r="W1261">
        <v>2.188872E-2</v>
      </c>
      <c r="X1261">
        <v>0.9941856</v>
      </c>
      <c r="Y1261">
        <v>2.8177020000000001E-2</v>
      </c>
      <c r="Z1261">
        <v>-1.372655E-3</v>
      </c>
      <c r="AA1261">
        <v>0.99960199999999999</v>
      </c>
      <c r="AB1261">
        <v>29</v>
      </c>
      <c r="AC1261">
        <v>24.721699999999998</v>
      </c>
      <c r="AD1261">
        <v>-1.10409577958239</v>
      </c>
      <c r="AE1261">
        <v>-0.28480000000001798</v>
      </c>
      <c r="AF1261">
        <v>0.70112634167157495</v>
      </c>
      <c r="AG1261">
        <v>-1.10409577958239</v>
      </c>
      <c r="AH1261">
        <v>24.664168401183701</v>
      </c>
      <c r="AI1261">
        <v>92.562110697660799</v>
      </c>
      <c r="AJ1261">
        <v>88.371695971029197</v>
      </c>
      <c r="AK1261">
        <v>24.6988220075255</v>
      </c>
    </row>
    <row r="1262" spans="1:37" x14ac:dyDescent="0.2">
      <c r="A1262" t="str">
        <f>"20200111155522594"</f>
        <v>20200111155522594</v>
      </c>
      <c r="B1262" t="str">
        <f>"1578729322583295"</f>
        <v>1578729322583295</v>
      </c>
      <c r="C1262" t="s">
        <v>37</v>
      </c>
      <c r="D1262">
        <v>5.0486690000000003</v>
      </c>
      <c r="E1262">
        <v>0.55137979999999998</v>
      </c>
      <c r="F1262" t="s">
        <v>38</v>
      </c>
      <c r="G1262">
        <v>-228.63839999999999</v>
      </c>
      <c r="H1262" s="1">
        <v>-8.7791670000000001E-7</v>
      </c>
      <c r="I1262">
        <v>368.00599999999997</v>
      </c>
      <c r="J1262">
        <v>-253.428</v>
      </c>
      <c r="K1262">
        <v>1.1041080000000001</v>
      </c>
      <c r="L1262">
        <v>368.33690000000001</v>
      </c>
      <c r="M1262">
        <v>0.99976860000000001</v>
      </c>
      <c r="N1262">
        <v>0</v>
      </c>
      <c r="O1262">
        <v>1.625192E-2</v>
      </c>
      <c r="P1262">
        <v>0.99261390000000005</v>
      </c>
      <c r="Q1262">
        <v>7.3300149999999996E-3</v>
      </c>
      <c r="R1262">
        <v>0.12109499999999999</v>
      </c>
      <c r="S1262">
        <v>3.02873199999999</v>
      </c>
      <c r="T1262">
        <v>-0.1338859</v>
      </c>
      <c r="U1262">
        <v>-3.9825439999999997E-2</v>
      </c>
      <c r="V1262">
        <v>-0.104905</v>
      </c>
      <c r="W1262">
        <v>2.1546429999999998E-2</v>
      </c>
      <c r="X1262">
        <v>0.99424880000000004</v>
      </c>
      <c r="Y1262">
        <v>2.9353939999999999E-2</v>
      </c>
      <c r="Z1262">
        <v>-1.36656E-3</v>
      </c>
      <c r="AA1262">
        <v>0.99956819999999902</v>
      </c>
      <c r="AB1262">
        <v>28</v>
      </c>
      <c r="AC1262">
        <v>24.7896</v>
      </c>
      <c r="AD1262">
        <v>-1.1041088779167001</v>
      </c>
      <c r="AE1262">
        <v>-0.33090000000004199</v>
      </c>
      <c r="AF1262">
        <v>0.73232242261171498</v>
      </c>
      <c r="AG1262">
        <v>-1.1041088779167001</v>
      </c>
      <c r="AH1262">
        <v>24.7318941542439</v>
      </c>
      <c r="AI1262">
        <v>92.555046640702102</v>
      </c>
      <c r="AJ1262">
        <v>88.303941973395396</v>
      </c>
      <c r="AK1262">
        <v>24.7673563587574</v>
      </c>
    </row>
    <row r="1263" spans="1:37" x14ac:dyDescent="0.2">
      <c r="A1263" t="str">
        <f>"20200111155522606"</f>
        <v>20200111155522606</v>
      </c>
      <c r="B1263" t="str">
        <f>"1578729322603791"</f>
        <v>1578729322603791</v>
      </c>
      <c r="C1263" t="s">
        <v>37</v>
      </c>
      <c r="D1263">
        <v>4.9752390000000002</v>
      </c>
      <c r="E1263">
        <v>0.55156859999999996</v>
      </c>
      <c r="F1263" t="s">
        <v>38</v>
      </c>
      <c r="G1263">
        <v>-228.6771</v>
      </c>
      <c r="H1263" s="1">
        <v>-8.7114589999999997E-7</v>
      </c>
      <c r="I1263">
        <v>367.9819</v>
      </c>
      <c r="J1263">
        <v>-253.26859999999999</v>
      </c>
      <c r="K1263">
        <v>1.104123</v>
      </c>
      <c r="L1263">
        <v>368.33890000000002</v>
      </c>
      <c r="M1263">
        <v>0.99977739999999904</v>
      </c>
      <c r="N1263">
        <v>0</v>
      </c>
      <c r="O1263">
        <v>1.5701440000000001E-2</v>
      </c>
      <c r="P1263">
        <v>0.9927821</v>
      </c>
      <c r="Q1263">
        <v>6.8874180000000002E-3</v>
      </c>
      <c r="R1263">
        <v>0.1197348</v>
      </c>
      <c r="S1263">
        <v>3.0285950000000001</v>
      </c>
      <c r="T1263">
        <v>-0.13510139999999901</v>
      </c>
      <c r="U1263">
        <v>-4.3426510000000001E-2</v>
      </c>
      <c r="V1263">
        <v>-0.104091</v>
      </c>
      <c r="W1263">
        <v>2.1105459999999999E-2</v>
      </c>
      <c r="X1263">
        <v>0.9943438</v>
      </c>
      <c r="Y1263">
        <v>2.9991549999999999E-2</v>
      </c>
      <c r="Z1263">
        <v>-1.368677E-3</v>
      </c>
      <c r="AA1263">
        <v>0.99954920000000003</v>
      </c>
      <c r="AB1263">
        <v>28</v>
      </c>
      <c r="AC1263">
        <v>24.5915</v>
      </c>
      <c r="AD1263">
        <v>-1.1041238711458901</v>
      </c>
      <c r="AE1263">
        <v>-0.35700000000002702</v>
      </c>
      <c r="AF1263">
        <v>0.74162158617957297</v>
      </c>
      <c r="AG1263">
        <v>-1.1041238711458901</v>
      </c>
      <c r="AH1263">
        <v>24.533415802635002</v>
      </c>
      <c r="AI1263">
        <v>92.575676921145003</v>
      </c>
      <c r="AJ1263">
        <v>88.268530913405101</v>
      </c>
      <c r="AK1263">
        <v>24.569444093118999</v>
      </c>
    </row>
    <row r="1264" spans="1:37" x14ac:dyDescent="0.2">
      <c r="A1264" t="str">
        <f>"20200111155522618"</f>
        <v>20200111155522618</v>
      </c>
      <c r="B1264" t="str">
        <f>"1578729322613552"</f>
        <v>1578729322613552</v>
      </c>
      <c r="C1264" t="s">
        <v>37</v>
      </c>
      <c r="D1264">
        <v>5.0619559999999897</v>
      </c>
      <c r="E1264">
        <v>0.55168739999999905</v>
      </c>
      <c r="F1264" t="s">
        <v>38</v>
      </c>
      <c r="G1264">
        <v>-228.7714</v>
      </c>
      <c r="H1264" s="1">
        <v>-8.4996510000000005E-7</v>
      </c>
      <c r="I1264">
        <v>367.9409</v>
      </c>
      <c r="J1264">
        <v>-253.11089999999999</v>
      </c>
      <c r="K1264">
        <v>1.1041369999999999</v>
      </c>
      <c r="L1264">
        <v>368.3408</v>
      </c>
      <c r="M1264">
        <v>0.9997857</v>
      </c>
      <c r="N1264">
        <v>0</v>
      </c>
      <c r="O1264">
        <v>1.515728E-2</v>
      </c>
      <c r="P1264">
        <v>0.99296569999999995</v>
      </c>
      <c r="Q1264">
        <v>6.5547189999999996E-3</v>
      </c>
      <c r="R1264">
        <v>0.1182206</v>
      </c>
      <c r="S1264">
        <v>3.0286869999999899</v>
      </c>
      <c r="T1264">
        <v>-0.13650670000000001</v>
      </c>
      <c r="U1264">
        <v>-4.9194340000000003E-2</v>
      </c>
      <c r="V1264">
        <v>-0.10311629999999999</v>
      </c>
      <c r="W1264">
        <v>2.07745999999999E-2</v>
      </c>
      <c r="X1264">
        <v>0.99445239999999901</v>
      </c>
      <c r="Y1264">
        <v>3.1348380000000002E-2</v>
      </c>
      <c r="Z1264">
        <v>-1.388886E-3</v>
      </c>
      <c r="AA1264">
        <v>0.99950749999999999</v>
      </c>
      <c r="AB1264">
        <v>28</v>
      </c>
      <c r="AC1264">
        <v>24.339499999999902</v>
      </c>
      <c r="AD1264">
        <v>-1.1041378499651</v>
      </c>
      <c r="AE1264">
        <v>-0.39990000000000198</v>
      </c>
      <c r="AF1264">
        <v>0.76723288693421099</v>
      </c>
      <c r="AG1264">
        <v>-1.1041378499651</v>
      </c>
      <c r="AH1264">
        <v>24.2806877378239</v>
      </c>
      <c r="AI1264">
        <v>92.602372440604597</v>
      </c>
      <c r="AJ1264">
        <v>88.190142511818706</v>
      </c>
      <c r="AK1264">
        <v>24.317885675285002</v>
      </c>
    </row>
    <row r="1265" spans="1:37" x14ac:dyDescent="0.2">
      <c r="A1265" t="str">
        <f>"20200111155522630"</f>
        <v>20200111155522630</v>
      </c>
      <c r="B1265" t="str">
        <f>"1578729322623311"</f>
        <v>1578729322623311</v>
      </c>
      <c r="C1265" t="s">
        <v>37</v>
      </c>
      <c r="D1265">
        <v>5.1326169999999998</v>
      </c>
      <c r="E1265">
        <v>0.55164179999999996</v>
      </c>
      <c r="F1265" t="s">
        <v>38</v>
      </c>
      <c r="G1265">
        <v>-228.75059999999999</v>
      </c>
      <c r="H1265" s="1">
        <v>-8.675583E-7</v>
      </c>
      <c r="I1265">
        <v>367.90140000000002</v>
      </c>
      <c r="J1265">
        <v>-252.95920000000001</v>
      </c>
      <c r="K1265">
        <v>1.1041540000000001</v>
      </c>
      <c r="L1265">
        <v>368.34249999999997</v>
      </c>
      <c r="M1265">
        <v>0.9997935</v>
      </c>
      <c r="N1265">
        <v>0</v>
      </c>
      <c r="O1265">
        <v>1.463297E-2</v>
      </c>
      <c r="P1265">
        <v>0.99313779999999996</v>
      </c>
      <c r="Q1265">
        <v>5.953992E-3</v>
      </c>
      <c r="R1265">
        <v>0.11679870000000001</v>
      </c>
      <c r="S1265">
        <v>3.0286559999999998</v>
      </c>
      <c r="T1265">
        <v>-0.13727410000000001</v>
      </c>
      <c r="U1265">
        <v>-5.4626460000000002E-2</v>
      </c>
      <c r="V1265">
        <v>-0.10221419999999901</v>
      </c>
      <c r="W1265">
        <v>2.0174870000000001E-2</v>
      </c>
      <c r="X1265">
        <v>0.99455780000000005</v>
      </c>
      <c r="Y1265">
        <v>3.2615230000000002E-2</v>
      </c>
      <c r="Z1265">
        <v>-1.401621E-3</v>
      </c>
      <c r="AA1265">
        <v>0.99946699999999999</v>
      </c>
      <c r="AB1265">
        <v>28</v>
      </c>
      <c r="AC1265">
        <v>24.208600000000001</v>
      </c>
      <c r="AD1265">
        <v>-1.1041548675582999</v>
      </c>
      <c r="AE1265">
        <v>-0.44109999999994898</v>
      </c>
      <c r="AF1265">
        <v>0.79368117693760898</v>
      </c>
      <c r="AG1265">
        <v>-1.1041548675582999</v>
      </c>
      <c r="AH1265">
        <v>24.1493317175747</v>
      </c>
      <c r="AI1265">
        <v>92.616441638770894</v>
      </c>
      <c r="AJ1265">
        <v>88.117619990079007</v>
      </c>
      <c r="AK1265">
        <v>24.187585869359399</v>
      </c>
    </row>
    <row r="1266" spans="1:37" x14ac:dyDescent="0.2">
      <c r="A1266" t="str">
        <f>"20200111155522642"</f>
        <v>20200111155522642</v>
      </c>
      <c r="B1266" t="str">
        <f>"1578729322634048"</f>
        <v>1578729322634048</v>
      </c>
      <c r="C1266" t="s">
        <v>37</v>
      </c>
      <c r="D1266">
        <v>4.9368939999999997</v>
      </c>
      <c r="E1266">
        <v>0.55175200000000002</v>
      </c>
      <c r="F1266" t="s">
        <v>38</v>
      </c>
      <c r="G1266">
        <v>-228.9905</v>
      </c>
      <c r="H1266" s="1">
        <v>-7.9189820000000003E-7</v>
      </c>
      <c r="I1266">
        <v>367.87900000000002</v>
      </c>
      <c r="J1266">
        <v>-252.81030000000001</v>
      </c>
      <c r="K1266">
        <v>1.1041700000000001</v>
      </c>
      <c r="L1266">
        <v>368.3442</v>
      </c>
      <c r="M1266">
        <v>0.99980089999999999</v>
      </c>
      <c r="N1266">
        <v>0</v>
      </c>
      <c r="O1266">
        <v>1.411832E-2</v>
      </c>
      <c r="P1266">
        <v>0.99332209999999999</v>
      </c>
      <c r="Q1266">
        <v>5.8855790000000002E-3</v>
      </c>
      <c r="R1266">
        <v>0.11522300000000001</v>
      </c>
      <c r="S1266">
        <v>3.0284419999999899</v>
      </c>
      <c r="T1266">
        <v>-0.1395092</v>
      </c>
      <c r="U1266">
        <v>-5.8563230000000001E-2</v>
      </c>
      <c r="V1266">
        <v>-0.10114869999999999</v>
      </c>
      <c r="W1266">
        <v>2.010669E-2</v>
      </c>
      <c r="X1266">
        <v>0.99466810000000005</v>
      </c>
      <c r="Y1266">
        <v>3.3398919999999999E-2</v>
      </c>
      <c r="Z1266">
        <v>-1.4188479999999999E-3</v>
      </c>
      <c r="AA1266">
        <v>0.99944109999999997</v>
      </c>
      <c r="AB1266">
        <v>28</v>
      </c>
      <c r="AC1266">
        <v>23.819800000000001</v>
      </c>
      <c r="AD1266">
        <v>-1.1041707918982</v>
      </c>
      <c r="AE1266">
        <v>-0.46519999999998102</v>
      </c>
      <c r="AF1266">
        <v>0.79976474173189604</v>
      </c>
      <c r="AG1266">
        <v>-1.1041707918982</v>
      </c>
      <c r="AH1266">
        <v>23.7598212774747</v>
      </c>
      <c r="AI1266">
        <v>92.659241785819901</v>
      </c>
      <c r="AJ1266">
        <v>88.072129864873006</v>
      </c>
      <c r="AK1266">
        <v>23.798905939503602</v>
      </c>
    </row>
    <row r="1267" spans="1:37" x14ac:dyDescent="0.2">
      <c r="A1267" t="str">
        <f>"20200111155522656"</f>
        <v>20200111155522656</v>
      </c>
      <c r="B1267" t="str">
        <f>"1578729322653568"</f>
        <v>1578729322653568</v>
      </c>
      <c r="C1267" t="s">
        <v>37</v>
      </c>
      <c r="D1267">
        <v>5.020912</v>
      </c>
      <c r="E1267">
        <v>0.55201919999999904</v>
      </c>
      <c r="F1267" t="s">
        <v>38</v>
      </c>
      <c r="G1267">
        <v>-228.77690000000001</v>
      </c>
      <c r="H1267" s="1">
        <v>-8.7650649999999996E-7</v>
      </c>
      <c r="I1267">
        <v>367.83409999999998</v>
      </c>
      <c r="J1267">
        <v>-252.6266</v>
      </c>
      <c r="K1267">
        <v>1.1041969999999901</v>
      </c>
      <c r="L1267">
        <v>368.34609999999998</v>
      </c>
      <c r="M1267">
        <v>0.99980970000000002</v>
      </c>
      <c r="N1267">
        <v>0</v>
      </c>
      <c r="O1267">
        <v>1.348304E-2</v>
      </c>
      <c r="P1267">
        <v>0.99367229999999995</v>
      </c>
      <c r="Q1267">
        <v>5.5406850000000001E-3</v>
      </c>
      <c r="R1267">
        <v>0.11218259999999999</v>
      </c>
      <c r="S1267">
        <v>3.0284270000000002</v>
      </c>
      <c r="T1267">
        <v>-0.13913519999999999</v>
      </c>
      <c r="U1267">
        <v>-6.4270019999999997E-2</v>
      </c>
      <c r="V1267">
        <v>-9.87368E-2</v>
      </c>
      <c r="W1267">
        <v>1.9761529999999999E-2</v>
      </c>
      <c r="X1267">
        <v>0.9949173</v>
      </c>
      <c r="Y1267">
        <v>3.4646139999999999E-2</v>
      </c>
      <c r="Z1267">
        <v>-1.414492E-3</v>
      </c>
      <c r="AA1267">
        <v>0.99939859999999903</v>
      </c>
      <c r="AB1267">
        <v>28</v>
      </c>
      <c r="AC1267">
        <v>23.849699999999899</v>
      </c>
      <c r="AD1267">
        <v>-1.1041978765064999</v>
      </c>
      <c r="AE1267">
        <v>-0.51200000000000001</v>
      </c>
      <c r="AF1267">
        <v>0.83176977712027</v>
      </c>
      <c r="AG1267">
        <v>-1.1041978765064999</v>
      </c>
      <c r="AH1267">
        <v>23.789657453909498</v>
      </c>
      <c r="AI1267">
        <v>92.655858045307198</v>
      </c>
      <c r="AJ1267">
        <v>87.997554494366796</v>
      </c>
      <c r="AK1267">
        <v>23.829790089024399</v>
      </c>
    </row>
    <row r="1268" spans="1:37" x14ac:dyDescent="0.2">
      <c r="A1268" t="str">
        <f>"20200111155522671"</f>
        <v>20200111155522671</v>
      </c>
      <c r="B1268" t="str">
        <f>"1578729322663327"</f>
        <v>1578729322663327</v>
      </c>
      <c r="C1268" t="s">
        <v>37</v>
      </c>
      <c r="D1268">
        <v>5.0151820000000003</v>
      </c>
      <c r="E1268">
        <v>0.55216679999999996</v>
      </c>
      <c r="F1268" t="s">
        <v>38</v>
      </c>
      <c r="G1268">
        <v>-228.4905</v>
      </c>
      <c r="H1268" s="1">
        <v>-9.9865300000000004E-7</v>
      </c>
      <c r="I1268">
        <v>367.7414</v>
      </c>
      <c r="J1268">
        <v>-252.4451</v>
      </c>
      <c r="K1268">
        <v>1.1042130000000001</v>
      </c>
      <c r="L1268">
        <v>368.34789999999998</v>
      </c>
      <c r="M1268">
        <v>0.99981790000000004</v>
      </c>
      <c r="N1268">
        <v>0</v>
      </c>
      <c r="O1268">
        <v>1.28563999999999E-2</v>
      </c>
      <c r="P1268">
        <v>0.99386049999999904</v>
      </c>
      <c r="Q1268">
        <v>5.0559979999999999E-3</v>
      </c>
      <c r="R1268">
        <v>0.110525199999999</v>
      </c>
      <c r="S1268">
        <v>3.0284270000000002</v>
      </c>
      <c r="T1268">
        <v>-0.13854659999999999</v>
      </c>
      <c r="U1268">
        <v>-7.5866699999999995E-2</v>
      </c>
      <c r="V1268">
        <v>-9.7701070000000001E-2</v>
      </c>
      <c r="W1268">
        <v>1.9277639999999999E-2</v>
      </c>
      <c r="X1268">
        <v>0.995029099999999</v>
      </c>
      <c r="Y1268">
        <v>3.7842250000000001E-2</v>
      </c>
      <c r="Z1268">
        <v>-1.452863E-3</v>
      </c>
      <c r="AA1268">
        <v>0.99928269999999997</v>
      </c>
      <c r="AB1268">
        <v>28</v>
      </c>
      <c r="AC1268">
        <v>23.954599999999999</v>
      </c>
      <c r="AD1268">
        <v>-1.104213998653</v>
      </c>
      <c r="AE1268">
        <v>-0.60649999999998205</v>
      </c>
      <c r="AF1268">
        <v>0.91251270104501303</v>
      </c>
      <c r="AG1268">
        <v>-1.104213998653</v>
      </c>
      <c r="AH1268">
        <v>23.894082790100999</v>
      </c>
      <c r="AI1268">
        <v>92.643994919878494</v>
      </c>
      <c r="AJ1268">
        <v>87.812942583611502</v>
      </c>
      <c r="AK1268">
        <v>23.936983109084402</v>
      </c>
    </row>
    <row r="1269" spans="1:37" x14ac:dyDescent="0.2">
      <c r="A1269" t="str">
        <f>"20200111155522682"</f>
        <v>20200111155522682</v>
      </c>
      <c r="B1269" t="str">
        <f>"1578729322674063"</f>
        <v>1578729322674063</v>
      </c>
      <c r="C1269" t="s">
        <v>37</v>
      </c>
      <c r="D1269">
        <v>5.0037419999999999</v>
      </c>
      <c r="E1269">
        <v>0.55226249999999999</v>
      </c>
      <c r="F1269" t="s">
        <v>38</v>
      </c>
      <c r="G1269">
        <v>-228.46629999999999</v>
      </c>
      <c r="H1269" s="1">
        <v>-1.0184249999999999E-6</v>
      </c>
      <c r="I1269">
        <v>367.69810000000001</v>
      </c>
      <c r="J1269">
        <v>-252.30019999999999</v>
      </c>
      <c r="K1269">
        <v>1.104225</v>
      </c>
      <c r="L1269">
        <v>368.3492</v>
      </c>
      <c r="M1269">
        <v>0.9998243</v>
      </c>
      <c r="N1269">
        <v>0</v>
      </c>
      <c r="O1269">
        <v>1.235522E-2</v>
      </c>
      <c r="P1269">
        <v>0.99404930000000002</v>
      </c>
      <c r="Q1269">
        <v>4.5707819999999998E-3</v>
      </c>
      <c r="R1269">
        <v>0.108836899999999</v>
      </c>
      <c r="S1269">
        <v>3.028381</v>
      </c>
      <c r="T1269">
        <v>-0.13945479999999999</v>
      </c>
      <c r="U1269">
        <v>-8.2061770000000006E-2</v>
      </c>
      <c r="V1269">
        <v>-9.6510509999999994E-2</v>
      </c>
      <c r="W1269">
        <v>1.8791829999999999E-2</v>
      </c>
      <c r="X1269">
        <v>0.9951546</v>
      </c>
      <c r="Y1269">
        <v>3.9382680000000003E-2</v>
      </c>
      <c r="Z1269">
        <v>-1.4747389999999899E-3</v>
      </c>
      <c r="AA1269">
        <v>0.99922310000000003</v>
      </c>
      <c r="AB1269">
        <v>28</v>
      </c>
      <c r="AC1269">
        <v>23.8339</v>
      </c>
      <c r="AD1269">
        <v>-1.1042260184249999</v>
      </c>
      <c r="AE1269">
        <v>-0.65109999999998502</v>
      </c>
      <c r="AF1269">
        <v>0.94352888300477999</v>
      </c>
      <c r="AG1269">
        <v>-1.1042260184249999</v>
      </c>
      <c r="AH1269">
        <v>23.773044965266699</v>
      </c>
      <c r="AI1269">
        <v>92.657311496423702</v>
      </c>
      <c r="AJ1269">
        <v>87.727179493866302</v>
      </c>
      <c r="AK1269">
        <v>23.817372415390999</v>
      </c>
    </row>
    <row r="1270" spans="1:37" x14ac:dyDescent="0.2">
      <c r="A1270" t="str">
        <f>"20200111155522695"</f>
        <v>20200111155522695</v>
      </c>
      <c r="B1270" t="str">
        <f>"1578729322683823"</f>
        <v>1578729322683823</v>
      </c>
      <c r="C1270" t="s">
        <v>37</v>
      </c>
      <c r="D1270">
        <v>5.3051789999999999</v>
      </c>
      <c r="E1270">
        <v>0.55223509999999998</v>
      </c>
      <c r="F1270" t="s">
        <v>38</v>
      </c>
      <c r="G1270">
        <v>-228.4786</v>
      </c>
      <c r="H1270" s="1">
        <v>-1.0253519999999999E-6</v>
      </c>
      <c r="I1270">
        <v>367.65629999999999</v>
      </c>
      <c r="J1270">
        <v>-252.14019999999999</v>
      </c>
      <c r="K1270">
        <v>1.1042339999999999</v>
      </c>
      <c r="L1270">
        <v>368.35059999999999</v>
      </c>
      <c r="M1270">
        <v>0.99983080000000002</v>
      </c>
      <c r="N1270">
        <v>0</v>
      </c>
      <c r="O1270">
        <v>1.1802200000000001E-2</v>
      </c>
      <c r="P1270">
        <v>0.99421939999999998</v>
      </c>
      <c r="Q1270">
        <v>4.2044179999999997E-3</v>
      </c>
      <c r="R1270">
        <v>0.1072863</v>
      </c>
      <c r="S1270">
        <v>3.0282290000000001</v>
      </c>
      <c r="T1270">
        <v>-0.14036989999999999</v>
      </c>
      <c r="U1270">
        <v>-8.8073730000000003E-2</v>
      </c>
      <c r="V1270">
        <v>-9.5509860000000002E-2</v>
      </c>
      <c r="W1270">
        <v>1.8425199999999999E-2</v>
      </c>
      <c r="X1270">
        <v>0.99525799999999998</v>
      </c>
      <c r="Y1270">
        <v>4.0811849999999997E-2</v>
      </c>
      <c r="Z1270">
        <v>-1.491921E-3</v>
      </c>
      <c r="AA1270">
        <v>0.99916569999999905</v>
      </c>
      <c r="AB1270">
        <v>28</v>
      </c>
      <c r="AC1270">
        <v>23.6616</v>
      </c>
      <c r="AD1270">
        <v>-1.1042350253519999</v>
      </c>
      <c r="AE1270">
        <v>-0.69429999999999803</v>
      </c>
      <c r="AF1270">
        <v>0.97142454021055402</v>
      </c>
      <c r="AG1270">
        <v>-1.1042350253519999</v>
      </c>
      <c r="AH1270">
        <v>23.600401866430001</v>
      </c>
      <c r="AI1270">
        <v>92.676585233679006</v>
      </c>
      <c r="AJ1270">
        <v>87.642958572793404</v>
      </c>
      <c r="AK1270">
        <v>23.646182966507101</v>
      </c>
    </row>
    <row r="1271" spans="1:37" x14ac:dyDescent="0.2">
      <c r="A1271" t="str">
        <f>"20200111155522707"</f>
        <v>20200111155522707</v>
      </c>
      <c r="B1271" t="str">
        <f>"1578729322703343"</f>
        <v>1578729322703343</v>
      </c>
      <c r="C1271" t="s">
        <v>37</v>
      </c>
      <c r="D1271">
        <v>5.0861369999999999</v>
      </c>
      <c r="E1271">
        <v>0.55226649999999999</v>
      </c>
      <c r="F1271" t="s">
        <v>38</v>
      </c>
      <c r="G1271">
        <v>-228.4538</v>
      </c>
      <c r="H1271" s="1">
        <v>-1.0411920000000001E-6</v>
      </c>
      <c r="I1271">
        <v>367.6284</v>
      </c>
      <c r="J1271">
        <v>-251.99189999999999</v>
      </c>
      <c r="K1271">
        <v>1.1042449999999999</v>
      </c>
      <c r="L1271">
        <v>368.35180000000003</v>
      </c>
      <c r="M1271">
        <v>0.99983679999999997</v>
      </c>
      <c r="N1271">
        <v>0</v>
      </c>
      <c r="O1271">
        <v>1.12897E-2</v>
      </c>
      <c r="P1271">
        <v>0.99438789999999999</v>
      </c>
      <c r="Q1271">
        <v>3.9133559999999998E-3</v>
      </c>
      <c r="R1271">
        <v>0.1057239</v>
      </c>
      <c r="S1271">
        <v>3.028</v>
      </c>
      <c r="T1271">
        <v>-0.1411618</v>
      </c>
      <c r="U1271">
        <v>-9.2315670000000002E-2</v>
      </c>
      <c r="V1271">
        <v>-9.4455799999999895E-2</v>
      </c>
      <c r="W1271">
        <v>1.8133900000000001E-2</v>
      </c>
      <c r="X1271">
        <v>0.99536389999999997</v>
      </c>
      <c r="Y1271">
        <v>4.169933E-2</v>
      </c>
      <c r="Z1271">
        <v>-1.4972060000000001E-3</v>
      </c>
      <c r="AA1271">
        <v>0.99912909999999899</v>
      </c>
      <c r="AB1271">
        <v>28</v>
      </c>
      <c r="AC1271">
        <v>23.538099999999901</v>
      </c>
      <c r="AD1271">
        <v>-1.1042460411920001</v>
      </c>
      <c r="AE1271">
        <v>-0.72340000000002602</v>
      </c>
      <c r="AF1271">
        <v>0.98694834151911204</v>
      </c>
      <c r="AG1271">
        <v>-1.1042460411920001</v>
      </c>
      <c r="AH1271">
        <v>23.476811820211299</v>
      </c>
      <c r="AI1271">
        <v>92.690583899102094</v>
      </c>
      <c r="AJ1271">
        <v>87.592743944891595</v>
      </c>
      <c r="AK1271">
        <v>23.5234801759843</v>
      </c>
    </row>
    <row r="1272" spans="1:37" x14ac:dyDescent="0.2">
      <c r="A1272" t="str">
        <f>"20200111155522718"</f>
        <v>20200111155522718</v>
      </c>
      <c r="B1272" t="str">
        <f>"1578729322714079"</f>
        <v>1578729322714079</v>
      </c>
      <c r="C1272" t="s">
        <v>37</v>
      </c>
      <c r="D1272">
        <v>5.0249480000000002</v>
      </c>
      <c r="E1272">
        <v>0.55228669999999902</v>
      </c>
      <c r="F1272" t="s">
        <v>38</v>
      </c>
      <c r="G1272">
        <v>-228.38749999999999</v>
      </c>
      <c r="H1272" s="1">
        <v>-1.073738E-6</v>
      </c>
      <c r="I1272">
        <v>367.59089999999998</v>
      </c>
      <c r="J1272">
        <v>-251.8424</v>
      </c>
      <c r="K1272">
        <v>1.1042540000000001</v>
      </c>
      <c r="L1272">
        <v>368.35289999999998</v>
      </c>
      <c r="M1272">
        <v>0.99984249999999997</v>
      </c>
      <c r="N1272">
        <v>0</v>
      </c>
      <c r="O1272">
        <v>1.077285E-2</v>
      </c>
      <c r="P1272">
        <v>0.99450430000000001</v>
      </c>
      <c r="Q1272">
        <v>3.5826629999999998E-3</v>
      </c>
      <c r="R1272">
        <v>0.10463599999999899</v>
      </c>
      <c r="S1272">
        <v>3.0278930000000002</v>
      </c>
      <c r="T1272">
        <v>-0.1416481</v>
      </c>
      <c r="U1272">
        <v>-9.7595210000000002E-2</v>
      </c>
      <c r="V1272">
        <v>-9.3882519999999997E-2</v>
      </c>
      <c r="W1272">
        <v>1.7803030000000001E-2</v>
      </c>
      <c r="X1272">
        <v>0.99542410000000003</v>
      </c>
      <c r="Y1272">
        <v>4.2923120000000002E-2</v>
      </c>
      <c r="Z1272">
        <v>-1.506809E-3</v>
      </c>
      <c r="AA1272">
        <v>0.99907729999999995</v>
      </c>
      <c r="AB1272">
        <v>28</v>
      </c>
      <c r="AC1272">
        <v>23.454899999999999</v>
      </c>
      <c r="AD1272">
        <v>-1.1042550737379999</v>
      </c>
      <c r="AE1272">
        <v>-0.76200000000000001</v>
      </c>
      <c r="AF1272">
        <v>1.0124153549435899</v>
      </c>
      <c r="AG1272">
        <v>-1.1042550737379999</v>
      </c>
      <c r="AH1272">
        <v>23.3935313829062</v>
      </c>
      <c r="AI1272">
        <v>92.700028060618607</v>
      </c>
      <c r="AJ1272">
        <v>87.521923823472903</v>
      </c>
      <c r="AK1272">
        <v>23.4414520600115</v>
      </c>
    </row>
    <row r="1273" spans="1:37" x14ac:dyDescent="0.2">
      <c r="A1273" t="str">
        <f>"20200111155522731"</f>
        <v>20200111155522731</v>
      </c>
      <c r="B1273" t="str">
        <f>"1578729322723839"</f>
        <v>1578729322723839</v>
      </c>
      <c r="C1273" t="s">
        <v>37</v>
      </c>
      <c r="D1273">
        <v>5.0438869999999998</v>
      </c>
      <c r="E1273">
        <v>0.55227709999999997</v>
      </c>
      <c r="F1273" t="s">
        <v>38</v>
      </c>
      <c r="G1273">
        <v>-228.44099999999901</v>
      </c>
      <c r="H1273" s="1">
        <v>-1.060906E-6</v>
      </c>
      <c r="I1273">
        <v>367.57080000000002</v>
      </c>
      <c r="J1273">
        <v>-251.68049999999999</v>
      </c>
      <c r="K1273">
        <v>1.1042609999999999</v>
      </c>
      <c r="L1273">
        <v>368.35410000000002</v>
      </c>
      <c r="M1273">
        <v>0.99984839999999997</v>
      </c>
      <c r="N1273">
        <v>0</v>
      </c>
      <c r="O1273">
        <v>1.0212789999999999E-2</v>
      </c>
      <c r="P1273">
        <v>0.99462379999999995</v>
      </c>
      <c r="Q1273">
        <v>3.5237580000000001E-3</v>
      </c>
      <c r="R1273">
        <v>0.103495899999999</v>
      </c>
      <c r="S1273">
        <v>3.0277400000000001</v>
      </c>
      <c r="T1273">
        <v>-0.142871</v>
      </c>
      <c r="U1273">
        <v>-0.1011963</v>
      </c>
      <c r="V1273">
        <v>-9.329925E-2</v>
      </c>
      <c r="W1273">
        <v>1.7743439999999999E-2</v>
      </c>
      <c r="X1273">
        <v>0.99547999999999903</v>
      </c>
      <c r="Y1273">
        <v>4.3550999999999999E-2</v>
      </c>
      <c r="Z1273">
        <v>-1.5082450000000001E-3</v>
      </c>
      <c r="AA1273">
        <v>0.99905010000000005</v>
      </c>
      <c r="AB1273">
        <v>28</v>
      </c>
      <c r="AC1273">
        <v>23.2395</v>
      </c>
      <c r="AD1273">
        <v>-1.1042620609060001</v>
      </c>
      <c r="AE1273">
        <v>-0.783299999999997</v>
      </c>
      <c r="AF1273">
        <v>1.0183262827136901</v>
      </c>
      <c r="AG1273">
        <v>-1.1042620609060001</v>
      </c>
      <c r="AH1273">
        <v>23.1780147286293</v>
      </c>
      <c r="AI1273">
        <v>92.725035481406707</v>
      </c>
      <c r="AJ1273">
        <v>87.484327241608298</v>
      </c>
      <c r="AK1273">
        <v>23.226638798538598</v>
      </c>
    </row>
    <row r="1274" spans="1:37" x14ac:dyDescent="0.2">
      <c r="A1274" t="str">
        <f>"20200111155522743"</f>
        <v>20200111155522743</v>
      </c>
      <c r="B1274" t="str">
        <f>"1578729322733600"</f>
        <v>1578729322733600</v>
      </c>
      <c r="C1274" t="s">
        <v>37</v>
      </c>
      <c r="D1274">
        <v>5.0558019999999999</v>
      </c>
      <c r="E1274">
        <v>0.55227879999999996</v>
      </c>
      <c r="F1274" t="s">
        <v>38</v>
      </c>
      <c r="G1274">
        <v>-228.32040000000001</v>
      </c>
      <c r="H1274" s="1">
        <v>-1.1077359999999999E-6</v>
      </c>
      <c r="I1274">
        <v>367.54899999999998</v>
      </c>
      <c r="J1274">
        <v>-251.5384</v>
      </c>
      <c r="K1274">
        <v>1.1042639999999999</v>
      </c>
      <c r="L1274">
        <v>368.35500000000002</v>
      </c>
      <c r="M1274">
        <v>0.99985329999999994</v>
      </c>
      <c r="N1274">
        <v>0</v>
      </c>
      <c r="O1274">
        <v>9.7210390000000008E-3</v>
      </c>
      <c r="P1274">
        <v>0.99472430000000001</v>
      </c>
      <c r="Q1274">
        <v>3.4244420000000002E-3</v>
      </c>
      <c r="R1274">
        <v>0.1025295</v>
      </c>
      <c r="S1274">
        <v>3.0275880000000002</v>
      </c>
      <c r="T1274">
        <v>-0.143117299999999</v>
      </c>
      <c r="U1274">
        <v>-0.10433959999999901</v>
      </c>
      <c r="V1274">
        <v>-9.2821399999999998E-2</v>
      </c>
      <c r="W1274">
        <v>1.7643789999999999E-2</v>
      </c>
      <c r="X1274">
        <v>0.99552640000000003</v>
      </c>
      <c r="Y1274">
        <v>4.4097070000000002E-2</v>
      </c>
      <c r="Z1274">
        <v>-1.5005589999999901E-3</v>
      </c>
      <c r="AA1274">
        <v>0.99902610000000003</v>
      </c>
      <c r="AB1274">
        <v>28</v>
      </c>
      <c r="AC1274">
        <v>23.2179999999999</v>
      </c>
      <c r="AD1274">
        <v>-1.104265107736</v>
      </c>
      <c r="AE1274">
        <v>-0.80599999999998295</v>
      </c>
      <c r="AF1274">
        <v>1.02936180150853</v>
      </c>
      <c r="AG1274">
        <v>-1.104265107736</v>
      </c>
      <c r="AH1274">
        <v>23.156748726481901</v>
      </c>
      <c r="AI1274">
        <v>92.727479663518494</v>
      </c>
      <c r="AJ1274">
        <v>87.454768493493106</v>
      </c>
      <c r="AK1274">
        <v>23.205904393666501</v>
      </c>
    </row>
    <row r="1275" spans="1:37" x14ac:dyDescent="0.2">
      <c r="A1275" t="str">
        <f>"20200111155522757"</f>
        <v>20200111155522757</v>
      </c>
      <c r="B1275" t="str">
        <f>"1578729322754096"</f>
        <v>1578729322754096</v>
      </c>
      <c r="C1275" t="s">
        <v>37</v>
      </c>
      <c r="D1275">
        <v>5.052378</v>
      </c>
      <c r="E1275">
        <v>0.55231699999999995</v>
      </c>
      <c r="F1275" t="s">
        <v>38</v>
      </c>
      <c r="G1275">
        <v>-228.28899999999999</v>
      </c>
      <c r="H1275" s="1">
        <v>-1.1232070000000001E-6</v>
      </c>
      <c r="I1275">
        <v>367.53100000000001</v>
      </c>
      <c r="J1275">
        <v>-251.3569</v>
      </c>
      <c r="K1275">
        <v>1.1042719999999999</v>
      </c>
      <c r="L1275">
        <v>368.35610000000003</v>
      </c>
      <c r="M1275">
        <v>0.99985930000000001</v>
      </c>
      <c r="N1275">
        <v>0</v>
      </c>
      <c r="O1275">
        <v>9.0932189999999996E-3</v>
      </c>
      <c r="P1275">
        <v>0.9948804</v>
      </c>
      <c r="Q1275">
        <v>2.8738100000000001E-3</v>
      </c>
      <c r="R1275">
        <v>0.10102029999999999</v>
      </c>
      <c r="S1275">
        <v>3.0274509999999899</v>
      </c>
      <c r="T1275">
        <v>-0.14379310000000001</v>
      </c>
      <c r="U1275">
        <v>-0.1072998</v>
      </c>
      <c r="V1275">
        <v>-9.1937409999999997E-2</v>
      </c>
      <c r="W1275">
        <v>1.7091700000000001E-2</v>
      </c>
      <c r="X1275">
        <v>0.99561809999999995</v>
      </c>
      <c r="Y1275">
        <v>4.4446720000000002E-2</v>
      </c>
      <c r="Z1275">
        <v>-1.4861779999999899E-3</v>
      </c>
      <c r="AA1275">
        <v>0.99901059999999997</v>
      </c>
      <c r="AB1275">
        <v>28</v>
      </c>
      <c r="AC1275">
        <v>23.067899999999899</v>
      </c>
      <c r="AD1275">
        <v>-1.104273123207</v>
      </c>
      <c r="AE1275">
        <v>-0.82510000000002004</v>
      </c>
      <c r="AF1275">
        <v>1.0324851795934</v>
      </c>
      <c r="AG1275">
        <v>-1.104273123207</v>
      </c>
      <c r="AH1275">
        <v>23.006787771225799</v>
      </c>
      <c r="AI1275">
        <v>92.745198496363003</v>
      </c>
      <c r="AJ1275">
        <v>87.430437575192798</v>
      </c>
      <c r="AK1275">
        <v>23.056403195792299</v>
      </c>
    </row>
    <row r="1276" spans="1:37" x14ac:dyDescent="0.2">
      <c r="A1276" t="str">
        <f>"20200111155522770"</f>
        <v>20200111155522770</v>
      </c>
      <c r="B1276" t="str">
        <f>"1578729322763855"</f>
        <v>1578729322763855</v>
      </c>
      <c r="C1276" t="s">
        <v>37</v>
      </c>
      <c r="D1276">
        <v>5.0797059999999998</v>
      </c>
      <c r="E1276">
        <v>0.55230210000000002</v>
      </c>
      <c r="F1276" t="s">
        <v>38</v>
      </c>
      <c r="G1276">
        <v>-228.3758</v>
      </c>
      <c r="H1276" s="1">
        <v>-1.1004249999999999E-6</v>
      </c>
      <c r="I1276">
        <v>367.50560000000002</v>
      </c>
      <c r="J1276">
        <v>-251.1893</v>
      </c>
      <c r="K1276">
        <v>1.104274</v>
      </c>
      <c r="L1276">
        <v>368.356999999999</v>
      </c>
      <c r="M1276">
        <v>0.99986430000000004</v>
      </c>
      <c r="N1276">
        <v>0</v>
      </c>
      <c r="O1276">
        <v>8.5137340000000002E-3</v>
      </c>
      <c r="P1276">
        <v>0.99496119999999899</v>
      </c>
      <c r="Q1276">
        <v>2.3446550000000002E-3</v>
      </c>
      <c r="R1276">
        <v>0.1002339</v>
      </c>
      <c r="S1276">
        <v>3.027237</v>
      </c>
      <c r="T1276">
        <v>-0.14546220000000001</v>
      </c>
      <c r="U1276">
        <v>-0.11202999999999901</v>
      </c>
      <c r="V1276">
        <v>-9.1728379999999998E-2</v>
      </c>
      <c r="W1276">
        <v>1.6562009999999999E-2</v>
      </c>
      <c r="X1276">
        <v>0.99564629999999998</v>
      </c>
      <c r="Y1276">
        <v>4.5427309999999999E-2</v>
      </c>
      <c r="Z1276">
        <v>-1.4991869999999999E-3</v>
      </c>
      <c r="AA1276">
        <v>0.99896649999999998</v>
      </c>
      <c r="AB1276">
        <v>28</v>
      </c>
      <c r="AC1276">
        <v>22.813500000000001</v>
      </c>
      <c r="AD1276">
        <v>-1.104275100425</v>
      </c>
      <c r="AE1276">
        <v>-0.85139999999995497</v>
      </c>
      <c r="AF1276">
        <v>1.04317577369644</v>
      </c>
      <c r="AG1276">
        <v>-1.104275100425</v>
      </c>
      <c r="AH1276">
        <v>22.752189658832599</v>
      </c>
      <c r="AI1276">
        <v>92.775752623715405</v>
      </c>
      <c r="AJ1276">
        <v>87.374857507731093</v>
      </c>
      <c r="AK1276">
        <v>22.8028457317006</v>
      </c>
    </row>
    <row r="1277" spans="1:37" x14ac:dyDescent="0.2">
      <c r="A1277" t="str">
        <f>"20200111155522784"</f>
        <v>20200111155522784</v>
      </c>
      <c r="B1277" t="str">
        <f>"1578729322773615"</f>
        <v>1578729322773615</v>
      </c>
      <c r="C1277" t="s">
        <v>37</v>
      </c>
      <c r="D1277">
        <v>5.0973739999999896</v>
      </c>
      <c r="E1277">
        <v>0.55226319999999995</v>
      </c>
      <c r="F1277" t="s">
        <v>38</v>
      </c>
      <c r="G1277">
        <v>-228.51570000000001</v>
      </c>
      <c r="H1277" s="1">
        <v>-1.054614E-6</v>
      </c>
      <c r="I1277">
        <v>367.49880000000002</v>
      </c>
      <c r="J1277">
        <v>-251.03200000000001</v>
      </c>
      <c r="K1277">
        <v>1.104274</v>
      </c>
      <c r="L1277">
        <v>368.3578</v>
      </c>
      <c r="M1277">
        <v>0.99986869999999906</v>
      </c>
      <c r="N1277">
        <v>0</v>
      </c>
      <c r="O1277">
        <v>7.9695310000000002E-3</v>
      </c>
      <c r="P1277">
        <v>0.99504199999999998</v>
      </c>
      <c r="Q1277">
        <v>2.0284460000000002E-3</v>
      </c>
      <c r="R1277">
        <v>9.9434610000000007E-2</v>
      </c>
      <c r="S1277">
        <v>3.027069</v>
      </c>
      <c r="T1277">
        <v>-0.147427</v>
      </c>
      <c r="U1277">
        <v>-0.114563</v>
      </c>
      <c r="V1277">
        <v>-9.1471049999999998E-2</v>
      </c>
      <c r="W1277">
        <v>1.6244950000000001E-2</v>
      </c>
      <c r="X1277">
        <v>0.99567519999999998</v>
      </c>
      <c r="Y1277">
        <v>4.5718969999999998E-2</v>
      </c>
      <c r="Z1277">
        <v>-1.500087E-3</v>
      </c>
      <c r="AA1277">
        <v>0.99895319999999899</v>
      </c>
      <c r="AB1277">
        <v>28</v>
      </c>
      <c r="AC1277">
        <v>22.516300000000001</v>
      </c>
      <c r="AD1277">
        <v>-1.1042750546140001</v>
      </c>
      <c r="AE1277">
        <v>-0.85899999999998</v>
      </c>
      <c r="AF1277">
        <v>1.0359468382758701</v>
      </c>
      <c r="AG1277">
        <v>-1.1042750546140001</v>
      </c>
      <c r="AH1277">
        <v>22.4548073308349</v>
      </c>
      <c r="AI1277">
        <v>92.812418044318605</v>
      </c>
      <c r="AJ1277">
        <v>87.358546724646899</v>
      </c>
      <c r="AK1277">
        <v>22.505798841918299</v>
      </c>
    </row>
    <row r="1278" spans="1:37" x14ac:dyDescent="0.2">
      <c r="A1278" t="str">
        <f>"20200111155522795"</f>
        <v>20200111155522795</v>
      </c>
      <c r="B1278" t="str">
        <f>"1578729322783376"</f>
        <v>1578729322783376</v>
      </c>
      <c r="C1278" t="s">
        <v>37</v>
      </c>
      <c r="D1278">
        <v>5.0525279999999997</v>
      </c>
      <c r="E1278">
        <v>0.55225239999999998</v>
      </c>
      <c r="F1278" t="s">
        <v>38</v>
      </c>
      <c r="G1278">
        <v>-228.58029999999999</v>
      </c>
      <c r="H1278" s="1">
        <v>-1.0343669999999999E-6</v>
      </c>
      <c r="I1278">
        <v>367.4923</v>
      </c>
      <c r="J1278">
        <v>-250.8775</v>
      </c>
      <c r="K1278">
        <v>1.1042730000000001</v>
      </c>
      <c r="L1278">
        <v>368.35840000000002</v>
      </c>
      <c r="M1278">
        <v>0.99987300000000001</v>
      </c>
      <c r="N1278">
        <v>0</v>
      </c>
      <c r="O1278">
        <v>7.4351640000000002E-3</v>
      </c>
      <c r="P1278">
        <v>0.99513490000000004</v>
      </c>
      <c r="Q1278">
        <v>1.39524299999999E-3</v>
      </c>
      <c r="R1278">
        <v>9.8513500000000004E-2</v>
      </c>
      <c r="S1278">
        <v>3.0269169999999899</v>
      </c>
      <c r="T1278">
        <v>-0.148876799999999</v>
      </c>
      <c r="U1278">
        <v>-0.116668699999999</v>
      </c>
      <c r="V1278">
        <v>-9.1082170000000004E-2</v>
      </c>
      <c r="W1278">
        <v>1.561132E-2</v>
      </c>
      <c r="X1278">
        <v>0.99572099999999997</v>
      </c>
      <c r="Y1278">
        <v>4.5880110000000002E-2</v>
      </c>
      <c r="Z1278">
        <v>-1.4925750000000001E-3</v>
      </c>
      <c r="AA1278">
        <v>0.99894579999999999</v>
      </c>
      <c r="AB1278">
        <v>28</v>
      </c>
      <c r="AC1278">
        <v>22.2972</v>
      </c>
      <c r="AD1278">
        <v>-1.1042740343669999</v>
      </c>
      <c r="AE1278">
        <v>-0.86610000000001697</v>
      </c>
      <c r="AF1278">
        <v>1.02935492178356</v>
      </c>
      <c r="AG1278">
        <v>-1.1042740343669999</v>
      </c>
      <c r="AH1278">
        <v>22.235686931727699</v>
      </c>
      <c r="AI1278">
        <v>92.840064411637201</v>
      </c>
      <c r="AJ1278">
        <v>87.349503233386002</v>
      </c>
      <c r="AK1278">
        <v>22.2868742990977</v>
      </c>
    </row>
    <row r="1279" spans="1:37" x14ac:dyDescent="0.2">
      <c r="A1279" t="str">
        <f>"20200111155522806"</f>
        <v>20200111155522806</v>
      </c>
      <c r="B1279" t="str">
        <f>"1578729322803872"</f>
        <v>1578729322803872</v>
      </c>
      <c r="C1279" t="s">
        <v>37</v>
      </c>
      <c r="D1279">
        <v>5.1004059999999898</v>
      </c>
      <c r="E1279">
        <v>0.55219419999999897</v>
      </c>
      <c r="F1279" t="s">
        <v>38</v>
      </c>
      <c r="G1279">
        <v>-228.72450000000001</v>
      </c>
      <c r="H1279" s="1">
        <v>-9.8732970000000001E-7</v>
      </c>
      <c r="I1279">
        <v>367.4846</v>
      </c>
      <c r="J1279">
        <v>-250.73570000000001</v>
      </c>
      <c r="K1279">
        <v>1.1042730000000001</v>
      </c>
      <c r="L1279">
        <v>368.35890000000001</v>
      </c>
      <c r="M1279">
        <v>0.9998764</v>
      </c>
      <c r="N1279">
        <v>0</v>
      </c>
      <c r="O1279">
        <v>6.9446040000000001E-3</v>
      </c>
      <c r="P1279">
        <v>0.99521959999999998</v>
      </c>
      <c r="Q1279">
        <v>7.5366110000000001E-4</v>
      </c>
      <c r="R1279">
        <v>9.7659800000000005E-2</v>
      </c>
      <c r="S1279">
        <v>3.0267029999999999</v>
      </c>
      <c r="T1279">
        <v>-0.15087329999999999</v>
      </c>
      <c r="U1279">
        <v>-0.1193848</v>
      </c>
      <c r="V1279">
        <v>-9.0717930000000002E-2</v>
      </c>
      <c r="W1279">
        <v>1.4969090000000001E-2</v>
      </c>
      <c r="X1279">
        <v>0.99576409999999904</v>
      </c>
      <c r="Y1279">
        <v>4.6286140000000003E-2</v>
      </c>
      <c r="Z1279">
        <v>-1.498325E-3</v>
      </c>
      <c r="AA1279">
        <v>0.99892709999999996</v>
      </c>
      <c r="AB1279">
        <v>28</v>
      </c>
      <c r="AC1279">
        <v>22.011199999999999</v>
      </c>
      <c r="AD1279">
        <v>-1.1042739873297001</v>
      </c>
      <c r="AE1279">
        <v>-0.87430000000000496</v>
      </c>
      <c r="AF1279">
        <v>1.02457848784157</v>
      </c>
      <c r="AG1279">
        <v>-1.1042739873297001</v>
      </c>
      <c r="AH1279">
        <v>21.949439287896201</v>
      </c>
      <c r="AI1279">
        <v>92.876988948703399</v>
      </c>
      <c r="AJ1279">
        <v>87.327428702466904</v>
      </c>
      <c r="AK1279">
        <v>22.0010696824014</v>
      </c>
    </row>
    <row r="1280" spans="1:37" x14ac:dyDescent="0.2">
      <c r="A1280" t="str">
        <f>"20200111155522818"</f>
        <v>20200111155522818</v>
      </c>
      <c r="B1280" t="str">
        <f>"1578729322813631"</f>
        <v>1578729322813631</v>
      </c>
      <c r="C1280" t="s">
        <v>37</v>
      </c>
      <c r="D1280">
        <v>5.1115750000000002</v>
      </c>
      <c r="E1280">
        <v>0.55214249999999998</v>
      </c>
      <c r="F1280" t="s">
        <v>38</v>
      </c>
      <c r="G1280">
        <v>-228.89250000000001</v>
      </c>
      <c r="H1280" s="1">
        <v>-9.3049469999999997E-7</v>
      </c>
      <c r="I1280">
        <v>367.48340000000002</v>
      </c>
      <c r="J1280">
        <v>-250.59030000000001</v>
      </c>
      <c r="K1280">
        <v>1.1042719999999999</v>
      </c>
      <c r="L1280">
        <v>368.35939999999999</v>
      </c>
      <c r="M1280">
        <v>0.99987990000000004</v>
      </c>
      <c r="N1280">
        <v>0</v>
      </c>
      <c r="O1280">
        <v>6.4414090000000004E-3</v>
      </c>
      <c r="P1280">
        <v>0.9953303</v>
      </c>
      <c r="Q1280">
        <v>2.6277080000000001E-4</v>
      </c>
      <c r="R1280">
        <v>9.6529989999999996E-2</v>
      </c>
      <c r="S1280">
        <v>3.0264279999999899</v>
      </c>
      <c r="T1280">
        <v>-0.1529992</v>
      </c>
      <c r="U1280">
        <v>-0.121307399999999</v>
      </c>
      <c r="V1280">
        <v>-9.0089920000000004E-2</v>
      </c>
      <c r="W1280">
        <v>1.447705E-2</v>
      </c>
      <c r="X1280">
        <v>0.99582839999999995</v>
      </c>
      <c r="Y1280">
        <v>4.6419179999999997E-2</v>
      </c>
      <c r="Z1280">
        <v>-1.4974719999999999E-3</v>
      </c>
      <c r="AA1280">
        <v>0.9989209</v>
      </c>
      <c r="AB1280">
        <v>28</v>
      </c>
      <c r="AC1280">
        <v>21.697800000000001</v>
      </c>
      <c r="AD1280">
        <v>-1.1042729304946901</v>
      </c>
      <c r="AE1280">
        <v>-0.87599999999997602</v>
      </c>
      <c r="AF1280">
        <v>1.01314022037044</v>
      </c>
      <c r="AG1280">
        <v>-1.1042729304946901</v>
      </c>
      <c r="AH1280">
        <v>21.6357583123234</v>
      </c>
      <c r="AI1280">
        <v>92.918605777064499</v>
      </c>
      <c r="AJ1280">
        <v>87.318962234350806</v>
      </c>
      <c r="AK1280">
        <v>21.687598058808302</v>
      </c>
    </row>
    <row r="1281" spans="1:37" x14ac:dyDescent="0.2">
      <c r="A1281" t="str">
        <f>"20200111155522829"</f>
        <v>20200111155522829</v>
      </c>
      <c r="B1281" t="str">
        <f>"1578729322823391"</f>
        <v>1578729322823391</v>
      </c>
      <c r="C1281" t="s">
        <v>37</v>
      </c>
      <c r="D1281">
        <v>5.07273</v>
      </c>
      <c r="E1281">
        <v>0.55210719999999902</v>
      </c>
      <c r="F1281" t="s">
        <v>38</v>
      </c>
      <c r="G1281">
        <v>-228.9375</v>
      </c>
      <c r="H1281" s="1">
        <v>-9.1918480000000005E-7</v>
      </c>
      <c r="I1281">
        <v>367.4683</v>
      </c>
      <c r="J1281">
        <v>-250.44649999999999</v>
      </c>
      <c r="K1281">
        <v>1.1042719999999999</v>
      </c>
      <c r="L1281">
        <v>368.35980000000001</v>
      </c>
      <c r="M1281">
        <v>0.99988290000000002</v>
      </c>
      <c r="N1281">
        <v>0</v>
      </c>
      <c r="O1281">
        <v>5.94370199999999E-3</v>
      </c>
      <c r="P1281">
        <v>0.99539809999999995</v>
      </c>
      <c r="Q1281">
        <v>-1.2368869999999999E-4</v>
      </c>
      <c r="R1281">
        <v>9.582599E-2</v>
      </c>
      <c r="S1281">
        <v>3.0261990000000001</v>
      </c>
      <c r="T1281">
        <v>-0.1543331</v>
      </c>
      <c r="U1281">
        <v>-0.12454220000000001</v>
      </c>
      <c r="V1281">
        <v>-8.9881959999999997E-2</v>
      </c>
      <c r="W1281">
        <v>1.408942E-2</v>
      </c>
      <c r="X1281">
        <v>0.99585279999999998</v>
      </c>
      <c r="Y1281">
        <v>4.6989719999999999E-2</v>
      </c>
      <c r="Z1281">
        <v>-1.499766E-3</v>
      </c>
      <c r="AA1281">
        <v>0.99889430000000001</v>
      </c>
      <c r="AB1281">
        <v>28</v>
      </c>
      <c r="AC1281">
        <v>21.508999999999901</v>
      </c>
      <c r="AD1281">
        <v>-1.1042729191848</v>
      </c>
      <c r="AE1281">
        <v>-0.89150000000000695</v>
      </c>
      <c r="AF1281">
        <v>1.0166649195822299</v>
      </c>
      <c r="AG1281">
        <v>-1.1042729191848</v>
      </c>
      <c r="AH1281">
        <v>21.446887899282601</v>
      </c>
      <c r="AI1281">
        <v>92.944183519033501</v>
      </c>
      <c r="AJ1281">
        <v>87.285991517425302</v>
      </c>
      <c r="AK1281">
        <v>21.499349450696101</v>
      </c>
    </row>
    <row r="1282" spans="1:37" x14ac:dyDescent="0.2">
      <c r="A1282" t="str">
        <f>"20200111155522841"</f>
        <v>20200111155522841</v>
      </c>
      <c r="B1282" t="str">
        <f>"1578729322834127"</f>
        <v>1578729322834127</v>
      </c>
      <c r="C1282" t="s">
        <v>37</v>
      </c>
      <c r="D1282">
        <v>5.1159749999999997</v>
      </c>
      <c r="E1282">
        <v>0.55206690000000003</v>
      </c>
      <c r="F1282" t="s">
        <v>38</v>
      </c>
      <c r="G1282">
        <v>-228.9794</v>
      </c>
      <c r="H1282" s="1">
        <v>-9.0645989999999898E-7</v>
      </c>
      <c r="I1282">
        <v>367.46260000000001</v>
      </c>
      <c r="J1282">
        <v>-250.29730000000001</v>
      </c>
      <c r="K1282">
        <v>1.1042719999999999</v>
      </c>
      <c r="L1282">
        <v>368.36020000000002</v>
      </c>
      <c r="M1282">
        <v>0.99988589999999999</v>
      </c>
      <c r="N1282">
        <v>0</v>
      </c>
      <c r="O1282">
        <v>5.426803E-3</v>
      </c>
      <c r="P1282">
        <v>0.99548159999999897</v>
      </c>
      <c r="Q1282">
        <v>-4.0675900000000003E-4</v>
      </c>
      <c r="R1282">
        <v>9.4954750000000004E-2</v>
      </c>
      <c r="S1282">
        <v>3.0260159999999998</v>
      </c>
      <c r="T1282">
        <v>-0.15565809999999999</v>
      </c>
      <c r="U1282">
        <v>-0.12646479999999999</v>
      </c>
      <c r="V1282">
        <v>-8.9525209999999994E-2</v>
      </c>
      <c r="W1282">
        <v>1.3804779999999999E-2</v>
      </c>
      <c r="X1282">
        <v>0.99588889999999997</v>
      </c>
      <c r="Y1282">
        <v>4.7108730000000001E-2</v>
      </c>
      <c r="Z1282">
        <v>-1.48919E-3</v>
      </c>
      <c r="AA1282">
        <v>0.99888869999999896</v>
      </c>
      <c r="AB1282">
        <v>28</v>
      </c>
      <c r="AC1282">
        <v>21.317900000000002</v>
      </c>
      <c r="AD1282">
        <v>-1.1042729064598999</v>
      </c>
      <c r="AE1282">
        <v>-0.89760000000001094</v>
      </c>
      <c r="AF1282">
        <v>1.0105794648855599</v>
      </c>
      <c r="AG1282">
        <v>-1.1042729064598999</v>
      </c>
      <c r="AH1282">
        <v>21.255780433598101</v>
      </c>
      <c r="AI1282">
        <v>92.970587336318303</v>
      </c>
      <c r="AJ1282">
        <v>87.277993620544905</v>
      </c>
      <c r="AK1282">
        <v>21.3084230141069</v>
      </c>
    </row>
    <row r="1283" spans="1:37" x14ac:dyDescent="0.2">
      <c r="A1283" t="str">
        <f>"20200111155522853"</f>
        <v>20200111155522853</v>
      </c>
      <c r="B1283" t="str">
        <f>"1578729322843888"</f>
        <v>1578729322843888</v>
      </c>
      <c r="C1283" t="s">
        <v>37</v>
      </c>
      <c r="D1283">
        <v>5.0801489999999996</v>
      </c>
      <c r="E1283">
        <v>0.55203840000000004</v>
      </c>
      <c r="F1283" t="s">
        <v>38</v>
      </c>
      <c r="G1283">
        <v>-228.98939999999999</v>
      </c>
      <c r="H1283" s="1">
        <v>-9.0577609999999904E-7</v>
      </c>
      <c r="I1283">
        <v>367.45240000000001</v>
      </c>
      <c r="J1283">
        <v>-250.1472</v>
      </c>
      <c r="K1283">
        <v>1.1042700000000001</v>
      </c>
      <c r="L1283">
        <v>368.36040000000003</v>
      </c>
      <c r="M1283">
        <v>0.99988860000000002</v>
      </c>
      <c r="N1283">
        <v>0</v>
      </c>
      <c r="O1283">
        <v>4.90728E-3</v>
      </c>
      <c r="P1283">
        <v>0.9955427</v>
      </c>
      <c r="Q1283">
        <v>-8.73312E-4</v>
      </c>
      <c r="R1283">
        <v>9.4310569999999996E-2</v>
      </c>
      <c r="S1283">
        <v>3.0258180000000001</v>
      </c>
      <c r="T1283">
        <v>-0.15681129999999999</v>
      </c>
      <c r="U1283">
        <v>-0.1289063</v>
      </c>
      <c r="V1283">
        <v>-8.939946E-2</v>
      </c>
      <c r="W1283">
        <v>1.333752E-2</v>
      </c>
      <c r="X1283">
        <v>0.99590650000000003</v>
      </c>
      <c r="Y1283">
        <v>4.7396260000000003E-2</v>
      </c>
      <c r="Z1283">
        <v>-1.480826E-3</v>
      </c>
      <c r="AA1283">
        <v>0.99887510000000002</v>
      </c>
      <c r="AB1283">
        <v>28</v>
      </c>
      <c r="AC1283">
        <v>21.157800000000002</v>
      </c>
      <c r="AD1283">
        <v>-1.1042709057761</v>
      </c>
      <c r="AE1283">
        <v>-0.90800000000001502</v>
      </c>
      <c r="AF1283">
        <v>1.00908292214849</v>
      </c>
      <c r="AG1283">
        <v>-1.1042709057761</v>
      </c>
      <c r="AH1283">
        <v>21.095729399495301</v>
      </c>
      <c r="AI1283">
        <v>92.993037433365302</v>
      </c>
      <c r="AJ1283">
        <v>87.261428765783194</v>
      </c>
      <c r="AK1283">
        <v>21.148698812783799</v>
      </c>
    </row>
    <row r="1284" spans="1:37" x14ac:dyDescent="0.2">
      <c r="A1284" t="str">
        <f>"20200111155522866"</f>
        <v>20200111155522866</v>
      </c>
      <c r="B1284" t="str">
        <f>"1578729322863407"</f>
        <v>1578729322863407</v>
      </c>
      <c r="C1284" t="s">
        <v>37</v>
      </c>
      <c r="D1284">
        <v>5.1112380000000002</v>
      </c>
      <c r="E1284">
        <v>0.55195269999999996</v>
      </c>
      <c r="F1284" t="s">
        <v>38</v>
      </c>
      <c r="G1284">
        <v>-229.04830000000001</v>
      </c>
      <c r="H1284" s="1">
        <v>-8.8652639999999995E-7</v>
      </c>
      <c r="I1284">
        <v>367.44929999999999</v>
      </c>
      <c r="J1284">
        <v>-249.99189999999999</v>
      </c>
      <c r="K1284">
        <v>1.1042689999999999</v>
      </c>
      <c r="L1284">
        <v>368.36059999999998</v>
      </c>
      <c r="M1284">
        <v>0.99989119999999998</v>
      </c>
      <c r="N1284">
        <v>0</v>
      </c>
      <c r="O1284">
        <v>4.3699949999999998E-3</v>
      </c>
      <c r="P1284">
        <v>0.9956064</v>
      </c>
      <c r="Q1284">
        <v>-1.185883E-3</v>
      </c>
      <c r="R1284">
        <v>9.3631710000000007E-2</v>
      </c>
      <c r="S1284">
        <v>3.0256500000000002</v>
      </c>
      <c r="T1284">
        <v>-0.15835569999999999</v>
      </c>
      <c r="U1284">
        <v>-0.13064580000000001</v>
      </c>
      <c r="V1284">
        <v>-8.9255940000000006E-2</v>
      </c>
      <c r="W1284">
        <v>1.3022840000000001E-2</v>
      </c>
      <c r="X1284">
        <v>0.99592359999999902</v>
      </c>
      <c r="Y1284">
        <v>4.743439E-2</v>
      </c>
      <c r="Z1284">
        <v>-1.468359E-3</v>
      </c>
      <c r="AA1284">
        <v>0.99887329999999996</v>
      </c>
      <c r="AB1284">
        <v>28</v>
      </c>
      <c r="AC1284">
        <v>20.943599999999901</v>
      </c>
      <c r="AD1284">
        <v>-1.10426988652639</v>
      </c>
      <c r="AE1284">
        <v>-0.91129999999998201</v>
      </c>
      <c r="AF1284">
        <v>1.0000489072926999</v>
      </c>
      <c r="AG1284">
        <v>-1.10426988652639</v>
      </c>
      <c r="AH1284">
        <v>20.8814760060502</v>
      </c>
      <c r="AI1284">
        <v>93.023679485574306</v>
      </c>
      <c r="AJ1284">
        <v>87.258104027414603</v>
      </c>
      <c r="AK1284">
        <v>20.9345539716163</v>
      </c>
    </row>
    <row r="1285" spans="1:37" x14ac:dyDescent="0.2">
      <c r="A1285" t="str">
        <f>"20200111155522877"</f>
        <v>20200111155522877</v>
      </c>
      <c r="B1285" t="str">
        <f>"1578729322874143"</f>
        <v>1578729322874143</v>
      </c>
      <c r="C1285" t="s">
        <v>37</v>
      </c>
      <c r="D1285">
        <v>5.2059110000000004</v>
      </c>
      <c r="E1285">
        <v>0.55192919999999901</v>
      </c>
      <c r="F1285" t="s">
        <v>38</v>
      </c>
      <c r="G1285">
        <v>-228.96379999999999</v>
      </c>
      <c r="H1285" s="1">
        <v>-9.1670390000000001E-7</v>
      </c>
      <c r="I1285">
        <v>367.44400000000002</v>
      </c>
      <c r="J1285">
        <v>-249.84700000000001</v>
      </c>
      <c r="K1285">
        <v>1.1042670000000001</v>
      </c>
      <c r="L1285">
        <v>368.36070000000001</v>
      </c>
      <c r="M1285">
        <v>0.99989319999999904</v>
      </c>
      <c r="N1285">
        <v>0</v>
      </c>
      <c r="O1285">
        <v>3.8685270000000001E-3</v>
      </c>
      <c r="P1285">
        <v>0.99564180000000002</v>
      </c>
      <c r="Q1285">
        <v>-1.4866110000000001E-3</v>
      </c>
      <c r="R1285">
        <v>9.3250730000000004E-2</v>
      </c>
      <c r="S1285">
        <v>3.025436</v>
      </c>
      <c r="T1285">
        <v>-0.15887679999999901</v>
      </c>
      <c r="U1285">
        <v>-0.1318665</v>
      </c>
      <c r="V1285">
        <v>-8.9375490000000002E-2</v>
      </c>
      <c r="W1285">
        <v>1.27215E-2</v>
      </c>
      <c r="X1285">
        <v>0.99591679999999905</v>
      </c>
      <c r="Y1285">
        <v>4.733909E-2</v>
      </c>
      <c r="Z1285">
        <v>-1.4444689999999899E-3</v>
      </c>
      <c r="AA1285">
        <v>0.99887780000000004</v>
      </c>
      <c r="AB1285">
        <v>28</v>
      </c>
      <c r="AC1285">
        <v>20.883199999999999</v>
      </c>
      <c r="AD1285">
        <v>-1.1042679167039</v>
      </c>
      <c r="AE1285">
        <v>-0.91669999999999097</v>
      </c>
      <c r="AF1285">
        <v>0.99471240667295302</v>
      </c>
      <c r="AG1285">
        <v>-1.1042679167039</v>
      </c>
      <c r="AH1285">
        <v>20.8213900682243</v>
      </c>
      <c r="AI1285">
        <v>93.032400554848905</v>
      </c>
      <c r="AJ1285">
        <v>87.264854877893796</v>
      </c>
      <c r="AK1285">
        <v>20.874365733525799</v>
      </c>
    </row>
    <row r="1286" spans="1:37" x14ac:dyDescent="0.2">
      <c r="A1286" t="str">
        <f>"20200111155522891"</f>
        <v>20200111155522891</v>
      </c>
      <c r="B1286" t="str">
        <f>"1578729322883903"</f>
        <v>1578729322883903</v>
      </c>
      <c r="C1286" t="s">
        <v>37</v>
      </c>
      <c r="D1286">
        <v>5.0931610000000003</v>
      </c>
      <c r="E1286">
        <v>0.55188130000000002</v>
      </c>
      <c r="F1286" t="s">
        <v>38</v>
      </c>
      <c r="G1286">
        <v>-228.91759999999999</v>
      </c>
      <c r="H1286" s="1">
        <v>-9.3292890000000001E-7</v>
      </c>
      <c r="I1286">
        <v>367.44209999999998</v>
      </c>
      <c r="J1286">
        <v>-249.67590000000001</v>
      </c>
      <c r="K1286">
        <v>1.1042559999999999</v>
      </c>
      <c r="L1286">
        <v>368.36079999999998</v>
      </c>
      <c r="M1286">
        <v>0.99989530000000004</v>
      </c>
      <c r="N1286">
        <v>0</v>
      </c>
      <c r="O1286">
        <v>3.2760570000000002E-3</v>
      </c>
      <c r="P1286">
        <v>0.99563219999999997</v>
      </c>
      <c r="Q1286">
        <v>-2.203118E-3</v>
      </c>
      <c r="R1286">
        <v>9.3336009999999997E-2</v>
      </c>
      <c r="S1286">
        <v>3.0253450000000002</v>
      </c>
      <c r="T1286">
        <v>-0.15962109999999999</v>
      </c>
      <c r="U1286">
        <v>-0.13278199999999901</v>
      </c>
      <c r="V1286">
        <v>-9.0051549999999994E-2</v>
      </c>
      <c r="W1286">
        <v>1.200439E-2</v>
      </c>
      <c r="X1286">
        <v>0.99586469999999905</v>
      </c>
      <c r="Y1286">
        <v>4.7050790000000002E-2</v>
      </c>
      <c r="Z1286">
        <v>-1.41243799999999E-3</v>
      </c>
      <c r="AA1286">
        <v>0.99889150000000004</v>
      </c>
      <c r="AB1286">
        <v>28</v>
      </c>
      <c r="AC1286">
        <v>20.758299999999998</v>
      </c>
      <c r="AD1286">
        <v>-1.10425693292889</v>
      </c>
      <c r="AE1286">
        <v>-0.91870000000000096</v>
      </c>
      <c r="AF1286">
        <v>0.98392831534966396</v>
      </c>
      <c r="AG1286">
        <v>-1.10425693292889</v>
      </c>
      <c r="AH1286">
        <v>20.6967253388848</v>
      </c>
      <c r="AI1286">
        <v>93.050635019544202</v>
      </c>
      <c r="AJ1286">
        <v>87.278191318597194</v>
      </c>
      <c r="AK1286">
        <v>20.7495045255761</v>
      </c>
    </row>
    <row r="1287" spans="1:37" x14ac:dyDescent="0.2">
      <c r="A1287" t="str">
        <f>"20200111155522905"</f>
        <v>20200111155522905</v>
      </c>
      <c r="B1287" t="str">
        <f>"1578729322893663"</f>
        <v>1578729322893663</v>
      </c>
      <c r="C1287" t="s">
        <v>37</v>
      </c>
      <c r="D1287">
        <v>5.159224</v>
      </c>
      <c r="E1287">
        <v>0.55181729999999996</v>
      </c>
      <c r="F1287" t="s">
        <v>38</v>
      </c>
      <c r="G1287">
        <v>-228.98859999999999</v>
      </c>
      <c r="H1287" s="1">
        <v>-9.0474709999999996E-7</v>
      </c>
      <c r="I1287">
        <v>367.45729999999998</v>
      </c>
      <c r="J1287">
        <v>-249.5085</v>
      </c>
      <c r="K1287">
        <v>1.1042540000000001</v>
      </c>
      <c r="L1287">
        <v>368.36070000000001</v>
      </c>
      <c r="M1287">
        <v>0.99989689999999998</v>
      </c>
      <c r="N1287">
        <v>0</v>
      </c>
      <c r="O1287">
        <v>2.6960439999999999E-3</v>
      </c>
      <c r="P1287">
        <v>0.99564599999999903</v>
      </c>
      <c r="Q1287">
        <v>-2.6822249999999999E-3</v>
      </c>
      <c r="R1287">
        <v>9.3176419999999996E-2</v>
      </c>
      <c r="S1287">
        <v>3.0251769999999998</v>
      </c>
      <c r="T1287">
        <v>-0.16147800000000001</v>
      </c>
      <c r="U1287">
        <v>-0.13211059999999999</v>
      </c>
      <c r="V1287">
        <v>-9.0470899999999896E-2</v>
      </c>
      <c r="W1287">
        <v>1.1523769999999999E-2</v>
      </c>
      <c r="X1287">
        <v>0.99583239999999995</v>
      </c>
      <c r="Y1287">
        <v>4.625282E-2</v>
      </c>
      <c r="Z1287">
        <v>-1.3767339999999999E-3</v>
      </c>
      <c r="AA1287">
        <v>0.99892879999999995</v>
      </c>
      <c r="AB1287">
        <v>28</v>
      </c>
      <c r="AC1287">
        <v>20.5199</v>
      </c>
      <c r="AD1287">
        <v>-1.1042549047471</v>
      </c>
      <c r="AE1287">
        <v>-0.90340000000003295</v>
      </c>
      <c r="AF1287">
        <v>0.95596172895237996</v>
      </c>
      <c r="AG1287">
        <v>-1.1042549047471</v>
      </c>
      <c r="AH1287">
        <v>20.458258468669801</v>
      </c>
      <c r="AI1287">
        <v>93.086237780804296</v>
      </c>
      <c r="AJ1287">
        <v>87.324661811199604</v>
      </c>
      <c r="AK1287">
        <v>20.510328649068001</v>
      </c>
    </row>
    <row r="1288" spans="1:37" x14ac:dyDescent="0.2">
      <c r="A1288" t="str">
        <f>"20200111155522916"</f>
        <v>20200111155522916</v>
      </c>
      <c r="B1288" t="str">
        <f>"1578729322914159"</f>
        <v>1578729322914159</v>
      </c>
      <c r="C1288" t="s">
        <v>37</v>
      </c>
      <c r="D1288">
        <v>5.0990209999999996</v>
      </c>
      <c r="E1288">
        <v>0.55173879999999997</v>
      </c>
      <c r="F1288" t="s">
        <v>38</v>
      </c>
      <c r="G1288">
        <v>-228.9674</v>
      </c>
      <c r="H1288" s="1">
        <v>-9.1055459999999997E-7</v>
      </c>
      <c r="I1288">
        <v>367.46249999999998</v>
      </c>
      <c r="J1288">
        <v>-249.36340000000001</v>
      </c>
      <c r="K1288">
        <v>1.1042479999999999</v>
      </c>
      <c r="L1288">
        <v>368.36059999999998</v>
      </c>
      <c r="M1288">
        <v>0.99989830000000002</v>
      </c>
      <c r="N1288">
        <v>0</v>
      </c>
      <c r="O1288">
        <v>2.1935089999999902E-3</v>
      </c>
      <c r="P1288">
        <v>0.99564490000000005</v>
      </c>
      <c r="Q1288">
        <v>-2.6028689999999998E-3</v>
      </c>
      <c r="R1288">
        <v>9.3191330000000003E-2</v>
      </c>
      <c r="S1288">
        <v>3.0250699999999999</v>
      </c>
      <c r="T1288">
        <v>-0.1626225</v>
      </c>
      <c r="U1288">
        <v>-0.1322632</v>
      </c>
      <c r="V1288">
        <v>-9.0985999999999997E-2</v>
      </c>
      <c r="W1288">
        <v>1.160197E-2</v>
      </c>
      <c r="X1288">
        <v>0.99578459999999902</v>
      </c>
      <c r="Y1288">
        <v>4.5802969999999998E-2</v>
      </c>
      <c r="Z1288">
        <v>-1.34746E-3</v>
      </c>
      <c r="AA1288">
        <v>0.99894959999999899</v>
      </c>
      <c r="AB1288">
        <v>28</v>
      </c>
      <c r="AC1288">
        <v>20.396000000000001</v>
      </c>
      <c r="AD1288">
        <v>-1.1042489105545901</v>
      </c>
      <c r="AE1288">
        <v>-0.89809999999999901</v>
      </c>
      <c r="AF1288">
        <v>0.94009083903449198</v>
      </c>
      <c r="AG1288">
        <v>-1.1042489105545901</v>
      </c>
      <c r="AH1288">
        <v>20.3344918241371</v>
      </c>
      <c r="AI1288">
        <v>93.105040115520396</v>
      </c>
      <c r="AJ1288">
        <v>87.3530239944741</v>
      </c>
      <c r="AK1288">
        <v>20.3861397569034</v>
      </c>
    </row>
    <row r="1289" spans="1:37" x14ac:dyDescent="0.2">
      <c r="A1289" t="str">
        <f>"20200111155522928"</f>
        <v>20200111155522928</v>
      </c>
      <c r="B1289" t="str">
        <f>"1578729322923919"</f>
        <v>1578729322923919</v>
      </c>
      <c r="C1289" t="s">
        <v>37</v>
      </c>
      <c r="D1289">
        <v>5.0973030000000001</v>
      </c>
      <c r="E1289">
        <v>0.55169619999999997</v>
      </c>
      <c r="F1289" t="s">
        <v>38</v>
      </c>
      <c r="G1289">
        <v>-228.68170000000001</v>
      </c>
      <c r="H1289" s="1">
        <v>-1.008066E-6</v>
      </c>
      <c r="I1289">
        <v>367.4615</v>
      </c>
      <c r="J1289">
        <v>-249.21809999999999</v>
      </c>
      <c r="K1289">
        <v>1.1042369999999999</v>
      </c>
      <c r="L1289">
        <v>368.36040000000003</v>
      </c>
      <c r="M1289">
        <v>0.99989930000000005</v>
      </c>
      <c r="N1289">
        <v>0</v>
      </c>
      <c r="O1289">
        <v>1.6903199999999999E-3</v>
      </c>
      <c r="P1289">
        <v>0.99565700000000001</v>
      </c>
      <c r="Q1289">
        <v>-2.7886569999999999E-3</v>
      </c>
      <c r="R1289">
        <v>9.305774E-2</v>
      </c>
      <c r="S1289">
        <v>3.0250089999999998</v>
      </c>
      <c r="T1289">
        <v>-0.1615124</v>
      </c>
      <c r="U1289">
        <v>-0.13150020000000001</v>
      </c>
      <c r="V1289">
        <v>-9.1354190000000002E-2</v>
      </c>
      <c r="W1289">
        <v>1.1415059999999999E-2</v>
      </c>
      <c r="X1289">
        <v>0.995753</v>
      </c>
      <c r="Y1289">
        <v>4.5052389999999998E-2</v>
      </c>
      <c r="Z1289">
        <v>-1.2914580000000001E-3</v>
      </c>
      <c r="AA1289">
        <v>0.99898379999999998</v>
      </c>
      <c r="AB1289">
        <v>28</v>
      </c>
      <c r="AC1289">
        <v>20.536399999999901</v>
      </c>
      <c r="AD1289">
        <v>-1.1042380080659999</v>
      </c>
      <c r="AE1289">
        <v>-0.89890000000002501</v>
      </c>
      <c r="AF1289">
        <v>0.93092890328966604</v>
      </c>
      <c r="AG1289">
        <v>-1.1042380080659999</v>
      </c>
      <c r="AH1289">
        <v>20.475764936762399</v>
      </c>
      <c r="AI1289">
        <v>93.083735828763295</v>
      </c>
      <c r="AJ1289">
        <v>87.3968449170696</v>
      </c>
      <c r="AK1289">
        <v>20.526639275511801</v>
      </c>
    </row>
    <row r="1290" spans="1:37" x14ac:dyDescent="0.2">
      <c r="A1290" t="str">
        <f>"20200111155522941"</f>
        <v>20200111155522941</v>
      </c>
      <c r="B1290" t="str">
        <f>"1578729322933679"</f>
        <v>1578729322933679</v>
      </c>
      <c r="C1290" t="s">
        <v>37</v>
      </c>
      <c r="D1290">
        <v>5.1223609999999997</v>
      </c>
      <c r="E1290">
        <v>0.55165920000000002</v>
      </c>
      <c r="F1290" t="s">
        <v>38</v>
      </c>
      <c r="G1290">
        <v>-228.6112</v>
      </c>
      <c r="H1290" s="1">
        <v>-1.0313490000000001E-6</v>
      </c>
      <c r="I1290">
        <v>367.46409999999997</v>
      </c>
      <c r="J1290">
        <v>-249.05330000000001</v>
      </c>
      <c r="K1290">
        <v>1.104228</v>
      </c>
      <c r="L1290">
        <v>368.36</v>
      </c>
      <c r="M1290">
        <v>0.99990000000000001</v>
      </c>
      <c r="N1290">
        <v>0</v>
      </c>
      <c r="O1290">
        <v>1.1196050000000001E-3</v>
      </c>
      <c r="P1290">
        <v>0.99564779999999997</v>
      </c>
      <c r="Q1290">
        <v>-2.5775189999999999E-3</v>
      </c>
      <c r="R1290">
        <v>9.3159560000000002E-2</v>
      </c>
      <c r="S1290">
        <v>3.0249630000000001</v>
      </c>
      <c r="T1290">
        <v>-0.1620944</v>
      </c>
      <c r="U1290">
        <v>-0.13156129999999999</v>
      </c>
      <c r="V1290">
        <v>-9.2023899999999895E-2</v>
      </c>
      <c r="W1290">
        <v>1.1624850000000001E-2</v>
      </c>
      <c r="X1290">
        <v>0.99568889999999999</v>
      </c>
      <c r="Y1290">
        <v>4.4504080000000001E-2</v>
      </c>
      <c r="Z1290">
        <v>-1.250901E-3</v>
      </c>
      <c r="AA1290">
        <v>0.99900840000000002</v>
      </c>
      <c r="AB1290">
        <v>28</v>
      </c>
      <c r="AC1290">
        <v>20.4421</v>
      </c>
      <c r="AD1290">
        <v>-1.104229031349</v>
      </c>
      <c r="AE1290">
        <v>-0.89590000000004</v>
      </c>
      <c r="AF1290">
        <v>0.91612078510774797</v>
      </c>
      <c r="AG1290">
        <v>-1.104229031349</v>
      </c>
      <c r="AH1290">
        <v>20.3817266256452</v>
      </c>
      <c r="AI1290">
        <v>93.097983034355494</v>
      </c>
      <c r="AJ1290">
        <v>87.426393297232295</v>
      </c>
      <c r="AK1290">
        <v>20.432165310830701</v>
      </c>
    </row>
    <row r="1291" spans="1:37" x14ac:dyDescent="0.2">
      <c r="A1291" t="str">
        <f>"20200111155522953"</f>
        <v>20200111155522953</v>
      </c>
      <c r="B1291" t="str">
        <f>"1578729322943439"</f>
        <v>1578729322943439</v>
      </c>
      <c r="C1291" t="s">
        <v>37</v>
      </c>
      <c r="D1291">
        <v>5.1284489999999998</v>
      </c>
      <c r="E1291">
        <v>0.55161319999999903</v>
      </c>
      <c r="F1291" t="s">
        <v>38</v>
      </c>
      <c r="G1291">
        <v>-228.37739999999999</v>
      </c>
      <c r="H1291" s="1">
        <v>-1.1103139999999999E-6</v>
      </c>
      <c r="I1291">
        <v>367.46629999999999</v>
      </c>
      <c r="J1291">
        <v>-248.90520000000001</v>
      </c>
      <c r="K1291">
        <v>1.104223</v>
      </c>
      <c r="L1291">
        <v>368.3596</v>
      </c>
      <c r="M1291">
        <v>0.99990049999999997</v>
      </c>
      <c r="N1291">
        <v>0</v>
      </c>
      <c r="O1291">
        <v>6.0640430000000005E-4</v>
      </c>
      <c r="P1291">
        <v>0.99565680000000001</v>
      </c>
      <c r="Q1291">
        <v>-2.544868E-3</v>
      </c>
      <c r="R1291">
        <v>9.3064140000000004E-2</v>
      </c>
      <c r="S1291">
        <v>3.02494799999999</v>
      </c>
      <c r="T1291">
        <v>-0.16155149999999999</v>
      </c>
      <c r="U1291">
        <v>-0.1307373</v>
      </c>
      <c r="V1291">
        <v>-9.2439289999999993E-2</v>
      </c>
      <c r="W1291">
        <v>1.165632E-2</v>
      </c>
      <c r="X1291">
        <v>0.99565009999999998</v>
      </c>
      <c r="Y1291">
        <v>4.3722219999999999E-2</v>
      </c>
      <c r="Z1291">
        <v>-1.198499E-3</v>
      </c>
      <c r="AA1291">
        <v>0.99904300000000001</v>
      </c>
      <c r="AB1291">
        <v>28</v>
      </c>
      <c r="AC1291">
        <v>20.527799999999999</v>
      </c>
      <c r="AD1291">
        <v>-1.104224110314</v>
      </c>
      <c r="AE1291">
        <v>-0.89330000000000997</v>
      </c>
      <c r="AF1291">
        <v>0.90314088258358505</v>
      </c>
      <c r="AG1291">
        <v>-1.104224110314</v>
      </c>
      <c r="AH1291">
        <v>20.4681410084644</v>
      </c>
      <c r="AI1291">
        <v>93.085028022313097</v>
      </c>
      <c r="AJ1291">
        <v>87.473506866999998</v>
      </c>
      <c r="AK1291">
        <v>20.517791564444199</v>
      </c>
    </row>
    <row r="1292" spans="1:37" x14ac:dyDescent="0.2">
      <c r="A1292" t="str">
        <f>"20200111155522964"</f>
        <v>20200111155522964</v>
      </c>
      <c r="B1292" t="str">
        <f>"1578729322953200"</f>
        <v>1578729322953200</v>
      </c>
      <c r="C1292" t="s">
        <v>37</v>
      </c>
      <c r="D1292">
        <v>5.2018899999999997</v>
      </c>
      <c r="E1292">
        <v>0.55157140000000004</v>
      </c>
      <c r="F1292" t="s">
        <v>38</v>
      </c>
      <c r="G1292">
        <v>-228.20169999999999</v>
      </c>
      <c r="H1292" s="1">
        <v>-1.1701470000000001E-6</v>
      </c>
      <c r="I1292">
        <v>367.46620000000001</v>
      </c>
      <c r="J1292">
        <v>-248.76840000000001</v>
      </c>
      <c r="K1292">
        <v>1.1042190000000001</v>
      </c>
      <c r="L1292">
        <v>368.35919999999999</v>
      </c>
      <c r="M1292">
        <v>0.99990080000000003</v>
      </c>
      <c r="N1292">
        <v>0</v>
      </c>
      <c r="O1292">
        <v>1.320034E-4</v>
      </c>
      <c r="P1292">
        <v>0.99569629999999998</v>
      </c>
      <c r="Q1292">
        <v>-2.6082119999999999E-3</v>
      </c>
      <c r="R1292">
        <v>9.2639750000000007E-2</v>
      </c>
      <c r="S1292">
        <v>3.0248569999999999</v>
      </c>
      <c r="T1292">
        <v>-0.1613309</v>
      </c>
      <c r="U1292">
        <v>-0.13052369999999999</v>
      </c>
      <c r="V1292">
        <v>-9.2487319999999998E-2</v>
      </c>
      <c r="W1292">
        <v>1.1591479999999999E-2</v>
      </c>
      <c r="X1292">
        <v>0.99564640000000004</v>
      </c>
      <c r="Y1292">
        <v>4.3180699999999898E-2</v>
      </c>
      <c r="Z1292">
        <v>-1.157204E-3</v>
      </c>
      <c r="AA1292">
        <v>0.99906659999999903</v>
      </c>
      <c r="AB1292">
        <v>28</v>
      </c>
      <c r="AC1292">
        <v>20.566700000000001</v>
      </c>
      <c r="AD1292">
        <v>-1.104220170147</v>
      </c>
      <c r="AE1292">
        <v>-0.89299999999997204</v>
      </c>
      <c r="AF1292">
        <v>0.89314541289890703</v>
      </c>
      <c r="AG1292">
        <v>-1.104220170147</v>
      </c>
      <c r="AH1292">
        <v>20.507578329713098</v>
      </c>
      <c r="AI1292">
        <v>93.079172735403603</v>
      </c>
      <c r="AJ1292">
        <v>87.506231902694495</v>
      </c>
      <c r="AK1292">
        <v>20.556696715719202</v>
      </c>
    </row>
    <row r="1293" spans="1:37" x14ac:dyDescent="0.2">
      <c r="A1293" t="str">
        <f>"20200111155522975"</f>
        <v>20200111155522975</v>
      </c>
      <c r="B1293" t="str">
        <f>"1578729322973695"</f>
        <v>1578729322973695</v>
      </c>
      <c r="C1293" t="s">
        <v>37</v>
      </c>
      <c r="D1293">
        <v>5.1798109999999999</v>
      </c>
      <c r="E1293">
        <v>0.55149040000000005</v>
      </c>
      <c r="F1293" t="s">
        <v>38</v>
      </c>
      <c r="G1293">
        <v>-228.09289999999999</v>
      </c>
      <c r="H1293" s="1">
        <v>-1.208549E-6</v>
      </c>
      <c r="I1293">
        <v>367.46109999999999</v>
      </c>
      <c r="J1293">
        <v>-248.61189999999999</v>
      </c>
      <c r="K1293">
        <v>1.104222</v>
      </c>
      <c r="L1293">
        <v>368.35860000000002</v>
      </c>
      <c r="M1293">
        <v>0.99990080000000003</v>
      </c>
      <c r="N1293">
        <v>0</v>
      </c>
      <c r="O1293">
        <v>-4.1081449999999899E-4</v>
      </c>
      <c r="P1293">
        <v>0.995757</v>
      </c>
      <c r="Q1293">
        <v>-2.7926659999999901E-3</v>
      </c>
      <c r="R1293">
        <v>9.1981439999999998E-2</v>
      </c>
      <c r="S1293">
        <v>3.0247799999999998</v>
      </c>
      <c r="T1293">
        <v>-0.16154399999999999</v>
      </c>
      <c r="U1293">
        <v>-0.1313782</v>
      </c>
      <c r="V1293">
        <v>-9.2370259999999996E-2</v>
      </c>
      <c r="W1293">
        <v>1.140505E-2</v>
      </c>
      <c r="X1293">
        <v>0.99565939999999997</v>
      </c>
      <c r="Y1293">
        <v>4.2922099999999998E-2</v>
      </c>
      <c r="Z1293">
        <v>-1.122896E-3</v>
      </c>
      <c r="AA1293">
        <v>0.99907780000000002</v>
      </c>
      <c r="AB1293">
        <v>28</v>
      </c>
      <c r="AC1293">
        <v>20.518999999999998</v>
      </c>
      <c r="AD1293">
        <v>-1.104223208549</v>
      </c>
      <c r="AE1293">
        <v>-0.89750000000003605</v>
      </c>
      <c r="AF1293">
        <v>0.88650714710317502</v>
      </c>
      <c r="AG1293">
        <v>-1.104223208549</v>
      </c>
      <c r="AH1293">
        <v>20.4602269570224</v>
      </c>
      <c r="AI1293">
        <v>93.086323491572301</v>
      </c>
      <c r="AJ1293">
        <v>87.519022221320398</v>
      </c>
      <c r="AK1293">
        <v>20.509170898625602</v>
      </c>
    </row>
    <row r="1294" spans="1:37" x14ac:dyDescent="0.2">
      <c r="A1294" t="str">
        <f>"20200111155522988"</f>
        <v>20200111155522988</v>
      </c>
      <c r="B1294" t="str">
        <f>"1578729322983456"</f>
        <v>1578729322983456</v>
      </c>
      <c r="C1294" t="s">
        <v>37</v>
      </c>
      <c r="D1294">
        <v>5.1069779999999998</v>
      </c>
      <c r="E1294">
        <v>0.55149040000000005</v>
      </c>
      <c r="F1294" t="s">
        <v>38</v>
      </c>
      <c r="G1294">
        <v>-228.04580000000001</v>
      </c>
      <c r="H1294" s="1">
        <v>-1.2259049999999999E-6</v>
      </c>
      <c r="I1294">
        <v>367.45609999999999</v>
      </c>
      <c r="J1294">
        <v>-248.47139999999999</v>
      </c>
      <c r="K1294">
        <v>1.104225</v>
      </c>
      <c r="L1294">
        <v>368.358</v>
      </c>
      <c r="M1294">
        <v>0.99990040000000002</v>
      </c>
      <c r="N1294">
        <v>0</v>
      </c>
      <c r="O1294">
        <v>-8.9796859999999995E-4</v>
      </c>
      <c r="P1294">
        <v>0.99585129999999999</v>
      </c>
      <c r="Q1294">
        <v>-2.6164489999999999E-3</v>
      </c>
      <c r="R1294">
        <v>9.0958410000000003E-2</v>
      </c>
      <c r="S1294">
        <v>3.024597</v>
      </c>
      <c r="T1294">
        <v>-0.16239379999999901</v>
      </c>
      <c r="U1294">
        <v>-0.132720899999999</v>
      </c>
      <c r="V1294">
        <v>-9.1831679999999999E-2</v>
      </c>
      <c r="W1294">
        <v>1.1579559999999999E-2</v>
      </c>
      <c r="X1294">
        <v>0.99570720000000001</v>
      </c>
      <c r="Y1294">
        <v>4.2880790000000002E-2</v>
      </c>
      <c r="Z1294">
        <v>-1.101617E-3</v>
      </c>
      <c r="AA1294">
        <v>0.99907959999999996</v>
      </c>
      <c r="AB1294">
        <v>28</v>
      </c>
      <c r="AC1294">
        <v>20.4255999999999</v>
      </c>
      <c r="AD1294">
        <v>-1.104226225905</v>
      </c>
      <c r="AE1294">
        <v>-0.90190000000001203</v>
      </c>
      <c r="AF1294">
        <v>0.88098652552176504</v>
      </c>
      <c r="AG1294">
        <v>-1.104226225905</v>
      </c>
      <c r="AH1294">
        <v>20.366993373838302</v>
      </c>
      <c r="AI1294">
        <v>93.100442370782801</v>
      </c>
      <c r="AJ1294">
        <v>87.523180638624297</v>
      </c>
      <c r="AK1294">
        <v>20.415922019495</v>
      </c>
    </row>
    <row r="1295" spans="1:37" x14ac:dyDescent="0.2">
      <c r="A1295" t="str">
        <f>"20200111155523000"</f>
        <v>20200111155523000</v>
      </c>
      <c r="B1295" t="str">
        <f>"1578729322993216"</f>
        <v>1578729322993216</v>
      </c>
      <c r="C1295" t="s">
        <v>37</v>
      </c>
      <c r="D1295">
        <v>5.1577900000000003</v>
      </c>
      <c r="E1295">
        <v>0.55146070000000003</v>
      </c>
      <c r="F1295" t="s">
        <v>38</v>
      </c>
      <c r="G1295">
        <v>-227.8886</v>
      </c>
      <c r="H1295" s="1">
        <v>-1.2855499999999999E-6</v>
      </c>
      <c r="I1295">
        <v>367.43290000000002</v>
      </c>
      <c r="J1295">
        <v>-248.31970000000001</v>
      </c>
      <c r="K1295">
        <v>1.1042379999999901</v>
      </c>
      <c r="L1295">
        <v>368.35730000000001</v>
      </c>
      <c r="M1295">
        <v>0.99989980000000001</v>
      </c>
      <c r="N1295">
        <v>0</v>
      </c>
      <c r="O1295">
        <v>-1.4243379999999901E-3</v>
      </c>
      <c r="P1295">
        <v>0.99596549999999995</v>
      </c>
      <c r="Q1295">
        <v>-2.3371059999999998E-3</v>
      </c>
      <c r="R1295">
        <v>8.9706530000000007E-2</v>
      </c>
      <c r="S1295">
        <v>3.024521</v>
      </c>
      <c r="T1295">
        <v>-0.1622586</v>
      </c>
      <c r="U1295">
        <v>-0.1359253</v>
      </c>
      <c r="V1295">
        <v>-9.1103970000000006E-2</v>
      </c>
      <c r="W1295">
        <v>1.1857060000000001E-2</v>
      </c>
      <c r="X1295">
        <v>0.99577079999999996</v>
      </c>
      <c r="Y1295">
        <v>4.3412439999999997E-2</v>
      </c>
      <c r="Z1295">
        <v>-1.0867400000000001E-3</v>
      </c>
      <c r="AA1295">
        <v>0.99905659999999896</v>
      </c>
      <c r="AB1295">
        <v>28</v>
      </c>
      <c r="AC1295">
        <v>20.431100000000001</v>
      </c>
      <c r="AD1295">
        <v>-1.1042392855499901</v>
      </c>
      <c r="AE1295">
        <v>-0.92439999999999101</v>
      </c>
      <c r="AF1295">
        <v>0.89269308594082797</v>
      </c>
      <c r="AG1295">
        <v>-1.1042392855499901</v>
      </c>
      <c r="AH1295">
        <v>20.373006530519302</v>
      </c>
      <c r="AI1295">
        <v>93.099490110851406</v>
      </c>
      <c r="AJ1295">
        <v>87.491050232877498</v>
      </c>
      <c r="AK1295">
        <v>20.422429836775599</v>
      </c>
    </row>
    <row r="1296" spans="1:37" x14ac:dyDescent="0.2">
      <c r="A1296" t="str">
        <f>"20200111155523014"</f>
        <v>20200111155523014</v>
      </c>
      <c r="B1296" t="str">
        <f>"1578729323003951"</f>
        <v>1578729323003951</v>
      </c>
      <c r="C1296" t="s">
        <v>37</v>
      </c>
      <c r="D1296">
        <v>5.1746489999999996</v>
      </c>
      <c r="E1296">
        <v>0.55143369999999903</v>
      </c>
      <c r="F1296" t="s">
        <v>38</v>
      </c>
      <c r="G1296">
        <v>-227.6377</v>
      </c>
      <c r="H1296" s="1">
        <v>-1.388034E-6</v>
      </c>
      <c r="I1296">
        <v>367.40499999999997</v>
      </c>
      <c r="J1296">
        <v>-248.14359999999999</v>
      </c>
      <c r="K1296">
        <v>1.1042459999999901</v>
      </c>
      <c r="L1296">
        <v>368.35640000000001</v>
      </c>
      <c r="M1296">
        <v>0.99989889999999904</v>
      </c>
      <c r="N1296">
        <v>0</v>
      </c>
      <c r="O1296">
        <v>-2.0352180000000001E-3</v>
      </c>
      <c r="P1296">
        <v>0.99615379999999998</v>
      </c>
      <c r="Q1296">
        <v>-1.566909E-3</v>
      </c>
      <c r="R1296">
        <v>8.7609820000000005E-2</v>
      </c>
      <c r="S1296">
        <v>3.024292</v>
      </c>
      <c r="T1296">
        <v>-0.16147020000000001</v>
      </c>
      <c r="U1296">
        <v>-0.13925170000000001</v>
      </c>
      <c r="V1296">
        <v>-8.9614449999999998E-2</v>
      </c>
      <c r="W1296">
        <v>1.2624710000000001E-2</v>
      </c>
      <c r="X1296">
        <v>0.99589649999999996</v>
      </c>
      <c r="Y1296">
        <v>4.3902799999999999E-2</v>
      </c>
      <c r="Z1296">
        <v>-1.062019E-3</v>
      </c>
      <c r="AA1296">
        <v>0.99903519999999901</v>
      </c>
      <c r="AB1296">
        <v>28</v>
      </c>
      <c r="AC1296">
        <v>20.5059</v>
      </c>
      <c r="AD1296">
        <v>-1.10424738803399</v>
      </c>
      <c r="AE1296">
        <v>-0.951400000000035</v>
      </c>
      <c r="AF1296">
        <v>0.90703530531041898</v>
      </c>
      <c r="AG1296">
        <v>-1.10424738803399</v>
      </c>
      <c r="AH1296">
        <v>20.4486235123982</v>
      </c>
      <c r="AI1296">
        <v>93.088000199522696</v>
      </c>
      <c r="AJ1296">
        <v>87.460207950641603</v>
      </c>
      <c r="AK1296">
        <v>20.498494551816801</v>
      </c>
    </row>
    <row r="1297" spans="1:37" x14ac:dyDescent="0.2">
      <c r="A1297" t="str">
        <f>"20200111155523027"</f>
        <v>20200111155523027</v>
      </c>
      <c r="B1297" t="str">
        <f>"1578729323023471"</f>
        <v>1578729323023471</v>
      </c>
      <c r="C1297" t="s">
        <v>37</v>
      </c>
      <c r="D1297">
        <v>5.1985669999999997</v>
      </c>
      <c r="E1297">
        <v>0.55135880000000004</v>
      </c>
      <c r="F1297" t="s">
        <v>38</v>
      </c>
      <c r="G1297">
        <v>-227.1319</v>
      </c>
      <c r="H1297" s="1">
        <v>-1.615452E-6</v>
      </c>
      <c r="I1297">
        <v>367.346</v>
      </c>
      <c r="J1297">
        <v>-247.989</v>
      </c>
      <c r="K1297">
        <v>1.1042529999999999</v>
      </c>
      <c r="L1297">
        <v>368.35550000000001</v>
      </c>
      <c r="M1297">
        <v>0.99989749999999999</v>
      </c>
      <c r="N1297">
        <v>0</v>
      </c>
      <c r="O1297">
        <v>-2.5717179999999902E-3</v>
      </c>
      <c r="P1297">
        <v>0.99626000000000003</v>
      </c>
      <c r="Q1297">
        <v>-1.1829239999999999E-3</v>
      </c>
      <c r="R1297">
        <v>8.6399009999999998E-2</v>
      </c>
      <c r="S1297">
        <v>3.024124</v>
      </c>
      <c r="T1297">
        <v>-0.15892899999999999</v>
      </c>
      <c r="U1297">
        <v>-0.145416299999999</v>
      </c>
      <c r="V1297">
        <v>-8.8937779999999994E-2</v>
      </c>
      <c r="W1297">
        <v>1.300662E-2</v>
      </c>
      <c r="X1297">
        <v>0.99595219999999995</v>
      </c>
      <c r="Y1297">
        <v>4.5401789999999997E-2</v>
      </c>
      <c r="Z1297">
        <v>-1.0565139999999999E-3</v>
      </c>
      <c r="AA1297">
        <v>0.99896819999999897</v>
      </c>
      <c r="AB1297">
        <v>28</v>
      </c>
      <c r="AC1297">
        <v>20.857099999999999</v>
      </c>
      <c r="AD1297">
        <v>-1.1042546154520001</v>
      </c>
      <c r="AE1297">
        <v>-1.0095000000000001</v>
      </c>
      <c r="AF1297">
        <v>0.95318717515617701</v>
      </c>
      <c r="AG1297">
        <v>-1.1042546154520001</v>
      </c>
      <c r="AH1297">
        <v>20.801456206482701</v>
      </c>
      <c r="AI1297">
        <v>93.035540502039794</v>
      </c>
      <c r="AJ1297">
        <v>87.376365160178594</v>
      </c>
      <c r="AK1297">
        <v>20.8525423955173</v>
      </c>
    </row>
    <row r="1298" spans="1:37" x14ac:dyDescent="0.2">
      <c r="A1298" t="str">
        <f>"20200111155523039"</f>
        <v>20200111155523039</v>
      </c>
      <c r="B1298" t="str">
        <f>"1578729323033232"</f>
        <v>1578729323033232</v>
      </c>
      <c r="C1298" t="s">
        <v>37</v>
      </c>
      <c r="D1298">
        <v>5.185721</v>
      </c>
      <c r="E1298">
        <v>0.55133409999999905</v>
      </c>
      <c r="F1298" t="s">
        <v>38</v>
      </c>
      <c r="G1298">
        <v>-226.74930000000001</v>
      </c>
      <c r="H1298" s="1">
        <v>-1.7854249999999999E-6</v>
      </c>
      <c r="I1298">
        <v>367.31310000000002</v>
      </c>
      <c r="J1298">
        <v>-247.8408</v>
      </c>
      <c r="K1298">
        <v>1.1042510000000001</v>
      </c>
      <c r="L1298">
        <v>368.3546</v>
      </c>
      <c r="M1298">
        <v>0.99989619999999901</v>
      </c>
      <c r="N1298">
        <v>0</v>
      </c>
      <c r="O1298">
        <v>-3.0859289999999998E-3</v>
      </c>
      <c r="P1298">
        <v>0.99634829999999996</v>
      </c>
      <c r="Q1298">
        <v>-9.1035039999999904E-4</v>
      </c>
      <c r="R1298">
        <v>8.5378510000000005E-2</v>
      </c>
      <c r="S1298">
        <v>3.0239560000000001</v>
      </c>
      <c r="T1298">
        <v>-0.15721570000000001</v>
      </c>
      <c r="U1298">
        <v>-0.14840699999999901</v>
      </c>
      <c r="V1298">
        <v>-8.8429300000000002E-2</v>
      </c>
      <c r="W1298">
        <v>1.3276970000000001E-2</v>
      </c>
      <c r="X1298">
        <v>0.99599400000000005</v>
      </c>
      <c r="Y1298">
        <v>4.58777E-2</v>
      </c>
      <c r="Z1298">
        <v>-1.030827E-3</v>
      </c>
      <c r="AA1298">
        <v>0.99894649999999996</v>
      </c>
      <c r="AB1298">
        <v>28</v>
      </c>
      <c r="AC1298">
        <v>21.0915</v>
      </c>
      <c r="AD1298">
        <v>-1.1042527854249999</v>
      </c>
      <c r="AE1298">
        <v>-1.0414999999999801</v>
      </c>
      <c r="AF1298">
        <v>0.97373911515251799</v>
      </c>
      <c r="AG1298">
        <v>-1.1042527854249999</v>
      </c>
      <c r="AH1298">
        <v>21.037089739001701</v>
      </c>
      <c r="AI1298">
        <v>93.001533548880204</v>
      </c>
      <c r="AJ1298">
        <v>87.349854474286701</v>
      </c>
      <c r="AK1298">
        <v>21.088543969779099</v>
      </c>
    </row>
    <row r="1299" spans="1:37" x14ac:dyDescent="0.2">
      <c r="A1299" t="str">
        <f>"20200111155523050"</f>
        <v>20200111155523050</v>
      </c>
      <c r="B1299" t="str">
        <f>"1578729323043968"</f>
        <v>1578729323043968</v>
      </c>
      <c r="C1299" t="s">
        <v>37</v>
      </c>
      <c r="D1299">
        <v>5.2063179999999996</v>
      </c>
      <c r="E1299">
        <v>0.55131079999999999</v>
      </c>
      <c r="F1299" t="s">
        <v>38</v>
      </c>
      <c r="G1299">
        <v>-226.47219999999999</v>
      </c>
      <c r="H1299" s="1">
        <v>-1.909682E-6</v>
      </c>
      <c r="I1299">
        <v>367.28269999999998</v>
      </c>
      <c r="J1299">
        <v>-247.68729999999999</v>
      </c>
      <c r="K1299">
        <v>1.1042479999999999</v>
      </c>
      <c r="L1299">
        <v>368.3535</v>
      </c>
      <c r="M1299">
        <v>0.99989439999999996</v>
      </c>
      <c r="N1299">
        <v>0</v>
      </c>
      <c r="O1299">
        <v>-3.6182649999999998E-3</v>
      </c>
      <c r="P1299">
        <v>0.99644200000000005</v>
      </c>
      <c r="Q1299">
        <v>-9.4626140000000003E-4</v>
      </c>
      <c r="R1299">
        <v>8.4276939999999995E-2</v>
      </c>
      <c r="S1299">
        <v>3.0238339999999999</v>
      </c>
      <c r="T1299">
        <v>-0.1562606</v>
      </c>
      <c r="U1299">
        <v>-0.15167239999999901</v>
      </c>
      <c r="V1299">
        <v>-8.7858469999999994E-2</v>
      </c>
      <c r="W1299">
        <v>1.3239300000000001E-2</v>
      </c>
      <c r="X1299">
        <v>0.99604499999999996</v>
      </c>
      <c r="Y1299">
        <v>4.6424599999999899E-2</v>
      </c>
      <c r="Z1299">
        <v>-1.011224E-3</v>
      </c>
      <c r="AA1299">
        <v>0.99892130000000001</v>
      </c>
      <c r="AB1299">
        <v>28</v>
      </c>
      <c r="AC1299">
        <v>21.2151</v>
      </c>
      <c r="AD1299">
        <v>-1.104249909682</v>
      </c>
      <c r="AE1299">
        <v>-1.07080000000001</v>
      </c>
      <c r="AF1299">
        <v>0.99134458349047605</v>
      </c>
      <c r="AG1299">
        <v>-1.104249909682</v>
      </c>
      <c r="AH1299">
        <v>21.161650001188701</v>
      </c>
      <c r="AI1299">
        <v>92.983812958942394</v>
      </c>
      <c r="AJ1299">
        <v>87.317866763633702</v>
      </c>
      <c r="AK1299">
        <v>21.2136173888155</v>
      </c>
    </row>
    <row r="1300" spans="1:37" x14ac:dyDescent="0.2">
      <c r="A1300" t="str">
        <f>"20200111155523063"</f>
        <v>20200111155523063</v>
      </c>
      <c r="B1300" t="str">
        <f>"1578729323053727"</f>
        <v>1578729323053727</v>
      </c>
      <c r="C1300" t="s">
        <v>37</v>
      </c>
      <c r="D1300">
        <v>5.2702159999999996</v>
      </c>
      <c r="E1300">
        <v>0.55129150000000005</v>
      </c>
      <c r="F1300" t="s">
        <v>38</v>
      </c>
      <c r="G1300">
        <v>-226.32589999999999</v>
      </c>
      <c r="H1300" s="1">
        <v>-1.9764339999999999E-6</v>
      </c>
      <c r="I1300">
        <v>367.26029999999997</v>
      </c>
      <c r="J1300">
        <v>-247.54140000000001</v>
      </c>
      <c r="K1300">
        <v>1.1042430000000001</v>
      </c>
      <c r="L1300">
        <v>368.35250000000002</v>
      </c>
      <c r="M1300">
        <v>0.99989240000000001</v>
      </c>
      <c r="N1300">
        <v>0</v>
      </c>
      <c r="O1300">
        <v>-4.1238990000000003E-3</v>
      </c>
      <c r="P1300">
        <v>0.99652359999999895</v>
      </c>
      <c r="Q1300">
        <v>-1.3671250000000001E-3</v>
      </c>
      <c r="R1300">
        <v>8.3300250000000006E-2</v>
      </c>
      <c r="S1300">
        <v>3.0236509999999899</v>
      </c>
      <c r="T1300">
        <v>-0.1563032</v>
      </c>
      <c r="U1300">
        <v>-0.1547241</v>
      </c>
      <c r="V1300">
        <v>-8.7386850000000002E-2</v>
      </c>
      <c r="W1300">
        <v>1.2816859999999999E-2</v>
      </c>
      <c r="X1300">
        <v>0.99609199999999998</v>
      </c>
      <c r="Y1300">
        <v>4.6928070000000002E-2</v>
      </c>
      <c r="Z1300">
        <v>-9.9842649999999991E-4</v>
      </c>
      <c r="AA1300">
        <v>0.99889779999999995</v>
      </c>
      <c r="AB1300">
        <v>28</v>
      </c>
      <c r="AC1300">
        <v>21.215499999999999</v>
      </c>
      <c r="AD1300">
        <v>-1.1042449764340001</v>
      </c>
      <c r="AE1300">
        <v>-1.09220000000004</v>
      </c>
      <c r="AF1300">
        <v>1.0019841651577299</v>
      </c>
      <c r="AG1300">
        <v>-1.1042449764340001</v>
      </c>
      <c r="AH1300">
        <v>21.162644051900799</v>
      </c>
      <c r="AI1300">
        <v>92.983589696784804</v>
      </c>
      <c r="AJ1300">
        <v>87.289250692253404</v>
      </c>
      <c r="AK1300">
        <v>21.215108590404601</v>
      </c>
    </row>
    <row r="1301" spans="1:37" x14ac:dyDescent="0.2">
      <c r="A1301" t="str">
        <f>"20200111155523074"</f>
        <v>20200111155523074</v>
      </c>
      <c r="B1301" t="str">
        <f>"1578729323063488"</f>
        <v>1578729323063488</v>
      </c>
      <c r="C1301" t="s">
        <v>37</v>
      </c>
      <c r="D1301">
        <v>5.2149669999999997</v>
      </c>
      <c r="E1301">
        <v>0.55124079999999998</v>
      </c>
      <c r="F1301" t="s">
        <v>38</v>
      </c>
      <c r="G1301">
        <v>-226.38059999999999</v>
      </c>
      <c r="H1301" s="1">
        <v>-1.9545789999999999E-6</v>
      </c>
      <c r="I1301">
        <v>367.25110000000001</v>
      </c>
      <c r="J1301">
        <v>-247.3947</v>
      </c>
      <c r="K1301">
        <v>1.1042379999999901</v>
      </c>
      <c r="L1301">
        <v>368.35129999999998</v>
      </c>
      <c r="M1301">
        <v>0.99989019999999995</v>
      </c>
      <c r="N1301">
        <v>0</v>
      </c>
      <c r="O1301">
        <v>-4.6326309999999999E-3</v>
      </c>
      <c r="P1301">
        <v>0.99658139999999995</v>
      </c>
      <c r="Q1301">
        <v>-2.086025E-3</v>
      </c>
      <c r="R1301">
        <v>8.2592040000000005E-2</v>
      </c>
      <c r="S1301">
        <v>3.0234070000000002</v>
      </c>
      <c r="T1301">
        <v>-0.15777160000000001</v>
      </c>
      <c r="U1301">
        <v>-0.15734860000000001</v>
      </c>
      <c r="V1301">
        <v>-8.7187180000000003E-2</v>
      </c>
      <c r="W1301">
        <v>1.209641E-2</v>
      </c>
      <c r="X1301">
        <v>0.99611849999999902</v>
      </c>
      <c r="Y1301">
        <v>4.7287879999999997E-2</v>
      </c>
      <c r="Z1301">
        <v>-9.907150999999999E-4</v>
      </c>
      <c r="AA1301">
        <v>0.99888080000000001</v>
      </c>
      <c r="AB1301">
        <v>28</v>
      </c>
      <c r="AC1301">
        <v>21.014099999999999</v>
      </c>
      <c r="AD1301">
        <v>-1.10423995457899</v>
      </c>
      <c r="AE1301">
        <v>-1.1001999999999701</v>
      </c>
      <c r="AF1301">
        <v>1.00007407205512</v>
      </c>
      <c r="AG1301">
        <v>-1.10423995457899</v>
      </c>
      <c r="AH1301">
        <v>20.961250802944502</v>
      </c>
      <c r="AI1301">
        <v>93.012137597127605</v>
      </c>
      <c r="AJ1301">
        <v>87.268454733023503</v>
      </c>
      <c r="AK1301">
        <v>21.014126897181001</v>
      </c>
    </row>
    <row r="1302" spans="1:37" x14ac:dyDescent="0.2">
      <c r="A1302" t="str">
        <f>"20200111155523086"</f>
        <v>20200111155523086</v>
      </c>
      <c r="B1302" t="str">
        <f>"1578729323083983"</f>
        <v>1578729323083983</v>
      </c>
      <c r="C1302" t="s">
        <v>37</v>
      </c>
      <c r="D1302">
        <v>5.2329129999999999</v>
      </c>
      <c r="E1302">
        <v>0.55110609999999904</v>
      </c>
      <c r="F1302" t="s">
        <v>38</v>
      </c>
      <c r="G1302">
        <v>-226.5703</v>
      </c>
      <c r="H1302" s="1">
        <v>-1.8722559999999999E-6</v>
      </c>
      <c r="I1302">
        <v>367.25650000000002</v>
      </c>
      <c r="J1302">
        <v>-247.25710000000001</v>
      </c>
      <c r="K1302">
        <v>1.1042289999999999</v>
      </c>
      <c r="L1302">
        <v>368.35019999999997</v>
      </c>
      <c r="M1302">
        <v>0.999887999999999</v>
      </c>
      <c r="N1302">
        <v>0</v>
      </c>
      <c r="O1302">
        <v>-5.1098940000000002E-3</v>
      </c>
      <c r="P1302">
        <v>0.99661449999999996</v>
      </c>
      <c r="Q1302">
        <v>-2.6217809999999901E-3</v>
      </c>
      <c r="R1302">
        <v>8.2177710000000001E-2</v>
      </c>
      <c r="S1302">
        <v>3.0231479999999999</v>
      </c>
      <c r="T1302">
        <v>-0.16030539999999999</v>
      </c>
      <c r="U1302">
        <v>-0.15893550000000001</v>
      </c>
      <c r="V1302">
        <v>-8.7249019999999997E-2</v>
      </c>
      <c r="W1302">
        <v>1.1559059999999999E-2</v>
      </c>
      <c r="X1302">
        <v>0.99611949999999905</v>
      </c>
      <c r="Y1302">
        <v>4.7337169999999998E-2</v>
      </c>
      <c r="Z1302">
        <v>-9.8270809999999992E-4</v>
      </c>
      <c r="AA1302">
        <v>0.9988785</v>
      </c>
      <c r="AB1302">
        <v>28</v>
      </c>
      <c r="AC1302">
        <v>20.686800000000002</v>
      </c>
      <c r="AD1302">
        <v>-1.1042308722559999</v>
      </c>
      <c r="AE1302">
        <v>-1.0936999999999499</v>
      </c>
      <c r="AF1302">
        <v>0.98516871858866095</v>
      </c>
      <c r="AG1302">
        <v>-1.1042308722559999</v>
      </c>
      <c r="AH1302">
        <v>20.633492655249299</v>
      </c>
      <c r="AI1302">
        <v>93.059864193126799</v>
      </c>
      <c r="AJ1302">
        <v>87.2664261900848</v>
      </c>
      <c r="AK1302">
        <v>20.686490818347</v>
      </c>
    </row>
    <row r="1303" spans="1:37" x14ac:dyDescent="0.2">
      <c r="A1303" t="str">
        <f>"20200111155523098"</f>
        <v>20200111155523098</v>
      </c>
      <c r="B1303" t="str">
        <f>"1578729323093743"</f>
        <v>1578729323093743</v>
      </c>
      <c r="C1303" t="s">
        <v>37</v>
      </c>
      <c r="D1303">
        <v>5.26891</v>
      </c>
      <c r="E1303">
        <v>0.55104160000000002</v>
      </c>
      <c r="F1303" t="s">
        <v>38</v>
      </c>
      <c r="G1303">
        <v>-226.66589999999999</v>
      </c>
      <c r="H1303" s="1">
        <v>-1.829593E-6</v>
      </c>
      <c r="I1303">
        <v>367.26580000000001</v>
      </c>
      <c r="J1303">
        <v>-247.10310000000001</v>
      </c>
      <c r="K1303">
        <v>1.104214</v>
      </c>
      <c r="L1303">
        <v>368.34879999999998</v>
      </c>
      <c r="M1303">
        <v>0.99988509999999997</v>
      </c>
      <c r="N1303">
        <v>0</v>
      </c>
      <c r="O1303">
        <v>-5.6438929999999997E-3</v>
      </c>
      <c r="P1303">
        <v>0.99664089999999905</v>
      </c>
      <c r="Q1303">
        <v>-3.3497879999999998E-3</v>
      </c>
      <c r="R1303">
        <v>8.182884E-2</v>
      </c>
      <c r="S1303">
        <v>3.0229029999999999</v>
      </c>
      <c r="T1303">
        <v>-0.16210620000000001</v>
      </c>
      <c r="U1303">
        <v>-0.15917970000000001</v>
      </c>
      <c r="V1303">
        <v>-8.7434020000000001E-2</v>
      </c>
      <c r="W1303">
        <v>1.082954E-2</v>
      </c>
      <c r="X1303">
        <v>0.99611149999999904</v>
      </c>
      <c r="Y1303">
        <v>4.6888449999999998E-2</v>
      </c>
      <c r="Z1303">
        <v>-9.5319839999999996E-4</v>
      </c>
      <c r="AA1303">
        <v>0.99889969999999995</v>
      </c>
      <c r="AB1303">
        <v>28</v>
      </c>
      <c r="AC1303">
        <v>20.437200000000001</v>
      </c>
      <c r="AD1303">
        <v>-1.104215829593</v>
      </c>
      <c r="AE1303">
        <v>-1.08299999999997</v>
      </c>
      <c r="AF1303">
        <v>0.96481734440455802</v>
      </c>
      <c r="AG1303">
        <v>-1.104215829593</v>
      </c>
      <c r="AH1303">
        <v>20.383649873436301</v>
      </c>
      <c r="AI1303">
        <v>93.097314896523002</v>
      </c>
      <c r="AJ1303">
        <v>87.290046952406001</v>
      </c>
      <c r="AK1303">
        <v>20.436324211296601</v>
      </c>
    </row>
    <row r="1304" spans="1:37" x14ac:dyDescent="0.2">
      <c r="A1304" t="str">
        <f>"20200111155523110"</f>
        <v>20200111155523110</v>
      </c>
      <c r="B1304" t="str">
        <f>"1578729323103504"</f>
        <v>1578729323103504</v>
      </c>
      <c r="C1304" t="s">
        <v>37</v>
      </c>
      <c r="D1304">
        <v>5.6316189999999997</v>
      </c>
      <c r="E1304">
        <v>0.55104160000000002</v>
      </c>
      <c r="F1304" t="s">
        <v>40</v>
      </c>
      <c r="G1304">
        <v>-246.12549999999999</v>
      </c>
      <c r="H1304">
        <v>1.051021</v>
      </c>
      <c r="I1304">
        <v>368.2971</v>
      </c>
      <c r="J1304">
        <v>-246.94810000000001</v>
      </c>
      <c r="K1304">
        <v>1.1042080000000001</v>
      </c>
      <c r="L1304">
        <v>368.34739999999999</v>
      </c>
      <c r="M1304">
        <v>0.99988189999999999</v>
      </c>
      <c r="N1304">
        <v>0</v>
      </c>
      <c r="O1304">
        <v>-6.180268E-3</v>
      </c>
      <c r="P1304">
        <v>0.99666109999999897</v>
      </c>
      <c r="Q1304">
        <v>-3.8097059999999999E-3</v>
      </c>
      <c r="R1304">
        <v>8.1560270000000004E-2</v>
      </c>
      <c r="S1304">
        <v>3.022659</v>
      </c>
      <c r="T1304">
        <v>-0.16460229999999901</v>
      </c>
      <c r="U1304">
        <v>-0.1596069</v>
      </c>
      <c r="V1304">
        <v>-8.7700899999999901E-2</v>
      </c>
      <c r="W1304">
        <v>1.0367990000000001E-2</v>
      </c>
      <c r="X1304">
        <v>0.99609289999999995</v>
      </c>
      <c r="Y1304">
        <v>4.6497169999999997E-2</v>
      </c>
      <c r="Z1304">
        <v>-9.2812289999999996E-4</v>
      </c>
      <c r="AA1304">
        <v>0.99891799999999997</v>
      </c>
      <c r="AB1304">
        <v>28</v>
      </c>
      <c r="AC1304">
        <v>0.82260000000002198</v>
      </c>
      <c r="AD1304">
        <v>-5.3186999999999998E-2</v>
      </c>
      <c r="AE1304">
        <v>-5.0299999999992899E-2</v>
      </c>
      <c r="AF1304">
        <v>4.5027110417567198E-2</v>
      </c>
      <c r="AG1304">
        <v>-5.3186999999999998E-2</v>
      </c>
      <c r="AH1304">
        <v>0.81948205990298095</v>
      </c>
      <c r="AI1304">
        <v>93.707893194142301</v>
      </c>
      <c r="AJ1304">
        <v>86.854999065577104</v>
      </c>
      <c r="AK1304">
        <v>0.82243975107261702</v>
      </c>
    </row>
    <row r="1305" spans="1:37" x14ac:dyDescent="0.2">
      <c r="A1305" t="str">
        <f>"20200111155523123"</f>
        <v>20200111155523123</v>
      </c>
      <c r="B1305" t="str">
        <f>"1578729323113263"</f>
        <v>1578729323113263</v>
      </c>
      <c r="C1305" t="s">
        <v>37</v>
      </c>
      <c r="D1305">
        <v>6.0637339999999904</v>
      </c>
      <c r="E1305">
        <v>0.54551319999999903</v>
      </c>
      <c r="F1305" t="s">
        <v>38</v>
      </c>
      <c r="G1305">
        <v>-226.84649999999999</v>
      </c>
      <c r="H1305" s="1">
        <v>-1.7494769999999999E-6</v>
      </c>
      <c r="I1305">
        <v>367.28070000000002</v>
      </c>
      <c r="J1305">
        <v>-246.78989999999999</v>
      </c>
      <c r="K1305">
        <v>1.104204</v>
      </c>
      <c r="L1305">
        <v>368.3458</v>
      </c>
      <c r="M1305">
        <v>0.99987839999999995</v>
      </c>
      <c r="N1305">
        <v>0</v>
      </c>
      <c r="O1305">
        <v>-6.7274839999999997E-3</v>
      </c>
      <c r="P1305">
        <v>0.99666449999999995</v>
      </c>
      <c r="Q1305">
        <v>-4.2236840000000001E-3</v>
      </c>
      <c r="R1305">
        <v>8.1500710000000004E-2</v>
      </c>
      <c r="S1305">
        <v>3.0225369999999998</v>
      </c>
      <c r="T1305">
        <v>-0.16603119999999999</v>
      </c>
      <c r="U1305">
        <v>-0.16036989999999901</v>
      </c>
      <c r="V1305">
        <v>-8.8187169999999995E-2</v>
      </c>
      <c r="W1305">
        <v>9.9522059999999999E-3</v>
      </c>
      <c r="X1305">
        <v>0.9960542</v>
      </c>
      <c r="Y1305">
        <v>4.6204269999999999E-2</v>
      </c>
      <c r="Z1305">
        <v>-8.9815149999999998E-4</v>
      </c>
      <c r="AA1305">
        <v>0.99893159999999903</v>
      </c>
      <c r="AB1305">
        <v>28</v>
      </c>
      <c r="AC1305">
        <v>19.9434</v>
      </c>
      <c r="AD1305">
        <v>-1.1042057494769999</v>
      </c>
      <c r="AE1305">
        <v>-1.06509999999997</v>
      </c>
      <c r="AF1305">
        <v>0.92805683934139305</v>
      </c>
      <c r="AG1305">
        <v>-1.1042057494769999</v>
      </c>
      <c r="AH1305">
        <v>19.8893174125479</v>
      </c>
      <c r="AI1305">
        <v>93.174211456622004</v>
      </c>
      <c r="AJ1305">
        <v>87.3284553543795</v>
      </c>
      <c r="AK1305">
        <v>19.9415522708567</v>
      </c>
    </row>
    <row r="1306" spans="1:37" x14ac:dyDescent="0.2">
      <c r="A1306" t="str">
        <f>"20200111155523137"</f>
        <v>20200111155523137</v>
      </c>
      <c r="B1306" t="str">
        <f>"1578729323133760"</f>
        <v>1578729323133760</v>
      </c>
      <c r="C1306" t="s">
        <v>37</v>
      </c>
      <c r="D1306">
        <v>5.2726709999999999</v>
      </c>
      <c r="E1306">
        <v>0.54526889999999995</v>
      </c>
      <c r="F1306" t="s">
        <v>42</v>
      </c>
      <c r="G1306">
        <v>-192.93</v>
      </c>
      <c r="H1306" s="1">
        <v>-6.8388359999999998E-6</v>
      </c>
      <c r="I1306">
        <v>366.25490000000002</v>
      </c>
      <c r="J1306">
        <v>-246.62049999999999</v>
      </c>
      <c r="K1306">
        <v>1.1041989999999999</v>
      </c>
      <c r="L1306">
        <v>368.34399999999999</v>
      </c>
      <c r="M1306">
        <v>0.99987429999999999</v>
      </c>
      <c r="N1306">
        <v>0</v>
      </c>
      <c r="O1306">
        <v>-7.3129559999999998E-3</v>
      </c>
      <c r="P1306">
        <v>0.9966912</v>
      </c>
      <c r="Q1306">
        <v>-3.5657750000000002E-3</v>
      </c>
      <c r="R1306">
        <v>8.120397E-2</v>
      </c>
      <c r="S1306">
        <v>3.0193629999999998</v>
      </c>
      <c r="T1306">
        <v>-6.1901570000000003E-2</v>
      </c>
      <c r="U1306">
        <v>-0.117218</v>
      </c>
      <c r="V1306">
        <v>-8.8472480000000006E-2</v>
      </c>
      <c r="W1306">
        <v>1.0608299999999999E-2</v>
      </c>
      <c r="X1306">
        <v>0.99602209999999902</v>
      </c>
      <c r="Y1306">
        <v>3.1478590000000001E-2</v>
      </c>
      <c r="Z1306">
        <v>-1.7266119999999999E-4</v>
      </c>
      <c r="AA1306">
        <v>0.99950439999999996</v>
      </c>
      <c r="AB1306">
        <v>28</v>
      </c>
      <c r="AC1306">
        <v>53.690499999999901</v>
      </c>
      <c r="AD1306">
        <v>-1.1042058388359901</v>
      </c>
      <c r="AE1306">
        <v>-2.08909999999997</v>
      </c>
      <c r="AF1306">
        <v>1.69565288530127</v>
      </c>
      <c r="AG1306">
        <v>-1.1042058388359901</v>
      </c>
      <c r="AH1306">
        <v>53.681671855525003</v>
      </c>
      <c r="AI1306">
        <v>91.177792839229696</v>
      </c>
      <c r="AJ1306">
        <v>88.190789181996095</v>
      </c>
      <c r="AK1306">
        <v>53.719795256927597</v>
      </c>
    </row>
    <row r="1307" spans="1:37" x14ac:dyDescent="0.2">
      <c r="A1307" t="str">
        <f>"20200111155523152"</f>
        <v>20200111155523152</v>
      </c>
      <c r="B1307" t="str">
        <f>"1578729323143519"</f>
        <v>1578729323143519</v>
      </c>
      <c r="C1307" t="s">
        <v>37</v>
      </c>
      <c r="D1307">
        <v>5.2488149999999996</v>
      </c>
      <c r="E1307">
        <v>0.54509339999999995</v>
      </c>
      <c r="F1307" t="s">
        <v>38</v>
      </c>
      <c r="G1307">
        <v>-217.06870000000001</v>
      </c>
      <c r="H1307" s="1">
        <v>-1.666045E-6</v>
      </c>
      <c r="I1307">
        <v>367.21359999999999</v>
      </c>
      <c r="J1307">
        <v>-246.44739999999999</v>
      </c>
      <c r="K1307">
        <v>1.104201</v>
      </c>
      <c r="L1307">
        <v>368.34210000000002</v>
      </c>
      <c r="M1307">
        <v>0.99986980000000003</v>
      </c>
      <c r="N1307">
        <v>0</v>
      </c>
      <c r="O1307">
        <v>-7.9081869999999901E-3</v>
      </c>
      <c r="P1307">
        <v>0.99674119999999999</v>
      </c>
      <c r="Q1307">
        <v>-3.1902990000000002E-3</v>
      </c>
      <c r="R1307">
        <v>8.0603610000000006E-2</v>
      </c>
      <c r="S1307">
        <v>3.0189509999999999</v>
      </c>
      <c r="T1307">
        <v>-0.1128029</v>
      </c>
      <c r="U1307">
        <v>-0.1154785</v>
      </c>
      <c r="V1307">
        <v>-8.8465009999999997E-2</v>
      </c>
      <c r="W1307">
        <v>1.0981640000000001E-2</v>
      </c>
      <c r="X1307">
        <v>0.99601879999999998</v>
      </c>
      <c r="Y1307">
        <v>3.0303259999999999E-2</v>
      </c>
      <c r="Z1307">
        <v>-2.7044189999999999E-4</v>
      </c>
      <c r="AA1307">
        <v>0.99954069999999995</v>
      </c>
      <c r="AB1307">
        <v>28</v>
      </c>
      <c r="AC1307">
        <v>29.378699999999899</v>
      </c>
      <c r="AD1307">
        <v>-1.1042026660449999</v>
      </c>
      <c r="AE1307">
        <v>-1.12850000000003</v>
      </c>
      <c r="AF1307">
        <v>0.89484722775937298</v>
      </c>
      <c r="AG1307">
        <v>-1.1042026660449999</v>
      </c>
      <c r="AH1307">
        <v>29.3453130359241</v>
      </c>
      <c r="AI1307">
        <v>92.153903303658694</v>
      </c>
      <c r="AJ1307">
        <v>88.253380819304894</v>
      </c>
      <c r="AK1307">
        <v>29.379710894852298</v>
      </c>
    </row>
    <row r="1308" spans="1:37" x14ac:dyDescent="0.2">
      <c r="A1308" t="str">
        <f>"20200111155523164"</f>
        <v>20200111155523164</v>
      </c>
      <c r="B1308" t="str">
        <f>"1578729323153280"</f>
        <v>1578729323153280</v>
      </c>
      <c r="C1308" t="s">
        <v>37</v>
      </c>
      <c r="D1308">
        <v>5.2720640000000003</v>
      </c>
      <c r="E1308">
        <v>0.54518580000000005</v>
      </c>
      <c r="F1308" t="s">
        <v>38</v>
      </c>
      <c r="G1308">
        <v>-219.24700000000001</v>
      </c>
      <c r="H1308" s="1">
        <v>-8.5992269999999903E-7</v>
      </c>
      <c r="I1308">
        <v>367.2953</v>
      </c>
      <c r="J1308">
        <v>-246.28880000000001</v>
      </c>
      <c r="K1308">
        <v>1.1042049999999899</v>
      </c>
      <c r="L1308">
        <v>368.34019999999998</v>
      </c>
      <c r="M1308">
        <v>0.99986549999999996</v>
      </c>
      <c r="N1308">
        <v>0</v>
      </c>
      <c r="O1308">
        <v>-8.4515570000000002E-3</v>
      </c>
      <c r="P1308">
        <v>0.99678949999999999</v>
      </c>
      <c r="Q1308">
        <v>-2.3828029999999902E-3</v>
      </c>
      <c r="R1308">
        <v>8.0033770000000004E-2</v>
      </c>
      <c r="S1308">
        <v>3.0188139999999999</v>
      </c>
      <c r="T1308">
        <v>-0.12254859999999999</v>
      </c>
      <c r="U1308">
        <v>-0.116180399999999</v>
      </c>
      <c r="V1308">
        <v>-8.8435699999999895E-2</v>
      </c>
      <c r="W1308">
        <v>1.178649E-2</v>
      </c>
      <c r="X1308">
        <v>0.99601219999999901</v>
      </c>
      <c r="Y1308">
        <v>2.9991759999999999E-2</v>
      </c>
      <c r="Z1308">
        <v>-2.6544200000000001E-4</v>
      </c>
      <c r="AA1308">
        <v>0.9995501</v>
      </c>
      <c r="AB1308">
        <v>28</v>
      </c>
      <c r="AC1308">
        <v>27.041799999999899</v>
      </c>
      <c r="AD1308">
        <v>-1.10420585992269</v>
      </c>
      <c r="AE1308">
        <v>-1.04489999999998</v>
      </c>
      <c r="AF1308">
        <v>0.81493801381379405</v>
      </c>
      <c r="AG1308">
        <v>-1.10420585992269</v>
      </c>
      <c r="AH1308">
        <v>27.004706523513601</v>
      </c>
      <c r="AI1308">
        <v>92.340420594973494</v>
      </c>
      <c r="AJ1308">
        <v>88.271473813906894</v>
      </c>
      <c r="AK1308">
        <v>27.039555635559999</v>
      </c>
    </row>
    <row r="1309" spans="1:37" x14ac:dyDescent="0.2">
      <c r="A1309" t="str">
        <f>"20200111155523177"</f>
        <v>20200111155523177</v>
      </c>
      <c r="B1309" t="str">
        <f>"1578729323173775"</f>
        <v>1578729323173775</v>
      </c>
      <c r="C1309" t="s">
        <v>37</v>
      </c>
      <c r="D1309">
        <v>5.257155</v>
      </c>
      <c r="E1309">
        <v>0.54507819999999996</v>
      </c>
      <c r="F1309" t="s">
        <v>38</v>
      </c>
      <c r="G1309">
        <v>-220.477</v>
      </c>
      <c r="H1309" s="1">
        <v>-4.4735789999999999E-6</v>
      </c>
      <c r="I1309">
        <v>367.32799999999997</v>
      </c>
      <c r="J1309">
        <v>-246.1293</v>
      </c>
      <c r="K1309">
        <v>1.104212</v>
      </c>
      <c r="L1309">
        <v>368.3383</v>
      </c>
      <c r="M1309">
        <v>0.99986070000000005</v>
      </c>
      <c r="N1309">
        <v>0</v>
      </c>
      <c r="O1309">
        <v>-8.9949130000000002E-3</v>
      </c>
      <c r="P1309">
        <v>0.99682530000000003</v>
      </c>
      <c r="Q1309">
        <v>-2.0381969999999998E-3</v>
      </c>
      <c r="R1309">
        <v>7.9594280000000003E-2</v>
      </c>
      <c r="S1309">
        <v>3.0188599999999899</v>
      </c>
      <c r="T1309">
        <v>-0.12914419999999999</v>
      </c>
      <c r="U1309">
        <v>-0.1183777</v>
      </c>
      <c r="V1309">
        <v>-8.8537450000000004E-2</v>
      </c>
      <c r="W1309">
        <v>1.212884E-2</v>
      </c>
      <c r="X1309">
        <v>0.99599899999999997</v>
      </c>
      <c r="Y1309">
        <v>3.0172790000000001E-2</v>
      </c>
      <c r="Z1309">
        <v>-2.6035199999999999E-4</v>
      </c>
      <c r="AA1309">
        <v>0.99954469999999995</v>
      </c>
      <c r="AB1309">
        <v>27</v>
      </c>
      <c r="AC1309">
        <v>25.6523</v>
      </c>
      <c r="AD1309">
        <v>-1.1042164735789901</v>
      </c>
      <c r="AE1309">
        <v>-1.01029999999997</v>
      </c>
      <c r="AF1309">
        <v>0.77805666341163904</v>
      </c>
      <c r="AG1309">
        <v>-1.1042164735789901</v>
      </c>
      <c r="AH1309">
        <v>25.6129653059883</v>
      </c>
      <c r="AI1309">
        <v>92.467448556147303</v>
      </c>
      <c r="AJ1309">
        <v>88.260035195785605</v>
      </c>
      <c r="AK1309">
        <v>25.6485605435814</v>
      </c>
    </row>
    <row r="1310" spans="1:37" x14ac:dyDescent="0.2">
      <c r="A1310" t="str">
        <f>"20200111155523189"</f>
        <v>20200111155523189</v>
      </c>
      <c r="B1310" t="str">
        <f>"1578729323183535"</f>
        <v>1578729323183535</v>
      </c>
      <c r="C1310" t="s">
        <v>37</v>
      </c>
      <c r="D1310">
        <v>5.2985049999999996</v>
      </c>
      <c r="E1310">
        <v>0.54499690000000001</v>
      </c>
      <c r="F1310" t="s">
        <v>38</v>
      </c>
      <c r="G1310">
        <v>-222.23589999999999</v>
      </c>
      <c r="H1310" s="1">
        <v>-3.7067110000000001E-6</v>
      </c>
      <c r="I1310">
        <v>367.39749999999998</v>
      </c>
      <c r="J1310">
        <v>-245.9854</v>
      </c>
      <c r="K1310">
        <v>1.1042179999999999</v>
      </c>
      <c r="L1310">
        <v>368.3365</v>
      </c>
      <c r="M1310">
        <v>0.99985619999999997</v>
      </c>
      <c r="N1310">
        <v>0</v>
      </c>
      <c r="O1310">
        <v>-9.4812799999999999E-3</v>
      </c>
      <c r="P1310">
        <v>0.9968939</v>
      </c>
      <c r="Q1310">
        <v>-1.6522570000000001E-3</v>
      </c>
      <c r="R1310">
        <v>7.8739260000000005E-2</v>
      </c>
      <c r="S1310">
        <v>3.0187680000000001</v>
      </c>
      <c r="T1310">
        <v>-0.1395092</v>
      </c>
      <c r="U1310">
        <v>-0.118866</v>
      </c>
      <c r="V1310">
        <v>-8.8167040000000002E-2</v>
      </c>
      <c r="W1310">
        <v>1.2511710000000001E-2</v>
      </c>
      <c r="X1310">
        <v>0.99602710000000005</v>
      </c>
      <c r="Y1310">
        <v>2.984682E-2</v>
      </c>
      <c r="Z1310">
        <v>-2.51253E-4</v>
      </c>
      <c r="AA1310">
        <v>0.99955450000000001</v>
      </c>
      <c r="AB1310">
        <v>27</v>
      </c>
      <c r="AC1310">
        <v>23.749500000000001</v>
      </c>
      <c r="AD1310">
        <v>-1.1042217067109901</v>
      </c>
      <c r="AE1310">
        <v>-0.93900000000002104</v>
      </c>
      <c r="AF1310">
        <v>0.71222262795303903</v>
      </c>
      <c r="AG1310">
        <v>-1.1042217067109901</v>
      </c>
      <c r="AH1310">
        <v>23.7061694815804</v>
      </c>
      <c r="AI1310">
        <v>92.665680539341906</v>
      </c>
      <c r="AJ1310">
        <v>88.279136602778195</v>
      </c>
      <c r="AK1310">
        <v>23.7425575315456</v>
      </c>
    </row>
    <row r="1311" spans="1:37" x14ac:dyDescent="0.2">
      <c r="A1311" t="str">
        <f>"20200111155523201"</f>
        <v>20200111155523201</v>
      </c>
      <c r="B1311" t="str">
        <f>"1578729323193295"</f>
        <v>1578729323193295</v>
      </c>
      <c r="C1311" t="s">
        <v>37</v>
      </c>
      <c r="D1311">
        <v>5.3073600000000001</v>
      </c>
      <c r="E1311">
        <v>0.54490269999999996</v>
      </c>
      <c r="F1311" t="s">
        <v>38</v>
      </c>
      <c r="G1311">
        <v>-222.18809999999999</v>
      </c>
      <c r="H1311" s="1">
        <v>-3.7294639999999999E-6</v>
      </c>
      <c r="I1311">
        <v>367.38470000000001</v>
      </c>
      <c r="J1311">
        <v>-245.8389</v>
      </c>
      <c r="K1311">
        <v>1.1042289999999999</v>
      </c>
      <c r="L1311">
        <v>368.33460000000002</v>
      </c>
      <c r="M1311">
        <v>0.99985139999999995</v>
      </c>
      <c r="N1311">
        <v>0</v>
      </c>
      <c r="O1311">
        <v>-9.9741969999999902E-3</v>
      </c>
      <c r="P1311">
        <v>0.99693600000000004</v>
      </c>
      <c r="Q1311">
        <v>-1.6564779999999901E-3</v>
      </c>
      <c r="R1311">
        <v>7.8205730000000001E-2</v>
      </c>
      <c r="S1311">
        <v>3.0186459999999999</v>
      </c>
      <c r="T1311">
        <v>-0.14006840000000001</v>
      </c>
      <c r="U1311">
        <v>-0.1207275</v>
      </c>
      <c r="V1311">
        <v>-8.812528E-2</v>
      </c>
      <c r="W1311">
        <v>1.2505509999999999E-2</v>
      </c>
      <c r="X1311">
        <v>0.99603090000000005</v>
      </c>
      <c r="Y1311">
        <v>2.9971310000000001E-2</v>
      </c>
      <c r="Z1311">
        <v>-2.323022E-4</v>
      </c>
      <c r="AA1311">
        <v>0.99955079999999996</v>
      </c>
      <c r="AB1311">
        <v>27</v>
      </c>
      <c r="AC1311">
        <v>23.6508</v>
      </c>
      <c r="AD1311">
        <v>-1.104232729464</v>
      </c>
      <c r="AE1311">
        <v>-0.94990000000001296</v>
      </c>
      <c r="AF1311">
        <v>0.71238128576266901</v>
      </c>
      <c r="AG1311">
        <v>-1.104232729464</v>
      </c>
      <c r="AH1311">
        <v>23.607719960942301</v>
      </c>
      <c r="AI1311">
        <v>92.676796961079802</v>
      </c>
      <c r="AJ1311">
        <v>88.271579844824601</v>
      </c>
      <c r="AK1311">
        <v>23.644264817739501</v>
      </c>
    </row>
    <row r="1312" spans="1:37" x14ac:dyDescent="0.2">
      <c r="A1312" t="str">
        <f>"20200111155523215"</f>
        <v>20200111155523215</v>
      </c>
      <c r="B1312" t="str">
        <f>"1578729323213790"</f>
        <v>1578729323213790</v>
      </c>
      <c r="C1312" t="s">
        <v>37</v>
      </c>
      <c r="D1312">
        <v>5.3343699999999998</v>
      </c>
      <c r="E1312">
        <v>0.54498139999999995</v>
      </c>
      <c r="F1312" t="s">
        <v>38</v>
      </c>
      <c r="G1312">
        <v>-222.28530000000001</v>
      </c>
      <c r="H1312" s="1">
        <v>-3.68775E-6</v>
      </c>
      <c r="I1312">
        <v>367.38490000000002</v>
      </c>
      <c r="J1312">
        <v>-245.65629999999999</v>
      </c>
      <c r="K1312">
        <v>1.10425</v>
      </c>
      <c r="L1312">
        <v>368.33210000000003</v>
      </c>
      <c r="M1312">
        <v>0.99984509999999904</v>
      </c>
      <c r="N1312">
        <v>0</v>
      </c>
      <c r="O1312">
        <v>-1.058305E-2</v>
      </c>
      <c r="P1312">
        <v>0.99703109999999995</v>
      </c>
      <c r="Q1312">
        <v>-1.9788000000000002E-3</v>
      </c>
      <c r="R1312">
        <v>7.6974059999999997E-2</v>
      </c>
      <c r="S1312">
        <v>3.0185390000000001</v>
      </c>
      <c r="T1312">
        <v>-0.14151359999999999</v>
      </c>
      <c r="U1312">
        <v>-0.1217041</v>
      </c>
      <c r="V1312">
        <v>-8.7502010000000005E-2</v>
      </c>
      <c r="W1312">
        <v>1.2178899999999999E-2</v>
      </c>
      <c r="X1312">
        <v>0.99608989999999997</v>
      </c>
      <c r="Y1312">
        <v>2.9687430000000001E-2</v>
      </c>
      <c r="Z1312">
        <v>-1.9954019999999999E-4</v>
      </c>
      <c r="AA1312">
        <v>0.99955919999999898</v>
      </c>
      <c r="AB1312">
        <v>27</v>
      </c>
      <c r="AC1312">
        <v>23.370999999999899</v>
      </c>
      <c r="AD1312">
        <v>-1.10425368775</v>
      </c>
      <c r="AE1312">
        <v>-0.94720000000000903</v>
      </c>
      <c r="AF1312">
        <v>0.698229808810783</v>
      </c>
      <c r="AG1312">
        <v>-1.10425368775</v>
      </c>
      <c r="AH1312">
        <v>23.327723434174199</v>
      </c>
      <c r="AI1312">
        <v>92.708949468372694</v>
      </c>
      <c r="AJ1312">
        <v>88.285572919304002</v>
      </c>
      <c r="AK1312">
        <v>23.364280038001201</v>
      </c>
    </row>
    <row r="1313" spans="1:37" x14ac:dyDescent="0.2">
      <c r="A1313" t="str">
        <f>"20200111155523229"</f>
        <v>20200111155523229</v>
      </c>
      <c r="B1313" t="str">
        <f>"1578729323223551"</f>
        <v>1578729323223551</v>
      </c>
      <c r="C1313" t="s">
        <v>37</v>
      </c>
      <c r="D1313">
        <v>5.268777</v>
      </c>
      <c r="E1313">
        <v>0.54480280000000003</v>
      </c>
      <c r="F1313" t="s">
        <v>38</v>
      </c>
      <c r="G1313">
        <v>-222.89920000000001</v>
      </c>
      <c r="H1313" s="1">
        <v>-3.4246510000000001E-6</v>
      </c>
      <c r="I1313">
        <v>367.38339999999999</v>
      </c>
      <c r="J1313">
        <v>-245.5033</v>
      </c>
      <c r="K1313">
        <v>1.1042639999999999</v>
      </c>
      <c r="L1313">
        <v>368.32990000000001</v>
      </c>
      <c r="M1313">
        <v>0.99983979999999995</v>
      </c>
      <c r="N1313">
        <v>0</v>
      </c>
      <c r="O1313">
        <v>-1.1087609999999999E-2</v>
      </c>
      <c r="P1313">
        <v>0.99707420000000002</v>
      </c>
      <c r="Q1313">
        <v>-2.0661479999999999E-3</v>
      </c>
      <c r="R1313">
        <v>7.6411899999999894E-2</v>
      </c>
      <c r="S1313">
        <v>3.0183409999999999</v>
      </c>
      <c r="T1313">
        <v>-0.1464599</v>
      </c>
      <c r="U1313">
        <v>-0.12582399999999999</v>
      </c>
      <c r="V1313">
        <v>-8.7443199999999999E-2</v>
      </c>
      <c r="W1313">
        <v>1.208878E-2</v>
      </c>
      <c r="X1313">
        <v>0.99609609999999904</v>
      </c>
      <c r="Y1313">
        <v>3.0545799999999901E-2</v>
      </c>
      <c r="Z1313">
        <v>-2.0286290000000001E-4</v>
      </c>
      <c r="AA1313">
        <v>0.99953340000000002</v>
      </c>
      <c r="AB1313">
        <v>27</v>
      </c>
      <c r="AC1313">
        <v>22.604099999999899</v>
      </c>
      <c r="AD1313">
        <v>-1.10426742465099</v>
      </c>
      <c r="AE1313">
        <v>-0.946500000000014</v>
      </c>
      <c r="AF1313">
        <v>0.69413790834745204</v>
      </c>
      <c r="AG1313">
        <v>-1.10426742465099</v>
      </c>
      <c r="AH1313">
        <v>22.559460238359001</v>
      </c>
      <c r="AI1313">
        <v>92.801022062401699</v>
      </c>
      <c r="AJ1313">
        <v>88.237607275685505</v>
      </c>
      <c r="AK1313">
        <v>22.5971343366156</v>
      </c>
    </row>
    <row r="1314" spans="1:37" x14ac:dyDescent="0.2">
      <c r="A1314" t="str">
        <f>"20200111155523242"</f>
        <v>20200111155523242</v>
      </c>
      <c r="B1314" t="str">
        <f>"1578729323233311"</f>
        <v>1578729323233311</v>
      </c>
      <c r="C1314" t="s">
        <v>37</v>
      </c>
      <c r="D1314">
        <v>5.2837540000000001</v>
      </c>
      <c r="E1314">
        <v>0.54454230000000003</v>
      </c>
      <c r="F1314" t="s">
        <v>38</v>
      </c>
      <c r="G1314">
        <v>-223.27860000000001</v>
      </c>
      <c r="H1314" s="1">
        <v>-3.25899699999999E-6</v>
      </c>
      <c r="I1314">
        <v>367.3997</v>
      </c>
      <c r="J1314">
        <v>-245.3356</v>
      </c>
      <c r="K1314">
        <v>1.104282</v>
      </c>
      <c r="L1314">
        <v>368.32740000000001</v>
      </c>
      <c r="M1314">
        <v>0.99983349999999904</v>
      </c>
      <c r="N1314">
        <v>0</v>
      </c>
      <c r="O1314">
        <v>-1.1636499999999999E-2</v>
      </c>
      <c r="P1314">
        <v>0.99712179999999995</v>
      </c>
      <c r="Q1314">
        <v>-2.0163720000000002E-3</v>
      </c>
      <c r="R1314">
        <v>7.579081E-2</v>
      </c>
      <c r="S1314">
        <v>3.018173</v>
      </c>
      <c r="T1314">
        <v>-0.1499616</v>
      </c>
      <c r="U1314">
        <v>-0.12631229999999999</v>
      </c>
      <c r="V1314">
        <v>-8.7369530000000001E-2</v>
      </c>
      <c r="W1314">
        <v>1.213503E-2</v>
      </c>
      <c r="X1314">
        <v>0.99610200000000004</v>
      </c>
      <c r="Y1314">
        <v>3.0160860000000001E-2</v>
      </c>
      <c r="Z1314">
        <v>-1.709232E-4</v>
      </c>
      <c r="AA1314">
        <v>0.99954500000000002</v>
      </c>
      <c r="AB1314">
        <v>27</v>
      </c>
      <c r="AC1314">
        <v>22.056999999999899</v>
      </c>
      <c r="AD1314">
        <v>-1.104285258997</v>
      </c>
      <c r="AE1314">
        <v>-0.92770000000001496</v>
      </c>
      <c r="AF1314">
        <v>0.66927096517283102</v>
      </c>
      <c r="AG1314">
        <v>-1.104285258997</v>
      </c>
      <c r="AH1314">
        <v>22.011228585191901</v>
      </c>
      <c r="AI1314">
        <v>92.870749691359194</v>
      </c>
      <c r="AJ1314">
        <v>88.258407487620403</v>
      </c>
      <c r="AK1314">
        <v>22.049071485838901</v>
      </c>
    </row>
    <row r="1315" spans="1:37" x14ac:dyDescent="0.2">
      <c r="A1315" t="str">
        <f>"20200111155523255"</f>
        <v>20200111155523255</v>
      </c>
      <c r="B1315" t="str">
        <f>"1578729323244047"</f>
        <v>1578729323244047</v>
      </c>
      <c r="C1315" t="s">
        <v>37</v>
      </c>
      <c r="D1315">
        <v>5.2681760000000004</v>
      </c>
      <c r="E1315">
        <v>0.54424410000000001</v>
      </c>
      <c r="F1315" t="s">
        <v>38</v>
      </c>
      <c r="G1315">
        <v>-223.3091</v>
      </c>
      <c r="H1315" s="1">
        <v>-3.2442639999999999E-6</v>
      </c>
      <c r="I1315">
        <v>367.40899999999999</v>
      </c>
      <c r="J1315">
        <v>-245.17339999999999</v>
      </c>
      <c r="K1315">
        <v>1.1042989999999999</v>
      </c>
      <c r="L1315">
        <v>368.32499999999999</v>
      </c>
      <c r="M1315">
        <v>0.99982739999999903</v>
      </c>
      <c r="N1315">
        <v>0</v>
      </c>
      <c r="O1315">
        <v>-1.216191E-2</v>
      </c>
      <c r="P1315">
        <v>0.99717639999999996</v>
      </c>
      <c r="Q1315">
        <v>-1.9232209999999999E-3</v>
      </c>
      <c r="R1315">
        <v>7.5072630000000001E-2</v>
      </c>
      <c r="S1315">
        <v>3.01791399999999</v>
      </c>
      <c r="T1315">
        <v>-0.15130009999999999</v>
      </c>
      <c r="U1315">
        <v>-0.12582399999999999</v>
      </c>
      <c r="V1315">
        <v>-8.7175649999999993E-2</v>
      </c>
      <c r="W1315">
        <v>1.222467E-2</v>
      </c>
      <c r="X1315">
        <v>0.9961179</v>
      </c>
      <c r="Y1315">
        <v>2.9478839999999999E-2</v>
      </c>
      <c r="Z1315">
        <v>-1.2907350000000001E-4</v>
      </c>
      <c r="AA1315">
        <v>0.99956540000000005</v>
      </c>
      <c r="AB1315">
        <v>27</v>
      </c>
      <c r="AC1315">
        <v>21.864299999999901</v>
      </c>
      <c r="AD1315">
        <v>-1.10430224426399</v>
      </c>
      <c r="AE1315">
        <v>-0.91599999999999604</v>
      </c>
      <c r="AF1315">
        <v>0.64834335671117904</v>
      </c>
      <c r="AG1315">
        <v>-1.10430224426399</v>
      </c>
      <c r="AH1315">
        <v>21.8182638903689</v>
      </c>
      <c r="AI1315">
        <v>92.896200497511899</v>
      </c>
      <c r="AJ1315">
        <v>88.297920949935005</v>
      </c>
      <c r="AK1315">
        <v>21.855810937703801</v>
      </c>
    </row>
    <row r="1316" spans="1:37" x14ac:dyDescent="0.2">
      <c r="A1316" t="str">
        <f>"20200111155523268"</f>
        <v>20200111155523268</v>
      </c>
      <c r="B1316" t="str">
        <f>"1578729323263567"</f>
        <v>1578729323263567</v>
      </c>
      <c r="C1316" t="s">
        <v>37</v>
      </c>
      <c r="D1316">
        <v>5.260478</v>
      </c>
      <c r="E1316">
        <v>0.54387540000000001</v>
      </c>
      <c r="F1316" t="s">
        <v>38</v>
      </c>
      <c r="G1316">
        <v>-223.1353</v>
      </c>
      <c r="H1316" s="1">
        <v>-3.3191370000000001E-6</v>
      </c>
      <c r="I1316">
        <v>367.40719999999999</v>
      </c>
      <c r="J1316">
        <v>-245.0213</v>
      </c>
      <c r="K1316">
        <v>1.104312</v>
      </c>
      <c r="L1316">
        <v>368.32260000000002</v>
      </c>
      <c r="M1316">
        <v>0.99982130000000002</v>
      </c>
      <c r="N1316">
        <v>0</v>
      </c>
      <c r="O1316">
        <v>-1.2648589999999999E-2</v>
      </c>
      <c r="P1316">
        <v>0.99720989999999998</v>
      </c>
      <c r="Q1316">
        <v>-1.468827E-3</v>
      </c>
      <c r="R1316">
        <v>7.4635359999999998E-2</v>
      </c>
      <c r="S1316">
        <v>3.0176699999999999</v>
      </c>
      <c r="T1316">
        <v>-0.15121109999999999</v>
      </c>
      <c r="U1316">
        <v>-0.12567139999999999</v>
      </c>
      <c r="V1316">
        <v>-8.7223129999999996E-2</v>
      </c>
      <c r="W1316">
        <v>1.267573E-2</v>
      </c>
      <c r="X1316">
        <v>0.9961082</v>
      </c>
      <c r="Y1316">
        <v>2.8946489999999998E-2</v>
      </c>
      <c r="Z1316" s="1">
        <v>-9.1325959999999997E-5</v>
      </c>
      <c r="AA1316">
        <v>0.99958099999999905</v>
      </c>
      <c r="AB1316">
        <v>27</v>
      </c>
      <c r="AC1316">
        <v>21.885999999999999</v>
      </c>
      <c r="AD1316">
        <v>-1.1043153191370001</v>
      </c>
      <c r="AE1316">
        <v>-0.91540000000003297</v>
      </c>
      <c r="AF1316">
        <v>0.63685381201281499</v>
      </c>
      <c r="AG1316">
        <v>-1.1043153191370001</v>
      </c>
      <c r="AH1316">
        <v>21.8403207986137</v>
      </c>
      <c r="AI1316">
        <v>92.893361987721605</v>
      </c>
      <c r="AJ1316">
        <v>88.329754436747606</v>
      </c>
      <c r="AK1316">
        <v>21.877493176511599</v>
      </c>
    </row>
    <row r="1317" spans="1:37" x14ac:dyDescent="0.2">
      <c r="A1317" t="str">
        <f>"20200111155523281"</f>
        <v>20200111155523281</v>
      </c>
      <c r="B1317" t="str">
        <f>"1578729323273328"</f>
        <v>1578729323273328</v>
      </c>
      <c r="C1317" t="s">
        <v>37</v>
      </c>
      <c r="D1317">
        <v>5.200177</v>
      </c>
      <c r="E1317">
        <v>0.54364650000000003</v>
      </c>
      <c r="F1317" t="s">
        <v>38</v>
      </c>
      <c r="G1317">
        <v>-223.26519999999999</v>
      </c>
      <c r="H1317" s="1">
        <v>-3.25975E-6</v>
      </c>
      <c r="I1317">
        <v>367.42770000000002</v>
      </c>
      <c r="J1317">
        <v>-244.8663</v>
      </c>
      <c r="K1317">
        <v>1.104328</v>
      </c>
      <c r="L1317">
        <v>368.3202</v>
      </c>
      <c r="M1317">
        <v>0.99981500000000001</v>
      </c>
      <c r="N1317">
        <v>0</v>
      </c>
      <c r="O1317">
        <v>-1.3141099999999999E-2</v>
      </c>
      <c r="P1317">
        <v>0.99723729999999999</v>
      </c>
      <c r="Q1317">
        <v>-7.2926610000000004E-4</v>
      </c>
      <c r="R1317">
        <v>7.4280540000000006E-2</v>
      </c>
      <c r="S1317">
        <v>3.017471</v>
      </c>
      <c r="T1317">
        <v>-0.153163299999999</v>
      </c>
      <c r="U1317">
        <v>-0.124115</v>
      </c>
      <c r="V1317">
        <v>-8.7358610000000003E-2</v>
      </c>
      <c r="W1317">
        <v>1.341238E-2</v>
      </c>
      <c r="X1317">
        <v>0.99608669999999999</v>
      </c>
      <c r="Y1317">
        <v>2.79435E-2</v>
      </c>
      <c r="Z1317" s="1">
        <v>-4.2111260000000002E-5</v>
      </c>
      <c r="AA1317">
        <v>0.99960949999999904</v>
      </c>
      <c r="AB1317">
        <v>27</v>
      </c>
      <c r="AC1317">
        <v>21.601099999999999</v>
      </c>
      <c r="AD1317">
        <v>-1.1043312597499999</v>
      </c>
      <c r="AE1317">
        <v>-0.89249999999998397</v>
      </c>
      <c r="AF1317">
        <v>0.60694905275514899</v>
      </c>
      <c r="AG1317">
        <v>-1.1043312597499999</v>
      </c>
      <c r="AH1317">
        <v>21.554723571596501</v>
      </c>
      <c r="AI1317">
        <v>92.931758344964294</v>
      </c>
      <c r="AJ1317">
        <v>88.3870620220804</v>
      </c>
      <c r="AK1317">
        <v>21.591527109767899</v>
      </c>
    </row>
    <row r="1318" spans="1:37" x14ac:dyDescent="0.2">
      <c r="A1318" t="str">
        <f>"20200111155523293"</f>
        <v>20200111155523293</v>
      </c>
      <c r="B1318" t="str">
        <f>"1578729323284063"</f>
        <v>1578729323284063</v>
      </c>
      <c r="C1318" t="s">
        <v>37</v>
      </c>
      <c r="D1318">
        <v>5.2742379999999898</v>
      </c>
      <c r="E1318">
        <v>0.54348580000000002</v>
      </c>
      <c r="F1318" t="s">
        <v>38</v>
      </c>
      <c r="G1318">
        <v>-222.2782</v>
      </c>
      <c r="H1318" s="1">
        <v>-3.6889450000000001E-6</v>
      </c>
      <c r="I1318">
        <v>367.39530000000002</v>
      </c>
      <c r="J1318">
        <v>-244.7098</v>
      </c>
      <c r="K1318">
        <v>1.1043459999999901</v>
      </c>
      <c r="L1318">
        <v>368.31760000000003</v>
      </c>
      <c r="M1318">
        <v>0.99980840000000004</v>
      </c>
      <c r="N1318">
        <v>0</v>
      </c>
      <c r="O1318">
        <v>-1.3630990000000001E-2</v>
      </c>
      <c r="P1318">
        <v>0.99722980000000006</v>
      </c>
      <c r="Q1318">
        <v>1.0086209999999999E-3</v>
      </c>
      <c r="R1318">
        <v>7.4375189999999994E-2</v>
      </c>
      <c r="S1318">
        <v>3.017395</v>
      </c>
      <c r="T1318">
        <v>-0.1475195</v>
      </c>
      <c r="U1318">
        <v>-0.123535199999999</v>
      </c>
      <c r="V1318">
        <v>-8.7938719999999998E-2</v>
      </c>
      <c r="W1318">
        <v>1.5146929999999999E-2</v>
      </c>
      <c r="X1318">
        <v>0.99601070000000003</v>
      </c>
      <c r="Y1318">
        <v>2.726574E-2</v>
      </c>
      <c r="Z1318" s="1">
        <v>-8.7893569999999995E-8</v>
      </c>
      <c r="AA1318">
        <v>0.99962819999999997</v>
      </c>
      <c r="AB1318">
        <v>27</v>
      </c>
      <c r="AC1318">
        <v>22.4316</v>
      </c>
      <c r="AD1318">
        <v>-1.10434968894499</v>
      </c>
      <c r="AE1318">
        <v>-0.922300000000007</v>
      </c>
      <c r="AF1318">
        <v>0.61493126205140503</v>
      </c>
      <c r="AG1318">
        <v>-1.10434968894499</v>
      </c>
      <c r="AH1318">
        <v>22.387916908693398</v>
      </c>
      <c r="AI1318">
        <v>92.822930483948198</v>
      </c>
      <c r="AJ1318">
        <v>88.426646402590194</v>
      </c>
      <c r="AK1318">
        <v>22.423571352554099</v>
      </c>
    </row>
    <row r="1319" spans="1:37" x14ac:dyDescent="0.2">
      <c r="A1319" t="str">
        <f>"20200111155523307"</f>
        <v>20200111155523307</v>
      </c>
      <c r="B1319" t="str">
        <f>"1578729323303584"</f>
        <v>1578729323303584</v>
      </c>
      <c r="C1319" t="s">
        <v>37</v>
      </c>
      <c r="D1319">
        <v>5.2899849999999997</v>
      </c>
      <c r="E1319">
        <v>0.54330959999999995</v>
      </c>
      <c r="F1319" t="s">
        <v>38</v>
      </c>
      <c r="G1319">
        <v>-221.44059999999999</v>
      </c>
      <c r="H1319" s="1">
        <v>-4.051305E-6</v>
      </c>
      <c r="I1319">
        <v>367.37810000000002</v>
      </c>
      <c r="J1319">
        <v>-244.541</v>
      </c>
      <c r="K1319">
        <v>1.104358</v>
      </c>
      <c r="L1319">
        <v>368.31470000000002</v>
      </c>
      <c r="M1319">
        <v>0.9998013</v>
      </c>
      <c r="N1319">
        <v>0</v>
      </c>
      <c r="O1319">
        <v>-1.4154959999999999E-2</v>
      </c>
      <c r="P1319">
        <v>0.99724029999999997</v>
      </c>
      <c r="Q1319">
        <v>1.9472070000000001E-3</v>
      </c>
      <c r="R1319">
        <v>7.4218370000000006E-2</v>
      </c>
      <c r="S1319">
        <v>3.0175480000000001</v>
      </c>
      <c r="T1319">
        <v>-0.14321139999999999</v>
      </c>
      <c r="U1319">
        <v>-0.1218262</v>
      </c>
      <c r="V1319">
        <v>-8.8303140000000002E-2</v>
      </c>
      <c r="W1319">
        <v>1.6082369999999999E-2</v>
      </c>
      <c r="X1319">
        <v>0.99596379999999995</v>
      </c>
      <c r="Y1319">
        <v>2.6177329999999999E-2</v>
      </c>
      <c r="Z1319" s="1">
        <v>5.0558530000000003E-5</v>
      </c>
      <c r="AA1319">
        <v>0.99965729999999997</v>
      </c>
      <c r="AB1319">
        <v>27</v>
      </c>
      <c r="AC1319">
        <v>23.1004</v>
      </c>
      <c r="AD1319">
        <v>-1.1043620513050001</v>
      </c>
      <c r="AE1319">
        <v>-0.93659999999999799</v>
      </c>
      <c r="AF1319">
        <v>0.60810115351306304</v>
      </c>
      <c r="AG1319">
        <v>-1.1043620513050001</v>
      </c>
      <c r="AH1319">
        <v>23.058729473270301</v>
      </c>
      <c r="AI1319">
        <v>92.741045635501294</v>
      </c>
      <c r="AJ1319">
        <v>88.489354937217996</v>
      </c>
      <c r="AK1319">
        <v>23.093167982646499</v>
      </c>
    </row>
    <row r="1320" spans="1:37" x14ac:dyDescent="0.2">
      <c r="A1320" t="str">
        <f>"20200111155523319"</f>
        <v>20200111155523319</v>
      </c>
      <c r="B1320" t="str">
        <f>"1578729323313343"</f>
        <v>1578729323313343</v>
      </c>
      <c r="C1320" t="s">
        <v>37</v>
      </c>
      <c r="D1320">
        <v>5.2703530000000001</v>
      </c>
      <c r="E1320">
        <v>0.54319280000000003</v>
      </c>
      <c r="F1320" t="s">
        <v>38</v>
      </c>
      <c r="G1320">
        <v>-221.1722</v>
      </c>
      <c r="H1320" s="1">
        <v>-4.1666780000000001E-6</v>
      </c>
      <c r="I1320">
        <v>367.37689999999998</v>
      </c>
      <c r="J1320">
        <v>-244.39879999999999</v>
      </c>
      <c r="K1320">
        <v>1.104365</v>
      </c>
      <c r="L1320">
        <v>368.31220000000002</v>
      </c>
      <c r="M1320">
        <v>0.99979479999999998</v>
      </c>
      <c r="N1320">
        <v>0</v>
      </c>
      <c r="O1320">
        <v>-1.459325E-2</v>
      </c>
      <c r="P1320">
        <v>0.99723399999999995</v>
      </c>
      <c r="Q1320">
        <v>3.0998659999999902E-3</v>
      </c>
      <c r="R1320">
        <v>7.4259359999999996E-2</v>
      </c>
      <c r="S1320">
        <v>3.0176090000000002</v>
      </c>
      <c r="T1320">
        <v>-0.14260539999999999</v>
      </c>
      <c r="U1320">
        <v>-0.1210938</v>
      </c>
      <c r="V1320">
        <v>-8.8778699999999905E-2</v>
      </c>
      <c r="W1320">
        <v>1.7231389999999999E-2</v>
      </c>
      <c r="X1320">
        <v>0.99590230000000002</v>
      </c>
      <c r="Y1320">
        <v>2.54974E-2</v>
      </c>
      <c r="Z1320" s="1">
        <v>8.7085179999999996E-5</v>
      </c>
      <c r="AA1320">
        <v>0.99967490000000003</v>
      </c>
      <c r="AB1320">
        <v>27</v>
      </c>
      <c r="AC1320">
        <v>23.226599999999902</v>
      </c>
      <c r="AD1320">
        <v>-1.104369166678</v>
      </c>
      <c r="AE1320">
        <v>-0.93530000000003999</v>
      </c>
      <c r="AF1320">
        <v>0.59487264812154805</v>
      </c>
      <c r="AG1320">
        <v>-1.104369166678</v>
      </c>
      <c r="AH1320">
        <v>23.185444387121301</v>
      </c>
      <c r="AI1320">
        <v>92.726155828925698</v>
      </c>
      <c r="AJ1320">
        <v>88.530275482926299</v>
      </c>
      <c r="AK1320">
        <v>23.219352621296</v>
      </c>
    </row>
    <row r="1321" spans="1:37" x14ac:dyDescent="0.2">
      <c r="A1321" t="str">
        <f>"20200111155523330"</f>
        <v>20200111155523330</v>
      </c>
      <c r="B1321" t="str">
        <f>"1578729323324079"</f>
        <v>1578729323324079</v>
      </c>
      <c r="C1321" t="s">
        <v>37</v>
      </c>
      <c r="D1321">
        <v>6.21732</v>
      </c>
      <c r="E1321">
        <v>0.54316059999999999</v>
      </c>
      <c r="F1321" t="s">
        <v>38</v>
      </c>
      <c r="G1321">
        <v>-220.68340000000001</v>
      </c>
      <c r="H1321" s="1">
        <v>-4.3777609999999998E-6</v>
      </c>
      <c r="I1321">
        <v>367.3689</v>
      </c>
      <c r="J1321">
        <v>-244.2509</v>
      </c>
      <c r="K1321">
        <v>1.1043700000000001</v>
      </c>
      <c r="L1321">
        <v>368.30950000000001</v>
      </c>
      <c r="M1321">
        <v>0.99978820000000002</v>
      </c>
      <c r="N1321">
        <v>0</v>
      </c>
      <c r="O1321">
        <v>-1.5043000000000001E-2</v>
      </c>
      <c r="P1321">
        <v>0.99721970000000004</v>
      </c>
      <c r="Q1321">
        <v>4.0904080000000002E-3</v>
      </c>
      <c r="R1321">
        <v>7.4406040000000007E-2</v>
      </c>
      <c r="S1321">
        <v>3.0177</v>
      </c>
      <c r="T1321">
        <v>-0.14052679999999901</v>
      </c>
      <c r="U1321">
        <v>-0.1200256</v>
      </c>
      <c r="V1321">
        <v>-8.9372629999999995E-2</v>
      </c>
      <c r="W1321">
        <v>1.8219249999999999E-2</v>
      </c>
      <c r="X1321">
        <v>0.99583159999999904</v>
      </c>
      <c r="Y1321">
        <v>2.4694919999999999E-2</v>
      </c>
      <c r="Z1321">
        <v>1.25403799999999E-4</v>
      </c>
      <c r="AA1321">
        <v>0.999695</v>
      </c>
      <c r="AB1321">
        <v>27</v>
      </c>
      <c r="AC1321">
        <v>23.5674999999999</v>
      </c>
      <c r="AD1321">
        <v>-1.104374377761</v>
      </c>
      <c r="AE1321">
        <v>-0.94060000000001698</v>
      </c>
      <c r="AF1321">
        <v>0.58465090010497001</v>
      </c>
      <c r="AG1321">
        <v>-1.104374377761</v>
      </c>
      <c r="AH1321">
        <v>23.5274027625711</v>
      </c>
      <c r="AI1321">
        <v>92.686658394736497</v>
      </c>
      <c r="AJ1321">
        <v>88.576505158125997</v>
      </c>
      <c r="AK1321">
        <v>23.560563240158</v>
      </c>
    </row>
    <row r="1322" spans="1:37" x14ac:dyDescent="0.2">
      <c r="A1322" t="str">
        <f>"20200111155523344"</f>
        <v>20200111155523344</v>
      </c>
      <c r="B1322" t="str">
        <f>"1578729323333839"</f>
        <v>1578729323333839</v>
      </c>
      <c r="C1322" t="s">
        <v>37</v>
      </c>
      <c r="D1322">
        <v>5.268561</v>
      </c>
      <c r="E1322">
        <v>0.54316059999999999</v>
      </c>
      <c r="F1322" t="s">
        <v>38</v>
      </c>
      <c r="G1322">
        <v>-219.40649999999999</v>
      </c>
      <c r="H1322" s="1">
        <v>-7.9749759999999996E-7</v>
      </c>
      <c r="I1322">
        <v>367.32589999999999</v>
      </c>
      <c r="J1322">
        <v>-244.0934</v>
      </c>
      <c r="K1322">
        <v>1.1043670000000001</v>
      </c>
      <c r="L1322">
        <v>368.3066</v>
      </c>
      <c r="M1322">
        <v>0.99978099999999903</v>
      </c>
      <c r="N1322">
        <v>0</v>
      </c>
      <c r="O1322">
        <v>-1.5519669999999999E-2</v>
      </c>
      <c r="P1322">
        <v>0.99720750000000002</v>
      </c>
      <c r="Q1322">
        <v>4.894191E-3</v>
      </c>
      <c r="R1322">
        <v>7.4521390000000007E-2</v>
      </c>
      <c r="S1322">
        <v>3.0178069999999999</v>
      </c>
      <c r="T1322">
        <v>-0.1341456</v>
      </c>
      <c r="U1322">
        <v>-0.11947629999999999</v>
      </c>
      <c r="V1322">
        <v>-8.9961509999999995E-2</v>
      </c>
      <c r="W1322">
        <v>1.9019709999999999E-2</v>
      </c>
      <c r="X1322">
        <v>0.99576359999999997</v>
      </c>
      <c r="Y1322">
        <v>2.4037240000000001E-2</v>
      </c>
      <c r="Z1322">
        <v>1.5548330000000001E-4</v>
      </c>
      <c r="AA1322">
        <v>0.99971100000000002</v>
      </c>
      <c r="AB1322">
        <v>27</v>
      </c>
      <c r="AC1322">
        <v>24.686900000000001</v>
      </c>
      <c r="AD1322">
        <v>-1.1043677974976001</v>
      </c>
      <c r="AE1322">
        <v>-0.98070000000001301</v>
      </c>
      <c r="AF1322">
        <v>0.59622027413763601</v>
      </c>
      <c r="AG1322">
        <v>-1.1043677974976001</v>
      </c>
      <c r="AH1322">
        <v>24.649895745836901</v>
      </c>
      <c r="AI1322">
        <v>92.564508386676593</v>
      </c>
      <c r="AJ1322">
        <v>88.614426354561601</v>
      </c>
      <c r="AK1322">
        <v>24.6818246312559</v>
      </c>
    </row>
    <row r="1323" spans="1:37" x14ac:dyDescent="0.2">
      <c r="A1323" t="str">
        <f>"20200111155523356"</f>
        <v>20200111155523356</v>
      </c>
      <c r="B1323" t="str">
        <f>"1578729323353359"</f>
        <v>1578729323353359</v>
      </c>
      <c r="C1323" t="s">
        <v>37</v>
      </c>
      <c r="D1323">
        <v>5.295388</v>
      </c>
      <c r="E1323">
        <v>0.53860810000000003</v>
      </c>
      <c r="F1323" t="s">
        <v>38</v>
      </c>
      <c r="G1323">
        <v>-218.7638</v>
      </c>
      <c r="H1323" s="1">
        <v>-1.021242E-6</v>
      </c>
      <c r="I1323">
        <v>367.30689999999998</v>
      </c>
      <c r="J1323">
        <v>-243.94139999999999</v>
      </c>
      <c r="K1323">
        <v>1.1043639999999999</v>
      </c>
      <c r="L1323">
        <v>368.30380000000002</v>
      </c>
      <c r="M1323">
        <v>0.99977380000000005</v>
      </c>
      <c r="N1323">
        <v>0</v>
      </c>
      <c r="O1323">
        <v>-1.5976460000000001E-2</v>
      </c>
      <c r="P1323">
        <v>0.9972008</v>
      </c>
      <c r="Q1323">
        <v>5.1744240000000004E-3</v>
      </c>
      <c r="R1323">
        <v>7.4591859999999996E-2</v>
      </c>
      <c r="S1323">
        <v>3.0179290000000001</v>
      </c>
      <c r="T1323">
        <v>-0.13158149999999999</v>
      </c>
      <c r="U1323">
        <v>-0.1191101</v>
      </c>
      <c r="V1323">
        <v>-9.0486639999999993E-2</v>
      </c>
      <c r="W1323">
        <v>1.9297180000000001E-2</v>
      </c>
      <c r="X1323">
        <v>0.99571069999999995</v>
      </c>
      <c r="Y1323">
        <v>2.345906E-2</v>
      </c>
      <c r="Z1323">
        <v>1.8499750000000001E-4</v>
      </c>
      <c r="AA1323">
        <v>0.99972479999999997</v>
      </c>
      <c r="AB1323">
        <v>27</v>
      </c>
      <c r="AC1323">
        <v>25.177599999999899</v>
      </c>
      <c r="AD1323">
        <v>-1.104365021242</v>
      </c>
      <c r="AE1323">
        <v>-0.99690000000003898</v>
      </c>
      <c r="AF1323">
        <v>0.59334438616938101</v>
      </c>
      <c r="AG1323">
        <v>-1.104365021242</v>
      </c>
      <c r="AH1323">
        <v>25.1420178218339</v>
      </c>
      <c r="AI1323">
        <v>92.514405493885306</v>
      </c>
      <c r="AJ1323">
        <v>88.648087033683098</v>
      </c>
      <c r="AK1323">
        <v>25.173254454165299</v>
      </c>
    </row>
    <row r="1324" spans="1:37" x14ac:dyDescent="0.2">
      <c r="A1324" t="str">
        <f>"20200111155523369"</f>
        <v>20200111155523369</v>
      </c>
      <c r="B1324" t="str">
        <f>"1578729323364095"</f>
        <v>1578729323364095</v>
      </c>
      <c r="C1324" t="s">
        <v>37</v>
      </c>
      <c r="D1324">
        <v>5.3036640000000004</v>
      </c>
      <c r="E1324">
        <v>0.53885399999999894</v>
      </c>
      <c r="F1324" t="s">
        <v>41</v>
      </c>
      <c r="G1324">
        <v>-158.19499999999999</v>
      </c>
      <c r="H1324">
        <v>0.34356999999999999</v>
      </c>
      <c r="I1324">
        <v>365.94119999999998</v>
      </c>
      <c r="J1324">
        <v>-243.79419999999999</v>
      </c>
      <c r="K1324">
        <v>1.1043559999999999</v>
      </c>
      <c r="L1324">
        <v>368.30099999999999</v>
      </c>
      <c r="M1324">
        <v>0.99976679999999996</v>
      </c>
      <c r="N1324">
        <v>0</v>
      </c>
      <c r="O1324">
        <v>-1.641538E-2</v>
      </c>
      <c r="P1324">
        <v>0.997195099999999</v>
      </c>
      <c r="Q1324">
        <v>4.626575E-3</v>
      </c>
      <c r="R1324">
        <v>7.4704720000000002E-2</v>
      </c>
      <c r="S1324">
        <v>3.0147550000000001</v>
      </c>
      <c r="T1324">
        <v>-2.6745680000000001E-2</v>
      </c>
      <c r="U1324">
        <v>-8.306885E-2</v>
      </c>
      <c r="V1324">
        <v>-9.1037389999999996E-2</v>
      </c>
      <c r="W1324">
        <v>1.8747010000000001E-2</v>
      </c>
      <c r="X1324">
        <v>0.99567099999999897</v>
      </c>
      <c r="Y1324">
        <v>1.112937E-2</v>
      </c>
      <c r="Z1324" s="1">
        <v>9.6243969999999993E-5</v>
      </c>
      <c r="AA1324">
        <v>0.99993809999999905</v>
      </c>
      <c r="AB1324">
        <v>27</v>
      </c>
      <c r="AC1324">
        <v>85.599199999999996</v>
      </c>
      <c r="AD1324">
        <v>-0.76078599999999996</v>
      </c>
      <c r="AE1324">
        <v>-2.3597999999999999</v>
      </c>
      <c r="AF1324">
        <v>0.95412492404262195</v>
      </c>
      <c r="AG1324">
        <v>-0.76078599999999996</v>
      </c>
      <c r="AH1324">
        <v>85.619646627842002</v>
      </c>
      <c r="AI1324">
        <v>90.509065096326793</v>
      </c>
      <c r="AJ1324">
        <v>89.3615359246145</v>
      </c>
      <c r="AK1324">
        <v>85.628342494672907</v>
      </c>
    </row>
    <row r="1325" spans="1:37" x14ac:dyDescent="0.2">
      <c r="A1325" t="str">
        <f>"20200111155523384"</f>
        <v>20200111155523384</v>
      </c>
      <c r="B1325" t="str">
        <f>"1578729323373855"</f>
        <v>1578729323373855</v>
      </c>
      <c r="C1325" t="s">
        <v>37</v>
      </c>
      <c r="D1325">
        <v>5.2748650000000001</v>
      </c>
      <c r="E1325">
        <v>0.53877109999999995</v>
      </c>
      <c r="F1325" t="s">
        <v>42</v>
      </c>
      <c r="G1325">
        <v>-176.48500000000001</v>
      </c>
      <c r="H1325">
        <v>7.9988030000000002E-2</v>
      </c>
      <c r="I1325">
        <v>366.40699999999998</v>
      </c>
      <c r="J1325">
        <v>-243.61330000000001</v>
      </c>
      <c r="K1325">
        <v>1.1043479999999899</v>
      </c>
      <c r="L1325">
        <v>368.29739999999998</v>
      </c>
      <c r="M1325">
        <v>0.99975780000000003</v>
      </c>
      <c r="N1325">
        <v>0</v>
      </c>
      <c r="O1325">
        <v>-1.695251E-2</v>
      </c>
      <c r="P1325">
        <v>0.99720159999999902</v>
      </c>
      <c r="Q1325">
        <v>3.7795229999999999E-3</v>
      </c>
      <c r="R1325">
        <v>7.4668230000000002E-2</v>
      </c>
      <c r="S1325">
        <v>3.015015</v>
      </c>
      <c r="T1325">
        <v>-4.5885090000000003E-2</v>
      </c>
      <c r="U1325">
        <v>-8.4838869999999997E-2</v>
      </c>
      <c r="V1325">
        <v>-9.1537779999999999E-2</v>
      </c>
      <c r="W1325">
        <v>1.7896949999999998E-2</v>
      </c>
      <c r="X1325">
        <v>0.99564079999999999</v>
      </c>
      <c r="Y1325">
        <v>1.1176810000000001E-2</v>
      </c>
      <c r="Z1325">
        <v>1.7290529999999999E-4</v>
      </c>
      <c r="AA1325">
        <v>0.99993750000000003</v>
      </c>
      <c r="AB1325">
        <v>27</v>
      </c>
      <c r="AC1325">
        <v>67.128299999999996</v>
      </c>
      <c r="AD1325">
        <v>-1.0243599699999999</v>
      </c>
      <c r="AE1325">
        <v>-1.8904000000000001</v>
      </c>
      <c r="AF1325">
        <v>0.75184809239476802</v>
      </c>
      <c r="AG1325">
        <v>-1.0243599699999999</v>
      </c>
      <c r="AH1325">
        <v>67.135081015958406</v>
      </c>
      <c r="AI1325">
        <v>90.874107377747194</v>
      </c>
      <c r="AJ1325">
        <v>89.358369408360403</v>
      </c>
      <c r="AK1325">
        <v>67.1471048662671</v>
      </c>
    </row>
    <row r="1326" spans="1:37" x14ac:dyDescent="0.2">
      <c r="A1326" t="str">
        <f>"20200111155523398"</f>
        <v>20200111155523398</v>
      </c>
      <c r="B1326" t="str">
        <f>"1578729323394351"</f>
        <v>1578729323394351</v>
      </c>
      <c r="C1326" t="s">
        <v>37</v>
      </c>
      <c r="D1326">
        <v>5.2767499999999998</v>
      </c>
      <c r="E1326">
        <v>0.5395392</v>
      </c>
      <c r="F1326" t="s">
        <v>42</v>
      </c>
      <c r="G1326">
        <v>-181.399</v>
      </c>
      <c r="H1326" s="1">
        <v>-8.4828729999999992E-6</v>
      </c>
      <c r="I1326">
        <v>366.56060000000002</v>
      </c>
      <c r="J1326">
        <v>-243.4384</v>
      </c>
      <c r="K1326">
        <v>1.1043229999999999</v>
      </c>
      <c r="L1326">
        <v>368.29390000000001</v>
      </c>
      <c r="M1326">
        <v>0.999749</v>
      </c>
      <c r="N1326">
        <v>0</v>
      </c>
      <c r="O1326">
        <v>-1.74694E-2</v>
      </c>
      <c r="P1326">
        <v>0.99720769999999903</v>
      </c>
      <c r="Q1326">
        <v>9.3112649999999996E-4</v>
      </c>
      <c r="R1326">
        <v>7.4674260000000006E-2</v>
      </c>
      <c r="S1326">
        <v>3.0148929999999998</v>
      </c>
      <c r="T1326">
        <v>-5.3516859999999999E-2</v>
      </c>
      <c r="U1326">
        <v>-8.4167480000000003E-2</v>
      </c>
      <c r="V1326">
        <v>-9.2062899999999906E-2</v>
      </c>
      <c r="W1326">
        <v>1.504633E-2</v>
      </c>
      <c r="X1326">
        <v>0.99563950000000001</v>
      </c>
      <c r="Y1326">
        <v>1.0438899999999999E-2</v>
      </c>
      <c r="Z1326">
        <v>2.1738709999999999E-4</v>
      </c>
      <c r="AA1326">
        <v>0.99994550000000004</v>
      </c>
      <c r="AB1326">
        <v>27</v>
      </c>
      <c r="AC1326">
        <v>62.039400000000001</v>
      </c>
      <c r="AD1326">
        <v>-1.104331482873</v>
      </c>
      <c r="AE1326">
        <v>-1.7332999999999801</v>
      </c>
      <c r="AF1326">
        <v>0.648932253144055</v>
      </c>
      <c r="AG1326">
        <v>-1.104331482873</v>
      </c>
      <c r="AH1326">
        <v>62.040570838829403</v>
      </c>
      <c r="AI1326">
        <v>91.0197100220945</v>
      </c>
      <c r="AJ1326">
        <v>89.400719192002398</v>
      </c>
      <c r="AK1326">
        <v>62.053791915571502</v>
      </c>
    </row>
    <row r="1327" spans="1:37" x14ac:dyDescent="0.2">
      <c r="A1327" t="str">
        <f>"20200111155523412"</f>
        <v>20200111155523412</v>
      </c>
      <c r="B1327" t="str">
        <f>"1578729323404111"</f>
        <v>1578729323404111</v>
      </c>
      <c r="C1327" t="s">
        <v>37</v>
      </c>
      <c r="D1327">
        <v>5.2285899999999996</v>
      </c>
      <c r="E1327">
        <v>0.53968539999999998</v>
      </c>
      <c r="F1327" t="s">
        <v>42</v>
      </c>
      <c r="G1327">
        <v>-193.44450000000001</v>
      </c>
      <c r="H1327" s="1">
        <v>-6.9427490000000003E-6</v>
      </c>
      <c r="I1327">
        <v>366.79770000000002</v>
      </c>
      <c r="J1327">
        <v>-243.27189999999999</v>
      </c>
      <c r="K1327">
        <v>1.1043129999999901</v>
      </c>
      <c r="L1327">
        <v>368.29050000000001</v>
      </c>
      <c r="M1327">
        <v>0.99974030000000003</v>
      </c>
      <c r="N1327">
        <v>0</v>
      </c>
      <c r="O1327">
        <v>-1.7959010000000001E-2</v>
      </c>
      <c r="P1327">
        <v>0.99723269999999997</v>
      </c>
      <c r="Q1327">
        <v>-1.0478130000000001E-3</v>
      </c>
      <c r="R1327">
        <v>7.4339260000000004E-2</v>
      </c>
      <c r="S1327">
        <v>3.015228</v>
      </c>
      <c r="T1327">
        <v>-6.6604380000000005E-2</v>
      </c>
      <c r="U1327">
        <v>-9.0240479999999998E-2</v>
      </c>
      <c r="V1327">
        <v>-9.2219300000000004E-2</v>
      </c>
      <c r="W1327">
        <v>1.306527E-2</v>
      </c>
      <c r="X1327">
        <v>0.99565300000000001</v>
      </c>
      <c r="Y1327">
        <v>1.1958740000000001E-2</v>
      </c>
      <c r="Z1327">
        <v>2.645271E-4</v>
      </c>
      <c r="AA1327">
        <v>0.9999285</v>
      </c>
      <c r="AB1327">
        <v>27</v>
      </c>
      <c r="AC1327">
        <v>49.827399999999898</v>
      </c>
      <c r="AD1327">
        <v>-1.10431994274899</v>
      </c>
      <c r="AE1327">
        <v>-1.4927999999999799</v>
      </c>
      <c r="AF1327">
        <v>0.59732721499969599</v>
      </c>
      <c r="AG1327">
        <v>-1.10431994274899</v>
      </c>
      <c r="AH1327">
        <v>49.821724097108998</v>
      </c>
      <c r="AI1327">
        <v>91.269686451725505</v>
      </c>
      <c r="AJ1327">
        <v>89.313097060930104</v>
      </c>
      <c r="AK1327">
        <v>49.837541214893299</v>
      </c>
    </row>
    <row r="1328" spans="1:37" x14ac:dyDescent="0.2">
      <c r="A1328" t="str">
        <f>"20200111155523427"</f>
        <v>20200111155523427</v>
      </c>
      <c r="B1328" t="str">
        <f>"1578729323423631"</f>
        <v>1578729323423631</v>
      </c>
      <c r="C1328" t="s">
        <v>37</v>
      </c>
      <c r="D1328">
        <v>5.9375159999999996</v>
      </c>
      <c r="E1328">
        <v>0.53970499999999999</v>
      </c>
      <c r="F1328" t="s">
        <v>42</v>
      </c>
      <c r="G1328">
        <v>-204.3434</v>
      </c>
      <c r="H1328" s="1">
        <v>-3.183176E-6</v>
      </c>
      <c r="I1328">
        <v>367.09660000000002</v>
      </c>
      <c r="J1328">
        <v>-243.0864</v>
      </c>
      <c r="K1328">
        <v>1.1043080000000001</v>
      </c>
      <c r="L1328">
        <v>368.28649999999999</v>
      </c>
      <c r="M1328">
        <v>0.99973029999999996</v>
      </c>
      <c r="N1328">
        <v>0</v>
      </c>
      <c r="O1328">
        <v>-1.8504050000000001E-2</v>
      </c>
      <c r="P1328">
        <v>0.99726329999999996</v>
      </c>
      <c r="Q1328">
        <v>-3.0809019999999999E-3</v>
      </c>
      <c r="R1328">
        <v>7.3870160000000004E-2</v>
      </c>
      <c r="S1328">
        <v>3.0151520000000001</v>
      </c>
      <c r="T1328">
        <v>-8.5533139999999994E-2</v>
      </c>
      <c r="U1328">
        <v>-9.2468259999999997E-2</v>
      </c>
      <c r="V1328">
        <v>-9.2297050000000005E-2</v>
      </c>
      <c r="W1328">
        <v>1.1029799999999999E-2</v>
      </c>
      <c r="X1328">
        <v>0.99567039999999996</v>
      </c>
      <c r="Y1328">
        <v>1.2153580000000001E-2</v>
      </c>
      <c r="Z1328">
        <v>3.5237220000000001E-4</v>
      </c>
      <c r="AA1328">
        <v>0.99992610000000004</v>
      </c>
      <c r="AB1328">
        <v>27</v>
      </c>
      <c r="AC1328">
        <v>38.743000000000002</v>
      </c>
      <c r="AD1328">
        <v>-1.104311183176</v>
      </c>
      <c r="AE1328">
        <v>-1.18989999999996</v>
      </c>
      <c r="AF1328">
        <v>0.47233983250392497</v>
      </c>
      <c r="AG1328">
        <v>-1.104311183176</v>
      </c>
      <c r="AH1328">
        <v>38.726951417032602</v>
      </c>
      <c r="AI1328">
        <v>91.633243126344297</v>
      </c>
      <c r="AJ1328">
        <v>89.301216954308003</v>
      </c>
      <c r="AK1328">
        <v>38.745572316896499</v>
      </c>
    </row>
    <row r="1329" spans="1:37" x14ac:dyDescent="0.2">
      <c r="A1329" t="str">
        <f>"20200111155523440"</f>
        <v>20200111155523440</v>
      </c>
      <c r="B1329" t="str">
        <f>"1578729323433391"</f>
        <v>1578729323433391</v>
      </c>
      <c r="C1329" t="s">
        <v>37</v>
      </c>
      <c r="D1329">
        <v>5.2563550000000001</v>
      </c>
      <c r="E1329">
        <v>0.53983499999999995</v>
      </c>
      <c r="F1329" t="s">
        <v>38</v>
      </c>
      <c r="G1329">
        <v>-210.18520000000001</v>
      </c>
      <c r="H1329" s="1">
        <v>-4.6108229999999902E-6</v>
      </c>
      <c r="I1329">
        <v>367.26010000000002</v>
      </c>
      <c r="J1329">
        <v>-242.93099999999899</v>
      </c>
      <c r="K1329">
        <v>1.104306</v>
      </c>
      <c r="L1329">
        <v>368.28320000000002</v>
      </c>
      <c r="M1329">
        <v>0.99972190000000005</v>
      </c>
      <c r="N1329">
        <v>0</v>
      </c>
      <c r="O1329">
        <v>-1.896055E-2</v>
      </c>
      <c r="P1329">
        <v>0.99731360000000002</v>
      </c>
      <c r="Q1329">
        <v>-5.5672019999999899E-3</v>
      </c>
      <c r="R1329">
        <v>7.3041750000000003E-2</v>
      </c>
      <c r="S1329">
        <v>3.0148769999999998</v>
      </c>
      <c r="T1329">
        <v>-0.10119259999999999</v>
      </c>
      <c r="U1329">
        <v>-9.4055180000000002E-2</v>
      </c>
      <c r="V1329">
        <v>-9.1928010000000004E-2</v>
      </c>
      <c r="W1329">
        <v>8.5413060000000002E-3</v>
      </c>
      <c r="X1329">
        <v>0.99572899999999998</v>
      </c>
      <c r="Y1329">
        <v>1.2226829999999999E-2</v>
      </c>
      <c r="Z1329">
        <v>4.3096749999999999E-4</v>
      </c>
      <c r="AA1329">
        <v>0.99992510000000001</v>
      </c>
      <c r="AB1329">
        <v>27</v>
      </c>
      <c r="AC1329">
        <v>32.745799999999903</v>
      </c>
      <c r="AD1329">
        <v>-1.1043106108230001</v>
      </c>
      <c r="AE1329">
        <v>-1.0230999999999899</v>
      </c>
      <c r="AF1329">
        <v>0.40152041811397798</v>
      </c>
      <c r="AG1329">
        <v>-1.1043106108230001</v>
      </c>
      <c r="AH1329">
        <v>32.722134392339001</v>
      </c>
      <c r="AI1329">
        <v>91.932746025680601</v>
      </c>
      <c r="AJ1329">
        <v>89.296981347563403</v>
      </c>
      <c r="AK1329">
        <v>32.743225249838098</v>
      </c>
    </row>
    <row r="1330" spans="1:37" x14ac:dyDescent="0.2">
      <c r="A1330" t="str">
        <f>"20200111155523452"</f>
        <v>20200111155523452</v>
      </c>
      <c r="B1330" t="str">
        <f>"1578729323444128"</f>
        <v>1578729323444128</v>
      </c>
      <c r="C1330" t="s">
        <v>37</v>
      </c>
      <c r="D1330">
        <v>5.2513899999999998</v>
      </c>
      <c r="E1330">
        <v>0.53988800000000003</v>
      </c>
      <c r="F1330" t="s">
        <v>38</v>
      </c>
      <c r="G1330">
        <v>-214.30119999999999</v>
      </c>
      <c r="H1330" s="1">
        <v>-2.828296E-6</v>
      </c>
      <c r="I1330">
        <v>367.3546</v>
      </c>
      <c r="J1330">
        <v>-242.77619999999999</v>
      </c>
      <c r="K1330">
        <v>1.104304</v>
      </c>
      <c r="L1330">
        <v>368.27969999999999</v>
      </c>
      <c r="M1330">
        <v>0.99971309999999902</v>
      </c>
      <c r="N1330">
        <v>0</v>
      </c>
      <c r="O1330">
        <v>-1.941468E-2</v>
      </c>
      <c r="P1330">
        <v>0.99735609999999997</v>
      </c>
      <c r="Q1330">
        <v>-6.3603590000000003E-3</v>
      </c>
      <c r="R1330">
        <v>7.2389369999999995E-2</v>
      </c>
      <c r="S1330">
        <v>3.0145869999999899</v>
      </c>
      <c r="T1330">
        <v>-0.116278399999999</v>
      </c>
      <c r="U1330">
        <v>-9.7778320000000002E-2</v>
      </c>
      <c r="V1330">
        <v>-9.1729660000000005E-2</v>
      </c>
      <c r="W1330">
        <v>7.7459679999999998E-3</v>
      </c>
      <c r="X1330">
        <v>0.99575380000000002</v>
      </c>
      <c r="Y1330">
        <v>1.3010280000000001E-2</v>
      </c>
      <c r="Z1330">
        <v>4.9760940000000001E-4</v>
      </c>
      <c r="AA1330">
        <v>0.9999152</v>
      </c>
      <c r="AB1330">
        <v>27</v>
      </c>
      <c r="AC1330">
        <v>28.474999999999898</v>
      </c>
      <c r="AD1330">
        <v>-1.104306828296</v>
      </c>
      <c r="AE1330">
        <v>-0.92509999999998604</v>
      </c>
      <c r="AF1330">
        <v>0.37148006156931701</v>
      </c>
      <c r="AG1330">
        <v>-1.104306828296</v>
      </c>
      <c r="AH1330">
        <v>28.4448578138168</v>
      </c>
      <c r="AI1330">
        <v>92.223072262031295</v>
      </c>
      <c r="AJ1330">
        <v>89.251779357713403</v>
      </c>
      <c r="AK1330">
        <v>28.468709613458401</v>
      </c>
    </row>
    <row r="1331" spans="1:37" x14ac:dyDescent="0.2">
      <c r="A1331" t="str">
        <f>"20200111155523465"</f>
        <v>20200111155523465</v>
      </c>
      <c r="B1331" t="str">
        <f>"1578729323453887"</f>
        <v>1578729323453887</v>
      </c>
      <c r="C1331" t="s">
        <v>37</v>
      </c>
      <c r="D1331">
        <v>5.2571159999999999</v>
      </c>
      <c r="E1331">
        <v>0.53983570000000003</v>
      </c>
      <c r="F1331" t="s">
        <v>38</v>
      </c>
      <c r="G1331">
        <v>-216.27199999999999</v>
      </c>
      <c r="H1331" s="1">
        <v>-1.9750039999999998E-6</v>
      </c>
      <c r="I1331">
        <v>367.39879999999999</v>
      </c>
      <c r="J1331">
        <v>-242.62710000000001</v>
      </c>
      <c r="K1331">
        <v>1.104309</v>
      </c>
      <c r="L1331">
        <v>368.27640000000002</v>
      </c>
      <c r="M1331">
        <v>0.99970460000000005</v>
      </c>
      <c r="N1331">
        <v>0</v>
      </c>
      <c r="O1331">
        <v>-1.985284E-2</v>
      </c>
      <c r="P1331">
        <v>0.99742730000000002</v>
      </c>
      <c r="Q1331">
        <v>-6.791058E-3</v>
      </c>
      <c r="R1331">
        <v>7.1364759999999999E-2</v>
      </c>
      <c r="S1331">
        <v>3.01443499999999</v>
      </c>
      <c r="T1331">
        <v>-0.12559690000000001</v>
      </c>
      <c r="U1331">
        <v>-0.10018919999999901</v>
      </c>
      <c r="V1331">
        <v>-9.1144030000000001E-2</v>
      </c>
      <c r="W1331">
        <v>7.3130119999999998E-3</v>
      </c>
      <c r="X1331">
        <v>0.99581090000000005</v>
      </c>
      <c r="Y1331">
        <v>1.3373370000000001E-2</v>
      </c>
      <c r="Z1331">
        <v>5.4815309999999896E-4</v>
      </c>
      <c r="AA1331">
        <v>0.99991039999999998</v>
      </c>
      <c r="AB1331">
        <v>27</v>
      </c>
      <c r="AC1331">
        <v>26.3551</v>
      </c>
      <c r="AD1331">
        <v>-1.1043109750040001</v>
      </c>
      <c r="AE1331">
        <v>-0.87760000000002902</v>
      </c>
      <c r="AF1331">
        <v>0.35353197127061597</v>
      </c>
      <c r="AG1331">
        <v>-1.1043109750040001</v>
      </c>
      <c r="AH1331">
        <v>26.321168071734</v>
      </c>
      <c r="AI1331">
        <v>92.402232899555798</v>
      </c>
      <c r="AJ1331">
        <v>89.230479746581196</v>
      </c>
      <c r="AK1331">
        <v>26.346695736746501</v>
      </c>
    </row>
    <row r="1332" spans="1:37" x14ac:dyDescent="0.2">
      <c r="A1332" t="str">
        <f>"20200111155523478"</f>
        <v>20200111155523478</v>
      </c>
      <c r="B1332" t="str">
        <f>"1578729323473409"</f>
        <v>1578729323473409</v>
      </c>
      <c r="C1332" t="s">
        <v>37</v>
      </c>
      <c r="D1332">
        <v>5.2721919999999898</v>
      </c>
      <c r="E1332">
        <v>0.54000090000000001</v>
      </c>
      <c r="F1332" t="s">
        <v>38</v>
      </c>
      <c r="G1332">
        <v>-217.5198</v>
      </c>
      <c r="H1332" s="1">
        <v>-1.435995E-6</v>
      </c>
      <c r="I1332">
        <v>367.41969999999998</v>
      </c>
      <c r="J1332">
        <v>-242.46789999999999</v>
      </c>
      <c r="K1332">
        <v>1.104314</v>
      </c>
      <c r="L1332">
        <v>368.27269999999999</v>
      </c>
      <c r="M1332">
        <v>0.99969519999999901</v>
      </c>
      <c r="N1332">
        <v>0</v>
      </c>
      <c r="O1332">
        <v>-2.0320319999999999E-2</v>
      </c>
      <c r="P1332">
        <v>0.99751139999999905</v>
      </c>
      <c r="Q1332">
        <v>-7.0075850000000002E-3</v>
      </c>
      <c r="R1332">
        <v>7.0158709999999999E-2</v>
      </c>
      <c r="S1332">
        <v>3.0141749999999998</v>
      </c>
      <c r="T1332">
        <v>-0.13257389999999999</v>
      </c>
      <c r="U1332">
        <v>-0.1028442</v>
      </c>
      <c r="V1332">
        <v>-9.0405750000000007E-2</v>
      </c>
      <c r="W1332">
        <v>7.0946259999999997E-3</v>
      </c>
      <c r="X1332">
        <v>0.99587979999999998</v>
      </c>
      <c r="Y1332">
        <v>1.378911E-2</v>
      </c>
      <c r="Z1332">
        <v>5.9001940000000003E-4</v>
      </c>
      <c r="AA1332">
        <v>0.99990480000000004</v>
      </c>
      <c r="AB1332">
        <v>27</v>
      </c>
      <c r="AC1332">
        <v>24.948099999999901</v>
      </c>
      <c r="AD1332">
        <v>-1.104315435995</v>
      </c>
      <c r="AE1332">
        <v>-0.85300000000000797</v>
      </c>
      <c r="AF1332">
        <v>0.345145155160892</v>
      </c>
      <c r="AG1332">
        <v>-1.104315435995</v>
      </c>
      <c r="AH1332">
        <v>24.911529330897899</v>
      </c>
      <c r="AI1332">
        <v>92.5379877697452</v>
      </c>
      <c r="AJ1332">
        <v>89.206227154626404</v>
      </c>
      <c r="AK1332">
        <v>24.938382693440499</v>
      </c>
    </row>
    <row r="1333" spans="1:37" x14ac:dyDescent="0.2">
      <c r="A1333" t="str">
        <f>"20200111155523489"</f>
        <v>20200111155523489</v>
      </c>
      <c r="B1333" t="str">
        <f>"1578729323484143"</f>
        <v>1578729323484143</v>
      </c>
      <c r="C1333" t="s">
        <v>37</v>
      </c>
      <c r="D1333">
        <v>5.2865580000000003</v>
      </c>
      <c r="E1333">
        <v>0.54017999999999999</v>
      </c>
      <c r="F1333" t="s">
        <v>38</v>
      </c>
      <c r="G1333">
        <v>-218.7397</v>
      </c>
      <c r="H1333" s="1">
        <v>-9.9864109999999901E-7</v>
      </c>
      <c r="I1333">
        <v>367.42270000000002</v>
      </c>
      <c r="J1333">
        <v>-242.32140000000001</v>
      </c>
      <c r="K1333">
        <v>1.104325</v>
      </c>
      <c r="L1333">
        <v>368.26920000000001</v>
      </c>
      <c r="M1333">
        <v>0.99968630000000003</v>
      </c>
      <c r="N1333">
        <v>0</v>
      </c>
      <c r="O1333">
        <v>-2.0750979999999999E-2</v>
      </c>
      <c r="P1333">
        <v>0.9975889</v>
      </c>
      <c r="Q1333">
        <v>-6.8782790000000002E-3</v>
      </c>
      <c r="R1333">
        <v>6.9059499999999996E-2</v>
      </c>
      <c r="S1333">
        <v>3.0140989999999999</v>
      </c>
      <c r="T1333">
        <v>-0.1402767</v>
      </c>
      <c r="U1333">
        <v>-0.1079712</v>
      </c>
      <c r="V1333">
        <v>-8.9737049999999999E-2</v>
      </c>
      <c r="W1333">
        <v>7.2219390000000001E-3</v>
      </c>
      <c r="X1333">
        <v>0.99593929999999997</v>
      </c>
      <c r="Y1333">
        <v>1.505781E-2</v>
      </c>
      <c r="Z1333">
        <v>6.147816E-4</v>
      </c>
      <c r="AA1333">
        <v>0.99988650000000001</v>
      </c>
      <c r="AB1333">
        <v>27</v>
      </c>
      <c r="AC1333">
        <v>23.581700000000001</v>
      </c>
      <c r="AD1333">
        <v>-1.1043259986411</v>
      </c>
      <c r="AE1333">
        <v>-0.84649999999999104</v>
      </c>
      <c r="AF1333">
        <v>0.35614613932672401</v>
      </c>
      <c r="AG1333">
        <v>-1.1043259986411</v>
      </c>
      <c r="AH1333">
        <v>23.542625491133901</v>
      </c>
      <c r="AI1333">
        <v>92.685327101234407</v>
      </c>
      <c r="AJ1333">
        <v>89.133311860342701</v>
      </c>
      <c r="AK1333">
        <v>23.5712025785623</v>
      </c>
    </row>
    <row r="1334" spans="1:37" x14ac:dyDescent="0.2">
      <c r="A1334" t="str">
        <f>"20200111155523502"</f>
        <v>20200111155523502</v>
      </c>
      <c r="B1334" t="str">
        <f>"1578729323493903"</f>
        <v>1578729323493903</v>
      </c>
      <c r="C1334" t="s">
        <v>37</v>
      </c>
      <c r="D1334">
        <v>5.2457729999999998</v>
      </c>
      <c r="E1334">
        <v>0.54031300000000004</v>
      </c>
      <c r="F1334" t="s">
        <v>38</v>
      </c>
      <c r="G1334">
        <v>-219.03989999999999</v>
      </c>
      <c r="H1334" s="1">
        <v>-9.0256959999999904E-7</v>
      </c>
      <c r="I1334">
        <v>367.3999</v>
      </c>
      <c r="J1334">
        <v>-242.17959999999999</v>
      </c>
      <c r="K1334">
        <v>1.10433</v>
      </c>
      <c r="L1334">
        <v>368.26580000000001</v>
      </c>
      <c r="M1334">
        <v>0.9996775</v>
      </c>
      <c r="N1334">
        <v>0</v>
      </c>
      <c r="O1334">
        <v>-2.1168050000000001E-2</v>
      </c>
      <c r="P1334">
        <v>0.99766169999999998</v>
      </c>
      <c r="Q1334">
        <v>-6.4668219999999997E-3</v>
      </c>
      <c r="R1334">
        <v>6.8039459999999996E-2</v>
      </c>
      <c r="S1334">
        <v>3.0140689999999899</v>
      </c>
      <c r="T1334">
        <v>-0.1429676</v>
      </c>
      <c r="U1334">
        <v>-0.1125488</v>
      </c>
      <c r="V1334">
        <v>-8.9134099999999994E-2</v>
      </c>
      <c r="W1334">
        <v>7.6320069999999997E-3</v>
      </c>
      <c r="X1334">
        <v>0.99599040000000005</v>
      </c>
      <c r="Y1334">
        <v>1.6157029999999999E-2</v>
      </c>
      <c r="Z1334">
        <v>6.2026010000000001E-4</v>
      </c>
      <c r="AA1334">
        <v>0.99986929999999996</v>
      </c>
      <c r="AB1334">
        <v>27</v>
      </c>
      <c r="AC1334">
        <v>23.139700000000001</v>
      </c>
      <c r="AD1334">
        <v>-1.1043309025696</v>
      </c>
      <c r="AE1334">
        <v>-0.86590000000001</v>
      </c>
      <c r="AF1334">
        <v>0.374982529663276</v>
      </c>
      <c r="AG1334">
        <v>-1.1043309025696</v>
      </c>
      <c r="AH1334">
        <v>23.100304970431999</v>
      </c>
      <c r="AI1334">
        <v>92.736632628094796</v>
      </c>
      <c r="AJ1334">
        <v>89.070010999912895</v>
      </c>
      <c r="AK1334">
        <v>23.129726508691999</v>
      </c>
    </row>
    <row r="1335" spans="1:37" x14ac:dyDescent="0.2">
      <c r="A1335" t="str">
        <f>"20200111155523514"</f>
        <v>20200111155523514</v>
      </c>
      <c r="B1335" t="str">
        <f>"1578729323503663"</f>
        <v>1578729323503663</v>
      </c>
      <c r="C1335" t="s">
        <v>37</v>
      </c>
      <c r="D1335">
        <v>5.271407</v>
      </c>
      <c r="E1335">
        <v>0.54043240000000003</v>
      </c>
      <c r="F1335" t="s">
        <v>38</v>
      </c>
      <c r="G1335">
        <v>-219.0856</v>
      </c>
      <c r="H1335" s="1">
        <v>-8.9469519999999898E-7</v>
      </c>
      <c r="I1335">
        <v>367.37099999999998</v>
      </c>
      <c r="J1335">
        <v>-242.02690000000001</v>
      </c>
      <c r="K1335">
        <v>1.1043339999999999</v>
      </c>
      <c r="L1335">
        <v>368.26209999999998</v>
      </c>
      <c r="M1335">
        <v>0.99966809999999995</v>
      </c>
      <c r="N1335">
        <v>0</v>
      </c>
      <c r="O1335">
        <v>-2.1617899999999999E-2</v>
      </c>
      <c r="P1335">
        <v>0.99772609999999995</v>
      </c>
      <c r="Q1335">
        <v>-6.0850590000000003E-3</v>
      </c>
      <c r="R1335">
        <v>6.7123080000000002E-2</v>
      </c>
      <c r="S1335">
        <v>3.014084</v>
      </c>
      <c r="T1335">
        <v>-0.14413010000000001</v>
      </c>
      <c r="U1335">
        <v>-0.1167908</v>
      </c>
      <c r="V1335">
        <v>-8.8666510000000004E-2</v>
      </c>
      <c r="W1335">
        <v>8.012033E-3</v>
      </c>
      <c r="X1335">
        <v>0.996029099999999</v>
      </c>
      <c r="Y1335">
        <v>1.711157E-2</v>
      </c>
      <c r="Z1335">
        <v>6.2395820000000005E-4</v>
      </c>
      <c r="AA1335">
        <v>0.9998534</v>
      </c>
      <c r="AB1335">
        <v>27</v>
      </c>
      <c r="AC1335">
        <v>22.941299999999998</v>
      </c>
      <c r="AD1335">
        <v>-1.1043348946951901</v>
      </c>
      <c r="AE1335">
        <v>-0.89109999999999401</v>
      </c>
      <c r="AF1335">
        <v>0.39398870757152299</v>
      </c>
      <c r="AG1335">
        <v>-1.1043348946951901</v>
      </c>
      <c r="AH1335">
        <v>22.902213992754199</v>
      </c>
      <c r="AI1335">
        <v>92.760231745408802</v>
      </c>
      <c r="AJ1335">
        <v>89.014433118244497</v>
      </c>
      <c r="AK1335">
        <v>22.932208538020099</v>
      </c>
    </row>
    <row r="1336" spans="1:37" x14ac:dyDescent="0.2">
      <c r="A1336" t="str">
        <f>"20200111155523529"</f>
        <v>20200111155523529</v>
      </c>
      <c r="B1336" t="str">
        <f>"1578729323523183"</f>
        <v>1578729323523183</v>
      </c>
      <c r="C1336" t="s">
        <v>37</v>
      </c>
      <c r="D1336">
        <v>5.2967009999999997</v>
      </c>
      <c r="E1336">
        <v>0.54053530000000005</v>
      </c>
      <c r="F1336" t="s">
        <v>38</v>
      </c>
      <c r="G1336">
        <v>-219.00970000000001</v>
      </c>
      <c r="H1336" s="1">
        <v>-9.2854949999999997E-7</v>
      </c>
      <c r="I1336">
        <v>367.34089999999998</v>
      </c>
      <c r="J1336">
        <v>-241.86670000000001</v>
      </c>
      <c r="K1336">
        <v>1.1043430000000001</v>
      </c>
      <c r="L1336">
        <v>368.25819999999999</v>
      </c>
      <c r="M1336">
        <v>0.99965769999999998</v>
      </c>
      <c r="N1336">
        <v>0</v>
      </c>
      <c r="O1336">
        <v>-2.20904E-2</v>
      </c>
      <c r="P1336">
        <v>0.99781350000000002</v>
      </c>
      <c r="Q1336">
        <v>-4.072038E-3</v>
      </c>
      <c r="R1336">
        <v>6.5968529999999997E-2</v>
      </c>
      <c r="S1336">
        <v>3.0140689999999899</v>
      </c>
      <c r="T1336">
        <v>-0.14461079999999901</v>
      </c>
      <c r="U1336">
        <v>-0.12063599999999999</v>
      </c>
      <c r="V1336">
        <v>-8.7982389999999994E-2</v>
      </c>
      <c r="W1336">
        <v>1.002278E-2</v>
      </c>
      <c r="X1336">
        <v>0.99607159999999995</v>
      </c>
      <c r="Y1336">
        <v>1.7912419999999998E-2</v>
      </c>
      <c r="Z1336">
        <v>6.2946859999999999E-4</v>
      </c>
      <c r="AA1336">
        <v>0.99983940000000004</v>
      </c>
      <c r="AB1336">
        <v>27</v>
      </c>
      <c r="AC1336">
        <v>22.856999999999999</v>
      </c>
      <c r="AD1336">
        <v>-1.1043439285495</v>
      </c>
      <c r="AE1336">
        <v>-0.917300000000011</v>
      </c>
      <c r="AF1336">
        <v>0.41114799678663599</v>
      </c>
      <c r="AG1336">
        <v>-1.1043439285495</v>
      </c>
      <c r="AH1336">
        <v>22.818505544126602</v>
      </c>
      <c r="AI1336">
        <v>92.770324694690302</v>
      </c>
      <c r="AJ1336">
        <v>88.967745888586094</v>
      </c>
      <c r="AK1336">
        <v>22.8489127412033</v>
      </c>
    </row>
    <row r="1337" spans="1:37" x14ac:dyDescent="0.2">
      <c r="A1337" t="str">
        <f>"20200111155523542"</f>
        <v>20200111155523542</v>
      </c>
      <c r="B1337" t="str">
        <f>"1578729323533919"</f>
        <v>1578729323533919</v>
      </c>
      <c r="C1337" t="s">
        <v>37</v>
      </c>
      <c r="D1337">
        <v>5.2576070000000001</v>
      </c>
      <c r="E1337">
        <v>0.54063090000000003</v>
      </c>
      <c r="F1337" t="s">
        <v>38</v>
      </c>
      <c r="G1337">
        <v>-218.4443</v>
      </c>
      <c r="H1337" s="1">
        <v>-1.1340840000000001E-6</v>
      </c>
      <c r="I1337">
        <v>367.29160000000002</v>
      </c>
      <c r="J1337">
        <v>-241.70509999999999</v>
      </c>
      <c r="K1337">
        <v>1.104347</v>
      </c>
      <c r="L1337">
        <v>368.25409999999999</v>
      </c>
      <c r="M1337">
        <v>0.99964709999999901</v>
      </c>
      <c r="N1337">
        <v>0</v>
      </c>
      <c r="O1337">
        <v>-2.2567779999999999E-2</v>
      </c>
      <c r="P1337">
        <v>0.9978572</v>
      </c>
      <c r="Q1337">
        <v>-3.1528200000000002E-3</v>
      </c>
      <c r="R1337">
        <v>6.5356220000000007E-2</v>
      </c>
      <c r="S1337">
        <v>3.014221</v>
      </c>
      <c r="T1337">
        <v>-0.14211679999999999</v>
      </c>
      <c r="U1337">
        <v>-0.124389599999999</v>
      </c>
      <c r="V1337">
        <v>-8.7845690000000004E-2</v>
      </c>
      <c r="W1337">
        <v>1.0940160000000001E-2</v>
      </c>
      <c r="X1337">
        <v>0.99607400000000001</v>
      </c>
      <c r="Y1337">
        <v>1.8675500000000001E-2</v>
      </c>
      <c r="Z1337">
        <v>6.230815E-4</v>
      </c>
      <c r="AA1337">
        <v>0.99982539999999998</v>
      </c>
      <c r="AB1337">
        <v>27</v>
      </c>
      <c r="AC1337">
        <v>23.2607999999999</v>
      </c>
      <c r="AD1337">
        <v>-1.104348134084</v>
      </c>
      <c r="AE1337">
        <v>-0.96249999999997704</v>
      </c>
      <c r="AF1337">
        <v>0.43627694396086403</v>
      </c>
      <c r="AG1337">
        <v>-1.104348134084</v>
      </c>
      <c r="AH1337">
        <v>23.224339043066401</v>
      </c>
      <c r="AI1337">
        <v>92.721960129531993</v>
      </c>
      <c r="AJ1337">
        <v>88.923806279370197</v>
      </c>
      <c r="AK1337">
        <v>23.254673645535998</v>
      </c>
    </row>
    <row r="1338" spans="1:37" x14ac:dyDescent="0.2">
      <c r="A1338" t="str">
        <f>"20200111155523554"</f>
        <v>20200111155523554</v>
      </c>
      <c r="B1338" t="str">
        <f>"1578729323543679"</f>
        <v>1578729323543679</v>
      </c>
      <c r="C1338" t="s">
        <v>37</v>
      </c>
      <c r="D1338">
        <v>5.2765409999999999</v>
      </c>
      <c r="E1338">
        <v>0.54061159999999997</v>
      </c>
      <c r="F1338" t="s">
        <v>38</v>
      </c>
      <c r="G1338">
        <v>-218.1259</v>
      </c>
      <c r="H1338" s="1">
        <v>-1.251008E-6</v>
      </c>
      <c r="I1338">
        <v>367.2593</v>
      </c>
      <c r="J1338">
        <v>-241.55340000000001</v>
      </c>
      <c r="K1338">
        <v>1.1043510000000001</v>
      </c>
      <c r="L1338">
        <v>368.25020000000001</v>
      </c>
      <c r="M1338">
        <v>0.999637</v>
      </c>
      <c r="N1338">
        <v>0</v>
      </c>
      <c r="O1338">
        <v>-2.3015730000000002E-2</v>
      </c>
      <c r="P1338">
        <v>0.99788279999999996</v>
      </c>
      <c r="Q1338">
        <v>-1.835773E-3</v>
      </c>
      <c r="R1338">
        <v>6.5012790000000001E-2</v>
      </c>
      <c r="S1338">
        <v>3.0143279999999999</v>
      </c>
      <c r="T1338">
        <v>-0.141178</v>
      </c>
      <c r="U1338">
        <v>-0.12716669999999999</v>
      </c>
      <c r="V1338">
        <v>-8.7946960000000005E-2</v>
      </c>
      <c r="W1338">
        <v>1.2255189999999999E-2</v>
      </c>
      <c r="X1338">
        <v>0.99604979999999999</v>
      </c>
      <c r="Y1338">
        <v>1.9145479999999999E-2</v>
      </c>
      <c r="Z1338">
        <v>6.2889059999999999E-4</v>
      </c>
      <c r="AA1338">
        <v>0.9998165</v>
      </c>
      <c r="AB1338">
        <v>27</v>
      </c>
      <c r="AC1338">
        <v>23.427499999999998</v>
      </c>
      <c r="AD1338">
        <v>-1.1043522510079999</v>
      </c>
      <c r="AE1338">
        <v>-0.99090000000001</v>
      </c>
      <c r="AF1338">
        <v>0.45038454737247002</v>
      </c>
      <c r="AG1338">
        <v>-1.1043522510079999</v>
      </c>
      <c r="AH1338">
        <v>23.3922144473411</v>
      </c>
      <c r="AI1338">
        <v>92.702440944123595</v>
      </c>
      <c r="AJ1338">
        <v>88.896985754700196</v>
      </c>
      <c r="AK1338">
        <v>23.422598849940002</v>
      </c>
    </row>
    <row r="1339" spans="1:37" x14ac:dyDescent="0.2">
      <c r="A1339" t="str">
        <f>"20200111155523566"</f>
        <v>20200111155523566</v>
      </c>
      <c r="B1339" t="str">
        <f>"1578729323564176"</f>
        <v>1578729323564176</v>
      </c>
      <c r="C1339" t="s">
        <v>37</v>
      </c>
      <c r="D1339">
        <v>5.7001249999999999</v>
      </c>
      <c r="E1339">
        <v>0.54054869999999899</v>
      </c>
      <c r="F1339" t="s">
        <v>38</v>
      </c>
      <c r="G1339">
        <v>-217.48310000000001</v>
      </c>
      <c r="H1339" s="1">
        <v>-1.485898E-6</v>
      </c>
      <c r="I1339">
        <v>367.22719999999998</v>
      </c>
      <c r="J1339">
        <v>-241.40950000000001</v>
      </c>
      <c r="K1339">
        <v>1.104355</v>
      </c>
      <c r="L1339">
        <v>368.24639999999999</v>
      </c>
      <c r="M1339">
        <v>0.99962700000000004</v>
      </c>
      <c r="N1339">
        <v>0</v>
      </c>
      <c r="O1339">
        <v>-2.3440550000000001E-2</v>
      </c>
      <c r="P1339">
        <v>0.99790080000000003</v>
      </c>
      <c r="Q1339">
        <v>-6.9336490000000001E-4</v>
      </c>
      <c r="R1339">
        <v>6.4756530000000007E-2</v>
      </c>
      <c r="S1339">
        <v>3.0144500000000001</v>
      </c>
      <c r="T1339">
        <v>-0.13830329999999999</v>
      </c>
      <c r="U1339">
        <v>-0.1281128</v>
      </c>
      <c r="V1339">
        <v>-8.8112850000000006E-2</v>
      </c>
      <c r="W1339">
        <v>1.339569E-2</v>
      </c>
      <c r="X1339">
        <v>0.99602039999999903</v>
      </c>
      <c r="Y1339">
        <v>1.9032480000000001E-2</v>
      </c>
      <c r="Z1339">
        <v>6.3812329999999998E-4</v>
      </c>
      <c r="AA1339">
        <v>0.99981869999999995</v>
      </c>
      <c r="AB1339">
        <v>27</v>
      </c>
      <c r="AC1339">
        <v>23.926400000000001</v>
      </c>
      <c r="AD1339">
        <v>-1.104356485898</v>
      </c>
      <c r="AE1339">
        <v>-1.0192000000000101</v>
      </c>
      <c r="AF1339">
        <v>0.45704491174530498</v>
      </c>
      <c r="AG1339">
        <v>-1.104356485898</v>
      </c>
      <c r="AH1339">
        <v>23.8929078956171</v>
      </c>
      <c r="AI1339">
        <v>92.645907098944903</v>
      </c>
      <c r="AJ1339">
        <v>88.904128736903601</v>
      </c>
      <c r="AK1339">
        <v>23.922782885938201</v>
      </c>
    </row>
    <row r="1340" spans="1:37" x14ac:dyDescent="0.2">
      <c r="A1340" t="str">
        <f>"20200111155523577"</f>
        <v>20200111155523577</v>
      </c>
      <c r="B1340" t="str">
        <f>"1578729323573936"</f>
        <v>1578729323573936</v>
      </c>
      <c r="C1340" t="s">
        <v>37</v>
      </c>
      <c r="D1340">
        <v>5.2944570000000004</v>
      </c>
      <c r="E1340">
        <v>0.54048759999999996</v>
      </c>
      <c r="F1340" t="s">
        <v>38</v>
      </c>
      <c r="G1340">
        <v>-216.02930000000001</v>
      </c>
      <c r="H1340" s="1">
        <v>-2.1203030000000001E-6</v>
      </c>
      <c r="I1340">
        <v>367.16649999999998</v>
      </c>
      <c r="J1340">
        <v>-241.26679999999999</v>
      </c>
      <c r="K1340">
        <v>1.104357</v>
      </c>
      <c r="L1340">
        <v>368.24259999999998</v>
      </c>
      <c r="M1340">
        <v>0.99961719999999898</v>
      </c>
      <c r="N1340">
        <v>0</v>
      </c>
      <c r="O1340">
        <v>-2.3862270000000001E-2</v>
      </c>
      <c r="P1340">
        <v>0.99790249999999903</v>
      </c>
      <c r="Q1340">
        <v>5.7965060000000001E-4</v>
      </c>
      <c r="R1340">
        <v>6.4735029999999999E-2</v>
      </c>
      <c r="S1340">
        <v>3.014526</v>
      </c>
      <c r="T1340">
        <v>-0.13116929999999999</v>
      </c>
      <c r="U1340">
        <v>-0.1282654</v>
      </c>
      <c r="V1340">
        <v>-8.8510210000000006E-2</v>
      </c>
      <c r="W1340">
        <v>1.4667289999999999E-2</v>
      </c>
      <c r="X1340">
        <v>0.9959673</v>
      </c>
      <c r="Y1340">
        <v>1.8660409999999999E-2</v>
      </c>
      <c r="Z1340">
        <v>6.3163719999999996E-4</v>
      </c>
      <c r="AA1340">
        <v>0.99982569999999904</v>
      </c>
      <c r="AB1340">
        <v>27</v>
      </c>
      <c r="AC1340">
        <v>25.237499999999901</v>
      </c>
      <c r="AD1340">
        <v>-1.1043591203030001</v>
      </c>
      <c r="AE1340">
        <v>-1.0760999999999901</v>
      </c>
      <c r="AF1340">
        <v>0.472607131532014</v>
      </c>
      <c r="AG1340">
        <v>-1.1043591203030001</v>
      </c>
      <c r="AH1340">
        <v>25.207812228116602</v>
      </c>
      <c r="AI1340">
        <v>92.508094876864902</v>
      </c>
      <c r="AJ1340">
        <v>88.925919405161196</v>
      </c>
      <c r="AK1340">
        <v>25.236417414034001</v>
      </c>
    </row>
    <row r="1341" spans="1:37" x14ac:dyDescent="0.2">
      <c r="A1341" t="str">
        <f>"20200111155523589"</f>
        <v>20200111155523589</v>
      </c>
      <c r="B1341" t="str">
        <f>"1578729323583695"</f>
        <v>1578729323583695</v>
      </c>
      <c r="C1341" t="s">
        <v>37</v>
      </c>
      <c r="D1341">
        <v>5.276186</v>
      </c>
      <c r="E1341">
        <v>0.54052389999999995</v>
      </c>
      <c r="F1341" t="s">
        <v>38</v>
      </c>
      <c r="G1341">
        <v>-214.6576</v>
      </c>
      <c r="H1341" s="1">
        <v>-2.7180009999999999E-6</v>
      </c>
      <c r="I1341">
        <v>367.11450000000002</v>
      </c>
      <c r="J1341">
        <v>-241.13130000000001</v>
      </c>
      <c r="K1341">
        <v>1.1043590000000001</v>
      </c>
      <c r="L1341">
        <v>368.2389</v>
      </c>
      <c r="M1341">
        <v>0.99960749999999998</v>
      </c>
      <c r="N1341">
        <v>0</v>
      </c>
      <c r="O1341">
        <v>-2.426265E-2</v>
      </c>
      <c r="P1341">
        <v>0.99790330000000005</v>
      </c>
      <c r="Q1341">
        <v>1.6134459999999999E-3</v>
      </c>
      <c r="R1341">
        <v>6.4704090000000006E-2</v>
      </c>
      <c r="S1341">
        <v>3.0146790000000001</v>
      </c>
      <c r="T1341">
        <v>-0.1251177</v>
      </c>
      <c r="U1341">
        <v>-0.12780759999999999</v>
      </c>
      <c r="V1341">
        <v>-8.8876399999999994E-2</v>
      </c>
      <c r="W1341">
        <v>1.5699999999999999E-2</v>
      </c>
      <c r="X1341">
        <v>0.99591890000000005</v>
      </c>
      <c r="Y1341">
        <v>1.810662E-2</v>
      </c>
      <c r="Z1341">
        <v>6.3057160000000001E-4</v>
      </c>
      <c r="AA1341">
        <v>0.99983580000000005</v>
      </c>
      <c r="AB1341">
        <v>27</v>
      </c>
      <c r="AC1341">
        <v>26.473700000000001</v>
      </c>
      <c r="AD1341">
        <v>-1.1043617180009999</v>
      </c>
      <c r="AE1341">
        <v>-1.1243999999999801</v>
      </c>
      <c r="AF1341">
        <v>0.48084854908499097</v>
      </c>
      <c r="AG1341">
        <v>-1.1043617180009999</v>
      </c>
      <c r="AH1341">
        <v>26.447248684848699</v>
      </c>
      <c r="AI1341">
        <v>92.390724659607102</v>
      </c>
      <c r="AJ1341">
        <v>88.958396102648095</v>
      </c>
      <c r="AK1341">
        <v>26.4746632297669</v>
      </c>
    </row>
    <row r="1342" spans="1:37" x14ac:dyDescent="0.2">
      <c r="A1342" t="str">
        <f>"20200111155523602"</f>
        <v>20200111155523602</v>
      </c>
      <c r="B1342" t="str">
        <f>"1578729323593455"</f>
        <v>1578729323593455</v>
      </c>
      <c r="C1342" t="s">
        <v>37</v>
      </c>
      <c r="D1342">
        <v>5.2979310000000002</v>
      </c>
      <c r="E1342">
        <v>0.54051110000000002</v>
      </c>
      <c r="F1342" t="s">
        <v>38</v>
      </c>
      <c r="G1342">
        <v>-214.1157</v>
      </c>
      <c r="H1342" s="1">
        <v>-2.954469E-6</v>
      </c>
      <c r="I1342">
        <v>367.09190000000001</v>
      </c>
      <c r="J1342">
        <v>-240.98349999999999</v>
      </c>
      <c r="K1342">
        <v>1.10436</v>
      </c>
      <c r="L1342">
        <v>368.23489999999998</v>
      </c>
      <c r="M1342">
        <v>0.99959669999999901</v>
      </c>
      <c r="N1342">
        <v>0</v>
      </c>
      <c r="O1342">
        <v>-2.4699749999999999E-2</v>
      </c>
      <c r="P1342">
        <v>0.99788019999999999</v>
      </c>
      <c r="Q1342">
        <v>2.00154E-3</v>
      </c>
      <c r="R1342">
        <v>6.5047320000000006E-2</v>
      </c>
      <c r="S1342">
        <v>3.0148009999999998</v>
      </c>
      <c r="T1342">
        <v>-0.1232405</v>
      </c>
      <c r="U1342">
        <v>-0.12799069999999901</v>
      </c>
      <c r="V1342">
        <v>-8.9654170000000005E-2</v>
      </c>
      <c r="W1342">
        <v>1.608571E-2</v>
      </c>
      <c r="X1342">
        <v>0.99584309999999998</v>
      </c>
      <c r="Y1342">
        <v>1.7728839999999999E-2</v>
      </c>
      <c r="Z1342">
        <v>6.4665359999999995E-4</v>
      </c>
      <c r="AA1342">
        <v>0.99984259999999903</v>
      </c>
      <c r="AB1342">
        <v>27</v>
      </c>
      <c r="AC1342">
        <v>26.8677999999999</v>
      </c>
      <c r="AD1342">
        <v>-1.1043629544689999</v>
      </c>
      <c r="AE1342">
        <v>-1.14299999999997</v>
      </c>
      <c r="AF1342">
        <v>0.47815173109805198</v>
      </c>
      <c r="AG1342">
        <v>-1.1043629544689999</v>
      </c>
      <c r="AH1342">
        <v>26.842567282729402</v>
      </c>
      <c r="AI1342">
        <v>92.355573913923095</v>
      </c>
      <c r="AJ1342">
        <v>88.979487366410297</v>
      </c>
      <c r="AK1342">
        <v>26.869530419064098</v>
      </c>
    </row>
    <row r="1343" spans="1:37" x14ac:dyDescent="0.2">
      <c r="A1343" t="str">
        <f>"20200111155523613"</f>
        <v>20200111155523613</v>
      </c>
      <c r="B1343" t="str">
        <f>"1578729323603216"</f>
        <v>1578729323603216</v>
      </c>
      <c r="C1343" t="s">
        <v>37</v>
      </c>
      <c r="D1343">
        <v>5.1878960000000003</v>
      </c>
      <c r="E1343">
        <v>0.54067670000000001</v>
      </c>
      <c r="F1343" t="s">
        <v>38</v>
      </c>
      <c r="G1343">
        <v>-213.98830000000001</v>
      </c>
      <c r="H1343" s="1">
        <v>-3.0079879999999999E-6</v>
      </c>
      <c r="I1343">
        <v>367.09840000000003</v>
      </c>
      <c r="J1343">
        <v>-240.83680000000001</v>
      </c>
      <c r="K1343">
        <v>1.1043609999999999</v>
      </c>
      <c r="L1343">
        <v>368.23079999999999</v>
      </c>
      <c r="M1343">
        <v>0.99958599999999997</v>
      </c>
      <c r="N1343">
        <v>0</v>
      </c>
      <c r="O1343">
        <v>-2.5134219999999999E-2</v>
      </c>
      <c r="P1343">
        <v>0.99785619999999997</v>
      </c>
      <c r="Q1343">
        <v>2.0006450000000001E-3</v>
      </c>
      <c r="R1343">
        <v>6.5417649999999994E-2</v>
      </c>
      <c r="S1343">
        <v>3.0148769999999998</v>
      </c>
      <c r="T1343">
        <v>-0.12333710000000001</v>
      </c>
      <c r="U1343">
        <v>-0.1269226</v>
      </c>
      <c r="V1343">
        <v>-9.045665E-2</v>
      </c>
      <c r="W1343">
        <v>1.6083799999999999E-2</v>
      </c>
      <c r="X1343">
        <v>0.9957705</v>
      </c>
      <c r="Y1343">
        <v>1.6940630000000002E-2</v>
      </c>
      <c r="Z1343">
        <v>6.8100979999999897E-4</v>
      </c>
      <c r="AA1343">
        <v>0.99985630000000003</v>
      </c>
      <c r="AB1343">
        <v>27</v>
      </c>
      <c r="AC1343">
        <v>26.848500000000001</v>
      </c>
      <c r="AD1343">
        <v>-1.1043640079879999</v>
      </c>
      <c r="AE1343">
        <v>-1.1323999999999601</v>
      </c>
      <c r="AF1343">
        <v>0.45638909654673798</v>
      </c>
      <c r="AG1343">
        <v>-1.1043640079879999</v>
      </c>
      <c r="AH1343">
        <v>26.823178725910299</v>
      </c>
      <c r="AI1343">
        <v>92.357309645702699</v>
      </c>
      <c r="AJ1343">
        <v>89.025221941441401</v>
      </c>
      <c r="AK1343">
        <v>26.849782640306699</v>
      </c>
    </row>
    <row r="1344" spans="1:37" x14ac:dyDescent="0.2">
      <c r="A1344" t="str">
        <f>"20200111155523627"</f>
        <v>20200111155523627</v>
      </c>
      <c r="B1344" t="str">
        <f>"1578729323623712"</f>
        <v>1578729323623712</v>
      </c>
      <c r="C1344" t="s">
        <v>37</v>
      </c>
      <c r="D1344">
        <v>5.211773</v>
      </c>
      <c r="E1344">
        <v>0.54083700000000001</v>
      </c>
      <c r="F1344" t="s">
        <v>38</v>
      </c>
      <c r="G1344">
        <v>-214.14789999999999</v>
      </c>
      <c r="H1344" s="1">
        <v>-2.9386070000000001E-6</v>
      </c>
      <c r="I1344">
        <v>367.1035</v>
      </c>
      <c r="J1344">
        <v>-240.68799999999999</v>
      </c>
      <c r="K1344">
        <v>1.1043620000000001</v>
      </c>
      <c r="L1344">
        <v>368.22660000000002</v>
      </c>
      <c r="M1344">
        <v>0.99957479999999999</v>
      </c>
      <c r="N1344">
        <v>0</v>
      </c>
      <c r="O1344">
        <v>-2.5574050000000001E-2</v>
      </c>
      <c r="P1344">
        <v>0.99783860000000002</v>
      </c>
      <c r="Q1344">
        <v>1.707215E-3</v>
      </c>
      <c r="R1344">
        <v>6.5690990000000005E-2</v>
      </c>
      <c r="S1344">
        <v>3.0150600000000001</v>
      </c>
      <c r="T1344">
        <v>-0.1247605</v>
      </c>
      <c r="U1344">
        <v>-0.12734989999999999</v>
      </c>
      <c r="V1344">
        <v>-9.116834E-2</v>
      </c>
      <c r="W1344">
        <v>1.5788679999999999E-2</v>
      </c>
      <c r="X1344">
        <v>0.99571030000000005</v>
      </c>
      <c r="Y1344">
        <v>1.6640329999999998E-2</v>
      </c>
      <c r="Z1344">
        <v>7.1320219999999998E-4</v>
      </c>
      <c r="AA1344">
        <v>0.99986129999999995</v>
      </c>
      <c r="AB1344">
        <v>27</v>
      </c>
      <c r="AC1344">
        <v>26.540099999999899</v>
      </c>
      <c r="AD1344">
        <v>-1.104364938607</v>
      </c>
      <c r="AE1344">
        <v>-1.12310000000002</v>
      </c>
      <c r="AF1344">
        <v>0.44316220260876799</v>
      </c>
      <c r="AG1344">
        <v>-1.104364938607</v>
      </c>
      <c r="AH1344">
        <v>26.514315651573799</v>
      </c>
      <c r="AI1344">
        <v>92.384752312036696</v>
      </c>
      <c r="AJ1344">
        <v>89.042443329970993</v>
      </c>
      <c r="AK1344">
        <v>26.5410050511795</v>
      </c>
    </row>
    <row r="1345" spans="1:37" x14ac:dyDescent="0.2">
      <c r="A1345" t="str">
        <f>"20200111155523640"</f>
        <v>20200111155523640</v>
      </c>
      <c r="B1345" t="str">
        <f>"1578729323633471"</f>
        <v>1578729323633471</v>
      </c>
      <c r="C1345" t="s">
        <v>37</v>
      </c>
      <c r="D1345">
        <v>5.2648269999999897</v>
      </c>
      <c r="E1345">
        <v>0.54099919999999901</v>
      </c>
      <c r="F1345" t="s">
        <v>38</v>
      </c>
      <c r="G1345">
        <v>-214.88630000000001</v>
      </c>
      <c r="H1345" s="1">
        <v>-2.6162040000000002E-6</v>
      </c>
      <c r="I1345">
        <v>367.1352</v>
      </c>
      <c r="J1345">
        <v>-240.52809999999999</v>
      </c>
      <c r="K1345">
        <v>1.104363</v>
      </c>
      <c r="L1345">
        <v>368.22190000000001</v>
      </c>
      <c r="M1345">
        <v>0.99956270000000003</v>
      </c>
      <c r="N1345">
        <v>0</v>
      </c>
      <c r="O1345">
        <v>-2.604679E-2</v>
      </c>
      <c r="P1345">
        <v>0.99775939999999996</v>
      </c>
      <c r="Q1345">
        <v>1.264392E-3</v>
      </c>
      <c r="R1345">
        <v>6.6893830000000001E-2</v>
      </c>
      <c r="S1345">
        <v>3.0151209999999899</v>
      </c>
      <c r="T1345">
        <v>-0.1290529</v>
      </c>
      <c r="U1345">
        <v>-0.12753299999999901</v>
      </c>
      <c r="V1345">
        <v>-9.2840590000000001E-2</v>
      </c>
      <c r="W1345">
        <v>1.5343839999999999E-2</v>
      </c>
      <c r="X1345">
        <v>0.99556270000000002</v>
      </c>
      <c r="Y1345">
        <v>1.622856E-2</v>
      </c>
      <c r="Z1345">
        <v>7.6671330000000002E-4</v>
      </c>
      <c r="AA1345">
        <v>0.99986799999999998</v>
      </c>
      <c r="AB1345">
        <v>27</v>
      </c>
      <c r="AC1345">
        <v>25.6417999999999</v>
      </c>
      <c r="AD1345">
        <v>-1.1043656162040001</v>
      </c>
      <c r="AE1345">
        <v>-1.0867</v>
      </c>
      <c r="AF1345">
        <v>0.41760596070584</v>
      </c>
      <c r="AG1345">
        <v>-1.1043656162040001</v>
      </c>
      <c r="AH1345">
        <v>25.613979399443402</v>
      </c>
      <c r="AI1345">
        <v>92.4684930841007</v>
      </c>
      <c r="AJ1345">
        <v>89.065942118680198</v>
      </c>
      <c r="AK1345">
        <v>25.641177017207699</v>
      </c>
    </row>
    <row r="1346" spans="1:37" x14ac:dyDescent="0.2">
      <c r="A1346" t="str">
        <f>"20200111155523653"</f>
        <v>20200111155523653</v>
      </c>
      <c r="B1346" t="str">
        <f>"1578729323643231"</f>
        <v>1578729323643231</v>
      </c>
      <c r="C1346" t="s">
        <v>37</v>
      </c>
      <c r="D1346">
        <v>5.2567129999999898</v>
      </c>
      <c r="E1346">
        <v>0.54103669999999904</v>
      </c>
      <c r="F1346" t="s">
        <v>38</v>
      </c>
      <c r="G1346">
        <v>-215.23009999999999</v>
      </c>
      <c r="H1346" s="1">
        <v>-2.462609E-6</v>
      </c>
      <c r="I1346">
        <v>367.1696</v>
      </c>
      <c r="J1346">
        <v>-240.36689999999999</v>
      </c>
      <c r="K1346">
        <v>1.104363</v>
      </c>
      <c r="L1346">
        <v>368.21719999999999</v>
      </c>
      <c r="M1346">
        <v>0.99955020000000006</v>
      </c>
      <c r="N1346">
        <v>0</v>
      </c>
      <c r="O1346">
        <v>-2.6524530000000001E-2</v>
      </c>
      <c r="P1346">
        <v>0.99775590000000003</v>
      </c>
      <c r="Q1346">
        <v>1.192675E-3</v>
      </c>
      <c r="R1346">
        <v>6.6947679999999996E-2</v>
      </c>
      <c r="S1346">
        <v>3.0152890000000001</v>
      </c>
      <c r="T1346">
        <v>-0.13162989999999999</v>
      </c>
      <c r="U1346">
        <v>-0.12542719999999999</v>
      </c>
      <c r="V1346">
        <v>-9.3369980000000005E-2</v>
      </c>
      <c r="W1346">
        <v>1.527042E-2</v>
      </c>
      <c r="X1346">
        <v>0.99551440000000002</v>
      </c>
      <c r="Y1346">
        <v>1.5053220000000001E-2</v>
      </c>
      <c r="Z1346">
        <v>8.2843830000000002E-4</v>
      </c>
      <c r="AA1346">
        <v>0.99988630000000001</v>
      </c>
      <c r="AB1346">
        <v>27</v>
      </c>
      <c r="AC1346">
        <v>25.136799999999901</v>
      </c>
      <c r="AD1346">
        <v>-1.104365462609</v>
      </c>
      <c r="AE1346">
        <v>-1.0475999999999801</v>
      </c>
      <c r="AF1346">
        <v>0.379692620510651</v>
      </c>
      <c r="AG1346">
        <v>-1.104365462609</v>
      </c>
      <c r="AH1346">
        <v>25.107365442293801</v>
      </c>
      <c r="AI1346">
        <v>92.518284921414406</v>
      </c>
      <c r="AJ1346">
        <v>89.133595815892903</v>
      </c>
      <c r="AK1346">
        <v>25.1345099218975</v>
      </c>
    </row>
    <row r="1347" spans="1:37" x14ac:dyDescent="0.2">
      <c r="A1347" t="str">
        <f>"20200111155523665"</f>
        <v>20200111155523665</v>
      </c>
      <c r="B1347" t="str">
        <f>"1578729323653726"</f>
        <v>1578729323653726</v>
      </c>
      <c r="C1347" t="s">
        <v>37</v>
      </c>
      <c r="D1347">
        <v>5.282794</v>
      </c>
      <c r="E1347">
        <v>0.54112109999999902</v>
      </c>
      <c r="F1347" t="s">
        <v>38</v>
      </c>
      <c r="G1347">
        <v>-215.1859</v>
      </c>
      <c r="H1347" s="1">
        <v>-2.4817700000000001E-6</v>
      </c>
      <c r="I1347">
        <v>367.16849999999999</v>
      </c>
      <c r="J1347">
        <v>-240.22790000000001</v>
      </c>
      <c r="K1347">
        <v>1.1043639999999999</v>
      </c>
      <c r="L1347">
        <v>368.21300000000002</v>
      </c>
      <c r="M1347">
        <v>0.99953919999999996</v>
      </c>
      <c r="N1347">
        <v>0</v>
      </c>
      <c r="O1347">
        <v>-2.6935750000000001E-2</v>
      </c>
      <c r="P1347">
        <v>0.99775609999999904</v>
      </c>
      <c r="Q1347">
        <v>8.8169919999999996E-4</v>
      </c>
      <c r="R1347">
        <v>6.6949519999999998E-2</v>
      </c>
      <c r="S1347">
        <v>3.0153500000000002</v>
      </c>
      <c r="T1347">
        <v>-0.13224459999999999</v>
      </c>
      <c r="U1347">
        <v>-0.12557979999999999</v>
      </c>
      <c r="V1347">
        <v>-9.3782470000000007E-2</v>
      </c>
      <c r="W1347">
        <v>1.495813E-2</v>
      </c>
      <c r="X1347">
        <v>0.99548040000000004</v>
      </c>
      <c r="Y1347">
        <v>1.469236E-2</v>
      </c>
      <c r="Z1347">
        <v>8.5820119999999904E-4</v>
      </c>
      <c r="AA1347">
        <v>0.99989169999999905</v>
      </c>
      <c r="AB1347">
        <v>27</v>
      </c>
      <c r="AC1347">
        <v>25.042000000000002</v>
      </c>
      <c r="AD1347">
        <v>-1.1043664817700001</v>
      </c>
      <c r="AE1347">
        <v>-1.04450000000002</v>
      </c>
      <c r="AF1347">
        <v>0.36881378586805302</v>
      </c>
      <c r="AG1347">
        <v>-1.1043664817700001</v>
      </c>
      <c r="AH1347">
        <v>25.012487986788901</v>
      </c>
      <c r="AI1347">
        <v>92.527841482702499</v>
      </c>
      <c r="AJ1347">
        <v>89.155224298538201</v>
      </c>
      <c r="AK1347">
        <v>25.039572764405602</v>
      </c>
    </row>
    <row r="1348" spans="1:37" x14ac:dyDescent="0.2">
      <c r="A1348" t="str">
        <f>"20200111155523677"</f>
        <v>20200111155523677</v>
      </c>
      <c r="B1348" t="str">
        <f>"1578729323673246"</f>
        <v>1578729323673246</v>
      </c>
      <c r="C1348" t="s">
        <v>37</v>
      </c>
      <c r="D1348">
        <v>5.3765000000000001</v>
      </c>
      <c r="E1348">
        <v>0.54110449999999999</v>
      </c>
      <c r="F1348" t="s">
        <v>38</v>
      </c>
      <c r="G1348">
        <v>-215.48240000000001</v>
      </c>
      <c r="H1348" s="1">
        <v>-2.3528909999999999E-6</v>
      </c>
      <c r="I1348">
        <v>367.178</v>
      </c>
      <c r="J1348">
        <v>-240.0849</v>
      </c>
      <c r="K1348">
        <v>1.104363</v>
      </c>
      <c r="L1348">
        <v>368.2088</v>
      </c>
      <c r="M1348">
        <v>0.99952759999999996</v>
      </c>
      <c r="N1348">
        <v>0</v>
      </c>
      <c r="O1348">
        <v>-2.7358779999999999E-2</v>
      </c>
      <c r="P1348">
        <v>0.99775930000000002</v>
      </c>
      <c r="Q1348">
        <v>5.607651E-4</v>
      </c>
      <c r="R1348">
        <v>6.6904099999999994E-2</v>
      </c>
      <c r="S1348">
        <v>3.0153500000000002</v>
      </c>
      <c r="T1348">
        <v>-0.13457189999999999</v>
      </c>
      <c r="U1348">
        <v>-0.1261292</v>
      </c>
      <c r="V1348">
        <v>-9.4158859999999997E-2</v>
      </c>
      <c r="W1348">
        <v>1.463534E-2</v>
      </c>
      <c r="X1348">
        <v>0.99544959999999905</v>
      </c>
      <c r="Y1348">
        <v>1.4452090000000001E-2</v>
      </c>
      <c r="Z1348">
        <v>8.9749509999999895E-4</v>
      </c>
      <c r="AA1348">
        <v>0.99989519999999998</v>
      </c>
      <c r="AB1348">
        <v>27</v>
      </c>
      <c r="AC1348">
        <v>24.6024999999999</v>
      </c>
      <c r="AD1348">
        <v>-1.104365352891</v>
      </c>
      <c r="AE1348">
        <v>-1.03079999999994</v>
      </c>
      <c r="AF1348">
        <v>0.35653654192803103</v>
      </c>
      <c r="AG1348">
        <v>-1.104365352891</v>
      </c>
      <c r="AH1348">
        <v>24.572068101725201</v>
      </c>
      <c r="AI1348">
        <v>92.573095357735497</v>
      </c>
      <c r="AJ1348">
        <v>89.168706289425401</v>
      </c>
      <c r="AK1348">
        <v>24.599456740631801</v>
      </c>
    </row>
    <row r="1349" spans="1:37" x14ac:dyDescent="0.2">
      <c r="A1349" t="str">
        <f>"20200111155523688"</f>
        <v>20200111155523688</v>
      </c>
      <c r="B1349" t="str">
        <f>"1578729323683982"</f>
        <v>1578729323683982</v>
      </c>
      <c r="C1349" t="s">
        <v>37</v>
      </c>
      <c r="D1349">
        <v>5.3587889999999998</v>
      </c>
      <c r="E1349">
        <v>0.54110290000000005</v>
      </c>
      <c r="F1349" t="s">
        <v>38</v>
      </c>
      <c r="G1349">
        <v>-215.87039999999999</v>
      </c>
      <c r="H1349" s="1">
        <v>-2.1831379999999899E-6</v>
      </c>
      <c r="I1349">
        <v>367.19659999999999</v>
      </c>
      <c r="J1349">
        <v>-239.9513</v>
      </c>
      <c r="K1349">
        <v>1.104357</v>
      </c>
      <c r="L1349">
        <v>368.2047</v>
      </c>
      <c r="M1349">
        <v>0.99951679999999998</v>
      </c>
      <c r="N1349">
        <v>0</v>
      </c>
      <c r="O1349">
        <v>-2.7753799999999999E-2</v>
      </c>
      <c r="P1349">
        <v>0.99776189999999998</v>
      </c>
      <c r="Q1349" s="1">
        <v>-4.5240159999999998E-6</v>
      </c>
      <c r="R1349">
        <v>6.6868810000000001E-2</v>
      </c>
      <c r="S1349">
        <v>3.015244</v>
      </c>
      <c r="T1349">
        <v>-0.1375179</v>
      </c>
      <c r="U1349">
        <v>-0.1260376</v>
      </c>
      <c r="V1349">
        <v>-9.4517999999999894E-2</v>
      </c>
      <c r="W1349">
        <v>1.406844E-2</v>
      </c>
      <c r="X1349">
        <v>0.99542369999999902</v>
      </c>
      <c r="Y1349">
        <v>1.402951E-2</v>
      </c>
      <c r="Z1349">
        <v>9.4477319999999995E-4</v>
      </c>
      <c r="AA1349">
        <v>0.99990109999999999</v>
      </c>
      <c r="AB1349">
        <v>27</v>
      </c>
      <c r="AC1349">
        <v>24.0809</v>
      </c>
      <c r="AD1349">
        <v>-1.104359183138</v>
      </c>
      <c r="AE1349">
        <v>-1.00810000000001</v>
      </c>
      <c r="AF1349">
        <v>0.33859875314203502</v>
      </c>
      <c r="AG1349">
        <v>-1.104359183138</v>
      </c>
      <c r="AH1349">
        <v>24.049112314932799</v>
      </c>
      <c r="AI1349">
        <v>92.628971968180394</v>
      </c>
      <c r="AJ1349">
        <v>89.193359094235404</v>
      </c>
      <c r="AK1349">
        <v>24.076836616492301</v>
      </c>
    </row>
    <row r="1350" spans="1:37" x14ac:dyDescent="0.2">
      <c r="A1350" t="str">
        <f>"20200111155523700"</f>
        <v>20200111155523700</v>
      </c>
      <c r="B1350" t="str">
        <f>"1578729323693742"</f>
        <v>1578729323693742</v>
      </c>
      <c r="C1350" t="s">
        <v>37</v>
      </c>
      <c r="D1350">
        <v>5.3382129999999997</v>
      </c>
      <c r="E1350">
        <v>0.54109580000000002</v>
      </c>
      <c r="F1350" t="s">
        <v>38</v>
      </c>
      <c r="G1350">
        <v>-216.25810000000001</v>
      </c>
      <c r="H1350" s="1">
        <v>-2.0140690000000001E-6</v>
      </c>
      <c r="I1350">
        <v>367.21210000000002</v>
      </c>
      <c r="J1350">
        <v>-239.81450000000001</v>
      </c>
      <c r="K1350">
        <v>1.104355</v>
      </c>
      <c r="L1350">
        <v>368.2004</v>
      </c>
      <c r="M1350">
        <v>0.99950550000000005</v>
      </c>
      <c r="N1350">
        <v>0</v>
      </c>
      <c r="O1350">
        <v>-2.815836E-2</v>
      </c>
      <c r="P1350">
        <v>0.99779119999999999</v>
      </c>
      <c r="Q1350">
        <v>-6.6775329999999998E-4</v>
      </c>
      <c r="R1350">
        <v>6.6425199999999907E-2</v>
      </c>
      <c r="S1350">
        <v>3.0151819999999998</v>
      </c>
      <c r="T1350">
        <v>-0.1405399</v>
      </c>
      <c r="U1350">
        <v>-0.12631229999999999</v>
      </c>
      <c r="V1350">
        <v>-9.4478989999999999E-2</v>
      </c>
      <c r="W1350">
        <v>1.340332E-2</v>
      </c>
      <c r="X1350">
        <v>0.9954366</v>
      </c>
      <c r="Y1350">
        <v>1.3717969999999999E-2</v>
      </c>
      <c r="Z1350">
        <v>9.9161200000000001E-4</v>
      </c>
      <c r="AA1350">
        <v>0.99990540000000006</v>
      </c>
      <c r="AB1350">
        <v>27</v>
      </c>
      <c r="AC1350">
        <v>23.5564</v>
      </c>
      <c r="AD1350">
        <v>-1.104357014069</v>
      </c>
      <c r="AE1350">
        <v>-0.98829999999998097</v>
      </c>
      <c r="AF1350">
        <v>0.32382300871212999</v>
      </c>
      <c r="AG1350">
        <v>-1.104357014069</v>
      </c>
      <c r="AH1350">
        <v>23.523278931973099</v>
      </c>
      <c r="AI1350">
        <v>92.687660544579003</v>
      </c>
      <c r="AJ1350">
        <v>89.211312339057898</v>
      </c>
      <c r="AK1350">
        <v>23.551414341115599</v>
      </c>
    </row>
    <row r="1351" spans="1:37" x14ac:dyDescent="0.2">
      <c r="A1351" t="str">
        <f>"20200111155523711"</f>
        <v>20200111155523711</v>
      </c>
      <c r="B1351" t="str">
        <f>"1578729323703503"</f>
        <v>1578729323703503</v>
      </c>
      <c r="C1351" t="s">
        <v>37</v>
      </c>
      <c r="D1351">
        <v>5.2510599999999998</v>
      </c>
      <c r="E1351">
        <v>0.54108049999999996</v>
      </c>
      <c r="F1351" t="s">
        <v>38</v>
      </c>
      <c r="G1351">
        <v>-216.58840000000001</v>
      </c>
      <c r="H1351" s="1">
        <v>-1.871376E-6</v>
      </c>
      <c r="I1351">
        <v>367.21780000000001</v>
      </c>
      <c r="J1351">
        <v>-239.6713</v>
      </c>
      <c r="K1351">
        <v>1.104352</v>
      </c>
      <c r="L1351">
        <v>368.19589999999999</v>
      </c>
      <c r="M1351">
        <v>0.99949349999999904</v>
      </c>
      <c r="N1351">
        <v>0</v>
      </c>
      <c r="O1351">
        <v>-2.8582219999999998E-2</v>
      </c>
      <c r="P1351">
        <v>0.99783189999999999</v>
      </c>
      <c r="Q1351">
        <v>-9.4176149999999903E-4</v>
      </c>
      <c r="R1351">
        <v>6.5808450000000004E-2</v>
      </c>
      <c r="S1351">
        <v>3.015015</v>
      </c>
      <c r="T1351">
        <v>-0.1433575</v>
      </c>
      <c r="U1351">
        <v>-0.1275635</v>
      </c>
      <c r="V1351">
        <v>-9.4286129999999996E-2</v>
      </c>
      <c r="W1351">
        <v>1.312725E-2</v>
      </c>
      <c r="X1351">
        <v>0.99545859999999997</v>
      </c>
      <c r="Y1351">
        <v>1.3711599999999999E-2</v>
      </c>
      <c r="Z1351">
        <v>1.0317900000000001E-3</v>
      </c>
      <c r="AA1351">
        <v>0.9999055</v>
      </c>
      <c r="AB1351">
        <v>27</v>
      </c>
      <c r="AC1351">
        <v>23.082899999999899</v>
      </c>
      <c r="AD1351">
        <v>-1.1043538713759999</v>
      </c>
      <c r="AE1351">
        <v>-0.97809999999998298</v>
      </c>
      <c r="AF1351">
        <v>0.31715054807267801</v>
      </c>
      <c r="AG1351">
        <v>-1.1043538713759999</v>
      </c>
      <c r="AH1351">
        <v>23.048763675757801</v>
      </c>
      <c r="AI1351">
        <v>92.742901404562502</v>
      </c>
      <c r="AJ1351">
        <v>89.211660919363595</v>
      </c>
      <c r="AK1351">
        <v>23.077384793869101</v>
      </c>
    </row>
    <row r="1352" spans="1:37" x14ac:dyDescent="0.2">
      <c r="A1352" t="str">
        <f>"20200111155523724"</f>
        <v>20200111155523724</v>
      </c>
      <c r="B1352" t="str">
        <f>"1578729323713262"</f>
        <v>1578729323713262</v>
      </c>
      <c r="C1352" t="s">
        <v>37</v>
      </c>
      <c r="D1352">
        <v>5.4135359999999997</v>
      </c>
      <c r="E1352">
        <v>0.54103419999999902</v>
      </c>
      <c r="F1352" t="s">
        <v>38</v>
      </c>
      <c r="G1352">
        <v>-216.27449999999999</v>
      </c>
      <c r="H1352" s="1">
        <v>-2.010604E-6</v>
      </c>
      <c r="I1352">
        <v>367.19199999999898</v>
      </c>
      <c r="J1352">
        <v>-239.52449999999999</v>
      </c>
      <c r="K1352">
        <v>1.1043499999999999</v>
      </c>
      <c r="L1352">
        <v>368.19130000000001</v>
      </c>
      <c r="M1352">
        <v>0.99948090000000001</v>
      </c>
      <c r="N1352">
        <v>0</v>
      </c>
      <c r="O1352">
        <v>-2.9016569999999998E-2</v>
      </c>
      <c r="P1352">
        <v>0.99786779999999997</v>
      </c>
      <c r="Q1352">
        <v>-1.078877E-3</v>
      </c>
      <c r="R1352">
        <v>6.5257339999999997E-2</v>
      </c>
      <c r="S1352">
        <v>3.0149080000000001</v>
      </c>
      <c r="T1352">
        <v>-0.14230660000000001</v>
      </c>
      <c r="U1352">
        <v>-0.12936400000000001</v>
      </c>
      <c r="V1352">
        <v>-9.4169069999999994E-2</v>
      </c>
      <c r="W1352">
        <v>1.2988980000000001E-2</v>
      </c>
      <c r="X1352">
        <v>0.99547149999999995</v>
      </c>
      <c r="Y1352">
        <v>1.387469E-2</v>
      </c>
      <c r="Z1352">
        <v>1.0408800000000001E-3</v>
      </c>
      <c r="AA1352">
        <v>0.99990319999999899</v>
      </c>
      <c r="AB1352">
        <v>27</v>
      </c>
      <c r="AC1352">
        <v>23.25</v>
      </c>
      <c r="AD1352">
        <v>-1.1043520106039999</v>
      </c>
      <c r="AE1352">
        <v>-0.99930000000006203</v>
      </c>
      <c r="AF1352">
        <v>0.32344937020945902</v>
      </c>
      <c r="AG1352">
        <v>-1.1043520106039999</v>
      </c>
      <c r="AH1352">
        <v>23.2169229045276</v>
      </c>
      <c r="AI1352">
        <v>92.723053650996704</v>
      </c>
      <c r="AJ1352">
        <v>89.201828552491705</v>
      </c>
      <c r="AK1352">
        <v>23.245423678935001</v>
      </c>
    </row>
    <row r="1353" spans="1:37" x14ac:dyDescent="0.2">
      <c r="A1353" t="str">
        <f>"20200111155523738"</f>
        <v>20200111155523738</v>
      </c>
      <c r="B1353" t="str">
        <f>"1578729323733757"</f>
        <v>1578729323733757</v>
      </c>
      <c r="C1353" t="s">
        <v>37</v>
      </c>
      <c r="D1353">
        <v>5.3597910000000004</v>
      </c>
      <c r="E1353">
        <v>0.54111529999999997</v>
      </c>
      <c r="F1353" t="s">
        <v>38</v>
      </c>
      <c r="G1353">
        <v>-215.81120000000001</v>
      </c>
      <c r="H1353" s="1">
        <v>-2.214296E-6</v>
      </c>
      <c r="I1353">
        <v>367.16410000000002</v>
      </c>
      <c r="J1353">
        <v>-239.36109999999999</v>
      </c>
      <c r="K1353">
        <v>1.1043499999999999</v>
      </c>
      <c r="L1353">
        <v>368.18599999999998</v>
      </c>
      <c r="M1353">
        <v>0.99946699999999999</v>
      </c>
      <c r="N1353">
        <v>0</v>
      </c>
      <c r="O1353">
        <v>-2.9500149999999999E-2</v>
      </c>
      <c r="P1353">
        <v>0.99791289999999999</v>
      </c>
      <c r="Q1353">
        <v>-9.8374810000000004E-4</v>
      </c>
      <c r="R1353">
        <v>6.4569699999999994E-2</v>
      </c>
      <c r="S1353">
        <v>3.0148009999999998</v>
      </c>
      <c r="T1353">
        <v>-0.1404022</v>
      </c>
      <c r="U1353">
        <v>-0.1305847</v>
      </c>
      <c r="V1353">
        <v>-9.396438E-2</v>
      </c>
      <c r="W1353">
        <v>1.3081479999999999E-2</v>
      </c>
      <c r="X1353">
        <v>0.99548959999999997</v>
      </c>
      <c r="Y1353">
        <v>1.379671E-2</v>
      </c>
      <c r="Z1353">
        <v>1.051291E-3</v>
      </c>
      <c r="AA1353">
        <v>0.99990429999999997</v>
      </c>
      <c r="AB1353">
        <v>27</v>
      </c>
      <c r="AC1353">
        <v>23.549899999999901</v>
      </c>
      <c r="AD1353">
        <v>-1.1043522142959901</v>
      </c>
      <c r="AE1353">
        <v>-1.0218999999999501</v>
      </c>
      <c r="AF1353">
        <v>0.325946242313357</v>
      </c>
      <c r="AG1353">
        <v>-1.1043522142959901</v>
      </c>
      <c r="AH1353">
        <v>23.518176977835701</v>
      </c>
      <c r="AI1353">
        <v>92.688227617444696</v>
      </c>
      <c r="AJ1353">
        <v>89.205969558730004</v>
      </c>
      <c r="AK1353">
        <v>23.5463475538543</v>
      </c>
    </row>
    <row r="1354" spans="1:37" x14ac:dyDescent="0.2">
      <c r="A1354" t="str">
        <f>"20200111155523752"</f>
        <v>20200111155523752</v>
      </c>
      <c r="B1354" t="str">
        <f>"1578729323743518"</f>
        <v>1578729323743518</v>
      </c>
      <c r="C1354" t="s">
        <v>37</v>
      </c>
      <c r="D1354">
        <v>5.3668899999999997</v>
      </c>
      <c r="E1354">
        <v>0.54110259999999999</v>
      </c>
      <c r="F1354" t="s">
        <v>38</v>
      </c>
      <c r="G1354">
        <v>-215.81</v>
      </c>
      <c r="H1354" s="1">
        <v>-2.2186109999999999E-6</v>
      </c>
      <c r="I1354">
        <v>367.14269999999999</v>
      </c>
      <c r="J1354">
        <v>-239.20160000000001</v>
      </c>
      <c r="K1354">
        <v>1.1043499999999999</v>
      </c>
      <c r="L1354">
        <v>368.1807</v>
      </c>
      <c r="M1354">
        <v>0.99945289999999998</v>
      </c>
      <c r="N1354">
        <v>0</v>
      </c>
      <c r="O1354">
        <v>-2.9972639999999998E-2</v>
      </c>
      <c r="P1354">
        <v>0.99797899999999995</v>
      </c>
      <c r="Q1354">
        <v>2.4811290000000002E-4</v>
      </c>
      <c r="R1354">
        <v>6.354754E-2</v>
      </c>
      <c r="S1354">
        <v>3.0147710000000001</v>
      </c>
      <c r="T1354">
        <v>-0.14136760000000001</v>
      </c>
      <c r="U1354">
        <v>-0.13354489999999999</v>
      </c>
      <c r="V1354">
        <v>-9.3414040000000004E-2</v>
      </c>
      <c r="W1354">
        <v>1.4311600000000001E-2</v>
      </c>
      <c r="X1354">
        <v>0.99552450000000003</v>
      </c>
      <c r="Y1354">
        <v>1.4304559999999999E-2</v>
      </c>
      <c r="Z1354">
        <v>1.06872E-3</v>
      </c>
      <c r="AA1354">
        <v>0.99989709999999998</v>
      </c>
      <c r="AB1354">
        <v>27</v>
      </c>
      <c r="AC1354">
        <v>23.3916</v>
      </c>
      <c r="AD1354">
        <v>-1.104352218611</v>
      </c>
      <c r="AE1354">
        <v>-1.03800000000001</v>
      </c>
      <c r="AF1354">
        <v>0.33561041170989703</v>
      </c>
      <c r="AG1354">
        <v>-1.104352218611</v>
      </c>
      <c r="AH1354">
        <v>23.360237319268499</v>
      </c>
      <c r="AI1354">
        <v>92.706356581126997</v>
      </c>
      <c r="AJ1354">
        <v>89.1769031678473</v>
      </c>
      <c r="AK1354">
        <v>23.3887348051096</v>
      </c>
    </row>
    <row r="1355" spans="1:37" x14ac:dyDescent="0.2">
      <c r="A1355" t="str">
        <f>"20200111155523767"</f>
        <v>20200111155523767</v>
      </c>
      <c r="B1355" t="str">
        <f>"1578729323763825"</f>
        <v>1578729323763825</v>
      </c>
      <c r="C1355" t="s">
        <v>37</v>
      </c>
      <c r="D1355">
        <v>5.3960019999999904</v>
      </c>
      <c r="E1355">
        <v>0.54105349999999997</v>
      </c>
      <c r="F1355" t="s">
        <v>38</v>
      </c>
      <c r="G1355">
        <v>-215.2071</v>
      </c>
      <c r="H1355" s="1">
        <v>-2.4853580000000001E-6</v>
      </c>
      <c r="I1355">
        <v>367.09710000000001</v>
      </c>
      <c r="J1355">
        <v>-239.01750000000001</v>
      </c>
      <c r="K1355">
        <v>1.1043529999999999</v>
      </c>
      <c r="L1355">
        <v>368.1746</v>
      </c>
      <c r="M1355">
        <v>0.9994364</v>
      </c>
      <c r="N1355">
        <v>0</v>
      </c>
      <c r="O1355">
        <v>-3.0517720000000002E-2</v>
      </c>
      <c r="P1355">
        <v>0.99802259999999998</v>
      </c>
      <c r="Q1355">
        <v>5.7136790000000002E-4</v>
      </c>
      <c r="R1355">
        <v>6.2855179999999997E-2</v>
      </c>
      <c r="S1355">
        <v>3.014786</v>
      </c>
      <c r="T1355">
        <v>-0.13875589999999999</v>
      </c>
      <c r="U1355">
        <v>-0.13613889999999901</v>
      </c>
      <c r="V1355">
        <v>-9.3265509999999996E-2</v>
      </c>
      <c r="W1355">
        <v>1.463248E-2</v>
      </c>
      <c r="X1355">
        <v>0.99553380000000002</v>
      </c>
      <c r="Y1355">
        <v>1.461725E-2</v>
      </c>
      <c r="Z1355">
        <v>1.0668260000000001E-3</v>
      </c>
      <c r="AA1355">
        <v>0.99989259999999902</v>
      </c>
      <c r="AB1355">
        <v>27</v>
      </c>
      <c r="AC1355">
        <v>23.810400000000001</v>
      </c>
      <c r="AD1355">
        <v>-1.104355485358</v>
      </c>
      <c r="AE1355">
        <v>-1.0774999999999799</v>
      </c>
      <c r="AF1355">
        <v>0.34953745744909298</v>
      </c>
      <c r="AG1355">
        <v>-1.104355485358</v>
      </c>
      <c r="AH1355">
        <v>23.781139759761899</v>
      </c>
      <c r="AI1355">
        <v>92.658521181582898</v>
      </c>
      <c r="AJ1355">
        <v>89.157921810718307</v>
      </c>
      <c r="AK1355">
        <v>23.809334004661501</v>
      </c>
    </row>
    <row r="1356" spans="1:37" x14ac:dyDescent="0.2">
      <c r="A1356" t="str">
        <f>"20200111155523781"</f>
        <v>20200111155523781</v>
      </c>
      <c r="B1356" t="str">
        <f>"1578729323773585"</f>
        <v>1578729323773585</v>
      </c>
      <c r="C1356" t="s">
        <v>37</v>
      </c>
      <c r="D1356">
        <v>5.4092659999999997</v>
      </c>
      <c r="E1356">
        <v>0.54101869999999996</v>
      </c>
      <c r="F1356" t="s">
        <v>38</v>
      </c>
      <c r="G1356">
        <v>-214.9682</v>
      </c>
      <c r="H1356" s="1">
        <v>-2.592078E-6</v>
      </c>
      <c r="I1356">
        <v>367.07319999999999</v>
      </c>
      <c r="J1356">
        <v>-238.8563</v>
      </c>
      <c r="K1356">
        <v>1.1043529999999999</v>
      </c>
      <c r="L1356">
        <v>368.16910000000001</v>
      </c>
      <c r="M1356">
        <v>0.99942180000000003</v>
      </c>
      <c r="N1356">
        <v>0</v>
      </c>
      <c r="O1356">
        <v>-3.099522E-2</v>
      </c>
      <c r="P1356">
        <v>0.99805460000000001</v>
      </c>
      <c r="Q1356">
        <v>1.1030160000000001E-3</v>
      </c>
      <c r="R1356">
        <v>6.2337139999999999E-2</v>
      </c>
      <c r="S1356">
        <v>3.0147400000000002</v>
      </c>
      <c r="T1356">
        <v>-0.13843810000000001</v>
      </c>
      <c r="U1356">
        <v>-0.1380615</v>
      </c>
      <c r="V1356">
        <v>-9.3223470000000003E-2</v>
      </c>
      <c r="W1356">
        <v>1.516171E-2</v>
      </c>
      <c r="X1356">
        <v>0.99552980000000002</v>
      </c>
      <c r="Y1356">
        <v>1.477682E-2</v>
      </c>
      <c r="Z1356">
        <v>1.0826130000000001E-3</v>
      </c>
      <c r="AA1356">
        <v>0.99989019999999995</v>
      </c>
      <c r="AB1356">
        <v>27</v>
      </c>
      <c r="AC1356">
        <v>23.888100000000001</v>
      </c>
      <c r="AD1356">
        <v>-1.1043555920779999</v>
      </c>
      <c r="AE1356">
        <v>-1.0959000000000201</v>
      </c>
      <c r="AF1356">
        <v>0.35412883177367999</v>
      </c>
      <c r="AG1356">
        <v>-1.1043555920779999</v>
      </c>
      <c r="AH1356">
        <v>23.859704311975399</v>
      </c>
      <c r="AI1356">
        <v>92.649774404084496</v>
      </c>
      <c r="AJ1356">
        <v>89.149671030998903</v>
      </c>
      <c r="AK1356">
        <v>23.887873458266299</v>
      </c>
    </row>
    <row r="1357" spans="1:37" x14ac:dyDescent="0.2">
      <c r="A1357" t="str">
        <f>"20200111155523795"</f>
        <v>20200111155523795</v>
      </c>
      <c r="B1357" t="str">
        <f>"1578729323783345"</f>
        <v>1578729323783345</v>
      </c>
      <c r="C1357" t="s">
        <v>37</v>
      </c>
      <c r="D1357">
        <v>5.3855659999999999</v>
      </c>
      <c r="E1357">
        <v>0.54098269999999904</v>
      </c>
      <c r="F1357" t="s">
        <v>38</v>
      </c>
      <c r="G1357">
        <v>-214.6155</v>
      </c>
      <c r="H1357" s="1">
        <v>-2.7475369999999999E-6</v>
      </c>
      <c r="I1357">
        <v>367.04989999999998</v>
      </c>
      <c r="J1357">
        <v>-238.69370000000001</v>
      </c>
      <c r="K1357">
        <v>1.1043529999999999</v>
      </c>
      <c r="L1357">
        <v>368.16359999999997</v>
      </c>
      <c r="M1357">
        <v>0.99940680000000004</v>
      </c>
      <c r="N1357">
        <v>0</v>
      </c>
      <c r="O1357">
        <v>-3.1476650000000002E-2</v>
      </c>
      <c r="P1357">
        <v>0.99809550000000002</v>
      </c>
      <c r="Q1357">
        <v>1.3477649999999999E-3</v>
      </c>
      <c r="R1357">
        <v>6.1675109999999998E-2</v>
      </c>
      <c r="S1357">
        <v>3.0146790000000001</v>
      </c>
      <c r="T1357">
        <v>-0.13734160000000001</v>
      </c>
      <c r="U1357">
        <v>-0.1391907</v>
      </c>
      <c r="V1357">
        <v>-9.3043200000000006E-2</v>
      </c>
      <c r="W1357">
        <v>1.5404869999999999E-2</v>
      </c>
      <c r="X1357">
        <v>0.99554290000000001</v>
      </c>
      <c r="Y1357">
        <v>1.467014E-2</v>
      </c>
      <c r="Z1357">
        <v>1.0983810000000001E-3</v>
      </c>
      <c r="AA1357">
        <v>0.9998918</v>
      </c>
      <c r="AB1357">
        <v>26</v>
      </c>
      <c r="AC1357">
        <v>24.078199999999999</v>
      </c>
      <c r="AD1357">
        <v>-1.1043557475370001</v>
      </c>
      <c r="AE1357">
        <v>-1.1136999999999899</v>
      </c>
      <c r="AF1357">
        <v>0.35442896115577899</v>
      </c>
      <c r="AG1357">
        <v>-1.1043557475370001</v>
      </c>
      <c r="AH1357">
        <v>24.050839459744701</v>
      </c>
      <c r="AI1357">
        <v>92.628750422994699</v>
      </c>
      <c r="AJ1357">
        <v>89.155712888977106</v>
      </c>
      <c r="AK1357">
        <v>24.0787894260496</v>
      </c>
    </row>
    <row r="1358" spans="1:37" x14ac:dyDescent="0.2">
      <c r="A1358" t="str">
        <f>"20200111155523808"</f>
        <v>20200111155523808</v>
      </c>
      <c r="B1358" t="str">
        <f>"1578729323803842"</f>
        <v>1578729323803842</v>
      </c>
      <c r="C1358" t="s">
        <v>37</v>
      </c>
      <c r="D1358">
        <v>5.3973389999999997</v>
      </c>
      <c r="E1358">
        <v>0.54091250000000002</v>
      </c>
      <c r="F1358" t="s">
        <v>38</v>
      </c>
      <c r="G1358">
        <v>-214.30369999999999</v>
      </c>
      <c r="H1358" s="1">
        <v>-2.8860680000000002E-6</v>
      </c>
      <c r="I1358">
        <v>367.02289999999999</v>
      </c>
      <c r="J1358">
        <v>-238.53360000000001</v>
      </c>
      <c r="K1358">
        <v>1.104358</v>
      </c>
      <c r="L1358">
        <v>368.15800000000002</v>
      </c>
      <c r="M1358">
        <v>0.99939169999999999</v>
      </c>
      <c r="N1358">
        <v>0</v>
      </c>
      <c r="O1358">
        <v>-3.1950569999999998E-2</v>
      </c>
      <c r="P1358">
        <v>0.99812140000000005</v>
      </c>
      <c r="Q1358">
        <v>1.8242969999999999E-3</v>
      </c>
      <c r="R1358">
        <v>6.1240749999999997E-2</v>
      </c>
      <c r="S1358">
        <v>3.0146029999999899</v>
      </c>
      <c r="T1358">
        <v>-0.13649819999999999</v>
      </c>
      <c r="U1358">
        <v>-0.14099120000000001</v>
      </c>
      <c r="V1358">
        <v>-9.3080969999999999E-2</v>
      </c>
      <c r="W1358">
        <v>1.5879259999999999E-2</v>
      </c>
      <c r="X1358">
        <v>0.99553189999999903</v>
      </c>
      <c r="Y1358">
        <v>1.4793219999999999E-2</v>
      </c>
      <c r="Z1358">
        <v>1.110291E-3</v>
      </c>
      <c r="AA1358">
        <v>0.99988999999999995</v>
      </c>
      <c r="AB1358">
        <v>26</v>
      </c>
      <c r="AC1358">
        <v>24.229900000000001</v>
      </c>
      <c r="AD1358">
        <v>-1.1043608860680001</v>
      </c>
      <c r="AE1358">
        <v>-1.13510000000002</v>
      </c>
      <c r="AF1358">
        <v>0.35954033146172099</v>
      </c>
      <c r="AG1358">
        <v>-1.1043608860680001</v>
      </c>
      <c r="AH1358">
        <v>24.203627292898901</v>
      </c>
      <c r="AI1358">
        <v>92.612186807599599</v>
      </c>
      <c r="AJ1358">
        <v>89.148944566769202</v>
      </c>
      <c r="AK1358">
        <v>24.2314765614931</v>
      </c>
    </row>
    <row r="1359" spans="1:37" x14ac:dyDescent="0.2">
      <c r="A1359" t="str">
        <f>"20200111155523822"</f>
        <v>20200111155523822</v>
      </c>
      <c r="B1359" t="str">
        <f>"1578729323813601"</f>
        <v>1578729323813601</v>
      </c>
      <c r="C1359" t="s">
        <v>37</v>
      </c>
      <c r="D1359">
        <v>5.4416880000000001</v>
      </c>
      <c r="E1359">
        <v>0.54099119999999901</v>
      </c>
      <c r="F1359" t="s">
        <v>38</v>
      </c>
      <c r="G1359">
        <v>-214.22040000000001</v>
      </c>
      <c r="H1359" s="1">
        <v>-2.9231349999999999E-6</v>
      </c>
      <c r="I1359">
        <v>367.01549999999997</v>
      </c>
      <c r="J1359">
        <v>-238.36750000000001</v>
      </c>
      <c r="K1359">
        <v>1.1043590000000001</v>
      </c>
      <c r="L1359">
        <v>368.15210000000002</v>
      </c>
      <c r="M1359">
        <v>0.99937589999999998</v>
      </c>
      <c r="N1359">
        <v>0</v>
      </c>
      <c r="O1359">
        <v>-3.2440780000000002E-2</v>
      </c>
      <c r="P1359">
        <v>0.99814150000000001</v>
      </c>
      <c r="Q1359">
        <v>2.0659339999999902E-3</v>
      </c>
      <c r="R1359">
        <v>6.0906219999999997E-2</v>
      </c>
      <c r="S1359">
        <v>3.0146029999999899</v>
      </c>
      <c r="T1359">
        <v>-0.13692950000000001</v>
      </c>
      <c r="U1359">
        <v>-0.1416626</v>
      </c>
      <c r="V1359">
        <v>-9.3235360000000003E-2</v>
      </c>
      <c r="W1359">
        <v>1.6126709999999999E-2</v>
      </c>
      <c r="X1359">
        <v>0.99551350000000005</v>
      </c>
      <c r="Y1359">
        <v>1.452585E-2</v>
      </c>
      <c r="Z1359">
        <v>1.1420810000000001E-3</v>
      </c>
      <c r="AA1359">
        <v>0.99989380000000005</v>
      </c>
      <c r="AB1359">
        <v>26</v>
      </c>
      <c r="AC1359">
        <v>24.147099999999899</v>
      </c>
      <c r="AD1359">
        <v>-1.1043619231349999</v>
      </c>
      <c r="AE1359">
        <v>-1.13660000000004</v>
      </c>
      <c r="AF1359">
        <v>0.351840032646274</v>
      </c>
      <c r="AG1359">
        <v>-1.1043619231349999</v>
      </c>
      <c r="AH1359">
        <v>24.120922267345499</v>
      </c>
      <c r="AI1359">
        <v>92.621143711821603</v>
      </c>
      <c r="AJ1359">
        <v>89.164313902305693</v>
      </c>
      <c r="AK1359">
        <v>24.148753543261101</v>
      </c>
    </row>
    <row r="1360" spans="1:37" x14ac:dyDescent="0.2">
      <c r="A1360" t="str">
        <f>"20200111155523835"</f>
        <v>20200111155523835</v>
      </c>
      <c r="B1360" t="str">
        <f>"1578729323823361"</f>
        <v>1578729323823361</v>
      </c>
      <c r="C1360" t="s">
        <v>37</v>
      </c>
      <c r="D1360">
        <v>5.7658309999999897</v>
      </c>
      <c r="E1360">
        <v>0.54099119999999901</v>
      </c>
      <c r="F1360" t="s">
        <v>38</v>
      </c>
      <c r="G1360">
        <v>-214.06739999999999</v>
      </c>
      <c r="H1360" s="1">
        <v>-2.992135E-6</v>
      </c>
      <c r="I1360">
        <v>366.99639999999999</v>
      </c>
      <c r="J1360">
        <v>-238.21530000000001</v>
      </c>
      <c r="K1360">
        <v>1.1043689999999999</v>
      </c>
      <c r="L1360">
        <v>368.14670000000001</v>
      </c>
      <c r="M1360">
        <v>0.9993609</v>
      </c>
      <c r="N1360">
        <v>0</v>
      </c>
      <c r="O1360">
        <v>-3.2885730000000002E-2</v>
      </c>
      <c r="P1360">
        <v>0.99818119999999999</v>
      </c>
      <c r="Q1360">
        <v>2.1920389999999998E-3</v>
      </c>
      <c r="R1360">
        <v>6.0247469999999997E-2</v>
      </c>
      <c r="S1360">
        <v>3.0146029999999899</v>
      </c>
      <c r="T1360">
        <v>-0.1370035</v>
      </c>
      <c r="U1360">
        <v>-0.14337159999999999</v>
      </c>
      <c r="V1360">
        <v>-9.3021039999999999E-2</v>
      </c>
      <c r="W1360">
        <v>1.627928E-2</v>
      </c>
      <c r="X1360">
        <v>0.99553099999999894</v>
      </c>
      <c r="Y1360">
        <v>1.4646579999999999E-2</v>
      </c>
      <c r="Z1360">
        <v>1.160126E-3</v>
      </c>
      <c r="AA1360">
        <v>0.99989209999999995</v>
      </c>
      <c r="AB1360">
        <v>26</v>
      </c>
      <c r="AC1360">
        <v>24.1479</v>
      </c>
      <c r="AD1360">
        <v>-1.1043719921349999</v>
      </c>
      <c r="AE1360">
        <v>-1.1503000000000101</v>
      </c>
      <c r="AF1360">
        <v>0.35473814012502303</v>
      </c>
      <c r="AG1360">
        <v>-1.1043719921349999</v>
      </c>
      <c r="AH1360">
        <v>24.1223291725025</v>
      </c>
      <c r="AI1360">
        <v>92.621010341582107</v>
      </c>
      <c r="AJ1360">
        <v>89.157480476235307</v>
      </c>
      <c r="AK1360">
        <v>24.1502016834567</v>
      </c>
    </row>
    <row r="1361" spans="1:37" x14ac:dyDescent="0.2">
      <c r="A1361" t="str">
        <f>"20200111155523848"</f>
        <v>20200111155523848</v>
      </c>
      <c r="B1361" t="str">
        <f>"1578729323843856"</f>
        <v>1578729323843856</v>
      </c>
      <c r="C1361" t="s">
        <v>37</v>
      </c>
      <c r="D1361">
        <v>5.4771199999999904</v>
      </c>
      <c r="E1361">
        <v>0.56659110000000001</v>
      </c>
      <c r="F1361" t="s">
        <v>38</v>
      </c>
      <c r="G1361">
        <v>-213.87690000000001</v>
      </c>
      <c r="H1361" s="1">
        <v>-3.0779549999999998E-6</v>
      </c>
      <c r="I1361">
        <v>366.97340000000003</v>
      </c>
      <c r="J1361">
        <v>-238.06319999999999</v>
      </c>
      <c r="K1361">
        <v>1.104387</v>
      </c>
      <c r="L1361">
        <v>368.14120000000003</v>
      </c>
      <c r="M1361">
        <v>0.99934539999999905</v>
      </c>
      <c r="N1361">
        <v>0</v>
      </c>
      <c r="O1361">
        <v>-3.3328419999999997E-2</v>
      </c>
      <c r="P1361">
        <v>0.99819999999999998</v>
      </c>
      <c r="Q1361">
        <v>2.4657020000000002E-3</v>
      </c>
      <c r="R1361">
        <v>5.9924600000000001E-2</v>
      </c>
      <c r="S1361">
        <v>3.014526</v>
      </c>
      <c r="T1361">
        <v>-0.13678570000000001</v>
      </c>
      <c r="U1361">
        <v>-0.1453247</v>
      </c>
      <c r="V1361">
        <v>-9.3139659999999999E-2</v>
      </c>
      <c r="W1361">
        <v>1.661207E-2</v>
      </c>
      <c r="X1361">
        <v>0.99551449999999997</v>
      </c>
      <c r="Y1361">
        <v>1.4851369999999999E-2</v>
      </c>
      <c r="Z1361">
        <v>1.173702E-3</v>
      </c>
      <c r="AA1361">
        <v>0.99988899999999903</v>
      </c>
      <c r="AB1361">
        <v>26</v>
      </c>
      <c r="AC1361">
        <v>24.1862999999999</v>
      </c>
      <c r="AD1361">
        <v>-1.104390077955</v>
      </c>
      <c r="AE1361">
        <v>-1.16779999999999</v>
      </c>
      <c r="AF1361">
        <v>0.360230795701595</v>
      </c>
      <c r="AG1361">
        <v>-1.104390077955</v>
      </c>
      <c r="AH1361">
        <v>24.1615258975689</v>
      </c>
      <c r="AI1361">
        <v>92.616799170222805</v>
      </c>
      <c r="AJ1361">
        <v>89.145824844547505</v>
      </c>
      <c r="AK1361">
        <v>24.189435242877199</v>
      </c>
    </row>
    <row r="1362" spans="1:37" x14ac:dyDescent="0.2">
      <c r="A1362" t="str">
        <f>"20200111155523861"</f>
        <v>20200111155523861</v>
      </c>
      <c r="B1362" t="str">
        <f>"1578729323853618"</f>
        <v>1578729323853618</v>
      </c>
      <c r="C1362" t="s">
        <v>37</v>
      </c>
      <c r="D1362">
        <v>5.628342</v>
      </c>
      <c r="E1362">
        <v>0.60778109999999996</v>
      </c>
      <c r="F1362" t="s">
        <v>40</v>
      </c>
      <c r="G1362">
        <v>-237.22280000000001</v>
      </c>
      <c r="H1362">
        <v>1.0339989999999999</v>
      </c>
      <c r="I1362">
        <v>368.04390000000001</v>
      </c>
      <c r="J1362">
        <v>-237.90639999999999</v>
      </c>
      <c r="K1362">
        <v>1.1044129999999901</v>
      </c>
      <c r="L1362">
        <v>368.13549999999998</v>
      </c>
      <c r="M1362">
        <v>0.99932900000000002</v>
      </c>
      <c r="N1362">
        <v>0</v>
      </c>
      <c r="O1362">
        <v>-3.3784830000000002E-2</v>
      </c>
      <c r="P1362">
        <v>0.99822089999999997</v>
      </c>
      <c r="Q1362">
        <v>2.7234490000000002E-3</v>
      </c>
      <c r="R1362">
        <v>5.9564930000000002E-2</v>
      </c>
      <c r="S1362">
        <v>3.0270229999999998</v>
      </c>
      <c r="T1362">
        <v>-0.25379009999999902</v>
      </c>
      <c r="U1362">
        <v>-0.34970089999999998</v>
      </c>
      <c r="V1362">
        <v>-9.3235029999999997E-2</v>
      </c>
      <c r="W1362">
        <v>1.6948189999999998E-2</v>
      </c>
      <c r="X1362">
        <v>0.99549979999999905</v>
      </c>
      <c r="Y1362">
        <v>8.0969330000000006E-2</v>
      </c>
      <c r="Z1362">
        <v>-5.6038010000000001E-4</v>
      </c>
      <c r="AA1362">
        <v>0.99671639999999995</v>
      </c>
      <c r="AB1362">
        <v>26</v>
      </c>
      <c r="AC1362">
        <v>0.683599999999984</v>
      </c>
      <c r="AD1362">
        <v>-7.0413999999999893E-2</v>
      </c>
      <c r="AE1362">
        <v>-9.1599999999971204E-2</v>
      </c>
      <c r="AF1362">
        <v>6.7743993006561004E-2</v>
      </c>
      <c r="AG1362">
        <v>-7.0413999999999893E-2</v>
      </c>
      <c r="AH1362">
        <v>0.67922523141750502</v>
      </c>
      <c r="AI1362">
        <v>95.889589434440794</v>
      </c>
      <c r="AJ1362">
        <v>84.304317982817693</v>
      </c>
      <c r="AK1362">
        <v>0.68621738172290303</v>
      </c>
    </row>
    <row r="1363" spans="1:37" x14ac:dyDescent="0.2">
      <c r="A1363" t="str">
        <f>"20200111155523874"</f>
        <v>20200111155523874</v>
      </c>
      <c r="B1363" t="str">
        <f>"1578729323863377"</f>
        <v>1578729323863377</v>
      </c>
      <c r="C1363" t="s">
        <v>37</v>
      </c>
      <c r="D1363">
        <v>5.6430550000000004</v>
      </c>
      <c r="E1363">
        <v>0.6062765</v>
      </c>
      <c r="F1363" t="s">
        <v>38</v>
      </c>
      <c r="G1363">
        <v>-223.7894</v>
      </c>
      <c r="H1363" s="1">
        <v>-3.467E-6</v>
      </c>
      <c r="I1363">
        <v>364.99180000000001</v>
      </c>
      <c r="J1363">
        <v>-237.75110000000001</v>
      </c>
      <c r="K1363">
        <v>1.1044449999999999</v>
      </c>
      <c r="L1363">
        <v>368.12970000000001</v>
      </c>
      <c r="M1363">
        <v>0.99931209999999904</v>
      </c>
      <c r="N1363">
        <v>0</v>
      </c>
      <c r="O1363">
        <v>-3.4237080000000003E-2</v>
      </c>
      <c r="P1363">
        <v>0.99825439999999999</v>
      </c>
      <c r="Q1363">
        <v>3.6306709999999998E-3</v>
      </c>
      <c r="R1363">
        <v>5.895239E-2</v>
      </c>
      <c r="S1363">
        <v>3.046478</v>
      </c>
      <c r="T1363">
        <v>-0.23833360000000001</v>
      </c>
      <c r="U1363">
        <v>-0.67840579999999995</v>
      </c>
      <c r="V1363">
        <v>-9.3073439999999993E-2</v>
      </c>
      <c r="W1363">
        <v>1.7953690000000001E-2</v>
      </c>
      <c r="X1363">
        <v>0.99549730000000003</v>
      </c>
      <c r="Y1363">
        <v>0.1833784</v>
      </c>
      <c r="Z1363">
        <v>-4.4363069999999996E-3</v>
      </c>
      <c r="AA1363">
        <v>0.98303240000000003</v>
      </c>
      <c r="AB1363">
        <v>26</v>
      </c>
      <c r="AC1363">
        <v>13.9617</v>
      </c>
      <c r="AD1363">
        <v>-1.1044484670000001</v>
      </c>
      <c r="AE1363">
        <v>-3.1379000000000001</v>
      </c>
      <c r="AF1363">
        <v>2.6422641612498201</v>
      </c>
      <c r="AG1363">
        <v>-1.1044484670000001</v>
      </c>
      <c r="AH1363">
        <v>13.977694271344401</v>
      </c>
      <c r="AI1363">
        <v>94.439541004645804</v>
      </c>
      <c r="AJ1363">
        <v>79.295443037158606</v>
      </c>
      <c r="AK1363">
        <v>14.268051845198</v>
      </c>
    </row>
    <row r="1364" spans="1:37" x14ac:dyDescent="0.2">
      <c r="A1364" t="str">
        <f>"20200111155523887"</f>
        <v>20200111155523887</v>
      </c>
      <c r="B1364" t="str">
        <f>"1578729323883873"</f>
        <v>1578729323883873</v>
      </c>
      <c r="C1364" t="s">
        <v>37</v>
      </c>
      <c r="D1364">
        <v>5.6091419999999896</v>
      </c>
      <c r="E1364">
        <v>0.60525810000000002</v>
      </c>
      <c r="F1364" t="s">
        <v>38</v>
      </c>
      <c r="G1364">
        <v>-224.02860000000001</v>
      </c>
      <c r="H1364" s="1">
        <v>-3.34194E-6</v>
      </c>
      <c r="I1364">
        <v>365.11810000000003</v>
      </c>
      <c r="J1364">
        <v>-237.5967</v>
      </c>
      <c r="K1364">
        <v>1.1044689999999999</v>
      </c>
      <c r="L1364">
        <v>368.12389999999999</v>
      </c>
      <c r="M1364">
        <v>0.99929519999999905</v>
      </c>
      <c r="N1364">
        <v>0</v>
      </c>
      <c r="O1364">
        <v>-3.4686849999999998E-2</v>
      </c>
      <c r="P1364">
        <v>0.99828490000000003</v>
      </c>
      <c r="Q1364">
        <v>3.8131580000000001E-3</v>
      </c>
      <c r="R1364">
        <v>5.842075E-2</v>
      </c>
      <c r="S1364">
        <v>3.0455930000000002</v>
      </c>
      <c r="T1364">
        <v>-0.2451227</v>
      </c>
      <c r="U1364">
        <v>-0.66839599999999999</v>
      </c>
      <c r="V1364">
        <v>-9.2991309999999994E-2</v>
      </c>
      <c r="W1364">
        <v>1.823545E-2</v>
      </c>
      <c r="X1364">
        <v>0.99549989999999999</v>
      </c>
      <c r="Y1364">
        <v>0.17990149999999999</v>
      </c>
      <c r="Z1364">
        <v>-4.3914389999999996E-3</v>
      </c>
      <c r="AA1364">
        <v>0.98367479999999996</v>
      </c>
      <c r="AB1364">
        <v>26</v>
      </c>
      <c r="AC1364">
        <v>13.5680999999999</v>
      </c>
      <c r="AD1364">
        <v>-1.10447234194</v>
      </c>
      <c r="AE1364">
        <v>-3.0057999999999598</v>
      </c>
      <c r="AF1364">
        <v>2.5174069670061301</v>
      </c>
      <c r="AG1364">
        <v>-1.10447234194</v>
      </c>
      <c r="AH1364">
        <v>13.578440154126501</v>
      </c>
      <c r="AI1364">
        <v>94.572626899647403</v>
      </c>
      <c r="AJ1364">
        <v>79.496769748425706</v>
      </c>
      <c r="AK1364">
        <v>13.8539248594338</v>
      </c>
    </row>
    <row r="1365" spans="1:37" x14ac:dyDescent="0.2">
      <c r="A1365" t="str">
        <f>"20200111155523899"</f>
        <v>20200111155523899</v>
      </c>
      <c r="B1365" t="str">
        <f>"1578729323893633"</f>
        <v>1578729323893633</v>
      </c>
      <c r="C1365" t="s">
        <v>37</v>
      </c>
      <c r="D1365">
        <v>5.6466199999999898</v>
      </c>
      <c r="E1365">
        <v>0.6045391</v>
      </c>
      <c r="F1365" t="s">
        <v>38</v>
      </c>
      <c r="G1365">
        <v>-224.1968</v>
      </c>
      <c r="H1365" s="1">
        <v>-3.2532309999999998E-6</v>
      </c>
      <c r="I1365">
        <v>365.2115</v>
      </c>
      <c r="J1365">
        <v>-237.46209999999999</v>
      </c>
      <c r="K1365">
        <v>1.1044889999999901</v>
      </c>
      <c r="L1365">
        <v>368.11880000000002</v>
      </c>
      <c r="M1365">
        <v>0.99928030000000001</v>
      </c>
      <c r="N1365">
        <v>0</v>
      </c>
      <c r="O1365">
        <v>-3.507884E-2</v>
      </c>
      <c r="P1365">
        <v>0.99831159999999997</v>
      </c>
      <c r="Q1365">
        <v>3.8915489999999998E-3</v>
      </c>
      <c r="R1365">
        <v>5.7955310000000003E-2</v>
      </c>
      <c r="S1365">
        <v>3.0448300000000001</v>
      </c>
      <c r="T1365">
        <v>-0.25096560000000001</v>
      </c>
      <c r="U1365">
        <v>-0.66177369999999902</v>
      </c>
      <c r="V1365">
        <v>-9.2917449999999999E-2</v>
      </c>
      <c r="W1365">
        <v>1.8399929999999998E-2</v>
      </c>
      <c r="X1365">
        <v>0.99550380000000005</v>
      </c>
      <c r="Y1365">
        <v>0.17751169999999999</v>
      </c>
      <c r="Z1365">
        <v>-4.3688690000000001E-3</v>
      </c>
      <c r="AA1365">
        <v>0.98410900000000001</v>
      </c>
      <c r="AB1365">
        <v>26</v>
      </c>
      <c r="AC1365">
        <v>13.2652999999999</v>
      </c>
      <c r="AD1365">
        <v>-1.10449225323099</v>
      </c>
      <c r="AE1365">
        <v>-2.9073000000000202</v>
      </c>
      <c r="AF1365">
        <v>2.4240956221889398</v>
      </c>
      <c r="AG1365">
        <v>-1.10449225323099</v>
      </c>
      <c r="AH1365">
        <v>13.2713423573403</v>
      </c>
      <c r="AI1365">
        <v>94.680329532225301</v>
      </c>
      <c r="AJ1365">
        <v>79.648670861539202</v>
      </c>
      <c r="AK1365">
        <v>13.536050778890401</v>
      </c>
    </row>
    <row r="1366" spans="1:37" x14ac:dyDescent="0.2">
      <c r="A1366" t="str">
        <f>"20200111155523911"</f>
        <v>20200111155523911</v>
      </c>
      <c r="B1366" t="str">
        <f>"1578729323903393"</f>
        <v>1578729323903393</v>
      </c>
      <c r="C1366" t="s">
        <v>37</v>
      </c>
      <c r="D1366">
        <v>5.8134550000000003</v>
      </c>
      <c r="E1366">
        <v>0.60339219999999905</v>
      </c>
      <c r="F1366" t="s">
        <v>38</v>
      </c>
      <c r="G1366">
        <v>-224.1523</v>
      </c>
      <c r="H1366" s="1">
        <v>-3.26653E-6</v>
      </c>
      <c r="I1366">
        <v>365.24419999999998</v>
      </c>
      <c r="J1366">
        <v>-237.3184</v>
      </c>
      <c r="K1366">
        <v>1.104506</v>
      </c>
      <c r="L1366">
        <v>368.11329999999998</v>
      </c>
      <c r="M1366">
        <v>0.99926419999999905</v>
      </c>
      <c r="N1366">
        <v>0</v>
      </c>
      <c r="O1366">
        <v>-3.5498099999999998E-2</v>
      </c>
      <c r="P1366">
        <v>0.99833969999999905</v>
      </c>
      <c r="Q1366">
        <v>3.8532150000000001E-3</v>
      </c>
      <c r="R1366">
        <v>5.7473589999999998E-2</v>
      </c>
      <c r="S1366">
        <v>3.0442200000000001</v>
      </c>
      <c r="T1366">
        <v>-0.25261699999999998</v>
      </c>
      <c r="U1366">
        <v>-0.65747069999999996</v>
      </c>
      <c r="V1366">
        <v>-9.2854709999999993E-2</v>
      </c>
      <c r="W1366">
        <v>1.8444269999999999E-2</v>
      </c>
      <c r="X1366">
        <v>0.99550879999999997</v>
      </c>
      <c r="Y1366">
        <v>0.175811299999999</v>
      </c>
      <c r="Z1366">
        <v>-4.2951159999999999E-3</v>
      </c>
      <c r="AA1366">
        <v>0.98441449999999997</v>
      </c>
      <c r="AB1366">
        <v>26</v>
      </c>
      <c r="AC1366">
        <v>13.1661</v>
      </c>
      <c r="AD1366">
        <v>-1.10450926653</v>
      </c>
      <c r="AE1366">
        <v>-2.8691</v>
      </c>
      <c r="AF1366">
        <v>2.3838544635844601</v>
      </c>
      <c r="AG1366">
        <v>-1.10450926653</v>
      </c>
      <c r="AH1366">
        <v>13.171167402696801</v>
      </c>
      <c r="AI1366">
        <v>94.717215515998205</v>
      </c>
      <c r="AJ1366">
        <v>79.741072562450597</v>
      </c>
      <c r="AK1366">
        <v>13.430649782243</v>
      </c>
    </row>
    <row r="1367" spans="1:37" x14ac:dyDescent="0.2">
      <c r="A1367" t="str">
        <f>"20200111155523923"</f>
        <v>20200111155523923</v>
      </c>
      <c r="B1367" t="str">
        <f>"1578729323913152"</f>
        <v>1578729323913152</v>
      </c>
      <c r="C1367" t="s">
        <v>37</v>
      </c>
      <c r="D1367">
        <v>5.6882070000000002</v>
      </c>
      <c r="E1367">
        <v>0.6029928</v>
      </c>
      <c r="F1367" t="s">
        <v>40</v>
      </c>
      <c r="G1367">
        <v>-236.51830000000001</v>
      </c>
      <c r="H1367">
        <v>1.036707</v>
      </c>
      <c r="I1367">
        <v>367.94229999999999</v>
      </c>
      <c r="J1367">
        <v>-237.18180000000001</v>
      </c>
      <c r="K1367">
        <v>1.1045240000000001</v>
      </c>
      <c r="L1367">
        <v>368.10789999999997</v>
      </c>
      <c r="M1367">
        <v>0.99924899999999905</v>
      </c>
      <c r="N1367">
        <v>0</v>
      </c>
      <c r="O1367">
        <v>-3.5896669999999999E-2</v>
      </c>
      <c r="P1367">
        <v>0.99835069999999904</v>
      </c>
      <c r="Q1367">
        <v>3.9385760000000001E-3</v>
      </c>
      <c r="R1367">
        <v>5.7274970000000001E-2</v>
      </c>
      <c r="S1367">
        <v>3.0433810000000001</v>
      </c>
      <c r="T1367">
        <v>-0.25791720000000001</v>
      </c>
      <c r="U1367">
        <v>-0.64965819999999996</v>
      </c>
      <c r="V1367">
        <v>-9.3053800000000006E-2</v>
      </c>
      <c r="W1367">
        <v>1.860351E-2</v>
      </c>
      <c r="X1367">
        <v>0.99548729999999996</v>
      </c>
      <c r="Y1367">
        <v>0.17304910000000001</v>
      </c>
      <c r="Z1367">
        <v>-4.2384199999999997E-3</v>
      </c>
      <c r="AA1367">
        <v>0.98490409999999995</v>
      </c>
      <c r="AB1367">
        <v>26</v>
      </c>
      <c r="AC1367">
        <v>0.66349999999999898</v>
      </c>
      <c r="AD1367">
        <v>-6.7817000000000002E-2</v>
      </c>
      <c r="AE1367">
        <v>-0.16559999999998301</v>
      </c>
      <c r="AF1367">
        <v>0.14029356036670701</v>
      </c>
      <c r="AG1367">
        <v>-6.7817000000000002E-2</v>
      </c>
      <c r="AH1367">
        <v>0.66250205191200195</v>
      </c>
      <c r="AI1367">
        <v>95.718771826137697</v>
      </c>
      <c r="AJ1367">
        <v>78.043497850456902</v>
      </c>
      <c r="AK1367">
        <v>0.68058092638346801</v>
      </c>
    </row>
    <row r="1368" spans="1:37" x14ac:dyDescent="0.2">
      <c r="A1368" t="str">
        <f>"20200111155523936"</f>
        <v>20200111155523936</v>
      </c>
      <c r="B1368" t="str">
        <f>"1578729323913152"</f>
        <v>1578729323913152</v>
      </c>
      <c r="C1368" t="s">
        <v>37</v>
      </c>
      <c r="D1368">
        <v>5.6882070000000002</v>
      </c>
      <c r="E1368">
        <v>0.6029928</v>
      </c>
      <c r="F1368" t="s">
        <v>40</v>
      </c>
      <c r="G1368">
        <v>-236.29050000000001</v>
      </c>
      <c r="H1368">
        <v>1.0281389999999999</v>
      </c>
      <c r="I1368">
        <v>367.91809999999998</v>
      </c>
      <c r="J1368">
        <v>-237.02500000000001</v>
      </c>
      <c r="K1368">
        <v>1.104535</v>
      </c>
      <c r="L1368">
        <v>368.10180000000003</v>
      </c>
      <c r="M1368">
        <v>0.99923130000000004</v>
      </c>
      <c r="N1368">
        <v>0</v>
      </c>
      <c r="O1368">
        <v>-3.6353900000000001E-2</v>
      </c>
      <c r="P1368">
        <v>0.99837240000000005</v>
      </c>
      <c r="Q1368">
        <v>4.2757309999999996E-3</v>
      </c>
      <c r="R1368">
        <v>5.6870579999999997E-2</v>
      </c>
      <c r="S1368">
        <v>3.04312099999999</v>
      </c>
      <c r="T1368">
        <v>-0.26088699999999998</v>
      </c>
      <c r="U1368">
        <v>-0.64730829999999995</v>
      </c>
      <c r="V1368">
        <v>-9.3105300000000002E-2</v>
      </c>
      <c r="W1368">
        <v>1.9015899999999999E-2</v>
      </c>
      <c r="X1368">
        <v>0.99547459999999899</v>
      </c>
      <c r="Y1368">
        <v>0.1718826</v>
      </c>
      <c r="Z1368">
        <v>-4.1997670000000001E-3</v>
      </c>
      <c r="AA1368">
        <v>0.98510849999999905</v>
      </c>
      <c r="AB1368">
        <v>26</v>
      </c>
      <c r="AC1368">
        <v>0.73449999999999704</v>
      </c>
      <c r="AD1368">
        <v>-7.6396000000000103E-2</v>
      </c>
      <c r="AE1368">
        <v>-0.18370000000004399</v>
      </c>
      <c r="AF1368">
        <v>0.15529263340716101</v>
      </c>
      <c r="AG1368">
        <v>-7.6396000000000103E-2</v>
      </c>
      <c r="AH1368">
        <v>0.73322801196925902</v>
      </c>
      <c r="AI1368">
        <v>95.820074867253894</v>
      </c>
      <c r="AJ1368">
        <v>78.041858746052299</v>
      </c>
      <c r="AK1368">
        <v>0.75337604709927097</v>
      </c>
    </row>
    <row r="1369" spans="1:37" x14ac:dyDescent="0.2">
      <c r="A1369" t="str">
        <f>"20200111155523948"</f>
        <v>20200111155523948</v>
      </c>
      <c r="B1369" t="str">
        <f>"1578729323913152"</f>
        <v>1578729323913152</v>
      </c>
      <c r="C1369" t="s">
        <v>37</v>
      </c>
      <c r="D1369">
        <v>5.6882070000000002</v>
      </c>
      <c r="E1369">
        <v>0.6029928</v>
      </c>
      <c r="F1369" t="s">
        <v>40</v>
      </c>
      <c r="G1369">
        <v>-236.28290000000001</v>
      </c>
      <c r="H1369">
        <v>1.0411330000000001</v>
      </c>
      <c r="I1369">
        <v>367.94349999999997</v>
      </c>
      <c r="J1369">
        <v>-236.88630000000001</v>
      </c>
      <c r="K1369">
        <v>1.104544</v>
      </c>
      <c r="L1369">
        <v>368.09629999999999</v>
      </c>
      <c r="M1369">
        <v>0.99921569999999904</v>
      </c>
      <c r="N1369">
        <v>0</v>
      </c>
      <c r="O1369">
        <v>-3.6758510000000001E-2</v>
      </c>
      <c r="P1369">
        <v>0.99838719999999903</v>
      </c>
      <c r="Q1369">
        <v>4.4025189999999997E-3</v>
      </c>
      <c r="R1369">
        <v>5.6601829999999999E-2</v>
      </c>
      <c r="S1369">
        <v>3.042923</v>
      </c>
      <c r="T1369">
        <v>-0.26010879999999997</v>
      </c>
      <c r="U1369">
        <v>-0.64810179999999995</v>
      </c>
      <c r="V1369">
        <v>-9.3240279999999995E-2</v>
      </c>
      <c r="W1369">
        <v>1.919802E-2</v>
      </c>
      <c r="X1369">
        <v>0.99545849999999902</v>
      </c>
      <c r="Y1369">
        <v>0.17174719999999999</v>
      </c>
      <c r="Z1369">
        <v>-4.1476630000000002E-3</v>
      </c>
      <c r="AA1369">
        <v>0.98513229999999996</v>
      </c>
      <c r="AB1369">
        <v>26</v>
      </c>
      <c r="AC1369">
        <v>0.60339999999999305</v>
      </c>
      <c r="AD1369">
        <v>-6.3410999999999801E-2</v>
      </c>
      <c r="AE1369">
        <v>-0.15280000000001301</v>
      </c>
      <c r="AF1369">
        <v>0.12917362219213799</v>
      </c>
      <c r="AG1369">
        <v>-6.3410999999999801E-2</v>
      </c>
      <c r="AH1369">
        <v>0.60235798916946104</v>
      </c>
      <c r="AI1369">
        <v>95.876822643262201</v>
      </c>
      <c r="AJ1369">
        <v>77.896429888663803</v>
      </c>
      <c r="AK1369">
        <v>0.61930761880305796</v>
      </c>
    </row>
    <row r="1370" spans="1:37" x14ac:dyDescent="0.2">
      <c r="A1370" t="str">
        <f>"20200111155523960"</f>
        <v>20200111155523960</v>
      </c>
      <c r="B1370" t="str">
        <f>"1578729323913152"</f>
        <v>1578729323913152</v>
      </c>
      <c r="C1370" t="s">
        <v>37</v>
      </c>
      <c r="D1370">
        <v>5.6882070000000002</v>
      </c>
      <c r="E1370">
        <v>0.6029928</v>
      </c>
      <c r="F1370" t="s">
        <v>40</v>
      </c>
      <c r="G1370">
        <v>-236.05539999999999</v>
      </c>
      <c r="H1370">
        <v>1.0335809999999901</v>
      </c>
      <c r="I1370">
        <v>367.91910000000001</v>
      </c>
      <c r="J1370">
        <v>-236.74639999999999</v>
      </c>
      <c r="K1370">
        <v>1.104554</v>
      </c>
      <c r="L1370">
        <v>368.09070000000003</v>
      </c>
      <c r="M1370">
        <v>0.99919979999999997</v>
      </c>
      <c r="N1370">
        <v>0</v>
      </c>
      <c r="O1370">
        <v>-3.7167150000000003E-2</v>
      </c>
      <c r="P1370">
        <v>0.99839699999999998</v>
      </c>
      <c r="Q1370">
        <v>4.6204359999999899E-3</v>
      </c>
      <c r="R1370">
        <v>5.6411940000000001E-2</v>
      </c>
      <c r="S1370">
        <v>3.04277</v>
      </c>
      <c r="T1370">
        <v>-0.2599612</v>
      </c>
      <c r="U1370">
        <v>-0.64880369999999998</v>
      </c>
      <c r="V1370">
        <v>-9.3458120000000006E-2</v>
      </c>
      <c r="W1370">
        <v>1.946643E-2</v>
      </c>
      <c r="X1370">
        <v>0.99543289999999995</v>
      </c>
      <c r="Y1370">
        <v>0.17157429999999901</v>
      </c>
      <c r="Z1370">
        <v>-4.1037519999999996E-3</v>
      </c>
      <c r="AA1370">
        <v>0.9851626</v>
      </c>
      <c r="AB1370">
        <v>26</v>
      </c>
      <c r="AC1370">
        <v>0.69100000000000195</v>
      </c>
      <c r="AD1370">
        <v>-7.0973000000000105E-2</v>
      </c>
      <c r="AE1370">
        <v>-0.17160000000001199</v>
      </c>
      <c r="AF1370">
        <v>0.14436163168178101</v>
      </c>
      <c r="AG1370">
        <v>-7.0973000000000105E-2</v>
      </c>
      <c r="AH1370">
        <v>0.69004430196411204</v>
      </c>
      <c r="AI1370">
        <v>95.748786457644002</v>
      </c>
      <c r="AJ1370">
        <v>78.183781407156204</v>
      </c>
      <c r="AK1370">
        <v>0.70854681292344102</v>
      </c>
    </row>
    <row r="1371" spans="1:37" x14ac:dyDescent="0.2">
      <c r="A1371" t="str">
        <f>"20200111155523972"</f>
        <v>20200111155523972</v>
      </c>
      <c r="B1371" t="str">
        <f>"1578729323913152"</f>
        <v>1578729323913152</v>
      </c>
      <c r="C1371" t="s">
        <v>37</v>
      </c>
      <c r="D1371">
        <v>5.6882070000000002</v>
      </c>
      <c r="E1371">
        <v>0.6029928</v>
      </c>
      <c r="F1371" t="s">
        <v>40</v>
      </c>
      <c r="G1371">
        <v>-235.8271</v>
      </c>
      <c r="H1371">
        <v>1.0262249999999999</v>
      </c>
      <c r="I1371">
        <v>367.89409999999998</v>
      </c>
      <c r="J1371">
        <v>-236.60910000000001</v>
      </c>
      <c r="K1371">
        <v>1.1045559999999901</v>
      </c>
      <c r="L1371">
        <v>368.08510000000001</v>
      </c>
      <c r="M1371">
        <v>0.99918430000000003</v>
      </c>
      <c r="N1371">
        <v>0</v>
      </c>
      <c r="O1371">
        <v>-3.756876E-2</v>
      </c>
      <c r="P1371">
        <v>0.99840359999999995</v>
      </c>
      <c r="Q1371">
        <v>5.159467E-3</v>
      </c>
      <c r="R1371">
        <v>5.6248270000000003E-2</v>
      </c>
      <c r="S1371">
        <v>3.0427249999999999</v>
      </c>
      <c r="T1371">
        <v>-0.25945619999999903</v>
      </c>
      <c r="U1371">
        <v>-0.64981080000000002</v>
      </c>
      <c r="V1371">
        <v>-9.3694369999999999E-2</v>
      </c>
      <c r="W1371">
        <v>2.0043760000000001E-2</v>
      </c>
      <c r="X1371">
        <v>0.99539920000000004</v>
      </c>
      <c r="Y1371">
        <v>0.17149679999999901</v>
      </c>
      <c r="Z1371">
        <v>-4.0587419999999997E-3</v>
      </c>
      <c r="AA1371">
        <v>0.9851763</v>
      </c>
      <c r="AB1371">
        <v>26</v>
      </c>
      <c r="AC1371">
        <v>0.78200000000001002</v>
      </c>
      <c r="AD1371">
        <v>-7.8330999999999901E-2</v>
      </c>
      <c r="AE1371">
        <v>-0.19100000000003001</v>
      </c>
      <c r="AF1371">
        <v>0.159968451930909</v>
      </c>
      <c r="AG1371">
        <v>-7.8330999999999901E-2</v>
      </c>
      <c r="AH1371">
        <v>0.78122706087845495</v>
      </c>
      <c r="AI1371">
        <v>95.610078836766306</v>
      </c>
      <c r="AJ1371">
        <v>78.427761166596497</v>
      </c>
      <c r="AK1371">
        <v>0.80127484162611795</v>
      </c>
    </row>
    <row r="1372" spans="1:37" x14ac:dyDescent="0.2">
      <c r="A1372" t="str">
        <f>"20200111155523986"</f>
        <v>20200111155523986</v>
      </c>
      <c r="B1372" t="str">
        <f>"1578729323983885"</f>
        <v>1578729323983885</v>
      </c>
      <c r="C1372" t="s">
        <v>37</v>
      </c>
      <c r="D1372">
        <v>5.5444659999999999</v>
      </c>
      <c r="E1372">
        <v>0.60398229999999997</v>
      </c>
      <c r="F1372" t="s">
        <v>40</v>
      </c>
      <c r="G1372">
        <v>-235.82079999999999</v>
      </c>
      <c r="H1372">
        <v>1.0377540000000001</v>
      </c>
      <c r="I1372">
        <v>367.91640000000001</v>
      </c>
      <c r="J1372">
        <v>-236.4504</v>
      </c>
      <c r="K1372">
        <v>1.104557</v>
      </c>
      <c r="L1372">
        <v>368.07850000000002</v>
      </c>
      <c r="M1372">
        <v>0.999166</v>
      </c>
      <c r="N1372">
        <v>0</v>
      </c>
      <c r="O1372">
        <v>-3.8033999999999998E-2</v>
      </c>
      <c r="P1372">
        <v>0.99842640000000005</v>
      </c>
      <c r="Q1372">
        <v>5.2400019999999997E-3</v>
      </c>
      <c r="R1372">
        <v>5.5830310000000001E-2</v>
      </c>
      <c r="S1372">
        <v>3.0427550000000001</v>
      </c>
      <c r="T1372">
        <v>-0.25801960000000002</v>
      </c>
      <c r="U1372">
        <v>-0.65002439999999995</v>
      </c>
      <c r="V1372">
        <v>-9.3740660000000003E-2</v>
      </c>
      <c r="W1372">
        <v>2.0161040000000002E-2</v>
      </c>
      <c r="X1372">
        <v>0.99539249999999901</v>
      </c>
      <c r="Y1372">
        <v>0.17111019999999999</v>
      </c>
      <c r="Z1372">
        <v>-3.9812470000000003E-3</v>
      </c>
      <c r="AA1372">
        <v>0.98524389999999995</v>
      </c>
      <c r="AB1372">
        <v>26</v>
      </c>
      <c r="AC1372">
        <v>0.62960000000001004</v>
      </c>
      <c r="AD1372">
        <v>-6.6802999999999904E-2</v>
      </c>
      <c r="AE1372">
        <v>-0.16210000000000899</v>
      </c>
      <c r="AF1372">
        <v>0.136591680817096</v>
      </c>
      <c r="AG1372">
        <v>-6.6802999999999904E-2</v>
      </c>
      <c r="AH1372">
        <v>0.62867271999785701</v>
      </c>
      <c r="AI1372">
        <v>95.928218829744097</v>
      </c>
      <c r="AJ1372">
        <v>77.741866601102103</v>
      </c>
      <c r="AK1372">
        <v>0.646799286445914</v>
      </c>
    </row>
    <row r="1373" spans="1:37" x14ac:dyDescent="0.2">
      <c r="A1373" t="str">
        <f>"20200111155524000"</f>
        <v>20200111155524000</v>
      </c>
      <c r="B1373" t="str">
        <f>"1578729323993645"</f>
        <v>1578729323993645</v>
      </c>
      <c r="C1373" t="s">
        <v>37</v>
      </c>
      <c r="D1373">
        <v>5.543024</v>
      </c>
      <c r="E1373">
        <v>0.60482639999999999</v>
      </c>
      <c r="F1373" t="s">
        <v>40</v>
      </c>
      <c r="G1373">
        <v>-235.59219999999999</v>
      </c>
      <c r="H1373">
        <v>1.032491</v>
      </c>
      <c r="I1373">
        <v>367.89240000000001</v>
      </c>
      <c r="J1373">
        <v>-236.28440000000001</v>
      </c>
      <c r="K1373">
        <v>1.104557</v>
      </c>
      <c r="L1373">
        <v>368.07170000000002</v>
      </c>
      <c r="M1373">
        <v>0.99914689999999995</v>
      </c>
      <c r="N1373">
        <v>0</v>
      </c>
      <c r="O1373">
        <v>-3.8521010000000001E-2</v>
      </c>
      <c r="P1373">
        <v>0.9984632</v>
      </c>
      <c r="Q1373">
        <v>5.2016390000000001E-3</v>
      </c>
      <c r="R1373">
        <v>5.5177980000000001E-2</v>
      </c>
      <c r="S1373">
        <v>3.042923</v>
      </c>
      <c r="T1373">
        <v>-0.25579089999999999</v>
      </c>
      <c r="U1373">
        <v>-0.65905760000000002</v>
      </c>
      <c r="V1373">
        <v>-9.3575989999999998E-2</v>
      </c>
      <c r="W1373">
        <v>2.0154370000000001E-2</v>
      </c>
      <c r="X1373">
        <v>0.99540810000000002</v>
      </c>
      <c r="Y1373">
        <v>0.17341599999999999</v>
      </c>
      <c r="Z1373">
        <v>-4.0009340000000003E-3</v>
      </c>
      <c r="AA1373">
        <v>0.98484050000000001</v>
      </c>
      <c r="AB1373">
        <v>26</v>
      </c>
      <c r="AC1373">
        <v>0.69220000000001303</v>
      </c>
      <c r="AD1373">
        <v>-7.2065999999999894E-2</v>
      </c>
      <c r="AE1373">
        <v>-0.17930000000001201</v>
      </c>
      <c r="AF1373">
        <v>0.15096622909982399</v>
      </c>
      <c r="AG1373">
        <v>-7.2065999999999894E-2</v>
      </c>
      <c r="AH1373">
        <v>0.69156898155737301</v>
      </c>
      <c r="AI1373">
        <v>95.813197117374003</v>
      </c>
      <c r="AJ1373">
        <v>77.685780062718194</v>
      </c>
      <c r="AK1373">
        <v>0.71151385575891901</v>
      </c>
    </row>
    <row r="1374" spans="1:37" x14ac:dyDescent="0.2">
      <c r="A1374" t="str">
        <f>"20200111155524013"</f>
        <v>20200111155524013</v>
      </c>
      <c r="B1374" t="str">
        <f>"1578729324003406"</f>
        <v>1578729324003406</v>
      </c>
      <c r="C1374" t="s">
        <v>37</v>
      </c>
      <c r="D1374">
        <v>5.5719849999999997</v>
      </c>
      <c r="E1374">
        <v>0.60578269999999901</v>
      </c>
      <c r="F1374" t="s">
        <v>38</v>
      </c>
      <c r="G1374">
        <v>-223.07990000000001</v>
      </c>
      <c r="H1374" s="1">
        <v>-3.738752E-6</v>
      </c>
      <c r="I1374">
        <v>365.17540000000002</v>
      </c>
      <c r="J1374">
        <v>-236.13759999999999</v>
      </c>
      <c r="K1374">
        <v>1.104557</v>
      </c>
      <c r="L1374">
        <v>368.06549999999999</v>
      </c>
      <c r="M1374">
        <v>0.99912999999999996</v>
      </c>
      <c r="N1374">
        <v>0</v>
      </c>
      <c r="O1374">
        <v>-3.8950369999999998E-2</v>
      </c>
      <c r="P1374">
        <v>0.99849460000000001</v>
      </c>
      <c r="Q1374">
        <v>4.7621620000000003E-3</v>
      </c>
      <c r="R1374">
        <v>5.464509E-2</v>
      </c>
      <c r="S1374">
        <v>3.0428009999999999</v>
      </c>
      <c r="T1374">
        <v>-0.25452979999999997</v>
      </c>
      <c r="U1374">
        <v>-0.66738889999999995</v>
      </c>
      <c r="V1374">
        <v>-9.3473299999999995E-2</v>
      </c>
      <c r="W1374">
        <v>1.973722E-2</v>
      </c>
      <c r="X1374">
        <v>0.99542609999999998</v>
      </c>
      <c r="Y1374">
        <v>0.175573799999999</v>
      </c>
      <c r="Z1374">
        <v>-4.0340250000000001E-3</v>
      </c>
      <c r="AA1374">
        <v>0.98445799999999895</v>
      </c>
      <c r="AB1374">
        <v>26</v>
      </c>
      <c r="AC1374">
        <v>13.057699999999899</v>
      </c>
      <c r="AD1374">
        <v>-1.104560738752</v>
      </c>
      <c r="AE1374">
        <v>-2.8900999999999599</v>
      </c>
      <c r="AF1374">
        <v>2.3631277094173599</v>
      </c>
      <c r="AG1374">
        <v>-1.104560738752</v>
      </c>
      <c r="AH1374">
        <v>13.071207604755299</v>
      </c>
      <c r="AI1374">
        <v>94.753512511021299</v>
      </c>
      <c r="AJ1374">
        <v>79.752256723583997</v>
      </c>
      <c r="AK1374">
        <v>13.328949517618399</v>
      </c>
    </row>
    <row r="1375" spans="1:37" x14ac:dyDescent="0.2">
      <c r="A1375" t="str">
        <f>"20200111155524025"</f>
        <v>20200111155524025</v>
      </c>
      <c r="B1375" t="str">
        <f>"1578729324014141"</f>
        <v>1578729324014141</v>
      </c>
      <c r="C1375" t="s">
        <v>37</v>
      </c>
      <c r="D1375">
        <v>5.4986499999999996</v>
      </c>
      <c r="E1375">
        <v>0.60654209999999997</v>
      </c>
      <c r="F1375" t="s">
        <v>38</v>
      </c>
      <c r="G1375">
        <v>-222.8809</v>
      </c>
      <c r="H1375" s="1">
        <v>-3.8346539999999999E-6</v>
      </c>
      <c r="I1375">
        <v>365.11610000000002</v>
      </c>
      <c r="J1375">
        <v>-235.99760000000001</v>
      </c>
      <c r="K1375">
        <v>1.1045499999999999</v>
      </c>
      <c r="L1375">
        <v>368.05959999999999</v>
      </c>
      <c r="M1375">
        <v>0.99911369999999899</v>
      </c>
      <c r="N1375">
        <v>0</v>
      </c>
      <c r="O1375">
        <v>-3.9359400000000003E-2</v>
      </c>
      <c r="P1375">
        <v>0.998540599999999</v>
      </c>
      <c r="Q1375">
        <v>4.5918399999999998E-3</v>
      </c>
      <c r="R1375">
        <v>5.381478E-2</v>
      </c>
      <c r="S1375">
        <v>3.04277</v>
      </c>
      <c r="T1375">
        <v>-0.25352469999999999</v>
      </c>
      <c r="U1375">
        <v>-0.67694089999999996</v>
      </c>
      <c r="V1375">
        <v>-9.305302E-2</v>
      </c>
      <c r="W1375">
        <v>1.9582749999999999E-2</v>
      </c>
      <c r="X1375">
        <v>0.99546859999999904</v>
      </c>
      <c r="Y1375">
        <v>0.17811589999999999</v>
      </c>
      <c r="Z1375">
        <v>-4.0878199999999998E-3</v>
      </c>
      <c r="AA1375">
        <v>0.98400100000000001</v>
      </c>
      <c r="AB1375">
        <v>26</v>
      </c>
      <c r="AC1375">
        <v>13.1167</v>
      </c>
      <c r="AD1375">
        <v>-1.10455383465399</v>
      </c>
      <c r="AE1375">
        <v>-2.94349999999997</v>
      </c>
      <c r="AF1375">
        <v>2.4086343145686802</v>
      </c>
      <c r="AG1375">
        <v>-1.10455383465399</v>
      </c>
      <c r="AH1375">
        <v>13.133731513577899</v>
      </c>
      <c r="AI1375">
        <v>94.728795572227298</v>
      </c>
      <c r="AJ1375">
        <v>79.607835199061498</v>
      </c>
      <c r="AK1375">
        <v>13.3983753457543</v>
      </c>
    </row>
    <row r="1376" spans="1:37" x14ac:dyDescent="0.2">
      <c r="A1376" t="str">
        <f>"20200111155524037"</f>
        <v>20200111155524037</v>
      </c>
      <c r="B1376" t="str">
        <f>"1578729324033662"</f>
        <v>1578729324033662</v>
      </c>
      <c r="C1376" t="s">
        <v>37</v>
      </c>
      <c r="D1376">
        <v>5.473001</v>
      </c>
      <c r="E1376">
        <v>0.6078055</v>
      </c>
      <c r="F1376" t="s">
        <v>38</v>
      </c>
      <c r="G1376">
        <v>-222.69329999999999</v>
      </c>
      <c r="H1376" s="1">
        <v>-3.9246560000000004E-6</v>
      </c>
      <c r="I1376">
        <v>365.0625</v>
      </c>
      <c r="J1376">
        <v>-235.8614</v>
      </c>
      <c r="K1376">
        <v>1.104549</v>
      </c>
      <c r="L1376">
        <v>368.05380000000002</v>
      </c>
      <c r="M1376">
        <v>0.99909760000000003</v>
      </c>
      <c r="N1376">
        <v>0</v>
      </c>
      <c r="O1376">
        <v>-3.9756369999999999E-2</v>
      </c>
      <c r="P1376">
        <v>0.99858849999999999</v>
      </c>
      <c r="Q1376">
        <v>4.1812329999999899E-3</v>
      </c>
      <c r="R1376">
        <v>5.2949879999999998E-2</v>
      </c>
      <c r="S1376">
        <v>3.0425110000000002</v>
      </c>
      <c r="T1376">
        <v>-0.2525945</v>
      </c>
      <c r="U1376">
        <v>-0.68536379999999997</v>
      </c>
      <c r="V1376">
        <v>-9.258711E-2</v>
      </c>
      <c r="W1376">
        <v>1.918371E-2</v>
      </c>
      <c r="X1376">
        <v>0.99551979999999995</v>
      </c>
      <c r="Y1376">
        <v>0.18033399999999999</v>
      </c>
      <c r="Z1376">
        <v>-4.1304169999999999E-3</v>
      </c>
      <c r="AA1376">
        <v>0.98359669999999899</v>
      </c>
      <c r="AB1376">
        <v>26</v>
      </c>
      <c r="AC1376">
        <v>13.168100000000001</v>
      </c>
      <c r="AD1376">
        <v>-1.104552924656</v>
      </c>
      <c r="AE1376">
        <v>-2.9913000000000198</v>
      </c>
      <c r="AF1376">
        <v>2.4489747240028601</v>
      </c>
      <c r="AG1376">
        <v>-1.104552924656</v>
      </c>
      <c r="AH1376">
        <v>13.188383298475999</v>
      </c>
      <c r="AI1376">
        <v>94.707361275808793</v>
      </c>
      <c r="AJ1376">
        <v>79.4804606957739</v>
      </c>
      <c r="AK1376">
        <v>13.4592335736361</v>
      </c>
    </row>
    <row r="1377" spans="1:37" x14ac:dyDescent="0.2">
      <c r="A1377" t="str">
        <f>"20200111155524049"</f>
        <v>20200111155524049</v>
      </c>
      <c r="B1377" t="str">
        <f>"1578729324043422"</f>
        <v>1578729324043422</v>
      </c>
      <c r="C1377" t="s">
        <v>37</v>
      </c>
      <c r="D1377">
        <v>5.4812949999999896</v>
      </c>
      <c r="E1377">
        <v>0.60830249999999997</v>
      </c>
      <c r="F1377" t="s">
        <v>38</v>
      </c>
      <c r="G1377">
        <v>-222.43700000000001</v>
      </c>
      <c r="H1377" s="1">
        <v>-4.0506419999999997E-6</v>
      </c>
      <c r="I1377">
        <v>364.97199999999998</v>
      </c>
      <c r="J1377">
        <v>-235.72540000000001</v>
      </c>
      <c r="K1377">
        <v>1.1045479999999901</v>
      </c>
      <c r="L1377">
        <v>368.04790000000003</v>
      </c>
      <c r="M1377">
        <v>0.99908189999999997</v>
      </c>
      <c r="N1377">
        <v>0</v>
      </c>
      <c r="O1377">
        <v>-4.0149190000000001E-2</v>
      </c>
      <c r="P1377">
        <v>0.99864699999999995</v>
      </c>
      <c r="Q1377">
        <v>3.8005389999999999E-3</v>
      </c>
      <c r="R1377">
        <v>5.1866089999999997E-2</v>
      </c>
      <c r="S1377">
        <v>3.042313</v>
      </c>
      <c r="T1377">
        <v>-0.25031939999999903</v>
      </c>
      <c r="U1377">
        <v>-0.69839479999999998</v>
      </c>
      <c r="V1377">
        <v>-9.1898969999999996E-2</v>
      </c>
      <c r="W1377">
        <v>1.8806599999999899E-2</v>
      </c>
      <c r="X1377">
        <v>0.99559069999999905</v>
      </c>
      <c r="Y1377">
        <v>0.18396399999999999</v>
      </c>
      <c r="Z1377">
        <v>-4.2071640000000002E-3</v>
      </c>
      <c r="AA1377">
        <v>0.98292400000000002</v>
      </c>
      <c r="AB1377">
        <v>26</v>
      </c>
      <c r="AC1377">
        <v>13.2883999999999</v>
      </c>
      <c r="AD1377">
        <v>-1.1045520506419999</v>
      </c>
      <c r="AE1377">
        <v>-3.0759000000000398</v>
      </c>
      <c r="AF1377">
        <v>2.5232939218537398</v>
      </c>
      <c r="AG1377">
        <v>-1.1045520506419999</v>
      </c>
      <c r="AH1377">
        <v>13.31388173481</v>
      </c>
      <c r="AI1377">
        <v>94.659959183983304</v>
      </c>
      <c r="AJ1377">
        <v>79.268383511262101</v>
      </c>
      <c r="AK1377">
        <v>13.5958263558031</v>
      </c>
    </row>
    <row r="1378" spans="1:37" x14ac:dyDescent="0.2">
      <c r="A1378" t="str">
        <f>"20200111155524061"</f>
        <v>20200111155524061</v>
      </c>
      <c r="B1378" t="str">
        <f>"1578729324054158"</f>
        <v>1578729324054158</v>
      </c>
      <c r="C1378" t="s">
        <v>37</v>
      </c>
      <c r="D1378">
        <v>5.4738530000000001</v>
      </c>
      <c r="E1378">
        <v>0.60874340000000005</v>
      </c>
      <c r="F1378" t="s">
        <v>38</v>
      </c>
      <c r="G1378">
        <v>-222.3289</v>
      </c>
      <c r="H1378" s="1">
        <v>-4.1023459999999997E-6</v>
      </c>
      <c r="I1378">
        <v>364.94209999999998</v>
      </c>
      <c r="J1378">
        <v>-235.58279999999999</v>
      </c>
      <c r="K1378">
        <v>1.10454599999999</v>
      </c>
      <c r="L1378">
        <v>368.04169999999999</v>
      </c>
      <c r="M1378">
        <v>0.99906530000000004</v>
      </c>
      <c r="N1378">
        <v>0</v>
      </c>
      <c r="O1378">
        <v>-4.0559039999999998E-2</v>
      </c>
      <c r="P1378">
        <v>0.99869409999999903</v>
      </c>
      <c r="Q1378">
        <v>3.560377E-3</v>
      </c>
      <c r="R1378">
        <v>5.096697E-2</v>
      </c>
      <c r="S1378">
        <v>3.0416259999999999</v>
      </c>
      <c r="T1378">
        <v>-0.250782</v>
      </c>
      <c r="U1378">
        <v>-0.70513919999999997</v>
      </c>
      <c r="V1378">
        <v>-9.1411800000000001E-2</v>
      </c>
      <c r="W1378">
        <v>1.8568709999999999E-2</v>
      </c>
      <c r="X1378">
        <v>0.99563999999999997</v>
      </c>
      <c r="Y1378">
        <v>0.18567249999999999</v>
      </c>
      <c r="Z1378">
        <v>-4.2510359999999997E-3</v>
      </c>
      <c r="AA1378">
        <v>0.98260249999999905</v>
      </c>
      <c r="AB1378">
        <v>26</v>
      </c>
      <c r="AC1378">
        <v>13.2538999999999</v>
      </c>
      <c r="AD1378">
        <v>-1.10455010234599</v>
      </c>
      <c r="AE1378">
        <v>-3.0996000000000001</v>
      </c>
      <c r="AF1378">
        <v>2.5426797390352598</v>
      </c>
      <c r="AG1378">
        <v>-1.10455010234599</v>
      </c>
      <c r="AH1378">
        <v>13.281264819061599</v>
      </c>
      <c r="AI1378">
        <v>94.669699195870606</v>
      </c>
      <c r="AJ1378">
        <v>79.161946665304399</v>
      </c>
      <c r="AK1378">
        <v>13.5675070067399</v>
      </c>
    </row>
    <row r="1379" spans="1:37" x14ac:dyDescent="0.2">
      <c r="A1379" t="str">
        <f>"20200111155524075"</f>
        <v>20200111155524075</v>
      </c>
      <c r="B1379" t="str">
        <f>"1578729324063918"</f>
        <v>1578729324063918</v>
      </c>
      <c r="C1379" t="s">
        <v>37</v>
      </c>
      <c r="D1379">
        <v>5.4666540000000001</v>
      </c>
      <c r="E1379">
        <v>0.6089194</v>
      </c>
      <c r="F1379" t="s">
        <v>38</v>
      </c>
      <c r="G1379">
        <v>-222.19669999999999</v>
      </c>
      <c r="H1379" s="1">
        <v>-4.1645620000000001E-6</v>
      </c>
      <c r="I1379">
        <v>364.91090000000003</v>
      </c>
      <c r="J1379">
        <v>-235.42060000000001</v>
      </c>
      <c r="K1379">
        <v>1.1045479999999901</v>
      </c>
      <c r="L1379">
        <v>368.03460000000001</v>
      </c>
      <c r="M1379">
        <v>0.99904649999999995</v>
      </c>
      <c r="N1379">
        <v>0</v>
      </c>
      <c r="O1379">
        <v>-4.101842E-2</v>
      </c>
      <c r="P1379">
        <v>0.99877830000000001</v>
      </c>
      <c r="Q1379">
        <v>2.945605E-3</v>
      </c>
      <c r="R1379">
        <v>4.9329199999999997E-2</v>
      </c>
      <c r="S1379">
        <v>3.0411220000000001</v>
      </c>
      <c r="T1379">
        <v>-0.25093589999999999</v>
      </c>
      <c r="U1379">
        <v>-0.71124270000000001</v>
      </c>
      <c r="V1379">
        <v>-9.0237719999999993E-2</v>
      </c>
      <c r="W1379">
        <v>1.795273E-2</v>
      </c>
      <c r="X1379">
        <v>0.99575840000000004</v>
      </c>
      <c r="Y1379">
        <v>0.18712329999999999</v>
      </c>
      <c r="Z1379">
        <v>-4.2751339999999999E-3</v>
      </c>
      <c r="AA1379">
        <v>0.98232710000000001</v>
      </c>
      <c r="AB1379">
        <v>26</v>
      </c>
      <c r="AC1379">
        <v>13.2239</v>
      </c>
      <c r="AD1379">
        <v>-1.10455216456199</v>
      </c>
      <c r="AE1379">
        <v>-3.1236999999999799</v>
      </c>
      <c r="AF1379">
        <v>2.5616588079352498</v>
      </c>
      <c r="AG1379">
        <v>-1.10455216456199</v>
      </c>
      <c r="AH1379">
        <v>13.253333197784601</v>
      </c>
      <c r="AI1379">
        <v>94.677919724041502</v>
      </c>
      <c r="AJ1379">
        <v>79.060532886098102</v>
      </c>
      <c r="AK1379">
        <v>13.5437429163437</v>
      </c>
    </row>
    <row r="1380" spans="1:37" x14ac:dyDescent="0.2">
      <c r="A1380" t="str">
        <f>"20200111155524090"</f>
        <v>20200111155524090</v>
      </c>
      <c r="B1380" t="str">
        <f>"1578729324083437"</f>
        <v>1578729324083437</v>
      </c>
      <c r="C1380" t="s">
        <v>37</v>
      </c>
      <c r="D1380">
        <v>5.4635210000000001</v>
      </c>
      <c r="E1380">
        <v>0.60959980000000002</v>
      </c>
      <c r="F1380" t="s">
        <v>38</v>
      </c>
      <c r="G1380">
        <v>-222.17740000000001</v>
      </c>
      <c r="H1380" s="1">
        <v>-4.1732640000000002E-6</v>
      </c>
      <c r="I1380">
        <v>364.90859999999998</v>
      </c>
      <c r="J1380">
        <v>-235.25599999999901</v>
      </c>
      <c r="K1380">
        <v>1.1045529999999999</v>
      </c>
      <c r="L1380">
        <v>368.02730000000003</v>
      </c>
      <c r="M1380">
        <v>0.99902780000000002</v>
      </c>
      <c r="N1380">
        <v>0</v>
      </c>
      <c r="O1380">
        <v>-4.1477359999999998E-2</v>
      </c>
      <c r="P1380">
        <v>0.99882729999999997</v>
      </c>
      <c r="Q1380">
        <v>2.72666599999999E-3</v>
      </c>
      <c r="R1380">
        <v>4.8342169999999997E-2</v>
      </c>
      <c r="S1380">
        <v>3.0398559999999999</v>
      </c>
      <c r="T1380">
        <v>-0.25353949999999997</v>
      </c>
      <c r="U1380">
        <v>-0.71752930000000004</v>
      </c>
      <c r="V1380">
        <v>-8.9711509999999994E-2</v>
      </c>
      <c r="W1380">
        <v>1.7725319999999999E-2</v>
      </c>
      <c r="X1380">
        <v>0.99580999999999997</v>
      </c>
      <c r="Y1380">
        <v>0.18867439999999999</v>
      </c>
      <c r="Z1380">
        <v>-4.3462379999999997E-3</v>
      </c>
      <c r="AA1380">
        <v>0.98203009999999902</v>
      </c>
      <c r="AB1380">
        <v>26</v>
      </c>
      <c r="AC1380">
        <v>13.0785999999999</v>
      </c>
      <c r="AD1380">
        <v>-1.104557173264</v>
      </c>
      <c r="AE1380">
        <v>-3.11870000000004</v>
      </c>
      <c r="AF1380">
        <v>2.5562373781264101</v>
      </c>
      <c r="AG1380">
        <v>-1.104557173264</v>
      </c>
      <c r="AH1380">
        <v>13.108245750379901</v>
      </c>
      <c r="AI1380">
        <v>94.7279647246976</v>
      </c>
      <c r="AJ1380">
        <v>78.965245873991094</v>
      </c>
      <c r="AK1380">
        <v>13.400765005576799</v>
      </c>
    </row>
    <row r="1381" spans="1:37" x14ac:dyDescent="0.2">
      <c r="A1381" t="str">
        <f>"20200111155524101"</f>
        <v>20200111155524101</v>
      </c>
      <c r="B1381" t="str">
        <f>"1578729324094174"</f>
        <v>1578729324094174</v>
      </c>
      <c r="C1381" t="s">
        <v>37</v>
      </c>
      <c r="D1381">
        <v>5.4860629999999997</v>
      </c>
      <c r="E1381">
        <v>0.60974139999999999</v>
      </c>
      <c r="F1381" t="s">
        <v>38</v>
      </c>
      <c r="G1381">
        <v>-221.94</v>
      </c>
      <c r="H1381" s="1">
        <v>-4.2861299999999999E-6</v>
      </c>
      <c r="I1381">
        <v>364.84640000000002</v>
      </c>
      <c r="J1381">
        <v>-235.12190000000001</v>
      </c>
      <c r="K1381">
        <v>1.1045579999999999</v>
      </c>
      <c r="L1381">
        <v>368.0213</v>
      </c>
      <c r="M1381">
        <v>0.99901249999999997</v>
      </c>
      <c r="N1381">
        <v>0</v>
      </c>
      <c r="O1381">
        <v>-4.1846769999999998E-2</v>
      </c>
      <c r="P1381">
        <v>0.99887060000000005</v>
      </c>
      <c r="Q1381">
        <v>2.7240139999999999E-3</v>
      </c>
      <c r="R1381">
        <v>4.7440789999999997E-2</v>
      </c>
      <c r="S1381">
        <v>3.0393520000000001</v>
      </c>
      <c r="T1381">
        <v>-0.25211309999999998</v>
      </c>
      <c r="U1381">
        <v>-0.72601319999999903</v>
      </c>
      <c r="V1381">
        <v>-8.91816E-2</v>
      </c>
      <c r="W1381">
        <v>1.771149E-2</v>
      </c>
      <c r="X1381">
        <v>0.99585789999999996</v>
      </c>
      <c r="Y1381">
        <v>0.19094149999999999</v>
      </c>
      <c r="Z1381">
        <v>-4.3837329999999999E-3</v>
      </c>
      <c r="AA1381">
        <v>0.98159159999999901</v>
      </c>
      <c r="AB1381">
        <v>26</v>
      </c>
      <c r="AC1381">
        <v>13.181900000000001</v>
      </c>
      <c r="AD1381">
        <v>-1.10456228613</v>
      </c>
      <c r="AE1381">
        <v>-3.1748999999999699</v>
      </c>
      <c r="AF1381">
        <v>2.6031611784597701</v>
      </c>
      <c r="AG1381">
        <v>-1.10456228613</v>
      </c>
      <c r="AH1381">
        <v>13.215520842231101</v>
      </c>
      <c r="AI1381">
        <v>94.688045998903505</v>
      </c>
      <c r="AJ1381">
        <v>78.8566759121789</v>
      </c>
      <c r="AK1381">
        <v>13.514677099229001</v>
      </c>
    </row>
    <row r="1382" spans="1:37" x14ac:dyDescent="0.2">
      <c r="A1382" t="str">
        <f>"20200111155524114"</f>
        <v>20200111155524114</v>
      </c>
      <c r="B1382" t="str">
        <f>"1578729324103933"</f>
        <v>1578729324103933</v>
      </c>
      <c r="C1382" t="s">
        <v>37</v>
      </c>
      <c r="D1382">
        <v>5.438123</v>
      </c>
      <c r="E1382">
        <v>0.60991909999999905</v>
      </c>
      <c r="F1382" t="s">
        <v>38</v>
      </c>
      <c r="G1382">
        <v>-221.77269999999999</v>
      </c>
      <c r="H1382" s="1">
        <v>-4.3636570000000001E-6</v>
      </c>
      <c r="I1382">
        <v>364.81400000000002</v>
      </c>
      <c r="J1382">
        <v>-234.96940000000001</v>
      </c>
      <c r="K1382">
        <v>1.104565</v>
      </c>
      <c r="L1382">
        <v>368.0145</v>
      </c>
      <c r="M1382">
        <v>0.99899530000000003</v>
      </c>
      <c r="N1382">
        <v>0</v>
      </c>
      <c r="O1382">
        <v>-4.226017E-2</v>
      </c>
      <c r="P1382">
        <v>0.99891280000000005</v>
      </c>
      <c r="Q1382">
        <v>2.8068640000000001E-3</v>
      </c>
      <c r="R1382">
        <v>4.6535010000000002E-2</v>
      </c>
      <c r="S1382">
        <v>3.0387729999999999</v>
      </c>
      <c r="T1382">
        <v>-0.25143759999999998</v>
      </c>
      <c r="U1382">
        <v>-0.73010249999999999</v>
      </c>
      <c r="V1382">
        <v>-8.8690950000000005E-2</v>
      </c>
      <c r="W1382">
        <v>1.7772989999999999E-2</v>
      </c>
      <c r="X1382">
        <v>0.99590059999999903</v>
      </c>
      <c r="Y1382">
        <v>0.1918279</v>
      </c>
      <c r="Z1382">
        <v>-4.3747200000000003E-3</v>
      </c>
      <c r="AA1382">
        <v>0.98141880000000004</v>
      </c>
      <c r="AB1382">
        <v>26</v>
      </c>
      <c r="AC1382">
        <v>13.1967</v>
      </c>
      <c r="AD1382">
        <v>-1.104569363657</v>
      </c>
      <c r="AE1382">
        <v>-3.2004999999999701</v>
      </c>
      <c r="AF1382">
        <v>2.6225311188730598</v>
      </c>
      <c r="AG1382">
        <v>-1.104569363657</v>
      </c>
      <c r="AH1382">
        <v>13.232621848695601</v>
      </c>
      <c r="AI1382">
        <v>94.680972566528396</v>
      </c>
      <c r="AJ1382">
        <v>78.7899946772242</v>
      </c>
      <c r="AK1382">
        <v>13.5351403368847</v>
      </c>
    </row>
    <row r="1383" spans="1:37" x14ac:dyDescent="0.2">
      <c r="A1383" t="str">
        <f>"20200111155524128"</f>
        <v>20200111155524128</v>
      </c>
      <c r="B1383" t="str">
        <f>"1578729324123453"</f>
        <v>1578729324123453</v>
      </c>
      <c r="C1383" t="s">
        <v>37</v>
      </c>
      <c r="D1383">
        <v>5.4393320000000003</v>
      </c>
      <c r="E1383">
        <v>0.61011559999999998</v>
      </c>
      <c r="F1383" t="s">
        <v>38</v>
      </c>
      <c r="G1383">
        <v>-221.57859999999999</v>
      </c>
      <c r="H1383" s="1">
        <v>-4.453133E-6</v>
      </c>
      <c r="I1383">
        <v>364.779</v>
      </c>
      <c r="J1383">
        <v>-234.8134</v>
      </c>
      <c r="K1383">
        <v>1.1045700000000001</v>
      </c>
      <c r="L1383">
        <v>368.00740000000002</v>
      </c>
      <c r="M1383">
        <v>0.99897829999999999</v>
      </c>
      <c r="N1383">
        <v>0</v>
      </c>
      <c r="O1383">
        <v>-4.2672740000000001E-2</v>
      </c>
      <c r="P1383">
        <v>0.9989538</v>
      </c>
      <c r="Q1383">
        <v>2.9245079999999902E-3</v>
      </c>
      <c r="R1383">
        <v>4.5641670000000002E-2</v>
      </c>
      <c r="S1383">
        <v>3.0381770000000001</v>
      </c>
      <c r="T1383">
        <v>-0.25061039999999901</v>
      </c>
      <c r="U1383">
        <v>-0.73406979999999999</v>
      </c>
      <c r="V1383">
        <v>-8.821213E-2</v>
      </c>
      <c r="W1383">
        <v>1.785929E-2</v>
      </c>
      <c r="X1383">
        <v>0.99594159999999898</v>
      </c>
      <c r="Y1383">
        <v>0.19267919999999999</v>
      </c>
      <c r="Z1383">
        <v>-4.3617359999999997E-3</v>
      </c>
      <c r="AA1383">
        <v>0.98125209999999996</v>
      </c>
      <c r="AB1383">
        <v>26</v>
      </c>
      <c r="AC1383">
        <v>13.2348</v>
      </c>
      <c r="AD1383">
        <v>-1.104574453133</v>
      </c>
      <c r="AE1383">
        <v>-3.2284000000000201</v>
      </c>
      <c r="AF1383">
        <v>2.6432532257578898</v>
      </c>
      <c r="AG1383">
        <v>-1.104574453133</v>
      </c>
      <c r="AH1383">
        <v>13.2732586474204</v>
      </c>
      <c r="AI1383">
        <v>94.665878886675102</v>
      </c>
      <c r="AJ1383">
        <v>78.737386052275696</v>
      </c>
      <c r="AK1383">
        <v>13.578890509143701</v>
      </c>
    </row>
    <row r="1384" spans="1:37" x14ac:dyDescent="0.2">
      <c r="A1384" t="str">
        <f>"20200111155524142"</f>
        <v>20200111155524142</v>
      </c>
      <c r="B1384" t="str">
        <f>"1578729324134189"</f>
        <v>1578729324134189</v>
      </c>
      <c r="C1384" t="s">
        <v>37</v>
      </c>
      <c r="D1384">
        <v>5.4577229999999997</v>
      </c>
      <c r="E1384">
        <v>0.61014969999999902</v>
      </c>
      <c r="F1384" t="s">
        <v>38</v>
      </c>
      <c r="G1384">
        <v>-221.34350000000001</v>
      </c>
      <c r="H1384" s="1">
        <v>-4.5620849999999997E-6</v>
      </c>
      <c r="I1384">
        <v>364.73329999999999</v>
      </c>
      <c r="J1384">
        <v>-234.6549</v>
      </c>
      <c r="K1384">
        <v>1.104576</v>
      </c>
      <c r="L1384">
        <v>368.00009999999997</v>
      </c>
      <c r="M1384">
        <v>0.99896109999999905</v>
      </c>
      <c r="N1384">
        <v>0</v>
      </c>
      <c r="O1384">
        <v>-4.3083110000000001E-2</v>
      </c>
      <c r="P1384">
        <v>0.99899629999999995</v>
      </c>
      <c r="Q1384">
        <v>3.2235839999999998E-3</v>
      </c>
      <c r="R1384">
        <v>4.4677880000000003E-2</v>
      </c>
      <c r="S1384">
        <v>3.037582</v>
      </c>
      <c r="T1384">
        <v>-0.2490909</v>
      </c>
      <c r="U1384">
        <v>-0.73831179999999996</v>
      </c>
      <c r="V1384">
        <v>-8.7660340000000003E-2</v>
      </c>
      <c r="W1384">
        <v>1.812103E-2</v>
      </c>
      <c r="X1384">
        <v>0.99598560000000003</v>
      </c>
      <c r="Y1384">
        <v>0.1936184</v>
      </c>
      <c r="Z1384">
        <v>-4.3404100000000003E-3</v>
      </c>
      <c r="AA1384">
        <v>0.98106729999999998</v>
      </c>
      <c r="AB1384">
        <v>26</v>
      </c>
      <c r="AC1384">
        <v>13.3113999999999</v>
      </c>
      <c r="AD1384">
        <v>-1.104580562085</v>
      </c>
      <c r="AE1384">
        <v>-3.2667999999999799</v>
      </c>
      <c r="AF1384">
        <v>2.6728474091838099</v>
      </c>
      <c r="AG1384">
        <v>-1.104580562085</v>
      </c>
      <c r="AH1384">
        <v>13.3530749347495</v>
      </c>
      <c r="AI1384">
        <v>94.637227227073396</v>
      </c>
      <c r="AJ1384">
        <v>78.680857298013393</v>
      </c>
      <c r="AK1384">
        <v>13.662679887341</v>
      </c>
    </row>
    <row r="1385" spans="1:37" x14ac:dyDescent="0.2">
      <c r="A1385" t="str">
        <f>"20200111155524154"</f>
        <v>20200111155524154</v>
      </c>
      <c r="B1385" t="str">
        <f>"1578729324143949"</f>
        <v>1578729324143949</v>
      </c>
      <c r="C1385" t="s">
        <v>37</v>
      </c>
      <c r="D1385">
        <v>5.431603</v>
      </c>
      <c r="E1385">
        <v>0.61021349999999996</v>
      </c>
      <c r="F1385" t="s">
        <v>38</v>
      </c>
      <c r="G1385">
        <v>-221.1362</v>
      </c>
      <c r="H1385" s="1">
        <v>-4.6567839999999996E-6</v>
      </c>
      <c r="I1385">
        <v>364.70089999999999</v>
      </c>
      <c r="J1385">
        <v>-234.5121</v>
      </c>
      <c r="K1385">
        <v>1.1045860000000001</v>
      </c>
      <c r="L1385">
        <v>367.99360000000001</v>
      </c>
      <c r="M1385">
        <v>0.99894609999999995</v>
      </c>
      <c r="N1385">
        <v>0</v>
      </c>
      <c r="O1385">
        <v>-4.3441380000000002E-2</v>
      </c>
      <c r="P1385">
        <v>0.99902219999999997</v>
      </c>
      <c r="Q1385">
        <v>3.372753E-3</v>
      </c>
      <c r="R1385">
        <v>4.4085039999999999E-2</v>
      </c>
      <c r="S1385">
        <v>3.0369869999999999</v>
      </c>
      <c r="T1385">
        <v>-0.24814259999999999</v>
      </c>
      <c r="U1385">
        <v>-0.74114990000000003</v>
      </c>
      <c r="V1385">
        <v>-8.7426509999999999E-2</v>
      </c>
      <c r="W1385">
        <v>1.823164E-2</v>
      </c>
      <c r="X1385">
        <v>0.99600409999999995</v>
      </c>
      <c r="Y1385">
        <v>0.19417909999999999</v>
      </c>
      <c r="Z1385">
        <v>-4.3181349999999999E-3</v>
      </c>
      <c r="AA1385">
        <v>0.98095659999999896</v>
      </c>
      <c r="AB1385">
        <v>26</v>
      </c>
      <c r="AC1385">
        <v>13.3759</v>
      </c>
      <c r="AD1385">
        <v>-1.104590656784</v>
      </c>
      <c r="AE1385">
        <v>-3.2927000000000199</v>
      </c>
      <c r="AF1385">
        <v>2.6911556582134</v>
      </c>
      <c r="AG1385">
        <v>-1.104590656784</v>
      </c>
      <c r="AH1385">
        <v>13.420035393621999</v>
      </c>
      <c r="AI1385">
        <v>94.613908083576305</v>
      </c>
      <c r="AJ1385">
        <v>78.660724097289503</v>
      </c>
      <c r="AK1385">
        <v>13.7317074416059</v>
      </c>
    </row>
    <row r="1386" spans="1:37" x14ac:dyDescent="0.2">
      <c r="A1386" t="str">
        <f>"20200111155524167"</f>
        <v>20200111155524167</v>
      </c>
      <c r="B1386" t="str">
        <f>"1578729324163469"</f>
        <v>1578729324163469</v>
      </c>
      <c r="C1386" t="s">
        <v>37</v>
      </c>
      <c r="D1386">
        <v>5.4137009999999997</v>
      </c>
      <c r="E1386">
        <v>0.61033059999999995</v>
      </c>
      <c r="F1386" t="s">
        <v>38</v>
      </c>
      <c r="G1386">
        <v>-220.96279999999999</v>
      </c>
      <c r="H1386" s="1">
        <v>-4.7357560000000001E-6</v>
      </c>
      <c r="I1386">
        <v>364.67500000000001</v>
      </c>
      <c r="J1386">
        <v>-234.37540000000001</v>
      </c>
      <c r="K1386">
        <v>1.1045909999999901</v>
      </c>
      <c r="L1386">
        <v>367.98719999999997</v>
      </c>
      <c r="M1386">
        <v>0.99893220000000005</v>
      </c>
      <c r="N1386">
        <v>0</v>
      </c>
      <c r="O1386">
        <v>-4.3771539999999998E-2</v>
      </c>
      <c r="P1386">
        <v>0.99903729999999902</v>
      </c>
      <c r="Q1386">
        <v>3.5579589999999999E-3</v>
      </c>
      <c r="R1386">
        <v>4.3723900000000003E-2</v>
      </c>
      <c r="S1386">
        <v>3.036575</v>
      </c>
      <c r="T1386">
        <v>-0.24755179999999999</v>
      </c>
      <c r="U1386">
        <v>-0.74371339999999997</v>
      </c>
      <c r="V1386">
        <v>-8.7396349999999998E-2</v>
      </c>
      <c r="W1386">
        <v>1.8380380000000002E-2</v>
      </c>
      <c r="X1386">
        <v>0.996004</v>
      </c>
      <c r="Y1386">
        <v>0.194668799999999</v>
      </c>
      <c r="Z1386">
        <v>-4.3012879999999899E-3</v>
      </c>
      <c r="AA1386">
        <v>0.98085959999999905</v>
      </c>
      <c r="AB1386">
        <v>26</v>
      </c>
      <c r="AC1386">
        <v>13.412599999999999</v>
      </c>
      <c r="AD1386">
        <v>-1.1045957357559999</v>
      </c>
      <c r="AE1386">
        <v>-3.3121999999999598</v>
      </c>
      <c r="AF1386">
        <v>2.7045813680089901</v>
      </c>
      <c r="AG1386">
        <v>-1.1045957357559999</v>
      </c>
      <c r="AH1386">
        <v>13.4587029484758</v>
      </c>
      <c r="AI1386">
        <v>94.600357636601004</v>
      </c>
      <c r="AJ1386">
        <v>78.637514511140296</v>
      </c>
      <c r="AK1386">
        <v>13.7721304514205</v>
      </c>
    </row>
    <row r="1387" spans="1:37" x14ac:dyDescent="0.2">
      <c r="A1387" t="str">
        <f>"20200111155524180"</f>
        <v>20200111155524180</v>
      </c>
      <c r="B1387" t="str">
        <f>"1578729324174205"</f>
        <v>1578729324174205</v>
      </c>
      <c r="C1387" t="s">
        <v>37</v>
      </c>
      <c r="D1387">
        <v>5.3048789999999997</v>
      </c>
      <c r="E1387">
        <v>0.61043349999999996</v>
      </c>
      <c r="F1387" t="s">
        <v>38</v>
      </c>
      <c r="G1387">
        <v>-220.75319999999999</v>
      </c>
      <c r="H1387" s="1">
        <v>-4.8317720000000001E-6</v>
      </c>
      <c r="I1387">
        <v>364.64060000000001</v>
      </c>
      <c r="J1387">
        <v>-234.2302</v>
      </c>
      <c r="K1387">
        <v>1.104598</v>
      </c>
      <c r="L1387">
        <v>367.98050000000001</v>
      </c>
      <c r="M1387">
        <v>0.99891759999999996</v>
      </c>
      <c r="N1387">
        <v>0</v>
      </c>
      <c r="O1387">
        <v>-4.4114059999999997E-2</v>
      </c>
      <c r="P1387">
        <v>0.99904699999999902</v>
      </c>
      <c r="Q1387">
        <v>3.4463419999999998E-3</v>
      </c>
      <c r="R1387">
        <v>4.3510630000000002E-2</v>
      </c>
      <c r="S1387">
        <v>3.036438</v>
      </c>
      <c r="T1387">
        <v>-0.2462181</v>
      </c>
      <c r="U1387">
        <v>-0.74597170000000002</v>
      </c>
      <c r="V1387">
        <v>-8.7525770000000003E-2</v>
      </c>
      <c r="W1387">
        <v>1.8229260000000001E-2</v>
      </c>
      <c r="X1387">
        <v>0.99599550000000003</v>
      </c>
      <c r="Y1387">
        <v>0.19503589999999901</v>
      </c>
      <c r="Z1387">
        <v>-4.2654260000000001E-3</v>
      </c>
      <c r="AA1387">
        <v>0.98078690000000002</v>
      </c>
      <c r="AB1387">
        <v>26</v>
      </c>
      <c r="AC1387">
        <v>13.477</v>
      </c>
      <c r="AD1387">
        <v>-1.104602831772</v>
      </c>
      <c r="AE1387">
        <v>-3.3399000000000001</v>
      </c>
      <c r="AF1387">
        <v>2.7248124837322201</v>
      </c>
      <c r="AG1387">
        <v>-1.104602831772</v>
      </c>
      <c r="AH1387">
        <v>13.5256251742516</v>
      </c>
      <c r="AI1387">
        <v>94.577280188808402</v>
      </c>
      <c r="AJ1387">
        <v>78.609899801604996</v>
      </c>
      <c r="AK1387">
        <v>13.8415059455902</v>
      </c>
    </row>
    <row r="1388" spans="1:37" x14ac:dyDescent="0.2">
      <c r="A1388" t="str">
        <f>"20200111155524191"</f>
        <v>20200111155524191</v>
      </c>
      <c r="B1388" t="str">
        <f>"1578729324183965"</f>
        <v>1578729324183965</v>
      </c>
      <c r="C1388" t="s">
        <v>37</v>
      </c>
      <c r="D1388">
        <v>5.3352110000000001</v>
      </c>
      <c r="E1388">
        <v>0.61053299999999999</v>
      </c>
      <c r="F1388" t="s">
        <v>38</v>
      </c>
      <c r="G1388">
        <v>-220.56200000000001</v>
      </c>
      <c r="H1388" s="1">
        <v>-4.9181249999999996E-6</v>
      </c>
      <c r="I1388">
        <v>364.6164</v>
      </c>
      <c r="J1388">
        <v>-234.08940000000001</v>
      </c>
      <c r="K1388">
        <v>1.104614</v>
      </c>
      <c r="L1388">
        <v>367.97390000000001</v>
      </c>
      <c r="M1388">
        <v>0.99890419999999902</v>
      </c>
      <c r="N1388">
        <v>0</v>
      </c>
      <c r="O1388">
        <v>-4.4428330000000002E-2</v>
      </c>
      <c r="P1388">
        <v>0.99904799999999905</v>
      </c>
      <c r="Q1388">
        <v>3.4786109999999999E-3</v>
      </c>
      <c r="R1388">
        <v>4.3487850000000002E-2</v>
      </c>
      <c r="S1388">
        <v>3.0362550000000001</v>
      </c>
      <c r="T1388">
        <v>-0.24537410000000001</v>
      </c>
      <c r="U1388">
        <v>-0.7472839</v>
      </c>
      <c r="V1388">
        <v>-8.7817389999999995E-2</v>
      </c>
      <c r="W1388">
        <v>1.8224489999999999E-2</v>
      </c>
      <c r="X1388">
        <v>0.99596989999999996</v>
      </c>
      <c r="Y1388">
        <v>0.1951446</v>
      </c>
      <c r="Z1388">
        <v>-4.2303139999999998E-3</v>
      </c>
      <c r="AA1388">
        <v>0.98076529999999995</v>
      </c>
      <c r="AB1388">
        <v>25</v>
      </c>
      <c r="AC1388">
        <v>13.5274</v>
      </c>
      <c r="AD1388">
        <v>-1.1046189181249999</v>
      </c>
      <c r="AE1388">
        <v>-3.3575000000000101</v>
      </c>
      <c r="AF1388">
        <v>2.7359345195291702</v>
      </c>
      <c r="AG1388">
        <v>-1.1046189181249999</v>
      </c>
      <c r="AH1388">
        <v>13.5779399961484</v>
      </c>
      <c r="AI1388">
        <v>94.559747150895205</v>
      </c>
      <c r="AJ1388">
        <v>78.607535953491606</v>
      </c>
      <c r="AK1388">
        <v>13.8948182855494</v>
      </c>
    </row>
    <row r="1389" spans="1:37" x14ac:dyDescent="0.2">
      <c r="A1389" t="str">
        <f>"20200111155524204"</f>
        <v>20200111155524204</v>
      </c>
      <c r="B1389" t="str">
        <f>"1578729324193724"</f>
        <v>1578729324193724</v>
      </c>
      <c r="C1389" t="s">
        <v>37</v>
      </c>
      <c r="D1389">
        <v>5.2782849999999897</v>
      </c>
      <c r="E1389">
        <v>0.61060700000000001</v>
      </c>
      <c r="F1389" t="s">
        <v>38</v>
      </c>
      <c r="G1389">
        <v>-220.4247</v>
      </c>
      <c r="H1389" s="1">
        <v>-4.9785160000000003E-6</v>
      </c>
      <c r="I1389">
        <v>364.60789999999997</v>
      </c>
      <c r="J1389">
        <v>-233.95330000000001</v>
      </c>
      <c r="K1389">
        <v>1.104627</v>
      </c>
      <c r="L1389">
        <v>367.9674</v>
      </c>
      <c r="M1389">
        <v>0.99889169999999905</v>
      </c>
      <c r="N1389">
        <v>0</v>
      </c>
      <c r="O1389">
        <v>-4.4723029999999997E-2</v>
      </c>
      <c r="P1389">
        <v>0.99906519999999999</v>
      </c>
      <c r="Q1389">
        <v>3.557621E-3</v>
      </c>
      <c r="R1389">
        <v>4.3084530000000003E-2</v>
      </c>
      <c r="S1389">
        <v>3.0362550000000001</v>
      </c>
      <c r="T1389">
        <v>-0.24544060000000001</v>
      </c>
      <c r="U1389">
        <v>-0.74789430000000001</v>
      </c>
      <c r="V1389">
        <v>-8.7709969999999998E-2</v>
      </c>
      <c r="W1389">
        <v>1.8265010000000002E-2</v>
      </c>
      <c r="X1389">
        <v>0.99597860000000005</v>
      </c>
      <c r="Y1389">
        <v>0.1950422</v>
      </c>
      <c r="Z1389">
        <v>-4.203933E-3</v>
      </c>
      <c r="AA1389">
        <v>0.98078580000000004</v>
      </c>
      <c r="AB1389">
        <v>25</v>
      </c>
      <c r="AC1389">
        <v>13.528600000000001</v>
      </c>
      <c r="AD1389">
        <v>-1.1046319785159999</v>
      </c>
      <c r="AE1389">
        <v>-3.3595000000000201</v>
      </c>
      <c r="AF1389">
        <v>2.7338647775361</v>
      </c>
      <c r="AG1389">
        <v>-1.1046319785159999</v>
      </c>
      <c r="AH1389">
        <v>13.5800447288326</v>
      </c>
      <c r="AI1389">
        <v>94.559258474899295</v>
      </c>
      <c r="AJ1389">
        <v>78.6176475883737</v>
      </c>
      <c r="AK1389">
        <v>13.896468733707399</v>
      </c>
    </row>
    <row r="1390" spans="1:37" x14ac:dyDescent="0.2">
      <c r="A1390" t="str">
        <f>"20200111155524215"</f>
        <v>20200111155524215</v>
      </c>
      <c r="B1390" t="str">
        <f>"1578729324203486"</f>
        <v>1578729324203486</v>
      </c>
      <c r="C1390" t="s">
        <v>37</v>
      </c>
      <c r="D1390">
        <v>5.2654189999999996</v>
      </c>
      <c r="E1390">
        <v>0.61072309999999996</v>
      </c>
      <c r="F1390" t="s">
        <v>38</v>
      </c>
      <c r="G1390">
        <v>-220.27199999999999</v>
      </c>
      <c r="H1390" s="1">
        <v>-5.0475950000000002E-6</v>
      </c>
      <c r="I1390">
        <v>364.58789999999999</v>
      </c>
      <c r="J1390">
        <v>-233.82329999999999</v>
      </c>
      <c r="K1390">
        <v>1.104638</v>
      </c>
      <c r="L1390">
        <v>367.96129999999999</v>
      </c>
      <c r="M1390">
        <v>0.99887979999999998</v>
      </c>
      <c r="N1390">
        <v>0</v>
      </c>
      <c r="O1390">
        <v>-4.4994609999999997E-2</v>
      </c>
      <c r="P1390">
        <v>0.99908390000000002</v>
      </c>
      <c r="Q1390">
        <v>3.6785149999999998E-3</v>
      </c>
      <c r="R1390">
        <v>4.2630550000000003E-2</v>
      </c>
      <c r="S1390">
        <v>3.0359950000000002</v>
      </c>
      <c r="T1390">
        <v>-0.2451246</v>
      </c>
      <c r="U1390">
        <v>-0.74993900000000002</v>
      </c>
      <c r="V1390">
        <v>-8.7528419999999996E-2</v>
      </c>
      <c r="W1390">
        <v>1.8346540000000001E-2</v>
      </c>
      <c r="X1390">
        <v>0.99599309999999996</v>
      </c>
      <c r="Y1390">
        <v>0.1954186</v>
      </c>
      <c r="Z1390">
        <v>-4.1920170000000001E-3</v>
      </c>
      <c r="AA1390">
        <v>0.980711</v>
      </c>
      <c r="AB1390">
        <v>25</v>
      </c>
      <c r="AC1390">
        <v>13.5512999999999</v>
      </c>
      <c r="AD1390">
        <v>-1.104643047595</v>
      </c>
      <c r="AE1390">
        <v>-3.3734000000000002</v>
      </c>
      <c r="AF1390">
        <v>2.7430186559512899</v>
      </c>
      <c r="AG1390">
        <v>-1.104643047595</v>
      </c>
      <c r="AH1390">
        <v>13.604251211930899</v>
      </c>
      <c r="AI1390">
        <v>94.550949463829397</v>
      </c>
      <c r="AJ1390">
        <v>78.600321993921199</v>
      </c>
      <c r="AK1390">
        <v>13.921926542214599</v>
      </c>
    </row>
    <row r="1391" spans="1:37" x14ac:dyDescent="0.2">
      <c r="A1391" t="str">
        <f>"20200111155524227"</f>
        <v>20200111155524227</v>
      </c>
      <c r="B1391" t="str">
        <f>"1578729324223981"</f>
        <v>1578729324223981</v>
      </c>
      <c r="C1391" t="s">
        <v>37</v>
      </c>
      <c r="D1391">
        <v>5.1879369999999998</v>
      </c>
      <c r="E1391">
        <v>0.61096600000000001</v>
      </c>
      <c r="F1391" t="s">
        <v>38</v>
      </c>
      <c r="G1391">
        <v>-220.13040000000001</v>
      </c>
      <c r="H1391" s="1">
        <v>-5.1115549999999997E-6</v>
      </c>
      <c r="I1391">
        <v>364.56950000000001</v>
      </c>
      <c r="J1391">
        <v>-233.68979999999999</v>
      </c>
      <c r="K1391">
        <v>1.104652</v>
      </c>
      <c r="L1391">
        <v>367.95499999999998</v>
      </c>
      <c r="M1391">
        <v>0.99886869999999905</v>
      </c>
      <c r="N1391">
        <v>0</v>
      </c>
      <c r="O1391">
        <v>-4.525585E-2</v>
      </c>
      <c r="P1391">
        <v>0.99910189999999999</v>
      </c>
      <c r="Q1391">
        <v>3.7090609999999901E-3</v>
      </c>
      <c r="R1391">
        <v>4.2211600000000002E-2</v>
      </c>
      <c r="S1391">
        <v>3.035736</v>
      </c>
      <c r="T1391">
        <v>-0.2448996</v>
      </c>
      <c r="U1391">
        <v>-0.75195310000000004</v>
      </c>
      <c r="V1391">
        <v>-8.7371729999999995E-2</v>
      </c>
      <c r="W1391">
        <v>1.8333189999999999E-2</v>
      </c>
      <c r="X1391">
        <v>0.99600710000000003</v>
      </c>
      <c r="Y1391">
        <v>0.19579530000000001</v>
      </c>
      <c r="Z1391">
        <v>-4.1825020000000003E-3</v>
      </c>
      <c r="AA1391">
        <v>0.9806359</v>
      </c>
      <c r="AB1391">
        <v>25</v>
      </c>
      <c r="AC1391">
        <v>13.559399999999901</v>
      </c>
      <c r="AD1391">
        <v>-1.1046571115549999</v>
      </c>
      <c r="AE1391">
        <v>-3.3854999999999702</v>
      </c>
      <c r="AF1391">
        <v>2.75113508018595</v>
      </c>
      <c r="AG1391">
        <v>-1.1046571115549999</v>
      </c>
      <c r="AH1391">
        <v>13.613682152945</v>
      </c>
      <c r="AI1391">
        <v>94.547466683308301</v>
      </c>
      <c r="AJ1391">
        <v>78.575189594611402</v>
      </c>
      <c r="AK1391">
        <v>13.9327439266266</v>
      </c>
    </row>
    <row r="1392" spans="1:37" x14ac:dyDescent="0.2">
      <c r="A1392" t="str">
        <f>"20200111155524240"</f>
        <v>20200111155524240</v>
      </c>
      <c r="B1392" t="str">
        <f>"1578729324233741"</f>
        <v>1578729324233741</v>
      </c>
      <c r="C1392" t="s">
        <v>37</v>
      </c>
      <c r="D1392">
        <v>5.1056269999999904</v>
      </c>
      <c r="E1392">
        <v>0.61112460000000002</v>
      </c>
      <c r="F1392" t="s">
        <v>38</v>
      </c>
      <c r="G1392">
        <v>-219.9468</v>
      </c>
      <c r="H1392" s="1">
        <v>-1.3556659999999999E-6</v>
      </c>
      <c r="I1392">
        <v>364.53710000000001</v>
      </c>
      <c r="J1392">
        <v>-233.5419</v>
      </c>
      <c r="K1392">
        <v>1.1046689999999999</v>
      </c>
      <c r="L1392">
        <v>367.94799999999998</v>
      </c>
      <c r="M1392">
        <v>0.99885679999999999</v>
      </c>
      <c r="N1392">
        <v>0</v>
      </c>
      <c r="O1392">
        <v>-4.553405E-2</v>
      </c>
      <c r="P1392">
        <v>0.99912489999999998</v>
      </c>
      <c r="Q1392">
        <v>3.9067009999999899E-3</v>
      </c>
      <c r="R1392">
        <v>4.1646160000000002E-2</v>
      </c>
      <c r="S1392">
        <v>3.035507</v>
      </c>
      <c r="T1392">
        <v>-0.243991399999999</v>
      </c>
      <c r="U1392">
        <v>-0.75494380000000005</v>
      </c>
      <c r="V1392">
        <v>-8.7086049999999998E-2</v>
      </c>
      <c r="W1392">
        <v>1.8480980000000001E-2</v>
      </c>
      <c r="X1392">
        <v>0.99602939999999995</v>
      </c>
      <c r="Y1392">
        <v>0.19645190000000001</v>
      </c>
      <c r="Z1392">
        <v>-4.1709169999999997E-3</v>
      </c>
      <c r="AA1392">
        <v>0.98050459999999995</v>
      </c>
      <c r="AB1392">
        <v>25</v>
      </c>
      <c r="AC1392">
        <v>13.5951</v>
      </c>
      <c r="AD1392">
        <v>-1.104670355666</v>
      </c>
      <c r="AE1392">
        <v>-3.4109000000000198</v>
      </c>
      <c r="AF1392">
        <v>2.77104386338842</v>
      </c>
      <c r="AG1392">
        <v>-1.104670355666</v>
      </c>
      <c r="AH1392">
        <v>13.6515295075454</v>
      </c>
      <c r="AI1392">
        <v>94.534177126042295</v>
      </c>
      <c r="AJ1392">
        <v>78.525760199092801</v>
      </c>
      <c r="AK1392">
        <v>13.973662318193201</v>
      </c>
    </row>
    <row r="1393" spans="1:37" x14ac:dyDescent="0.2">
      <c r="A1393" t="str">
        <f>"20200111155524251"</f>
        <v>20200111155524251</v>
      </c>
      <c r="B1393" t="str">
        <f>"1578729324243501"</f>
        <v>1578729324243501</v>
      </c>
      <c r="C1393" t="s">
        <v>37</v>
      </c>
      <c r="D1393">
        <v>5.1426360000000004</v>
      </c>
      <c r="E1393">
        <v>0.61127919999999902</v>
      </c>
      <c r="F1393" t="s">
        <v>38</v>
      </c>
      <c r="G1393">
        <v>-219.72739999999999</v>
      </c>
      <c r="H1393" s="1">
        <v>-1.4406659999999999E-6</v>
      </c>
      <c r="I1393">
        <v>364.4982</v>
      </c>
      <c r="J1393">
        <v>-233.40940000000001</v>
      </c>
      <c r="K1393">
        <v>1.1046860000000001</v>
      </c>
      <c r="L1393">
        <v>367.94170000000003</v>
      </c>
      <c r="M1393">
        <v>0.99884709999999999</v>
      </c>
      <c r="N1393">
        <v>0</v>
      </c>
      <c r="O1393">
        <v>-4.5759840000000003E-2</v>
      </c>
      <c r="P1393">
        <v>0.99915219999999905</v>
      </c>
      <c r="Q1393">
        <v>3.9891759999999997E-3</v>
      </c>
      <c r="R1393">
        <v>4.0979699999999897E-2</v>
      </c>
      <c r="S1393">
        <v>3.0351720000000002</v>
      </c>
      <c r="T1393">
        <v>-0.24270419999999901</v>
      </c>
      <c r="U1393">
        <v>-0.75793459999999901</v>
      </c>
      <c r="V1393">
        <v>-8.6648080000000002E-2</v>
      </c>
      <c r="W1393">
        <v>1.851817E-2</v>
      </c>
      <c r="X1393">
        <v>0.99606689999999998</v>
      </c>
      <c r="Y1393">
        <v>0.1971686</v>
      </c>
      <c r="Z1393">
        <v>-4.159449E-3</v>
      </c>
      <c r="AA1393">
        <v>0.98036069999999997</v>
      </c>
      <c r="AB1393">
        <v>25</v>
      </c>
      <c r="AC1393">
        <v>13.682</v>
      </c>
      <c r="AD1393">
        <v>-1.1046874406660001</v>
      </c>
      <c r="AE1393">
        <v>-3.4435000000000202</v>
      </c>
      <c r="AF1393">
        <v>2.79659510001078</v>
      </c>
      <c r="AG1393">
        <v>-1.1046874406660001</v>
      </c>
      <c r="AH1393">
        <v>13.741013996557401</v>
      </c>
      <c r="AI1393">
        <v>94.504370139105504</v>
      </c>
      <c r="AJ1393">
        <v>78.496179453292896</v>
      </c>
      <c r="AK1393">
        <v>14.0661559833721</v>
      </c>
    </row>
    <row r="1394" spans="1:37" x14ac:dyDescent="0.2">
      <c r="A1394" t="str">
        <f>"20200111155524265"</f>
        <v>20200111155524265</v>
      </c>
      <c r="B1394" t="str">
        <f>"1578729324254237"</f>
        <v>1578729324254237</v>
      </c>
      <c r="C1394" t="s">
        <v>37</v>
      </c>
      <c r="D1394">
        <v>5.1168839999999998</v>
      </c>
      <c r="E1394">
        <v>0.61146940000000005</v>
      </c>
      <c r="F1394" t="s">
        <v>38</v>
      </c>
      <c r="G1394">
        <v>-219.5247</v>
      </c>
      <c r="H1394" s="1">
        <v>-1.5194950000000001E-6</v>
      </c>
      <c r="I1394">
        <v>364.46120000000002</v>
      </c>
      <c r="J1394">
        <v>-233.25620000000001</v>
      </c>
      <c r="K1394">
        <v>1.1047100000000001</v>
      </c>
      <c r="L1394">
        <v>367.93430000000001</v>
      </c>
      <c r="M1394">
        <v>0.99883659999999996</v>
      </c>
      <c r="N1394">
        <v>0</v>
      </c>
      <c r="O1394">
        <v>-4.6003639999999998E-2</v>
      </c>
      <c r="P1394">
        <v>0.99919419999999903</v>
      </c>
      <c r="Q1394">
        <v>4.4926480000000001E-3</v>
      </c>
      <c r="R1394">
        <v>3.9888590000000002E-2</v>
      </c>
      <c r="S1394">
        <v>3.0346980000000001</v>
      </c>
      <c r="T1394">
        <v>-0.24144470000000001</v>
      </c>
      <c r="U1394">
        <v>-0.76071169999999899</v>
      </c>
      <c r="V1394">
        <v>-8.5803790000000005E-2</v>
      </c>
      <c r="W1394">
        <v>1.8971080000000001E-2</v>
      </c>
      <c r="X1394">
        <v>0.9961314</v>
      </c>
      <c r="Y1394">
        <v>0.19781309999999999</v>
      </c>
      <c r="Z1394">
        <v>-4.1443249999999999E-3</v>
      </c>
      <c r="AA1394">
        <v>0.98023099999999996</v>
      </c>
      <c r="AB1394">
        <v>25</v>
      </c>
      <c r="AC1394">
        <v>13.7315</v>
      </c>
      <c r="AD1394">
        <v>-1.1047115194949999</v>
      </c>
      <c r="AE1394">
        <v>-3.4730999999999801</v>
      </c>
      <c r="AF1394">
        <v>2.8204994993186898</v>
      </c>
      <c r="AG1394">
        <v>-1.1047115194949999</v>
      </c>
      <c r="AH1394">
        <v>13.7928465374405</v>
      </c>
      <c r="AI1394">
        <v>94.486762233135707</v>
      </c>
      <c r="AJ1394">
        <v>78.442917714293003</v>
      </c>
      <c r="AK1394">
        <v>14.12155163473</v>
      </c>
    </row>
    <row r="1395" spans="1:37" x14ac:dyDescent="0.2">
      <c r="A1395" t="str">
        <f>"20200111155524277"</f>
        <v>20200111155524277</v>
      </c>
      <c r="B1395" t="str">
        <f>"1578729324273757"</f>
        <v>1578729324273757</v>
      </c>
      <c r="C1395" t="s">
        <v>37</v>
      </c>
      <c r="D1395">
        <v>5.0651260000000002</v>
      </c>
      <c r="E1395">
        <v>0.611815</v>
      </c>
      <c r="F1395" t="s">
        <v>38</v>
      </c>
      <c r="G1395">
        <v>-219.2199</v>
      </c>
      <c r="H1395" s="1">
        <v>-1.641649E-6</v>
      </c>
      <c r="I1395">
        <v>364.39190000000002</v>
      </c>
      <c r="J1395">
        <v>-233.11879999999999</v>
      </c>
      <c r="K1395">
        <v>1.104732</v>
      </c>
      <c r="L1395">
        <v>367.92779999999999</v>
      </c>
      <c r="M1395">
        <v>0.99882760000000004</v>
      </c>
      <c r="N1395">
        <v>0</v>
      </c>
      <c r="O1395">
        <v>-4.6208430000000002E-2</v>
      </c>
      <c r="P1395">
        <v>0.99921539999999998</v>
      </c>
      <c r="Q1395">
        <v>5.4473309999999997E-3</v>
      </c>
      <c r="R1395">
        <v>3.9230229999999998E-2</v>
      </c>
      <c r="S1395">
        <v>3.0340579999999999</v>
      </c>
      <c r="T1395">
        <v>-0.238791899999999</v>
      </c>
      <c r="U1395">
        <v>-0.76571659999999997</v>
      </c>
      <c r="V1395">
        <v>-8.5351510000000005E-2</v>
      </c>
      <c r="W1395">
        <v>1.9881670000000001E-2</v>
      </c>
      <c r="X1395">
        <v>0.9961525</v>
      </c>
      <c r="Y1395">
        <v>0.199188</v>
      </c>
      <c r="Z1395">
        <v>-4.136392E-3</v>
      </c>
      <c r="AA1395">
        <v>0.97995259999999995</v>
      </c>
      <c r="AB1395">
        <v>25</v>
      </c>
      <c r="AC1395">
        <v>13.8988999999999</v>
      </c>
      <c r="AD1395">
        <v>-1.1047336416489999</v>
      </c>
      <c r="AE1395">
        <v>-3.5358999999999599</v>
      </c>
      <c r="AF1395">
        <v>2.8727631667556999</v>
      </c>
      <c r="AG1395">
        <v>-1.1047336416489999</v>
      </c>
      <c r="AH1395">
        <v>13.964595344454301</v>
      </c>
      <c r="AI1395">
        <v>94.430823267221896</v>
      </c>
      <c r="AJ1395">
        <v>78.375421588974504</v>
      </c>
      <c r="AK1395">
        <v>14.2997597100655</v>
      </c>
    </row>
    <row r="1396" spans="1:37" x14ac:dyDescent="0.2">
      <c r="A1396" t="str">
        <f>"20200111155524405"</f>
        <v>20200111155524405</v>
      </c>
      <c r="B1396" t="str">
        <f>"1578729324393805"</f>
        <v>1578729324393805</v>
      </c>
      <c r="C1396" t="s">
        <v>37</v>
      </c>
      <c r="D1396">
        <v>5.1315580000000001</v>
      </c>
      <c r="E1396">
        <v>0.61157079999999997</v>
      </c>
      <c r="F1396" t="s">
        <v>38</v>
      </c>
      <c r="G1396">
        <v>-218.79079999999999</v>
      </c>
      <c r="H1396" s="1">
        <v>-1.815275E-6</v>
      </c>
      <c r="I1396">
        <v>364.28820000000002</v>
      </c>
      <c r="J1396">
        <v>-231.68020000000001</v>
      </c>
      <c r="K1396">
        <v>1.1048990000000001</v>
      </c>
      <c r="L1396">
        <v>367.85879999999997</v>
      </c>
      <c r="M1396">
        <v>0.99877780000000005</v>
      </c>
      <c r="N1396">
        <v>0</v>
      </c>
      <c r="O1396">
        <v>-4.736249E-2</v>
      </c>
      <c r="P1396">
        <v>0.99930359999999996</v>
      </c>
      <c r="Q1396">
        <v>6.4441239999999999E-3</v>
      </c>
      <c r="R1396">
        <v>3.6747309999999998E-2</v>
      </c>
      <c r="S1396">
        <v>3.0339049999999999</v>
      </c>
      <c r="T1396">
        <v>-0.2339222</v>
      </c>
      <c r="U1396">
        <v>-0.77066040000000002</v>
      </c>
      <c r="V1396">
        <v>-8.4035509999999994E-2</v>
      </c>
      <c r="W1396">
        <v>2.053862E-2</v>
      </c>
      <c r="X1396">
        <v>0.996251</v>
      </c>
      <c r="Y1396">
        <v>0.1995885</v>
      </c>
      <c r="Z1396">
        <v>-3.9797560000000001E-3</v>
      </c>
      <c r="AA1396">
        <v>0.97987169999999901</v>
      </c>
      <c r="AB1396">
        <v>25</v>
      </c>
      <c r="AC1396">
        <v>12.8894</v>
      </c>
      <c r="AD1396">
        <v>-1.1049008152749999</v>
      </c>
      <c r="AE1396">
        <v>-3.57059999999995</v>
      </c>
      <c r="AF1396">
        <v>2.9360202493551202</v>
      </c>
      <c r="AG1396">
        <v>-1.1049008152749999</v>
      </c>
      <c r="AH1396">
        <v>12.9556458289475</v>
      </c>
      <c r="AI1396">
        <v>94.754592032343297</v>
      </c>
      <c r="AJ1396">
        <v>77.231251002231502</v>
      </c>
      <c r="AK1396">
        <v>13.3300329917575</v>
      </c>
    </row>
    <row r="1397" spans="1:37" x14ac:dyDescent="0.2">
      <c r="A1397" t="str">
        <f>"20200111155524419"</f>
        <v>20200111155524419</v>
      </c>
      <c r="B1397" t="str">
        <f>"1578729324414302"</f>
        <v>1578729324414302</v>
      </c>
      <c r="C1397" t="s">
        <v>37</v>
      </c>
      <c r="D1397">
        <v>5.1013839999999897</v>
      </c>
      <c r="E1397">
        <v>0.61126789999999998</v>
      </c>
      <c r="F1397" t="s">
        <v>38</v>
      </c>
      <c r="G1397">
        <v>-217.31209999999999</v>
      </c>
      <c r="H1397" s="1">
        <v>-2.34663199999999E-6</v>
      </c>
      <c r="I1397">
        <v>364.1825</v>
      </c>
      <c r="J1397">
        <v>-231.53530000000001</v>
      </c>
      <c r="K1397">
        <v>1.104903</v>
      </c>
      <c r="L1397">
        <v>367.8519</v>
      </c>
      <c r="M1397">
        <v>0.99877519999999997</v>
      </c>
      <c r="N1397">
        <v>0</v>
      </c>
      <c r="O1397">
        <v>-4.7424460000000002E-2</v>
      </c>
      <c r="P1397">
        <v>0.99929729999999894</v>
      </c>
      <c r="Q1397">
        <v>6.2870490000000003E-3</v>
      </c>
      <c r="R1397">
        <v>3.6957110000000001E-2</v>
      </c>
      <c r="S1397">
        <v>3.032089</v>
      </c>
      <c r="T1397">
        <v>-0.23316539999999999</v>
      </c>
      <c r="U1397">
        <v>-0.77581789999999995</v>
      </c>
      <c r="V1397">
        <v>-8.4307549999999995E-2</v>
      </c>
      <c r="W1397">
        <v>2.035841E-2</v>
      </c>
      <c r="X1397">
        <v>0.9962318</v>
      </c>
      <c r="Y1397">
        <v>0.20123050000000001</v>
      </c>
      <c r="Z1397">
        <v>-4.025814E-3</v>
      </c>
      <c r="AA1397">
        <v>0.97953559999999995</v>
      </c>
      <c r="AB1397">
        <v>25</v>
      </c>
      <c r="AC1397">
        <v>14.2232</v>
      </c>
      <c r="AD1397">
        <v>-1.104905346632</v>
      </c>
      <c r="AE1397">
        <v>-3.6693999999999898</v>
      </c>
      <c r="AF1397">
        <v>2.97384939196359</v>
      </c>
      <c r="AG1397">
        <v>-1.104905346632</v>
      </c>
      <c r="AH1397">
        <v>14.300317130633401</v>
      </c>
      <c r="AI1397">
        <v>94.325958188194704</v>
      </c>
      <c r="AJ1397">
        <v>78.2523843628924</v>
      </c>
      <c r="AK1397">
        <v>14.647991878335599</v>
      </c>
    </row>
    <row r="1398" spans="1:37" x14ac:dyDescent="0.2">
      <c r="A1398" t="str">
        <f>"20200111155524430"</f>
        <v>20200111155524430</v>
      </c>
      <c r="B1398" t="str">
        <f>"1578729324424062"</f>
        <v>1578729324424062</v>
      </c>
      <c r="C1398" t="s">
        <v>37</v>
      </c>
      <c r="D1398">
        <v>4.1323339999999904</v>
      </c>
      <c r="E1398">
        <v>0.61126789999999998</v>
      </c>
      <c r="F1398" t="s">
        <v>38</v>
      </c>
      <c r="G1398">
        <v>-217.33529999999999</v>
      </c>
      <c r="H1398" s="1">
        <v>-2.3252230000000002E-6</v>
      </c>
      <c r="I1398">
        <v>364.23320000000001</v>
      </c>
      <c r="J1398">
        <v>-231.38499999999999</v>
      </c>
      <c r="K1398">
        <v>1.104905</v>
      </c>
      <c r="L1398">
        <v>367.84469999999999</v>
      </c>
      <c r="M1398">
        <v>0.99877260000000001</v>
      </c>
      <c r="N1398">
        <v>0</v>
      </c>
      <c r="O1398">
        <v>-4.748604E-2</v>
      </c>
      <c r="P1398">
        <v>0.99929389999999996</v>
      </c>
      <c r="Q1398">
        <v>6.6025919999999896E-3</v>
      </c>
      <c r="R1398">
        <v>3.6988050000000001E-2</v>
      </c>
      <c r="S1398">
        <v>3.032181</v>
      </c>
      <c r="T1398">
        <v>-0.23593320000000001</v>
      </c>
      <c r="U1398">
        <v>-0.77270509999999903</v>
      </c>
      <c r="V1398">
        <v>-8.4399660000000001E-2</v>
      </c>
      <c r="W1398">
        <v>2.065351E-2</v>
      </c>
      <c r="X1398">
        <v>0.99621789999999999</v>
      </c>
      <c r="Y1398">
        <v>0.20021169999999999</v>
      </c>
      <c r="Z1398">
        <v>-4.0301859999999998E-3</v>
      </c>
      <c r="AA1398">
        <v>0.97974439999999996</v>
      </c>
      <c r="AB1398">
        <v>25</v>
      </c>
      <c r="AC1398">
        <v>14.0497</v>
      </c>
      <c r="AD1398">
        <v>-1.1049073252229999</v>
      </c>
      <c r="AE1398">
        <v>-3.6114999999999702</v>
      </c>
      <c r="AF1398">
        <v>2.9232355323938402</v>
      </c>
      <c r="AG1398">
        <v>-1.1049073252229999</v>
      </c>
      <c r="AH1398">
        <v>14.1234252234495</v>
      </c>
      <c r="AI1398">
        <v>94.380787598969107</v>
      </c>
      <c r="AJ1398">
        <v>78.306166604896305</v>
      </c>
      <c r="AK1398">
        <v>14.465035990883299</v>
      </c>
    </row>
    <row r="1399" spans="1:37" x14ac:dyDescent="0.2">
      <c r="A1399" t="str">
        <f>"20200111155524536"</f>
        <v>20200111155524536</v>
      </c>
      <c r="B1399" t="str">
        <f>"1578729324523613"</f>
        <v>1578729324523613</v>
      </c>
      <c r="C1399" t="s">
        <v>37</v>
      </c>
      <c r="D1399">
        <v>4.0091400000000004</v>
      </c>
      <c r="E1399">
        <v>0.66144829999999999</v>
      </c>
      <c r="F1399" t="s">
        <v>38</v>
      </c>
      <c r="G1399">
        <v>-217.11019999999999</v>
      </c>
      <c r="H1399" s="1">
        <v>-2.4083540000000001E-6</v>
      </c>
      <c r="I1399">
        <v>364.20870000000002</v>
      </c>
      <c r="J1399">
        <v>-230.2201</v>
      </c>
      <c r="K1399">
        <v>1.1048879999999901</v>
      </c>
      <c r="L1399">
        <v>367.7885</v>
      </c>
      <c r="M1399">
        <v>0.99874869999999905</v>
      </c>
      <c r="N1399">
        <v>0</v>
      </c>
      <c r="O1399">
        <v>-4.8019880000000001E-2</v>
      </c>
      <c r="P1399">
        <v>0.99940599999999902</v>
      </c>
      <c r="Q1399">
        <v>8.3482629999999999E-3</v>
      </c>
      <c r="R1399">
        <v>3.3436519999999997E-2</v>
      </c>
      <c r="S1399">
        <v>3.032257</v>
      </c>
      <c r="T1399">
        <v>-0.2347022</v>
      </c>
      <c r="U1399">
        <v>-0.77233890000000005</v>
      </c>
      <c r="V1399">
        <v>-8.1389459999999997E-2</v>
      </c>
      <c r="W1399">
        <v>2.229012E-2</v>
      </c>
      <c r="X1399">
        <v>0.99643309999999996</v>
      </c>
      <c r="Y1399">
        <v>0.199578799999999</v>
      </c>
      <c r="Z1399">
        <v>-3.9446469999999999E-3</v>
      </c>
      <c r="AA1399">
        <v>0.97987380000000002</v>
      </c>
      <c r="AB1399">
        <v>25</v>
      </c>
      <c r="AC1399">
        <v>13.1099</v>
      </c>
      <c r="AD1399">
        <v>-1.1048904083540001</v>
      </c>
      <c r="AE1399">
        <v>-3.5797999999999699</v>
      </c>
      <c r="AF1399">
        <v>2.92672625646422</v>
      </c>
      <c r="AG1399">
        <v>-1.1048904083540001</v>
      </c>
      <c r="AH1399">
        <v>13.1795732374619</v>
      </c>
      <c r="AI1399">
        <v>94.678656482713905</v>
      </c>
      <c r="AJ1399">
        <v>77.479758911957703</v>
      </c>
      <c r="AK1399">
        <v>13.5457617030705</v>
      </c>
    </row>
    <row r="1400" spans="1:37" x14ac:dyDescent="0.2">
      <c r="A1400" t="str">
        <f>"20200111155524548"</f>
        <v>20200111155524548</v>
      </c>
      <c r="B1400" t="str">
        <f>"1578729324544109"</f>
        <v>1578729324544109</v>
      </c>
      <c r="C1400" t="s">
        <v>37</v>
      </c>
      <c r="D1400">
        <v>3.92</v>
      </c>
      <c r="E1400">
        <v>0.66273329999999997</v>
      </c>
      <c r="F1400" t="s">
        <v>43</v>
      </c>
      <c r="G1400">
        <v>-164.7876</v>
      </c>
      <c r="H1400">
        <v>5.587383</v>
      </c>
      <c r="I1400">
        <v>342.18990000000002</v>
      </c>
      <c r="J1400">
        <v>-230.08320000000001</v>
      </c>
      <c r="K1400">
        <v>1.1048799999999901</v>
      </c>
      <c r="L1400">
        <v>367.7817</v>
      </c>
      <c r="M1400">
        <v>0.99874540000000001</v>
      </c>
      <c r="N1400">
        <v>0</v>
      </c>
      <c r="O1400">
        <v>-4.8091130000000003E-2</v>
      </c>
      <c r="P1400">
        <v>0.99942379999999997</v>
      </c>
      <c r="Q1400">
        <v>7.8480019999999998E-3</v>
      </c>
      <c r="R1400">
        <v>3.3023719999999999E-2</v>
      </c>
      <c r="S1400">
        <v>3.039825</v>
      </c>
      <c r="T1400">
        <v>0.2082455</v>
      </c>
      <c r="U1400">
        <v>-1.1892399999999901</v>
      </c>
      <c r="V1400">
        <v>-8.1048270000000006E-2</v>
      </c>
      <c r="W1400">
        <v>2.1780979999999998E-2</v>
      </c>
      <c r="X1400">
        <v>0.99647220000000003</v>
      </c>
      <c r="Y1400">
        <v>0.31857179999999902</v>
      </c>
      <c r="Z1400">
        <v>7.3464350000000001E-3</v>
      </c>
      <c r="AA1400">
        <v>0.94787030000000005</v>
      </c>
      <c r="AB1400">
        <v>25</v>
      </c>
      <c r="AC1400">
        <v>65.295599999999993</v>
      </c>
      <c r="AD1400">
        <v>4.4825030000000003</v>
      </c>
      <c r="AE1400">
        <v>-25.5917999999999</v>
      </c>
      <c r="AF1400">
        <v>22.330513674009101</v>
      </c>
      <c r="AG1400">
        <v>4.4825030000000003</v>
      </c>
      <c r="AH1400">
        <v>66.180533498116802</v>
      </c>
      <c r="AI1400">
        <v>86.327986805554701</v>
      </c>
      <c r="AJ1400">
        <v>71.354671068120197</v>
      </c>
      <c r="AK1400">
        <v>69.990054209047997</v>
      </c>
    </row>
    <row r="1401" spans="1:37" x14ac:dyDescent="0.2">
      <c r="A1401" t="str">
        <f>"20200111155524561"</f>
        <v>20200111155524561</v>
      </c>
      <c r="B1401" t="str">
        <f>"1578729324553870"</f>
        <v>1578729324553870</v>
      </c>
      <c r="C1401" t="s">
        <v>37</v>
      </c>
      <c r="D1401">
        <v>3.9616339999999899</v>
      </c>
      <c r="E1401">
        <v>0.66333009999999903</v>
      </c>
      <c r="F1401" t="s">
        <v>43</v>
      </c>
      <c r="G1401">
        <v>-166.45</v>
      </c>
      <c r="H1401">
        <v>5.4740260000000003</v>
      </c>
      <c r="I1401">
        <v>342.64389999999997</v>
      </c>
      <c r="J1401">
        <v>-229.94239999999999</v>
      </c>
      <c r="K1401">
        <v>1.104873</v>
      </c>
      <c r="L1401">
        <v>367.7749</v>
      </c>
      <c r="M1401">
        <v>0.99874200000000002</v>
      </c>
      <c r="N1401">
        <v>0</v>
      </c>
      <c r="O1401">
        <v>-4.8164650000000003E-2</v>
      </c>
      <c r="P1401">
        <v>0.99944120000000003</v>
      </c>
      <c r="Q1401">
        <v>7.62487699999999E-3</v>
      </c>
      <c r="R1401">
        <v>3.2551450000000003E-2</v>
      </c>
      <c r="S1401">
        <v>3.0397639999999999</v>
      </c>
      <c r="T1401">
        <v>0.2087147</v>
      </c>
      <c r="U1401">
        <v>-1.200836</v>
      </c>
      <c r="V1401">
        <v>-8.0651440000000005E-2</v>
      </c>
      <c r="W1401">
        <v>2.154882E-2</v>
      </c>
      <c r="X1401">
        <v>0.99650939999999999</v>
      </c>
      <c r="Y1401">
        <v>0.32163130000000001</v>
      </c>
      <c r="Z1401">
        <v>7.4545030000000003E-3</v>
      </c>
      <c r="AA1401">
        <v>0.9468356</v>
      </c>
      <c r="AB1401">
        <v>25</v>
      </c>
      <c r="AC1401">
        <v>63.492400000000004</v>
      </c>
      <c r="AD1401">
        <v>4.3691529999999998</v>
      </c>
      <c r="AE1401">
        <v>-25.131</v>
      </c>
      <c r="AF1401">
        <v>21.953563869276799</v>
      </c>
      <c r="AG1401">
        <v>4.3691529999999998</v>
      </c>
      <c r="AH1401">
        <v>64.365730304090604</v>
      </c>
      <c r="AI1401">
        <v>86.324029953236902</v>
      </c>
      <c r="AJ1401">
        <v>71.166756395046306</v>
      </c>
      <c r="AK1401">
        <v>68.146868615357207</v>
      </c>
    </row>
    <row r="1402" spans="1:37" x14ac:dyDescent="0.2">
      <c r="A1402" t="str">
        <f>"20200111155524572"</f>
        <v>20200111155524572</v>
      </c>
      <c r="B1402" t="str">
        <f>"1578729324563630"</f>
        <v>1578729324563630</v>
      </c>
      <c r="C1402" t="s">
        <v>37</v>
      </c>
      <c r="D1402">
        <v>3.9427379999999999</v>
      </c>
      <c r="E1402">
        <v>0.66357319999999997</v>
      </c>
      <c r="F1402" t="s">
        <v>43</v>
      </c>
      <c r="G1402">
        <v>-166.66739999999999</v>
      </c>
      <c r="H1402">
        <v>5.5203009999999999</v>
      </c>
      <c r="I1402">
        <v>342.64389999999997</v>
      </c>
      <c r="J1402">
        <v>-229.8081</v>
      </c>
      <c r="K1402">
        <v>1.1048659999999999</v>
      </c>
      <c r="L1402">
        <v>367.76839999999999</v>
      </c>
      <c r="M1402">
        <v>0.99873869999999898</v>
      </c>
      <c r="N1402">
        <v>0</v>
      </c>
      <c r="O1402">
        <v>-4.823554E-2</v>
      </c>
      <c r="P1402">
        <v>0.99946019999999902</v>
      </c>
      <c r="Q1402">
        <v>7.6166169999999896E-3</v>
      </c>
      <c r="R1402">
        <v>3.1958540000000001E-2</v>
      </c>
      <c r="S1402">
        <v>3.0393829999999999</v>
      </c>
      <c r="T1402">
        <v>0.2120929</v>
      </c>
      <c r="U1402">
        <v>-1.2071529999999999</v>
      </c>
      <c r="V1402">
        <v>-8.0130670000000001E-2</v>
      </c>
      <c r="W1402">
        <v>2.153308E-2</v>
      </c>
      <c r="X1402">
        <v>0.99655179999999999</v>
      </c>
      <c r="Y1402">
        <v>0.32328420000000002</v>
      </c>
      <c r="Z1402">
        <v>7.6237989999999997E-3</v>
      </c>
      <c r="AA1402">
        <v>0.94627119999999998</v>
      </c>
      <c r="AB1402">
        <v>25</v>
      </c>
      <c r="AC1402">
        <v>63.140700000000002</v>
      </c>
      <c r="AD1402">
        <v>4.4154350000000004</v>
      </c>
      <c r="AE1402">
        <v>-25.124500000000001</v>
      </c>
      <c r="AF1402">
        <v>21.9566316067869</v>
      </c>
      <c r="AG1402">
        <v>4.4154350000000004</v>
      </c>
      <c r="AH1402">
        <v>64.008969946307104</v>
      </c>
      <c r="AI1402">
        <v>86.266775264231001</v>
      </c>
      <c r="AJ1402">
        <v>71.066786438169302</v>
      </c>
      <c r="AK1402">
        <v>67.813995394333006</v>
      </c>
    </row>
    <row r="1403" spans="1:37" x14ac:dyDescent="0.2">
      <c r="A1403" t="str">
        <f>"20200111155524585"</f>
        <v>20200111155524585</v>
      </c>
      <c r="B1403" t="str">
        <f>"1578729324573390"</f>
        <v>1578729324573390</v>
      </c>
      <c r="C1403" t="s">
        <v>37</v>
      </c>
      <c r="D1403">
        <v>4.0200829999999996</v>
      </c>
      <c r="E1403">
        <v>0.66338739999999996</v>
      </c>
      <c r="F1403" t="s">
        <v>43</v>
      </c>
      <c r="G1403">
        <v>-166.7561</v>
      </c>
      <c r="H1403">
        <v>5.4788779999999999</v>
      </c>
      <c r="I1403">
        <v>342.64389999999997</v>
      </c>
      <c r="J1403">
        <v>-229.68090000000001</v>
      </c>
      <c r="K1403">
        <v>1.1048579999999999</v>
      </c>
      <c r="L1403">
        <v>367.76209999999998</v>
      </c>
      <c r="M1403">
        <v>0.9987355</v>
      </c>
      <c r="N1403">
        <v>0</v>
      </c>
      <c r="O1403">
        <v>-4.8302869999999998E-2</v>
      </c>
      <c r="P1403">
        <v>0.99946840000000003</v>
      </c>
      <c r="Q1403">
        <v>7.8948479999999994E-3</v>
      </c>
      <c r="R1403">
        <v>3.1634379999999997E-2</v>
      </c>
      <c r="S1403">
        <v>3.0387270000000002</v>
      </c>
      <c r="T1403">
        <v>0.21080099999999999</v>
      </c>
      <c r="U1403">
        <v>-1.2108459999999901</v>
      </c>
      <c r="V1403">
        <v>-7.9874070000000005E-2</v>
      </c>
      <c r="W1403">
        <v>2.1804339999999998E-2</v>
      </c>
      <c r="X1403">
        <v>0.99656650000000002</v>
      </c>
      <c r="Y1403">
        <v>0.32428820000000003</v>
      </c>
      <c r="Z1403">
        <v>7.6064039999999998E-3</v>
      </c>
      <c r="AA1403">
        <v>0.94592770000000004</v>
      </c>
      <c r="AB1403">
        <v>25</v>
      </c>
      <c r="AC1403">
        <v>62.924799999999998</v>
      </c>
      <c r="AD1403">
        <v>4.3740199999999998</v>
      </c>
      <c r="AE1403">
        <v>-25.118200000000002</v>
      </c>
      <c r="AF1403">
        <v>21.957616311030002</v>
      </c>
      <c r="AG1403">
        <v>4.3740199999999998</v>
      </c>
      <c r="AH1403">
        <v>63.798834652208797</v>
      </c>
      <c r="AI1403">
        <v>86.290848609708505</v>
      </c>
      <c r="AJ1403">
        <v>71.008096749009098</v>
      </c>
      <c r="AK1403">
        <v>67.613314280566698</v>
      </c>
    </row>
    <row r="1404" spans="1:37" x14ac:dyDescent="0.2">
      <c r="A1404" t="str">
        <f>"20200111155524595"</f>
        <v>20200111155524595</v>
      </c>
      <c r="B1404" t="str">
        <f>"1578729324593885"</f>
        <v>1578729324593885</v>
      </c>
      <c r="C1404" t="s">
        <v>37</v>
      </c>
      <c r="D1404">
        <v>4.0267150000000003</v>
      </c>
      <c r="E1404">
        <v>0.66317429999999999</v>
      </c>
      <c r="F1404" t="s">
        <v>43</v>
      </c>
      <c r="G1404">
        <v>-166.61799999999999</v>
      </c>
      <c r="H1404">
        <v>5.5030239999999999</v>
      </c>
      <c r="I1404">
        <v>342.64389999999997</v>
      </c>
      <c r="J1404">
        <v>-229.5498</v>
      </c>
      <c r="K1404">
        <v>1.104854</v>
      </c>
      <c r="L1404">
        <v>367.75569999999999</v>
      </c>
      <c r="M1404">
        <v>0.99873230000000002</v>
      </c>
      <c r="N1404">
        <v>0</v>
      </c>
      <c r="O1404">
        <v>-4.837234E-2</v>
      </c>
      <c r="P1404">
        <v>0.99947699999999995</v>
      </c>
      <c r="Q1404">
        <v>8.0403409999999995E-3</v>
      </c>
      <c r="R1404">
        <v>3.1327939999999999E-2</v>
      </c>
      <c r="S1404">
        <v>3.0382389999999999</v>
      </c>
      <c r="T1404">
        <v>0.21189479999999999</v>
      </c>
      <c r="U1404">
        <v>-1.2101440000000001</v>
      </c>
      <c r="V1404">
        <v>-7.9637639999999996E-2</v>
      </c>
      <c r="W1404">
        <v>2.1943069999999999E-2</v>
      </c>
      <c r="X1404">
        <v>0.99658230000000003</v>
      </c>
      <c r="Y1404">
        <v>0.324080599999999</v>
      </c>
      <c r="Z1404">
        <v>7.63563099999999E-3</v>
      </c>
      <c r="AA1404">
        <v>0.94599869999999997</v>
      </c>
      <c r="AB1404">
        <v>25</v>
      </c>
      <c r="AC1404">
        <v>62.931800000000003</v>
      </c>
      <c r="AD1404">
        <v>4.3981700000000004</v>
      </c>
      <c r="AE1404">
        <v>-25.111799999999999</v>
      </c>
      <c r="AF1404">
        <v>21.945478475230701</v>
      </c>
      <c r="AG1404">
        <v>4.3981700000000004</v>
      </c>
      <c r="AH1404">
        <v>63.8041164198346</v>
      </c>
      <c r="AI1404">
        <v>86.270484773934697</v>
      </c>
      <c r="AJ1404">
        <v>71.019302369419606</v>
      </c>
      <c r="AK1404">
        <v>67.6159241375249</v>
      </c>
    </row>
    <row r="1405" spans="1:37" x14ac:dyDescent="0.2">
      <c r="A1405" t="str">
        <f>"20200111155524608"</f>
        <v>20200111155524608</v>
      </c>
      <c r="B1405" t="str">
        <f>"1578729324603646"</f>
        <v>1578729324603646</v>
      </c>
      <c r="C1405" t="s">
        <v>37</v>
      </c>
      <c r="D1405">
        <v>4.0604319999999996</v>
      </c>
      <c r="E1405">
        <v>0.66304609999999997</v>
      </c>
      <c r="F1405" t="s">
        <v>43</v>
      </c>
      <c r="G1405">
        <v>-166.4648</v>
      </c>
      <c r="H1405">
        <v>5.4865360000000001</v>
      </c>
      <c r="I1405">
        <v>342.64389999999997</v>
      </c>
      <c r="J1405">
        <v>-229.42320000000001</v>
      </c>
      <c r="K1405">
        <v>1.1048480000000001</v>
      </c>
      <c r="L1405">
        <v>367.74950000000001</v>
      </c>
      <c r="M1405">
        <v>0.99872909999999904</v>
      </c>
      <c r="N1405">
        <v>0</v>
      </c>
      <c r="O1405">
        <v>-4.8439419999999997E-2</v>
      </c>
      <c r="P1405">
        <v>0.99947600000000003</v>
      </c>
      <c r="Q1405">
        <v>7.9899600000000008E-3</v>
      </c>
      <c r="R1405">
        <v>3.1368319999999998E-2</v>
      </c>
      <c r="S1405">
        <v>3.0377809999999998</v>
      </c>
      <c r="T1405">
        <v>0.21099479999999901</v>
      </c>
      <c r="U1405">
        <v>-1.2092290000000001</v>
      </c>
      <c r="V1405">
        <v>-7.9745140000000006E-2</v>
      </c>
      <c r="W1405">
        <v>2.1886329999999999E-2</v>
      </c>
      <c r="X1405">
        <v>0.99657499999999999</v>
      </c>
      <c r="Y1405">
        <v>0.32382529999999998</v>
      </c>
      <c r="Z1405">
        <v>7.5917500000000004E-3</v>
      </c>
      <c r="AA1405">
        <v>0.94608649999999905</v>
      </c>
      <c r="AB1405">
        <v>25</v>
      </c>
      <c r="AC1405">
        <v>62.958399999999997</v>
      </c>
      <c r="AD1405">
        <v>4.3816879999999996</v>
      </c>
      <c r="AE1405">
        <v>-25.105599999999999</v>
      </c>
      <c r="AF1405">
        <v>21.9344920895043</v>
      </c>
      <c r="AG1405">
        <v>4.3816879999999996</v>
      </c>
      <c r="AH1405">
        <v>63.833927760398403</v>
      </c>
      <c r="AI1405">
        <v>86.285773275495202</v>
      </c>
      <c r="AJ1405">
        <v>71.036351854670002</v>
      </c>
      <c r="AK1405">
        <v>67.639422427114397</v>
      </c>
    </row>
    <row r="1406" spans="1:37" x14ac:dyDescent="0.2">
      <c r="A1406" t="str">
        <f>"20200111155524620"</f>
        <v>20200111155524620</v>
      </c>
      <c r="B1406" t="str">
        <f>"1578729324613405"</f>
        <v>1578729324613405</v>
      </c>
      <c r="C1406" t="s">
        <v>37</v>
      </c>
      <c r="D1406">
        <v>4.0403440000000002</v>
      </c>
      <c r="E1406">
        <v>0.66292799999999996</v>
      </c>
      <c r="F1406" t="s">
        <v>43</v>
      </c>
      <c r="G1406">
        <v>-166.2961</v>
      </c>
      <c r="H1406">
        <v>5.4783919999999897</v>
      </c>
      <c r="I1406">
        <v>342.64389999999997</v>
      </c>
      <c r="J1406">
        <v>-229.28829999999999</v>
      </c>
      <c r="K1406">
        <v>1.10484</v>
      </c>
      <c r="L1406">
        <v>367.74290000000002</v>
      </c>
      <c r="M1406">
        <v>0.9987258</v>
      </c>
      <c r="N1406">
        <v>0</v>
      </c>
      <c r="O1406">
        <v>-4.8511039999999998E-2</v>
      </c>
      <c r="P1406">
        <v>0.99947609999999998</v>
      </c>
      <c r="Q1406">
        <v>8.3007889999999994E-3</v>
      </c>
      <c r="R1406">
        <v>3.1289310000000001E-2</v>
      </c>
      <c r="S1406">
        <v>3.0377959999999899</v>
      </c>
      <c r="T1406">
        <v>0.21046319999999999</v>
      </c>
      <c r="U1406">
        <v>-1.2081299999999999</v>
      </c>
      <c r="V1406">
        <v>-7.9737000000000002E-2</v>
      </c>
      <c r="W1406">
        <v>2.2190959999999999E-2</v>
      </c>
      <c r="X1406">
        <v>0.99656889999999998</v>
      </c>
      <c r="Y1406">
        <v>0.32346409999999998</v>
      </c>
      <c r="Z1406">
        <v>7.5563169999999999E-3</v>
      </c>
      <c r="AA1406">
        <v>0.94621029999999995</v>
      </c>
      <c r="AB1406">
        <v>25</v>
      </c>
      <c r="AC1406">
        <v>62.992199999999997</v>
      </c>
      <c r="AD1406">
        <v>4.3735519999999903</v>
      </c>
      <c r="AE1406">
        <v>-25.099</v>
      </c>
      <c r="AF1406">
        <v>21.9221332718284</v>
      </c>
      <c r="AG1406">
        <v>4.3735519999999903</v>
      </c>
      <c r="AH1406">
        <v>63.870013501871398</v>
      </c>
      <c r="AI1406">
        <v>86.294299416998598</v>
      </c>
      <c r="AJ1406">
        <v>71.056218837333603</v>
      </c>
      <c r="AK1406">
        <v>67.668947893503898</v>
      </c>
    </row>
    <row r="1407" spans="1:37" x14ac:dyDescent="0.2">
      <c r="A1407" t="str">
        <f>"20200111155524631"</f>
        <v>20200111155524631</v>
      </c>
      <c r="B1407" t="str">
        <f>"1578729324624141"</f>
        <v>1578729324624141</v>
      </c>
      <c r="C1407" t="s">
        <v>37</v>
      </c>
      <c r="D1407">
        <v>4.0655580000000002</v>
      </c>
      <c r="E1407">
        <v>0.662802</v>
      </c>
      <c r="F1407" t="s">
        <v>43</v>
      </c>
      <c r="G1407">
        <v>-165.00239999999999</v>
      </c>
      <c r="H1407">
        <v>5.548934</v>
      </c>
      <c r="I1407">
        <v>342.18990000000002</v>
      </c>
      <c r="J1407">
        <v>-229.15559999999999</v>
      </c>
      <c r="K1407">
        <v>1.1048370000000001</v>
      </c>
      <c r="L1407">
        <v>367.7364</v>
      </c>
      <c r="M1407">
        <v>0.99872240000000001</v>
      </c>
      <c r="N1407">
        <v>0</v>
      </c>
      <c r="O1407">
        <v>-4.8580980000000003E-2</v>
      </c>
      <c r="P1407">
        <v>0.99947229999999998</v>
      </c>
      <c r="Q1407">
        <v>8.1200860000000003E-3</v>
      </c>
      <c r="R1407">
        <v>3.1454780000000002E-2</v>
      </c>
      <c r="S1407">
        <v>3.0376430000000001</v>
      </c>
      <c r="T1407">
        <v>0.20999309999999999</v>
      </c>
      <c r="U1407">
        <v>-1.2074279999999999</v>
      </c>
      <c r="V1407">
        <v>-7.9972070000000006E-2</v>
      </c>
      <c r="W1407">
        <v>2.2004559999999999E-2</v>
      </c>
      <c r="X1407">
        <v>0.99655419999999995</v>
      </c>
      <c r="Y1407">
        <v>0.32322840000000003</v>
      </c>
      <c r="Z1407">
        <v>7.5276630000000004E-3</v>
      </c>
      <c r="AA1407">
        <v>0.94629099999999999</v>
      </c>
      <c r="AB1407">
        <v>25</v>
      </c>
      <c r="AC1407">
        <v>64.153199999999998</v>
      </c>
      <c r="AD1407">
        <v>4.4440970000000002</v>
      </c>
      <c r="AE1407">
        <v>-25.546499999999899</v>
      </c>
      <c r="AF1407">
        <v>22.307008160476901</v>
      </c>
      <c r="AG1407">
        <v>4.4440970000000002</v>
      </c>
      <c r="AH1407">
        <v>65.049198202285694</v>
      </c>
      <c r="AI1407">
        <v>86.302416671995402</v>
      </c>
      <c r="AJ1407">
        <v>71.071867332455895</v>
      </c>
      <c r="AK1407">
        <v>68.911180500534499</v>
      </c>
    </row>
    <row r="1408" spans="1:37" x14ac:dyDescent="0.2">
      <c r="A1408" t="str">
        <f>"20200111155524645"</f>
        <v>20200111155524645</v>
      </c>
      <c r="B1408" t="str">
        <f>"1578729324633902"</f>
        <v>1578729324633902</v>
      </c>
      <c r="C1408" t="s">
        <v>37</v>
      </c>
      <c r="D1408">
        <v>4.1144879999999997</v>
      </c>
      <c r="E1408">
        <v>0.66264990000000001</v>
      </c>
      <c r="F1408" t="s">
        <v>43</v>
      </c>
      <c r="G1408">
        <v>-164.7921</v>
      </c>
      <c r="H1408">
        <v>5.5037799999999999</v>
      </c>
      <c r="I1408">
        <v>342.18990000000002</v>
      </c>
      <c r="J1408">
        <v>-229.0104</v>
      </c>
      <c r="K1408">
        <v>1.1048290000000001</v>
      </c>
      <c r="L1408">
        <v>367.72919999999999</v>
      </c>
      <c r="M1408">
        <v>0.99871880000000002</v>
      </c>
      <c r="N1408">
        <v>0</v>
      </c>
      <c r="O1408">
        <v>-4.8657720000000002E-2</v>
      </c>
      <c r="P1408">
        <v>0.99945390000000001</v>
      </c>
      <c r="Q1408">
        <v>7.2115410000000001E-3</v>
      </c>
      <c r="R1408">
        <v>3.2251639999999998E-2</v>
      </c>
      <c r="S1408">
        <v>3.0378569999999998</v>
      </c>
      <c r="T1408">
        <v>0.20762349999999999</v>
      </c>
      <c r="U1408">
        <v>-1.2057500000000001</v>
      </c>
      <c r="V1408">
        <v>-8.084421E-2</v>
      </c>
      <c r="W1408">
        <v>2.108925E-2</v>
      </c>
      <c r="X1408">
        <v>0.99650360000000004</v>
      </c>
      <c r="Y1408">
        <v>0.32269499999999901</v>
      </c>
      <c r="Z1408">
        <v>7.4205709999999999E-3</v>
      </c>
      <c r="AA1408">
        <v>0.94647389999999998</v>
      </c>
      <c r="AB1408">
        <v>25</v>
      </c>
      <c r="AC1408">
        <v>64.218299999999999</v>
      </c>
      <c r="AD1408">
        <v>4.3989510000000003</v>
      </c>
      <c r="AE1408">
        <v>-25.539299999999901</v>
      </c>
      <c r="AF1408">
        <v>22.2937031699763</v>
      </c>
      <c r="AG1408">
        <v>4.3989510000000003</v>
      </c>
      <c r="AH1408">
        <v>65.121187727580406</v>
      </c>
      <c r="AI1408">
        <v>86.343259322984494</v>
      </c>
      <c r="AJ1408">
        <v>71.101782044620506</v>
      </c>
      <c r="AK1408">
        <v>68.971944020610195</v>
      </c>
    </row>
    <row r="1409" spans="1:37" x14ac:dyDescent="0.2">
      <c r="A1409" t="str">
        <f>"20200111155524657"</f>
        <v>20200111155524657</v>
      </c>
      <c r="B1409" t="str">
        <f>"1578729324653422"</f>
        <v>1578729324653422</v>
      </c>
      <c r="C1409" t="s">
        <v>37</v>
      </c>
      <c r="D1409">
        <v>4.0603689999999997</v>
      </c>
      <c r="E1409">
        <v>0.6626109</v>
      </c>
      <c r="F1409" t="s">
        <v>43</v>
      </c>
      <c r="G1409">
        <v>-164.44909999999999</v>
      </c>
      <c r="H1409">
        <v>5.4725839999999897</v>
      </c>
      <c r="I1409">
        <v>342.18990000000002</v>
      </c>
      <c r="J1409">
        <v>-228.87629999999999</v>
      </c>
      <c r="K1409">
        <v>1.104827</v>
      </c>
      <c r="L1409">
        <v>367.7226</v>
      </c>
      <c r="M1409">
        <v>0.99871540000000003</v>
      </c>
      <c r="N1409">
        <v>0</v>
      </c>
      <c r="O1409">
        <v>-4.8728380000000002E-2</v>
      </c>
      <c r="P1409">
        <v>0.99943799999999905</v>
      </c>
      <c r="Q1409">
        <v>6.8253680000000001E-3</v>
      </c>
      <c r="R1409">
        <v>3.2820050000000003E-2</v>
      </c>
      <c r="S1409">
        <v>3.0389400000000002</v>
      </c>
      <c r="T1409">
        <v>0.2055929</v>
      </c>
      <c r="U1409">
        <v>-1.202148</v>
      </c>
      <c r="V1409">
        <v>-8.1481559999999995E-2</v>
      </c>
      <c r="W1409">
        <v>2.069737E-2</v>
      </c>
      <c r="X1409">
        <v>0.99645989999999995</v>
      </c>
      <c r="Y1409">
        <v>0.32155590000000001</v>
      </c>
      <c r="Z1409">
        <v>7.3055580000000002E-3</v>
      </c>
      <c r="AA1409">
        <v>0.94686250000000005</v>
      </c>
      <c r="AB1409">
        <v>25</v>
      </c>
      <c r="AC1409">
        <v>64.427199999999999</v>
      </c>
      <c r="AD1409">
        <v>4.3677569999999903</v>
      </c>
      <c r="AE1409">
        <v>-25.532699999999899</v>
      </c>
      <c r="AF1409">
        <v>22.274150836398402</v>
      </c>
      <c r="AG1409">
        <v>4.3677569999999903</v>
      </c>
      <c r="AH1409">
        <v>65.335416169320496</v>
      </c>
      <c r="AI1409">
        <v>86.379423868428702</v>
      </c>
      <c r="AJ1409">
        <v>71.174729423564699</v>
      </c>
      <c r="AK1409">
        <v>69.165972144631795</v>
      </c>
    </row>
    <row r="1410" spans="1:37" x14ac:dyDescent="0.2">
      <c r="A1410" t="str">
        <f>"20200111155524669"</f>
        <v>20200111155524669</v>
      </c>
      <c r="B1410" t="str">
        <f>"1578729324664157"</f>
        <v>1578729324664157</v>
      </c>
      <c r="C1410" t="s">
        <v>37</v>
      </c>
      <c r="D1410">
        <v>4.0701980000000004</v>
      </c>
      <c r="E1410">
        <v>0.66270079999999998</v>
      </c>
      <c r="F1410" t="s">
        <v>43</v>
      </c>
      <c r="G1410">
        <v>-164.19299999999899</v>
      </c>
      <c r="H1410">
        <v>5.4628930000000002</v>
      </c>
      <c r="I1410">
        <v>342.18990000000002</v>
      </c>
      <c r="J1410">
        <v>-228.74719999999999</v>
      </c>
      <c r="K1410">
        <v>1.104827</v>
      </c>
      <c r="L1410">
        <v>367.71620000000001</v>
      </c>
      <c r="M1410">
        <v>0.99871209999999899</v>
      </c>
      <c r="N1410">
        <v>0</v>
      </c>
      <c r="O1410">
        <v>-4.8798939999999999E-2</v>
      </c>
      <c r="P1410">
        <v>0.99942240000000004</v>
      </c>
      <c r="Q1410">
        <v>6.58757599999999E-3</v>
      </c>
      <c r="R1410">
        <v>3.3338270000000003E-2</v>
      </c>
      <c r="S1410">
        <v>3.0396730000000001</v>
      </c>
      <c r="T1410">
        <v>0.20479939999999999</v>
      </c>
      <c r="U1410">
        <v>-1.1998599999999999</v>
      </c>
      <c r="V1410">
        <v>-8.2068790000000003E-2</v>
      </c>
      <c r="W1410">
        <v>2.0454239999999999E-2</v>
      </c>
      <c r="X1410">
        <v>0.99641669999999904</v>
      </c>
      <c r="Y1410">
        <v>0.32079990000000003</v>
      </c>
      <c r="Z1410">
        <v>7.2476729999999996E-3</v>
      </c>
      <c r="AA1410">
        <v>0.94711919999999905</v>
      </c>
      <c r="AB1410">
        <v>25</v>
      </c>
      <c r="AC1410">
        <v>64.554199999999994</v>
      </c>
      <c r="AD1410">
        <v>4.358066</v>
      </c>
      <c r="AE1410">
        <v>-25.5262999999999</v>
      </c>
      <c r="AF1410">
        <v>22.257677025186801</v>
      </c>
      <c r="AG1410">
        <v>4.358066</v>
      </c>
      <c r="AH1410">
        <v>65.465032354582107</v>
      </c>
      <c r="AI1410">
        <v>86.393552745136404</v>
      </c>
      <c r="AJ1410">
        <v>71.222307241165097</v>
      </c>
      <c r="AK1410">
        <v>69.282518624862107</v>
      </c>
    </row>
    <row r="1411" spans="1:37" x14ac:dyDescent="0.2">
      <c r="A1411" t="str">
        <f>"20200111155524681"</f>
        <v>20200111155524681</v>
      </c>
      <c r="B1411" t="str">
        <f>"1578729324673917"</f>
        <v>1578729324673917</v>
      </c>
      <c r="C1411" t="s">
        <v>37</v>
      </c>
      <c r="D1411">
        <v>4.089753</v>
      </c>
      <c r="E1411">
        <v>0.66281099999999904</v>
      </c>
      <c r="F1411" t="s">
        <v>43</v>
      </c>
      <c r="G1411">
        <v>-164.01089999999999</v>
      </c>
      <c r="H1411">
        <v>5.4765480000000002</v>
      </c>
      <c r="I1411">
        <v>342.18990000000002</v>
      </c>
      <c r="J1411">
        <v>-228.6139</v>
      </c>
      <c r="K1411">
        <v>1.1048260000000001</v>
      </c>
      <c r="L1411">
        <v>367.70960000000002</v>
      </c>
      <c r="M1411">
        <v>0.998708499999999</v>
      </c>
      <c r="N1411">
        <v>0</v>
      </c>
      <c r="O1411">
        <v>-4.8873319999999998E-2</v>
      </c>
      <c r="P1411">
        <v>0.9993978</v>
      </c>
      <c r="Q1411">
        <v>5.9971260000000002E-3</v>
      </c>
      <c r="R1411">
        <v>3.4180490000000001E-2</v>
      </c>
      <c r="S1411">
        <v>3.040375</v>
      </c>
      <c r="T1411">
        <v>0.20532039999999899</v>
      </c>
      <c r="U1411">
        <v>-1.1988529999999999</v>
      </c>
      <c r="V1411">
        <v>-8.2982940000000005E-2</v>
      </c>
      <c r="W1411">
        <v>1.9858310000000001E-2</v>
      </c>
      <c r="X1411">
        <v>0.99635309999999899</v>
      </c>
      <c r="Y1411">
        <v>0.32038159999999999</v>
      </c>
      <c r="Z1411">
        <v>7.2465209999999997E-3</v>
      </c>
      <c r="AA1411">
        <v>0.94726089999999996</v>
      </c>
      <c r="AB1411">
        <v>25</v>
      </c>
      <c r="AC1411">
        <v>64.602999999999994</v>
      </c>
      <c r="AD1411">
        <v>4.3717220000000001</v>
      </c>
      <c r="AE1411">
        <v>-25.5197</v>
      </c>
      <c r="AF1411">
        <v>22.243419923504099</v>
      </c>
      <c r="AG1411">
        <v>4.3717220000000001</v>
      </c>
      <c r="AH1411">
        <v>65.513624424430802</v>
      </c>
      <c r="AI1411">
        <v>86.384442112545898</v>
      </c>
      <c r="AJ1411">
        <v>71.246438944944401</v>
      </c>
      <c r="AK1411">
        <v>69.324719028381196</v>
      </c>
    </row>
    <row r="1412" spans="1:37" x14ac:dyDescent="0.2">
      <c r="A1412" t="str">
        <f>"20200111155524692"</f>
        <v>20200111155524692</v>
      </c>
      <c r="B1412" t="str">
        <f>"1578729324683677"</f>
        <v>1578729324683677</v>
      </c>
      <c r="C1412" t="s">
        <v>37</v>
      </c>
      <c r="D1412">
        <v>4.1078320000000001</v>
      </c>
      <c r="E1412">
        <v>0.66292769999999901</v>
      </c>
      <c r="F1412" t="s">
        <v>43</v>
      </c>
      <c r="G1412">
        <v>-163.76949999999999</v>
      </c>
      <c r="H1412">
        <v>5.4809049999999999</v>
      </c>
      <c r="I1412">
        <v>342.18990000000002</v>
      </c>
      <c r="J1412">
        <v>-228.4836</v>
      </c>
      <c r="K1412">
        <v>1.1048169999999999</v>
      </c>
      <c r="L1412">
        <v>367.70319999999998</v>
      </c>
      <c r="M1412">
        <v>0.99870460000000005</v>
      </c>
      <c r="N1412">
        <v>0</v>
      </c>
      <c r="O1412">
        <v>-4.8950590000000002E-2</v>
      </c>
      <c r="P1412">
        <v>0.99937109999999996</v>
      </c>
      <c r="Q1412">
        <v>5.4909440000000002E-3</v>
      </c>
      <c r="R1412">
        <v>3.5034389999999999E-2</v>
      </c>
      <c r="S1412">
        <v>3.0415040000000002</v>
      </c>
      <c r="T1412">
        <v>0.20525879999999899</v>
      </c>
      <c r="U1412">
        <v>-1.1969909999999999</v>
      </c>
      <c r="V1412">
        <v>-8.3912089999999995E-2</v>
      </c>
      <c r="W1412">
        <v>1.9347719999999999E-2</v>
      </c>
      <c r="X1412">
        <v>0.99628530000000004</v>
      </c>
      <c r="Y1412">
        <v>0.31968839999999998</v>
      </c>
      <c r="Z1412">
        <v>7.2151029999999996E-3</v>
      </c>
      <c r="AA1412">
        <v>0.94749530000000004</v>
      </c>
      <c r="AB1412">
        <v>25</v>
      </c>
      <c r="AC1412">
        <v>64.714100000000002</v>
      </c>
      <c r="AD1412">
        <v>4.3760879999999904</v>
      </c>
      <c r="AE1412">
        <v>-25.513299999999902</v>
      </c>
      <c r="AF1412">
        <v>22.226645831795999</v>
      </c>
      <c r="AG1412">
        <v>4.3760879999999904</v>
      </c>
      <c r="AH1412">
        <v>65.625797592847206</v>
      </c>
      <c r="AI1412">
        <v>86.386094410926603</v>
      </c>
      <c r="AJ1412">
        <v>71.289395366206904</v>
      </c>
      <c r="AK1412">
        <v>69.425638209621098</v>
      </c>
    </row>
    <row r="1413" spans="1:37" x14ac:dyDescent="0.2">
      <c r="A1413" t="str">
        <f>"20200111155524705"</f>
        <v>20200111155524705</v>
      </c>
      <c r="B1413" t="str">
        <f>"1578729324693437"</f>
        <v>1578729324693437</v>
      </c>
      <c r="C1413" t="s">
        <v>37</v>
      </c>
      <c r="D1413">
        <v>4.1240839999999999</v>
      </c>
      <c r="E1413">
        <v>0.66301009999999905</v>
      </c>
      <c r="F1413" t="s">
        <v>43</v>
      </c>
      <c r="G1413">
        <v>-163.5411</v>
      </c>
      <c r="H1413">
        <v>5.4766329999999996</v>
      </c>
      <c r="I1413">
        <v>342.18990000000002</v>
      </c>
      <c r="J1413">
        <v>-228.3476</v>
      </c>
      <c r="K1413">
        <v>1.104814</v>
      </c>
      <c r="L1413">
        <v>367.69639999999998</v>
      </c>
      <c r="M1413">
        <v>0.9987007</v>
      </c>
      <c r="N1413">
        <v>0</v>
      </c>
      <c r="O1413">
        <v>-4.9035509999999997E-2</v>
      </c>
      <c r="P1413">
        <v>0.99935589999999996</v>
      </c>
      <c r="Q1413">
        <v>4.6856720000000001E-3</v>
      </c>
      <c r="R1413">
        <v>3.5578039999999998E-2</v>
      </c>
      <c r="S1413">
        <v>3.0426790000000001</v>
      </c>
      <c r="T1413">
        <v>0.20482809999999901</v>
      </c>
      <c r="U1413">
        <v>-1.195343</v>
      </c>
      <c r="V1413">
        <v>-8.4538559999999999E-2</v>
      </c>
      <c r="W1413">
        <v>1.853867E-2</v>
      </c>
      <c r="X1413">
        <v>0.99624769999999896</v>
      </c>
      <c r="Y1413">
        <v>0.3190424</v>
      </c>
      <c r="Z1413">
        <v>7.1716699999999998E-3</v>
      </c>
      <c r="AA1413">
        <v>0.94771329999999998</v>
      </c>
      <c r="AB1413">
        <v>25</v>
      </c>
      <c r="AC1413">
        <v>64.8065</v>
      </c>
      <c r="AD1413">
        <v>4.3718190000000003</v>
      </c>
      <c r="AE1413">
        <v>-25.5064999999999</v>
      </c>
      <c r="AF1413">
        <v>22.210168009659402</v>
      </c>
      <c r="AG1413">
        <v>4.3718190000000003</v>
      </c>
      <c r="AH1413">
        <v>65.720404549576898</v>
      </c>
      <c r="AI1413">
        <v>86.393988162306997</v>
      </c>
      <c r="AJ1413">
        <v>71.327351256730395</v>
      </c>
      <c r="AK1413">
        <v>69.509538471681097</v>
      </c>
    </row>
    <row r="1414" spans="1:37" x14ac:dyDescent="0.2">
      <c r="A1414" t="str">
        <f>"20200111155524728"</f>
        <v>20200111155524728</v>
      </c>
      <c r="B1414" t="str">
        <f>"1578729324723693"</f>
        <v>1578729324723693</v>
      </c>
      <c r="C1414" t="s">
        <v>37</v>
      </c>
      <c r="D1414">
        <v>5.1177820000000001</v>
      </c>
      <c r="E1414">
        <v>0.66301009999999905</v>
      </c>
      <c r="F1414" t="s">
        <v>43</v>
      </c>
      <c r="G1414">
        <v>-163.34469999999999</v>
      </c>
      <c r="H1414">
        <v>5.4300649999999999</v>
      </c>
      <c r="I1414">
        <v>342.18990000000002</v>
      </c>
      <c r="J1414">
        <v>-228.0941</v>
      </c>
      <c r="K1414">
        <v>1.104803</v>
      </c>
      <c r="L1414">
        <v>367.68380000000002</v>
      </c>
      <c r="M1414">
        <v>0.99869229999999998</v>
      </c>
      <c r="N1414">
        <v>0</v>
      </c>
      <c r="O1414">
        <v>-4.9208769999999999E-2</v>
      </c>
      <c r="P1414">
        <v>0.99931229999999904</v>
      </c>
      <c r="Q1414">
        <v>3.7404500000000002E-3</v>
      </c>
      <c r="R1414">
        <v>3.6895200000000003E-2</v>
      </c>
      <c r="S1414">
        <v>3.0435180000000002</v>
      </c>
      <c r="T1414">
        <v>0.2025139</v>
      </c>
      <c r="U1414">
        <v>-1.1942440000000001</v>
      </c>
      <c r="V1414">
        <v>-8.6024929999999999E-2</v>
      </c>
      <c r="W1414">
        <v>1.7587530000000001E-2</v>
      </c>
      <c r="X1414">
        <v>0.99613770000000001</v>
      </c>
      <c r="Y1414">
        <v>0.31850600000000001</v>
      </c>
      <c r="Z1414">
        <v>7.0611939999999998E-3</v>
      </c>
      <c r="AA1414">
        <v>0.94789449999999997</v>
      </c>
      <c r="AB1414">
        <v>25</v>
      </c>
      <c r="AC1414">
        <v>64.749399999999994</v>
      </c>
      <c r="AD1414">
        <v>4.3252620000000004</v>
      </c>
      <c r="AE1414">
        <v>-25.4939</v>
      </c>
      <c r="AF1414">
        <v>22.190733843840501</v>
      </c>
      <c r="AG1414">
        <v>4.3252620000000004</v>
      </c>
      <c r="AH1414">
        <v>65.671873729796204</v>
      </c>
      <c r="AI1414">
        <v>86.429610532647899</v>
      </c>
      <c r="AJ1414">
        <v>71.329726370248807</v>
      </c>
      <c r="AK1414">
        <v>69.454528715405701</v>
      </c>
    </row>
    <row r="1415" spans="1:37" x14ac:dyDescent="0.2">
      <c r="A1415" t="str">
        <f>"20200111155524740"</f>
        <v>20200111155524740</v>
      </c>
      <c r="B1415" t="str">
        <f>"1578729324733453"</f>
        <v>1578729324733453</v>
      </c>
      <c r="C1415" t="s">
        <v>37</v>
      </c>
      <c r="D1415">
        <v>5.0433069999999898</v>
      </c>
      <c r="E1415">
        <v>0.608415699999999</v>
      </c>
      <c r="F1415" t="s">
        <v>43</v>
      </c>
      <c r="G1415">
        <v>-162.85820000000001</v>
      </c>
      <c r="H1415">
        <v>5.3807299999999998</v>
      </c>
      <c r="I1415">
        <v>342.18990000000002</v>
      </c>
      <c r="J1415">
        <v>-227.959</v>
      </c>
      <c r="K1415">
        <v>1.1047940000000001</v>
      </c>
      <c r="L1415">
        <v>367.676999999999</v>
      </c>
      <c r="M1415">
        <v>0.99868729999999994</v>
      </c>
      <c r="N1415">
        <v>0</v>
      </c>
      <c r="O1415">
        <v>-4.9310699999999999E-2</v>
      </c>
      <c r="P1415">
        <v>0.99929979999999996</v>
      </c>
      <c r="Q1415">
        <v>3.5699830000000001E-3</v>
      </c>
      <c r="R1415">
        <v>3.7245830000000001E-2</v>
      </c>
      <c r="S1415">
        <v>3.045242</v>
      </c>
      <c r="T1415">
        <v>0.19960249999999999</v>
      </c>
      <c r="U1415">
        <v>-1.1900629999999901</v>
      </c>
      <c r="V1415">
        <v>-8.6475479999999993E-2</v>
      </c>
      <c r="W1415">
        <v>1.741494E-2</v>
      </c>
      <c r="X1415">
        <v>0.99610169999999998</v>
      </c>
      <c r="Y1415">
        <v>0.3171156</v>
      </c>
      <c r="Z1415">
        <v>6.9075509999999996E-3</v>
      </c>
      <c r="AA1415">
        <v>0.94836180000000003</v>
      </c>
      <c r="AB1415">
        <v>25</v>
      </c>
      <c r="AC1415">
        <v>65.100799999999893</v>
      </c>
      <c r="AD1415">
        <v>4.2759359999999997</v>
      </c>
      <c r="AE1415">
        <v>-25.487099999999899</v>
      </c>
      <c r="AF1415">
        <v>22.162709324850901</v>
      </c>
      <c r="AG1415">
        <v>4.2759359999999997</v>
      </c>
      <c r="AH1415">
        <v>66.031489830625503</v>
      </c>
      <c r="AI1415">
        <v>86.487000193855394</v>
      </c>
      <c r="AJ1415">
        <v>71.446265487243195</v>
      </c>
      <c r="AK1415">
        <v>69.782712490601398</v>
      </c>
    </row>
    <row r="1416" spans="1:37" x14ac:dyDescent="0.2">
      <c r="A1416" t="str">
        <f>"20200111155524753"</f>
        <v>20200111155524753</v>
      </c>
      <c r="B1416" t="str">
        <f>"1578729324744189"</f>
        <v>1578729324744189</v>
      </c>
      <c r="C1416" t="s">
        <v>37</v>
      </c>
      <c r="D1416">
        <v>5.030443</v>
      </c>
      <c r="E1416">
        <v>0.61046160000000005</v>
      </c>
      <c r="F1416" t="s">
        <v>42</v>
      </c>
      <c r="G1416">
        <v>-209.8905</v>
      </c>
      <c r="H1416" s="1">
        <v>-6.250126E-6</v>
      </c>
      <c r="I1416">
        <v>363.20299999999997</v>
      </c>
      <c r="J1416">
        <v>-227.8152</v>
      </c>
      <c r="K1416">
        <v>1.1047830000000001</v>
      </c>
      <c r="L1416">
        <v>367.66980000000001</v>
      </c>
      <c r="M1416">
        <v>0.99868129999999999</v>
      </c>
      <c r="N1416">
        <v>0</v>
      </c>
      <c r="O1416">
        <v>-4.9432959999999998E-2</v>
      </c>
      <c r="P1416">
        <v>0.99929069999999998</v>
      </c>
      <c r="Q1416">
        <v>3.5716799999999998E-3</v>
      </c>
      <c r="R1416">
        <v>3.7490309999999999E-2</v>
      </c>
      <c r="S1416">
        <v>3.0307459999999899</v>
      </c>
      <c r="T1416">
        <v>-0.18531589999999901</v>
      </c>
      <c r="U1416">
        <v>-0.75045779999999995</v>
      </c>
      <c r="V1416">
        <v>-8.684074E-2</v>
      </c>
      <c r="W1416">
        <v>1.7415900000000002E-2</v>
      </c>
      <c r="X1416">
        <v>0.99607000000000001</v>
      </c>
      <c r="Y1416">
        <v>0.19182379999999999</v>
      </c>
      <c r="Z1416">
        <v>-2.8022870000000001E-3</v>
      </c>
      <c r="AA1416">
        <v>0.9814254</v>
      </c>
      <c r="AB1416">
        <v>25</v>
      </c>
      <c r="AC1416">
        <v>17.924700000000001</v>
      </c>
      <c r="AD1416">
        <v>-1.1047892501259999</v>
      </c>
      <c r="AE1416">
        <v>-4.4667999999999699</v>
      </c>
      <c r="AF1416">
        <v>3.5624399711085899</v>
      </c>
      <c r="AG1416">
        <v>-1.1047892501259999</v>
      </c>
      <c r="AH1416">
        <v>18.0590174142968</v>
      </c>
      <c r="AI1416">
        <v>93.434768330193805</v>
      </c>
      <c r="AJ1416">
        <v>78.840738146376594</v>
      </c>
      <c r="AK1416">
        <v>18.440163985301702</v>
      </c>
    </row>
    <row r="1417" spans="1:37" x14ac:dyDescent="0.2">
      <c r="A1417" t="str">
        <f>"20200111155524908"</f>
        <v>20200111155524908</v>
      </c>
      <c r="B1417" t="str">
        <f>"1578729324904254"</f>
        <v>1578729324904254</v>
      </c>
      <c r="C1417" t="s">
        <v>37</v>
      </c>
      <c r="D1417">
        <v>5.3642440000000002</v>
      </c>
      <c r="E1417">
        <v>0.61144390000000004</v>
      </c>
      <c r="F1417" t="s">
        <v>42</v>
      </c>
      <c r="G1417">
        <v>-209.04679999999999</v>
      </c>
      <c r="H1417" s="1">
        <v>-6.0109109999999996E-6</v>
      </c>
      <c r="I1417">
        <v>362.92630000000003</v>
      </c>
      <c r="J1417">
        <v>-226.12799999999999</v>
      </c>
      <c r="K1417">
        <v>1.1045240000000001</v>
      </c>
      <c r="L1417">
        <v>367.58179999999999</v>
      </c>
      <c r="M1417">
        <v>0.99854549999999997</v>
      </c>
      <c r="N1417">
        <v>0</v>
      </c>
      <c r="O1417">
        <v>-5.2112150000000003E-2</v>
      </c>
      <c r="P1417">
        <v>0.9995001</v>
      </c>
      <c r="Q1417">
        <v>6.0802030000000002E-3</v>
      </c>
      <c r="R1417">
        <v>3.1026560000000002E-2</v>
      </c>
      <c r="S1417">
        <v>3.0315089999999998</v>
      </c>
      <c r="T1417">
        <v>-0.17844740000000001</v>
      </c>
      <c r="U1417">
        <v>-0.76617429999999997</v>
      </c>
      <c r="V1417">
        <v>-8.3055970000000007E-2</v>
      </c>
      <c r="W1417">
        <v>1.994508E-2</v>
      </c>
      <c r="X1417">
        <v>0.99634529999999999</v>
      </c>
      <c r="Y1417">
        <v>0.1939408</v>
      </c>
      <c r="Z1417">
        <v>-2.6031380000000001E-3</v>
      </c>
      <c r="AA1417">
        <v>0.98100980000000004</v>
      </c>
      <c r="AB1417">
        <v>24</v>
      </c>
      <c r="AC1417">
        <v>17.0811999999999</v>
      </c>
      <c r="AD1417">
        <v>-1.1045300109109999</v>
      </c>
      <c r="AE1417">
        <v>-4.65549999999996</v>
      </c>
      <c r="AF1417">
        <v>3.7443759132699599</v>
      </c>
      <c r="AG1417">
        <v>-1.1045300109109999</v>
      </c>
      <c r="AH1417">
        <v>17.233540596030601</v>
      </c>
      <c r="AI1417">
        <v>93.583788771089303</v>
      </c>
      <c r="AJ1417">
        <v>77.741721597286698</v>
      </c>
      <c r="AK1417">
        <v>17.670179936829001</v>
      </c>
    </row>
    <row r="1418" spans="1:37" x14ac:dyDescent="0.2">
      <c r="A1418" t="str">
        <f>"20200111155524920"</f>
        <v>20200111155524920</v>
      </c>
      <c r="B1418" t="str">
        <f>"1578729324914013"</f>
        <v>1578729324914013</v>
      </c>
      <c r="C1418" t="s">
        <v>37</v>
      </c>
      <c r="D1418">
        <v>5.3815879999999998</v>
      </c>
      <c r="E1418">
        <v>0.57983999999999902</v>
      </c>
      <c r="F1418" t="s">
        <v>42</v>
      </c>
      <c r="G1418">
        <v>-206.4579</v>
      </c>
      <c r="H1418" s="1">
        <v>-5.2221780000000004E-6</v>
      </c>
      <c r="I1418">
        <v>362.42779999999999</v>
      </c>
      <c r="J1418">
        <v>-225.99639999999999</v>
      </c>
      <c r="K1418">
        <v>1.1044969999999901</v>
      </c>
      <c r="L1418">
        <v>367.5745</v>
      </c>
      <c r="M1418">
        <v>0.99852819999999998</v>
      </c>
      <c r="N1418">
        <v>0</v>
      </c>
      <c r="O1418">
        <v>-5.2441960000000003E-2</v>
      </c>
      <c r="P1418">
        <v>0.99952919999999901</v>
      </c>
      <c r="Q1418">
        <v>5.6035410000000001E-3</v>
      </c>
      <c r="R1418">
        <v>3.0167200000000002E-2</v>
      </c>
      <c r="S1418">
        <v>3.027161</v>
      </c>
      <c r="T1418">
        <v>-0.16998339999999901</v>
      </c>
      <c r="U1418">
        <v>-0.79318239999999995</v>
      </c>
      <c r="V1418">
        <v>-8.252843E-2</v>
      </c>
      <c r="W1418">
        <v>1.9472150000000001E-2</v>
      </c>
      <c r="X1418">
        <v>0.99639840000000002</v>
      </c>
      <c r="Y1418">
        <v>0.20216229999999999</v>
      </c>
      <c r="Z1418">
        <v>-2.6894659999999902E-3</v>
      </c>
      <c r="AA1418">
        <v>0.97934840000000001</v>
      </c>
      <c r="AB1418">
        <v>24</v>
      </c>
      <c r="AC1418">
        <v>19.538499999999999</v>
      </c>
      <c r="AD1418">
        <v>-1.1045022221780001</v>
      </c>
      <c r="AE1418">
        <v>-5.1467000000000098</v>
      </c>
      <c r="AF1418">
        <v>4.10262177226506</v>
      </c>
      <c r="AG1418">
        <v>-1.1045022221780001</v>
      </c>
      <c r="AH1418">
        <v>19.722602270138701</v>
      </c>
      <c r="AI1418">
        <v>93.138281349233196</v>
      </c>
      <c r="AJ1418">
        <v>78.2491239637761</v>
      </c>
      <c r="AK1418">
        <v>20.175045746444798</v>
      </c>
    </row>
    <row r="1419" spans="1:37" x14ac:dyDescent="0.2">
      <c r="A1419" t="str">
        <f>"20200111155524932"</f>
        <v>20200111155524932</v>
      </c>
      <c r="B1419" t="str">
        <f>"1578729324923773"</f>
        <v>1578729324923773</v>
      </c>
      <c r="C1419" t="s">
        <v>37</v>
      </c>
      <c r="D1419">
        <v>5.3095860000000004</v>
      </c>
      <c r="E1419">
        <v>0.57808939999999998</v>
      </c>
      <c r="F1419" t="s">
        <v>40</v>
      </c>
      <c r="G1419">
        <v>-225.0821</v>
      </c>
      <c r="H1419">
        <v>1.0396099999999999</v>
      </c>
      <c r="I1419">
        <v>367.40980000000002</v>
      </c>
      <c r="J1419">
        <v>-225.8596</v>
      </c>
      <c r="K1419">
        <v>1.1044689999999999</v>
      </c>
      <c r="L1419">
        <v>367.56689999999998</v>
      </c>
      <c r="M1419">
        <v>0.99850839999999996</v>
      </c>
      <c r="N1419">
        <v>0</v>
      </c>
      <c r="O1419">
        <v>-5.281988E-2</v>
      </c>
      <c r="P1419">
        <v>0.99956469999999897</v>
      </c>
      <c r="Q1419">
        <v>5.2055670000000004E-3</v>
      </c>
      <c r="R1419">
        <v>2.904174E-2</v>
      </c>
      <c r="S1419">
        <v>3.0189970000000002</v>
      </c>
      <c r="T1419">
        <v>-0.21445629999999999</v>
      </c>
      <c r="U1419">
        <v>-0.54315190000000002</v>
      </c>
      <c r="V1419">
        <v>-8.178212E-2</v>
      </c>
      <c r="W1419">
        <v>1.9078350000000001E-2</v>
      </c>
      <c r="X1419">
        <v>0.99646759999999901</v>
      </c>
      <c r="Y1419">
        <v>0.124655999999999</v>
      </c>
      <c r="Z1419">
        <v>-6.7452600000000005E-4</v>
      </c>
      <c r="AA1419">
        <v>0.99219979999999997</v>
      </c>
      <c r="AB1419">
        <v>24</v>
      </c>
      <c r="AC1419">
        <v>0.77750000000000297</v>
      </c>
      <c r="AD1419">
        <v>-6.4859E-2</v>
      </c>
      <c r="AE1419">
        <v>-0.157099999999957</v>
      </c>
      <c r="AF1419">
        <v>0.11504012654918599</v>
      </c>
      <c r="AG1419">
        <v>-6.4859E-2</v>
      </c>
      <c r="AH1419">
        <v>0.77950155889301798</v>
      </c>
      <c r="AI1419">
        <v>94.705644537363696</v>
      </c>
      <c r="AJ1419">
        <v>81.604794430907802</v>
      </c>
      <c r="AK1419">
        <v>0.79060963876877799</v>
      </c>
    </row>
    <row r="1420" spans="1:37" x14ac:dyDescent="0.2">
      <c r="A1420" t="str">
        <f>"20200111155524947"</f>
        <v>20200111155524947</v>
      </c>
      <c r="B1420" t="str">
        <f>"1578729324944268"</f>
        <v>1578729324944268</v>
      </c>
      <c r="C1420" t="s">
        <v>37</v>
      </c>
      <c r="D1420">
        <v>5.3275079999999999</v>
      </c>
      <c r="E1420">
        <v>0.57714919999999903</v>
      </c>
      <c r="F1420" t="s">
        <v>40</v>
      </c>
      <c r="G1420">
        <v>-225.07329999999999</v>
      </c>
      <c r="H1420">
        <v>1.0498780000000001</v>
      </c>
      <c r="I1420">
        <v>367.42790000000002</v>
      </c>
      <c r="J1420">
        <v>-225.70699999999999</v>
      </c>
      <c r="K1420">
        <v>1.1044350000000001</v>
      </c>
      <c r="L1420">
        <v>367.55840000000001</v>
      </c>
      <c r="M1420">
        <v>0.998484499999999</v>
      </c>
      <c r="N1420">
        <v>0</v>
      </c>
      <c r="O1420">
        <v>-5.3268679999999999E-2</v>
      </c>
      <c r="P1420">
        <v>0.999613999999999</v>
      </c>
      <c r="Q1420">
        <v>5.0193879999999996E-3</v>
      </c>
      <c r="R1420">
        <v>2.7321990000000001E-2</v>
      </c>
      <c r="S1420">
        <v>3.017868</v>
      </c>
      <c r="T1420">
        <v>-0.20973749999999999</v>
      </c>
      <c r="U1420">
        <v>-0.53237919999999905</v>
      </c>
      <c r="V1420">
        <v>-8.0513680000000004E-2</v>
      </c>
      <c r="W1420">
        <v>1.8897190000000001E-2</v>
      </c>
      <c r="X1420">
        <v>0.99657430000000002</v>
      </c>
      <c r="Y1420">
        <v>0.1208583</v>
      </c>
      <c r="Z1420">
        <v>-4.9846669999999995E-4</v>
      </c>
      <c r="AA1420">
        <v>0.99266960000000004</v>
      </c>
      <c r="AB1420">
        <v>24</v>
      </c>
      <c r="AC1420">
        <v>0.63370000000000404</v>
      </c>
      <c r="AD1420">
        <v>-5.4556999999999897E-2</v>
      </c>
      <c r="AE1420">
        <v>-0.13049999999998299</v>
      </c>
      <c r="AF1420">
        <v>9.5873392881585404E-2</v>
      </c>
      <c r="AG1420">
        <v>-5.4556999999999897E-2</v>
      </c>
      <c r="AH1420">
        <v>0.63523554310827302</v>
      </c>
      <c r="AI1420">
        <v>94.854077776240501</v>
      </c>
      <c r="AJ1420">
        <v>81.417367749824805</v>
      </c>
      <c r="AK1420">
        <v>0.64474209490282997</v>
      </c>
    </row>
    <row r="1421" spans="1:37" x14ac:dyDescent="0.2">
      <c r="A1421" t="str">
        <f>"20200111155524960"</f>
        <v>20200111155524960</v>
      </c>
      <c r="B1421" t="str">
        <f>"1578729324954029"</f>
        <v>1578729324954029</v>
      </c>
      <c r="C1421" t="s">
        <v>37</v>
      </c>
      <c r="D1421">
        <v>5.3583350000000003</v>
      </c>
      <c r="E1421">
        <v>0.57626029999999995</v>
      </c>
      <c r="F1421" t="s">
        <v>40</v>
      </c>
      <c r="G1421">
        <v>-224.8595</v>
      </c>
      <c r="H1421">
        <v>1.046154</v>
      </c>
      <c r="I1421">
        <v>367.40940000000001</v>
      </c>
      <c r="J1421">
        <v>-225.56180000000001</v>
      </c>
      <c r="K1421">
        <v>1.1044039999999999</v>
      </c>
      <c r="L1421">
        <v>367.55020000000002</v>
      </c>
      <c r="M1421">
        <v>0.99846029999999997</v>
      </c>
      <c r="N1421">
        <v>0</v>
      </c>
      <c r="O1421">
        <v>-5.3719139999999999E-2</v>
      </c>
      <c r="P1421">
        <v>0.99963489999999999</v>
      </c>
      <c r="Q1421">
        <v>4.8855299999999999E-3</v>
      </c>
      <c r="R1421">
        <v>2.6574420000000001E-2</v>
      </c>
      <c r="S1421">
        <v>3.0167079999999999</v>
      </c>
      <c r="T1421">
        <v>-0.20751500000000001</v>
      </c>
      <c r="U1421">
        <v>-0.53039550000000002</v>
      </c>
      <c r="V1421">
        <v>-8.0217350000000007E-2</v>
      </c>
      <c r="W1421">
        <v>1.8767989999999998E-2</v>
      </c>
      <c r="X1421">
        <v>0.99660070000000001</v>
      </c>
      <c r="Y1421">
        <v>0.1198491</v>
      </c>
      <c r="Z1421">
        <v>-4.2837669999999997E-4</v>
      </c>
      <c r="AA1421">
        <v>0.99279200000000001</v>
      </c>
      <c r="AB1421">
        <v>24</v>
      </c>
      <c r="AC1421">
        <v>0.70230000000000803</v>
      </c>
      <c r="AD1421">
        <v>-5.82500000000001E-2</v>
      </c>
      <c r="AE1421">
        <v>-0.140800000000012</v>
      </c>
      <c r="AF1421">
        <v>0.10219026033412899</v>
      </c>
      <c r="AG1421">
        <v>-5.82500000000001E-2</v>
      </c>
      <c r="AH1421">
        <v>0.70419293316694298</v>
      </c>
      <c r="AI1421">
        <v>94.679874405598298</v>
      </c>
      <c r="AJ1421">
        <v>81.743055725700103</v>
      </c>
      <c r="AK1421">
        <v>0.71394929716991795</v>
      </c>
    </row>
    <row r="1422" spans="1:37" x14ac:dyDescent="0.2">
      <c r="A1422" t="str">
        <f>"20200111155524972"</f>
        <v>20200111155524972</v>
      </c>
      <c r="B1422" t="str">
        <f>"1578729324963789"</f>
        <v>1578729324963789</v>
      </c>
      <c r="C1422" t="s">
        <v>37</v>
      </c>
      <c r="D1422">
        <v>5.362641</v>
      </c>
      <c r="E1422">
        <v>0.57564899999999997</v>
      </c>
      <c r="F1422" t="s">
        <v>40</v>
      </c>
      <c r="G1422">
        <v>-224.6474</v>
      </c>
      <c r="H1422">
        <v>1.0409010000000001</v>
      </c>
      <c r="I1422">
        <v>367.39069999999998</v>
      </c>
      <c r="J1422">
        <v>-225.4314</v>
      </c>
      <c r="K1422">
        <v>1.1043719999999999</v>
      </c>
      <c r="L1422">
        <v>367.54270000000002</v>
      </c>
      <c r="M1422">
        <v>0.99843660000000001</v>
      </c>
      <c r="N1422">
        <v>0</v>
      </c>
      <c r="O1422">
        <v>-5.4160519999999997E-2</v>
      </c>
      <c r="P1422">
        <v>0.99966669999999902</v>
      </c>
      <c r="Q1422">
        <v>4.8577159999999998E-3</v>
      </c>
      <c r="R1422">
        <v>2.536246E-2</v>
      </c>
      <c r="S1422">
        <v>3.0160680000000002</v>
      </c>
      <c r="T1422">
        <v>-0.2095796</v>
      </c>
      <c r="U1422">
        <v>-0.52545169999999997</v>
      </c>
      <c r="V1422">
        <v>-7.9447980000000001E-2</v>
      </c>
      <c r="W1422">
        <v>1.8745109999999999E-2</v>
      </c>
      <c r="X1422">
        <v>0.99666270000000001</v>
      </c>
      <c r="Y1422">
        <v>0.1178696</v>
      </c>
      <c r="Z1422">
        <v>-3.3425309999999999E-4</v>
      </c>
      <c r="AA1422">
        <v>0.993029099999999</v>
      </c>
      <c r="AB1422">
        <v>24</v>
      </c>
      <c r="AC1422">
        <v>0.78399999999999104</v>
      </c>
      <c r="AD1422">
        <v>-6.3470999999999805E-2</v>
      </c>
      <c r="AE1422">
        <v>-0.15200000000004299</v>
      </c>
      <c r="AF1422">
        <v>0.108624799625244</v>
      </c>
      <c r="AG1422">
        <v>-6.3470999999999805E-2</v>
      </c>
      <c r="AH1422">
        <v>0.78611654454081603</v>
      </c>
      <c r="AI1422">
        <v>94.572782652815903</v>
      </c>
      <c r="AJ1422">
        <v>82.132744921560203</v>
      </c>
      <c r="AK1422">
        <v>0.79612005158482102</v>
      </c>
    </row>
    <row r="1423" spans="1:37" x14ac:dyDescent="0.2">
      <c r="A1423" t="str">
        <f>"20200111155524984"</f>
        <v>20200111155524984</v>
      </c>
      <c r="B1423" t="str">
        <f>"1578729324973549"</f>
        <v>1578729324973549</v>
      </c>
      <c r="C1423" t="s">
        <v>37</v>
      </c>
      <c r="D1423">
        <v>5.3420519999999998</v>
      </c>
      <c r="E1423">
        <v>0.57548699999999997</v>
      </c>
      <c r="F1423" t="s">
        <v>40</v>
      </c>
      <c r="G1423">
        <v>-224.6403</v>
      </c>
      <c r="H1423">
        <v>1.0492360000000001</v>
      </c>
      <c r="I1423">
        <v>367.40499999999997</v>
      </c>
      <c r="J1423">
        <v>-225.3073</v>
      </c>
      <c r="K1423">
        <v>1.1043399999999901</v>
      </c>
      <c r="L1423">
        <v>367.53550000000001</v>
      </c>
      <c r="M1423">
        <v>0.99841270000000004</v>
      </c>
      <c r="N1423">
        <v>0</v>
      </c>
      <c r="O1423">
        <v>-5.460023E-2</v>
      </c>
      <c r="P1423">
        <v>0.99968609999999902</v>
      </c>
      <c r="Q1423">
        <v>5.1054170000000001E-3</v>
      </c>
      <c r="R1423">
        <v>2.4534739999999999E-2</v>
      </c>
      <c r="S1423">
        <v>3.0153349999999999</v>
      </c>
      <c r="T1423">
        <v>-0.21029519999999999</v>
      </c>
      <c r="U1423">
        <v>-0.52444460000000004</v>
      </c>
      <c r="V1423">
        <v>-7.90598E-2</v>
      </c>
      <c r="W1423">
        <v>1.8996829999999999E-2</v>
      </c>
      <c r="X1423">
        <v>0.99668880000000004</v>
      </c>
      <c r="Y1423">
        <v>0.1171527</v>
      </c>
      <c r="Z1423">
        <v>-2.8039329999999998E-4</v>
      </c>
      <c r="AA1423">
        <v>0.99311389999999999</v>
      </c>
      <c r="AB1423">
        <v>24</v>
      </c>
      <c r="AC1423">
        <v>0.66700000000000104</v>
      </c>
      <c r="AD1423">
        <v>-5.5103999999999799E-2</v>
      </c>
      <c r="AE1423">
        <v>-0.13050000000004</v>
      </c>
      <c r="AF1423">
        <v>9.3270347723565697E-2</v>
      </c>
      <c r="AG1423">
        <v>-5.5103999999999799E-2</v>
      </c>
      <c r="AH1423">
        <v>0.66873488832023997</v>
      </c>
      <c r="AI1423">
        <v>94.665592913403799</v>
      </c>
      <c r="AJ1423">
        <v>82.060015705770297</v>
      </c>
      <c r="AK1423">
        <v>0.67745269904042704</v>
      </c>
    </row>
    <row r="1424" spans="1:37" x14ac:dyDescent="0.2">
      <c r="A1424" t="str">
        <f>"20200111155524996"</f>
        <v>20200111155524996</v>
      </c>
      <c r="B1424" t="str">
        <f>"1578729324994045"</f>
        <v>1578729324994045</v>
      </c>
      <c r="C1424" t="s">
        <v>37</v>
      </c>
      <c r="D1424">
        <v>5.3171400000000002</v>
      </c>
      <c r="E1424">
        <v>0.57558319999999996</v>
      </c>
      <c r="F1424" t="s">
        <v>40</v>
      </c>
      <c r="G1424">
        <v>-224.42869999999999</v>
      </c>
      <c r="H1424">
        <v>1.043525</v>
      </c>
      <c r="I1424">
        <v>367.38240000000002</v>
      </c>
      <c r="J1424">
        <v>-225.16579999999999</v>
      </c>
      <c r="K1424">
        <v>1.1043069999999999</v>
      </c>
      <c r="L1424">
        <v>367.52719999999999</v>
      </c>
      <c r="M1424">
        <v>0.99838359999999904</v>
      </c>
      <c r="N1424">
        <v>0</v>
      </c>
      <c r="O1424">
        <v>-5.5127420000000003E-2</v>
      </c>
      <c r="P1424">
        <v>0.99971509999999997</v>
      </c>
      <c r="Q1424">
        <v>5.0535119999999996E-3</v>
      </c>
      <c r="R1424">
        <v>2.332878E-2</v>
      </c>
      <c r="S1424">
        <v>3.014923</v>
      </c>
      <c r="T1424">
        <v>-0.20873269999999999</v>
      </c>
      <c r="U1424">
        <v>-0.52520749999999905</v>
      </c>
      <c r="V1424">
        <v>-7.8382599999999997E-2</v>
      </c>
      <c r="W1424">
        <v>1.895059E-2</v>
      </c>
      <c r="X1424">
        <v>0.99674319999999905</v>
      </c>
      <c r="Y1424">
        <v>0.11689909999999901</v>
      </c>
      <c r="Z1424">
        <v>-2.3358849999999999E-4</v>
      </c>
      <c r="AA1424">
        <v>0.99314380000000002</v>
      </c>
      <c r="AB1424">
        <v>24</v>
      </c>
      <c r="AC1424">
        <v>0.73709999999999798</v>
      </c>
      <c r="AD1424">
        <v>-6.0781999999999801E-2</v>
      </c>
      <c r="AE1424">
        <v>-0.144799999999975</v>
      </c>
      <c r="AF1424">
        <v>0.103265364523032</v>
      </c>
      <c r="AG1424">
        <v>-6.0781999999999801E-2</v>
      </c>
      <c r="AH1424">
        <v>0.73912295836200703</v>
      </c>
      <c r="AI1424">
        <v>94.656135257271103</v>
      </c>
      <c r="AJ1424">
        <v>82.046496838646206</v>
      </c>
      <c r="AK1424">
        <v>0.74877295264444499</v>
      </c>
    </row>
    <row r="1425" spans="1:37" x14ac:dyDescent="0.2">
      <c r="A1425" t="str">
        <f>"20200111155525010"</f>
        <v>20200111155525010</v>
      </c>
      <c r="B1425" t="str">
        <f>"1578729325003806"</f>
        <v>1578729325003806</v>
      </c>
      <c r="C1425" t="s">
        <v>37</v>
      </c>
      <c r="D1425">
        <v>5.311299</v>
      </c>
      <c r="E1425">
        <v>0.57573609999999997</v>
      </c>
      <c r="F1425" t="s">
        <v>42</v>
      </c>
      <c r="G1425">
        <v>-208.96039999999999</v>
      </c>
      <c r="H1425" s="1">
        <v>-5.7083309999999998E-6</v>
      </c>
      <c r="I1425">
        <v>364.67840000000001</v>
      </c>
      <c r="J1425">
        <v>-225.02180000000001</v>
      </c>
      <c r="K1425">
        <v>1.104268</v>
      </c>
      <c r="L1425">
        <v>367.51859999999999</v>
      </c>
      <c r="M1425">
        <v>0.99835099999999999</v>
      </c>
      <c r="N1425">
        <v>0</v>
      </c>
      <c r="O1425">
        <v>-5.5714180000000002E-2</v>
      </c>
      <c r="P1425">
        <v>0.99973819999999902</v>
      </c>
      <c r="Q1425">
        <v>5.4251269999999897E-3</v>
      </c>
      <c r="R1425">
        <v>2.223282E-2</v>
      </c>
      <c r="S1425">
        <v>3.0142519999999999</v>
      </c>
      <c r="T1425">
        <v>-0.20540559999999999</v>
      </c>
      <c r="U1425">
        <v>-0.52987669999999998</v>
      </c>
      <c r="V1425">
        <v>-7.7872520000000001E-2</v>
      </c>
      <c r="W1425">
        <v>1.9328649999999999E-2</v>
      </c>
      <c r="X1425">
        <v>0.99677590000000005</v>
      </c>
      <c r="Y1425">
        <v>0.1178491</v>
      </c>
      <c r="Z1425">
        <v>-2.225223E-4</v>
      </c>
      <c r="AA1425">
        <v>0.99303149999999996</v>
      </c>
      <c r="AB1425">
        <v>24</v>
      </c>
      <c r="AC1425">
        <v>16.061399999999999</v>
      </c>
      <c r="AD1425">
        <v>-1.1042737083309999</v>
      </c>
      <c r="AE1425">
        <v>-2.8401999999999799</v>
      </c>
      <c r="AF1425">
        <v>1.9319986830879099</v>
      </c>
      <c r="AG1425">
        <v>-1.1042737083309999</v>
      </c>
      <c r="AH1425">
        <v>16.120809925096498</v>
      </c>
      <c r="AI1425">
        <v>93.890877255867295</v>
      </c>
      <c r="AJ1425">
        <v>83.165980762382304</v>
      </c>
      <c r="AK1425">
        <v>16.273676658194098</v>
      </c>
    </row>
    <row r="1426" spans="1:37" x14ac:dyDescent="0.2">
      <c r="A1426" t="str">
        <f>"20200111155525024"</f>
        <v>20200111155525024</v>
      </c>
      <c r="B1426" t="str">
        <f>"1578729325013565"</f>
        <v>1578729325013565</v>
      </c>
      <c r="C1426" t="s">
        <v>37</v>
      </c>
      <c r="D1426">
        <v>5.3361910000000004</v>
      </c>
      <c r="E1426">
        <v>0.57579329999999995</v>
      </c>
      <c r="F1426" t="s">
        <v>40</v>
      </c>
      <c r="G1426">
        <v>-224.20760000000001</v>
      </c>
      <c r="H1426">
        <v>1.04931</v>
      </c>
      <c r="I1426">
        <v>367.3741</v>
      </c>
      <c r="J1426">
        <v>-224.87350000000001</v>
      </c>
      <c r="K1426">
        <v>1.1042259999999999</v>
      </c>
      <c r="L1426">
        <v>367.50959999999998</v>
      </c>
      <c r="M1426">
        <v>0.99831550000000002</v>
      </c>
      <c r="N1426">
        <v>0</v>
      </c>
      <c r="O1426">
        <v>-5.6352760000000002E-2</v>
      </c>
      <c r="P1426">
        <v>0.9997627</v>
      </c>
      <c r="Q1426">
        <v>5.7849469999999899E-3</v>
      </c>
      <c r="R1426">
        <v>2.101343E-2</v>
      </c>
      <c r="S1426">
        <v>3.013779</v>
      </c>
      <c r="T1426">
        <v>-0.20363699999999901</v>
      </c>
      <c r="U1426">
        <v>-0.53427119999999995</v>
      </c>
      <c r="V1426">
        <v>-7.7291150000000003E-2</v>
      </c>
      <c r="W1426">
        <v>1.969479E-2</v>
      </c>
      <c r="X1426">
        <v>0.99681399999999998</v>
      </c>
      <c r="Y1426">
        <v>0.1186468</v>
      </c>
      <c r="Z1426">
        <v>-2.047501E-4</v>
      </c>
      <c r="AA1426">
        <v>0.9929365</v>
      </c>
      <c r="AB1426">
        <v>24</v>
      </c>
      <c r="AC1426">
        <v>0.66589999999999305</v>
      </c>
      <c r="AD1426">
        <v>-5.4915999999999902E-2</v>
      </c>
      <c r="AE1426">
        <v>-0.135499999999979</v>
      </c>
      <c r="AF1426">
        <v>9.7121489060151805E-2</v>
      </c>
      <c r="AG1426">
        <v>-5.4915999999999902E-2</v>
      </c>
      <c r="AH1426">
        <v>0.66811489816169001</v>
      </c>
      <c r="AI1426">
        <v>94.650230568785901</v>
      </c>
      <c r="AJ1426">
        <v>81.729050312888802</v>
      </c>
      <c r="AK1426">
        <v>0.67736686355243803</v>
      </c>
    </row>
    <row r="1427" spans="1:37" x14ac:dyDescent="0.2">
      <c r="A1427" t="str">
        <f>"20200111155525036"</f>
        <v>20200111155525036</v>
      </c>
      <c r="B1427" t="str">
        <f>"1578729325034061"</f>
        <v>1578729325034061</v>
      </c>
      <c r="C1427" t="s">
        <v>37</v>
      </c>
      <c r="D1427">
        <v>5.3919059999999996</v>
      </c>
      <c r="E1427">
        <v>0.57562150000000001</v>
      </c>
      <c r="F1427" t="s">
        <v>40</v>
      </c>
      <c r="G1427">
        <v>-223.99510000000001</v>
      </c>
      <c r="H1427">
        <v>1.0451239999999999</v>
      </c>
      <c r="I1427">
        <v>367.35250000000002</v>
      </c>
      <c r="J1427">
        <v>-224.73249999999999</v>
      </c>
      <c r="K1427">
        <v>1.1041859999999999</v>
      </c>
      <c r="L1427">
        <v>367.50099999999998</v>
      </c>
      <c r="M1427">
        <v>0.99827860000000002</v>
      </c>
      <c r="N1427">
        <v>0</v>
      </c>
      <c r="O1427">
        <v>-5.6998880000000002E-2</v>
      </c>
      <c r="P1427">
        <v>0.99978069999999897</v>
      </c>
      <c r="Q1427">
        <v>7.1587400000000002E-3</v>
      </c>
      <c r="R1427">
        <v>1.968458E-2</v>
      </c>
      <c r="S1427">
        <v>3.0131990000000002</v>
      </c>
      <c r="T1427">
        <v>-0.20278640000000001</v>
      </c>
      <c r="U1427">
        <v>-0.53845209999999999</v>
      </c>
      <c r="V1427">
        <v>-7.660641E-2</v>
      </c>
      <c r="W1427">
        <v>2.1075900000000002E-2</v>
      </c>
      <c r="X1427">
        <v>0.99683860000000002</v>
      </c>
      <c r="Y1427">
        <v>0.1193733</v>
      </c>
      <c r="Z1427">
        <v>-1.8523770000000001E-4</v>
      </c>
      <c r="AA1427">
        <v>0.99284939999999999</v>
      </c>
      <c r="AB1427">
        <v>24</v>
      </c>
      <c r="AC1427">
        <v>0.73739999999997896</v>
      </c>
      <c r="AD1427">
        <v>-5.9062000000000101E-2</v>
      </c>
      <c r="AE1427">
        <v>-0.148499999999955</v>
      </c>
      <c r="AF1427">
        <v>0.105572667716729</v>
      </c>
      <c r="AG1427">
        <v>-5.9062000000000101E-2</v>
      </c>
      <c r="AH1427">
        <v>0.740103218529646</v>
      </c>
      <c r="AI1427">
        <v>94.517136968222005</v>
      </c>
      <c r="AJ1427">
        <v>81.881760922074207</v>
      </c>
      <c r="AK1427">
        <v>0.74992445092206905</v>
      </c>
    </row>
    <row r="1428" spans="1:37" x14ac:dyDescent="0.2">
      <c r="A1428" t="str">
        <f>"20200111155525051"</f>
        <v>20200111155525051</v>
      </c>
      <c r="B1428" t="str">
        <f>"1578729325043821"</f>
        <v>1578729325043821</v>
      </c>
      <c r="C1428" t="s">
        <v>37</v>
      </c>
      <c r="D1428">
        <v>5.5806899999999997</v>
      </c>
      <c r="E1428">
        <v>0.57589569999999901</v>
      </c>
      <c r="F1428" t="s">
        <v>42</v>
      </c>
      <c r="G1428">
        <v>-208.02879999999999</v>
      </c>
      <c r="H1428" s="1">
        <v>-5.4239639999999999E-6</v>
      </c>
      <c r="I1428">
        <v>364.50240000000002</v>
      </c>
      <c r="J1428">
        <v>-224.5822</v>
      </c>
      <c r="K1428">
        <v>1.1041369999999999</v>
      </c>
      <c r="L1428">
        <v>367.49160000000001</v>
      </c>
      <c r="M1428">
        <v>0.9982356</v>
      </c>
      <c r="N1428">
        <v>0</v>
      </c>
      <c r="O1428">
        <v>-5.7749080000000001E-2</v>
      </c>
      <c r="P1428">
        <v>0.99979560000000001</v>
      </c>
      <c r="Q1428">
        <v>7.9661839999999994E-3</v>
      </c>
      <c r="R1428">
        <v>1.8595670000000002E-2</v>
      </c>
      <c r="S1428">
        <v>3.0127259999999998</v>
      </c>
      <c r="T1428">
        <v>-0.19915479999999899</v>
      </c>
      <c r="U1428">
        <v>-0.54083249999999905</v>
      </c>
      <c r="V1428">
        <v>-7.6265199999999894E-2</v>
      </c>
      <c r="W1428">
        <v>2.1891580000000001E-2</v>
      </c>
      <c r="X1428">
        <v>0.99684719999999905</v>
      </c>
      <c r="Y1428">
        <v>0.1194206</v>
      </c>
      <c r="Z1428">
        <v>-1.3454839999999999E-4</v>
      </c>
      <c r="AA1428">
        <v>0.9928437</v>
      </c>
      <c r="AB1428">
        <v>24</v>
      </c>
      <c r="AC1428">
        <v>16.5534</v>
      </c>
      <c r="AD1428">
        <v>-1.1041424239640001</v>
      </c>
      <c r="AE1428">
        <v>-2.9891999999999799</v>
      </c>
      <c r="AF1428">
        <v>2.0194744785687302</v>
      </c>
      <c r="AG1428">
        <v>-1.1041424239640001</v>
      </c>
      <c r="AH1428">
        <v>16.6267705335191</v>
      </c>
      <c r="AI1428">
        <v>93.771654054402006</v>
      </c>
      <c r="AJ1428">
        <v>83.074820918908003</v>
      </c>
      <c r="AK1428">
        <v>16.785318169051401</v>
      </c>
    </row>
    <row r="1429" spans="1:37" x14ac:dyDescent="0.2">
      <c r="A1429" t="str">
        <f>"20200111155525066"</f>
        <v>20200111155525066</v>
      </c>
      <c r="B1429" t="str">
        <f>"1578729325053582"</f>
        <v>1578729325053582</v>
      </c>
      <c r="C1429" t="s">
        <v>37</v>
      </c>
      <c r="D1429">
        <v>5.3780219999999996</v>
      </c>
      <c r="E1429">
        <v>0.5757565</v>
      </c>
      <c r="F1429" t="s">
        <v>40</v>
      </c>
      <c r="G1429">
        <v>-223.76560000000001</v>
      </c>
      <c r="H1429">
        <v>1.0508879999999901</v>
      </c>
      <c r="I1429">
        <v>367.34320000000002</v>
      </c>
      <c r="J1429">
        <v>-224.42939999999999</v>
      </c>
      <c r="K1429">
        <v>1.104085</v>
      </c>
      <c r="L1429">
        <v>367.4819</v>
      </c>
      <c r="M1429">
        <v>0.99818859999999998</v>
      </c>
      <c r="N1429">
        <v>0</v>
      </c>
      <c r="O1429">
        <v>-5.8554769999999999E-2</v>
      </c>
      <c r="P1429">
        <v>0.99980800000000003</v>
      </c>
      <c r="Q1429">
        <v>9.1096760000000006E-3</v>
      </c>
      <c r="R1429">
        <v>1.736882E-2</v>
      </c>
      <c r="S1429">
        <v>3.012375</v>
      </c>
      <c r="T1429">
        <v>-0.19673080000000001</v>
      </c>
      <c r="U1429">
        <v>-0.54632569999999903</v>
      </c>
      <c r="V1429">
        <v>-7.5840649999999996E-2</v>
      </c>
      <c r="W1429">
        <v>2.304428E-2</v>
      </c>
      <c r="X1429">
        <v>0.99685360000000001</v>
      </c>
      <c r="Y1429">
        <v>0.120395499999999</v>
      </c>
      <c r="Z1429">
        <v>-1.125599E-4</v>
      </c>
      <c r="AA1429">
        <v>0.992726</v>
      </c>
      <c r="AB1429">
        <v>24</v>
      </c>
      <c r="AC1429">
        <v>0.66379999999997996</v>
      </c>
      <c r="AD1429">
        <v>-5.3197000000000098E-2</v>
      </c>
      <c r="AE1429">
        <v>-0.13869999999997101</v>
      </c>
      <c r="AF1429">
        <v>9.8980503823627206E-2</v>
      </c>
      <c r="AG1429">
        <v>-5.3197000000000098E-2</v>
      </c>
      <c r="AH1429">
        <v>0.66668055833745599</v>
      </c>
      <c r="AI1429">
        <v>94.512924343330695</v>
      </c>
      <c r="AJ1429">
        <v>81.555118177445706</v>
      </c>
      <c r="AK1429">
        <v>0.67608433483650698</v>
      </c>
    </row>
    <row r="1430" spans="1:37" x14ac:dyDescent="0.2">
      <c r="A1430" t="str">
        <f>"20200111155525079"</f>
        <v>20200111155525079</v>
      </c>
      <c r="B1430" t="str">
        <f>"1578729325074078"</f>
        <v>1578729325074078</v>
      </c>
      <c r="C1430" t="s">
        <v>37</v>
      </c>
      <c r="D1430">
        <v>5.4108269999999896</v>
      </c>
      <c r="E1430">
        <v>0.57529779999999997</v>
      </c>
      <c r="F1430" t="s">
        <v>40</v>
      </c>
      <c r="G1430">
        <v>-223.5616</v>
      </c>
      <c r="H1430">
        <v>1.0479270000000001</v>
      </c>
      <c r="I1430">
        <v>367.32369999999997</v>
      </c>
      <c r="J1430">
        <v>-224.27510000000001</v>
      </c>
      <c r="K1430">
        <v>1.104031</v>
      </c>
      <c r="L1430">
        <v>367.47199999999998</v>
      </c>
      <c r="M1430">
        <v>0.99813779999999996</v>
      </c>
      <c r="N1430">
        <v>0</v>
      </c>
      <c r="O1430">
        <v>-5.941428E-2</v>
      </c>
      <c r="P1430">
        <v>0.99982289999999996</v>
      </c>
      <c r="Q1430">
        <v>9.8911439999999993E-3</v>
      </c>
      <c r="R1430">
        <v>1.6022709999999999E-2</v>
      </c>
      <c r="S1430">
        <v>3.0119020000000001</v>
      </c>
      <c r="T1430">
        <v>-0.1949427</v>
      </c>
      <c r="U1430">
        <v>-0.54901119999999903</v>
      </c>
      <c r="V1430">
        <v>-7.5351089999999996E-2</v>
      </c>
      <c r="W1430">
        <v>2.3835140000000001E-2</v>
      </c>
      <c r="X1430">
        <v>0.99687219999999999</v>
      </c>
      <c r="Y1430">
        <v>0.1204288</v>
      </c>
      <c r="Z1430" s="1">
        <v>-5.7732919999999897E-5</v>
      </c>
      <c r="AA1430">
        <v>0.99272199999999899</v>
      </c>
      <c r="AB1430">
        <v>24</v>
      </c>
      <c r="AC1430">
        <v>0.71350000000001002</v>
      </c>
      <c r="AD1430">
        <v>-5.6103999999999897E-2</v>
      </c>
      <c r="AE1430">
        <v>-0.14830000000000601</v>
      </c>
      <c r="AF1430">
        <v>0.105019384425249</v>
      </c>
      <c r="AG1430">
        <v>-5.6103999999999897E-2</v>
      </c>
      <c r="AH1430">
        <v>0.71680281830189996</v>
      </c>
      <c r="AI1430">
        <v>94.428319533410999</v>
      </c>
      <c r="AJ1430">
        <v>81.664848700726694</v>
      </c>
      <c r="AK1430">
        <v>0.72662439420005998</v>
      </c>
    </row>
    <row r="1431" spans="1:37" x14ac:dyDescent="0.2">
      <c r="A1431" t="str">
        <f>"20200111155525091"</f>
        <v>20200111155525091</v>
      </c>
      <c r="B1431" t="str">
        <f>"1578729325083837"</f>
        <v>1578729325083837</v>
      </c>
      <c r="C1431" t="s">
        <v>37</v>
      </c>
      <c r="D1431">
        <v>5.4209509999999996</v>
      </c>
      <c r="E1431">
        <v>0.57495260000000004</v>
      </c>
      <c r="F1431" t="s">
        <v>40</v>
      </c>
      <c r="G1431">
        <v>-223.34960000000001</v>
      </c>
      <c r="H1431">
        <v>1.044144</v>
      </c>
      <c r="I1431">
        <v>367.303</v>
      </c>
      <c r="J1431">
        <v>-224.14009999999999</v>
      </c>
      <c r="K1431">
        <v>1.103985</v>
      </c>
      <c r="L1431">
        <v>367.46300000000002</v>
      </c>
      <c r="M1431">
        <v>0.998088999999999</v>
      </c>
      <c r="N1431">
        <v>0</v>
      </c>
      <c r="O1431">
        <v>-6.0228719999999999E-2</v>
      </c>
      <c r="P1431">
        <v>0.99983500000000003</v>
      </c>
      <c r="Q1431">
        <v>1.125694E-2</v>
      </c>
      <c r="R1431">
        <v>1.4265480000000001E-2</v>
      </c>
      <c r="S1431">
        <v>3.0112610000000002</v>
      </c>
      <c r="T1431">
        <v>-0.1949679</v>
      </c>
      <c r="U1431">
        <v>-0.54916379999999998</v>
      </c>
      <c r="V1431">
        <v>-7.4404999999999999E-2</v>
      </c>
      <c r="W1431">
        <v>2.520849E-2</v>
      </c>
      <c r="X1431">
        <v>0.99690939999999995</v>
      </c>
      <c r="Y1431">
        <v>0.1197078</v>
      </c>
      <c r="Z1431" s="1">
        <v>1.7413399999999998E-5</v>
      </c>
      <c r="AA1431">
        <v>0.99280919999999895</v>
      </c>
      <c r="AB1431">
        <v>24</v>
      </c>
      <c r="AC1431">
        <v>0.79049999999998</v>
      </c>
      <c r="AD1431">
        <v>-5.9840999999999998E-2</v>
      </c>
      <c r="AE1431">
        <v>-0.159999999999968</v>
      </c>
      <c r="AF1431">
        <v>0.111480434712069</v>
      </c>
      <c r="AG1431">
        <v>-5.9840999999999998E-2</v>
      </c>
      <c r="AH1431">
        <v>0.79432939027387195</v>
      </c>
      <c r="AI1431">
        <v>94.266595981713493</v>
      </c>
      <c r="AJ1431">
        <v>82.010983912854002</v>
      </c>
      <c r="AK1431">
        <v>0.80434321832004896</v>
      </c>
    </row>
    <row r="1432" spans="1:37" x14ac:dyDescent="0.2">
      <c r="A1432" t="str">
        <f>"20200111155525106"</f>
        <v>20200111155525106</v>
      </c>
      <c r="B1432" t="str">
        <f>"1578729325103357"</f>
        <v>1578729325103357</v>
      </c>
      <c r="C1432" t="s">
        <v>37</v>
      </c>
      <c r="D1432">
        <v>5.4018169999999897</v>
      </c>
      <c r="E1432">
        <v>0.57457919999999996</v>
      </c>
      <c r="F1432" t="s">
        <v>42</v>
      </c>
      <c r="G1432">
        <v>-206.85810000000001</v>
      </c>
      <c r="H1432" s="1">
        <v>-5.0000340000000001E-6</v>
      </c>
      <c r="I1432">
        <v>364.29640000000001</v>
      </c>
      <c r="J1432">
        <v>-223.99</v>
      </c>
      <c r="K1432">
        <v>1.1039330000000001</v>
      </c>
      <c r="L1432">
        <v>367.4529</v>
      </c>
      <c r="M1432">
        <v>0.99803169999999897</v>
      </c>
      <c r="N1432">
        <v>0</v>
      </c>
      <c r="O1432">
        <v>-6.1172329999999997E-2</v>
      </c>
      <c r="P1432">
        <v>0.99985040000000003</v>
      </c>
      <c r="Q1432">
        <v>1.153531E-2</v>
      </c>
      <c r="R1432">
        <v>1.2900999999999999E-2</v>
      </c>
      <c r="S1432">
        <v>3.0105439999999999</v>
      </c>
      <c r="T1432">
        <v>-0.19231599999999999</v>
      </c>
      <c r="U1432">
        <v>-0.55163569999999995</v>
      </c>
      <c r="V1432">
        <v>-7.3982800000000001E-2</v>
      </c>
      <c r="W1432">
        <v>2.5495449999999999E-2</v>
      </c>
      <c r="X1432">
        <v>0.99693359999999998</v>
      </c>
      <c r="Y1432">
        <v>0.119604999999999</v>
      </c>
      <c r="Z1432" s="1">
        <v>7.9890480000000002E-5</v>
      </c>
      <c r="AA1432">
        <v>0.99282159999999997</v>
      </c>
      <c r="AB1432">
        <v>24</v>
      </c>
      <c r="AC1432">
        <v>17.131900000000002</v>
      </c>
      <c r="AD1432">
        <v>-1.103938000034</v>
      </c>
      <c r="AE1432">
        <v>-3.1564999999999901</v>
      </c>
      <c r="AF1432">
        <v>2.0940797131836901</v>
      </c>
      <c r="AG1432">
        <v>-1.103938000034</v>
      </c>
      <c r="AH1432">
        <v>17.223750049291901</v>
      </c>
      <c r="AI1432">
        <v>93.640560301601298</v>
      </c>
      <c r="AJ1432">
        <v>83.067948046342806</v>
      </c>
      <c r="AK1432">
        <v>17.385666933240401</v>
      </c>
    </row>
    <row r="1433" spans="1:37" x14ac:dyDescent="0.2">
      <c r="A1433" t="str">
        <f>"20200111155525122"</f>
        <v>20200111155525122</v>
      </c>
      <c r="B1433" t="str">
        <f>"1578729325114093"</f>
        <v>1578729325114093</v>
      </c>
      <c r="C1433" t="s">
        <v>37</v>
      </c>
      <c r="D1433">
        <v>5.3773289999999996</v>
      </c>
      <c r="E1433">
        <v>0.57440480000000005</v>
      </c>
      <c r="F1433" t="s">
        <v>40</v>
      </c>
      <c r="G1433">
        <v>-223.1311</v>
      </c>
      <c r="H1433">
        <v>1.0488309999999901</v>
      </c>
      <c r="I1433">
        <v>367.29500000000002</v>
      </c>
      <c r="J1433">
        <v>-223.81549999999999</v>
      </c>
      <c r="K1433">
        <v>1.103874</v>
      </c>
      <c r="L1433">
        <v>367.44099999999997</v>
      </c>
      <c r="M1433">
        <v>0.99796019999999896</v>
      </c>
      <c r="N1433">
        <v>0</v>
      </c>
      <c r="O1433">
        <v>-6.2326359999999997E-2</v>
      </c>
      <c r="P1433">
        <v>0.99987079999999995</v>
      </c>
      <c r="Q1433">
        <v>1.146408E-2</v>
      </c>
      <c r="R1433">
        <v>1.1257669999999999E-2</v>
      </c>
      <c r="S1433">
        <v>3.009811</v>
      </c>
      <c r="T1433">
        <v>-0.19326599999999999</v>
      </c>
      <c r="U1433">
        <v>-0.55279540000000005</v>
      </c>
      <c r="V1433">
        <v>-7.3493740000000002E-2</v>
      </c>
      <c r="W1433">
        <v>2.5434439999999999E-2</v>
      </c>
      <c r="X1433">
        <v>0.9969713</v>
      </c>
      <c r="Y1433">
        <v>0.118872399999999</v>
      </c>
      <c r="Z1433">
        <v>1.76700299999999E-4</v>
      </c>
      <c r="AA1433">
        <v>0.99290959999999995</v>
      </c>
      <c r="AB1433">
        <v>24</v>
      </c>
      <c r="AC1433">
        <v>0.68439999999998202</v>
      </c>
      <c r="AD1433">
        <v>-5.5043000000000099E-2</v>
      </c>
      <c r="AE1433">
        <v>-0.145999999999958</v>
      </c>
      <c r="AF1433">
        <v>0.10242221134042399</v>
      </c>
      <c r="AG1433">
        <v>-5.5043000000000099E-2</v>
      </c>
      <c r="AH1433">
        <v>0.68791377256567499</v>
      </c>
      <c r="AI1433">
        <v>94.525070758784295</v>
      </c>
      <c r="AJ1433">
        <v>81.531546840995404</v>
      </c>
      <c r="AK1433">
        <v>0.69767141242163699</v>
      </c>
    </row>
    <row r="1434" spans="1:37" x14ac:dyDescent="0.2">
      <c r="A1434" t="str">
        <f>"20200111155525135"</f>
        <v>20200111155525135</v>
      </c>
      <c r="B1434" t="str">
        <f>"1578729325123853"</f>
        <v>1578729325123853</v>
      </c>
      <c r="C1434" t="s">
        <v>37</v>
      </c>
      <c r="D1434">
        <v>5.4406019999999904</v>
      </c>
      <c r="E1434">
        <v>0.57436160000000003</v>
      </c>
      <c r="F1434" t="s">
        <v>40</v>
      </c>
      <c r="G1434">
        <v>-222.9188</v>
      </c>
      <c r="H1434">
        <v>1.046028</v>
      </c>
      <c r="I1434">
        <v>367.2749</v>
      </c>
      <c r="J1434">
        <v>-223.6688</v>
      </c>
      <c r="K1434">
        <v>1.103826</v>
      </c>
      <c r="L1434">
        <v>367.4307</v>
      </c>
      <c r="M1434">
        <v>0.99789539999999999</v>
      </c>
      <c r="N1434">
        <v>0</v>
      </c>
      <c r="O1434">
        <v>-6.3354069999999998E-2</v>
      </c>
      <c r="P1434">
        <v>0.99988880000000002</v>
      </c>
      <c r="Q1434">
        <v>1.1627480000000001E-2</v>
      </c>
      <c r="R1434">
        <v>9.3592969999999904E-3</v>
      </c>
      <c r="S1434">
        <v>3.0088810000000001</v>
      </c>
      <c r="T1434">
        <v>-0.19421469999999999</v>
      </c>
      <c r="U1434">
        <v>-0.55636600000000003</v>
      </c>
      <c r="V1434">
        <v>-7.2623899999999894E-2</v>
      </c>
      <c r="W1434">
        <v>2.560509E-2</v>
      </c>
      <c r="X1434">
        <v>0.99703069999999905</v>
      </c>
      <c r="Y1434">
        <v>0.1190445</v>
      </c>
      <c r="Z1434">
        <v>2.3749279999999901E-4</v>
      </c>
      <c r="AA1434">
        <v>0.99288889999999996</v>
      </c>
      <c r="AB1434">
        <v>24</v>
      </c>
      <c r="AC1434">
        <v>0.75</v>
      </c>
      <c r="AD1434">
        <v>-5.7798000000000002E-2</v>
      </c>
      <c r="AE1434">
        <v>-0.15579999999999899</v>
      </c>
      <c r="AF1434">
        <v>0.10735566859979601</v>
      </c>
      <c r="AG1434">
        <v>-5.7798000000000002E-2</v>
      </c>
      <c r="AH1434">
        <v>0.75407148788530498</v>
      </c>
      <c r="AI1434">
        <v>94.3394445188611</v>
      </c>
      <c r="AJ1434">
        <v>81.897363413649799</v>
      </c>
      <c r="AK1434">
        <v>0.76386494698085705</v>
      </c>
    </row>
    <row r="1435" spans="1:37" x14ac:dyDescent="0.2">
      <c r="A1435" t="str">
        <f>"20200111155525148"</f>
        <v>20200111155525148</v>
      </c>
      <c r="B1435" t="str">
        <f>"1578729325143373"</f>
        <v>1578729325143373</v>
      </c>
      <c r="C1435" t="s">
        <v>37</v>
      </c>
      <c r="D1435">
        <v>5.4405429999999999</v>
      </c>
      <c r="E1435">
        <v>0.57421369999999905</v>
      </c>
      <c r="F1435" t="s">
        <v>42</v>
      </c>
      <c r="G1435">
        <v>-206.71729999999999</v>
      </c>
      <c r="H1435" s="1">
        <v>-4.9408619999999998E-6</v>
      </c>
      <c r="I1435">
        <v>364.26729999999998</v>
      </c>
      <c r="J1435">
        <v>-223.54169999999999</v>
      </c>
      <c r="K1435">
        <v>1.103785</v>
      </c>
      <c r="L1435">
        <v>367.42160000000001</v>
      </c>
      <c r="M1435">
        <v>0.99783549999999999</v>
      </c>
      <c r="N1435">
        <v>0</v>
      </c>
      <c r="O1435">
        <v>-6.4292349999999998E-2</v>
      </c>
      <c r="P1435">
        <v>0.99990650000000003</v>
      </c>
      <c r="Q1435">
        <v>1.15592E-2</v>
      </c>
      <c r="R1435">
        <v>7.3181490000000004E-3</v>
      </c>
      <c r="S1435">
        <v>3.007889</v>
      </c>
      <c r="T1435">
        <v>-0.19586389999999901</v>
      </c>
      <c r="U1435">
        <v>-0.56130979999999997</v>
      </c>
      <c r="V1435">
        <v>-7.1523359999999994E-2</v>
      </c>
      <c r="W1435">
        <v>2.5542169999999999E-2</v>
      </c>
      <c r="X1435">
        <v>0.99711190000000005</v>
      </c>
      <c r="Y1435">
        <v>0.11974549999999901</v>
      </c>
      <c r="Z1435">
        <v>2.7713720000000001E-4</v>
      </c>
      <c r="AA1435">
        <v>0.99280460000000004</v>
      </c>
      <c r="AB1435">
        <v>24</v>
      </c>
      <c r="AC1435">
        <v>16.824399999999901</v>
      </c>
      <c r="AD1435">
        <v>-1.103789940862</v>
      </c>
      <c r="AE1435">
        <v>-3.1543000000000299</v>
      </c>
      <c r="AF1435">
        <v>2.0574344897961798</v>
      </c>
      <c r="AG1435">
        <v>-1.103789940862</v>
      </c>
      <c r="AH1435">
        <v>16.9220393809854</v>
      </c>
      <c r="AI1435">
        <v>93.704793712253505</v>
      </c>
      <c r="AJ1435">
        <v>83.067824450239598</v>
      </c>
      <c r="AK1435">
        <v>17.082353635403098</v>
      </c>
    </row>
    <row r="1436" spans="1:37" x14ac:dyDescent="0.2">
      <c r="A1436" t="str">
        <f>"20200111155525161"</f>
        <v>20200111155525161</v>
      </c>
      <c r="B1436" t="str">
        <f>"1578729325154109"</f>
        <v>1578729325154109</v>
      </c>
      <c r="C1436" t="s">
        <v>37</v>
      </c>
      <c r="D1436">
        <v>5.3485339999999999</v>
      </c>
      <c r="E1436">
        <v>0.57418729999999996</v>
      </c>
      <c r="F1436" t="s">
        <v>40</v>
      </c>
      <c r="G1436">
        <v>-222.70259999999999</v>
      </c>
      <c r="H1436">
        <v>1.048613</v>
      </c>
      <c r="I1436">
        <v>367.2636</v>
      </c>
      <c r="J1436">
        <v>-223.38929999999999</v>
      </c>
      <c r="K1436">
        <v>1.103729</v>
      </c>
      <c r="L1436">
        <v>367.41059999999999</v>
      </c>
      <c r="M1436">
        <v>0.99776019999999899</v>
      </c>
      <c r="N1436">
        <v>0</v>
      </c>
      <c r="O1436">
        <v>-6.5450969999999997E-2</v>
      </c>
      <c r="P1436">
        <v>0.99991839999999999</v>
      </c>
      <c r="Q1436">
        <v>1.146498E-2</v>
      </c>
      <c r="R1436">
        <v>5.6597280000000002E-3</v>
      </c>
      <c r="S1436">
        <v>3.0067140000000001</v>
      </c>
      <c r="T1436">
        <v>-0.19762249999999901</v>
      </c>
      <c r="U1436">
        <v>-0.56628420000000002</v>
      </c>
      <c r="V1436">
        <v>-7.1024279999999995E-2</v>
      </c>
      <c r="W1436">
        <v>2.5455410000000001E-2</v>
      </c>
      <c r="X1436">
        <v>0.99714969999999903</v>
      </c>
      <c r="Y1436">
        <v>0.1202486</v>
      </c>
      <c r="Z1436">
        <v>3.3832550000000001E-4</v>
      </c>
      <c r="AA1436">
        <v>0.99274370000000001</v>
      </c>
      <c r="AB1436">
        <v>24</v>
      </c>
      <c r="AC1436">
        <v>0.68670000000000098</v>
      </c>
      <c r="AD1436">
        <v>-5.5116000000000102E-2</v>
      </c>
      <c r="AE1436">
        <v>-0.146999999999991</v>
      </c>
      <c r="AF1436">
        <v>0.101112445625603</v>
      </c>
      <c r="AG1436">
        <v>-5.5116000000000102E-2</v>
      </c>
      <c r="AH1436">
        <v>0.69059560858009394</v>
      </c>
      <c r="AI1436">
        <v>94.515131892811496</v>
      </c>
      <c r="AJ1436">
        <v>81.670314909333698</v>
      </c>
      <c r="AK1436">
        <v>0.70013126962484795</v>
      </c>
    </row>
    <row r="1437" spans="1:37" x14ac:dyDescent="0.2">
      <c r="A1437" t="str">
        <f>"20200111155525175"</f>
        <v>20200111155525175</v>
      </c>
      <c r="B1437" t="str">
        <f>"1578729325163869"</f>
        <v>1578729325163869</v>
      </c>
      <c r="C1437" t="s">
        <v>37</v>
      </c>
      <c r="D1437">
        <v>5.3716460000000001</v>
      </c>
      <c r="E1437">
        <v>0.57404069999999996</v>
      </c>
      <c r="F1437" t="s">
        <v>40</v>
      </c>
      <c r="G1437">
        <v>-222.49189999999999</v>
      </c>
      <c r="H1437">
        <v>1.0444879999999901</v>
      </c>
      <c r="I1437">
        <v>367.23989999999998</v>
      </c>
      <c r="J1437">
        <v>-223.24010000000001</v>
      </c>
      <c r="K1437">
        <v>1.10368</v>
      </c>
      <c r="L1437">
        <v>367.39949999999999</v>
      </c>
      <c r="M1437">
        <v>0.9976815</v>
      </c>
      <c r="N1437">
        <v>0</v>
      </c>
      <c r="O1437">
        <v>-6.6640469999999993E-2</v>
      </c>
      <c r="P1437">
        <v>0.99992939999999997</v>
      </c>
      <c r="Q1437">
        <v>1.1258870000000001E-2</v>
      </c>
      <c r="R1437">
        <v>3.8424990000000001E-3</v>
      </c>
      <c r="S1437">
        <v>3.0057529999999999</v>
      </c>
      <c r="T1437">
        <v>-0.19851089999999999</v>
      </c>
      <c r="U1437">
        <v>-0.57107540000000001</v>
      </c>
      <c r="V1437">
        <v>-7.0398899999999903E-2</v>
      </c>
      <c r="W1437">
        <v>2.5257109999999999E-2</v>
      </c>
      <c r="X1437">
        <v>0.9971991</v>
      </c>
      <c r="Y1437">
        <v>0.1206512</v>
      </c>
      <c r="Z1437">
        <v>4.0410129999999899E-4</v>
      </c>
      <c r="AA1437">
        <v>0.99269490000000005</v>
      </c>
      <c r="AB1437">
        <v>24</v>
      </c>
      <c r="AC1437">
        <v>0.74820000000002496</v>
      </c>
      <c r="AD1437">
        <v>-5.9192000000000099E-2</v>
      </c>
      <c r="AE1437">
        <v>-0.15960000000001101</v>
      </c>
      <c r="AF1437">
        <v>0.10872910018745</v>
      </c>
      <c r="AG1437">
        <v>-5.9192000000000099E-2</v>
      </c>
      <c r="AH1437">
        <v>0.75266753753128202</v>
      </c>
      <c r="AI1437">
        <v>94.450644315441394</v>
      </c>
      <c r="AJ1437">
        <v>81.780011080602193</v>
      </c>
      <c r="AK1437">
        <v>0.76278052685223696</v>
      </c>
    </row>
    <row r="1438" spans="1:37" x14ac:dyDescent="0.2">
      <c r="A1438" t="str">
        <f>"20200111155525188"</f>
        <v>20200111155525188</v>
      </c>
      <c r="B1438" t="str">
        <f>"1578729325183390"</f>
        <v>1578729325183390</v>
      </c>
      <c r="C1438" t="s">
        <v>37</v>
      </c>
      <c r="D1438">
        <v>5.3409339999999998</v>
      </c>
      <c r="E1438">
        <v>0.57392580000000004</v>
      </c>
      <c r="F1438" t="s">
        <v>42</v>
      </c>
      <c r="G1438">
        <v>-206.65889999999999</v>
      </c>
      <c r="H1438" s="1">
        <v>-4.9227009999999997E-6</v>
      </c>
      <c r="I1438">
        <v>364.22660000000002</v>
      </c>
      <c r="J1438">
        <v>-223.1181</v>
      </c>
      <c r="K1438">
        <v>1.1036379999999999</v>
      </c>
      <c r="L1438">
        <v>367.39019999999999</v>
      </c>
      <c r="M1438">
        <v>0.99761330000000004</v>
      </c>
      <c r="N1438">
        <v>0</v>
      </c>
      <c r="O1438">
        <v>-6.7653950000000004E-2</v>
      </c>
      <c r="P1438">
        <v>0.99993500000000002</v>
      </c>
      <c r="Q1438">
        <v>1.114528E-2</v>
      </c>
      <c r="R1438">
        <v>2.4388809999999999E-3</v>
      </c>
      <c r="S1438">
        <v>3.0046689999999998</v>
      </c>
      <c r="T1438">
        <v>-0.1999977</v>
      </c>
      <c r="U1438">
        <v>-0.5749512</v>
      </c>
      <c r="V1438">
        <v>-7.0009639999999998E-2</v>
      </c>
      <c r="W1438">
        <v>2.5149850000000001E-2</v>
      </c>
      <c r="X1438">
        <v>0.99722919999999904</v>
      </c>
      <c r="Y1438">
        <v>0.120943699999999</v>
      </c>
      <c r="Z1438">
        <v>4.6399379999999903E-4</v>
      </c>
      <c r="AA1438">
        <v>0.99265930000000002</v>
      </c>
      <c r="AB1438">
        <v>24</v>
      </c>
      <c r="AC1438">
        <v>16.459199999999999</v>
      </c>
      <c r="AD1438">
        <v>-1.1036429227009901</v>
      </c>
      <c r="AE1438">
        <v>-3.16359999999997</v>
      </c>
      <c r="AF1438">
        <v>2.0338953991459099</v>
      </c>
      <c r="AG1438">
        <v>-1.1036429227009901</v>
      </c>
      <c r="AH1438">
        <v>16.563713246867302</v>
      </c>
      <c r="AI1438">
        <v>93.783657935608204</v>
      </c>
      <c r="AJ1438">
        <v>82.999566736326202</v>
      </c>
      <c r="AK1438">
        <v>16.724573379310598</v>
      </c>
    </row>
    <row r="1439" spans="1:37" x14ac:dyDescent="0.2">
      <c r="A1439" t="str">
        <f>"20200111155525199"</f>
        <v>20200111155525199</v>
      </c>
      <c r="B1439" t="str">
        <f>"1578729325194125"</f>
        <v>1578729325194125</v>
      </c>
      <c r="C1439" t="s">
        <v>37</v>
      </c>
      <c r="D1439">
        <v>5.5037219999999998</v>
      </c>
      <c r="E1439">
        <v>0.57384679999999999</v>
      </c>
      <c r="F1439" t="s">
        <v>40</v>
      </c>
      <c r="G1439">
        <v>-222.2764</v>
      </c>
      <c r="H1439">
        <v>1.0469079999999999</v>
      </c>
      <c r="I1439">
        <v>367.22800000000001</v>
      </c>
      <c r="J1439">
        <v>-222.98500000000001</v>
      </c>
      <c r="K1439">
        <v>1.103591</v>
      </c>
      <c r="L1439">
        <v>367.38</v>
      </c>
      <c r="M1439">
        <v>0.99753619999999898</v>
      </c>
      <c r="N1439">
        <v>0</v>
      </c>
      <c r="O1439">
        <v>-6.877991E-2</v>
      </c>
      <c r="P1439">
        <v>0.99994169999999905</v>
      </c>
      <c r="Q1439">
        <v>1.0790589999999999E-2</v>
      </c>
      <c r="R1439">
        <v>4.7583699999999897E-4</v>
      </c>
      <c r="S1439">
        <v>3.00386</v>
      </c>
      <c r="T1439">
        <v>-0.20246059999999999</v>
      </c>
      <c r="U1439">
        <v>-0.57852169999999903</v>
      </c>
      <c r="V1439">
        <v>-6.9175689999999998E-2</v>
      </c>
      <c r="W1439">
        <v>2.4800920000000001E-2</v>
      </c>
      <c r="X1439">
        <v>0.99729619999999997</v>
      </c>
      <c r="Y1439">
        <v>0.1210101</v>
      </c>
      <c r="Z1439">
        <v>5.4225599999999997E-4</v>
      </c>
      <c r="AA1439">
        <v>0.99265110000000001</v>
      </c>
      <c r="AB1439">
        <v>24</v>
      </c>
      <c r="AC1439">
        <v>0.70860000000001799</v>
      </c>
      <c r="AD1439">
        <v>-5.6682999999999997E-2</v>
      </c>
      <c r="AE1439">
        <v>-0.15199999999998601</v>
      </c>
      <c r="AF1439">
        <v>0.102272238808643</v>
      </c>
      <c r="AG1439">
        <v>-5.6682999999999997E-2</v>
      </c>
      <c r="AH1439">
        <v>0.71301536569484603</v>
      </c>
      <c r="AI1439">
        <v>94.499458768626596</v>
      </c>
      <c r="AJ1439">
        <v>81.837384398824497</v>
      </c>
      <c r="AK1439">
        <v>0.72253960793640004</v>
      </c>
    </row>
    <row r="1440" spans="1:37" x14ac:dyDescent="0.2">
      <c r="A1440" t="str">
        <f>"20200111155525223"</f>
        <v>20200111155525223</v>
      </c>
      <c r="B1440" t="str">
        <f>"1578729325213645"</f>
        <v>1578729325213645</v>
      </c>
      <c r="C1440" t="s">
        <v>37</v>
      </c>
      <c r="D1440">
        <v>6.2289089999999998</v>
      </c>
      <c r="E1440">
        <v>0.57384679999999999</v>
      </c>
      <c r="F1440" t="s">
        <v>40</v>
      </c>
      <c r="G1440">
        <v>-222.06729999999999</v>
      </c>
      <c r="H1440">
        <v>1.0414699999999999</v>
      </c>
      <c r="I1440">
        <v>367.20150000000001</v>
      </c>
      <c r="J1440">
        <v>-222.73349999999999</v>
      </c>
      <c r="K1440">
        <v>1.1035079999999999</v>
      </c>
      <c r="L1440">
        <v>367.36009999999999</v>
      </c>
      <c r="M1440">
        <v>0.99737880000000001</v>
      </c>
      <c r="N1440">
        <v>0</v>
      </c>
      <c r="O1440">
        <v>-7.1026329999999999E-2</v>
      </c>
      <c r="P1440">
        <v>0.99994059999999996</v>
      </c>
      <c r="Q1440">
        <v>1.02711E-2</v>
      </c>
      <c r="R1440">
        <v>-3.6769870000000001E-3</v>
      </c>
      <c r="S1440">
        <v>3.0026700000000002</v>
      </c>
      <c r="T1440">
        <v>-0.2033807</v>
      </c>
      <c r="U1440">
        <v>-0.58377080000000003</v>
      </c>
      <c r="V1440">
        <v>-6.7277069999999994E-2</v>
      </c>
      <c r="W1440">
        <v>2.4290860000000001E-2</v>
      </c>
      <c r="X1440">
        <v>0.99743859999999995</v>
      </c>
      <c r="Y1440">
        <v>0.1205252</v>
      </c>
      <c r="Z1440">
        <v>7.1083289999999998E-4</v>
      </c>
      <c r="AA1440">
        <v>0.99270999999999998</v>
      </c>
      <c r="AB1440">
        <v>24</v>
      </c>
      <c r="AC1440">
        <v>0.66620000000000301</v>
      </c>
      <c r="AD1440">
        <v>-6.2037999999999802E-2</v>
      </c>
      <c r="AE1440">
        <v>-0.15859999999997801</v>
      </c>
      <c r="AF1440">
        <v>0.109974593996023</v>
      </c>
      <c r="AG1440">
        <v>-6.2037999999999802E-2</v>
      </c>
      <c r="AH1440">
        <v>0.67028224677383297</v>
      </c>
      <c r="AI1440">
        <v>95.218566312884903</v>
      </c>
      <c r="AJ1440">
        <v>80.682380125981993</v>
      </c>
      <c r="AK1440">
        <v>0.682071414962369</v>
      </c>
    </row>
    <row r="1441" spans="1:37" x14ac:dyDescent="0.2">
      <c r="A1441" t="str">
        <f>"20200111155525235"</f>
        <v>20200111155525235</v>
      </c>
      <c r="B1441" t="str">
        <f>"1578729325223406"</f>
        <v>1578729325223406</v>
      </c>
      <c r="C1441" t="s">
        <v>37</v>
      </c>
      <c r="D1441">
        <v>5.7118070000000003</v>
      </c>
      <c r="E1441">
        <v>0.57599789999999995</v>
      </c>
      <c r="F1441" t="s">
        <v>40</v>
      </c>
      <c r="G1441">
        <v>-221.8528</v>
      </c>
      <c r="H1441">
        <v>1.0433110000000001</v>
      </c>
      <c r="I1441">
        <v>367.18490000000003</v>
      </c>
      <c r="J1441">
        <v>-222.60429999999999</v>
      </c>
      <c r="K1441">
        <v>1.103467</v>
      </c>
      <c r="L1441">
        <v>367.34960000000001</v>
      </c>
      <c r="M1441">
        <v>0.99729299999999999</v>
      </c>
      <c r="N1441">
        <v>0</v>
      </c>
      <c r="O1441">
        <v>-7.2221350000000004E-2</v>
      </c>
      <c r="P1441">
        <v>0.99993339999999997</v>
      </c>
      <c r="Q1441">
        <v>9.8860760000000006E-3</v>
      </c>
      <c r="R1441">
        <v>-5.9901149999999998E-3</v>
      </c>
      <c r="S1441">
        <v>3.000092</v>
      </c>
      <c r="T1441">
        <v>-0.2051703</v>
      </c>
      <c r="U1441">
        <v>-0.59613039999999995</v>
      </c>
      <c r="V1441">
        <v>-6.6163730000000004E-2</v>
      </c>
      <c r="W1441">
        <v>2.3909969999999999E-2</v>
      </c>
      <c r="X1441">
        <v>0.99752229999999997</v>
      </c>
      <c r="Y1441">
        <v>0.1234267</v>
      </c>
      <c r="Z1441">
        <v>6.9948660000000002E-4</v>
      </c>
      <c r="AA1441">
        <v>0.99235339999999905</v>
      </c>
      <c r="AB1441">
        <v>24</v>
      </c>
      <c r="AC1441">
        <v>0.75149999999999195</v>
      </c>
      <c r="AD1441">
        <v>-6.01559999999998E-2</v>
      </c>
      <c r="AE1441">
        <v>-0.164699999999982</v>
      </c>
      <c r="AF1441">
        <v>0.109321909148945</v>
      </c>
      <c r="AG1441">
        <v>-6.01559999999998E-2</v>
      </c>
      <c r="AH1441">
        <v>0.756806058072795</v>
      </c>
      <c r="AI1441">
        <v>94.498202446477507</v>
      </c>
      <c r="AJ1441">
        <v>81.780384462790494</v>
      </c>
      <c r="AK1441">
        <v>0.76702375040910797</v>
      </c>
    </row>
    <row r="1442" spans="1:37" x14ac:dyDescent="0.2">
      <c r="A1442" t="str">
        <f>"20200111155525248"</f>
        <v>20200111155525248</v>
      </c>
      <c r="B1442" t="str">
        <f>"1578729325243900"</f>
        <v>1578729325243900</v>
      </c>
      <c r="C1442" t="s">
        <v>37</v>
      </c>
      <c r="D1442">
        <v>4.6324129999999997</v>
      </c>
      <c r="E1442">
        <v>0.58043180000000005</v>
      </c>
      <c r="F1442" t="s">
        <v>42</v>
      </c>
      <c r="G1442">
        <v>-206.60429999999999</v>
      </c>
      <c r="H1442" s="1">
        <v>-4.9384250000000001E-6</v>
      </c>
      <c r="I1442">
        <v>364.041</v>
      </c>
      <c r="J1442">
        <v>-222.46549999999999</v>
      </c>
      <c r="K1442">
        <v>1.103426</v>
      </c>
      <c r="L1442">
        <v>367.33800000000002</v>
      </c>
      <c r="M1442">
        <v>0.99719609999999903</v>
      </c>
      <c r="N1442">
        <v>0</v>
      </c>
      <c r="O1442">
        <v>-7.3546899999999998E-2</v>
      </c>
      <c r="P1442">
        <v>0.99990440000000003</v>
      </c>
      <c r="Q1442">
        <v>9.7442080000000007E-3</v>
      </c>
      <c r="R1442">
        <v>-9.82044199999999E-3</v>
      </c>
      <c r="S1442">
        <v>2.998535</v>
      </c>
      <c r="T1442">
        <v>-0.20679989999999901</v>
      </c>
      <c r="U1442">
        <v>-0.62005619999999995</v>
      </c>
      <c r="V1442">
        <v>-6.366608E-2</v>
      </c>
      <c r="W1442">
        <v>2.3767920000000001E-2</v>
      </c>
      <c r="X1442">
        <v>0.99768819999999903</v>
      </c>
      <c r="Y1442">
        <v>0.12979569999999899</v>
      </c>
      <c r="Z1442">
        <v>5.7726309999999999E-4</v>
      </c>
      <c r="AA1442">
        <v>0.99154059999999899</v>
      </c>
      <c r="AB1442">
        <v>24</v>
      </c>
      <c r="AC1442">
        <v>15.861199999999901</v>
      </c>
      <c r="AD1442">
        <v>-1.1034309384250001</v>
      </c>
      <c r="AE1442">
        <v>-3.2970000000000201</v>
      </c>
      <c r="AF1442">
        <v>2.1116195162339402</v>
      </c>
      <c r="AG1442">
        <v>-1.1034309384250001</v>
      </c>
      <c r="AH1442">
        <v>15.9865774712492</v>
      </c>
      <c r="AI1442">
        <v>93.914532692463197</v>
      </c>
      <c r="AJ1442">
        <v>82.4755287512846</v>
      </c>
      <c r="AK1442">
        <v>16.163141899441001</v>
      </c>
    </row>
    <row r="1443" spans="1:37" x14ac:dyDescent="0.2">
      <c r="A1443" t="str">
        <f>"20200111155525261"</f>
        <v>20200111155525261</v>
      </c>
      <c r="B1443" t="str">
        <f>"1578729325253662"</f>
        <v>1578729325253662</v>
      </c>
      <c r="C1443" t="s">
        <v>37</v>
      </c>
      <c r="D1443">
        <v>4.5842999999999998</v>
      </c>
      <c r="E1443">
        <v>0.58332839999999997</v>
      </c>
      <c r="F1443" t="s">
        <v>42</v>
      </c>
      <c r="G1443">
        <v>-206.11500000000001</v>
      </c>
      <c r="H1443" s="1">
        <v>-4.7863780000000003E-6</v>
      </c>
      <c r="I1443">
        <v>363.69880000000001</v>
      </c>
      <c r="J1443">
        <v>-222.33099999999999</v>
      </c>
      <c r="K1443">
        <v>1.103389</v>
      </c>
      <c r="L1443">
        <v>367.32679999999999</v>
      </c>
      <c r="M1443">
        <v>0.99709869999999901</v>
      </c>
      <c r="N1443">
        <v>0</v>
      </c>
      <c r="O1443">
        <v>-7.485501E-2</v>
      </c>
      <c r="P1443">
        <v>0.99987610000000005</v>
      </c>
      <c r="Q1443">
        <v>9.6174399999999997E-3</v>
      </c>
      <c r="R1443">
        <v>-1.247618E-2</v>
      </c>
      <c r="S1443">
        <v>2.9956969999999998</v>
      </c>
      <c r="T1443">
        <v>-0.20216719999999999</v>
      </c>
      <c r="U1443">
        <v>-0.6667786</v>
      </c>
      <c r="V1443">
        <v>-6.2323219999999999E-2</v>
      </c>
      <c r="W1443">
        <v>2.3643500000000001E-2</v>
      </c>
      <c r="X1443">
        <v>0.99777590000000005</v>
      </c>
      <c r="Y1443">
        <v>0.14343029999999901</v>
      </c>
      <c r="Z1443">
        <v>1.958711E-4</v>
      </c>
      <c r="AA1443">
        <v>0.989660399999999</v>
      </c>
      <c r="AB1443">
        <v>24</v>
      </c>
      <c r="AC1443">
        <v>16.215999999999902</v>
      </c>
      <c r="AD1443">
        <v>-1.1033937863779999</v>
      </c>
      <c r="AE1443">
        <v>-3.6279999999999801</v>
      </c>
      <c r="AF1443">
        <v>2.3933021215769599</v>
      </c>
      <c r="AG1443">
        <v>-1.1033937863779999</v>
      </c>
      <c r="AH1443">
        <v>16.369917515886101</v>
      </c>
      <c r="AI1443">
        <v>93.815675231017593</v>
      </c>
      <c r="AJ1443">
        <v>81.682215989878003</v>
      </c>
      <c r="AK1443">
        <v>16.5806987901559</v>
      </c>
    </row>
    <row r="1444" spans="1:37" x14ac:dyDescent="0.2">
      <c r="A1444" t="str">
        <f>"20200111155525274"</f>
        <v>20200111155525274</v>
      </c>
      <c r="B1444" t="str">
        <f>"1578729325263928"</f>
        <v>1578729325263928</v>
      </c>
      <c r="C1444" t="s">
        <v>37</v>
      </c>
      <c r="D1444">
        <v>4.6226339999999997</v>
      </c>
      <c r="E1444">
        <v>0.58601939999999997</v>
      </c>
      <c r="F1444" t="s">
        <v>42</v>
      </c>
      <c r="G1444">
        <v>-205.16589999999999</v>
      </c>
      <c r="H1444" s="1">
        <v>-4.427127E-6</v>
      </c>
      <c r="I1444">
        <v>363.32499999999999</v>
      </c>
      <c r="J1444">
        <v>-222.20349999999999</v>
      </c>
      <c r="K1444">
        <v>1.103356</v>
      </c>
      <c r="L1444">
        <v>367.31580000000002</v>
      </c>
      <c r="M1444">
        <v>0.99700159999999904</v>
      </c>
      <c r="N1444">
        <v>0</v>
      </c>
      <c r="O1444">
        <v>-7.6135380000000002E-2</v>
      </c>
      <c r="P1444">
        <v>0.99984430000000002</v>
      </c>
      <c r="Q1444">
        <v>9.4818419999999903E-3</v>
      </c>
      <c r="R1444">
        <v>-1.488155E-2</v>
      </c>
      <c r="S1444">
        <v>2.9935149999999999</v>
      </c>
      <c r="T1444">
        <v>-0.19242619999999999</v>
      </c>
      <c r="U1444">
        <v>-0.69787600000000005</v>
      </c>
      <c r="V1444">
        <v>-6.1202430000000002E-2</v>
      </c>
      <c r="W1444">
        <v>2.351002E-2</v>
      </c>
      <c r="X1444">
        <v>0.99784850000000003</v>
      </c>
      <c r="Y1444">
        <v>0.15207960000000001</v>
      </c>
      <c r="Z1444" s="1">
        <v>-7.4999409999999996E-6</v>
      </c>
      <c r="AA1444">
        <v>0.98836829999999998</v>
      </c>
      <c r="AB1444">
        <v>24</v>
      </c>
      <c r="AC1444">
        <v>17.037599999999902</v>
      </c>
      <c r="AD1444">
        <v>-1.1033604271270001</v>
      </c>
      <c r="AE1444">
        <v>-3.9908000000000299</v>
      </c>
      <c r="AF1444">
        <v>2.6713057739682302</v>
      </c>
      <c r="AG1444">
        <v>-1.1033604271270001</v>
      </c>
      <c r="AH1444">
        <v>17.223532133234698</v>
      </c>
      <c r="AI1444">
        <v>93.622238765487594</v>
      </c>
      <c r="AJ1444">
        <v>81.183880040089093</v>
      </c>
      <c r="AK1444">
        <v>17.464344760532899</v>
      </c>
    </row>
    <row r="1445" spans="1:37" x14ac:dyDescent="0.2">
      <c r="A1445" t="str">
        <f>"20200111155525287"</f>
        <v>20200111155525287</v>
      </c>
      <c r="B1445" t="str">
        <f>"1578729325283448"</f>
        <v>1578729325283448</v>
      </c>
      <c r="C1445" t="s">
        <v>37</v>
      </c>
      <c r="D1445">
        <v>4.6400030000000001</v>
      </c>
      <c r="E1445">
        <v>0.58935369999999998</v>
      </c>
      <c r="F1445" t="s">
        <v>42</v>
      </c>
      <c r="G1445">
        <v>-204.2362</v>
      </c>
      <c r="H1445" s="1">
        <v>-4.0486069999999996E-6</v>
      </c>
      <c r="I1445">
        <v>362.95030000000003</v>
      </c>
      <c r="J1445">
        <v>-222.0557</v>
      </c>
      <c r="K1445">
        <v>1.1033189999999999</v>
      </c>
      <c r="L1445">
        <v>367.30279999999999</v>
      </c>
      <c r="M1445">
        <v>0.99688489999999996</v>
      </c>
      <c r="N1445">
        <v>0</v>
      </c>
      <c r="O1445">
        <v>-7.7651860000000003E-2</v>
      </c>
      <c r="P1445">
        <v>0.99979819999999997</v>
      </c>
      <c r="Q1445">
        <v>9.6457169999999998E-3</v>
      </c>
      <c r="R1445">
        <v>-1.762874E-2</v>
      </c>
      <c r="S1445">
        <v>2.9913789999999998</v>
      </c>
      <c r="T1445">
        <v>-0.1836988</v>
      </c>
      <c r="U1445">
        <v>-0.72680659999999997</v>
      </c>
      <c r="V1445">
        <v>-5.9975510000000003E-2</v>
      </c>
      <c r="W1445">
        <v>2.3675910000000001E-2</v>
      </c>
      <c r="X1445">
        <v>0.997919</v>
      </c>
      <c r="Y1445">
        <v>0.159775799999999</v>
      </c>
      <c r="Z1445">
        <v>-1.491881E-4</v>
      </c>
      <c r="AA1445">
        <v>0.98715330000000001</v>
      </c>
      <c r="AB1445">
        <v>24</v>
      </c>
      <c r="AC1445">
        <v>17.819500000000001</v>
      </c>
      <c r="AD1445">
        <v>-1.103323048607</v>
      </c>
      <c r="AE1445">
        <v>-4.3524999999999601</v>
      </c>
      <c r="AF1445">
        <v>2.9448520453093101</v>
      </c>
      <c r="AG1445">
        <v>-1.103323048607</v>
      </c>
      <c r="AH1445">
        <v>18.038436411173699</v>
      </c>
      <c r="AI1445">
        <v>93.4545231992156</v>
      </c>
      <c r="AJ1445">
        <v>80.728013272611904</v>
      </c>
      <c r="AK1445">
        <v>18.310506914837401</v>
      </c>
    </row>
    <row r="1446" spans="1:37" x14ac:dyDescent="0.2">
      <c r="A1446" t="str">
        <f>"20200111155525298"</f>
        <v>20200111155525298</v>
      </c>
      <c r="B1446" t="str">
        <f>"1578729325294183"</f>
        <v>1578729325294183</v>
      </c>
      <c r="C1446" t="s">
        <v>37</v>
      </c>
      <c r="D1446">
        <v>4.5253819999999996</v>
      </c>
      <c r="E1446">
        <v>0.59179059999999895</v>
      </c>
      <c r="F1446" t="s">
        <v>42</v>
      </c>
      <c r="G1446">
        <v>-203.57929999999999</v>
      </c>
      <c r="H1446" s="1">
        <v>-3.7968889999999999E-6</v>
      </c>
      <c r="I1446">
        <v>362.59469999999999</v>
      </c>
      <c r="J1446">
        <v>-221.9367</v>
      </c>
      <c r="K1446">
        <v>1.1032930000000001</v>
      </c>
      <c r="L1446">
        <v>367.29219999999998</v>
      </c>
      <c r="M1446">
        <v>0.99678770000000005</v>
      </c>
      <c r="N1446">
        <v>0</v>
      </c>
      <c r="O1446">
        <v>-7.8889340000000002E-2</v>
      </c>
      <c r="P1446">
        <v>0.99975559999999997</v>
      </c>
      <c r="Q1446">
        <v>9.8505899999999993E-3</v>
      </c>
      <c r="R1446">
        <v>-1.9793080000000001E-2</v>
      </c>
      <c r="S1446">
        <v>2.98890699999999</v>
      </c>
      <c r="T1446">
        <v>-0.1784837</v>
      </c>
      <c r="U1446">
        <v>-0.76162719999999995</v>
      </c>
      <c r="V1446">
        <v>-5.905063E-2</v>
      </c>
      <c r="W1446">
        <v>2.3882799999999999E-2</v>
      </c>
      <c r="X1446">
        <v>0.99796929999999995</v>
      </c>
      <c r="Y1446">
        <v>0.1695527</v>
      </c>
      <c r="Z1446">
        <v>-3.6029379999999998E-4</v>
      </c>
      <c r="AA1446">
        <v>0.98552109999999904</v>
      </c>
      <c r="AB1446">
        <v>24</v>
      </c>
      <c r="AC1446">
        <v>18.357399999999998</v>
      </c>
      <c r="AD1446">
        <v>-1.103296796889</v>
      </c>
      <c r="AE1446">
        <v>-4.69749999999999</v>
      </c>
      <c r="AF1446">
        <v>3.2235871687108499</v>
      </c>
      <c r="AG1446">
        <v>-1.103296796889</v>
      </c>
      <c r="AH1446">
        <v>18.607711398007101</v>
      </c>
      <c r="AI1446">
        <v>93.343547822457893</v>
      </c>
      <c r="AJ1446">
        <v>80.171665870615499</v>
      </c>
      <c r="AK1446">
        <v>18.9170743384866</v>
      </c>
    </row>
    <row r="1447" spans="1:37" x14ac:dyDescent="0.2">
      <c r="A1447" t="str">
        <f>"20200111155525309"</f>
        <v>20200111155525309</v>
      </c>
      <c r="B1447" t="str">
        <f>"1578729325303944"</f>
        <v>1578729325303944</v>
      </c>
      <c r="C1447" t="s">
        <v>37</v>
      </c>
      <c r="D1447">
        <v>4.5050499999999998</v>
      </c>
      <c r="E1447">
        <v>0.59405090000000005</v>
      </c>
      <c r="F1447" t="s">
        <v>42</v>
      </c>
      <c r="G1447">
        <v>-202.38220000000001</v>
      </c>
      <c r="H1447" s="1">
        <v>-3.296335E-6</v>
      </c>
      <c r="I1447">
        <v>362.13529999999997</v>
      </c>
      <c r="J1447">
        <v>-221.8158</v>
      </c>
      <c r="K1447">
        <v>1.1032660000000001</v>
      </c>
      <c r="L1447">
        <v>367.28129999999999</v>
      </c>
      <c r="M1447">
        <v>0.99668429999999997</v>
      </c>
      <c r="N1447">
        <v>0</v>
      </c>
      <c r="O1447">
        <v>-8.0184859999999997E-2</v>
      </c>
      <c r="P1447">
        <v>0.99971319999999997</v>
      </c>
      <c r="Q1447">
        <v>9.817582E-3</v>
      </c>
      <c r="R1447">
        <v>-2.185264E-2</v>
      </c>
      <c r="S1447">
        <v>2.9867859999999999</v>
      </c>
      <c r="T1447">
        <v>-0.16851949999999999</v>
      </c>
      <c r="U1447">
        <v>-0.78768919999999998</v>
      </c>
      <c r="V1447">
        <v>-5.8290689999999999E-2</v>
      </c>
      <c r="W1447">
        <v>2.3851339999999999E-2</v>
      </c>
      <c r="X1447">
        <v>0.99801469999999903</v>
      </c>
      <c r="Y1447">
        <v>0.17650060000000001</v>
      </c>
      <c r="Z1447">
        <v>-4.617283E-4</v>
      </c>
      <c r="AA1447">
        <v>0.98430039999999996</v>
      </c>
      <c r="AB1447">
        <v>24</v>
      </c>
      <c r="AC1447">
        <v>19.433599999999899</v>
      </c>
      <c r="AD1447">
        <v>-1.1032692963349999</v>
      </c>
      <c r="AE1447">
        <v>-5.1460000000000097</v>
      </c>
      <c r="AF1447">
        <v>3.5602747928715899</v>
      </c>
      <c r="AG1447">
        <v>-1.1032692963349999</v>
      </c>
      <c r="AH1447">
        <v>19.724277324143301</v>
      </c>
      <c r="AI1447">
        <v>93.150670134203693</v>
      </c>
      <c r="AJ1447">
        <v>79.768159647820795</v>
      </c>
      <c r="AK1447">
        <v>20.073362341688199</v>
      </c>
    </row>
    <row r="1448" spans="1:37" x14ac:dyDescent="0.2">
      <c r="A1448" t="str">
        <f>"20200111155525321"</f>
        <v>20200111155525321</v>
      </c>
      <c r="B1448" t="str">
        <f>"1578729325313704"</f>
        <v>1578729325313704</v>
      </c>
      <c r="C1448" t="s">
        <v>37</v>
      </c>
      <c r="D1448">
        <v>4.4776930000000004</v>
      </c>
      <c r="E1448">
        <v>0.59622559999999902</v>
      </c>
      <c r="F1448" t="s">
        <v>42</v>
      </c>
      <c r="G1448">
        <v>-201.2364</v>
      </c>
      <c r="H1448" s="1">
        <v>-2.8201579999999998E-6</v>
      </c>
      <c r="I1448">
        <v>361.68239999999997</v>
      </c>
      <c r="J1448">
        <v>-221.68809999999999</v>
      </c>
      <c r="K1448">
        <v>1.1032379999999999</v>
      </c>
      <c r="L1448">
        <v>367.26949999999999</v>
      </c>
      <c r="M1448">
        <v>0.99657220000000002</v>
      </c>
      <c r="N1448">
        <v>0</v>
      </c>
      <c r="O1448">
        <v>-8.1566710000000001E-2</v>
      </c>
      <c r="P1448">
        <v>0.99966169999999999</v>
      </c>
      <c r="Q1448">
        <v>9.8731440000000004E-3</v>
      </c>
      <c r="R1448">
        <v>-2.4073959999999998E-2</v>
      </c>
      <c r="S1448">
        <v>2.9846650000000001</v>
      </c>
      <c r="T1448">
        <v>-0.16000899999999901</v>
      </c>
      <c r="U1448">
        <v>-0.812011699999999</v>
      </c>
      <c r="V1448">
        <v>-5.7454940000000003E-2</v>
      </c>
      <c r="W1448">
        <v>2.3908550000000001E-2</v>
      </c>
      <c r="X1448">
        <v>0.9980618</v>
      </c>
      <c r="Y1448">
        <v>0.18279609999999999</v>
      </c>
      <c r="Z1448">
        <v>-5.3210089999999996E-4</v>
      </c>
      <c r="AA1448">
        <v>0.98315069999999904</v>
      </c>
      <c r="AB1448">
        <v>24</v>
      </c>
      <c r="AC1448">
        <v>20.451699999999899</v>
      </c>
      <c r="AD1448">
        <v>-1.103240820158</v>
      </c>
      <c r="AE1448">
        <v>-5.5871000000000199</v>
      </c>
      <c r="AF1448">
        <v>3.8896101574781898</v>
      </c>
      <c r="AG1448">
        <v>-1.103240820158</v>
      </c>
      <c r="AH1448">
        <v>20.7830272912772</v>
      </c>
      <c r="AI1448">
        <v>92.986859459371004</v>
      </c>
      <c r="AJ1448">
        <v>79.399541018163305</v>
      </c>
      <c r="AK1448">
        <v>21.172634008889801</v>
      </c>
    </row>
    <row r="1449" spans="1:37" x14ac:dyDescent="0.2">
      <c r="A1449" t="str">
        <f>"20200111155525333"</f>
        <v>20200111155525333</v>
      </c>
      <c r="B1449" t="str">
        <f>"1578729325323464"</f>
        <v>1578729325323464</v>
      </c>
      <c r="C1449" t="s">
        <v>37</v>
      </c>
      <c r="D1449">
        <v>4.4412039999999999</v>
      </c>
      <c r="E1449">
        <v>0.59827519999999901</v>
      </c>
      <c r="F1449" t="s">
        <v>42</v>
      </c>
      <c r="G1449">
        <v>-199.99789999999999</v>
      </c>
      <c r="H1449" s="1">
        <v>-1.013075E-5</v>
      </c>
      <c r="I1449">
        <v>361.19040000000001</v>
      </c>
      <c r="J1449">
        <v>-221.565</v>
      </c>
      <c r="K1449">
        <v>1.1032139999999999</v>
      </c>
      <c r="L1449">
        <v>367.25790000000001</v>
      </c>
      <c r="M1449">
        <v>0.99645949999999905</v>
      </c>
      <c r="N1449">
        <v>0</v>
      </c>
      <c r="O1449">
        <v>-8.2931270000000001E-2</v>
      </c>
      <c r="P1449">
        <v>0.9996138</v>
      </c>
      <c r="Q1449">
        <v>9.7766350000000005E-3</v>
      </c>
      <c r="R1449">
        <v>-2.6023540000000001E-2</v>
      </c>
      <c r="S1449">
        <v>2.9823909999999998</v>
      </c>
      <c r="T1449">
        <v>-0.15169639999999901</v>
      </c>
      <c r="U1449">
        <v>-0.83587649999999902</v>
      </c>
      <c r="V1449">
        <v>-5.6873960000000001E-2</v>
      </c>
      <c r="W1449">
        <v>2.381511E-2</v>
      </c>
      <c r="X1449">
        <v>0.99809729999999997</v>
      </c>
      <c r="Y1449">
        <v>0.18895329999999999</v>
      </c>
      <c r="Z1449">
        <v>-5.9068619999999995E-4</v>
      </c>
      <c r="AA1449">
        <v>0.98198589999999997</v>
      </c>
      <c r="AB1449">
        <v>24</v>
      </c>
      <c r="AC1449">
        <v>21.5671</v>
      </c>
      <c r="AD1449">
        <v>-1.1032241307499999</v>
      </c>
      <c r="AE1449">
        <v>-6.0674999999999901</v>
      </c>
      <c r="AF1449">
        <v>4.2475382568599596</v>
      </c>
      <c r="AG1449">
        <v>-1.1032241307499999</v>
      </c>
      <c r="AH1449">
        <v>21.9428210436689</v>
      </c>
      <c r="AI1449">
        <v>92.825879859244793</v>
      </c>
      <c r="AJ1449">
        <v>79.044576661041901</v>
      </c>
      <c r="AK1449">
        <v>22.377356414032398</v>
      </c>
    </row>
    <row r="1450" spans="1:37" x14ac:dyDescent="0.2">
      <c r="A1450" t="str">
        <f>"20200111155525345"</f>
        <v>20200111155525345</v>
      </c>
      <c r="B1450" t="str">
        <f>"1578729325343959"</f>
        <v>1578729325343959</v>
      </c>
      <c r="C1450" t="s">
        <v>37</v>
      </c>
      <c r="D1450">
        <v>4.4622609999999998</v>
      </c>
      <c r="E1450">
        <v>0.60206850000000001</v>
      </c>
      <c r="F1450" t="s">
        <v>42</v>
      </c>
      <c r="G1450">
        <v>-198.73650000000001</v>
      </c>
      <c r="H1450" s="1">
        <v>-9.7472099999999995E-6</v>
      </c>
      <c r="I1450">
        <v>360.6832</v>
      </c>
      <c r="J1450">
        <v>-221.43299999999999</v>
      </c>
      <c r="K1450">
        <v>1.103186</v>
      </c>
      <c r="L1450">
        <v>367.24529999999999</v>
      </c>
      <c r="M1450">
        <v>0.99633459999999996</v>
      </c>
      <c r="N1450">
        <v>0</v>
      </c>
      <c r="O1450">
        <v>-8.4417919999999994E-2</v>
      </c>
      <c r="P1450">
        <v>0.9995503</v>
      </c>
      <c r="Q1450">
        <v>9.7798050000000008E-3</v>
      </c>
      <c r="R1450">
        <v>-2.8349650000000001E-2</v>
      </c>
      <c r="S1450">
        <v>2.9802089999999999</v>
      </c>
      <c r="T1450">
        <v>-0.1440237</v>
      </c>
      <c r="U1450">
        <v>-0.85830689999999998</v>
      </c>
      <c r="V1450">
        <v>-5.6038199999999899E-2</v>
      </c>
      <c r="W1450">
        <v>2.3819880000000002E-2</v>
      </c>
      <c r="X1450">
        <v>0.99814439999999904</v>
      </c>
      <c r="Y1450">
        <v>0.19451860000000001</v>
      </c>
      <c r="Z1450">
        <v>-6.229063E-4</v>
      </c>
      <c r="AA1450">
        <v>0.98089859999999895</v>
      </c>
      <c r="AB1450">
        <v>24</v>
      </c>
      <c r="AC1450">
        <v>22.696499999999901</v>
      </c>
      <c r="AD1450">
        <v>-1.10319574721</v>
      </c>
      <c r="AE1450">
        <v>-6.5620999999999796</v>
      </c>
      <c r="AF1450">
        <v>4.6124407575052597</v>
      </c>
      <c r="AG1450">
        <v>-1.10319574721</v>
      </c>
      <c r="AH1450">
        <v>23.1190725324673</v>
      </c>
      <c r="AI1450">
        <v>92.679245213981403</v>
      </c>
      <c r="AJ1450">
        <v>78.717173410419406</v>
      </c>
      <c r="AK1450">
        <v>23.6004907864146</v>
      </c>
    </row>
    <row r="1451" spans="1:37" x14ac:dyDescent="0.2">
      <c r="A1451" t="str">
        <f>"20200111155525359"</f>
        <v>20200111155525359</v>
      </c>
      <c r="B1451" t="str">
        <f>"1578729325353720"</f>
        <v>1578729325353720</v>
      </c>
      <c r="C1451" t="s">
        <v>37</v>
      </c>
      <c r="D1451">
        <v>4.4668460000000003</v>
      </c>
      <c r="E1451">
        <v>0.60377879999999995</v>
      </c>
      <c r="F1451" t="s">
        <v>42</v>
      </c>
      <c r="G1451">
        <v>-196.05029999999999</v>
      </c>
      <c r="H1451" s="1">
        <v>-8.9728649999999993E-6</v>
      </c>
      <c r="I1451">
        <v>359.60419999999999</v>
      </c>
      <c r="J1451">
        <v>-221.2954</v>
      </c>
      <c r="K1451">
        <v>1.103156</v>
      </c>
      <c r="L1451">
        <v>367.2319</v>
      </c>
      <c r="M1451">
        <v>0.99620030000000004</v>
      </c>
      <c r="N1451">
        <v>0</v>
      </c>
      <c r="O1451">
        <v>-8.5987679999999997E-2</v>
      </c>
      <c r="P1451">
        <v>0.99947509999999995</v>
      </c>
      <c r="Q1451">
        <v>1.0020350000000001E-2</v>
      </c>
      <c r="R1451">
        <v>-3.081091E-2</v>
      </c>
      <c r="S1451">
        <v>2.9772029999999998</v>
      </c>
      <c r="T1451">
        <v>-0.129396699999999</v>
      </c>
      <c r="U1451">
        <v>-0.89624020000000004</v>
      </c>
      <c r="V1451">
        <v>-5.5150209999999998E-2</v>
      </c>
      <c r="W1451">
        <v>2.406204E-2</v>
      </c>
      <c r="X1451">
        <v>0.99818809999999902</v>
      </c>
      <c r="Y1451">
        <v>0.20474059999999999</v>
      </c>
      <c r="Z1451">
        <v>-7.1081819999999996E-4</v>
      </c>
      <c r="AA1451">
        <v>0.97881600000000002</v>
      </c>
      <c r="AB1451">
        <v>24</v>
      </c>
      <c r="AC1451">
        <v>25.245100000000001</v>
      </c>
      <c r="AD1451">
        <v>-1.1031649728649999</v>
      </c>
      <c r="AE1451">
        <v>-7.6276999999999999</v>
      </c>
      <c r="AF1451">
        <v>5.4189860283053797</v>
      </c>
      <c r="AG1451">
        <v>-1.1031649728649999</v>
      </c>
      <c r="AH1451">
        <v>25.7624513444872</v>
      </c>
      <c r="AI1451">
        <v>92.399500035011002</v>
      </c>
      <c r="AJ1451">
        <v>78.121325836282594</v>
      </c>
      <c r="AK1451">
        <v>26.3493127388437</v>
      </c>
    </row>
    <row r="1452" spans="1:37" x14ac:dyDescent="0.2">
      <c r="A1452" t="str">
        <f>"20200111155525372"</f>
        <v>20200111155525372</v>
      </c>
      <c r="B1452" t="str">
        <f>"1578729325363987"</f>
        <v>1578729325363987</v>
      </c>
      <c r="C1452" t="s">
        <v>37</v>
      </c>
      <c r="D1452">
        <v>4.5011019999999897</v>
      </c>
      <c r="E1452">
        <v>0.60543349999999996</v>
      </c>
      <c r="F1452" t="s">
        <v>42</v>
      </c>
      <c r="G1452">
        <v>-194.41050000000001</v>
      </c>
      <c r="H1452" s="1">
        <v>-5.75624299999999E-6</v>
      </c>
      <c r="I1452">
        <v>358.94349999999997</v>
      </c>
      <c r="J1452">
        <v>-221.15049999999999</v>
      </c>
      <c r="K1452">
        <v>1.103129</v>
      </c>
      <c r="L1452">
        <v>367.21749999999997</v>
      </c>
      <c r="M1452">
        <v>0.9960523</v>
      </c>
      <c r="N1452">
        <v>0</v>
      </c>
      <c r="O1452">
        <v>-8.7685479999999996E-2</v>
      </c>
      <c r="P1452">
        <v>0.99935030000000002</v>
      </c>
      <c r="Q1452">
        <v>1.087955E-2</v>
      </c>
      <c r="R1452">
        <v>-3.4362869999999997E-2</v>
      </c>
      <c r="S1452">
        <v>2.9745330000000001</v>
      </c>
      <c r="T1452">
        <v>-0.12205339999999899</v>
      </c>
      <c r="U1452">
        <v>-0.91702269999999897</v>
      </c>
      <c r="V1452">
        <v>-5.329652E-2</v>
      </c>
      <c r="W1452">
        <v>2.4918659999999999E-2</v>
      </c>
      <c r="X1452">
        <v>0.99826780000000004</v>
      </c>
      <c r="Y1452">
        <v>0.20957880000000001</v>
      </c>
      <c r="Z1452">
        <v>-7.002105E-4</v>
      </c>
      <c r="AA1452">
        <v>0.97779150000000004</v>
      </c>
      <c r="AB1452">
        <v>24</v>
      </c>
      <c r="AC1452">
        <v>26.739999999999899</v>
      </c>
      <c r="AD1452">
        <v>-1.1031347562430001</v>
      </c>
      <c r="AE1452">
        <v>-8.2739999999999991</v>
      </c>
      <c r="AF1452">
        <v>5.8880451441424499</v>
      </c>
      <c r="AG1452">
        <v>-1.1031347562430001</v>
      </c>
      <c r="AH1452">
        <v>27.320128959285299</v>
      </c>
      <c r="AI1452">
        <v>92.260393335547604</v>
      </c>
      <c r="AJ1452">
        <v>77.837623491924901</v>
      </c>
      <c r="AK1452">
        <v>27.969187121935899</v>
      </c>
    </row>
    <row r="1453" spans="1:37" x14ac:dyDescent="0.2">
      <c r="A1453" t="str">
        <f>"20200111155525386"</f>
        <v>20200111155525386</v>
      </c>
      <c r="B1453" t="str">
        <f>"1578729325373748"</f>
        <v>1578729325373748</v>
      </c>
      <c r="C1453" t="s">
        <v>37</v>
      </c>
      <c r="D1453">
        <v>4.4811180000000004</v>
      </c>
      <c r="E1453">
        <v>0.60702009999999995</v>
      </c>
      <c r="F1453" t="s">
        <v>42</v>
      </c>
      <c r="G1453">
        <v>-192.09129999999999</v>
      </c>
      <c r="H1453" s="1">
        <v>-5.0112419999999901E-6</v>
      </c>
      <c r="I1453">
        <v>358.01229999999998</v>
      </c>
      <c r="J1453">
        <v>-221.00659999999999</v>
      </c>
      <c r="K1453">
        <v>1.1031</v>
      </c>
      <c r="L1453">
        <v>367.2029</v>
      </c>
      <c r="M1453">
        <v>0.99590029999999996</v>
      </c>
      <c r="N1453">
        <v>0</v>
      </c>
      <c r="O1453">
        <v>-8.9394329999999994E-2</v>
      </c>
      <c r="P1453">
        <v>0.99924369999999996</v>
      </c>
      <c r="Q1453">
        <v>1.136448E-2</v>
      </c>
      <c r="R1453">
        <v>-3.7188779999999998E-2</v>
      </c>
      <c r="S1453">
        <v>2.97080999999999</v>
      </c>
      <c r="T1453">
        <v>-0.1127766</v>
      </c>
      <c r="U1453">
        <v>-0.94107059999999998</v>
      </c>
      <c r="V1453">
        <v>-5.218151E-2</v>
      </c>
      <c r="W1453">
        <v>2.540394E-2</v>
      </c>
      <c r="X1453">
        <v>0.99831440000000005</v>
      </c>
      <c r="Y1453">
        <v>0.21546309999999999</v>
      </c>
      <c r="Z1453">
        <v>-6.9361089999999998E-4</v>
      </c>
      <c r="AA1453">
        <v>0.97651180000000004</v>
      </c>
      <c r="AB1453">
        <v>24</v>
      </c>
      <c r="AC1453">
        <v>28.915299999999998</v>
      </c>
      <c r="AD1453">
        <v>-1.103105011242</v>
      </c>
      <c r="AE1453">
        <v>-9.1906000000000105</v>
      </c>
      <c r="AF1453">
        <v>6.5600142475134398</v>
      </c>
      <c r="AG1453">
        <v>-1.103105011242</v>
      </c>
      <c r="AH1453">
        <v>29.582073137755501</v>
      </c>
      <c r="AI1453">
        <v>92.084946794186195</v>
      </c>
      <c r="AJ1453">
        <v>77.496628085753599</v>
      </c>
      <c r="AK1453">
        <v>30.320779652260299</v>
      </c>
    </row>
    <row r="1454" spans="1:37" x14ac:dyDescent="0.2">
      <c r="A1454" t="str">
        <f>"20200111155525401"</f>
        <v>20200111155525401</v>
      </c>
      <c r="B1454" t="str">
        <f>"1578729325394244"</f>
        <v>1578729325394244</v>
      </c>
      <c r="C1454" t="s">
        <v>37</v>
      </c>
      <c r="D1454">
        <v>4.4791319999999999</v>
      </c>
      <c r="E1454">
        <v>0.60996229999999996</v>
      </c>
      <c r="F1454" t="s">
        <v>42</v>
      </c>
      <c r="G1454">
        <v>-189.73759999999999</v>
      </c>
      <c r="H1454" s="1">
        <v>-4.1216679999999998E-6</v>
      </c>
      <c r="I1454">
        <v>357.06540000000001</v>
      </c>
      <c r="J1454">
        <v>-220.8554</v>
      </c>
      <c r="K1454">
        <v>1.1030739999999899</v>
      </c>
      <c r="L1454">
        <v>367.18740000000003</v>
      </c>
      <c r="M1454">
        <v>0.99573529999999999</v>
      </c>
      <c r="N1454">
        <v>0</v>
      </c>
      <c r="O1454">
        <v>-9.121464E-2</v>
      </c>
      <c r="P1454">
        <v>0.99912089999999998</v>
      </c>
      <c r="Q1454">
        <v>1.178264E-2</v>
      </c>
      <c r="R1454">
        <v>-4.0235010000000002E-2</v>
      </c>
      <c r="S1454">
        <v>2.967651</v>
      </c>
      <c r="T1454">
        <v>-0.104692699999999</v>
      </c>
      <c r="U1454">
        <v>-0.96212770000000003</v>
      </c>
      <c r="V1454">
        <v>-5.0958469999999999E-2</v>
      </c>
      <c r="W1454">
        <v>2.5821980000000001E-2</v>
      </c>
      <c r="X1454">
        <v>0.99836689999999995</v>
      </c>
      <c r="Y1454">
        <v>0.2202672</v>
      </c>
      <c r="Z1454">
        <v>-6.6476199999999995E-4</v>
      </c>
      <c r="AA1454">
        <v>0.97543939999999996</v>
      </c>
      <c r="AB1454">
        <v>24</v>
      </c>
      <c r="AC1454">
        <v>31.117799999999999</v>
      </c>
      <c r="AD1454">
        <v>-1.1030781216679999</v>
      </c>
      <c r="AE1454">
        <v>-10.122</v>
      </c>
      <c r="AF1454">
        <v>7.2329065358003701</v>
      </c>
      <c r="AG1454">
        <v>-1.1030781216679999</v>
      </c>
      <c r="AH1454">
        <v>31.875194164475499</v>
      </c>
      <c r="AI1454">
        <v>91.932897229741997</v>
      </c>
      <c r="AJ1454">
        <v>77.215315866675198</v>
      </c>
      <c r="AK1454">
        <v>32.704123919180901</v>
      </c>
    </row>
    <row r="1455" spans="1:37" x14ac:dyDescent="0.2">
      <c r="A1455" t="str">
        <f>"20200111155525413"</f>
        <v>20200111155525413</v>
      </c>
      <c r="B1455" t="str">
        <f>"1578729325404003"</f>
        <v>1578729325404003</v>
      </c>
      <c r="C1455" t="s">
        <v>37</v>
      </c>
      <c r="D1455">
        <v>4.5482329999999997</v>
      </c>
      <c r="E1455">
        <v>0.61133890000000002</v>
      </c>
      <c r="F1455" t="s">
        <v>42</v>
      </c>
      <c r="G1455">
        <v>-185.0008</v>
      </c>
      <c r="H1455" s="1">
        <v>-3.8216939999999996E-6</v>
      </c>
      <c r="I1455">
        <v>355.1524</v>
      </c>
      <c r="J1455">
        <v>-220.7081</v>
      </c>
      <c r="K1455">
        <v>1.1030489999999999</v>
      </c>
      <c r="L1455">
        <v>367.17180000000002</v>
      </c>
      <c r="M1455">
        <v>0.99556769999999895</v>
      </c>
      <c r="N1455">
        <v>0</v>
      </c>
      <c r="O1455">
        <v>-9.3025730000000001E-2</v>
      </c>
      <c r="P1455">
        <v>0.99898869999999895</v>
      </c>
      <c r="Q1455">
        <v>1.243175E-2</v>
      </c>
      <c r="R1455">
        <v>-4.3209209999999998E-2</v>
      </c>
      <c r="S1455">
        <v>2.963654</v>
      </c>
      <c r="T1455">
        <v>-9.1177699999999903E-2</v>
      </c>
      <c r="U1455">
        <v>-0.99478149999999999</v>
      </c>
      <c r="V1455">
        <v>-4.9796479999999997E-2</v>
      </c>
      <c r="W1455">
        <v>2.6469779999999998E-2</v>
      </c>
      <c r="X1455">
        <v>0.99840859999999998</v>
      </c>
      <c r="Y1455">
        <v>0.22857659999999999</v>
      </c>
      <c r="Z1455">
        <v>-6.4981640000000003E-4</v>
      </c>
      <c r="AA1455">
        <v>0.97352569999999905</v>
      </c>
      <c r="AB1455">
        <v>24</v>
      </c>
      <c r="AC1455">
        <v>35.707299999999996</v>
      </c>
      <c r="AD1455">
        <v>-1.1030528216940001</v>
      </c>
      <c r="AE1455">
        <v>-12.019399999999999</v>
      </c>
      <c r="AF1455">
        <v>8.6378510938650006</v>
      </c>
      <c r="AG1455">
        <v>-1.1030528216940001</v>
      </c>
      <c r="AH1455">
        <v>36.639247430932897</v>
      </c>
      <c r="AI1455">
        <v>91.678427446254005</v>
      </c>
      <c r="AJ1455">
        <v>76.734512691164895</v>
      </c>
      <c r="AK1455">
        <v>37.659841334667803</v>
      </c>
    </row>
    <row r="1456" spans="1:37" x14ac:dyDescent="0.2">
      <c r="A1456" t="str">
        <f>"20200111155525430"</f>
        <v>20200111155525430</v>
      </c>
      <c r="B1456" t="str">
        <f>"1578729325423524"</f>
        <v>1578729325423524</v>
      </c>
      <c r="C1456" t="s">
        <v>37</v>
      </c>
      <c r="D1456">
        <v>4.4320399999999998</v>
      </c>
      <c r="E1456">
        <v>0.61390639999999996</v>
      </c>
      <c r="F1456" t="s">
        <v>42</v>
      </c>
      <c r="G1456">
        <v>-181.5343</v>
      </c>
      <c r="H1456" s="1">
        <v>-3.65177099999999E-6</v>
      </c>
      <c r="I1456">
        <v>353.74149999999997</v>
      </c>
      <c r="J1456">
        <v>-220.54130000000001</v>
      </c>
      <c r="K1456">
        <v>1.1030260000000001</v>
      </c>
      <c r="L1456">
        <v>367.15390000000002</v>
      </c>
      <c r="M1456">
        <v>0.99537089999999995</v>
      </c>
      <c r="N1456">
        <v>0</v>
      </c>
      <c r="O1456">
        <v>-9.5109109999999997E-2</v>
      </c>
      <c r="P1456">
        <v>0.99877629999999995</v>
      </c>
      <c r="Q1456">
        <v>1.3016049999999999E-2</v>
      </c>
      <c r="R1456">
        <v>-4.771512E-2</v>
      </c>
      <c r="S1456">
        <v>2.960175</v>
      </c>
      <c r="T1456">
        <v>-8.3352330000000002E-2</v>
      </c>
      <c r="U1456">
        <v>-1.0148619999999999</v>
      </c>
      <c r="V1456">
        <v>-4.7376649999999999E-2</v>
      </c>
      <c r="W1456">
        <v>2.704846E-2</v>
      </c>
      <c r="X1456">
        <v>0.99851080000000003</v>
      </c>
      <c r="Y1456">
        <v>0.23281250000000001</v>
      </c>
      <c r="Z1456">
        <v>-5.9586410000000002E-4</v>
      </c>
      <c r="AA1456">
        <v>0.97252150000000004</v>
      </c>
      <c r="AB1456">
        <v>24</v>
      </c>
      <c r="AC1456">
        <v>39.006999999999998</v>
      </c>
      <c r="AD1456">
        <v>-1.1030296517710001</v>
      </c>
      <c r="AE1456">
        <v>-13.4124</v>
      </c>
      <c r="AF1456">
        <v>9.63442309422914</v>
      </c>
      <c r="AG1456">
        <v>-1.1030296517710001</v>
      </c>
      <c r="AH1456">
        <v>40.077246327176702</v>
      </c>
      <c r="AI1456">
        <v>91.532881209591196</v>
      </c>
      <c r="AJ1456">
        <v>76.482797143995001</v>
      </c>
      <c r="AK1456">
        <v>41.233778094427699</v>
      </c>
    </row>
    <row r="1457" spans="1:37" x14ac:dyDescent="0.2">
      <c r="A1457" t="str">
        <f>"20200111155525444"</f>
        <v>20200111155525444</v>
      </c>
      <c r="B1457" t="str">
        <f>"1578729325434260"</f>
        <v>1578729325434260</v>
      </c>
      <c r="C1457" t="s">
        <v>37</v>
      </c>
      <c r="D1457">
        <v>4.4372309999999997</v>
      </c>
      <c r="E1457">
        <v>0.61510310000000001</v>
      </c>
      <c r="F1457" t="s">
        <v>42</v>
      </c>
      <c r="G1457">
        <v>-178.85120000000001</v>
      </c>
      <c r="H1457">
        <v>7.9987240000000001E-2</v>
      </c>
      <c r="I1457">
        <v>352.35939999999999</v>
      </c>
      <c r="J1457">
        <v>-220.38419999999999</v>
      </c>
      <c r="K1457">
        <v>1.1029990000000001</v>
      </c>
      <c r="L1457">
        <v>367.13659999999999</v>
      </c>
      <c r="M1457">
        <v>0.99517829999999996</v>
      </c>
      <c r="N1457">
        <v>0</v>
      </c>
      <c r="O1457">
        <v>-9.7102309999999997E-2</v>
      </c>
      <c r="P1457">
        <v>0.99862619999999902</v>
      </c>
      <c r="Q1457">
        <v>1.308139E-2</v>
      </c>
      <c r="R1457">
        <v>-5.0737320000000002E-2</v>
      </c>
      <c r="S1457">
        <v>2.9545140000000001</v>
      </c>
      <c r="T1457">
        <v>-7.2501060000000006E-2</v>
      </c>
      <c r="U1457">
        <v>-1.048462</v>
      </c>
      <c r="V1457">
        <v>-4.635239E-2</v>
      </c>
      <c r="W1457">
        <v>2.7112799999999999E-2</v>
      </c>
      <c r="X1457">
        <v>0.99855720000000003</v>
      </c>
      <c r="Y1457">
        <v>0.2412955</v>
      </c>
      <c r="Z1457">
        <v>-5.7267929999999998E-4</v>
      </c>
      <c r="AA1457">
        <v>0.97045149999999902</v>
      </c>
      <c r="AB1457">
        <v>24</v>
      </c>
      <c r="AC1457">
        <v>41.532999999999902</v>
      </c>
      <c r="AD1457">
        <v>-1.0230117599999999</v>
      </c>
      <c r="AE1457">
        <v>-14.777199999999899</v>
      </c>
      <c r="AF1457">
        <v>10.668274339684199</v>
      </c>
      <c r="AG1457">
        <v>-1.0230117599999999</v>
      </c>
      <c r="AH1457">
        <v>42.748710330426803</v>
      </c>
      <c r="AI1457">
        <v>91.330095724474305</v>
      </c>
      <c r="AJ1457">
        <v>75.987604542652306</v>
      </c>
      <c r="AK1457">
        <v>44.071656031542503</v>
      </c>
    </row>
    <row r="1458" spans="1:37" x14ac:dyDescent="0.2">
      <c r="A1458" t="str">
        <f>"20200111155525459"</f>
        <v>20200111155525459</v>
      </c>
      <c r="B1458" t="str">
        <f>"1578729325453779"</f>
        <v>1578729325453779</v>
      </c>
      <c r="C1458" t="s">
        <v>37</v>
      </c>
      <c r="D1458">
        <v>4.4664209999999898</v>
      </c>
      <c r="E1458">
        <v>0.617344</v>
      </c>
      <c r="F1458" t="s">
        <v>42</v>
      </c>
      <c r="G1458">
        <v>-176.0557</v>
      </c>
      <c r="H1458">
        <v>7.9986970000000004E-2</v>
      </c>
      <c r="I1458">
        <v>351.10489999999999</v>
      </c>
      <c r="J1458">
        <v>-220.23259999999999</v>
      </c>
      <c r="K1458">
        <v>1.1029739999999999</v>
      </c>
      <c r="L1458">
        <v>367.11970000000002</v>
      </c>
      <c r="M1458">
        <v>0.99498619999999904</v>
      </c>
      <c r="N1458">
        <v>0</v>
      </c>
      <c r="O1458">
        <v>-9.9053520000000006E-2</v>
      </c>
      <c r="P1458">
        <v>0.99845309999999898</v>
      </c>
      <c r="Q1458">
        <v>1.289472E-2</v>
      </c>
      <c r="R1458">
        <v>-5.4088589999999999E-2</v>
      </c>
      <c r="S1458">
        <v>2.9507750000000001</v>
      </c>
      <c r="T1458">
        <v>-6.8097829999999998E-2</v>
      </c>
      <c r="U1458">
        <v>-1.067169</v>
      </c>
      <c r="V1458">
        <v>-4.495793E-2</v>
      </c>
      <c r="W1458">
        <v>2.6923570000000001E-2</v>
      </c>
      <c r="X1458">
        <v>0.99862600000000001</v>
      </c>
      <c r="Y1458">
        <v>0.2452339</v>
      </c>
      <c r="Z1458">
        <v>-5.3907909999999996E-4</v>
      </c>
      <c r="AA1458">
        <v>0.96946379999999999</v>
      </c>
      <c r="AB1458">
        <v>24</v>
      </c>
      <c r="AC1458">
        <v>44.176899999999897</v>
      </c>
      <c r="AD1458">
        <v>-1.0229870299999999</v>
      </c>
      <c r="AE1458">
        <v>-16.014800000000001</v>
      </c>
      <c r="AF1458">
        <v>11.5542546884512</v>
      </c>
      <c r="AG1458">
        <v>-1.0229870299999999</v>
      </c>
      <c r="AH1458">
        <v>45.524498825665802</v>
      </c>
      <c r="AI1458">
        <v>91.247737520870103</v>
      </c>
      <c r="AJ1458">
        <v>75.758861933784303</v>
      </c>
      <c r="AK1458">
        <v>46.979009112551502</v>
      </c>
    </row>
    <row r="1459" spans="1:37" x14ac:dyDescent="0.2">
      <c r="A1459" t="str">
        <f>"20200111155525471"</f>
        <v>20200111155525471</v>
      </c>
      <c r="B1459" t="str">
        <f>"1578729325463539"</f>
        <v>1578729325463539</v>
      </c>
      <c r="C1459" t="s">
        <v>37</v>
      </c>
      <c r="D1459">
        <v>4.463762</v>
      </c>
      <c r="E1459">
        <v>0.61838499999999996</v>
      </c>
      <c r="F1459" t="s">
        <v>39</v>
      </c>
      <c r="G1459">
        <v>-164.23609999999999</v>
      </c>
      <c r="H1459">
        <v>-0.05</v>
      </c>
      <c r="I1459">
        <v>346.3066</v>
      </c>
      <c r="J1459">
        <v>-220.10210000000001</v>
      </c>
      <c r="K1459">
        <v>1.1029519999999999</v>
      </c>
      <c r="L1459">
        <v>367.10480000000001</v>
      </c>
      <c r="M1459">
        <v>0.99481419999999998</v>
      </c>
      <c r="N1459">
        <v>0</v>
      </c>
      <c r="O1459">
        <v>-0.100764399999999</v>
      </c>
      <c r="P1459">
        <v>0.998245099999999</v>
      </c>
      <c r="Q1459">
        <v>1.226211E-2</v>
      </c>
      <c r="R1459">
        <v>-5.7935069999999998E-2</v>
      </c>
      <c r="S1459">
        <v>2.94612099999999</v>
      </c>
      <c r="T1459">
        <v>-6.066096E-2</v>
      </c>
      <c r="U1459">
        <v>-1.095032</v>
      </c>
      <c r="V1459">
        <v>-4.2829550000000001E-2</v>
      </c>
      <c r="W1459">
        <v>2.6285309999999999E-2</v>
      </c>
      <c r="X1459">
        <v>0.99873659999999997</v>
      </c>
      <c r="Y1459">
        <v>0.25213679999999999</v>
      </c>
      <c r="Z1459">
        <v>-5.1549759999999995E-4</v>
      </c>
      <c r="AA1459">
        <v>0.96769150000000004</v>
      </c>
      <c r="AB1459">
        <v>24</v>
      </c>
      <c r="AC1459">
        <v>55.866</v>
      </c>
      <c r="AD1459">
        <v>-1.152952</v>
      </c>
      <c r="AE1459">
        <v>-20.798200000000001</v>
      </c>
      <c r="AF1459">
        <v>15.056848722932401</v>
      </c>
      <c r="AG1459">
        <v>-1.152952</v>
      </c>
      <c r="AH1459">
        <v>57.655956155182203</v>
      </c>
      <c r="AI1459">
        <v>91.108432764904805</v>
      </c>
      <c r="AJ1459">
        <v>75.364087029548102</v>
      </c>
      <c r="AK1459">
        <v>59.600732142716801</v>
      </c>
    </row>
    <row r="1460" spans="1:37" x14ac:dyDescent="0.2">
      <c r="A1460" t="str">
        <f>"20200111155525485"</f>
        <v>20200111155525485</v>
      </c>
      <c r="B1460" t="str">
        <f>"1578729325474276"</f>
        <v>1578729325474276</v>
      </c>
      <c r="C1460" t="s">
        <v>37</v>
      </c>
      <c r="D1460">
        <v>4.4918620000000002</v>
      </c>
      <c r="E1460">
        <v>0.61936859999999905</v>
      </c>
      <c r="F1460" t="s">
        <v>39</v>
      </c>
      <c r="G1460">
        <v>-162.8518</v>
      </c>
      <c r="H1460">
        <v>-0.05</v>
      </c>
      <c r="I1460">
        <v>345.40629999999999</v>
      </c>
      <c r="J1460">
        <v>-219.96430000000001</v>
      </c>
      <c r="K1460">
        <v>1.1029279999999999</v>
      </c>
      <c r="L1460">
        <v>367.08870000000002</v>
      </c>
      <c r="M1460">
        <v>0.99462779999999995</v>
      </c>
      <c r="N1460">
        <v>0</v>
      </c>
      <c r="O1460">
        <v>-0.1025891</v>
      </c>
      <c r="P1460">
        <v>0.99807800000000002</v>
      </c>
      <c r="Q1460">
        <v>1.21441E-2</v>
      </c>
      <c r="R1460">
        <v>-6.0770869999999998E-2</v>
      </c>
      <c r="S1460">
        <v>2.941284</v>
      </c>
      <c r="T1460">
        <v>-5.9233899999999999E-2</v>
      </c>
      <c r="U1460">
        <v>-1.1147769999999999</v>
      </c>
      <c r="V1460">
        <v>-4.1823390000000002E-2</v>
      </c>
      <c r="W1460">
        <v>2.616566E-2</v>
      </c>
      <c r="X1460">
        <v>0.99878230000000001</v>
      </c>
      <c r="Y1460">
        <v>0.25657219999999997</v>
      </c>
      <c r="Z1460">
        <v>-5.1184530000000002E-4</v>
      </c>
      <c r="AA1460">
        <v>0.96652490000000002</v>
      </c>
      <c r="AB1460">
        <v>24</v>
      </c>
      <c r="AC1460">
        <v>57.112499999999997</v>
      </c>
      <c r="AD1460">
        <v>-1.152928</v>
      </c>
      <c r="AE1460">
        <v>-21.682400000000001</v>
      </c>
      <c r="AF1460">
        <v>15.7027052211397</v>
      </c>
      <c r="AG1460">
        <v>-1.152928</v>
      </c>
      <c r="AH1460">
        <v>59.014677059763002</v>
      </c>
      <c r="AI1460">
        <v>91.081581266665097</v>
      </c>
      <c r="AJ1460">
        <v>75.099896835369094</v>
      </c>
      <c r="AK1460">
        <v>61.078935016119203</v>
      </c>
    </row>
    <row r="1461" spans="1:37" x14ac:dyDescent="0.2">
      <c r="A1461" t="str">
        <f>"20200111155525497"</f>
        <v>20200111155525497</v>
      </c>
      <c r="B1461" t="str">
        <f>"1578729325493796"</f>
        <v>1578729325493796</v>
      </c>
      <c r="C1461" t="s">
        <v>37</v>
      </c>
      <c r="D1461">
        <v>4.4436220000000004</v>
      </c>
      <c r="E1461">
        <v>0.62124230000000003</v>
      </c>
      <c r="F1461" t="s">
        <v>39</v>
      </c>
      <c r="G1461">
        <v>-159.86869999999999</v>
      </c>
      <c r="H1461">
        <v>-0.05</v>
      </c>
      <c r="I1461">
        <v>343.95179999999999</v>
      </c>
      <c r="J1461">
        <v>-219.83250000000001</v>
      </c>
      <c r="K1461">
        <v>1.1029089999999999</v>
      </c>
      <c r="L1461">
        <v>367.07330000000002</v>
      </c>
      <c r="M1461">
        <v>0.99444449999999995</v>
      </c>
      <c r="N1461">
        <v>0</v>
      </c>
      <c r="O1461">
        <v>-0.1043497</v>
      </c>
      <c r="P1461">
        <v>0.99792009999999898</v>
      </c>
      <c r="Q1461">
        <v>1.1683850000000001E-2</v>
      </c>
      <c r="R1461">
        <v>-6.3397930000000005E-2</v>
      </c>
      <c r="S1461">
        <v>2.937592</v>
      </c>
      <c r="T1461">
        <v>-5.6357379999999999E-2</v>
      </c>
      <c r="U1461">
        <v>-1.130981</v>
      </c>
      <c r="V1461">
        <v>-4.0963739999999998E-2</v>
      </c>
      <c r="W1461">
        <v>2.570424E-2</v>
      </c>
      <c r="X1461">
        <v>0.998829999999999</v>
      </c>
      <c r="Y1461">
        <v>0.25991649999999999</v>
      </c>
      <c r="Z1461">
        <v>-4.8603010000000001E-4</v>
      </c>
      <c r="AA1461">
        <v>0.96563089999999996</v>
      </c>
      <c r="AB1461">
        <v>23</v>
      </c>
      <c r="AC1461">
        <v>59.963799999999999</v>
      </c>
      <c r="AD1461">
        <v>-1.152909</v>
      </c>
      <c r="AE1461">
        <v>-23.121500000000001</v>
      </c>
      <c r="AF1461">
        <v>16.732060076945</v>
      </c>
      <c r="AG1461">
        <v>-1.152909</v>
      </c>
      <c r="AH1461">
        <v>62.029365003067099</v>
      </c>
      <c r="AI1461">
        <v>91.0280684705467</v>
      </c>
      <c r="AJ1461">
        <v>74.904087345894197</v>
      </c>
      <c r="AK1461">
        <v>64.256775177910299</v>
      </c>
    </row>
    <row r="1462" spans="1:37" x14ac:dyDescent="0.2">
      <c r="A1462" t="str">
        <f>"20200111155525508"</f>
        <v>20200111155525508</v>
      </c>
      <c r="B1462" t="str">
        <f>"1578729325503556"</f>
        <v>1578729325503556</v>
      </c>
      <c r="C1462" t="s">
        <v>37</v>
      </c>
      <c r="D1462">
        <v>4.4676260000000001</v>
      </c>
      <c r="E1462">
        <v>0.622116</v>
      </c>
      <c r="F1462" t="s">
        <v>43</v>
      </c>
      <c r="G1462">
        <v>-156.55029999999999</v>
      </c>
      <c r="H1462">
        <v>2.4052560000000001E-3</v>
      </c>
      <c r="I1462">
        <v>342.19</v>
      </c>
      <c r="J1462">
        <v>-219.72069999999999</v>
      </c>
      <c r="K1462">
        <v>1.102889</v>
      </c>
      <c r="L1462">
        <v>367.0598</v>
      </c>
      <c r="M1462">
        <v>0.99428379999999905</v>
      </c>
      <c r="N1462">
        <v>0</v>
      </c>
      <c r="O1462">
        <v>-0.1058703</v>
      </c>
      <c r="P1462">
        <v>0.99776919999999902</v>
      </c>
      <c r="Q1462">
        <v>1.1542820000000001E-2</v>
      </c>
      <c r="R1462">
        <v>-6.5755069999999999E-2</v>
      </c>
      <c r="S1462">
        <v>2.933548</v>
      </c>
      <c r="T1462">
        <v>-5.1015379999999999E-2</v>
      </c>
      <c r="U1462">
        <v>-1.1535029999999999</v>
      </c>
      <c r="V1462">
        <v>-4.013133E-2</v>
      </c>
      <c r="W1462">
        <v>2.5562189999999999E-2</v>
      </c>
      <c r="X1462">
        <v>0.99886739999999996</v>
      </c>
      <c r="Y1462">
        <v>0.26532339999999999</v>
      </c>
      <c r="Z1462">
        <v>-4.6029010000000001E-4</v>
      </c>
      <c r="AA1462">
        <v>0.9641594</v>
      </c>
      <c r="AB1462">
        <v>23</v>
      </c>
      <c r="AC1462">
        <v>63.170400000000001</v>
      </c>
      <c r="AD1462">
        <v>-1.1004837439999999</v>
      </c>
      <c r="AE1462">
        <v>-24.869800000000001</v>
      </c>
      <c r="AF1462">
        <v>18.0367555957673</v>
      </c>
      <c r="AG1462">
        <v>-1.1004837439999999</v>
      </c>
      <c r="AH1462">
        <v>65.431343109873794</v>
      </c>
      <c r="AI1462">
        <v>90.928920731153099</v>
      </c>
      <c r="AJ1462">
        <v>74.588637609312599</v>
      </c>
      <c r="AK1462">
        <v>67.8807504234763</v>
      </c>
    </row>
    <row r="1463" spans="1:37" x14ac:dyDescent="0.2">
      <c r="A1463" t="str">
        <f>"20200111155525521"</f>
        <v>20200111155525521</v>
      </c>
      <c r="B1463" t="str">
        <f>"1578729325513315"</f>
        <v>1578729325513315</v>
      </c>
      <c r="C1463" t="s">
        <v>37</v>
      </c>
      <c r="D1463">
        <v>4.4734439999999998</v>
      </c>
      <c r="E1463">
        <v>0.62290639999999997</v>
      </c>
      <c r="F1463" t="s">
        <v>43</v>
      </c>
      <c r="G1463">
        <v>-157.31659999999999</v>
      </c>
      <c r="H1463">
        <v>6.4339250000000001E-2</v>
      </c>
      <c r="I1463">
        <v>342.19</v>
      </c>
      <c r="J1463">
        <v>-219.59039999999999</v>
      </c>
      <c r="K1463">
        <v>1.102867</v>
      </c>
      <c r="L1463">
        <v>367.04399999999998</v>
      </c>
      <c r="M1463">
        <v>0.99409239999999999</v>
      </c>
      <c r="N1463">
        <v>0</v>
      </c>
      <c r="O1463">
        <v>-0.1076526</v>
      </c>
      <c r="P1463">
        <v>0.99758880000000005</v>
      </c>
      <c r="Q1463">
        <v>1.099997E-2</v>
      </c>
      <c r="R1463">
        <v>-6.8526829999999997E-2</v>
      </c>
      <c r="S1463">
        <v>2.9303279999999998</v>
      </c>
      <c r="T1463">
        <v>-4.8767209999999998E-2</v>
      </c>
      <c r="U1463">
        <v>-1.167816</v>
      </c>
      <c r="V1463">
        <v>-3.9148769999999999E-2</v>
      </c>
      <c r="W1463">
        <v>2.5017339999999999E-2</v>
      </c>
      <c r="X1463">
        <v>0.99892009999999898</v>
      </c>
      <c r="Y1463">
        <v>0.26802709999999902</v>
      </c>
      <c r="Z1463">
        <v>-4.3369169999999898E-4</v>
      </c>
      <c r="AA1463">
        <v>0.96341129999999997</v>
      </c>
      <c r="AB1463">
        <v>23</v>
      </c>
      <c r="AC1463">
        <v>62.273800000000001</v>
      </c>
      <c r="AD1463">
        <v>-1.0385277500000001</v>
      </c>
      <c r="AE1463">
        <v>-24.853999999999999</v>
      </c>
      <c r="AF1463">
        <v>18.0006391521474</v>
      </c>
      <c r="AG1463">
        <v>-1.0385277500000001</v>
      </c>
      <c r="AH1463">
        <v>64.5721934640857</v>
      </c>
      <c r="AI1463">
        <v>90.887583492254095</v>
      </c>
      <c r="AJ1463">
        <v>74.423249237443997</v>
      </c>
      <c r="AK1463">
        <v>67.042297980727497</v>
      </c>
    </row>
    <row r="1464" spans="1:37" x14ac:dyDescent="0.2">
      <c r="A1464" t="str">
        <f>"20200111155525531"</f>
        <v>20200111155525531</v>
      </c>
      <c r="B1464" t="str">
        <f>"1578729325524051"</f>
        <v>1578729325524051</v>
      </c>
      <c r="C1464" t="s">
        <v>37</v>
      </c>
      <c r="D1464">
        <v>4.4565529999999898</v>
      </c>
      <c r="E1464">
        <v>0.62373919999999905</v>
      </c>
      <c r="F1464" t="s">
        <v>43</v>
      </c>
      <c r="G1464">
        <v>-158.05760000000001</v>
      </c>
      <c r="H1464">
        <v>9.1963859999999994E-2</v>
      </c>
      <c r="I1464">
        <v>342.19</v>
      </c>
      <c r="J1464">
        <v>-219.4684</v>
      </c>
      <c r="K1464">
        <v>1.1028439999999999</v>
      </c>
      <c r="L1464">
        <v>367.02890000000002</v>
      </c>
      <c r="M1464">
        <v>0.99390699999999998</v>
      </c>
      <c r="N1464">
        <v>0</v>
      </c>
      <c r="O1464">
        <v>-0.10935019999999999</v>
      </c>
      <c r="P1464">
        <v>0.99741919999999995</v>
      </c>
      <c r="Q1464">
        <v>1.065206E-2</v>
      </c>
      <c r="R1464">
        <v>-7.1005810000000003E-2</v>
      </c>
      <c r="S1464">
        <v>2.9266049999999999</v>
      </c>
      <c r="T1464">
        <v>-4.807997E-2</v>
      </c>
      <c r="U1464">
        <v>-1.1820979999999901</v>
      </c>
      <c r="V1464">
        <v>-3.8372690000000001E-2</v>
      </c>
      <c r="W1464">
        <v>2.46684E-2</v>
      </c>
      <c r="X1464">
        <v>0.99895889999999998</v>
      </c>
      <c r="Y1464">
        <v>0.27085130000000002</v>
      </c>
      <c r="Z1464">
        <v>-4.2370150000000002E-4</v>
      </c>
      <c r="AA1464">
        <v>0.96262109999999901</v>
      </c>
      <c r="AB1464">
        <v>23</v>
      </c>
      <c r="AC1464">
        <v>61.410800000000002</v>
      </c>
      <c r="AD1464">
        <v>-1.01088014</v>
      </c>
      <c r="AE1464">
        <v>-24.838899999999999</v>
      </c>
      <c r="AF1464">
        <v>17.969809026799201</v>
      </c>
      <c r="AG1464">
        <v>-1.01088014</v>
      </c>
      <c r="AH1464">
        <v>63.744021129343402</v>
      </c>
      <c r="AI1464">
        <v>90.874467457068903</v>
      </c>
      <c r="AJ1464">
        <v>74.256548092707007</v>
      </c>
      <c r="AK1464">
        <v>66.236214753375293</v>
      </c>
    </row>
    <row r="1465" spans="1:37" x14ac:dyDescent="0.2">
      <c r="A1465" t="str">
        <f>"20200111155525543"</f>
        <v>20200111155525543</v>
      </c>
      <c r="B1465" t="str">
        <f>"1578729325533811"</f>
        <v>1578729325533811</v>
      </c>
      <c r="C1465" t="s">
        <v>37</v>
      </c>
      <c r="D1465">
        <v>4.4763979999999997</v>
      </c>
      <c r="E1465">
        <v>0.62449659999999996</v>
      </c>
      <c r="F1465" t="s">
        <v>43</v>
      </c>
      <c r="G1465">
        <v>-158.75960000000001</v>
      </c>
      <c r="H1465">
        <v>0.13695679999999999</v>
      </c>
      <c r="I1465">
        <v>342.19</v>
      </c>
      <c r="J1465">
        <v>-219.35599999999999</v>
      </c>
      <c r="K1465">
        <v>1.102819</v>
      </c>
      <c r="L1465">
        <v>367.0147</v>
      </c>
      <c r="M1465">
        <v>0.99373210000000001</v>
      </c>
      <c r="N1465">
        <v>0</v>
      </c>
      <c r="O1465">
        <v>-0.11092870000000001</v>
      </c>
      <c r="P1465">
        <v>0.99725649999999999</v>
      </c>
      <c r="Q1465">
        <v>1.066253E-2</v>
      </c>
      <c r="R1465">
        <v>-7.3252659999999997E-2</v>
      </c>
      <c r="S1465">
        <v>2.923111</v>
      </c>
      <c r="T1465">
        <v>-4.650688E-2</v>
      </c>
      <c r="U1465">
        <v>-1.1959839999999999</v>
      </c>
      <c r="V1465">
        <v>-3.7707690000000002E-2</v>
      </c>
      <c r="W1465">
        <v>2.4677939999999999E-2</v>
      </c>
      <c r="X1465">
        <v>0.99898399999999998</v>
      </c>
      <c r="Y1465">
        <v>0.27364529999999998</v>
      </c>
      <c r="Z1465">
        <v>-4.076366E-4</v>
      </c>
      <c r="AA1465">
        <v>0.96183059999999998</v>
      </c>
      <c r="AB1465">
        <v>23</v>
      </c>
      <c r="AC1465">
        <v>60.596399999999903</v>
      </c>
      <c r="AD1465">
        <v>-0.9658622</v>
      </c>
      <c r="AE1465">
        <v>-24.8247</v>
      </c>
      <c r="AF1465">
        <v>17.9450346979398</v>
      </c>
      <c r="AG1465">
        <v>-0.9658622</v>
      </c>
      <c r="AH1465">
        <v>62.962687218948297</v>
      </c>
      <c r="AI1465">
        <v>90.845208366527103</v>
      </c>
      <c r="AJ1465">
        <v>74.091885152077097</v>
      </c>
      <c r="AK1465">
        <v>65.477149769448303</v>
      </c>
    </row>
    <row r="1466" spans="1:37" x14ac:dyDescent="0.2">
      <c r="A1466" t="str">
        <f>"20200111155525555"</f>
        <v>20200111155525555</v>
      </c>
      <c r="B1466" t="str">
        <f>"1578729325543572"</f>
        <v>1578729325543572</v>
      </c>
      <c r="C1466" t="s">
        <v>37</v>
      </c>
      <c r="D1466">
        <v>4.5967010000000004</v>
      </c>
      <c r="E1466">
        <v>0.62529729999999994</v>
      </c>
      <c r="F1466" t="s">
        <v>43</v>
      </c>
      <c r="G1466">
        <v>-160.4734</v>
      </c>
      <c r="H1466">
        <v>0.2069927</v>
      </c>
      <c r="I1466">
        <v>342.64389999999997</v>
      </c>
      <c r="J1466">
        <v>-219.22329999999999</v>
      </c>
      <c r="K1466">
        <v>1.1027940000000001</v>
      </c>
      <c r="L1466">
        <v>366.99790000000002</v>
      </c>
      <c r="M1466">
        <v>0.99352009999999902</v>
      </c>
      <c r="N1466">
        <v>0</v>
      </c>
      <c r="O1466">
        <v>-0.11281140000000001</v>
      </c>
      <c r="P1466">
        <v>0.99706410000000001</v>
      </c>
      <c r="Q1466">
        <v>1.0389219999999999E-2</v>
      </c>
      <c r="R1466">
        <v>-7.5862750000000007E-2</v>
      </c>
      <c r="S1466">
        <v>2.919937</v>
      </c>
      <c r="T1466">
        <v>-4.4422980000000001E-2</v>
      </c>
      <c r="U1466">
        <v>-1.2085269999999999</v>
      </c>
      <c r="V1466">
        <v>-3.698531E-2</v>
      </c>
      <c r="W1466">
        <v>2.4404309999999999E-2</v>
      </c>
      <c r="X1466">
        <v>0.99901779999999996</v>
      </c>
      <c r="Y1466">
        <v>0.27572279999999999</v>
      </c>
      <c r="Z1466">
        <v>-3.776486E-4</v>
      </c>
      <c r="AA1466">
        <v>0.96123709999999996</v>
      </c>
      <c r="AB1466">
        <v>23</v>
      </c>
      <c r="AC1466">
        <v>58.749899999999997</v>
      </c>
      <c r="AD1466">
        <v>-0.89580130000000002</v>
      </c>
      <c r="AE1466">
        <v>-24.353999999999999</v>
      </c>
      <c r="AF1466">
        <v>17.566726357756998</v>
      </c>
      <c r="AG1466">
        <v>-0.89580130000000002</v>
      </c>
      <c r="AH1466">
        <v>61.110340766846299</v>
      </c>
      <c r="AI1466">
        <v>90.807142661908102</v>
      </c>
      <c r="AJ1466">
        <v>73.962218781263303</v>
      </c>
      <c r="AK1466">
        <v>63.591399446288897</v>
      </c>
    </row>
    <row r="1467" spans="1:37" x14ac:dyDescent="0.2">
      <c r="A1467" t="str">
        <f>"20200111155525567"</f>
        <v>20200111155525567</v>
      </c>
      <c r="B1467" t="str">
        <f>"1578729325564068"</f>
        <v>1578729325564068</v>
      </c>
      <c r="C1467" t="s">
        <v>37</v>
      </c>
      <c r="D1467">
        <v>4.4287879999999999</v>
      </c>
      <c r="E1467">
        <v>0.6266929</v>
      </c>
      <c r="F1467" t="s">
        <v>43</v>
      </c>
      <c r="G1467">
        <v>-161.126</v>
      </c>
      <c r="H1467">
        <v>0.24470049999999999</v>
      </c>
      <c r="I1467">
        <v>342.64389999999997</v>
      </c>
      <c r="J1467">
        <v>-219.1003</v>
      </c>
      <c r="K1467">
        <v>1.1027719999999901</v>
      </c>
      <c r="L1467">
        <v>366.9819</v>
      </c>
      <c r="M1467">
        <v>0.99331700000000001</v>
      </c>
      <c r="N1467">
        <v>0</v>
      </c>
      <c r="O1467">
        <v>-0.11458550000000001</v>
      </c>
      <c r="P1467">
        <v>0.99688580000000004</v>
      </c>
      <c r="Q1467">
        <v>1.0199339999999999E-2</v>
      </c>
      <c r="R1467">
        <v>-7.8194479999999997E-2</v>
      </c>
      <c r="S1467">
        <v>2.9162599999999999</v>
      </c>
      <c r="T1467">
        <v>-4.3072699999999998E-2</v>
      </c>
      <c r="U1467">
        <v>-1.2224729999999999</v>
      </c>
      <c r="V1467">
        <v>-3.6432880000000001E-2</v>
      </c>
      <c r="W1467">
        <v>2.4215070000000002E-2</v>
      </c>
      <c r="X1467">
        <v>0.99904269999999995</v>
      </c>
      <c r="Y1467">
        <v>0.27835070000000001</v>
      </c>
      <c r="Z1467">
        <v>-3.6025869999999999E-4</v>
      </c>
      <c r="AA1467">
        <v>0.96047939999999998</v>
      </c>
      <c r="AB1467">
        <v>23</v>
      </c>
      <c r="AC1467">
        <v>57.974299999999999</v>
      </c>
      <c r="AD1467">
        <v>-0.85807149999999899</v>
      </c>
      <c r="AE1467">
        <v>-24.338000000000001</v>
      </c>
      <c r="AF1467">
        <v>17.5307489757813</v>
      </c>
      <c r="AG1467">
        <v>-0.85807149999999899</v>
      </c>
      <c r="AH1467">
        <v>60.3701779252252</v>
      </c>
      <c r="AI1467">
        <v>90.782018382186195</v>
      </c>
      <c r="AJ1467">
        <v>73.807359898645103</v>
      </c>
      <c r="AK1467">
        <v>62.869880142038802</v>
      </c>
    </row>
    <row r="1468" spans="1:37" x14ac:dyDescent="0.2">
      <c r="A1468" t="str">
        <f>"20200111155525580"</f>
        <v>20200111155525580</v>
      </c>
      <c r="B1468" t="str">
        <f>"1578729325573828"</f>
        <v>1578729325573828</v>
      </c>
      <c r="C1468" t="s">
        <v>37</v>
      </c>
      <c r="D1468">
        <v>4.431673</v>
      </c>
      <c r="E1468">
        <v>0.62741259999999999</v>
      </c>
      <c r="F1468" t="s">
        <v>43</v>
      </c>
      <c r="G1468">
        <v>-161.96680000000001</v>
      </c>
      <c r="H1468">
        <v>0.3325244</v>
      </c>
      <c r="I1468">
        <v>342.64389999999997</v>
      </c>
      <c r="J1468">
        <v>-218.9665</v>
      </c>
      <c r="K1468">
        <v>1.102749</v>
      </c>
      <c r="L1468">
        <v>366.96429999999998</v>
      </c>
      <c r="M1468">
        <v>0.99309069999999899</v>
      </c>
      <c r="N1468">
        <v>0</v>
      </c>
      <c r="O1468">
        <v>-0.1165305</v>
      </c>
      <c r="P1468">
        <v>0.99668630000000003</v>
      </c>
      <c r="Q1468">
        <v>1.0378760000000001E-2</v>
      </c>
      <c r="R1468">
        <v>-8.0676670000000006E-2</v>
      </c>
      <c r="S1468">
        <v>2.9124599999999998</v>
      </c>
      <c r="T1468">
        <v>-3.9264199999999999E-2</v>
      </c>
      <c r="U1468">
        <v>-1.2406619999999999</v>
      </c>
      <c r="V1468">
        <v>-3.5898699999999999E-2</v>
      </c>
      <c r="W1468">
        <v>2.43942999999999E-2</v>
      </c>
      <c r="X1468">
        <v>0.99905769999999905</v>
      </c>
      <c r="Y1468">
        <v>0.28200530000000001</v>
      </c>
      <c r="Z1468">
        <v>-3.2744000000000002E-4</v>
      </c>
      <c r="AA1468">
        <v>0.95941279999999995</v>
      </c>
      <c r="AB1468">
        <v>23</v>
      </c>
      <c r="AC1468">
        <v>56.999699999999898</v>
      </c>
      <c r="AD1468">
        <v>-0.77022459999999904</v>
      </c>
      <c r="AE1468">
        <v>-24.320399999999999</v>
      </c>
      <c r="AF1468">
        <v>17.509131704113202</v>
      </c>
      <c r="AG1468">
        <v>-0.77022459999999904</v>
      </c>
      <c r="AH1468">
        <v>59.436451325883802</v>
      </c>
      <c r="AI1468">
        <v>90.7121866140035</v>
      </c>
      <c r="AJ1468">
        <v>73.585777748010003</v>
      </c>
      <c r="AK1468">
        <v>61.966561024318501</v>
      </c>
    </row>
    <row r="1469" spans="1:37" x14ac:dyDescent="0.2">
      <c r="A1469" t="str">
        <f>"20200111155525594"</f>
        <v>20200111155525594</v>
      </c>
      <c r="B1469" t="str">
        <f>"1578729325583588"</f>
        <v>1578729325583588</v>
      </c>
      <c r="C1469" t="s">
        <v>37</v>
      </c>
      <c r="D1469">
        <v>4.4011329999999997</v>
      </c>
      <c r="E1469">
        <v>0.62809419999999905</v>
      </c>
      <c r="F1469" t="s">
        <v>43</v>
      </c>
      <c r="G1469">
        <v>-162.53970000000001</v>
      </c>
      <c r="H1469">
        <v>0.38895039999999997</v>
      </c>
      <c r="I1469">
        <v>342.64389999999997</v>
      </c>
      <c r="J1469">
        <v>-218.82</v>
      </c>
      <c r="K1469">
        <v>1.1027169999999999</v>
      </c>
      <c r="L1469">
        <v>366.94459999999998</v>
      </c>
      <c r="M1469">
        <v>0.99283410000000005</v>
      </c>
      <c r="N1469">
        <v>0</v>
      </c>
      <c r="O1469">
        <v>-0.1186976</v>
      </c>
      <c r="P1469">
        <v>0.99640629999999997</v>
      </c>
      <c r="Q1469">
        <v>1.0880920000000001E-2</v>
      </c>
      <c r="R1469">
        <v>-8.4001080000000006E-2</v>
      </c>
      <c r="S1469">
        <v>2.90889</v>
      </c>
      <c r="T1469">
        <v>-3.6797169999999997E-2</v>
      </c>
      <c r="U1469">
        <v>-1.253754</v>
      </c>
      <c r="V1469">
        <v>-3.4740630000000002E-2</v>
      </c>
      <c r="W1469">
        <v>2.4894349999999999E-2</v>
      </c>
      <c r="X1469">
        <v>0.99908629999999998</v>
      </c>
      <c r="Y1469">
        <v>0.28398449999999997</v>
      </c>
      <c r="Z1469">
        <v>-2.9322939999999899E-4</v>
      </c>
      <c r="AA1469">
        <v>0.95882889999999998</v>
      </c>
      <c r="AB1469">
        <v>23</v>
      </c>
      <c r="AC1469">
        <v>56.280299999999897</v>
      </c>
      <c r="AD1469">
        <v>-0.71376659999999903</v>
      </c>
      <c r="AE1469">
        <v>-24.300699999999999</v>
      </c>
      <c r="AF1469">
        <v>17.445531256326898</v>
      </c>
      <c r="AG1469">
        <v>-0.71376659999999903</v>
      </c>
      <c r="AH1469">
        <v>58.759092142480696</v>
      </c>
      <c r="AI1469">
        <v>90.667175253287695</v>
      </c>
      <c r="AJ1469">
        <v>73.463884488078506</v>
      </c>
      <c r="AK1469">
        <v>61.298343639802297</v>
      </c>
    </row>
    <row r="1470" spans="1:37" x14ac:dyDescent="0.2">
      <c r="A1470" t="str">
        <f>"20200111155525607"</f>
        <v>20200111155525607</v>
      </c>
      <c r="B1470" t="str">
        <f>"1578729325604083"</f>
        <v>1578729325604083</v>
      </c>
      <c r="C1470" t="s">
        <v>37</v>
      </c>
      <c r="D1470">
        <v>4.4165229999999998</v>
      </c>
      <c r="E1470">
        <v>0.62942089999999995</v>
      </c>
      <c r="F1470" t="s">
        <v>43</v>
      </c>
      <c r="G1470">
        <v>-162.62739999999999</v>
      </c>
      <c r="H1470">
        <v>0.44773089999999999</v>
      </c>
      <c r="I1470">
        <v>342.39699999999999</v>
      </c>
      <c r="J1470">
        <v>-218.69550000000001</v>
      </c>
      <c r="K1470">
        <v>1.102695</v>
      </c>
      <c r="L1470">
        <v>366.92770000000002</v>
      </c>
      <c r="M1470">
        <v>0.99260919999999897</v>
      </c>
      <c r="N1470">
        <v>0</v>
      </c>
      <c r="O1470">
        <v>-0.1205638</v>
      </c>
      <c r="P1470">
        <v>0.99618300000000004</v>
      </c>
      <c r="Q1470">
        <v>1.062191E-2</v>
      </c>
      <c r="R1470">
        <v>-8.6642319999999995E-2</v>
      </c>
      <c r="S1470">
        <v>2.904236</v>
      </c>
      <c r="T1470">
        <v>-3.3851739999999998E-2</v>
      </c>
      <c r="U1470">
        <v>-1.268707</v>
      </c>
      <c r="V1470">
        <v>-3.3970970000000003E-2</v>
      </c>
      <c r="W1470">
        <v>2.463456E-2</v>
      </c>
      <c r="X1470">
        <v>0.99911919999999899</v>
      </c>
      <c r="Y1470">
        <v>0.28689419999999999</v>
      </c>
      <c r="Z1470">
        <v>-2.6576989999999999E-4</v>
      </c>
      <c r="AA1470">
        <v>0.95796219999999999</v>
      </c>
      <c r="AB1470">
        <v>23</v>
      </c>
      <c r="AC1470">
        <v>56.068100000000001</v>
      </c>
      <c r="AD1470">
        <v>-0.65496409999999905</v>
      </c>
      <c r="AE1470">
        <v>-24.5307</v>
      </c>
      <c r="AF1470">
        <v>17.589283813354001</v>
      </c>
      <c r="AG1470">
        <v>-0.65496409999999905</v>
      </c>
      <c r="AH1470">
        <v>58.610121706623303</v>
      </c>
      <c r="AI1470">
        <v>90.613232170170406</v>
      </c>
      <c r="AJ1470">
        <v>73.295152990442801</v>
      </c>
      <c r="AK1470">
        <v>61.196064003367098</v>
      </c>
    </row>
    <row r="1471" spans="1:37" x14ac:dyDescent="0.2">
      <c r="A1471" t="str">
        <f>"20200111155525620"</f>
        <v>20200111155525620</v>
      </c>
      <c r="B1471" t="str">
        <f>"1578729325613844"</f>
        <v>1578729325613844</v>
      </c>
      <c r="C1471" t="s">
        <v>37</v>
      </c>
      <c r="D1471">
        <v>4.3887070000000001</v>
      </c>
      <c r="E1471">
        <v>0.63005719999999898</v>
      </c>
      <c r="F1471" t="s">
        <v>43</v>
      </c>
      <c r="G1471">
        <v>-162.95330000000001</v>
      </c>
      <c r="H1471">
        <v>0.51521859999999997</v>
      </c>
      <c r="I1471">
        <v>342.18990000000002</v>
      </c>
      <c r="J1471">
        <v>-218.55950000000001</v>
      </c>
      <c r="K1471">
        <v>1.1026719999999901</v>
      </c>
      <c r="L1471">
        <v>366.90890000000002</v>
      </c>
      <c r="M1471">
        <v>0.9923573</v>
      </c>
      <c r="N1471">
        <v>0</v>
      </c>
      <c r="O1471">
        <v>-0.1226201</v>
      </c>
      <c r="P1471">
        <v>0.99595319999999898</v>
      </c>
      <c r="Q1471">
        <v>1.072703E-2</v>
      </c>
      <c r="R1471">
        <v>-8.9231329999999998E-2</v>
      </c>
      <c r="S1471">
        <v>2.8998719999999998</v>
      </c>
      <c r="T1471">
        <v>-3.0561919999999999E-2</v>
      </c>
      <c r="U1471">
        <v>-1.286926</v>
      </c>
      <c r="V1471">
        <v>-3.3441579999999999E-2</v>
      </c>
      <c r="W1471">
        <v>2.4739899999999999E-2</v>
      </c>
      <c r="X1471">
        <v>0.99913439999999998</v>
      </c>
      <c r="Y1471">
        <v>0.29047779999999901</v>
      </c>
      <c r="Z1471">
        <v>-2.37805E-4</v>
      </c>
      <c r="AA1471">
        <v>0.95688169999999995</v>
      </c>
      <c r="AB1471">
        <v>23</v>
      </c>
      <c r="AC1471">
        <v>55.606200000000001</v>
      </c>
      <c r="AD1471">
        <v>-0.58745339999999902</v>
      </c>
      <c r="AE1471">
        <v>-24.718999999999902</v>
      </c>
      <c r="AF1471">
        <v>17.711686050063399</v>
      </c>
      <c r="AG1471">
        <v>-0.58745339999999902</v>
      </c>
      <c r="AH1471">
        <v>58.212408558493202</v>
      </c>
      <c r="AI1471">
        <v>90.553148293248597</v>
      </c>
      <c r="AJ1471">
        <v>73.077111777440606</v>
      </c>
      <c r="AK1471">
        <v>60.850089847214797</v>
      </c>
    </row>
    <row r="1472" spans="1:37" x14ac:dyDescent="0.2">
      <c r="A1472" t="str">
        <f>"20200111155525631"</f>
        <v>20200111155525631</v>
      </c>
      <c r="B1472" t="str">
        <f>"1578729325623603"</f>
        <v>1578729325623603</v>
      </c>
      <c r="C1472" t="s">
        <v>37</v>
      </c>
      <c r="D1472">
        <v>4.4084300000000001</v>
      </c>
      <c r="E1472">
        <v>0.63064119999999901</v>
      </c>
      <c r="F1472" t="s">
        <v>43</v>
      </c>
      <c r="G1472">
        <v>-163.48009999999999</v>
      </c>
      <c r="H1472">
        <v>0.55910550000000003</v>
      </c>
      <c r="I1472">
        <v>342.18990000000002</v>
      </c>
      <c r="J1472">
        <v>-218.43369999999999</v>
      </c>
      <c r="K1472">
        <v>1.102649</v>
      </c>
      <c r="L1472">
        <v>366.89109999999999</v>
      </c>
      <c r="M1472">
        <v>0.99211589999999905</v>
      </c>
      <c r="N1472">
        <v>0</v>
      </c>
      <c r="O1472">
        <v>-0.1245579</v>
      </c>
      <c r="P1472">
        <v>0.99574390000000002</v>
      </c>
      <c r="Q1472">
        <v>1.079868E-2</v>
      </c>
      <c r="R1472">
        <v>-9.1529289999999999E-2</v>
      </c>
      <c r="S1472">
        <v>2.8960569999999999</v>
      </c>
      <c r="T1472">
        <v>-2.8580189999999998E-2</v>
      </c>
      <c r="U1472">
        <v>-1.2997129999999999</v>
      </c>
      <c r="V1472">
        <v>-3.3084679999999998E-2</v>
      </c>
      <c r="W1472">
        <v>2.4812359999999999E-2</v>
      </c>
      <c r="X1472">
        <v>0.99914449999999999</v>
      </c>
      <c r="Y1472">
        <v>0.2925989</v>
      </c>
      <c r="Z1472">
        <v>-2.146177E-4</v>
      </c>
      <c r="AA1472">
        <v>0.95623519999999895</v>
      </c>
      <c r="AB1472">
        <v>23</v>
      </c>
      <c r="AC1472">
        <v>54.953600000000002</v>
      </c>
      <c r="AD1472">
        <v>-0.54354349999999996</v>
      </c>
      <c r="AE1472">
        <v>-24.701199999999901</v>
      </c>
      <c r="AF1472">
        <v>17.661801002813299</v>
      </c>
      <c r="AG1472">
        <v>-0.54354349999999996</v>
      </c>
      <c r="AH1472">
        <v>57.5978941697648</v>
      </c>
      <c r="AI1472">
        <v>90.516921207360198</v>
      </c>
      <c r="AJ1472">
        <v>72.952381286763497</v>
      </c>
      <c r="AK1472">
        <v>60.247423737374902</v>
      </c>
    </row>
    <row r="1473" spans="1:37" x14ac:dyDescent="0.2">
      <c r="A1473" t="str">
        <f>"20200111155525643"</f>
        <v>20200111155525643</v>
      </c>
      <c r="B1473" t="str">
        <f>"1578729325633364"</f>
        <v>1578729325633364</v>
      </c>
      <c r="C1473" t="s">
        <v>37</v>
      </c>
      <c r="D1473">
        <v>4.3426669999999996</v>
      </c>
      <c r="E1473">
        <v>0.63124449999999999</v>
      </c>
      <c r="F1473" t="s">
        <v>43</v>
      </c>
      <c r="G1473">
        <v>-163.94110000000001</v>
      </c>
      <c r="H1473">
        <v>0.60432469999999905</v>
      </c>
      <c r="I1473">
        <v>342.18990000000002</v>
      </c>
      <c r="J1473">
        <v>-218.3184</v>
      </c>
      <c r="K1473">
        <v>1.1026290000000001</v>
      </c>
      <c r="L1473">
        <v>366.87470000000002</v>
      </c>
      <c r="M1473">
        <v>0.99188949999999998</v>
      </c>
      <c r="N1473">
        <v>0</v>
      </c>
      <c r="O1473">
        <v>-0.1263475</v>
      </c>
      <c r="P1473">
        <v>0.99553130000000001</v>
      </c>
      <c r="Q1473">
        <v>1.080219E-2</v>
      </c>
      <c r="R1473">
        <v>-9.3813279999999999E-2</v>
      </c>
      <c r="S1473">
        <v>2.8925779999999999</v>
      </c>
      <c r="T1473">
        <v>-2.645171E-2</v>
      </c>
      <c r="U1473">
        <v>-1.311188</v>
      </c>
      <c r="V1473">
        <v>-3.2593940000000002E-2</v>
      </c>
      <c r="W1473">
        <v>2.481618E-2</v>
      </c>
      <c r="X1473">
        <v>0.99916050000000001</v>
      </c>
      <c r="Y1473">
        <v>0.29445519999999997</v>
      </c>
      <c r="Z1473">
        <v>-1.915524E-4</v>
      </c>
      <c r="AA1473">
        <v>0.95566530000000005</v>
      </c>
      <c r="AB1473">
        <v>23</v>
      </c>
      <c r="AC1473">
        <v>54.377299999999899</v>
      </c>
      <c r="AD1473">
        <v>-0.49830429999999998</v>
      </c>
      <c r="AE1473">
        <v>-24.684799999999999</v>
      </c>
      <c r="AF1473">
        <v>17.614618612192402</v>
      </c>
      <c r="AG1473">
        <v>-0.49830429999999998</v>
      </c>
      <c r="AH1473">
        <v>57.056627616678298</v>
      </c>
      <c r="AI1473">
        <v>90.478115411889306</v>
      </c>
      <c r="AJ1473">
        <v>72.843408179218599</v>
      </c>
      <c r="AK1473">
        <v>59.715842546318399</v>
      </c>
    </row>
    <row r="1474" spans="1:37" x14ac:dyDescent="0.2">
      <c r="A1474" t="str">
        <f>"20200111155525653"</f>
        <v>20200111155525653</v>
      </c>
      <c r="B1474" t="str">
        <f>"1578729325644100"</f>
        <v>1578729325644100</v>
      </c>
      <c r="C1474" t="s">
        <v>37</v>
      </c>
      <c r="D1474">
        <v>4.4320959999999996</v>
      </c>
      <c r="E1474">
        <v>0.63191779999999997</v>
      </c>
      <c r="F1474" t="s">
        <v>43</v>
      </c>
      <c r="G1474">
        <v>-164.40119999999999</v>
      </c>
      <c r="H1474">
        <v>0.64583579999999996</v>
      </c>
      <c r="I1474">
        <v>342.18990000000002</v>
      </c>
      <c r="J1474">
        <v>-218.2002</v>
      </c>
      <c r="K1474">
        <v>1.1026100000000001</v>
      </c>
      <c r="L1474">
        <v>366.85759999999999</v>
      </c>
      <c r="M1474">
        <v>0.99165149999999902</v>
      </c>
      <c r="N1474">
        <v>0</v>
      </c>
      <c r="O1474">
        <v>-0.12820239999999999</v>
      </c>
      <c r="P1474">
        <v>0.99531809999999998</v>
      </c>
      <c r="Q1474">
        <v>1.081708E-2</v>
      </c>
      <c r="R1474">
        <v>-9.6046670000000001E-2</v>
      </c>
      <c r="S1474">
        <v>2.8890689999999899</v>
      </c>
      <c r="T1474">
        <v>-2.4476290000000001E-2</v>
      </c>
      <c r="U1474">
        <v>-1.3226929999999999</v>
      </c>
      <c r="V1474">
        <v>-3.2219449999999997E-2</v>
      </c>
      <c r="W1474">
        <v>2.4831430000000002E-2</v>
      </c>
      <c r="X1474">
        <v>0.99917230000000001</v>
      </c>
      <c r="Y1474">
        <v>0.2962555</v>
      </c>
      <c r="Z1474">
        <v>-1.6995549999999999E-4</v>
      </c>
      <c r="AA1474">
        <v>0.95510869999999903</v>
      </c>
      <c r="AB1474">
        <v>23</v>
      </c>
      <c r="AC1474">
        <v>53.798999999999999</v>
      </c>
      <c r="AD1474">
        <v>-0.45677420000000002</v>
      </c>
      <c r="AE1474">
        <v>-24.6676999999999</v>
      </c>
      <c r="AF1474">
        <v>17.5652361201732</v>
      </c>
      <c r="AG1474">
        <v>-0.45677420000000002</v>
      </c>
      <c r="AH1474">
        <v>56.514361504602</v>
      </c>
      <c r="AI1474">
        <v>90.442213550863201</v>
      </c>
      <c r="AJ1474">
        <v>72.734226007802604</v>
      </c>
      <c r="AK1474">
        <v>59.182930131078002</v>
      </c>
    </row>
    <row r="1475" spans="1:37" x14ac:dyDescent="0.2">
      <c r="A1475" t="str">
        <f>"20200111155525666"</f>
        <v>20200111155525666</v>
      </c>
      <c r="B1475" t="str">
        <f>"1578729325663619"</f>
        <v>1578729325663619</v>
      </c>
      <c r="C1475" t="s">
        <v>37</v>
      </c>
      <c r="D1475">
        <v>4.3999430000000004</v>
      </c>
      <c r="E1475">
        <v>0.63323809999999903</v>
      </c>
      <c r="F1475" t="s">
        <v>43</v>
      </c>
      <c r="G1475">
        <v>-164.8655</v>
      </c>
      <c r="H1475">
        <v>0.68966070000000002</v>
      </c>
      <c r="I1475">
        <v>342.18990000000002</v>
      </c>
      <c r="J1475">
        <v>-218.07910000000001</v>
      </c>
      <c r="K1475">
        <v>1.10259</v>
      </c>
      <c r="L1475">
        <v>366.83980000000003</v>
      </c>
      <c r="M1475">
        <v>0.99140069999999902</v>
      </c>
      <c r="N1475">
        <v>0</v>
      </c>
      <c r="O1475">
        <v>-0.130127399999999</v>
      </c>
      <c r="P1475">
        <v>0.99509530000000002</v>
      </c>
      <c r="Q1475">
        <v>1.11992999999999E-2</v>
      </c>
      <c r="R1475">
        <v>-9.8285590000000006E-2</v>
      </c>
      <c r="S1475">
        <v>2.8855740000000001</v>
      </c>
      <c r="T1475">
        <v>-2.2341489999999999E-2</v>
      </c>
      <c r="U1475">
        <v>-1.334595</v>
      </c>
      <c r="V1475">
        <v>-3.1907079999999997E-2</v>
      </c>
      <c r="W1475">
        <v>2.5214690000000001E-2</v>
      </c>
      <c r="X1475">
        <v>0.99917269999999903</v>
      </c>
      <c r="Y1475">
        <v>0.29808950000000001</v>
      </c>
      <c r="Z1475">
        <v>-1.480951E-4</v>
      </c>
      <c r="AA1475">
        <v>0.95453790000000005</v>
      </c>
      <c r="AB1475">
        <v>23</v>
      </c>
      <c r="AC1475">
        <v>53.2136</v>
      </c>
      <c r="AD1475">
        <v>-0.412929299999999</v>
      </c>
      <c r="AE1475">
        <v>-24.649899999999999</v>
      </c>
      <c r="AF1475">
        <v>17.5141896508485</v>
      </c>
      <c r="AG1475">
        <v>-0.412929299999999</v>
      </c>
      <c r="AH1475">
        <v>55.966212664330598</v>
      </c>
      <c r="AI1475">
        <v>90.403438511417207</v>
      </c>
      <c r="AJ1475">
        <v>72.622896248094804</v>
      </c>
      <c r="AK1475">
        <v>58.644132781735003</v>
      </c>
    </row>
    <row r="1476" spans="1:37" x14ac:dyDescent="0.2">
      <c r="A1476" t="str">
        <f>"20200111155525677"</f>
        <v>20200111155525677</v>
      </c>
      <c r="B1476" t="str">
        <f>"1578729325673379"</f>
        <v>1578729325673379</v>
      </c>
      <c r="C1476" t="s">
        <v>37</v>
      </c>
      <c r="D1476">
        <v>4.4534510000000003</v>
      </c>
      <c r="E1476">
        <v>0.63385839999999904</v>
      </c>
      <c r="F1476" t="s">
        <v>43</v>
      </c>
      <c r="G1476">
        <v>-166.4846</v>
      </c>
      <c r="H1476">
        <v>0.79570949999999996</v>
      </c>
      <c r="I1476">
        <v>342.64389999999997</v>
      </c>
      <c r="J1476">
        <v>-217.95820000000001</v>
      </c>
      <c r="K1476">
        <v>1.1025719999999899</v>
      </c>
      <c r="L1476">
        <v>366.8218</v>
      </c>
      <c r="M1476">
        <v>0.99114500000000005</v>
      </c>
      <c r="N1476">
        <v>0</v>
      </c>
      <c r="O1476">
        <v>-0.1320607</v>
      </c>
      <c r="P1476">
        <v>0.99484439999999996</v>
      </c>
      <c r="Q1476">
        <v>1.1422E-2</v>
      </c>
      <c r="R1476">
        <v>-0.1007672</v>
      </c>
      <c r="S1476">
        <v>2.881516</v>
      </c>
      <c r="T1476">
        <v>-1.713872E-2</v>
      </c>
      <c r="U1476">
        <v>-1.351318</v>
      </c>
      <c r="V1476">
        <v>-3.1360890000000002E-2</v>
      </c>
      <c r="W1476">
        <v>2.5436819999999999E-2</v>
      </c>
      <c r="X1476">
        <v>0.99918439999999997</v>
      </c>
      <c r="Y1476">
        <v>0.30129129999999998</v>
      </c>
      <c r="Z1476">
        <v>-1.120332E-4</v>
      </c>
      <c r="AA1476">
        <v>0.95353220000000005</v>
      </c>
      <c r="AB1476">
        <v>23</v>
      </c>
      <c r="AC1476">
        <v>51.473599999999998</v>
      </c>
      <c r="AD1476">
        <v>-0.30686249999999898</v>
      </c>
      <c r="AE1476">
        <v>-24.177900000000001</v>
      </c>
      <c r="AF1476">
        <v>17.167309617854102</v>
      </c>
      <c r="AG1476">
        <v>-0.30686249999999898</v>
      </c>
      <c r="AH1476">
        <v>54.214366222355899</v>
      </c>
      <c r="AI1476">
        <v>90.309170466498799</v>
      </c>
      <c r="AJ1476">
        <v>72.429291619135995</v>
      </c>
      <c r="AK1476">
        <v>56.868340832144</v>
      </c>
    </row>
    <row r="1477" spans="1:37" x14ac:dyDescent="0.2">
      <c r="A1477" t="str">
        <f>"20200111155525688"</f>
        <v>20200111155525688</v>
      </c>
      <c r="B1477" t="str">
        <f>"1578729325684115"</f>
        <v>1578729325684115</v>
      </c>
      <c r="C1477" t="s">
        <v>37</v>
      </c>
      <c r="D1477">
        <v>4.4278810000000002</v>
      </c>
      <c r="E1477">
        <v>0.63447469999999995</v>
      </c>
      <c r="F1477" t="s">
        <v>43</v>
      </c>
      <c r="G1477">
        <v>-166.935</v>
      </c>
      <c r="H1477">
        <v>0.84415149999999906</v>
      </c>
      <c r="I1477">
        <v>342.64389999999997</v>
      </c>
      <c r="J1477">
        <v>-217.845</v>
      </c>
      <c r="K1477">
        <v>1.102555</v>
      </c>
      <c r="L1477">
        <v>366.80459999999999</v>
      </c>
      <c r="M1477">
        <v>0.99089760000000005</v>
      </c>
      <c r="N1477">
        <v>0</v>
      </c>
      <c r="O1477">
        <v>-0.13390439999999901</v>
      </c>
      <c r="P1477">
        <v>0.99461359999999999</v>
      </c>
      <c r="Q1477">
        <v>1.160801E-2</v>
      </c>
      <c r="R1477">
        <v>-0.1030007</v>
      </c>
      <c r="S1477">
        <v>2.8776090000000001</v>
      </c>
      <c r="T1477">
        <v>-1.457405E-2</v>
      </c>
      <c r="U1477">
        <v>-1.363586</v>
      </c>
      <c r="V1477">
        <v>-3.097339E-2</v>
      </c>
      <c r="W1477">
        <v>2.562321E-2</v>
      </c>
      <c r="X1477">
        <v>0.99919169999999902</v>
      </c>
      <c r="Y1477">
        <v>0.30334</v>
      </c>
      <c r="Z1477" s="1">
        <v>-9.1595170000000005E-5</v>
      </c>
      <c r="AA1477">
        <v>0.95288229999999996</v>
      </c>
      <c r="AB1477">
        <v>23</v>
      </c>
      <c r="AC1477">
        <v>50.91</v>
      </c>
      <c r="AD1477">
        <v>-0.25840350000000001</v>
      </c>
      <c r="AE1477">
        <v>-24.160699999999999</v>
      </c>
      <c r="AF1477">
        <v>17.124986881732401</v>
      </c>
      <c r="AG1477">
        <v>-0.25840350000000001</v>
      </c>
      <c r="AH1477">
        <v>53.685834335183699</v>
      </c>
      <c r="AI1477">
        <v>90.262734095663404</v>
      </c>
      <c r="AJ1477">
        <v>72.308086516333603</v>
      </c>
      <c r="AK1477">
        <v>56.351581666649899</v>
      </c>
    </row>
    <row r="1478" spans="1:37" x14ac:dyDescent="0.2">
      <c r="A1478" t="str">
        <f>"20200111155525700"</f>
        <v>20200111155525700</v>
      </c>
      <c r="B1478" t="str">
        <f>"1578729325693875"</f>
        <v>1578729325693875</v>
      </c>
      <c r="C1478" t="s">
        <v>37</v>
      </c>
      <c r="D1478">
        <v>4.4407889999999997</v>
      </c>
      <c r="E1478">
        <v>0.6350865</v>
      </c>
      <c r="F1478" t="s">
        <v>43</v>
      </c>
      <c r="G1478">
        <v>-167.34710000000001</v>
      </c>
      <c r="H1478">
        <v>0.89159789999999906</v>
      </c>
      <c r="I1478">
        <v>342.64389999999997</v>
      </c>
      <c r="J1478">
        <v>-217.72290000000001</v>
      </c>
      <c r="K1478">
        <v>1.1025370000000001</v>
      </c>
      <c r="L1478">
        <v>366.78590000000003</v>
      </c>
      <c r="M1478">
        <v>0.99062589999999995</v>
      </c>
      <c r="N1478">
        <v>0</v>
      </c>
      <c r="O1478">
        <v>-0.1358992</v>
      </c>
      <c r="P1478">
        <v>0.99435589999999996</v>
      </c>
      <c r="Q1478">
        <v>1.188644E-2</v>
      </c>
      <c r="R1478">
        <v>-0.105428199999999</v>
      </c>
      <c r="S1478">
        <v>2.873993</v>
      </c>
      <c r="T1478">
        <v>-1.200593E-2</v>
      </c>
      <c r="U1478">
        <v>-1.3750610000000001</v>
      </c>
      <c r="V1478">
        <v>-3.0542449999999999E-2</v>
      </c>
      <c r="W1478">
        <v>2.5902060000000001E-2</v>
      </c>
      <c r="X1478">
        <v>0.99919780000000002</v>
      </c>
      <c r="Y1478">
        <v>0.30498609999999998</v>
      </c>
      <c r="Z1478" s="1">
        <v>-7.1042509999999997E-5</v>
      </c>
      <c r="AA1478">
        <v>0.9523568</v>
      </c>
      <c r="AB1478">
        <v>23</v>
      </c>
      <c r="AC1478">
        <v>50.375799999999998</v>
      </c>
      <c r="AD1478">
        <v>-0.21093909999999999</v>
      </c>
      <c r="AE1478">
        <v>-24.141999999999999</v>
      </c>
      <c r="AF1478">
        <v>17.0710527960075</v>
      </c>
      <c r="AG1478">
        <v>-0.21093909999999999</v>
      </c>
      <c r="AH1478">
        <v>53.188791651732501</v>
      </c>
      <c r="AI1478">
        <v>90.216355411531595</v>
      </c>
      <c r="AJ1478">
        <v>72.205859467434493</v>
      </c>
      <c r="AK1478">
        <v>55.8615511442298</v>
      </c>
    </row>
    <row r="1479" spans="1:37" x14ac:dyDescent="0.2">
      <c r="A1479" t="str">
        <f>"20200111155525712"</f>
        <v>20200111155525712</v>
      </c>
      <c r="B1479" t="str">
        <f>"1578729325703635"</f>
        <v>1578729325703635</v>
      </c>
      <c r="C1479" t="s">
        <v>37</v>
      </c>
      <c r="D1479">
        <v>4.503253</v>
      </c>
      <c r="E1479">
        <v>0.63563619999999899</v>
      </c>
      <c r="F1479" t="s">
        <v>43</v>
      </c>
      <c r="G1479">
        <v>-167.7662</v>
      </c>
      <c r="H1479">
        <v>0.9380617</v>
      </c>
      <c r="I1479">
        <v>342.64389999999997</v>
      </c>
      <c r="J1479">
        <v>-217.602</v>
      </c>
      <c r="K1479">
        <v>1.102519</v>
      </c>
      <c r="L1479">
        <v>366.76710000000003</v>
      </c>
      <c r="M1479">
        <v>0.99034880000000003</v>
      </c>
      <c r="N1479">
        <v>0</v>
      </c>
      <c r="O1479">
        <v>-0.13790569999999999</v>
      </c>
      <c r="P1479">
        <v>0.99407080000000003</v>
      </c>
      <c r="Q1479">
        <v>1.1724979999999999E-2</v>
      </c>
      <c r="R1479">
        <v>-0.1081015</v>
      </c>
      <c r="S1479">
        <v>2.8700869999999998</v>
      </c>
      <c r="T1479">
        <v>-9.4490049999999999E-3</v>
      </c>
      <c r="U1479">
        <v>-1.3869929999999999</v>
      </c>
      <c r="V1479">
        <v>-2.9880299999999999E-2</v>
      </c>
      <c r="W1479">
        <v>2.5739990000000001E-2</v>
      </c>
      <c r="X1479">
        <v>0.99922199999999906</v>
      </c>
      <c r="Y1479">
        <v>0.3067763</v>
      </c>
      <c r="Z1479" s="1">
        <v>-5.2634889999999999E-5</v>
      </c>
      <c r="AA1479">
        <v>0.95178159999999901</v>
      </c>
      <c r="AB1479">
        <v>23</v>
      </c>
      <c r="AC1479">
        <v>49.835799999999999</v>
      </c>
      <c r="AD1479">
        <v>-0.1644573</v>
      </c>
      <c r="AE1479">
        <v>-24.123200000000001</v>
      </c>
      <c r="AF1479">
        <v>17.019218877495401</v>
      </c>
      <c r="AG1479">
        <v>-0.1644573</v>
      </c>
      <c r="AH1479">
        <v>52.686125659311003</v>
      </c>
      <c r="AI1479">
        <v>90.1701865172395</v>
      </c>
      <c r="AJ1479">
        <v>72.097967517431201</v>
      </c>
      <c r="AK1479">
        <v>55.367036171284497</v>
      </c>
    </row>
    <row r="1480" spans="1:37" x14ac:dyDescent="0.2">
      <c r="A1480" t="str">
        <f>"20200111155525725"</f>
        <v>20200111155525725</v>
      </c>
      <c r="B1480" t="str">
        <f>"1578729325713395"</f>
        <v>1578729325713395</v>
      </c>
      <c r="C1480" t="s">
        <v>37</v>
      </c>
      <c r="D1480">
        <v>4.3886529999999997</v>
      </c>
      <c r="E1480">
        <v>0.63621689999999997</v>
      </c>
      <c r="F1480" t="s">
        <v>43</v>
      </c>
      <c r="G1480">
        <v>-168.18369999999999</v>
      </c>
      <c r="H1480">
        <v>0.95922839999999998</v>
      </c>
      <c r="I1480">
        <v>342.64389999999997</v>
      </c>
      <c r="J1480">
        <v>-217.4736</v>
      </c>
      <c r="K1480">
        <v>1.102501</v>
      </c>
      <c r="L1480">
        <v>366.74680000000001</v>
      </c>
      <c r="M1480">
        <v>0.99004729999999996</v>
      </c>
      <c r="N1480">
        <v>0</v>
      </c>
      <c r="O1480">
        <v>-0.14005290000000001</v>
      </c>
      <c r="P1480">
        <v>0.99380550000000001</v>
      </c>
      <c r="Q1480">
        <v>1.150894E-2</v>
      </c>
      <c r="R1480">
        <v>-0.11053640000000001</v>
      </c>
      <c r="S1480">
        <v>2.865875</v>
      </c>
      <c r="T1480">
        <v>-8.3093639999999996E-3</v>
      </c>
      <c r="U1480">
        <v>-1.3989559999999901</v>
      </c>
      <c r="V1480">
        <v>-2.9598869999999999E-2</v>
      </c>
      <c r="W1480">
        <v>2.552453E-2</v>
      </c>
      <c r="X1480">
        <v>0.99923589999999995</v>
      </c>
      <c r="Y1480">
        <v>0.30847360000000001</v>
      </c>
      <c r="Z1480" s="1">
        <v>-4.2905190000000003E-5</v>
      </c>
      <c r="AA1480">
        <v>0.95123289999999905</v>
      </c>
      <c r="AB1480">
        <v>23</v>
      </c>
      <c r="AC1480">
        <v>49.289900000000003</v>
      </c>
      <c r="AD1480">
        <v>-0.143272599999999</v>
      </c>
      <c r="AE1480">
        <v>-24.102900000000002</v>
      </c>
      <c r="AF1480">
        <v>16.961326360317099</v>
      </c>
      <c r="AG1480">
        <v>-0.143272599999999</v>
      </c>
      <c r="AH1480">
        <v>52.179654894057002</v>
      </c>
      <c r="AI1480">
        <v>90.149614081291105</v>
      </c>
      <c r="AJ1480">
        <v>71.992920060026293</v>
      </c>
      <c r="AK1480">
        <v>54.867326377380401</v>
      </c>
    </row>
    <row r="1481" spans="1:37" x14ac:dyDescent="0.2">
      <c r="A1481" t="str">
        <f>"20200111155525735"</f>
        <v>20200111155525735</v>
      </c>
      <c r="B1481" t="str">
        <f>"1578729325733890"</f>
        <v>1578729325733890</v>
      </c>
      <c r="C1481" t="s">
        <v>37</v>
      </c>
      <c r="D1481">
        <v>4.4173150000000003</v>
      </c>
      <c r="E1481">
        <v>0.63734780000000002</v>
      </c>
      <c r="F1481" t="s">
        <v>43</v>
      </c>
      <c r="G1481">
        <v>-168.5796</v>
      </c>
      <c r="H1481">
        <v>0.98010529999999996</v>
      </c>
      <c r="I1481">
        <v>342.64389999999997</v>
      </c>
      <c r="J1481">
        <v>-217.35429999999999</v>
      </c>
      <c r="K1481">
        <v>1.1024890000000001</v>
      </c>
      <c r="L1481">
        <v>366.72770000000003</v>
      </c>
      <c r="M1481">
        <v>0.98976109999999995</v>
      </c>
      <c r="N1481">
        <v>0</v>
      </c>
      <c r="O1481">
        <v>-0.1420614</v>
      </c>
      <c r="P1481">
        <v>0.99350729999999998</v>
      </c>
      <c r="Q1481">
        <v>1.132566E-2</v>
      </c>
      <c r="R1481">
        <v>-0.113203</v>
      </c>
      <c r="S1481">
        <v>2.8618769999999998</v>
      </c>
      <c r="T1481">
        <v>-7.1637630000000001E-3</v>
      </c>
      <c r="U1481">
        <v>-1.4107969999999901</v>
      </c>
      <c r="V1481">
        <v>-2.8944799999999899E-2</v>
      </c>
      <c r="W1481">
        <v>2.5340049999999999E-2</v>
      </c>
      <c r="X1481">
        <v>0.99925980000000003</v>
      </c>
      <c r="Y1481">
        <v>0.31023829999999902</v>
      </c>
      <c r="Z1481" s="1">
        <v>-3.4473629999999997E-5</v>
      </c>
      <c r="AA1481">
        <v>0.95065889999999997</v>
      </c>
      <c r="AB1481">
        <v>23</v>
      </c>
      <c r="AC1481">
        <v>48.774700000000003</v>
      </c>
      <c r="AD1481">
        <v>-0.1223837</v>
      </c>
      <c r="AE1481">
        <v>-24.0838</v>
      </c>
      <c r="AF1481">
        <v>16.909740012964601</v>
      </c>
      <c r="AG1481">
        <v>-0.1223837</v>
      </c>
      <c r="AH1481">
        <v>51.701368646403601</v>
      </c>
      <c r="AI1481">
        <v>90.128906595005503</v>
      </c>
      <c r="AJ1481">
        <v>71.888858943531204</v>
      </c>
      <c r="AK1481">
        <v>54.396560598878096</v>
      </c>
    </row>
    <row r="1482" spans="1:37" x14ac:dyDescent="0.2">
      <c r="A1482" t="str">
        <f>"20200111155525751"</f>
        <v>20200111155525751</v>
      </c>
      <c r="B1482" t="str">
        <f>"1578729325743651"</f>
        <v>1578729325743651</v>
      </c>
      <c r="C1482" t="s">
        <v>37</v>
      </c>
      <c r="D1482">
        <v>4.2990810000000002</v>
      </c>
      <c r="E1482">
        <v>0.63793089999999997</v>
      </c>
      <c r="F1482" t="s">
        <v>43</v>
      </c>
      <c r="G1482">
        <v>-168.98230000000001</v>
      </c>
      <c r="H1482">
        <v>1.027685</v>
      </c>
      <c r="I1482">
        <v>342.5616</v>
      </c>
      <c r="J1482">
        <v>-217.20689999999999</v>
      </c>
      <c r="K1482">
        <v>1.102482</v>
      </c>
      <c r="L1482">
        <v>366.70359999999999</v>
      </c>
      <c r="M1482">
        <v>0.98939699999999997</v>
      </c>
      <c r="N1482">
        <v>0</v>
      </c>
      <c r="O1482">
        <v>-0.14457509999999901</v>
      </c>
      <c r="P1482">
        <v>0.99308770000000002</v>
      </c>
      <c r="Q1482">
        <v>1.1779660000000001E-2</v>
      </c>
      <c r="R1482">
        <v>-0.116783</v>
      </c>
      <c r="S1482">
        <v>2.8570250000000001</v>
      </c>
      <c r="T1482">
        <v>-4.4178960000000001E-3</v>
      </c>
      <c r="U1482">
        <v>-1.427338</v>
      </c>
      <c r="V1482">
        <v>-2.7876669999999999E-2</v>
      </c>
      <c r="W1482">
        <v>2.5791000000000001E-2</v>
      </c>
      <c r="X1482">
        <v>0.99927860000000002</v>
      </c>
      <c r="Y1482">
        <v>0.31287719999999902</v>
      </c>
      <c r="Z1482" s="1">
        <v>-1.96313299999999E-5</v>
      </c>
      <c r="AA1482">
        <v>0.94979360000000002</v>
      </c>
      <c r="AB1482">
        <v>23</v>
      </c>
      <c r="AC1482">
        <v>48.224599999999903</v>
      </c>
      <c r="AD1482">
        <v>-7.4797000000000002E-2</v>
      </c>
      <c r="AE1482">
        <v>-24.141999999999999</v>
      </c>
      <c r="AF1482">
        <v>16.915534199857699</v>
      </c>
      <c r="AG1482">
        <v>-7.4797000000000002E-2</v>
      </c>
      <c r="AH1482">
        <v>51.208414569710101</v>
      </c>
      <c r="AI1482">
        <v>90.079465148858105</v>
      </c>
      <c r="AJ1482">
        <v>71.720203583831207</v>
      </c>
      <c r="AK1482">
        <v>53.929978811428001</v>
      </c>
    </row>
    <row r="1483" spans="1:37" x14ac:dyDescent="0.2">
      <c r="A1483" t="str">
        <f>"20200111155525765"</f>
        <v>20200111155525765</v>
      </c>
      <c r="B1483" t="str">
        <f>"1578729325753411"</f>
        <v>1578729325753411</v>
      </c>
      <c r="C1483" t="s">
        <v>37</v>
      </c>
      <c r="D1483">
        <v>4.317653</v>
      </c>
      <c r="E1483">
        <v>0.63849239999999996</v>
      </c>
      <c r="F1483" t="s">
        <v>43</v>
      </c>
      <c r="G1483">
        <v>-168.98240000000001</v>
      </c>
      <c r="H1483">
        <v>1.068991</v>
      </c>
      <c r="I1483">
        <v>342.31439999999998</v>
      </c>
      <c r="J1483">
        <v>-217.06549999999999</v>
      </c>
      <c r="K1483">
        <v>1.1024670000000001</v>
      </c>
      <c r="L1483">
        <v>366.68020000000001</v>
      </c>
      <c r="M1483">
        <v>0.98903859999999999</v>
      </c>
      <c r="N1483">
        <v>0</v>
      </c>
      <c r="O1483">
        <v>-0.1470072</v>
      </c>
      <c r="P1483">
        <v>0.99272340000000003</v>
      </c>
      <c r="Q1483">
        <v>1.203973E-2</v>
      </c>
      <c r="R1483">
        <v>-0.1198147</v>
      </c>
      <c r="S1483">
        <v>2.8513489999999999</v>
      </c>
      <c r="T1483">
        <v>-1.9798279999999999E-3</v>
      </c>
      <c r="U1483">
        <v>-1.4420469999999901</v>
      </c>
      <c r="V1483">
        <v>-2.727895E-2</v>
      </c>
      <c r="W1483">
        <v>2.604983E-2</v>
      </c>
      <c r="X1483">
        <v>0.99928839999999997</v>
      </c>
      <c r="Y1483">
        <v>0.31520679999999901</v>
      </c>
      <c r="Z1483" s="1">
        <v>-8.0220560000000003E-6</v>
      </c>
      <c r="AA1483">
        <v>0.94902299999999995</v>
      </c>
      <c r="AB1483">
        <v>23</v>
      </c>
      <c r="AC1483">
        <v>48.083099999999902</v>
      </c>
      <c r="AD1483">
        <v>-3.3475999999999999E-2</v>
      </c>
      <c r="AE1483">
        <v>-24.3658</v>
      </c>
      <c r="AF1483">
        <v>17.0317793872509</v>
      </c>
      <c r="AG1483">
        <v>-3.3475999999999999E-2</v>
      </c>
      <c r="AH1483">
        <v>51.142868172113197</v>
      </c>
      <c r="AI1483">
        <v>90.035582188549796</v>
      </c>
      <c r="AJ1483">
        <v>71.5810271408821</v>
      </c>
      <c r="AK1483">
        <v>53.9043188864187</v>
      </c>
    </row>
    <row r="1484" spans="1:37" x14ac:dyDescent="0.2">
      <c r="A1484" t="str">
        <f>"20200111155525780"</f>
        <v>20200111155525780</v>
      </c>
      <c r="B1484" t="str">
        <f>"1578729325773907"</f>
        <v>1578729325773907</v>
      </c>
      <c r="C1484" t="s">
        <v>37</v>
      </c>
      <c r="D1484">
        <v>4.2948019999999998</v>
      </c>
      <c r="E1484">
        <v>0.63957940000000002</v>
      </c>
      <c r="F1484" t="s">
        <v>43</v>
      </c>
      <c r="G1484">
        <v>-168.98240000000001</v>
      </c>
      <c r="H1484">
        <v>1.1053549999999901</v>
      </c>
      <c r="I1484">
        <v>342.0933</v>
      </c>
      <c r="J1484">
        <v>-216.9058</v>
      </c>
      <c r="K1484">
        <v>1.1024479999999901</v>
      </c>
      <c r="L1484">
        <v>366.6533</v>
      </c>
      <c r="M1484">
        <v>0.98862229999999995</v>
      </c>
      <c r="N1484">
        <v>0</v>
      </c>
      <c r="O1484">
        <v>-0.149781</v>
      </c>
      <c r="P1484">
        <v>0.99233519999999897</v>
      </c>
      <c r="Q1484">
        <v>1.2494E-2</v>
      </c>
      <c r="R1484">
        <v>-0.12294339999999999</v>
      </c>
      <c r="S1484">
        <v>2.8463289999999999</v>
      </c>
      <c r="T1484">
        <v>1.71303699999999E-4</v>
      </c>
      <c r="U1484">
        <v>-1.455444</v>
      </c>
      <c r="V1484">
        <v>-2.6926970000000001E-2</v>
      </c>
      <c r="W1484">
        <v>2.650458E-2</v>
      </c>
      <c r="X1484">
        <v>0.99928600000000001</v>
      </c>
      <c r="Y1484">
        <v>0.31676589999999999</v>
      </c>
      <c r="Z1484" s="1">
        <v>5.8617389999999997E-7</v>
      </c>
      <c r="AA1484">
        <v>0.94850369999999995</v>
      </c>
      <c r="AB1484">
        <v>23</v>
      </c>
      <c r="AC1484">
        <v>47.923400000000001</v>
      </c>
      <c r="AD1484">
        <v>2.9069999999999899E-3</v>
      </c>
      <c r="AE1484">
        <v>-24.56</v>
      </c>
      <c r="AF1484">
        <v>17.104187522263899</v>
      </c>
      <c r="AG1484">
        <v>2.9069999999999899E-3</v>
      </c>
      <c r="AH1484">
        <v>51.061655083456998</v>
      </c>
      <c r="AI1484">
        <v>89.996906997951996</v>
      </c>
      <c r="AJ1484">
        <v>71.480630477309006</v>
      </c>
      <c r="AK1484">
        <v>53.850216890086401</v>
      </c>
    </row>
    <row r="1485" spans="1:37" x14ac:dyDescent="0.2">
      <c r="A1485" t="str">
        <f>"20200111155525793"</f>
        <v>20200111155525793</v>
      </c>
      <c r="B1485" t="str">
        <f>"1578729325783666"</f>
        <v>1578729325783666</v>
      </c>
      <c r="C1485" t="s">
        <v>37</v>
      </c>
      <c r="D1485">
        <v>4.344265</v>
      </c>
      <c r="E1485">
        <v>0.6401502</v>
      </c>
      <c r="F1485" t="s">
        <v>43</v>
      </c>
      <c r="G1485">
        <v>-168.98240000000001</v>
      </c>
      <c r="H1485">
        <v>1.182669</v>
      </c>
      <c r="I1485">
        <v>341.80380000000002</v>
      </c>
      <c r="J1485">
        <v>-216.77330000000001</v>
      </c>
      <c r="K1485">
        <v>1.1024309999999999</v>
      </c>
      <c r="L1485">
        <v>366.63060000000002</v>
      </c>
      <c r="M1485">
        <v>0.9882668</v>
      </c>
      <c r="N1485">
        <v>0</v>
      </c>
      <c r="O1485">
        <v>-0.15210860000000001</v>
      </c>
      <c r="P1485">
        <v>0.9919713</v>
      </c>
      <c r="Q1485">
        <v>1.262303E-2</v>
      </c>
      <c r="R1485">
        <v>-0.12583169999999999</v>
      </c>
      <c r="S1485">
        <v>2.8406220000000002</v>
      </c>
      <c r="T1485">
        <v>4.7553780000000002E-3</v>
      </c>
      <c r="U1485">
        <v>-1.472931</v>
      </c>
      <c r="V1485">
        <v>-2.6368430000000002E-2</v>
      </c>
      <c r="W1485">
        <v>2.6632320000000001E-2</v>
      </c>
      <c r="X1485">
        <v>0.9992974</v>
      </c>
      <c r="Y1485">
        <v>0.31991579999999997</v>
      </c>
      <c r="Z1485" s="1">
        <v>1.521739E-5</v>
      </c>
      <c r="AA1485">
        <v>0.94744599999999901</v>
      </c>
      <c r="AB1485">
        <v>23</v>
      </c>
      <c r="AC1485">
        <v>47.790899999999901</v>
      </c>
      <c r="AD1485">
        <v>8.0238000000000004E-2</v>
      </c>
      <c r="AE1485">
        <v>-24.826799999999899</v>
      </c>
      <c r="AF1485">
        <v>17.2677122113659</v>
      </c>
      <c r="AG1485">
        <v>8.0238000000000004E-2</v>
      </c>
      <c r="AH1485">
        <v>51.011306195832901</v>
      </c>
      <c r="AI1485">
        <v>89.9146351847142</v>
      </c>
      <c r="AJ1485">
        <v>71.298651994287894</v>
      </c>
      <c r="AK1485">
        <v>53.854746150698901</v>
      </c>
    </row>
    <row r="1486" spans="1:37" x14ac:dyDescent="0.2">
      <c r="A1486" t="str">
        <f>"20200111155525807"</f>
        <v>20200111155525807</v>
      </c>
      <c r="B1486" t="str">
        <f>"1578729325804162"</f>
        <v>1578729325804162</v>
      </c>
      <c r="C1486" t="s">
        <v>37</v>
      </c>
      <c r="D1486">
        <v>4.3032729999999999</v>
      </c>
      <c r="E1486">
        <v>0.6411829</v>
      </c>
      <c r="F1486" t="s">
        <v>43</v>
      </c>
      <c r="G1486">
        <v>-168.98240000000001</v>
      </c>
      <c r="H1486">
        <v>1.215079</v>
      </c>
      <c r="I1486">
        <v>341.5883</v>
      </c>
      <c r="J1486">
        <v>-216.6336</v>
      </c>
      <c r="K1486">
        <v>1.102411</v>
      </c>
      <c r="L1486">
        <v>366.6062</v>
      </c>
      <c r="M1486">
        <v>0.98788299999999996</v>
      </c>
      <c r="N1486">
        <v>0</v>
      </c>
      <c r="O1486">
        <v>-0.154582</v>
      </c>
      <c r="P1486">
        <v>0.99149349999999903</v>
      </c>
      <c r="Q1486">
        <v>1.271475E-2</v>
      </c>
      <c r="R1486">
        <v>-0.12953589999999901</v>
      </c>
      <c r="S1486">
        <v>2.835709</v>
      </c>
      <c r="T1486">
        <v>6.6844219999999998E-3</v>
      </c>
      <c r="U1486">
        <v>-1.4859009999999999</v>
      </c>
      <c r="V1486">
        <v>-2.5135629999999999E-2</v>
      </c>
      <c r="W1486">
        <v>2.6718599999999999E-2</v>
      </c>
      <c r="X1486">
        <v>0.99932690000000002</v>
      </c>
      <c r="Y1486">
        <v>0.32162029999999903</v>
      </c>
      <c r="Z1486" s="1">
        <v>1.7989459999999998E-5</v>
      </c>
      <c r="AA1486">
        <v>0.94686870000000001</v>
      </c>
      <c r="AB1486">
        <v>23</v>
      </c>
      <c r="AC1486">
        <v>47.651199999999903</v>
      </c>
      <c r="AD1486">
        <v>0.112668</v>
      </c>
      <c r="AE1486">
        <v>-25.017900000000001</v>
      </c>
      <c r="AF1486">
        <v>17.3503263751162</v>
      </c>
      <c r="AG1486">
        <v>0.112668</v>
      </c>
      <c r="AH1486">
        <v>50.945784600272702</v>
      </c>
      <c r="AI1486">
        <v>89.880054127656095</v>
      </c>
      <c r="AJ1486">
        <v>71.192979052710697</v>
      </c>
      <c r="AK1486">
        <v>53.819322626159703</v>
      </c>
    </row>
    <row r="1487" spans="1:37" x14ac:dyDescent="0.2">
      <c r="A1487" t="str">
        <f>"20200111155525819"</f>
        <v>20200111155525819</v>
      </c>
      <c r="B1487" t="str">
        <f>"1578729325813922"</f>
        <v>1578729325813922</v>
      </c>
      <c r="C1487" t="s">
        <v>37</v>
      </c>
      <c r="D1487">
        <v>4.2667169999999999</v>
      </c>
      <c r="E1487">
        <v>0.64168340000000001</v>
      </c>
      <c r="F1487" t="s">
        <v>43</v>
      </c>
      <c r="G1487">
        <v>-168.98240000000001</v>
      </c>
      <c r="H1487">
        <v>1.269665</v>
      </c>
      <c r="I1487">
        <v>341.25709999999998</v>
      </c>
      <c r="J1487">
        <v>-216.51159999999999</v>
      </c>
      <c r="K1487">
        <v>1.1023940000000001</v>
      </c>
      <c r="L1487">
        <v>366.58479999999997</v>
      </c>
      <c r="M1487">
        <v>0.98754109999999995</v>
      </c>
      <c r="N1487">
        <v>0</v>
      </c>
      <c r="O1487">
        <v>-0.156750799999999</v>
      </c>
      <c r="P1487">
        <v>0.99112119999999904</v>
      </c>
      <c r="Q1487">
        <v>1.2707130000000001E-2</v>
      </c>
      <c r="R1487">
        <v>-0.13235339999999901</v>
      </c>
      <c r="S1487">
        <v>2.8289949999999999</v>
      </c>
      <c r="T1487">
        <v>9.9300150000000004E-3</v>
      </c>
      <c r="U1487">
        <v>-1.5049440000000001</v>
      </c>
      <c r="V1487">
        <v>-2.4488530000000001E-2</v>
      </c>
      <c r="W1487">
        <v>2.6709070000000001E-2</v>
      </c>
      <c r="X1487">
        <v>0.99934330000000005</v>
      </c>
      <c r="Y1487">
        <v>0.32544309999999999</v>
      </c>
      <c r="Z1487" s="1">
        <v>2.615637E-5</v>
      </c>
      <c r="AA1487">
        <v>0.9455616</v>
      </c>
      <c r="AB1487">
        <v>23</v>
      </c>
      <c r="AC1487">
        <v>47.529199999999904</v>
      </c>
      <c r="AD1487">
        <v>0.167270999999999</v>
      </c>
      <c r="AE1487">
        <v>-25.3277</v>
      </c>
      <c r="AF1487">
        <v>17.563419270780901</v>
      </c>
      <c r="AG1487">
        <v>0.167270999999999</v>
      </c>
      <c r="AH1487">
        <v>50.911566319290998</v>
      </c>
      <c r="AI1487">
        <v>89.822045754727398</v>
      </c>
      <c r="AJ1487">
        <v>70.966642861726697</v>
      </c>
      <c r="AK1487">
        <v>53.856190555517799</v>
      </c>
    </row>
    <row r="1488" spans="1:37" x14ac:dyDescent="0.2">
      <c r="A1488" t="str">
        <f>"20200111155525829"</f>
        <v>20200111155525829</v>
      </c>
      <c r="B1488" t="str">
        <f>"1578729325823683"</f>
        <v>1578729325823683</v>
      </c>
      <c r="C1488" t="s">
        <v>37</v>
      </c>
      <c r="D1488">
        <v>4.2512239999999997</v>
      </c>
      <c r="E1488">
        <v>0.64217880000000005</v>
      </c>
      <c r="F1488" t="s">
        <v>43</v>
      </c>
      <c r="G1488">
        <v>-168.98240000000001</v>
      </c>
      <c r="H1488">
        <v>1.2944450000000001</v>
      </c>
      <c r="I1488">
        <v>341.05829999999997</v>
      </c>
      <c r="J1488">
        <v>-216.40119999999999</v>
      </c>
      <c r="K1488">
        <v>1.1023780000000001</v>
      </c>
      <c r="L1488">
        <v>366.56490000000002</v>
      </c>
      <c r="M1488">
        <v>0.98722359999999898</v>
      </c>
      <c r="N1488">
        <v>0</v>
      </c>
      <c r="O1488">
        <v>-0.15873760000000001</v>
      </c>
      <c r="P1488">
        <v>0.99076949999999997</v>
      </c>
      <c r="Q1488">
        <v>1.2232140000000001E-2</v>
      </c>
      <c r="R1488">
        <v>-0.13500470000000001</v>
      </c>
      <c r="S1488">
        <v>2.8241879999999999</v>
      </c>
      <c r="T1488">
        <v>1.141202E-2</v>
      </c>
      <c r="U1488">
        <v>-1.516785</v>
      </c>
      <c r="V1488">
        <v>-2.382884E-2</v>
      </c>
      <c r="W1488">
        <v>2.6231440000000002E-2</v>
      </c>
      <c r="X1488">
        <v>0.99937180000000003</v>
      </c>
      <c r="Y1488">
        <v>0.32728879999999999</v>
      </c>
      <c r="Z1488" s="1">
        <v>2.6312770000000001E-5</v>
      </c>
      <c r="AA1488">
        <v>0.9449244</v>
      </c>
      <c r="AB1488">
        <v>23</v>
      </c>
      <c r="AC1488">
        <v>47.418799999999898</v>
      </c>
      <c r="AD1488">
        <v>0.19206699999999999</v>
      </c>
      <c r="AE1488">
        <v>-25.506599999999999</v>
      </c>
      <c r="AF1488">
        <v>17.655040757788999</v>
      </c>
      <c r="AG1488">
        <v>0.19206699999999999</v>
      </c>
      <c r="AH1488">
        <v>50.866049529956598</v>
      </c>
      <c r="AI1488">
        <v>89.795616759072701</v>
      </c>
      <c r="AJ1488">
        <v>70.858680176142101</v>
      </c>
      <c r="AK1488">
        <v>53.843220080857698</v>
      </c>
    </row>
    <row r="1489" spans="1:37" x14ac:dyDescent="0.2">
      <c r="A1489" t="str">
        <f>"20200111155525841"</f>
        <v>20200111155525841</v>
      </c>
      <c r="B1489" t="str">
        <f>"1578729325833443"</f>
        <v>1578729325833443</v>
      </c>
      <c r="C1489" t="s">
        <v>37</v>
      </c>
      <c r="D1489">
        <v>4.2642730000000002</v>
      </c>
      <c r="E1489">
        <v>0.64267099999999999</v>
      </c>
      <c r="F1489" t="s">
        <v>43</v>
      </c>
      <c r="G1489">
        <v>-168.98240000000001</v>
      </c>
      <c r="H1489">
        <v>1.2979129999999901</v>
      </c>
      <c r="I1489">
        <v>340.86309999999997</v>
      </c>
      <c r="J1489">
        <v>-216.28630000000001</v>
      </c>
      <c r="K1489">
        <v>1.1023620000000001</v>
      </c>
      <c r="L1489">
        <v>366.54419999999999</v>
      </c>
      <c r="M1489">
        <v>0.98688829999999905</v>
      </c>
      <c r="N1489">
        <v>0</v>
      </c>
      <c r="O1489">
        <v>-0.1608097</v>
      </c>
      <c r="P1489">
        <v>0.99040430000000002</v>
      </c>
      <c r="Q1489">
        <v>1.1942650000000001E-2</v>
      </c>
      <c r="R1489">
        <v>-0.13768349999999999</v>
      </c>
      <c r="S1489">
        <v>2.81957999999999</v>
      </c>
      <c r="T1489">
        <v>1.162708E-2</v>
      </c>
      <c r="U1489">
        <v>-1.528259</v>
      </c>
      <c r="V1489">
        <v>-2.3225240000000001E-2</v>
      </c>
      <c r="W1489">
        <v>2.5939719999999999E-2</v>
      </c>
      <c r="X1489">
        <v>0.99939369999999905</v>
      </c>
      <c r="Y1489">
        <v>0.32892539999999998</v>
      </c>
      <c r="Z1489" s="1">
        <v>2.22675199999999E-5</v>
      </c>
      <c r="AA1489">
        <v>0.94435590000000003</v>
      </c>
      <c r="AB1489">
        <v>23</v>
      </c>
      <c r="AC1489">
        <v>47.303899999999999</v>
      </c>
      <c r="AD1489">
        <v>0.195550999999999</v>
      </c>
      <c r="AE1489">
        <v>-25.681100000000001</v>
      </c>
      <c r="AF1489">
        <v>17.738917604723799</v>
      </c>
      <c r="AG1489">
        <v>0.195550999999999</v>
      </c>
      <c r="AH1489">
        <v>50.817636463729698</v>
      </c>
      <c r="AI1489">
        <v>89.7918392151159</v>
      </c>
      <c r="AJ1489">
        <v>70.757432268488103</v>
      </c>
      <c r="AK1489">
        <v>53.825083499615502</v>
      </c>
    </row>
    <row r="1490" spans="1:37" x14ac:dyDescent="0.2">
      <c r="A1490" t="str">
        <f>"20200111155525852"</f>
        <v>20200111155525852</v>
      </c>
      <c r="B1490" t="str">
        <f>"1578729325843203"</f>
        <v>1578729325843203</v>
      </c>
      <c r="C1490" t="s">
        <v>37</v>
      </c>
      <c r="D1490">
        <v>4.241873</v>
      </c>
      <c r="E1490">
        <v>0.64315279999999997</v>
      </c>
      <c r="F1490" t="s">
        <v>43</v>
      </c>
      <c r="G1490">
        <v>-168.98240000000001</v>
      </c>
      <c r="H1490">
        <v>1.3066199999999999</v>
      </c>
      <c r="I1490">
        <v>340.66520000000003</v>
      </c>
      <c r="J1490">
        <v>-216.16730000000001</v>
      </c>
      <c r="K1490">
        <v>1.1023459999999901</v>
      </c>
      <c r="L1490">
        <v>366.52229999999997</v>
      </c>
      <c r="M1490">
        <v>0.9865332</v>
      </c>
      <c r="N1490">
        <v>0</v>
      </c>
      <c r="O1490">
        <v>-0.16297339999999999</v>
      </c>
      <c r="P1490">
        <v>0.99001830000000002</v>
      </c>
      <c r="Q1490">
        <v>1.153088E-2</v>
      </c>
      <c r="R1490">
        <v>-0.1404675</v>
      </c>
      <c r="S1490">
        <v>2.8148499999999999</v>
      </c>
      <c r="T1490">
        <v>1.215482E-2</v>
      </c>
      <c r="U1490">
        <v>-1.5399479999999901</v>
      </c>
      <c r="V1490">
        <v>-2.2609299999999999E-2</v>
      </c>
      <c r="W1490">
        <v>2.552596E-2</v>
      </c>
      <c r="X1490">
        <v>0.99941840000000004</v>
      </c>
      <c r="Y1490">
        <v>0.330542</v>
      </c>
      <c r="Z1490" s="1">
        <v>1.8134999999999998E-5</v>
      </c>
      <c r="AA1490">
        <v>0.9437913</v>
      </c>
      <c r="AB1490">
        <v>23</v>
      </c>
      <c r="AC1490">
        <v>47.184899999999999</v>
      </c>
      <c r="AD1490">
        <v>0.20427400000000001</v>
      </c>
      <c r="AE1490">
        <v>-25.8570999999999</v>
      </c>
      <c r="AF1490">
        <v>17.820457288297401</v>
      </c>
      <c r="AG1490">
        <v>0.20427400000000001</v>
      </c>
      <c r="AH1490">
        <v>50.767630006985101</v>
      </c>
      <c r="AI1490">
        <v>89.782471941348206</v>
      </c>
      <c r="AJ1490">
        <v>70.657902655903698</v>
      </c>
      <c r="AK1490">
        <v>53.804857423445</v>
      </c>
    </row>
    <row r="1491" spans="1:37" x14ac:dyDescent="0.2">
      <c r="A1491" t="str">
        <f>"20200111155525865"</f>
        <v>20200111155525865</v>
      </c>
      <c r="B1491" t="str">
        <f>"1578729325853939"</f>
        <v>1578729325853939</v>
      </c>
      <c r="C1491" t="s">
        <v>37</v>
      </c>
      <c r="D1491">
        <v>4.2707220000000001</v>
      </c>
      <c r="E1491">
        <v>0.64360769999999901</v>
      </c>
      <c r="F1491" t="s">
        <v>43</v>
      </c>
      <c r="G1491">
        <v>-168.98240000000001</v>
      </c>
      <c r="H1491">
        <v>1.311644</v>
      </c>
      <c r="I1491">
        <v>340.46929999999998</v>
      </c>
      <c r="J1491">
        <v>-216.04509999999999</v>
      </c>
      <c r="K1491">
        <v>1.1023289999999999</v>
      </c>
      <c r="L1491">
        <v>366.49959999999999</v>
      </c>
      <c r="M1491">
        <v>0.98616150000000002</v>
      </c>
      <c r="N1491">
        <v>0</v>
      </c>
      <c r="O1491">
        <v>-0.16520760000000001</v>
      </c>
      <c r="P1491">
        <v>0.98960700000000001</v>
      </c>
      <c r="Q1491">
        <v>1.094323E-2</v>
      </c>
      <c r="R1491">
        <v>-0.14338119999999999</v>
      </c>
      <c r="S1491">
        <v>2.8099669999999999</v>
      </c>
      <c r="T1491">
        <v>1.246452E-2</v>
      </c>
      <c r="U1491">
        <v>-1.5515139999999901</v>
      </c>
      <c r="V1491">
        <v>-2.193529E-2</v>
      </c>
      <c r="W1491">
        <v>2.4935349999999998E-2</v>
      </c>
      <c r="X1491">
        <v>0.99944840000000001</v>
      </c>
      <c r="Y1491">
        <v>0.33207629999999999</v>
      </c>
      <c r="Z1491" s="1">
        <v>1.28716899999999E-5</v>
      </c>
      <c r="AA1491">
        <v>0.9432526</v>
      </c>
      <c r="AB1491">
        <v>23</v>
      </c>
      <c r="AC1491">
        <v>47.0626999999999</v>
      </c>
      <c r="AD1491">
        <v>0.209314999999999</v>
      </c>
      <c r="AE1491">
        <v>-26.0303</v>
      </c>
      <c r="AF1491">
        <v>17.896410567238998</v>
      </c>
      <c r="AG1491">
        <v>0.209314999999999</v>
      </c>
      <c r="AH1491">
        <v>50.715925651034297</v>
      </c>
      <c r="AI1491">
        <v>89.777006286825596</v>
      </c>
      <c r="AJ1491">
        <v>70.563308443630007</v>
      </c>
      <c r="AK1491">
        <v>53.781320536052696</v>
      </c>
    </row>
    <row r="1492" spans="1:37" x14ac:dyDescent="0.2">
      <c r="A1492" t="str">
        <f>"20200111155525876"</f>
        <v>20200111155525876</v>
      </c>
      <c r="B1492" t="str">
        <f>"1578729325873459"</f>
        <v>1578729325873459</v>
      </c>
      <c r="C1492" t="s">
        <v>37</v>
      </c>
      <c r="D1492">
        <v>4.2332919999999996</v>
      </c>
      <c r="E1492">
        <v>0.64445989999999997</v>
      </c>
      <c r="F1492" t="s">
        <v>43</v>
      </c>
      <c r="G1492">
        <v>-168.98240000000001</v>
      </c>
      <c r="H1492">
        <v>1.3092859999999999</v>
      </c>
      <c r="I1492">
        <v>340.26400000000001</v>
      </c>
      <c r="J1492">
        <v>-215.92840000000001</v>
      </c>
      <c r="K1492">
        <v>1.102314</v>
      </c>
      <c r="L1492">
        <v>366.47770000000003</v>
      </c>
      <c r="M1492">
        <v>0.9857998</v>
      </c>
      <c r="N1492">
        <v>0</v>
      </c>
      <c r="O1492">
        <v>-0.16735239999999901</v>
      </c>
      <c r="P1492">
        <v>0.98923289999999997</v>
      </c>
      <c r="Q1492">
        <v>1.0204680000000001E-2</v>
      </c>
      <c r="R1492">
        <v>-0.1459934</v>
      </c>
      <c r="S1492">
        <v>2.8048099999999998</v>
      </c>
      <c r="T1492">
        <v>1.233447E-2</v>
      </c>
      <c r="U1492">
        <v>-1.5635680000000001</v>
      </c>
      <c r="V1492">
        <v>-2.147578E-2</v>
      </c>
      <c r="W1492">
        <v>2.4195520000000002E-2</v>
      </c>
      <c r="X1492">
        <v>0.99947659999999905</v>
      </c>
      <c r="Y1492">
        <v>0.33385589999999998</v>
      </c>
      <c r="Z1492" s="1">
        <v>7.9338789999999996E-6</v>
      </c>
      <c r="AA1492">
        <v>0.94262420000000002</v>
      </c>
      <c r="AB1492">
        <v>23</v>
      </c>
      <c r="AC1492">
        <v>46.945999999999998</v>
      </c>
      <c r="AD1492">
        <v>0.20697199999999999</v>
      </c>
      <c r="AE1492">
        <v>-26.213699999999999</v>
      </c>
      <c r="AF1492">
        <v>17.986394100729701</v>
      </c>
      <c r="AG1492">
        <v>0.20697199999999999</v>
      </c>
      <c r="AH1492">
        <v>50.670395084603399</v>
      </c>
      <c r="AI1492">
        <v>89.779449478186706</v>
      </c>
      <c r="AJ1492">
        <v>70.456740547781195</v>
      </c>
      <c r="AK1492">
        <v>53.768412178391003</v>
      </c>
    </row>
    <row r="1493" spans="1:37" x14ac:dyDescent="0.2">
      <c r="A1493" t="str">
        <f>"20200111155525888"</f>
        <v>20200111155525888</v>
      </c>
      <c r="B1493" t="str">
        <f>"1578729325883219"</f>
        <v>1578729325883219</v>
      </c>
      <c r="C1493" t="s">
        <v>37</v>
      </c>
      <c r="D1493">
        <v>4.2554720000000001</v>
      </c>
      <c r="E1493">
        <v>0.64486499999999902</v>
      </c>
      <c r="F1493" t="s">
        <v>43</v>
      </c>
      <c r="G1493">
        <v>-168.98240000000001</v>
      </c>
      <c r="H1493">
        <v>1.3202069999999999</v>
      </c>
      <c r="I1493">
        <v>340.02699999999999</v>
      </c>
      <c r="J1493">
        <v>-215.81549999999999</v>
      </c>
      <c r="K1493">
        <v>1.102293</v>
      </c>
      <c r="L1493">
        <v>366.45609999999999</v>
      </c>
      <c r="M1493">
        <v>0.98544140000000002</v>
      </c>
      <c r="N1493">
        <v>0</v>
      </c>
      <c r="O1493">
        <v>-0.16944979999999901</v>
      </c>
      <c r="P1493">
        <v>0.98886749999999901</v>
      </c>
      <c r="Q1493">
        <v>9.50584199999999E-3</v>
      </c>
      <c r="R1493">
        <v>-0.14849609999999999</v>
      </c>
      <c r="S1493">
        <v>2.7996979999999998</v>
      </c>
      <c r="T1493">
        <v>1.2994769999999999E-2</v>
      </c>
      <c r="U1493">
        <v>-1.577423</v>
      </c>
      <c r="V1493">
        <v>-2.1078659999999999E-2</v>
      </c>
      <c r="W1493">
        <v>2.3495720000000001E-2</v>
      </c>
      <c r="X1493">
        <v>0.99950169999999905</v>
      </c>
      <c r="Y1493">
        <v>0.33612880000000001</v>
      </c>
      <c r="Z1493" s="1">
        <v>4.5712219999999997E-6</v>
      </c>
      <c r="AA1493">
        <v>0.94181599999999999</v>
      </c>
      <c r="AB1493">
        <v>23</v>
      </c>
      <c r="AC1493">
        <v>46.833099999999902</v>
      </c>
      <c r="AD1493">
        <v>0.217913999999999</v>
      </c>
      <c r="AE1493">
        <v>-26.429099999999998</v>
      </c>
      <c r="AF1493">
        <v>18.1099112718193</v>
      </c>
      <c r="AG1493">
        <v>0.217913999999999</v>
      </c>
      <c r="AH1493">
        <v>50.6337113538331</v>
      </c>
      <c r="AI1493">
        <v>89.767819551614096</v>
      </c>
      <c r="AJ1493">
        <v>70.319643061571099</v>
      </c>
      <c r="AK1493">
        <v>53.775357723104499</v>
      </c>
    </row>
    <row r="1494" spans="1:37" x14ac:dyDescent="0.2">
      <c r="A1494" t="str">
        <f>"20200111155525898"</f>
        <v>20200111155525898</v>
      </c>
      <c r="B1494" t="str">
        <f>"1578729325893955"</f>
        <v>1578729325893955</v>
      </c>
      <c r="C1494" t="s">
        <v>37</v>
      </c>
      <c r="D1494">
        <v>4.234737</v>
      </c>
      <c r="E1494">
        <v>0.64525290000000002</v>
      </c>
      <c r="F1494" t="s">
        <v>43</v>
      </c>
      <c r="G1494">
        <v>-168.40049999999999</v>
      </c>
      <c r="H1494">
        <v>1.3174939999999999</v>
      </c>
      <c r="I1494">
        <v>339.5172</v>
      </c>
      <c r="J1494">
        <v>-215.7011</v>
      </c>
      <c r="K1494">
        <v>1.102276</v>
      </c>
      <c r="L1494">
        <v>366.4341</v>
      </c>
      <c r="M1494">
        <v>0.98507309999999904</v>
      </c>
      <c r="N1494">
        <v>0</v>
      </c>
      <c r="O1494">
        <v>-0.17157829999999999</v>
      </c>
      <c r="P1494">
        <v>0.98849240000000005</v>
      </c>
      <c r="Q1494">
        <v>8.8532030000000005E-3</v>
      </c>
      <c r="R1494">
        <v>-0.15101220000000001</v>
      </c>
      <c r="S1494">
        <v>2.795166</v>
      </c>
      <c r="T1494">
        <v>1.268673E-2</v>
      </c>
      <c r="U1494">
        <v>-1.588074</v>
      </c>
      <c r="V1494">
        <v>-2.0698640000000001E-2</v>
      </c>
      <c r="W1494">
        <v>2.2842149999999999E-2</v>
      </c>
      <c r="X1494">
        <v>0.99952479999999999</v>
      </c>
      <c r="Y1494">
        <v>0.33746409999999999</v>
      </c>
      <c r="Z1494" s="1">
        <v>-1.351465E-6</v>
      </c>
      <c r="AA1494">
        <v>0.94133840000000002</v>
      </c>
      <c r="AB1494">
        <v>23</v>
      </c>
      <c r="AC1494">
        <v>47.300600000000003</v>
      </c>
      <c r="AD1494">
        <v>0.21521799999999899</v>
      </c>
      <c r="AE1494">
        <v>-26.916899999999998</v>
      </c>
      <c r="AF1494">
        <v>18.400835268156801</v>
      </c>
      <c r="AG1494">
        <v>0.21521799999999899</v>
      </c>
      <c r="AH1494">
        <v>51.217017601595202</v>
      </c>
      <c r="AI1494">
        <v>89.773419240299901</v>
      </c>
      <c r="AJ1494">
        <v>70.238062992652502</v>
      </c>
      <c r="AK1494">
        <v>54.422605132017303</v>
      </c>
    </row>
    <row r="1495" spans="1:37" x14ac:dyDescent="0.2">
      <c r="A1495" t="str">
        <f>"20200111155525910"</f>
        <v>20200111155525910</v>
      </c>
      <c r="B1495" t="str">
        <f>"1578729325903714"</f>
        <v>1578729325903714</v>
      </c>
      <c r="C1495" t="s">
        <v>37</v>
      </c>
      <c r="D1495">
        <v>4.2461960000000003</v>
      </c>
      <c r="E1495">
        <v>0.64563459999999995</v>
      </c>
      <c r="F1495" t="s">
        <v>43</v>
      </c>
      <c r="G1495">
        <v>-168.40049999999999</v>
      </c>
      <c r="H1495">
        <v>1.303377</v>
      </c>
      <c r="I1495">
        <v>339.34339999999997</v>
      </c>
      <c r="J1495">
        <v>-215.58099999999999</v>
      </c>
      <c r="K1495">
        <v>1.102258</v>
      </c>
      <c r="L1495">
        <v>366.41050000000001</v>
      </c>
      <c r="M1495">
        <v>0.98467640000000001</v>
      </c>
      <c r="N1495">
        <v>0</v>
      </c>
      <c r="O1495">
        <v>-0.173840299999999</v>
      </c>
      <c r="P1495">
        <v>0.98811289999999996</v>
      </c>
      <c r="Q1495">
        <v>8.1925769999999995E-3</v>
      </c>
      <c r="R1495">
        <v>-0.1535118</v>
      </c>
      <c r="S1495">
        <v>2.7906490000000002</v>
      </c>
      <c r="T1495">
        <v>1.186502E-2</v>
      </c>
      <c r="U1495">
        <v>-1.5982969999999901</v>
      </c>
      <c r="V1495">
        <v>-2.047065E-2</v>
      </c>
      <c r="W1495">
        <v>2.2181900000000001E-2</v>
      </c>
      <c r="X1495">
        <v>0.9995444</v>
      </c>
      <c r="Y1495">
        <v>0.33855689999999999</v>
      </c>
      <c r="Z1495" s="1">
        <v>-7.6912110000000002E-6</v>
      </c>
      <c r="AA1495">
        <v>0.9409459</v>
      </c>
      <c r="AB1495">
        <v>23</v>
      </c>
      <c r="AC1495">
        <v>47.180500000000002</v>
      </c>
      <c r="AD1495">
        <v>0.20111899999999999</v>
      </c>
      <c r="AE1495">
        <v>-27.0671</v>
      </c>
      <c r="AF1495">
        <v>18.451980967800498</v>
      </c>
      <c r="AG1495">
        <v>0.20111899999999999</v>
      </c>
      <c r="AH1495">
        <v>51.167088885127697</v>
      </c>
      <c r="AI1495">
        <v>89.788147034283995</v>
      </c>
      <c r="AJ1495">
        <v>70.169577690457302</v>
      </c>
      <c r="AK1495">
        <v>54.392895082600603</v>
      </c>
    </row>
    <row r="1496" spans="1:37" x14ac:dyDescent="0.2">
      <c r="A1496" t="str">
        <f>"20200111155525922"</f>
        <v>20200111155525922</v>
      </c>
      <c r="B1496" t="str">
        <f>"1578729325913475"</f>
        <v>1578729325913475</v>
      </c>
      <c r="C1496" t="s">
        <v>37</v>
      </c>
      <c r="D1496">
        <v>4.217848</v>
      </c>
      <c r="E1496">
        <v>0.64602320000000002</v>
      </c>
      <c r="F1496" t="s">
        <v>43</v>
      </c>
      <c r="G1496">
        <v>-168.40049999999999</v>
      </c>
      <c r="H1496">
        <v>1.2883439999999999</v>
      </c>
      <c r="I1496">
        <v>339.17899999999997</v>
      </c>
      <c r="J1496">
        <v>-215.47309999999999</v>
      </c>
      <c r="K1496">
        <v>1.102241</v>
      </c>
      <c r="L1496">
        <v>366.38920000000002</v>
      </c>
      <c r="M1496">
        <v>0.98431420000000003</v>
      </c>
      <c r="N1496">
        <v>0</v>
      </c>
      <c r="O1496">
        <v>-0.1758796</v>
      </c>
      <c r="P1496">
        <v>0.98777420000000005</v>
      </c>
      <c r="Q1496">
        <v>7.4570499999999998E-3</v>
      </c>
      <c r="R1496">
        <v>-0.15571370000000001</v>
      </c>
      <c r="S1496">
        <v>2.7861479999999998</v>
      </c>
      <c r="T1496">
        <v>1.098931E-2</v>
      </c>
      <c r="U1496">
        <v>-1.608093</v>
      </c>
      <c r="V1496">
        <v>-2.031846E-2</v>
      </c>
      <c r="W1496">
        <v>2.144679E-2</v>
      </c>
      <c r="X1496">
        <v>0.99956350000000005</v>
      </c>
      <c r="Y1496">
        <v>0.33974860000000001</v>
      </c>
      <c r="Z1496" s="1">
        <v>-1.210906E-5</v>
      </c>
      <c r="AA1496">
        <v>0.94051629999999997</v>
      </c>
      <c r="AB1496">
        <v>23</v>
      </c>
      <c r="AC1496">
        <v>47.072600000000001</v>
      </c>
      <c r="AD1496">
        <v>0.18610299999999999</v>
      </c>
      <c r="AE1496">
        <v>-27.210199999999901</v>
      </c>
      <c r="AF1496">
        <v>18.505835320848899</v>
      </c>
      <c r="AG1496">
        <v>0.18610299999999999</v>
      </c>
      <c r="AH1496">
        <v>51.124254971996201</v>
      </c>
      <c r="AI1496">
        <v>89.803885059222793</v>
      </c>
      <c r="AJ1496">
        <v>70.100878533347398</v>
      </c>
      <c r="AK1496">
        <v>54.370856363411001</v>
      </c>
    </row>
    <row r="1497" spans="1:37" x14ac:dyDescent="0.2">
      <c r="A1497" t="str">
        <f>"20200111155525933"</f>
        <v>20200111155525933</v>
      </c>
      <c r="B1497" t="str">
        <f>"1578729325923235"</f>
        <v>1578729325923235</v>
      </c>
      <c r="C1497" t="s">
        <v>37</v>
      </c>
      <c r="D1497">
        <v>4.2197589999999998</v>
      </c>
      <c r="E1497">
        <v>0.64640359999999997</v>
      </c>
      <c r="F1497" t="s">
        <v>43</v>
      </c>
      <c r="G1497">
        <v>-168.40049999999999</v>
      </c>
      <c r="H1497">
        <v>1.274006</v>
      </c>
      <c r="I1497">
        <v>339.01729999999998</v>
      </c>
      <c r="J1497">
        <v>-215.35079999999999</v>
      </c>
      <c r="K1497">
        <v>1.102223</v>
      </c>
      <c r="L1497">
        <v>366.3646</v>
      </c>
      <c r="M1497">
        <v>0.98389479999999996</v>
      </c>
      <c r="N1497">
        <v>0</v>
      </c>
      <c r="O1497">
        <v>-0.17821039999999999</v>
      </c>
      <c r="P1497">
        <v>0.98738630000000005</v>
      </c>
      <c r="Q1497">
        <v>6.7633900000000002E-3</v>
      </c>
      <c r="R1497">
        <v>-0.15818560000000001</v>
      </c>
      <c r="S1497">
        <v>2.7820429999999998</v>
      </c>
      <c r="T1497">
        <v>1.015186E-2</v>
      </c>
      <c r="U1497">
        <v>-1.6177059999999901</v>
      </c>
      <c r="V1497">
        <v>-2.018911E-2</v>
      </c>
      <c r="W1497">
        <v>2.0754100000000001E-2</v>
      </c>
      <c r="X1497">
        <v>0.99958069999999899</v>
      </c>
      <c r="Y1497">
        <v>0.34055380000000002</v>
      </c>
      <c r="Z1497" s="1">
        <v>-1.7397110000000001E-5</v>
      </c>
      <c r="AA1497">
        <v>0.94022510000000004</v>
      </c>
      <c r="AB1497">
        <v>23</v>
      </c>
      <c r="AC1497">
        <v>46.950299999999999</v>
      </c>
      <c r="AD1497">
        <v>0.17178299999999999</v>
      </c>
      <c r="AE1497">
        <v>-27.347300000000001</v>
      </c>
      <c r="AF1497">
        <v>18.5414299700181</v>
      </c>
      <c r="AG1497">
        <v>0.17178299999999999</v>
      </c>
      <c r="AH1497">
        <v>51.072123943827002</v>
      </c>
      <c r="AI1497">
        <v>89.818852469534306</v>
      </c>
      <c r="AJ1497">
        <v>70.046873538373404</v>
      </c>
      <c r="AK1497">
        <v>54.333930272582002</v>
      </c>
    </row>
    <row r="1498" spans="1:37" x14ac:dyDescent="0.2">
      <c r="A1498" t="str">
        <f>"20200111155525945"</f>
        <v>20200111155525945</v>
      </c>
      <c r="B1498" t="str">
        <f>"1578729325933971"</f>
        <v>1578729325933971</v>
      </c>
      <c r="C1498" t="s">
        <v>37</v>
      </c>
      <c r="D1498">
        <v>4.2064449999999898</v>
      </c>
      <c r="E1498">
        <v>0.64677969999999996</v>
      </c>
      <c r="F1498" t="s">
        <v>43</v>
      </c>
      <c r="G1498">
        <v>-168.40049999999999</v>
      </c>
      <c r="H1498">
        <v>1.258051</v>
      </c>
      <c r="I1498">
        <v>338.85079999999999</v>
      </c>
      <c r="J1498">
        <v>-215.23310000000001</v>
      </c>
      <c r="K1498">
        <v>1.1022069999999999</v>
      </c>
      <c r="L1498">
        <v>366.34070000000003</v>
      </c>
      <c r="M1498">
        <v>0.98348269999999904</v>
      </c>
      <c r="N1498">
        <v>0</v>
      </c>
      <c r="O1498">
        <v>-0.18047099999999999</v>
      </c>
      <c r="P1498">
        <v>0.9870004</v>
      </c>
      <c r="Q1498">
        <v>6.0851940000000004E-3</v>
      </c>
      <c r="R1498">
        <v>-0.1606031</v>
      </c>
      <c r="S1498">
        <v>2.7774809999999999</v>
      </c>
      <c r="T1498">
        <v>9.2188119999999998E-3</v>
      </c>
      <c r="U1498">
        <v>-1.6276549999999901</v>
      </c>
      <c r="V1498">
        <v>-2.0043060000000001E-2</v>
      </c>
      <c r="W1498">
        <v>2.007666E-2</v>
      </c>
      <c r="X1498">
        <v>0.99959750000000003</v>
      </c>
      <c r="Y1498">
        <v>0.34157480000000001</v>
      </c>
      <c r="Z1498" s="1">
        <v>-2.0897129999999999E-5</v>
      </c>
      <c r="AA1498">
        <v>0.93985459999999998</v>
      </c>
      <c r="AB1498">
        <v>23</v>
      </c>
      <c r="AC1498">
        <v>46.832599999999999</v>
      </c>
      <c r="AD1498">
        <v>0.15584400000000001</v>
      </c>
      <c r="AE1498">
        <v>-27.489899999999999</v>
      </c>
      <c r="AF1498">
        <v>18.585546137272502</v>
      </c>
      <c r="AG1498">
        <v>0.15584400000000001</v>
      </c>
      <c r="AH1498">
        <v>51.024659973827497</v>
      </c>
      <c r="AI1498">
        <v>89.835570902677304</v>
      </c>
      <c r="AJ1498">
        <v>69.986031611278904</v>
      </c>
      <c r="AK1498">
        <v>54.3043528459527</v>
      </c>
    </row>
    <row r="1499" spans="1:37" x14ac:dyDescent="0.2">
      <c r="A1499" t="str">
        <f>"20200111155525957"</f>
        <v>20200111155525957</v>
      </c>
      <c r="B1499" t="str">
        <f>"1578729325953491"</f>
        <v>1578729325953491</v>
      </c>
      <c r="C1499" t="s">
        <v>37</v>
      </c>
      <c r="D1499">
        <v>4.2425559999999898</v>
      </c>
      <c r="E1499">
        <v>0.64749440000000003</v>
      </c>
      <c r="F1499" t="s">
        <v>43</v>
      </c>
      <c r="G1499">
        <v>-168.40049999999999</v>
      </c>
      <c r="H1499">
        <v>1.2425379999999999</v>
      </c>
      <c r="I1499">
        <v>338.68369999999999</v>
      </c>
      <c r="J1499">
        <v>-215.11080000000001</v>
      </c>
      <c r="K1499">
        <v>1.1021879999999999</v>
      </c>
      <c r="L1499">
        <v>366.31560000000002</v>
      </c>
      <c r="M1499">
        <v>0.98304709999999995</v>
      </c>
      <c r="N1499">
        <v>0</v>
      </c>
      <c r="O1499">
        <v>-0.18282909999999999</v>
      </c>
      <c r="P1499">
        <v>0.98662150000000004</v>
      </c>
      <c r="Q1499">
        <v>5.55618E-3</v>
      </c>
      <c r="R1499">
        <v>-0.16293270000000001</v>
      </c>
      <c r="S1499">
        <v>2.772964</v>
      </c>
      <c r="T1499">
        <v>8.3093639999999996E-3</v>
      </c>
      <c r="U1499">
        <v>-1.6375729999999999</v>
      </c>
      <c r="V1499">
        <v>-2.008331E-2</v>
      </c>
      <c r="W1499">
        <v>1.9549380000000002E-2</v>
      </c>
      <c r="X1499">
        <v>0.99960709999999997</v>
      </c>
      <c r="Y1499">
        <v>0.34248449999999903</v>
      </c>
      <c r="Z1499" s="1">
        <v>-2.3845959999999999E-5</v>
      </c>
      <c r="AA1499">
        <v>0.93952349999999996</v>
      </c>
      <c r="AB1499">
        <v>23</v>
      </c>
      <c r="AC1499">
        <v>46.710299999999997</v>
      </c>
      <c r="AD1499">
        <v>0.140349999999999</v>
      </c>
      <c r="AE1499">
        <v>-27.631900000000002</v>
      </c>
      <c r="AF1499">
        <v>18.625119849759201</v>
      </c>
      <c r="AG1499">
        <v>0.140349999999999</v>
      </c>
      <c r="AH1499">
        <v>50.9748912547375</v>
      </c>
      <c r="AI1499">
        <v>89.8518277896369</v>
      </c>
      <c r="AJ1499">
        <v>69.928792628185406</v>
      </c>
      <c r="AK1499">
        <v>54.271118709426901</v>
      </c>
    </row>
    <row r="1500" spans="1:37" x14ac:dyDescent="0.2">
      <c r="A1500" t="str">
        <f>"20200111155525969"</f>
        <v>20200111155525969</v>
      </c>
      <c r="B1500" t="str">
        <f>"1578729325963672"</f>
        <v>1578729325963672</v>
      </c>
      <c r="C1500" t="s">
        <v>37</v>
      </c>
      <c r="D1500">
        <v>4.2022399999999998</v>
      </c>
      <c r="E1500">
        <v>0.64783349999999995</v>
      </c>
      <c r="F1500" t="s">
        <v>43</v>
      </c>
      <c r="G1500">
        <v>-168.40049999999999</v>
      </c>
      <c r="H1500">
        <v>1.265836</v>
      </c>
      <c r="I1500">
        <v>338.48090000000002</v>
      </c>
      <c r="J1500">
        <v>-214.9924</v>
      </c>
      <c r="K1500">
        <v>1.1021719999999999</v>
      </c>
      <c r="L1500">
        <v>366.29090000000002</v>
      </c>
      <c r="M1500">
        <v>0.9826146</v>
      </c>
      <c r="N1500">
        <v>0</v>
      </c>
      <c r="O1500">
        <v>-0.18513850000000001</v>
      </c>
      <c r="P1500">
        <v>0.98623749999999999</v>
      </c>
      <c r="Q1500">
        <v>5.256986E-3</v>
      </c>
      <c r="R1500">
        <v>-0.16525109999999901</v>
      </c>
      <c r="S1500">
        <v>2.7681879999999999</v>
      </c>
      <c r="T1500">
        <v>9.6986290000000003E-3</v>
      </c>
      <c r="U1500">
        <v>-1.64956699999999</v>
      </c>
      <c r="V1500">
        <v>-2.0084379999999999E-2</v>
      </c>
      <c r="W1500">
        <v>1.9251890000000001E-2</v>
      </c>
      <c r="X1500">
        <v>0.99961290000000003</v>
      </c>
      <c r="Y1500">
        <v>0.3439952</v>
      </c>
      <c r="Z1500" s="1">
        <v>-3.2543499999999998E-5</v>
      </c>
      <c r="AA1500">
        <v>0.93897140000000001</v>
      </c>
      <c r="AB1500">
        <v>23</v>
      </c>
      <c r="AC1500">
        <v>46.591900000000003</v>
      </c>
      <c r="AD1500">
        <v>0.163664</v>
      </c>
      <c r="AE1500">
        <v>-27.81</v>
      </c>
      <c r="AF1500">
        <v>18.702185563525301</v>
      </c>
      <c r="AG1500">
        <v>0.163664</v>
      </c>
      <c r="AH1500">
        <v>50.935016733861403</v>
      </c>
      <c r="AI1500">
        <v>89.827179729053697</v>
      </c>
      <c r="AJ1500">
        <v>69.837907382547698</v>
      </c>
      <c r="AK1500">
        <v>54.260247515434102</v>
      </c>
    </row>
    <row r="1501" spans="1:37" x14ac:dyDescent="0.2">
      <c r="A1501" t="str">
        <f>"20200111155525981"</f>
        <v>20200111155525981</v>
      </c>
      <c r="B1501" t="str">
        <f>"1578729325973431"</f>
        <v>1578729325973431</v>
      </c>
      <c r="C1501" t="s">
        <v>37</v>
      </c>
      <c r="D1501">
        <v>4.2128779999999999</v>
      </c>
      <c r="E1501">
        <v>0.64819099999999996</v>
      </c>
      <c r="F1501" t="s">
        <v>43</v>
      </c>
      <c r="G1501">
        <v>-168.40049999999999</v>
      </c>
      <c r="H1501">
        <v>1.2730870000000001</v>
      </c>
      <c r="I1501">
        <v>338.32619999999997</v>
      </c>
      <c r="J1501">
        <v>-214.86949999999999</v>
      </c>
      <c r="K1501">
        <v>1.1021570000000001</v>
      </c>
      <c r="L1501">
        <v>366.26499999999999</v>
      </c>
      <c r="M1501">
        <v>0.98215769999999902</v>
      </c>
      <c r="N1501">
        <v>0</v>
      </c>
      <c r="O1501">
        <v>-0.18754760000000001</v>
      </c>
      <c r="P1501">
        <v>0.98585409999999996</v>
      </c>
      <c r="Q1501">
        <v>4.893115E-3</v>
      </c>
      <c r="R1501">
        <v>-0.16753389999999899</v>
      </c>
      <c r="S1501">
        <v>2.763855</v>
      </c>
      <c r="T1501">
        <v>1.013911E-2</v>
      </c>
      <c r="U1501">
        <v>-1.6588750000000001</v>
      </c>
      <c r="V1501">
        <v>-2.022322E-2</v>
      </c>
      <c r="W1501">
        <v>1.889099E-2</v>
      </c>
      <c r="X1501">
        <v>0.99961699999999998</v>
      </c>
      <c r="Y1501">
        <v>0.34466790000000003</v>
      </c>
      <c r="Z1501" s="1">
        <v>-4.0701770000000002E-5</v>
      </c>
      <c r="AA1501">
        <v>0.93872469999999997</v>
      </c>
      <c r="AB1501">
        <v>23</v>
      </c>
      <c r="AC1501">
        <v>46.468999999999902</v>
      </c>
      <c r="AD1501">
        <v>0.17093</v>
      </c>
      <c r="AE1501">
        <v>-27.938800000000001</v>
      </c>
      <c r="AF1501">
        <v>18.7267712978445</v>
      </c>
      <c r="AG1501">
        <v>0.17093</v>
      </c>
      <c r="AH1501">
        <v>50.884124340893202</v>
      </c>
      <c r="AI1501">
        <v>89.8193765073176</v>
      </c>
      <c r="AJ1501">
        <v>69.794983030010599</v>
      </c>
      <c r="AK1501">
        <v>54.220985699691603</v>
      </c>
    </row>
    <row r="1502" spans="1:37" x14ac:dyDescent="0.2">
      <c r="A1502" t="str">
        <f>"20200111155525992"</f>
        <v>20200111155525992</v>
      </c>
      <c r="B1502" t="str">
        <f>"1578729325984169"</f>
        <v>1578729325984169</v>
      </c>
      <c r="C1502" t="s">
        <v>37</v>
      </c>
      <c r="D1502">
        <v>4.207433</v>
      </c>
      <c r="E1502">
        <v>0.64853640000000001</v>
      </c>
      <c r="F1502" t="s">
        <v>43</v>
      </c>
      <c r="G1502">
        <v>-168.40049999999999</v>
      </c>
      <c r="H1502">
        <v>1.280437</v>
      </c>
      <c r="I1502">
        <v>338.17669999999998</v>
      </c>
      <c r="J1502">
        <v>-214.75069999999999</v>
      </c>
      <c r="K1502">
        <v>1.1021379999999901</v>
      </c>
      <c r="L1502">
        <v>366.2396</v>
      </c>
      <c r="M1502">
        <v>0.98170569999999902</v>
      </c>
      <c r="N1502">
        <v>0</v>
      </c>
      <c r="O1502">
        <v>-0.18989900000000001</v>
      </c>
      <c r="P1502">
        <v>0.98544319999999896</v>
      </c>
      <c r="Q1502">
        <v>5.0190929999999996E-3</v>
      </c>
      <c r="R1502">
        <v>-0.1699311</v>
      </c>
      <c r="S1502">
        <v>2.7595209999999999</v>
      </c>
      <c r="T1502">
        <v>1.0587330000000001E-2</v>
      </c>
      <c r="U1502">
        <v>-1.667999</v>
      </c>
      <c r="V1502">
        <v>-2.0184569999999999E-2</v>
      </c>
      <c r="W1502">
        <v>1.9018279999999999E-2</v>
      </c>
      <c r="X1502">
        <v>0.99961540000000004</v>
      </c>
      <c r="Y1502">
        <v>0.34534670000000001</v>
      </c>
      <c r="Z1502" s="1">
        <v>-4.9270859999999898E-5</v>
      </c>
      <c r="AA1502">
        <v>0.93847519999999995</v>
      </c>
      <c r="AB1502">
        <v>23</v>
      </c>
      <c r="AC1502">
        <v>46.350200000000001</v>
      </c>
      <c r="AD1502">
        <v>0.17829900000000001</v>
      </c>
      <c r="AE1502">
        <v>-28.062899999999999</v>
      </c>
      <c r="AF1502">
        <v>18.749251973581099</v>
      </c>
      <c r="AG1502">
        <v>0.17829900000000001</v>
      </c>
      <c r="AH1502">
        <v>50.835709563721601</v>
      </c>
      <c r="AI1502">
        <v>89.8114587175168</v>
      </c>
      <c r="AJ1502">
        <v>69.754991612497804</v>
      </c>
      <c r="AK1502">
        <v>54.183351750785</v>
      </c>
    </row>
    <row r="1503" spans="1:37" x14ac:dyDescent="0.2">
      <c r="A1503" t="str">
        <f>"20200111155526005"</f>
        <v>20200111155526005</v>
      </c>
      <c r="B1503" t="str">
        <f>"1578729325993927"</f>
        <v>1578729325993927</v>
      </c>
      <c r="C1503" t="s">
        <v>37</v>
      </c>
      <c r="D1503">
        <v>4.389024</v>
      </c>
      <c r="E1503">
        <v>0.64893999999999996</v>
      </c>
      <c r="F1503" t="s">
        <v>43</v>
      </c>
      <c r="G1503">
        <v>-168.40049999999999</v>
      </c>
      <c r="H1503">
        <v>1.3086610000000001</v>
      </c>
      <c r="I1503">
        <v>338.0204</v>
      </c>
      <c r="J1503">
        <v>-214.63470000000001</v>
      </c>
      <c r="K1503">
        <v>1.1021239999999899</v>
      </c>
      <c r="L1503">
        <v>366.21449999999999</v>
      </c>
      <c r="M1503">
        <v>0.98125620000000002</v>
      </c>
      <c r="N1503">
        <v>0</v>
      </c>
      <c r="O1503">
        <v>-0.19220899999999999</v>
      </c>
      <c r="P1503">
        <v>0.98508569999999995</v>
      </c>
      <c r="Q1503">
        <v>5.2572130000000002E-3</v>
      </c>
      <c r="R1503">
        <v>-0.17198540000000001</v>
      </c>
      <c r="S1503">
        <v>2.7549899999999998</v>
      </c>
      <c r="T1503">
        <v>1.227582E-2</v>
      </c>
      <c r="U1503">
        <v>-1.6773069999999899</v>
      </c>
      <c r="V1503">
        <v>-2.045044E-2</v>
      </c>
      <c r="W1503">
        <v>1.9259990000000001E-2</v>
      </c>
      <c r="X1503">
        <v>0.99960539999999998</v>
      </c>
      <c r="Y1503">
        <v>0.34613729999999998</v>
      </c>
      <c r="Z1503" s="1">
        <v>-6.4585469999999998E-5</v>
      </c>
      <c r="AA1503">
        <v>0.93818380000000001</v>
      </c>
      <c r="AB1503">
        <v>23</v>
      </c>
      <c r="AC1503">
        <v>46.234200000000001</v>
      </c>
      <c r="AD1503">
        <v>0.206537</v>
      </c>
      <c r="AE1503">
        <v>-28.194099999999899</v>
      </c>
      <c r="AF1503">
        <v>18.780535655952399</v>
      </c>
      <c r="AG1503">
        <v>0.206537</v>
      </c>
      <c r="AH1503">
        <v>50.790891818536402</v>
      </c>
      <c r="AI1503">
        <v>89.781473018542002</v>
      </c>
      <c r="AJ1503">
        <v>69.707527624035905</v>
      </c>
      <c r="AK1503">
        <v>54.152247125850003</v>
      </c>
    </row>
    <row r="1504" spans="1:37" x14ac:dyDescent="0.2">
      <c r="A1504" t="str">
        <f>"20200111155526016"</f>
        <v>20200111155526016</v>
      </c>
      <c r="B1504" t="str">
        <f>"1578729326013448"</f>
        <v>1578729326013448</v>
      </c>
      <c r="C1504" t="s">
        <v>37</v>
      </c>
      <c r="D1504">
        <v>4.1549440000000004</v>
      </c>
      <c r="E1504">
        <v>0.64959940000000005</v>
      </c>
      <c r="F1504" t="s">
        <v>43</v>
      </c>
      <c r="G1504">
        <v>-168.40049999999999</v>
      </c>
      <c r="H1504">
        <v>1.347113</v>
      </c>
      <c r="I1504">
        <v>337.86829999999998</v>
      </c>
      <c r="J1504">
        <v>-214.5188</v>
      </c>
      <c r="K1504">
        <v>1.1021099999999999</v>
      </c>
      <c r="L1504">
        <v>366.18920000000003</v>
      </c>
      <c r="M1504">
        <v>0.98079910000000003</v>
      </c>
      <c r="N1504">
        <v>0</v>
      </c>
      <c r="O1504">
        <v>-0.19452700000000001</v>
      </c>
      <c r="P1504">
        <v>0.98471810000000004</v>
      </c>
      <c r="Q1504">
        <v>5.6023089999999998E-3</v>
      </c>
      <c r="R1504">
        <v>-0.17406549999999901</v>
      </c>
      <c r="S1504">
        <v>2.7508699999999999</v>
      </c>
      <c r="T1504">
        <v>1.457691E-2</v>
      </c>
      <c r="U1504">
        <v>-1.6865540000000001</v>
      </c>
      <c r="V1504">
        <v>-2.069768E-2</v>
      </c>
      <c r="W1504">
        <v>1.960802E-2</v>
      </c>
      <c r="X1504">
        <v>0.99959349999999902</v>
      </c>
      <c r="Y1504">
        <v>0.34683950000000002</v>
      </c>
      <c r="Z1504" s="1">
        <v>-8.5790699999999998E-5</v>
      </c>
      <c r="AA1504">
        <v>0.93792450000000005</v>
      </c>
      <c r="AB1504">
        <v>23</v>
      </c>
      <c r="AC1504">
        <v>46.118299999999998</v>
      </c>
      <c r="AD1504">
        <v>0.245002999999999</v>
      </c>
      <c r="AE1504">
        <v>-28.320900000000002</v>
      </c>
      <c r="AF1504">
        <v>18.8072823683734</v>
      </c>
      <c r="AG1504">
        <v>0.245002999999999</v>
      </c>
      <c r="AH1504">
        <v>50.745808224588401</v>
      </c>
      <c r="AI1504">
        <v>89.740616447323902</v>
      </c>
      <c r="AJ1504">
        <v>69.664414902956395</v>
      </c>
      <c r="AK1504">
        <v>54.119413789512201</v>
      </c>
    </row>
    <row r="1505" spans="1:37" x14ac:dyDescent="0.2">
      <c r="A1505" t="str">
        <f>"20200111155526031"</f>
        <v>20200111155526031</v>
      </c>
      <c r="B1505" t="str">
        <f>"1578729326024183"</f>
        <v>1578729326024183</v>
      </c>
      <c r="C1505" t="s">
        <v>37</v>
      </c>
      <c r="D1505">
        <v>4.1991110000000003</v>
      </c>
      <c r="E1505">
        <v>0.64994370000000001</v>
      </c>
      <c r="F1505" t="s">
        <v>43</v>
      </c>
      <c r="G1505">
        <v>-168.40049999999999</v>
      </c>
      <c r="H1505">
        <v>1.4123079999999999</v>
      </c>
      <c r="I1505">
        <v>337.68360000000001</v>
      </c>
      <c r="J1505">
        <v>-214.37970000000001</v>
      </c>
      <c r="K1505">
        <v>1.1021019999999999</v>
      </c>
      <c r="L1505">
        <v>366.1583</v>
      </c>
      <c r="M1505">
        <v>0.98023780000000005</v>
      </c>
      <c r="N1505">
        <v>0</v>
      </c>
      <c r="O1505">
        <v>-0.1973356</v>
      </c>
      <c r="P1505">
        <v>0.9842959</v>
      </c>
      <c r="Q1505">
        <v>6.5080700000000003E-3</v>
      </c>
      <c r="R1505">
        <v>-0.1764058</v>
      </c>
      <c r="S1505">
        <v>2.7463989999999998</v>
      </c>
      <c r="T1505">
        <v>1.8473030000000001E-2</v>
      </c>
      <c r="U1505">
        <v>-1.69754</v>
      </c>
      <c r="V1505">
        <v>-2.1176790000000001E-2</v>
      </c>
      <c r="W1505">
        <v>2.0518599999999901E-2</v>
      </c>
      <c r="X1505">
        <v>0.99956520000000004</v>
      </c>
      <c r="Y1505">
        <v>0.34755150000000001</v>
      </c>
      <c r="Z1505">
        <v>-1.231029E-4</v>
      </c>
      <c r="AA1505">
        <v>0.93766090000000002</v>
      </c>
      <c r="AB1505">
        <v>23</v>
      </c>
      <c r="AC1505">
        <v>45.979199999999999</v>
      </c>
      <c r="AD1505">
        <v>0.31020599999999898</v>
      </c>
      <c r="AE1505">
        <v>-28.474699999999899</v>
      </c>
      <c r="AF1505">
        <v>18.839838077892399</v>
      </c>
      <c r="AG1505">
        <v>0.31020599999999898</v>
      </c>
      <c r="AH1505">
        <v>50.692834088271802</v>
      </c>
      <c r="AI1505">
        <v>89.671354883483005</v>
      </c>
      <c r="AJ1505">
        <v>69.6125694023129</v>
      </c>
      <c r="AK1505">
        <v>54.0814122824534</v>
      </c>
    </row>
    <row r="1506" spans="1:37" x14ac:dyDescent="0.2">
      <c r="A1506" t="str">
        <f>"20200111155526043"</f>
        <v>20200111155526043</v>
      </c>
      <c r="B1506" t="str">
        <f>"1578729326033945"</f>
        <v>1578729326033945</v>
      </c>
      <c r="C1506" t="s">
        <v>37</v>
      </c>
      <c r="D1506">
        <v>4.1009039999999999</v>
      </c>
      <c r="E1506">
        <v>0.65023069999999905</v>
      </c>
      <c r="F1506" t="s">
        <v>43</v>
      </c>
      <c r="G1506">
        <v>-168.4006</v>
      </c>
      <c r="H1506">
        <v>1.502313</v>
      </c>
      <c r="I1506">
        <v>337.53789999999998</v>
      </c>
      <c r="J1506">
        <v>-214.2544</v>
      </c>
      <c r="K1506">
        <v>1.102093</v>
      </c>
      <c r="L1506">
        <v>366.1302</v>
      </c>
      <c r="M1506">
        <v>0.97972329999999996</v>
      </c>
      <c r="N1506">
        <v>0</v>
      </c>
      <c r="O1506">
        <v>-0.19987460000000001</v>
      </c>
      <c r="P1506">
        <v>0.98389930000000003</v>
      </c>
      <c r="Q1506">
        <v>6.9229019999999999E-3</v>
      </c>
      <c r="R1506">
        <v>-0.17858969999999999</v>
      </c>
      <c r="S1506">
        <v>2.7418369999999999</v>
      </c>
      <c r="T1506">
        <v>2.3865819999999999E-2</v>
      </c>
      <c r="U1506">
        <v>-1.706696</v>
      </c>
      <c r="V1506">
        <v>-2.1544560000000001E-2</v>
      </c>
      <c r="W1506">
        <v>2.0937170000000001E-2</v>
      </c>
      <c r="X1506">
        <v>0.99954859999999901</v>
      </c>
      <c r="Y1506">
        <v>0.3480779</v>
      </c>
      <c r="Z1506">
        <v>-1.7634049999999999E-4</v>
      </c>
      <c r="AA1506">
        <v>0.93746559999999901</v>
      </c>
      <c r="AB1506">
        <v>23</v>
      </c>
      <c r="AC1506">
        <v>45.8538</v>
      </c>
      <c r="AD1506">
        <v>0.40022000000000002</v>
      </c>
      <c r="AE1506">
        <v>-28.592300000000002</v>
      </c>
      <c r="AF1506">
        <v>18.8483120801836</v>
      </c>
      <c r="AG1506">
        <v>0.40022000000000002</v>
      </c>
      <c r="AH1506">
        <v>50.6410051215192</v>
      </c>
      <c r="AI1506">
        <v>89.575635410516895</v>
      </c>
      <c r="AJ1506">
        <v>69.585001793873602</v>
      </c>
      <c r="AK1506">
        <v>54.036380745180701</v>
      </c>
    </row>
    <row r="1507" spans="1:37" x14ac:dyDescent="0.2">
      <c r="A1507" t="str">
        <f>"20200111155526054"</f>
        <v>20200111155526054</v>
      </c>
      <c r="B1507" t="str">
        <f>"1578729326043703"</f>
        <v>1578729326043703</v>
      </c>
      <c r="C1507" t="s">
        <v>37</v>
      </c>
      <c r="D1507">
        <v>4.1277029999999897</v>
      </c>
      <c r="E1507">
        <v>0.65023069999999905</v>
      </c>
      <c r="F1507" t="s">
        <v>43</v>
      </c>
      <c r="G1507">
        <v>-168.4006</v>
      </c>
      <c r="H1507">
        <v>1.546764</v>
      </c>
      <c r="I1507">
        <v>337.40280000000001</v>
      </c>
      <c r="J1507">
        <v>-214.13749999999999</v>
      </c>
      <c r="K1507">
        <v>1.102085</v>
      </c>
      <c r="L1507">
        <v>366.10359999999997</v>
      </c>
      <c r="M1507">
        <v>0.97923389999999999</v>
      </c>
      <c r="N1507">
        <v>0</v>
      </c>
      <c r="O1507">
        <v>-0.20225899999999999</v>
      </c>
      <c r="P1507">
        <v>0.98349019999999998</v>
      </c>
      <c r="Q1507">
        <v>7.3098939999999999E-3</v>
      </c>
      <c r="R1507">
        <v>-0.18081459999999999</v>
      </c>
      <c r="S1507">
        <v>2.7375790000000002</v>
      </c>
      <c r="T1507">
        <v>2.6548269999999999E-2</v>
      </c>
      <c r="U1507">
        <v>-1.7150879999999999</v>
      </c>
      <c r="V1507">
        <v>-2.1713110000000001E-2</v>
      </c>
      <c r="W1507">
        <v>2.1326660000000001E-2</v>
      </c>
      <c r="X1507">
        <v>0.9995368</v>
      </c>
      <c r="Y1507">
        <v>0.34851539999999998</v>
      </c>
      <c r="Z1507">
        <v>-2.144894E-4</v>
      </c>
      <c r="AA1507">
        <v>0.937303</v>
      </c>
      <c r="AB1507">
        <v>23</v>
      </c>
      <c r="AC1507">
        <v>45.736899999999899</v>
      </c>
      <c r="AD1507">
        <v>0.44467899999999999</v>
      </c>
      <c r="AE1507">
        <v>-28.700799999999902</v>
      </c>
      <c r="AF1507">
        <v>18.854630679188801</v>
      </c>
      <c r="AG1507">
        <v>0.44467899999999999</v>
      </c>
      <c r="AH1507">
        <v>50.593551027818002</v>
      </c>
      <c r="AI1507">
        <v>89.528127225755199</v>
      </c>
      <c r="AJ1507">
        <v>69.561152306745598</v>
      </c>
      <c r="AK1507">
        <v>53.994464929898797</v>
      </c>
    </row>
    <row r="1508" spans="1:37" x14ac:dyDescent="0.2">
      <c r="A1508" t="str">
        <f>"20200111155526230"</f>
        <v>20200111155526230</v>
      </c>
      <c r="B1508" t="str">
        <f>"1578729326223902"</f>
        <v>1578729326223902</v>
      </c>
      <c r="C1508" t="s">
        <v>37</v>
      </c>
      <c r="D1508">
        <v>5.0638529999999999</v>
      </c>
      <c r="E1508">
        <v>0.65016790000000002</v>
      </c>
      <c r="F1508" t="s">
        <v>43</v>
      </c>
      <c r="G1508">
        <v>-168.4006</v>
      </c>
      <c r="H1508">
        <v>1.5638449999999999</v>
      </c>
      <c r="I1508">
        <v>337.30439999999999</v>
      </c>
      <c r="J1508">
        <v>-212.40110000000001</v>
      </c>
      <c r="K1508">
        <v>1.102217</v>
      </c>
      <c r="L1508">
        <v>365.67140000000001</v>
      </c>
      <c r="M1508">
        <v>0.97109230000000002</v>
      </c>
      <c r="N1508">
        <v>0</v>
      </c>
      <c r="O1508">
        <v>-0.23830129999999999</v>
      </c>
      <c r="P1508">
        <v>0.97657019999999894</v>
      </c>
      <c r="Q1508">
        <v>2.465055E-2</v>
      </c>
      <c r="R1508">
        <v>-0.2137819</v>
      </c>
      <c r="S1508">
        <v>2.733673</v>
      </c>
      <c r="T1508">
        <v>2.759957E-2</v>
      </c>
      <c r="U1508">
        <v>-1.7213130000000001</v>
      </c>
      <c r="V1508">
        <v>-2.4850000000000001E-2</v>
      </c>
      <c r="W1508">
        <v>3.8676929999999998E-2</v>
      </c>
      <c r="X1508">
        <v>0.99894269999999996</v>
      </c>
      <c r="Y1508">
        <v>0.31580779999999897</v>
      </c>
      <c r="Z1508">
        <v>-6.9152769999999996E-4</v>
      </c>
      <c r="AA1508">
        <v>0.94882289999999903</v>
      </c>
      <c r="AB1508">
        <v>22</v>
      </c>
      <c r="AC1508">
        <v>44.000500000000002</v>
      </c>
      <c r="AD1508">
        <v>0.46162799999999998</v>
      </c>
      <c r="AE1508">
        <v>-28.367000000000001</v>
      </c>
      <c r="AF1508">
        <v>17.0619124634839</v>
      </c>
      <c r="AG1508">
        <v>0.46162799999999998</v>
      </c>
      <c r="AH1508">
        <v>49.489349169494702</v>
      </c>
      <c r="AI1508">
        <v>89.494752581534996</v>
      </c>
      <c r="AJ1508">
        <v>70.977891710564904</v>
      </c>
      <c r="AK1508">
        <v>52.349953567717101</v>
      </c>
    </row>
    <row r="1509" spans="1:37" x14ac:dyDescent="0.2">
      <c r="A1509" t="str">
        <f>"20200111155526244"</f>
        <v>20200111155526244</v>
      </c>
      <c r="B1509" t="str">
        <f>"1578729326233661"</f>
        <v>1578729326233661</v>
      </c>
      <c r="C1509" t="s">
        <v>37</v>
      </c>
      <c r="D1509">
        <v>4.1580199999999996</v>
      </c>
      <c r="E1509">
        <v>0.65044109999999999</v>
      </c>
      <c r="F1509" t="s">
        <v>43</v>
      </c>
      <c r="G1509">
        <v>-168.40090000000001</v>
      </c>
      <c r="H1509">
        <v>2.5449599999999899</v>
      </c>
      <c r="I1509">
        <v>335.85359999999997</v>
      </c>
      <c r="J1509">
        <v>-212.27599999999899</v>
      </c>
      <c r="K1509">
        <v>1.102233</v>
      </c>
      <c r="L1509">
        <v>365.6377</v>
      </c>
      <c r="M1509">
        <v>0.97045349999999997</v>
      </c>
      <c r="N1509">
        <v>0</v>
      </c>
      <c r="O1509">
        <v>-0.24088979999999899</v>
      </c>
      <c r="P1509">
        <v>0.97552609999999995</v>
      </c>
      <c r="Q1509">
        <v>2.7299500000000001E-2</v>
      </c>
      <c r="R1509">
        <v>-0.2181835</v>
      </c>
      <c r="S1509">
        <v>2.673187</v>
      </c>
      <c r="T1509">
        <v>8.7652919999999995E-2</v>
      </c>
      <c r="U1509">
        <v>-1.8115540000000001</v>
      </c>
      <c r="V1509">
        <v>-2.2974120000000001E-2</v>
      </c>
      <c r="W1509">
        <v>4.1310300000000001E-2</v>
      </c>
      <c r="X1509">
        <v>0.99888220000000005</v>
      </c>
      <c r="Y1509">
        <v>0.34499970000000002</v>
      </c>
      <c r="Z1509">
        <v>-1.850642E-3</v>
      </c>
      <c r="AA1509">
        <v>0.93860100000000002</v>
      </c>
      <c r="AB1509">
        <v>22</v>
      </c>
      <c r="AC1509">
        <v>43.875099999999897</v>
      </c>
      <c r="AD1509">
        <v>1.4427269999999901</v>
      </c>
      <c r="AE1509">
        <v>-29.784099999999999</v>
      </c>
      <c r="AF1509">
        <v>18.3232190317683</v>
      </c>
      <c r="AG1509">
        <v>1.4427269999999901</v>
      </c>
      <c r="AH1509">
        <v>49.721407382793799</v>
      </c>
      <c r="AI1509">
        <v>88.440432566664001</v>
      </c>
      <c r="AJ1509">
        <v>69.770264685251803</v>
      </c>
      <c r="AK1509">
        <v>53.009812006914601</v>
      </c>
    </row>
    <row r="1510" spans="1:37" x14ac:dyDescent="0.2">
      <c r="A1510" t="str">
        <f>"20200111155526256"</f>
        <v>20200111155526256</v>
      </c>
      <c r="B1510" t="str">
        <f>"1578729326243422"</f>
        <v>1578729326243422</v>
      </c>
      <c r="C1510" t="s">
        <v>37</v>
      </c>
      <c r="D1510">
        <v>4.1692660000000004</v>
      </c>
      <c r="E1510">
        <v>0.65071029999999996</v>
      </c>
      <c r="F1510" t="s">
        <v>43</v>
      </c>
      <c r="G1510">
        <v>-168.40090000000001</v>
      </c>
      <c r="H1510">
        <v>2.671773</v>
      </c>
      <c r="I1510">
        <v>335.5711</v>
      </c>
      <c r="J1510">
        <v>-212.1575</v>
      </c>
      <c r="K1510">
        <v>1.1022419999999999</v>
      </c>
      <c r="L1510">
        <v>365.60539999999997</v>
      </c>
      <c r="M1510">
        <v>0.96984319999999902</v>
      </c>
      <c r="N1510">
        <v>0</v>
      </c>
      <c r="O1510">
        <v>-0.24333579999999899</v>
      </c>
      <c r="P1510">
        <v>0.97444519999999901</v>
      </c>
      <c r="Q1510">
        <v>2.8561139999999999E-2</v>
      </c>
      <c r="R1510">
        <v>-0.222802799999999</v>
      </c>
      <c r="S1510">
        <v>2.6642459999999999</v>
      </c>
      <c r="T1510">
        <v>9.5308299999999999E-2</v>
      </c>
      <c r="U1510">
        <v>-1.825745</v>
      </c>
      <c r="V1510">
        <v>-2.0742920000000001E-2</v>
      </c>
      <c r="W1510">
        <v>4.2554229999999998E-2</v>
      </c>
      <c r="X1510">
        <v>0.99887879999999996</v>
      </c>
      <c r="Y1510">
        <v>0.34749659999999999</v>
      </c>
      <c r="Z1510">
        <v>-2.0479059999999999E-3</v>
      </c>
      <c r="AA1510">
        <v>0.93767900000000004</v>
      </c>
      <c r="AB1510">
        <v>22</v>
      </c>
      <c r="AC1510">
        <v>43.756599999999899</v>
      </c>
      <c r="AD1510">
        <v>1.569531</v>
      </c>
      <c r="AE1510">
        <v>-30.034299999999899</v>
      </c>
      <c r="AF1510">
        <v>18.466636912841398</v>
      </c>
      <c r="AG1510">
        <v>1.569531</v>
      </c>
      <c r="AH1510">
        <v>49.706761531211697</v>
      </c>
      <c r="AI1510">
        <v>88.304588319618802</v>
      </c>
      <c r="AJ1510">
        <v>69.619386059814303</v>
      </c>
      <c r="AK1510">
        <v>53.0494321209137</v>
      </c>
    </row>
    <row r="1511" spans="1:37" x14ac:dyDescent="0.2">
      <c r="A1511" t="str">
        <f>"20200111155526269"</f>
        <v>20200111155526269</v>
      </c>
      <c r="B1511" t="str">
        <f>"1578729326263917"</f>
        <v>1578729326263917</v>
      </c>
      <c r="C1511" t="s">
        <v>37</v>
      </c>
      <c r="D1511">
        <v>4.1449829999999999</v>
      </c>
      <c r="E1511">
        <v>0.65128149999999996</v>
      </c>
      <c r="F1511" t="s">
        <v>43</v>
      </c>
      <c r="G1511">
        <v>-168.40099999999899</v>
      </c>
      <c r="H1511">
        <v>2.7295849999999899</v>
      </c>
      <c r="I1511">
        <v>335.2722</v>
      </c>
      <c r="J1511">
        <v>-212.03700000000001</v>
      </c>
      <c r="K1511">
        <v>1.102257</v>
      </c>
      <c r="L1511">
        <v>365.57209999999998</v>
      </c>
      <c r="M1511">
        <v>0.96922050000000004</v>
      </c>
      <c r="N1511">
        <v>0</v>
      </c>
      <c r="O1511">
        <v>-0.24580399999999999</v>
      </c>
      <c r="P1511">
        <v>0.97333269999999905</v>
      </c>
      <c r="Q1511">
        <v>2.8735179999999999E-2</v>
      </c>
      <c r="R1511">
        <v>-0.22759179999999901</v>
      </c>
      <c r="S1511">
        <v>2.6549529999999999</v>
      </c>
      <c r="T1511">
        <v>9.8740460000000002E-2</v>
      </c>
      <c r="U1511">
        <v>-1.8404849999999999</v>
      </c>
      <c r="V1511">
        <v>-1.837219E-2</v>
      </c>
      <c r="W1511">
        <v>4.2709539999999997E-2</v>
      </c>
      <c r="X1511">
        <v>0.99891859999999999</v>
      </c>
      <c r="Y1511">
        <v>0.35015869999999999</v>
      </c>
      <c r="Z1511">
        <v>-2.1565600000000001E-3</v>
      </c>
      <c r="AA1511">
        <v>0.93668790000000002</v>
      </c>
      <c r="AB1511">
        <v>22</v>
      </c>
      <c r="AC1511">
        <v>43.636000000000003</v>
      </c>
      <c r="AD1511">
        <v>1.6273279999999899</v>
      </c>
      <c r="AE1511">
        <v>-30.299899999999901</v>
      </c>
      <c r="AF1511">
        <v>18.6256934459287</v>
      </c>
      <c r="AG1511">
        <v>1.6273279999999899</v>
      </c>
      <c r="AH1511">
        <v>49.6988836123856</v>
      </c>
      <c r="AI1511">
        <v>88.2437904978989</v>
      </c>
      <c r="AJ1511">
        <v>69.455465694234306</v>
      </c>
      <c r="AK1511">
        <v>53.099375562041601</v>
      </c>
    </row>
    <row r="1512" spans="1:37" x14ac:dyDescent="0.2">
      <c r="A1512" t="str">
        <f>"20200111155526282"</f>
        <v>20200111155526282</v>
      </c>
      <c r="B1512" t="str">
        <f>"1578729326273678"</f>
        <v>1578729326273678</v>
      </c>
      <c r="C1512" t="s">
        <v>37</v>
      </c>
      <c r="D1512">
        <v>4.1598470000000001</v>
      </c>
      <c r="E1512">
        <v>0.65153830000000001</v>
      </c>
      <c r="F1512" t="s">
        <v>43</v>
      </c>
      <c r="G1512">
        <v>-168.40099999999899</v>
      </c>
      <c r="H1512">
        <v>2.75585999999999</v>
      </c>
      <c r="I1512">
        <v>334.91820000000001</v>
      </c>
      <c r="J1512">
        <v>-211.91460000000001</v>
      </c>
      <c r="K1512">
        <v>1.102274</v>
      </c>
      <c r="L1512">
        <v>365.53809999999999</v>
      </c>
      <c r="M1512">
        <v>0.96858389999999905</v>
      </c>
      <c r="N1512">
        <v>0</v>
      </c>
      <c r="O1512">
        <v>-0.24830089999999999</v>
      </c>
      <c r="P1512">
        <v>0.97217819999999899</v>
      </c>
      <c r="Q1512">
        <v>2.819056E-2</v>
      </c>
      <c r="R1512">
        <v>-0.23254169999999999</v>
      </c>
      <c r="S1512">
        <v>2.6447910000000001</v>
      </c>
      <c r="T1512">
        <v>0.1002256</v>
      </c>
      <c r="U1512">
        <v>-1.8579410000000001</v>
      </c>
      <c r="V1512">
        <v>-1.5872299999999999E-2</v>
      </c>
      <c r="W1512">
        <v>4.2145950000000001E-2</v>
      </c>
      <c r="X1512">
        <v>0.99898539999999902</v>
      </c>
      <c r="Y1512">
        <v>0.353576</v>
      </c>
      <c r="Z1512">
        <v>-2.2122159999999999E-3</v>
      </c>
      <c r="AA1512">
        <v>0.93540319999999899</v>
      </c>
      <c r="AB1512">
        <v>22</v>
      </c>
      <c r="AC1512">
        <v>43.513599999999997</v>
      </c>
      <c r="AD1512">
        <v>1.65358599999999</v>
      </c>
      <c r="AE1512">
        <v>-30.619899999999902</v>
      </c>
      <c r="AF1512">
        <v>18.837091392542401</v>
      </c>
      <c r="AG1512">
        <v>1.65358599999999</v>
      </c>
      <c r="AH1512">
        <v>49.706286003644998</v>
      </c>
      <c r="AI1512">
        <v>88.218204656218703</v>
      </c>
      <c r="AJ1512">
        <v>69.244895426426993</v>
      </c>
      <c r="AK1512">
        <v>53.181624900585199</v>
      </c>
    </row>
    <row r="1513" spans="1:37" x14ac:dyDescent="0.2">
      <c r="A1513" t="str">
        <f>"20200111155526294"</f>
        <v>20200111155526294</v>
      </c>
      <c r="B1513" t="str">
        <f>"1578729326283437"</f>
        <v>1578729326283437</v>
      </c>
      <c r="C1513" t="s">
        <v>37</v>
      </c>
      <c r="D1513">
        <v>4.5098789999999997</v>
      </c>
      <c r="E1513">
        <v>0.65176590000000001</v>
      </c>
      <c r="F1513" t="s">
        <v>43</v>
      </c>
      <c r="G1513">
        <v>-168.40099999999899</v>
      </c>
      <c r="H1513">
        <v>2.7391299999999998</v>
      </c>
      <c r="I1513">
        <v>334.59719999999999</v>
      </c>
      <c r="J1513">
        <v>-211.7893</v>
      </c>
      <c r="K1513">
        <v>1.102293</v>
      </c>
      <c r="L1513">
        <v>365.50299999999999</v>
      </c>
      <c r="M1513">
        <v>0.96793090000000004</v>
      </c>
      <c r="N1513">
        <v>0</v>
      </c>
      <c r="O1513">
        <v>-0.25083479999999903</v>
      </c>
      <c r="P1513">
        <v>0.97102389999999905</v>
      </c>
      <c r="Q1513">
        <v>2.6990610000000002E-2</v>
      </c>
      <c r="R1513">
        <v>-0.2374541</v>
      </c>
      <c r="S1513">
        <v>2.6348419999999999</v>
      </c>
      <c r="T1513">
        <v>9.9115490000000001E-2</v>
      </c>
      <c r="U1513">
        <v>-1.873535</v>
      </c>
      <c r="V1513">
        <v>-1.3454020000000001E-2</v>
      </c>
      <c r="W1513">
        <v>4.0926770000000001E-2</v>
      </c>
      <c r="X1513">
        <v>0.9990715</v>
      </c>
      <c r="Y1513">
        <v>0.35647390000000001</v>
      </c>
      <c r="Z1513">
        <v>-2.2209249999999999E-3</v>
      </c>
      <c r="AA1513">
        <v>0.93430259999999998</v>
      </c>
      <c r="AB1513">
        <v>22</v>
      </c>
      <c r="AC1513">
        <v>43.388300000000001</v>
      </c>
      <c r="AD1513">
        <v>1.6368370000000001</v>
      </c>
      <c r="AE1513">
        <v>-30.905799999999999</v>
      </c>
      <c r="AF1513">
        <v>19.015254137965101</v>
      </c>
      <c r="AG1513">
        <v>1.6368370000000001</v>
      </c>
      <c r="AH1513">
        <v>49.706963990490401</v>
      </c>
      <c r="AI1513">
        <v>88.238361504749804</v>
      </c>
      <c r="AJ1513">
        <v>69.065794089431606</v>
      </c>
      <c r="AK1513">
        <v>53.245106765297002</v>
      </c>
    </row>
    <row r="1514" spans="1:37" x14ac:dyDescent="0.2">
      <c r="A1514" t="str">
        <f>"20200111155526305"</f>
        <v>20200111155526305</v>
      </c>
      <c r="B1514" t="str">
        <f>"1578729326303933"</f>
        <v>1578729326303933</v>
      </c>
      <c r="C1514" t="s">
        <v>37</v>
      </c>
      <c r="D1514">
        <v>4.3575599999999897</v>
      </c>
      <c r="E1514">
        <v>0.6521536</v>
      </c>
      <c r="F1514" t="s">
        <v>43</v>
      </c>
      <c r="G1514">
        <v>-168.40090000000001</v>
      </c>
      <c r="H1514">
        <v>2.67210499999999</v>
      </c>
      <c r="I1514">
        <v>334.28919999999999</v>
      </c>
      <c r="J1514">
        <v>-211.67679999999999</v>
      </c>
      <c r="K1514">
        <v>1.102309</v>
      </c>
      <c r="L1514">
        <v>365.47109999999998</v>
      </c>
      <c r="M1514">
        <v>0.96734330000000002</v>
      </c>
      <c r="N1514">
        <v>0</v>
      </c>
      <c r="O1514">
        <v>-0.25309160000000003</v>
      </c>
      <c r="P1514">
        <v>0.96986890000000003</v>
      </c>
      <c r="Q1514">
        <v>2.5421659999999999E-2</v>
      </c>
      <c r="R1514">
        <v>-0.24229809999999999</v>
      </c>
      <c r="S1514">
        <v>2.625076</v>
      </c>
      <c r="T1514">
        <v>9.4976899999999906E-2</v>
      </c>
      <c r="U1514">
        <v>-1.8884889999999901</v>
      </c>
      <c r="V1514">
        <v>-1.081973E-2</v>
      </c>
      <c r="W1514">
        <v>3.9337799999999999E-2</v>
      </c>
      <c r="X1514">
        <v>0.99916740000000004</v>
      </c>
      <c r="Y1514">
        <v>0.35945270000000001</v>
      </c>
      <c r="Z1514">
        <v>-2.1503220000000001E-3</v>
      </c>
      <c r="AA1514">
        <v>0.93316080000000001</v>
      </c>
      <c r="AB1514">
        <v>22</v>
      </c>
      <c r="AC1514">
        <v>43.275899999999901</v>
      </c>
      <c r="AD1514">
        <v>1.56979599999999</v>
      </c>
      <c r="AE1514">
        <v>-31.181899999999899</v>
      </c>
      <c r="AF1514">
        <v>19.196049350171599</v>
      </c>
      <c r="AG1514">
        <v>1.56979599999999</v>
      </c>
      <c r="AH1514">
        <v>49.716234517272198</v>
      </c>
      <c r="AI1514">
        <v>88.312800560264094</v>
      </c>
      <c r="AJ1514">
        <v>68.887812284302797</v>
      </c>
      <c r="AK1514">
        <v>53.316569138610603</v>
      </c>
    </row>
    <row r="1515" spans="1:37" x14ac:dyDescent="0.2">
      <c r="A1515" t="str">
        <f>"20200111155526317"</f>
        <v>20200111155526317</v>
      </c>
      <c r="B1515" t="str">
        <f>"1578729326313693"</f>
        <v>1578729326313693</v>
      </c>
      <c r="C1515" t="s">
        <v>37</v>
      </c>
      <c r="D1515">
        <v>4.3198679999999996</v>
      </c>
      <c r="E1515">
        <v>0.65229239999999999</v>
      </c>
      <c r="F1515" t="s">
        <v>43</v>
      </c>
      <c r="G1515">
        <v>-168.40090000000001</v>
      </c>
      <c r="H1515">
        <v>2.6016219999999999</v>
      </c>
      <c r="I1515">
        <v>333.94869999999997</v>
      </c>
      <c r="J1515">
        <v>-211.56399999999999</v>
      </c>
      <c r="K1515">
        <v>1.1023229999999999</v>
      </c>
      <c r="L1515">
        <v>365.43889999999999</v>
      </c>
      <c r="M1515">
        <v>0.96675029999999995</v>
      </c>
      <c r="N1515">
        <v>0</v>
      </c>
      <c r="O1515">
        <v>-0.25534699999999999</v>
      </c>
      <c r="P1515">
        <v>0.96865179999999995</v>
      </c>
      <c r="Q1515">
        <v>2.3446999999999999E-2</v>
      </c>
      <c r="R1515">
        <v>-0.2473137</v>
      </c>
      <c r="S1515">
        <v>2.6149749999999998</v>
      </c>
      <c r="T1515">
        <v>9.0597269999999994E-2</v>
      </c>
      <c r="U1515">
        <v>-1.904755</v>
      </c>
      <c r="V1515">
        <v>-8.0069240000000003E-3</v>
      </c>
      <c r="W1515">
        <v>3.7341800000000001E-2</v>
      </c>
      <c r="X1515">
        <v>0.99927049999999995</v>
      </c>
      <c r="Y1515">
        <v>0.362788</v>
      </c>
      <c r="Z1515">
        <v>-2.0664870000000001E-3</v>
      </c>
      <c r="AA1515">
        <v>0.93186939999999996</v>
      </c>
      <c r="AB1515">
        <v>22</v>
      </c>
      <c r="AC1515">
        <v>43.1631</v>
      </c>
      <c r="AD1515">
        <v>1.4992989999999999</v>
      </c>
      <c r="AE1515">
        <v>-31.490200000000002</v>
      </c>
      <c r="AF1515">
        <v>19.408171884333498</v>
      </c>
      <c r="AG1515">
        <v>1.4992989999999999</v>
      </c>
      <c r="AH1515">
        <v>49.734477693721303</v>
      </c>
      <c r="AI1515">
        <v>88.391357896779198</v>
      </c>
      <c r="AJ1515">
        <v>68.682492412040204</v>
      </c>
      <c r="AK1515">
        <v>53.408270004283899</v>
      </c>
    </row>
    <row r="1516" spans="1:37" x14ac:dyDescent="0.2">
      <c r="A1516" t="str">
        <f>"20200111155526332"</f>
        <v>20200111155526332</v>
      </c>
      <c r="B1516" t="str">
        <f>"1578729326323453"</f>
        <v>1578729326323453</v>
      </c>
      <c r="C1516" t="s">
        <v>37</v>
      </c>
      <c r="D1516">
        <v>4.3858480000000002</v>
      </c>
      <c r="E1516">
        <v>0.65241450000000001</v>
      </c>
      <c r="F1516" t="s">
        <v>43</v>
      </c>
      <c r="G1516">
        <v>-168.40090000000001</v>
      </c>
      <c r="H1516">
        <v>2.491428</v>
      </c>
      <c r="I1516">
        <v>333.63850000000002</v>
      </c>
      <c r="J1516">
        <v>-211.4272</v>
      </c>
      <c r="K1516">
        <v>1.1023309999999999</v>
      </c>
      <c r="L1516">
        <v>365.39940000000001</v>
      </c>
      <c r="M1516">
        <v>0.96603079999999997</v>
      </c>
      <c r="N1516">
        <v>0</v>
      </c>
      <c r="O1516">
        <v>-0.2580558</v>
      </c>
      <c r="P1516">
        <v>0.96681209999999995</v>
      </c>
      <c r="Q1516">
        <v>1.974561E-2</v>
      </c>
      <c r="R1516">
        <v>-0.2547238</v>
      </c>
      <c r="S1516">
        <v>2.6050719999999998</v>
      </c>
      <c r="T1516">
        <v>8.3838699999999905E-2</v>
      </c>
      <c r="U1516">
        <v>-1.919281</v>
      </c>
      <c r="V1516">
        <v>-3.2018789999999999E-3</v>
      </c>
      <c r="W1516">
        <v>3.3606699999999899E-2</v>
      </c>
      <c r="X1516">
        <v>0.99942999999999904</v>
      </c>
      <c r="Y1516">
        <v>0.36524129999999999</v>
      </c>
      <c r="Z1516">
        <v>-1.9515789999999999E-3</v>
      </c>
      <c r="AA1516">
        <v>0.93091080000000004</v>
      </c>
      <c r="AB1516">
        <v>22</v>
      </c>
      <c r="AC1516">
        <v>43.0262999999999</v>
      </c>
      <c r="AD1516">
        <v>1.389097</v>
      </c>
      <c r="AE1516">
        <v>-31.7608999999999</v>
      </c>
      <c r="AF1516">
        <v>19.5674964862677</v>
      </c>
      <c r="AG1516">
        <v>1.389097</v>
      </c>
      <c r="AH1516">
        <v>49.732032563076899</v>
      </c>
      <c r="AI1516">
        <v>88.511098333680906</v>
      </c>
      <c r="AJ1516">
        <v>68.5224157387823</v>
      </c>
      <c r="AK1516">
        <v>53.461122061461097</v>
      </c>
    </row>
    <row r="1517" spans="1:37" x14ac:dyDescent="0.2">
      <c r="A1517" t="str">
        <f>"20200111155526345"</f>
        <v>20200111155526345</v>
      </c>
      <c r="B1517" t="str">
        <f>"1578729326334190"</f>
        <v>1578729326334190</v>
      </c>
      <c r="C1517" t="s">
        <v>37</v>
      </c>
      <c r="D1517">
        <v>4.4639129999999998</v>
      </c>
      <c r="E1517">
        <v>0.65249279999999998</v>
      </c>
      <c r="F1517" t="s">
        <v>43</v>
      </c>
      <c r="G1517">
        <v>-168.4008</v>
      </c>
      <c r="H1517">
        <v>2.2911990000000002</v>
      </c>
      <c r="I1517">
        <v>333.17009999999999</v>
      </c>
      <c r="J1517">
        <v>-211.2988</v>
      </c>
      <c r="K1517">
        <v>1.1023459999999901</v>
      </c>
      <c r="L1517">
        <v>365.361999999999</v>
      </c>
      <c r="M1517">
        <v>0.96535099999999996</v>
      </c>
      <c r="N1517">
        <v>0</v>
      </c>
      <c r="O1517">
        <v>-0.26058750000000003</v>
      </c>
      <c r="P1517">
        <v>0.96553840000000002</v>
      </c>
      <c r="Q1517">
        <v>1.718592E-2</v>
      </c>
      <c r="R1517">
        <v>-0.2596928</v>
      </c>
      <c r="S1517">
        <v>2.5903320000000001</v>
      </c>
      <c r="T1517">
        <v>7.1574209999999999E-2</v>
      </c>
      <c r="U1517">
        <v>-1.9403079999999999</v>
      </c>
      <c r="V1517">
        <v>-7.1283019999999998E-4</v>
      </c>
      <c r="W1517">
        <v>3.1028360000000001E-2</v>
      </c>
      <c r="X1517">
        <v>0.99951829999999997</v>
      </c>
      <c r="Y1517">
        <v>0.37018889999999999</v>
      </c>
      <c r="Z1517">
        <v>-1.665782E-3</v>
      </c>
      <c r="AA1517">
        <v>0.92895499999999998</v>
      </c>
      <c r="AB1517">
        <v>22</v>
      </c>
      <c r="AC1517">
        <v>42.898000000000003</v>
      </c>
      <c r="AD1517">
        <v>1.1888529999999999</v>
      </c>
      <c r="AE1517">
        <v>-32.191899999999897</v>
      </c>
      <c r="AF1517">
        <v>19.889934033476599</v>
      </c>
      <c r="AG1517">
        <v>1.1888529999999999</v>
      </c>
      <c r="AH1517">
        <v>49.780746205962402</v>
      </c>
      <c r="AI1517">
        <v>88.729553263425302</v>
      </c>
      <c r="AJ1517">
        <v>68.220784162222401</v>
      </c>
      <c r="AK1517">
        <v>53.620383625391</v>
      </c>
    </row>
    <row r="1518" spans="1:37" x14ac:dyDescent="0.2">
      <c r="A1518" t="str">
        <f>"20200111155526358"</f>
        <v>20200111155526358</v>
      </c>
      <c r="B1518" t="str">
        <f>"1578729326353709"</f>
        <v>1578729326353709</v>
      </c>
      <c r="C1518" t="s">
        <v>37</v>
      </c>
      <c r="D1518">
        <v>4.4578829999999998</v>
      </c>
      <c r="E1518">
        <v>0.65267299999999995</v>
      </c>
      <c r="F1518" t="s">
        <v>43</v>
      </c>
      <c r="G1518">
        <v>-168.4008</v>
      </c>
      <c r="H1518">
        <v>2.1696550000000001</v>
      </c>
      <c r="I1518">
        <v>332.8768</v>
      </c>
      <c r="J1518">
        <v>-211.17420000000001</v>
      </c>
      <c r="K1518">
        <v>1.1023559999999999</v>
      </c>
      <c r="L1518">
        <v>365.32549999999998</v>
      </c>
      <c r="M1518">
        <v>0.96468750000000003</v>
      </c>
      <c r="N1518">
        <v>0</v>
      </c>
      <c r="O1518">
        <v>-0.26303349999999998</v>
      </c>
      <c r="P1518">
        <v>0.96447640000000001</v>
      </c>
      <c r="Q1518">
        <v>1.4657699999999999E-2</v>
      </c>
      <c r="R1518">
        <v>-0.26376259999999901</v>
      </c>
      <c r="S1518">
        <v>2.5803529999999899</v>
      </c>
      <c r="T1518">
        <v>6.4199919999999994E-2</v>
      </c>
      <c r="U1518">
        <v>-1.95400999999999</v>
      </c>
      <c r="V1518">
        <v>9.4057139999999999E-4</v>
      </c>
      <c r="W1518">
        <v>2.848699E-2</v>
      </c>
      <c r="X1518">
        <v>0.99959370000000003</v>
      </c>
      <c r="Y1518">
        <v>0.3727027</v>
      </c>
      <c r="Z1518">
        <v>-1.518244E-3</v>
      </c>
      <c r="AA1518">
        <v>0.92794949999999998</v>
      </c>
      <c r="AB1518">
        <v>22</v>
      </c>
      <c r="AC1518">
        <v>42.773400000000002</v>
      </c>
      <c r="AD1518">
        <v>1.067299</v>
      </c>
      <c r="AE1518">
        <v>-32.448699999999903</v>
      </c>
      <c r="AF1518">
        <v>20.046015499473</v>
      </c>
      <c r="AG1518">
        <v>1.067299</v>
      </c>
      <c r="AH1518">
        <v>49.783152143438897</v>
      </c>
      <c r="AI1518">
        <v>88.860695554816303</v>
      </c>
      <c r="AJ1518">
        <v>68.066997740949603</v>
      </c>
      <c r="AK1518">
        <v>53.678152929262502</v>
      </c>
    </row>
    <row r="1519" spans="1:37" x14ac:dyDescent="0.2">
      <c r="A1519" t="str">
        <f>"20200111155526371"</f>
        <v>20200111155526371</v>
      </c>
      <c r="B1519" t="str">
        <f>"1578729326363469"</f>
        <v>1578729326363469</v>
      </c>
      <c r="C1519" t="s">
        <v>37</v>
      </c>
      <c r="D1519">
        <v>4.2471620000000003</v>
      </c>
      <c r="E1519">
        <v>0.65278239999999998</v>
      </c>
      <c r="F1519" t="s">
        <v>43</v>
      </c>
      <c r="G1519">
        <v>-168.4007</v>
      </c>
      <c r="H1519">
        <v>2.0713219999999999</v>
      </c>
      <c r="I1519">
        <v>332.6232</v>
      </c>
      <c r="J1519">
        <v>-211.04859999999999</v>
      </c>
      <c r="K1519">
        <v>1.102357</v>
      </c>
      <c r="L1519">
        <v>365.28820000000002</v>
      </c>
      <c r="M1519">
        <v>0.96401610000000004</v>
      </c>
      <c r="N1519">
        <v>0</v>
      </c>
      <c r="O1519">
        <v>-0.26548369999999999</v>
      </c>
      <c r="P1519">
        <v>0.96327569999999996</v>
      </c>
      <c r="Q1519">
        <v>1.1621670000000001E-2</v>
      </c>
      <c r="R1519">
        <v>-0.26826279999999902</v>
      </c>
      <c r="S1519">
        <v>2.571869</v>
      </c>
      <c r="T1519">
        <v>5.8262109999999999E-2</v>
      </c>
      <c r="U1519">
        <v>-1.9663090000000001</v>
      </c>
      <c r="V1519">
        <v>3.0374289999999999E-3</v>
      </c>
      <c r="W1519">
        <v>2.543635E-2</v>
      </c>
      <c r="X1519">
        <v>0.9996718</v>
      </c>
      <c r="Y1519">
        <v>0.37462659999999998</v>
      </c>
      <c r="Z1519">
        <v>-1.405314E-3</v>
      </c>
      <c r="AA1519">
        <v>0.92717469999999902</v>
      </c>
      <c r="AB1519">
        <v>22</v>
      </c>
      <c r="AC1519">
        <v>42.6478999999999</v>
      </c>
      <c r="AD1519">
        <v>0.96896499999999997</v>
      </c>
      <c r="AE1519">
        <v>-32.664999999999999</v>
      </c>
      <c r="AF1519">
        <v>20.162633741881098</v>
      </c>
      <c r="AG1519">
        <v>0.96896499999999997</v>
      </c>
      <c r="AH1519">
        <v>49.773857893992101</v>
      </c>
      <c r="AI1519">
        <v>88.966314732259207</v>
      </c>
      <c r="AJ1519">
        <v>67.947878157317902</v>
      </c>
      <c r="AK1519">
        <v>53.711336068206201</v>
      </c>
    </row>
    <row r="1520" spans="1:37" x14ac:dyDescent="0.2">
      <c r="A1520" t="str">
        <f>"20200111155526441"</f>
        <v>20200111155526441</v>
      </c>
      <c r="B1520" t="str">
        <f>"1578729326433742"</f>
        <v>1578729326433742</v>
      </c>
      <c r="C1520" t="s">
        <v>37</v>
      </c>
      <c r="D1520">
        <v>5.3258869999999998</v>
      </c>
      <c r="E1520">
        <v>0.65306909999999996</v>
      </c>
      <c r="F1520" t="s">
        <v>43</v>
      </c>
      <c r="G1520">
        <v>-168.4007</v>
      </c>
      <c r="H1520">
        <v>1.9451039999999999</v>
      </c>
      <c r="I1520">
        <v>332.34739999999999</v>
      </c>
      <c r="J1520">
        <v>-210.38810000000001</v>
      </c>
      <c r="K1520">
        <v>1.1023149999999999</v>
      </c>
      <c r="L1520">
        <v>365.08679999999998</v>
      </c>
      <c r="M1520">
        <v>0.96039609999999997</v>
      </c>
      <c r="N1520">
        <v>0</v>
      </c>
      <c r="O1520">
        <v>-0.27829559999999998</v>
      </c>
      <c r="P1520">
        <v>0.95806440000000004</v>
      </c>
      <c r="Q1520">
        <v>-2.8377739999999999E-3</v>
      </c>
      <c r="R1520">
        <v>-0.28653869999999998</v>
      </c>
      <c r="S1520">
        <v>2.56254599999999</v>
      </c>
      <c r="T1520">
        <v>5.0637840000000003E-2</v>
      </c>
      <c r="U1520">
        <v>-1.979279</v>
      </c>
      <c r="V1520">
        <v>8.6353530000000001E-3</v>
      </c>
      <c r="W1520">
        <v>1.0931099999999999E-2</v>
      </c>
      <c r="X1520">
        <v>0.99990299999999999</v>
      </c>
      <c r="Y1520">
        <v>0.36684689999999998</v>
      </c>
      <c r="Z1520">
        <v>-1.497852E-3</v>
      </c>
      <c r="AA1520">
        <v>0.93028009999999905</v>
      </c>
      <c r="AB1520">
        <v>22</v>
      </c>
      <c r="AC1520">
        <v>41.987400000000001</v>
      </c>
      <c r="AD1520">
        <v>0.84278900000000001</v>
      </c>
      <c r="AE1520">
        <v>-32.739399999999897</v>
      </c>
      <c r="AF1520">
        <v>19.7548196728237</v>
      </c>
      <c r="AG1520">
        <v>0.84278900000000001</v>
      </c>
      <c r="AH1520">
        <v>49.428100489039501</v>
      </c>
      <c r="AI1520">
        <v>89.092906563447698</v>
      </c>
      <c r="AJ1520">
        <v>68.2150012264038</v>
      </c>
      <c r="AK1520">
        <v>53.236268760675699</v>
      </c>
    </row>
    <row r="1521" spans="1:37" x14ac:dyDescent="0.2">
      <c r="A1521" t="str">
        <f>"20200111155526768"</f>
        <v>20200111155526768</v>
      </c>
      <c r="B1521" t="str">
        <f>"1578729326763634"</f>
        <v>1578729326763634</v>
      </c>
      <c r="C1521" t="s">
        <v>37</v>
      </c>
      <c r="D1521">
        <v>4.8803900000000002</v>
      </c>
      <c r="E1521">
        <v>0.65317000000000003</v>
      </c>
      <c r="F1521" t="s">
        <v>43</v>
      </c>
      <c r="G1521">
        <v>-168.40039999999999</v>
      </c>
      <c r="H1521">
        <v>1.2478290000000001</v>
      </c>
      <c r="I1521">
        <v>331.32409999999999</v>
      </c>
      <c r="J1521">
        <v>-207.35040000000001</v>
      </c>
      <c r="K1521">
        <v>1.102427</v>
      </c>
      <c r="L1521">
        <v>364.04160000000002</v>
      </c>
      <c r="M1521">
        <v>0.94220910000000002</v>
      </c>
      <c r="N1521">
        <v>0</v>
      </c>
      <c r="O1521">
        <v>-0.3347425</v>
      </c>
      <c r="P1521">
        <v>0.93755739999999999</v>
      </c>
      <c r="Q1521">
        <v>1.271367E-3</v>
      </c>
      <c r="R1521">
        <v>-0.347829</v>
      </c>
      <c r="S1521">
        <v>2.5242610000000001</v>
      </c>
      <c r="T1521">
        <v>8.7485310000000004E-3</v>
      </c>
      <c r="U1521">
        <v>-2.029785</v>
      </c>
      <c r="V1521">
        <v>1.397931E-2</v>
      </c>
      <c r="W1521">
        <v>1.495527E-2</v>
      </c>
      <c r="X1521">
        <v>0.99979039999999997</v>
      </c>
      <c r="Y1521">
        <v>0.32959709999999998</v>
      </c>
      <c r="Z1521">
        <v>-4.7271379999999999E-4</v>
      </c>
      <c r="AA1521">
        <v>0.94412160000000001</v>
      </c>
      <c r="AB1521">
        <v>22</v>
      </c>
      <c r="AC1521">
        <v>38.950000000000003</v>
      </c>
      <c r="AD1521">
        <v>0.145402</v>
      </c>
      <c r="AE1521">
        <v>-32.717500000000001</v>
      </c>
      <c r="AF1521">
        <v>17.7900459375265</v>
      </c>
      <c r="AG1521">
        <v>0.145402</v>
      </c>
      <c r="AH1521">
        <v>47.655107688743101</v>
      </c>
      <c r="AI1521">
        <v>89.836223318036005</v>
      </c>
      <c r="AJ1521">
        <v>69.528980711277995</v>
      </c>
      <c r="AK1521">
        <v>50.8676337667344</v>
      </c>
    </row>
    <row r="1522" spans="1:37" x14ac:dyDescent="0.2">
      <c r="A1522" t="str">
        <f>"20200111155526779"</f>
        <v>20200111155526779</v>
      </c>
      <c r="B1522" t="str">
        <f>"1578729326774370"</f>
        <v>1578729326774370</v>
      </c>
      <c r="C1522" t="s">
        <v>37</v>
      </c>
      <c r="D1522">
        <v>4.8190210000000002</v>
      </c>
      <c r="E1522">
        <v>0.65328180000000002</v>
      </c>
      <c r="F1522" t="s">
        <v>43</v>
      </c>
      <c r="G1522">
        <v>-168.40039999999999</v>
      </c>
      <c r="H1522">
        <v>1.248926</v>
      </c>
      <c r="I1522">
        <v>328.32830000000001</v>
      </c>
      <c r="J1522">
        <v>-207.24809999999999</v>
      </c>
      <c r="K1522">
        <v>1.1024020000000001</v>
      </c>
      <c r="L1522">
        <v>364.00279999999998</v>
      </c>
      <c r="M1522">
        <v>0.94148869999999896</v>
      </c>
      <c r="N1522">
        <v>0</v>
      </c>
      <c r="O1522">
        <v>-0.33676319999999998</v>
      </c>
      <c r="P1522">
        <v>0.93677869999999996</v>
      </c>
      <c r="Q1522">
        <v>1.3589909999999999E-3</v>
      </c>
      <c r="R1522">
        <v>-0.34991990000000001</v>
      </c>
      <c r="S1522">
        <v>2.38758899999999</v>
      </c>
      <c r="T1522">
        <v>8.9806319999999901E-3</v>
      </c>
      <c r="U1522">
        <v>-2.1891780000000001</v>
      </c>
      <c r="V1522">
        <v>1.4066540000000001E-2</v>
      </c>
      <c r="W1522">
        <v>1.504204E-2</v>
      </c>
      <c r="X1522">
        <v>0.99978789999999995</v>
      </c>
      <c r="Y1522">
        <v>0.38809389999999999</v>
      </c>
      <c r="Z1522">
        <v>-4.065222E-4</v>
      </c>
      <c r="AA1522">
        <v>0.92161979999999999</v>
      </c>
      <c r="AB1522">
        <v>22</v>
      </c>
      <c r="AC1522">
        <v>38.847700000000003</v>
      </c>
      <c r="AD1522">
        <v>0.14652399999999899</v>
      </c>
      <c r="AE1522">
        <v>-35.674499999999902</v>
      </c>
      <c r="AF1522">
        <v>20.506448461384</v>
      </c>
      <c r="AG1522">
        <v>0.14652399999999899</v>
      </c>
      <c r="AH1522">
        <v>48.5927605613482</v>
      </c>
      <c r="AI1522">
        <v>89.840826924160396</v>
      </c>
      <c r="AJ1522">
        <v>67.119951431950199</v>
      </c>
      <c r="AK1522">
        <v>52.742698800445297</v>
      </c>
    </row>
    <row r="1523" spans="1:37" x14ac:dyDescent="0.2">
      <c r="A1523" t="str">
        <f>"20200111155526802"</f>
        <v>20200111155526802</v>
      </c>
      <c r="B1523" t="str">
        <f>"1578729326793890"</f>
        <v>1578729326793890</v>
      </c>
      <c r="C1523" t="s">
        <v>37</v>
      </c>
      <c r="D1523">
        <v>4.8114049999999997</v>
      </c>
      <c r="E1523">
        <v>0.65339099999999894</v>
      </c>
      <c r="F1523" t="s">
        <v>43</v>
      </c>
      <c r="G1523">
        <v>-168.40039999999999</v>
      </c>
      <c r="H1523">
        <v>1.233692</v>
      </c>
      <c r="I1523">
        <v>328.20650000000001</v>
      </c>
      <c r="J1523">
        <v>-207.03899999999999</v>
      </c>
      <c r="K1523">
        <v>1.1023309999999999</v>
      </c>
      <c r="L1523">
        <v>363.92230000000001</v>
      </c>
      <c r="M1523">
        <v>0.9399632</v>
      </c>
      <c r="N1523">
        <v>0</v>
      </c>
      <c r="O1523">
        <v>-0.34099780000000002</v>
      </c>
      <c r="P1523">
        <v>0.93512839999999997</v>
      </c>
      <c r="Q1523">
        <v>1.6200909999999999E-3</v>
      </c>
      <c r="R1523">
        <v>-0.35430529999999999</v>
      </c>
      <c r="S1523">
        <v>2.3824459999999998</v>
      </c>
      <c r="T1523">
        <v>8.0521109999999903E-3</v>
      </c>
      <c r="U1523">
        <v>-2.1953130000000001</v>
      </c>
      <c r="V1523">
        <v>1.425503E-2</v>
      </c>
      <c r="W1523">
        <v>1.530189E-2</v>
      </c>
      <c r="X1523">
        <v>0.99978129999999998</v>
      </c>
      <c r="Y1523">
        <v>0.38621929999999999</v>
      </c>
      <c r="Z1523">
        <v>-3.7821379999999899E-4</v>
      </c>
      <c r="AA1523">
        <v>0.92240689999999903</v>
      </c>
      <c r="AB1523">
        <v>22</v>
      </c>
      <c r="AC1523">
        <v>38.638599999999997</v>
      </c>
      <c r="AD1523">
        <v>0.13136100000000001</v>
      </c>
      <c r="AE1523">
        <v>-35.715800000000002</v>
      </c>
      <c r="AF1523">
        <v>20.397667579739899</v>
      </c>
      <c r="AG1523">
        <v>0.13136100000000001</v>
      </c>
      <c r="AH1523">
        <v>48.502169289676402</v>
      </c>
      <c r="AI1523">
        <v>89.856957882609606</v>
      </c>
      <c r="AJ1523">
        <v>67.190731558398099</v>
      </c>
      <c r="AK1523">
        <v>52.616941418238298</v>
      </c>
    </row>
    <row r="1524" spans="1:37" x14ac:dyDescent="0.2">
      <c r="A1524" t="str">
        <f>"20200111155526812"</f>
        <v>20200111155526812</v>
      </c>
      <c r="B1524" t="str">
        <f>"1578729326803652"</f>
        <v>1578729326803652</v>
      </c>
      <c r="C1524" t="s">
        <v>37</v>
      </c>
      <c r="D1524">
        <v>4.8203139999999998</v>
      </c>
      <c r="E1524">
        <v>0.65349049999999997</v>
      </c>
      <c r="F1524" t="s">
        <v>43</v>
      </c>
      <c r="G1524">
        <v>-168.40039999999999</v>
      </c>
      <c r="H1524">
        <v>1.227617</v>
      </c>
      <c r="I1524">
        <v>327.96170000000001</v>
      </c>
      <c r="J1524">
        <v>-206.9425</v>
      </c>
      <c r="K1524">
        <v>1.102298</v>
      </c>
      <c r="L1524">
        <v>363.88479999999998</v>
      </c>
      <c r="M1524">
        <v>0.93923849999999998</v>
      </c>
      <c r="N1524">
        <v>0</v>
      </c>
      <c r="O1524">
        <v>-0.34298859999999998</v>
      </c>
      <c r="P1524">
        <v>0.93439859999999897</v>
      </c>
      <c r="Q1524">
        <v>2.0304659999999999E-3</v>
      </c>
      <c r="R1524">
        <v>-0.35622369999999998</v>
      </c>
      <c r="S1524">
        <v>2.37175</v>
      </c>
      <c r="T1524">
        <v>7.6907869999999897E-3</v>
      </c>
      <c r="U1524">
        <v>-2.2073669999999899</v>
      </c>
      <c r="V1524">
        <v>1.419251E-2</v>
      </c>
      <c r="W1524">
        <v>1.571382E-2</v>
      </c>
      <c r="X1524">
        <v>0.99977579999999999</v>
      </c>
      <c r="Y1524">
        <v>0.38885059999999999</v>
      </c>
      <c r="Z1524">
        <v>-3.6296389999999998E-4</v>
      </c>
      <c r="AA1524">
        <v>0.92130080000000003</v>
      </c>
      <c r="AB1524">
        <v>22</v>
      </c>
      <c r="AC1524">
        <v>38.542099999999998</v>
      </c>
      <c r="AD1524">
        <v>0.12531899999999899</v>
      </c>
      <c r="AE1524">
        <v>-35.923099999999899</v>
      </c>
      <c r="AF1524">
        <v>20.522689859761101</v>
      </c>
      <c r="AG1524">
        <v>0.12531899999999899</v>
      </c>
      <c r="AH1524">
        <v>48.525770241213898</v>
      </c>
      <c r="AI1524">
        <v>89.863719290199299</v>
      </c>
      <c r="AJ1524">
        <v>67.075354629544705</v>
      </c>
      <c r="AK1524">
        <v>52.687255398575999</v>
      </c>
    </row>
    <row r="1525" spans="1:37" x14ac:dyDescent="0.2">
      <c r="A1525" t="str">
        <f>"20200111155526824"</f>
        <v>20200111155526824</v>
      </c>
      <c r="B1525" t="str">
        <f>"1578729326814387"</f>
        <v>1578729326814387</v>
      </c>
      <c r="C1525" t="s">
        <v>37</v>
      </c>
      <c r="D1525">
        <v>4.82864</v>
      </c>
      <c r="E1525">
        <v>0.65358780000000005</v>
      </c>
      <c r="F1525" t="s">
        <v>43</v>
      </c>
      <c r="G1525">
        <v>-168.40039999999999</v>
      </c>
      <c r="H1525">
        <v>1.226899</v>
      </c>
      <c r="I1525">
        <v>327.8503</v>
      </c>
      <c r="J1525">
        <v>-206.84440000000001</v>
      </c>
      <c r="K1525">
        <v>1.1022670000000001</v>
      </c>
      <c r="L1525">
        <v>363.84640000000002</v>
      </c>
      <c r="M1525">
        <v>0.93848729999999903</v>
      </c>
      <c r="N1525">
        <v>0</v>
      </c>
      <c r="O1525">
        <v>-0.34503869999999998</v>
      </c>
      <c r="P1525">
        <v>0.93357309999999905</v>
      </c>
      <c r="Q1525">
        <v>2.403376E-3</v>
      </c>
      <c r="R1525">
        <v>-0.35837929999999901</v>
      </c>
      <c r="S1525">
        <v>2.366943</v>
      </c>
      <c r="T1525">
        <v>7.6524019999999896E-3</v>
      </c>
      <c r="U1525">
        <v>-2.212952</v>
      </c>
      <c r="V1525">
        <v>1.4320960000000001E-2</v>
      </c>
      <c r="W1525">
        <v>1.608571E-2</v>
      </c>
      <c r="X1525">
        <v>0.99976810000000005</v>
      </c>
      <c r="Y1525">
        <v>0.38893230000000001</v>
      </c>
      <c r="Z1525">
        <v>-3.6621839999999902E-4</v>
      </c>
      <c r="AA1525">
        <v>0.92126629999999998</v>
      </c>
      <c r="AB1525">
        <v>22</v>
      </c>
      <c r="AC1525">
        <v>38.444000000000003</v>
      </c>
      <c r="AD1525">
        <v>0.12463199999999899</v>
      </c>
      <c r="AE1525">
        <v>-35.996099999999998</v>
      </c>
      <c r="AF1525">
        <v>20.519048220431099</v>
      </c>
      <c r="AG1525">
        <v>0.12463199999999899</v>
      </c>
      <c r="AH1525">
        <v>48.503586932594303</v>
      </c>
      <c r="AI1525">
        <v>89.864410150425698</v>
      </c>
      <c r="AJ1525">
        <v>67.069602961324193</v>
      </c>
      <c r="AK1525">
        <v>52.665404378353898</v>
      </c>
    </row>
    <row r="1526" spans="1:37" x14ac:dyDescent="0.2">
      <c r="A1526" t="str">
        <f>"20200111155527127"</f>
        <v>20200111155527127</v>
      </c>
      <c r="B1526" t="str">
        <f>"1578729327123779"</f>
        <v>1578729327123779</v>
      </c>
      <c r="C1526" t="s">
        <v>37</v>
      </c>
      <c r="D1526">
        <v>4.7835019999999897</v>
      </c>
      <c r="E1526">
        <v>0.65346029999999999</v>
      </c>
      <c r="F1526" t="s">
        <v>43</v>
      </c>
      <c r="G1526">
        <v>-168.40039999999999</v>
      </c>
      <c r="H1526">
        <v>1.225797</v>
      </c>
      <c r="I1526">
        <v>327.72050000000002</v>
      </c>
      <c r="J1526">
        <v>-204.1764</v>
      </c>
      <c r="K1526">
        <v>1.1007830000000001</v>
      </c>
      <c r="L1526">
        <v>362.6653</v>
      </c>
      <c r="M1526">
        <v>0.90852049999999995</v>
      </c>
      <c r="N1526">
        <v>0</v>
      </c>
      <c r="O1526">
        <v>-0.41760720000000001</v>
      </c>
      <c r="P1526">
        <v>0.88613940000000002</v>
      </c>
      <c r="Q1526">
        <v>1.216045E-2</v>
      </c>
      <c r="R1526">
        <v>-0.46325919999999998</v>
      </c>
      <c r="S1526">
        <v>2.361542</v>
      </c>
      <c r="T1526">
        <v>7.5886249999999999E-3</v>
      </c>
      <c r="U1526">
        <v>-2.219147</v>
      </c>
      <c r="V1526">
        <v>5.1090629999999998E-2</v>
      </c>
      <c r="W1526">
        <v>2.5576970000000001E-2</v>
      </c>
      <c r="X1526">
        <v>0.99836650000000005</v>
      </c>
      <c r="Y1526">
        <v>0.31785599999999897</v>
      </c>
      <c r="Z1526">
        <v>-6.3086299999999995E-4</v>
      </c>
      <c r="AA1526">
        <v>0.94813879999999995</v>
      </c>
      <c r="AB1526">
        <v>21</v>
      </c>
      <c r="AC1526">
        <v>35.776000000000003</v>
      </c>
      <c r="AD1526">
        <v>0.12501399999999899</v>
      </c>
      <c r="AE1526">
        <v>-34.944799999999901</v>
      </c>
      <c r="AF1526">
        <v>16.8092836497683</v>
      </c>
      <c r="AG1526">
        <v>0.12501399999999899</v>
      </c>
      <c r="AH1526">
        <v>47.100721326899098</v>
      </c>
      <c r="AI1526">
        <v>89.856774307280901</v>
      </c>
      <c r="AJ1526">
        <v>70.359557468747298</v>
      </c>
      <c r="AK1526">
        <v>50.010454855287797</v>
      </c>
    </row>
    <row r="1527" spans="1:37" x14ac:dyDescent="0.2">
      <c r="A1527" t="str">
        <f>"20200111155527139"</f>
        <v>20200111155527139</v>
      </c>
      <c r="B1527" t="str">
        <f>"1578729327133538"</f>
        <v>1578729327133538</v>
      </c>
      <c r="C1527" t="s">
        <v>37</v>
      </c>
      <c r="D1527">
        <v>4.8371379999999897</v>
      </c>
      <c r="E1527">
        <v>0.65333909999999995</v>
      </c>
      <c r="F1527" t="s">
        <v>43</v>
      </c>
      <c r="G1527">
        <v>-168.40039999999999</v>
      </c>
      <c r="H1527">
        <v>1.430172</v>
      </c>
      <c r="I1527">
        <v>320.33609999999999</v>
      </c>
      <c r="J1527">
        <v>-204.072</v>
      </c>
      <c r="K1527">
        <v>1.100733</v>
      </c>
      <c r="L1527">
        <v>362.61270000000002</v>
      </c>
      <c r="M1527">
        <v>0.90687309999999999</v>
      </c>
      <c r="N1527">
        <v>0</v>
      </c>
      <c r="O1527">
        <v>-0.42117250000000001</v>
      </c>
      <c r="P1527">
        <v>0.88354709999999903</v>
      </c>
      <c r="Q1527">
        <v>1.302448E-2</v>
      </c>
      <c r="R1527">
        <v>-0.46816149999999901</v>
      </c>
      <c r="S1527">
        <v>2.0915219999999999</v>
      </c>
      <c r="T1527">
        <v>1.9256949999999998E-2</v>
      </c>
      <c r="U1527">
        <v>-2.47464</v>
      </c>
      <c r="V1527">
        <v>5.2718189999999998E-2</v>
      </c>
      <c r="W1527">
        <v>2.6426399999999999E-2</v>
      </c>
      <c r="X1527">
        <v>0.99825969999999997</v>
      </c>
      <c r="Y1527">
        <v>0.4207959</v>
      </c>
      <c r="Z1527">
        <v>-1.314057E-3</v>
      </c>
      <c r="AA1527">
        <v>0.90715440000000003</v>
      </c>
      <c r="AB1527">
        <v>21</v>
      </c>
      <c r="AC1527">
        <v>35.671599999999998</v>
      </c>
      <c r="AD1527">
        <v>0.32943899999999998</v>
      </c>
      <c r="AE1527">
        <v>-42.276600000000002</v>
      </c>
      <c r="AF1527">
        <v>23.317059799054402</v>
      </c>
      <c r="AG1527">
        <v>0.32943899999999998</v>
      </c>
      <c r="AH1527">
        <v>50.158465166769197</v>
      </c>
      <c r="AI1527">
        <v>89.6587574012201</v>
      </c>
      <c r="AJ1527">
        <v>65.067796362454104</v>
      </c>
      <c r="AK1527">
        <v>55.314242610862898</v>
      </c>
    </row>
    <row r="1528" spans="1:37" x14ac:dyDescent="0.2">
      <c r="A1528" t="str">
        <f>"20200111155527150"</f>
        <v>20200111155527150</v>
      </c>
      <c r="B1528" t="str">
        <f>"1578729327144274"</f>
        <v>1578729327144274</v>
      </c>
      <c r="C1528" t="s">
        <v>37</v>
      </c>
      <c r="D1528">
        <v>4.891559</v>
      </c>
      <c r="E1528">
        <v>0.65322429999999998</v>
      </c>
      <c r="F1528" t="s">
        <v>43</v>
      </c>
      <c r="G1528">
        <v>-168.40039999999999</v>
      </c>
      <c r="H1528">
        <v>1.4496340000000001</v>
      </c>
      <c r="I1528">
        <v>319.94529999999997</v>
      </c>
      <c r="J1528">
        <v>-203.9786</v>
      </c>
      <c r="K1528">
        <v>1.1006910000000001</v>
      </c>
      <c r="L1528">
        <v>362.56479999999999</v>
      </c>
      <c r="M1528">
        <v>0.90534499999999996</v>
      </c>
      <c r="N1528">
        <v>0</v>
      </c>
      <c r="O1528">
        <v>-0.42444719999999903</v>
      </c>
      <c r="P1528">
        <v>0.88087610000000005</v>
      </c>
      <c r="Q1528">
        <v>1.3871359999999999E-2</v>
      </c>
      <c r="R1528">
        <v>-0.47314420000000001</v>
      </c>
      <c r="S1528">
        <v>2.0780789999999998</v>
      </c>
      <c r="T1528">
        <v>2.0325900000000001E-2</v>
      </c>
      <c r="U1528">
        <v>-2.4856259999999999</v>
      </c>
      <c r="V1528">
        <v>5.4766559999999999E-2</v>
      </c>
      <c r="W1528">
        <v>2.725342E-2</v>
      </c>
      <c r="X1528">
        <v>0.99812719999999899</v>
      </c>
      <c r="Y1528">
        <v>0.42237709999999901</v>
      </c>
      <c r="Z1528">
        <v>-1.404569E-3</v>
      </c>
      <c r="AA1528">
        <v>0.90641909999999903</v>
      </c>
      <c r="AB1528">
        <v>21</v>
      </c>
      <c r="AC1528">
        <v>35.578200000000002</v>
      </c>
      <c r="AD1528">
        <v>0.348943</v>
      </c>
      <c r="AE1528">
        <v>-42.619500000000002</v>
      </c>
      <c r="AF1528">
        <v>23.485646189277499</v>
      </c>
      <c r="AG1528">
        <v>0.348943</v>
      </c>
      <c r="AH1528">
        <v>50.303190858603301</v>
      </c>
      <c r="AI1528">
        <v>89.639872711101503</v>
      </c>
      <c r="AJ1528">
        <v>64.972983677963299</v>
      </c>
      <c r="AK1528">
        <v>55.516739355821798</v>
      </c>
    </row>
    <row r="1529" spans="1:37" x14ac:dyDescent="0.2">
      <c r="A1529" t="str">
        <f>"20200111155527160"</f>
        <v>20200111155527160</v>
      </c>
      <c r="B1529" t="str">
        <f>"1578729327154034"</f>
        <v>1578729327154034</v>
      </c>
      <c r="C1529" t="s">
        <v>37</v>
      </c>
      <c r="D1529">
        <v>4.716882</v>
      </c>
      <c r="E1529">
        <v>0.65316680000000005</v>
      </c>
      <c r="F1529" t="s">
        <v>43</v>
      </c>
      <c r="G1529">
        <v>-168.40039999999999</v>
      </c>
      <c r="H1529">
        <v>1.4708209999999999</v>
      </c>
      <c r="I1529">
        <v>319.54539999999997</v>
      </c>
      <c r="J1529">
        <v>-203.89009999999999</v>
      </c>
      <c r="K1529">
        <v>1.1006549999999999</v>
      </c>
      <c r="L1529">
        <v>362.51920000000001</v>
      </c>
      <c r="M1529">
        <v>0.90387859999999998</v>
      </c>
      <c r="N1529">
        <v>0</v>
      </c>
      <c r="O1529">
        <v>-0.42756059999999901</v>
      </c>
      <c r="P1529">
        <v>0.87837739999999997</v>
      </c>
      <c r="Q1529">
        <v>1.4580310000000001E-2</v>
      </c>
      <c r="R1529">
        <v>-0.47774519999999998</v>
      </c>
      <c r="S1529">
        <v>2.064514</v>
      </c>
      <c r="T1529">
        <v>2.147806E-2</v>
      </c>
      <c r="U1529">
        <v>-2.4963069999999998</v>
      </c>
      <c r="V1529">
        <v>5.6568010000000002E-2</v>
      </c>
      <c r="W1529">
        <v>2.7944569999999998E-2</v>
      </c>
      <c r="X1529">
        <v>0.998007599999999</v>
      </c>
      <c r="Y1529">
        <v>0.42408580000000001</v>
      </c>
      <c r="Z1529">
        <v>-1.5012629999999901E-3</v>
      </c>
      <c r="AA1529">
        <v>0.9056208</v>
      </c>
      <c r="AB1529">
        <v>21</v>
      </c>
      <c r="AC1529">
        <v>35.489699999999999</v>
      </c>
      <c r="AD1529">
        <v>0.370166</v>
      </c>
      <c r="AE1529">
        <v>-42.973799999999997</v>
      </c>
      <c r="AF1529">
        <v>23.670369539224701</v>
      </c>
      <c r="AG1529">
        <v>0.370166</v>
      </c>
      <c r="AH1529">
        <v>50.454988562116597</v>
      </c>
      <c r="AI1529">
        <v>89.619449245598503</v>
      </c>
      <c r="AJ1529">
        <v>64.866925880650896</v>
      </c>
      <c r="AK1529">
        <v>55.732659077011</v>
      </c>
    </row>
    <row r="1530" spans="1:37" x14ac:dyDescent="0.2">
      <c r="A1530" t="str">
        <f>"20200111155527172"</f>
        <v>20200111155527172</v>
      </c>
      <c r="B1530" t="str">
        <f>"1578729327163794"</f>
        <v>1578729327163794</v>
      </c>
      <c r="C1530" t="s">
        <v>37</v>
      </c>
      <c r="D1530">
        <v>5.0502560000000001</v>
      </c>
      <c r="E1530">
        <v>0.65302380000000004</v>
      </c>
      <c r="F1530" t="s">
        <v>43</v>
      </c>
      <c r="G1530">
        <v>-168.40039999999999</v>
      </c>
      <c r="H1530">
        <v>1.4815179999999999</v>
      </c>
      <c r="I1530">
        <v>319.16759999999999</v>
      </c>
      <c r="J1530">
        <v>-203.79150000000001</v>
      </c>
      <c r="K1530">
        <v>1.100611</v>
      </c>
      <c r="L1530">
        <v>362.4676</v>
      </c>
      <c r="M1530">
        <v>0.90219519999999997</v>
      </c>
      <c r="N1530">
        <v>0</v>
      </c>
      <c r="O1530">
        <v>-0.43110080000000001</v>
      </c>
      <c r="P1530">
        <v>0.87555090000000002</v>
      </c>
      <c r="Q1530">
        <v>1.552271E-2</v>
      </c>
      <c r="R1530">
        <v>-0.4828769</v>
      </c>
      <c r="S1530">
        <v>2.0518190000000001</v>
      </c>
      <c r="T1530">
        <v>2.2019739999999999E-2</v>
      </c>
      <c r="U1530">
        <v>-2.506348</v>
      </c>
      <c r="V1530">
        <v>5.8515919999999999E-2</v>
      </c>
      <c r="W1530">
        <v>2.8868310000000001E-2</v>
      </c>
      <c r="X1530">
        <v>0.99786900000000001</v>
      </c>
      <c r="Y1530">
        <v>0.42505929999999997</v>
      </c>
      <c r="Z1530">
        <v>-1.5624289999999999E-3</v>
      </c>
      <c r="AA1530">
        <v>0.90516419999999997</v>
      </c>
      <c r="AB1530">
        <v>21</v>
      </c>
      <c r="AC1530">
        <v>35.391100000000002</v>
      </c>
      <c r="AD1530">
        <v>0.380907</v>
      </c>
      <c r="AE1530">
        <v>-43.3</v>
      </c>
      <c r="AF1530">
        <v>23.809148643772499</v>
      </c>
      <c r="AG1530">
        <v>0.380907</v>
      </c>
      <c r="AH1530">
        <v>50.598954929678698</v>
      </c>
      <c r="AI1530">
        <v>89.609732922995207</v>
      </c>
      <c r="AJ1530">
        <v>64.800845690434301</v>
      </c>
      <c r="AK1530">
        <v>55.9220429639294</v>
      </c>
    </row>
    <row r="1531" spans="1:37" x14ac:dyDescent="0.2">
      <c r="A1531" t="str">
        <f>"20200111155527183"</f>
        <v>20200111155527183</v>
      </c>
      <c r="B1531" t="str">
        <f>"1578729327173554"</f>
        <v>1578729327173554</v>
      </c>
      <c r="C1531" t="s">
        <v>37</v>
      </c>
      <c r="D1531">
        <v>4.9998170000000002</v>
      </c>
      <c r="E1531">
        <v>0.6528562</v>
      </c>
      <c r="F1531" t="s">
        <v>43</v>
      </c>
      <c r="G1531">
        <v>-168.40049999999999</v>
      </c>
      <c r="H1531">
        <v>1.513549</v>
      </c>
      <c r="I1531">
        <v>318.74259999999998</v>
      </c>
      <c r="J1531">
        <v>-203.70439999999999</v>
      </c>
      <c r="K1531">
        <v>1.100573</v>
      </c>
      <c r="L1531">
        <v>362.42180000000002</v>
      </c>
      <c r="M1531">
        <v>0.90068210000000004</v>
      </c>
      <c r="N1531">
        <v>0</v>
      </c>
      <c r="O1531">
        <v>-0.43425320000000001</v>
      </c>
      <c r="P1531">
        <v>0.87304809999999999</v>
      </c>
      <c r="Q1531">
        <v>1.5942709999999999E-2</v>
      </c>
      <c r="R1531">
        <v>-0.48737429999999898</v>
      </c>
      <c r="S1531">
        <v>2.03762799999999</v>
      </c>
      <c r="T1531">
        <v>2.377522E-2</v>
      </c>
      <c r="U1531">
        <v>-2.5174560000000001</v>
      </c>
      <c r="V1531">
        <v>6.0170769999999998E-2</v>
      </c>
      <c r="W1531">
        <v>2.9272490000000002E-2</v>
      </c>
      <c r="X1531">
        <v>0.99775879999999995</v>
      </c>
      <c r="Y1531">
        <v>0.42692839999999999</v>
      </c>
      <c r="Z1531">
        <v>-1.705614E-3</v>
      </c>
      <c r="AA1531">
        <v>0.90428379999999997</v>
      </c>
      <c r="AB1531">
        <v>21</v>
      </c>
      <c r="AC1531">
        <v>35.303899999999999</v>
      </c>
      <c r="AD1531">
        <v>0.41297600000000001</v>
      </c>
      <c r="AE1531">
        <v>-43.679200000000002</v>
      </c>
      <c r="AF1531">
        <v>24.011296052869</v>
      </c>
      <c r="AG1531">
        <v>0.41297600000000001</v>
      </c>
      <c r="AH1531">
        <v>50.7676516989021</v>
      </c>
      <c r="AI1531">
        <v>89.578676310363207</v>
      </c>
      <c r="AJ1531">
        <v>64.687513793075198</v>
      </c>
      <c r="AK1531">
        <v>56.161083913472801</v>
      </c>
    </row>
    <row r="1532" spans="1:37" x14ac:dyDescent="0.2">
      <c r="A1532" t="str">
        <f>"20200111155527195"</f>
        <v>20200111155527195</v>
      </c>
      <c r="B1532" t="str">
        <f>"1578729327184290"</f>
        <v>1578729327184290</v>
      </c>
      <c r="C1532" t="s">
        <v>37</v>
      </c>
      <c r="D1532">
        <v>4.8355489999999897</v>
      </c>
      <c r="E1532">
        <v>0.65272140000000001</v>
      </c>
      <c r="F1532" t="s">
        <v>43</v>
      </c>
      <c r="G1532">
        <v>-168.40049999999999</v>
      </c>
      <c r="H1532">
        <v>1.516829</v>
      </c>
      <c r="I1532">
        <v>318.37759999999997</v>
      </c>
      <c r="J1532">
        <v>-203.59710000000001</v>
      </c>
      <c r="K1532">
        <v>1.100519</v>
      </c>
      <c r="L1532">
        <v>362.36470000000003</v>
      </c>
      <c r="M1532">
        <v>0.89877050000000003</v>
      </c>
      <c r="N1532">
        <v>0</v>
      </c>
      <c r="O1532">
        <v>-0.43819520000000001</v>
      </c>
      <c r="P1532">
        <v>0.86996269999999998</v>
      </c>
      <c r="Q1532">
        <v>1.6414209999999999E-2</v>
      </c>
      <c r="R1532">
        <v>-0.49284440000000002</v>
      </c>
      <c r="S1532">
        <v>2.025299</v>
      </c>
      <c r="T1532">
        <v>2.3879890000000001E-2</v>
      </c>
      <c r="U1532">
        <v>-2.5267029999999999</v>
      </c>
      <c r="V1532">
        <v>6.2075190000000002E-2</v>
      </c>
      <c r="W1532">
        <v>2.9725290000000001E-2</v>
      </c>
      <c r="X1532">
        <v>0.99762870000000003</v>
      </c>
      <c r="Y1532">
        <v>0.42726700000000001</v>
      </c>
      <c r="Z1532">
        <v>-1.7443339999999999E-3</v>
      </c>
      <c r="AA1532">
        <v>0.90412380000000003</v>
      </c>
      <c r="AB1532">
        <v>21</v>
      </c>
      <c r="AC1532">
        <v>35.196599999999997</v>
      </c>
      <c r="AD1532">
        <v>0.41631000000000001</v>
      </c>
      <c r="AE1532">
        <v>-43.987099999999998</v>
      </c>
      <c r="AF1532">
        <v>24.112379856732598</v>
      </c>
      <c r="AG1532">
        <v>0.41631000000000001</v>
      </c>
      <c r="AH1532">
        <v>50.910825528314</v>
      </c>
      <c r="AI1532">
        <v>89.576576749431197</v>
      </c>
      <c r="AJ1532">
        <v>64.6568338198351</v>
      </c>
      <c r="AK1532">
        <v>56.333758372275199</v>
      </c>
    </row>
    <row r="1533" spans="1:37" x14ac:dyDescent="0.2">
      <c r="A1533" t="str">
        <f>"20200111155527209"</f>
        <v>20200111155527209</v>
      </c>
      <c r="B1533" t="str">
        <f>"1578729327194051"</f>
        <v>1578729327194051</v>
      </c>
      <c r="C1533" t="s">
        <v>37</v>
      </c>
      <c r="D1533">
        <v>4.8326500000000001</v>
      </c>
      <c r="E1533">
        <v>0.65262419999999899</v>
      </c>
      <c r="F1533" t="s">
        <v>43</v>
      </c>
      <c r="G1533">
        <v>-168.40049999999999</v>
      </c>
      <c r="H1533">
        <v>1.526078</v>
      </c>
      <c r="I1533">
        <v>317.91219999999998</v>
      </c>
      <c r="J1533">
        <v>-203.47819999999999</v>
      </c>
      <c r="K1533">
        <v>1.1004590000000001</v>
      </c>
      <c r="L1533">
        <v>362.30040000000002</v>
      </c>
      <c r="M1533">
        <v>0.89658689999999996</v>
      </c>
      <c r="N1533">
        <v>0</v>
      </c>
      <c r="O1533">
        <v>-0.44264579999999998</v>
      </c>
      <c r="P1533">
        <v>0.86665210000000004</v>
      </c>
      <c r="Q1533">
        <v>1.6907269999999999E-2</v>
      </c>
      <c r="R1533">
        <v>-0.49862679999999998</v>
      </c>
      <c r="S1533">
        <v>2.009903</v>
      </c>
      <c r="T1533">
        <v>2.430189E-2</v>
      </c>
      <c r="U1533">
        <v>-2.5384519999999999</v>
      </c>
      <c r="V1533">
        <v>6.3787410000000003E-2</v>
      </c>
      <c r="W1533">
        <v>3.0201909999999998E-2</v>
      </c>
      <c r="X1533">
        <v>0.99750640000000002</v>
      </c>
      <c r="Y1533">
        <v>0.42819089999999999</v>
      </c>
      <c r="Z1533">
        <v>-1.8088519999999999E-3</v>
      </c>
      <c r="AA1533">
        <v>0.90368649999999995</v>
      </c>
      <c r="AB1533">
        <v>21</v>
      </c>
      <c r="AC1533">
        <v>35.077699999999901</v>
      </c>
      <c r="AD1533">
        <v>0.42561899999999903</v>
      </c>
      <c r="AE1533">
        <v>-44.388199999999998</v>
      </c>
      <c r="AF1533">
        <v>24.271894853730199</v>
      </c>
      <c r="AG1533">
        <v>0.42561899999999903</v>
      </c>
      <c r="AH1533">
        <v>51.100588885338901</v>
      </c>
      <c r="AI1533">
        <v>89.568944044681601</v>
      </c>
      <c r="AJ1533">
        <v>64.593091396795103</v>
      </c>
      <c r="AK1533">
        <v>56.5736353414921</v>
      </c>
    </row>
    <row r="1534" spans="1:37" x14ac:dyDescent="0.2">
      <c r="A1534" t="str">
        <f>"20200111155527221"</f>
        <v>20200111155527221</v>
      </c>
      <c r="B1534" t="str">
        <f>"1578729327213571"</f>
        <v>1578729327213571</v>
      </c>
      <c r="C1534" t="s">
        <v>37</v>
      </c>
      <c r="D1534">
        <v>4.8914609999999996</v>
      </c>
      <c r="E1534">
        <v>0.65245169999999997</v>
      </c>
      <c r="F1534" t="s">
        <v>43</v>
      </c>
      <c r="G1534">
        <v>-168.40049999999999</v>
      </c>
      <c r="H1534">
        <v>1.535272</v>
      </c>
      <c r="I1534">
        <v>317.41379999999998</v>
      </c>
      <c r="J1534">
        <v>-203.3845</v>
      </c>
      <c r="K1534">
        <v>1.1004100000000001</v>
      </c>
      <c r="L1534">
        <v>362.24939999999998</v>
      </c>
      <c r="M1534">
        <v>0.89482799999999996</v>
      </c>
      <c r="N1534">
        <v>0</v>
      </c>
      <c r="O1534">
        <v>-0.44619019999999998</v>
      </c>
      <c r="P1534">
        <v>0.86383489999999996</v>
      </c>
      <c r="Q1534">
        <v>1.714719E-2</v>
      </c>
      <c r="R1534">
        <v>-0.50348320000000002</v>
      </c>
      <c r="S1534">
        <v>1.9934689999999999</v>
      </c>
      <c r="T1534">
        <v>2.471077E-2</v>
      </c>
      <c r="U1534">
        <v>-2.5509029999999999</v>
      </c>
      <c r="V1534">
        <v>6.5448019999999996E-2</v>
      </c>
      <c r="W1534">
        <v>3.04245E-2</v>
      </c>
      <c r="X1534">
        <v>0.9973921</v>
      </c>
      <c r="Y1534">
        <v>0.43036740000000001</v>
      </c>
      <c r="Z1534">
        <v>-1.8609259999999999E-3</v>
      </c>
      <c r="AA1534">
        <v>0.9026518</v>
      </c>
      <c r="AB1534">
        <v>21</v>
      </c>
      <c r="AC1534">
        <v>34.984000000000002</v>
      </c>
      <c r="AD1534">
        <v>0.43486199999999903</v>
      </c>
      <c r="AE1534">
        <v>-44.835599999999999</v>
      </c>
      <c r="AF1534">
        <v>24.511615641266399</v>
      </c>
      <c r="AG1534">
        <v>0.43486199999999903</v>
      </c>
      <c r="AH1534">
        <v>51.311926540193099</v>
      </c>
      <c r="AI1534">
        <v>89.561859358887403</v>
      </c>
      <c r="AJ1534">
        <v>64.466277195957801</v>
      </c>
      <c r="AK1534">
        <v>56.867584893068901</v>
      </c>
    </row>
    <row r="1535" spans="1:37" x14ac:dyDescent="0.2">
      <c r="A1535" t="str">
        <f>"20200111155527232"</f>
        <v>20200111155527232</v>
      </c>
      <c r="B1535" t="str">
        <f>"1578729327224307"</f>
        <v>1578729327224307</v>
      </c>
      <c r="C1535" t="s">
        <v>37</v>
      </c>
      <c r="D1535">
        <v>4.8716819999999998</v>
      </c>
      <c r="E1535">
        <v>0.65228240000000004</v>
      </c>
      <c r="F1535" t="s">
        <v>43</v>
      </c>
      <c r="G1535">
        <v>-168.5573</v>
      </c>
      <c r="H1535">
        <v>1.5263990000000001</v>
      </c>
      <c r="I1535">
        <v>317.19709999999998</v>
      </c>
      <c r="J1535">
        <v>-203.29060000000001</v>
      </c>
      <c r="K1535">
        <v>1.1003579999999999</v>
      </c>
      <c r="L1535">
        <v>362.19740000000002</v>
      </c>
      <c r="M1535">
        <v>0.89301169999999996</v>
      </c>
      <c r="N1535">
        <v>0</v>
      </c>
      <c r="O1535">
        <v>-0.44981369999999998</v>
      </c>
      <c r="P1535">
        <v>0.86103879999999999</v>
      </c>
      <c r="Q1535">
        <v>1.7414880000000001E-2</v>
      </c>
      <c r="R1535">
        <v>-0.5082411</v>
      </c>
      <c r="S1535">
        <v>1.9797359999999999</v>
      </c>
      <c r="T1535">
        <v>2.4215460000000001E-2</v>
      </c>
      <c r="U1535">
        <v>-2.5609739999999999</v>
      </c>
      <c r="V1535">
        <v>6.6917409999999997E-2</v>
      </c>
      <c r="W1535">
        <v>3.0677099999999902E-2</v>
      </c>
      <c r="X1535">
        <v>0.99728680000000003</v>
      </c>
      <c r="Y1535">
        <v>0.43145499999999998</v>
      </c>
      <c r="Z1535">
        <v>-1.849844E-3</v>
      </c>
      <c r="AA1535">
        <v>0.90213259999999995</v>
      </c>
      <c r="AB1535">
        <v>21</v>
      </c>
      <c r="AC1535">
        <v>34.7333</v>
      </c>
      <c r="AD1535">
        <v>0.426041</v>
      </c>
      <c r="AE1535">
        <v>-45.000300000000003</v>
      </c>
      <c r="AF1535">
        <v>24.563329303265199</v>
      </c>
      <c r="AG1535">
        <v>0.426041</v>
      </c>
      <c r="AH1535">
        <v>51.261184060030899</v>
      </c>
      <c r="AI1535">
        <v>89.570569415947205</v>
      </c>
      <c r="AJ1535">
        <v>64.397195588674805</v>
      </c>
      <c r="AK1535">
        <v>56.844064321885902</v>
      </c>
    </row>
    <row r="1536" spans="1:37" x14ac:dyDescent="0.2">
      <c r="A1536" t="str">
        <f>"20200111155527242"</f>
        <v>20200111155527242</v>
      </c>
      <c r="B1536" t="str">
        <f>"1578729327234066"</f>
        <v>1578729327234066</v>
      </c>
      <c r="C1536" t="s">
        <v>37</v>
      </c>
      <c r="D1536">
        <v>4.9105619999999996</v>
      </c>
      <c r="E1536">
        <v>0.65211439999999998</v>
      </c>
      <c r="F1536" t="s">
        <v>43</v>
      </c>
      <c r="G1536">
        <v>-168.869</v>
      </c>
      <c r="H1536">
        <v>1.5111569999999901</v>
      </c>
      <c r="I1536">
        <v>317.19709999999998</v>
      </c>
      <c r="J1536">
        <v>-203.2037</v>
      </c>
      <c r="K1536">
        <v>1.1003099999999999</v>
      </c>
      <c r="L1536">
        <v>362.149</v>
      </c>
      <c r="M1536">
        <v>0.89129859999999905</v>
      </c>
      <c r="N1536">
        <v>0</v>
      </c>
      <c r="O1536">
        <v>-0.45319870000000001</v>
      </c>
      <c r="P1536">
        <v>0.85830629999999997</v>
      </c>
      <c r="Q1536">
        <v>1.7679940000000002E-2</v>
      </c>
      <c r="R1536">
        <v>-0.51283350000000005</v>
      </c>
      <c r="S1536">
        <v>1.9663389999999901</v>
      </c>
      <c r="T1536">
        <v>2.34673E-2</v>
      </c>
      <c r="U1536">
        <v>-2.5706479999999998</v>
      </c>
      <c r="V1536">
        <v>6.8470719999999999E-2</v>
      </c>
      <c r="W1536">
        <v>3.0925419999999999E-2</v>
      </c>
      <c r="X1536">
        <v>0.99717369999999905</v>
      </c>
      <c r="Y1536">
        <v>0.43263549999999901</v>
      </c>
      <c r="Z1536">
        <v>-1.8158849999999999E-3</v>
      </c>
      <c r="AA1536">
        <v>0.90156709999999995</v>
      </c>
      <c r="AB1536">
        <v>21</v>
      </c>
      <c r="AC1536">
        <v>34.334699999999899</v>
      </c>
      <c r="AD1536">
        <v>0.41084699999999902</v>
      </c>
      <c r="AE1536">
        <v>-44.951900000000002</v>
      </c>
      <c r="AF1536">
        <v>24.5062545094803</v>
      </c>
      <c r="AG1536">
        <v>0.41084699999999902</v>
      </c>
      <c r="AH1536">
        <v>50.976964050586297</v>
      </c>
      <c r="AI1536">
        <v>89.583826983253005</v>
      </c>
      <c r="AJ1536">
        <v>64.324920099009404</v>
      </c>
      <c r="AK1536">
        <v>56.563028288411203</v>
      </c>
    </row>
    <row r="1537" spans="1:37" x14ac:dyDescent="0.2">
      <c r="A1537" t="str">
        <f>"20200111155527254"</f>
        <v>20200111155527254</v>
      </c>
      <c r="B1537" t="str">
        <f>"1578729327243826"</f>
        <v>1578729327243826</v>
      </c>
      <c r="C1537" t="s">
        <v>37</v>
      </c>
      <c r="D1537">
        <v>4.9264700000000001</v>
      </c>
      <c r="E1537">
        <v>0.65191009999999905</v>
      </c>
      <c r="F1537" t="s">
        <v>43</v>
      </c>
      <c r="G1537">
        <v>-168.98230000000001</v>
      </c>
      <c r="H1537">
        <v>1.501684</v>
      </c>
      <c r="I1537">
        <v>316.95949999999999</v>
      </c>
      <c r="J1537">
        <v>-203.11009999999999</v>
      </c>
      <c r="K1537">
        <v>1.1002540000000001</v>
      </c>
      <c r="L1537">
        <v>362.09620000000001</v>
      </c>
      <c r="M1537">
        <v>0.88940830000000004</v>
      </c>
      <c r="N1537">
        <v>0</v>
      </c>
      <c r="O1537">
        <v>-0.45689689999999999</v>
      </c>
      <c r="P1537">
        <v>0.85541869999999998</v>
      </c>
      <c r="Q1537">
        <v>1.7920559999999999E-2</v>
      </c>
      <c r="R1537">
        <v>-0.51762719999999995</v>
      </c>
      <c r="S1537">
        <v>1.9534910000000001</v>
      </c>
      <c r="T1537">
        <v>2.291238E-2</v>
      </c>
      <c r="U1537">
        <v>-2.57959</v>
      </c>
      <c r="V1537">
        <v>6.9917220000000002E-2</v>
      </c>
      <c r="W1537">
        <v>3.1150850000000001E-2</v>
      </c>
      <c r="X1537">
        <v>0.99706629999999996</v>
      </c>
      <c r="Y1537">
        <v>0.43324759999999901</v>
      </c>
      <c r="Z1537">
        <v>-1.800297E-3</v>
      </c>
      <c r="AA1537">
        <v>0.90127309999999905</v>
      </c>
      <c r="AB1537">
        <v>21</v>
      </c>
      <c r="AC1537">
        <v>34.127799999999901</v>
      </c>
      <c r="AD1537">
        <v>0.40143000000000001</v>
      </c>
      <c r="AE1537">
        <v>-45.136699999999998</v>
      </c>
      <c r="AF1537">
        <v>24.553266144703201</v>
      </c>
      <c r="AG1537">
        <v>0.40143000000000001</v>
      </c>
      <c r="AH1537">
        <v>50.978851238484701</v>
      </c>
      <c r="AI1537">
        <v>89.593524441416406</v>
      </c>
      <c r="AJ1537">
        <v>64.282844809087706</v>
      </c>
      <c r="AK1537">
        <v>56.5850448264653</v>
      </c>
    </row>
    <row r="1538" spans="1:37" x14ac:dyDescent="0.2">
      <c r="A1538" t="str">
        <f>"20200111155527265"</f>
        <v>20200111155527265</v>
      </c>
      <c r="B1538" t="str">
        <f>"1578729327253587"</f>
        <v>1578729327253587</v>
      </c>
      <c r="C1538" t="s">
        <v>37</v>
      </c>
      <c r="D1538">
        <v>4.896503</v>
      </c>
      <c r="E1538">
        <v>0.65170530000000004</v>
      </c>
      <c r="F1538" t="s">
        <v>43</v>
      </c>
      <c r="G1538">
        <v>-168.98230000000001</v>
      </c>
      <c r="H1538">
        <v>1.492299</v>
      </c>
      <c r="I1538">
        <v>316.53570000000002</v>
      </c>
      <c r="J1538">
        <v>-203.02070000000001</v>
      </c>
      <c r="K1538">
        <v>1.100198</v>
      </c>
      <c r="L1538">
        <v>362.04520000000002</v>
      </c>
      <c r="M1538">
        <v>0.88755729999999999</v>
      </c>
      <c r="N1538">
        <v>0</v>
      </c>
      <c r="O1538">
        <v>-0.4604818</v>
      </c>
      <c r="P1538">
        <v>0.85265119999999905</v>
      </c>
      <c r="Q1538">
        <v>1.7634210000000001E-2</v>
      </c>
      <c r="R1538">
        <v>-0.52218310000000001</v>
      </c>
      <c r="S1538">
        <v>1.93966699999999</v>
      </c>
      <c r="T1538">
        <v>2.2282360000000001E-2</v>
      </c>
      <c r="U1538">
        <v>-2.5894469999999998</v>
      </c>
      <c r="V1538">
        <v>7.1211549999999998E-2</v>
      </c>
      <c r="W1538">
        <v>3.0850590000000001E-2</v>
      </c>
      <c r="X1538">
        <v>0.99698399999999998</v>
      </c>
      <c r="Y1538">
        <v>0.43433859999999902</v>
      </c>
      <c r="Z1538">
        <v>-1.774739E-3</v>
      </c>
      <c r="AA1538">
        <v>0.90074799999999999</v>
      </c>
      <c r="AB1538">
        <v>21</v>
      </c>
      <c r="AC1538">
        <v>34.038400000000003</v>
      </c>
      <c r="AD1538">
        <v>0.39210099999999998</v>
      </c>
      <c r="AE1538">
        <v>-45.509500000000003</v>
      </c>
      <c r="AF1538">
        <v>24.719502813023599</v>
      </c>
      <c r="AG1538">
        <v>0.39210099999999998</v>
      </c>
      <c r="AH1538">
        <v>51.169971477936301</v>
      </c>
      <c r="AI1538">
        <v>89.604677585913194</v>
      </c>
      <c r="AJ1538">
        <v>64.215456736639595</v>
      </c>
      <c r="AK1538">
        <v>56.829336997453098</v>
      </c>
    </row>
    <row r="1539" spans="1:37" x14ac:dyDescent="0.2">
      <c r="A1539" t="str">
        <f>"20200111155527276"</f>
        <v>20200111155527276</v>
      </c>
      <c r="B1539" t="str">
        <f>"1578729327274082"</f>
        <v>1578729327274082</v>
      </c>
      <c r="C1539" t="s">
        <v>37</v>
      </c>
      <c r="D1539">
        <v>4.9059679999999997</v>
      </c>
      <c r="E1539">
        <v>0.65135200000000004</v>
      </c>
      <c r="F1539" t="s">
        <v>43</v>
      </c>
      <c r="G1539">
        <v>-168.98230000000001</v>
      </c>
      <c r="H1539">
        <v>1.448183</v>
      </c>
      <c r="I1539">
        <v>316.14359999999999</v>
      </c>
      <c r="J1539">
        <v>-202.9265</v>
      </c>
      <c r="K1539">
        <v>1.1001379999999901</v>
      </c>
      <c r="L1539">
        <v>361.99099999999999</v>
      </c>
      <c r="M1539">
        <v>0.885570999999999</v>
      </c>
      <c r="N1539">
        <v>0</v>
      </c>
      <c r="O1539">
        <v>-0.46429009999999998</v>
      </c>
      <c r="P1539">
        <v>0.84983940000000002</v>
      </c>
      <c r="Q1539">
        <v>1.7251760000000001E-2</v>
      </c>
      <c r="R1539">
        <v>-0.52675969999999905</v>
      </c>
      <c r="S1539">
        <v>1.9267729999999901</v>
      </c>
      <c r="T1539">
        <v>1.9698380000000001E-2</v>
      </c>
      <c r="U1539">
        <v>-2.5982970000000001</v>
      </c>
      <c r="V1539">
        <v>7.2285450000000001E-2</v>
      </c>
      <c r="W1539">
        <v>3.0457850000000002E-2</v>
      </c>
      <c r="X1539">
        <v>0.99691879999999999</v>
      </c>
      <c r="Y1539">
        <v>0.43482019999999999</v>
      </c>
      <c r="Z1539">
        <v>-1.5936710000000001E-3</v>
      </c>
      <c r="AA1539">
        <v>0.90051589999999904</v>
      </c>
      <c r="AB1539">
        <v>21</v>
      </c>
      <c r="AC1539">
        <v>33.944199999999903</v>
      </c>
      <c r="AD1539">
        <v>0.34804499999999999</v>
      </c>
      <c r="AE1539">
        <v>-45.847399999999901</v>
      </c>
      <c r="AF1539">
        <v>24.8427155234568</v>
      </c>
      <c r="AG1539">
        <v>0.34804499999999999</v>
      </c>
      <c r="AH1539">
        <v>51.349683822818598</v>
      </c>
      <c r="AI1539">
        <v>89.650419524716696</v>
      </c>
      <c r="AJ1539">
        <v>64.1825393150569</v>
      </c>
      <c r="AK1539">
        <v>57.044471060786101</v>
      </c>
    </row>
    <row r="1540" spans="1:37" x14ac:dyDescent="0.2">
      <c r="A1540" t="str">
        <f>"20200111155527287"</f>
        <v>20200111155527287</v>
      </c>
      <c r="B1540" t="str">
        <f>"1578729327283843"</f>
        <v>1578729327283843</v>
      </c>
      <c r="C1540" t="s">
        <v>37</v>
      </c>
      <c r="D1540">
        <v>5.1322150000000004</v>
      </c>
      <c r="E1540">
        <v>0.6512249</v>
      </c>
      <c r="F1540" t="s">
        <v>43</v>
      </c>
      <c r="G1540">
        <v>-168.98230000000001</v>
      </c>
      <c r="H1540">
        <v>1.378935</v>
      </c>
      <c r="I1540">
        <v>315.78300000000002</v>
      </c>
      <c r="J1540">
        <v>-202.8383</v>
      </c>
      <c r="K1540">
        <v>1.100082</v>
      </c>
      <c r="L1540">
        <v>361.93950000000001</v>
      </c>
      <c r="M1540">
        <v>0.88365079999999996</v>
      </c>
      <c r="N1540">
        <v>0</v>
      </c>
      <c r="O1540">
        <v>-0.46793370000000001</v>
      </c>
      <c r="P1540">
        <v>0.84703309999999998</v>
      </c>
      <c r="Q1540">
        <v>1.6325860000000001E-2</v>
      </c>
      <c r="R1540">
        <v>-0.53128940000000002</v>
      </c>
      <c r="S1540">
        <v>1.9144129999999999</v>
      </c>
      <c r="T1540">
        <v>1.5724180000000001E-2</v>
      </c>
      <c r="U1540">
        <v>-2.6060789999999998</v>
      </c>
      <c r="V1540">
        <v>7.3486430000000005E-2</v>
      </c>
      <c r="W1540">
        <v>2.9518909999999999E-2</v>
      </c>
      <c r="X1540">
        <v>0.9968593</v>
      </c>
      <c r="Y1540">
        <v>0.43516670000000002</v>
      </c>
      <c r="Z1540">
        <v>-1.2915589999999901E-3</v>
      </c>
      <c r="AA1540">
        <v>0.90034899999999995</v>
      </c>
      <c r="AB1540">
        <v>21</v>
      </c>
      <c r="AC1540">
        <v>33.855999999999902</v>
      </c>
      <c r="AD1540">
        <v>0.27885300000000002</v>
      </c>
      <c r="AE1540">
        <v>-46.156500000000001</v>
      </c>
      <c r="AF1540">
        <v>24.945759037351198</v>
      </c>
      <c r="AG1540">
        <v>0.27885300000000002</v>
      </c>
      <c r="AH1540">
        <v>51.518975357095002</v>
      </c>
      <c r="AI1540">
        <v>89.720880797376694</v>
      </c>
      <c r="AJ1540">
        <v>64.163490043575706</v>
      </c>
      <c r="AK1540">
        <v>57.241361573517501</v>
      </c>
    </row>
    <row r="1541" spans="1:37" x14ac:dyDescent="0.2">
      <c r="A1541" t="str">
        <f>"20200111155527729"</f>
        <v>20200111155527729</v>
      </c>
      <c r="B1541" t="str">
        <f>"1578729327724019"</f>
        <v>1578729327724019</v>
      </c>
      <c r="C1541" t="s">
        <v>37</v>
      </c>
      <c r="D1541">
        <v>4.9712259999999997</v>
      </c>
      <c r="E1541">
        <v>0.65127449999999998</v>
      </c>
      <c r="F1541" t="s">
        <v>43</v>
      </c>
      <c r="G1541">
        <v>-168.98230000000001</v>
      </c>
      <c r="H1541">
        <v>1.298333</v>
      </c>
      <c r="I1541">
        <v>315.35860000000002</v>
      </c>
      <c r="J1541">
        <v>-199.5164</v>
      </c>
      <c r="K1541">
        <v>1.099118</v>
      </c>
      <c r="L1541">
        <v>359.5034</v>
      </c>
      <c r="M1541">
        <v>0.77512819999999905</v>
      </c>
      <c r="N1541">
        <v>0</v>
      </c>
      <c r="O1541">
        <v>-0.63163769999999997</v>
      </c>
      <c r="P1541">
        <v>0.71923040000000005</v>
      </c>
      <c r="Q1541">
        <v>1.161355E-2</v>
      </c>
      <c r="R1541">
        <v>-0.69467460000000003</v>
      </c>
      <c r="S1541">
        <v>1.9010309999999999</v>
      </c>
      <c r="T1541">
        <v>1.113224E-2</v>
      </c>
      <c r="U1541">
        <v>-2.6155400000000002</v>
      </c>
      <c r="V1541">
        <v>8.4541790000000006E-2</v>
      </c>
      <c r="W1541">
        <v>2.48443E-2</v>
      </c>
      <c r="X1541">
        <v>0.9961101</v>
      </c>
      <c r="Y1541">
        <v>0.25567610000000002</v>
      </c>
      <c r="Z1541">
        <v>-1.827911E-3</v>
      </c>
      <c r="AA1541">
        <v>0.96676079999999998</v>
      </c>
      <c r="AB1541">
        <v>20</v>
      </c>
      <c r="AC1541">
        <v>30.534099999999899</v>
      </c>
      <c r="AD1541">
        <v>0.199214999999999</v>
      </c>
      <c r="AE1541">
        <v>-44.144799999999897</v>
      </c>
      <c r="AF1541">
        <v>14.9327536829115</v>
      </c>
      <c r="AG1541">
        <v>0.199214999999999</v>
      </c>
      <c r="AH1541">
        <v>51.556067787439297</v>
      </c>
      <c r="AI1541">
        <v>89.787347792781404</v>
      </c>
      <c r="AJ1541">
        <v>73.846813598196306</v>
      </c>
      <c r="AK1541">
        <v>53.675459428623199</v>
      </c>
    </row>
    <row r="1542" spans="1:37" x14ac:dyDescent="0.2">
      <c r="A1542" t="str">
        <f>"20200111155527741"</f>
        <v>20200111155527741</v>
      </c>
      <c r="B1542" t="str">
        <f>"1578729327733778"</f>
        <v>1578729327733778</v>
      </c>
      <c r="C1542" t="s">
        <v>37</v>
      </c>
      <c r="D1542">
        <v>4.9605360000000003</v>
      </c>
      <c r="E1542">
        <v>0.65127100000000004</v>
      </c>
      <c r="F1542" t="s">
        <v>44</v>
      </c>
      <c r="G1542">
        <v>-152.53489999999999</v>
      </c>
      <c r="H1542">
        <v>1.775898</v>
      </c>
      <c r="I1542">
        <v>254.45500000000001</v>
      </c>
      <c r="J1542">
        <v>-199.435</v>
      </c>
      <c r="K1542">
        <v>1.099108</v>
      </c>
      <c r="L1542">
        <v>359.4289</v>
      </c>
      <c r="M1542">
        <v>0.77149590000000001</v>
      </c>
      <c r="N1542">
        <v>0</v>
      </c>
      <c r="O1542">
        <v>-0.636069199999999</v>
      </c>
      <c r="P1542">
        <v>0.71399159999999995</v>
      </c>
      <c r="Q1542">
        <v>1.184819E-2</v>
      </c>
      <c r="R1542">
        <v>-0.70005430000000002</v>
      </c>
      <c r="S1542">
        <v>1.3200379999999901</v>
      </c>
      <c r="T1542">
        <v>1.901686E-2</v>
      </c>
      <c r="U1542">
        <v>-2.9515380000000002</v>
      </c>
      <c r="V1542">
        <v>8.6318019999999995E-2</v>
      </c>
      <c r="W1542">
        <v>2.505404E-2</v>
      </c>
      <c r="X1542">
        <v>0.99595250000000002</v>
      </c>
      <c r="Y1542">
        <v>0.44463229999999998</v>
      </c>
      <c r="Z1542">
        <v>-2.677072E-3</v>
      </c>
      <c r="AA1542">
        <v>0.89570919999999898</v>
      </c>
      <c r="AB1542">
        <v>20</v>
      </c>
      <c r="AC1542">
        <v>46.900100000000002</v>
      </c>
      <c r="AD1542">
        <v>0.67679</v>
      </c>
      <c r="AE1542">
        <v>-104.9739</v>
      </c>
      <c r="AF1542">
        <v>51.158825111660398</v>
      </c>
      <c r="AG1542">
        <v>0.67679</v>
      </c>
      <c r="AH1542">
        <v>102.961146228167</v>
      </c>
      <c r="AI1542">
        <v>89.662724331630301</v>
      </c>
      <c r="AJ1542">
        <v>63.5783647554452</v>
      </c>
      <c r="AK1542">
        <v>114.972523083246</v>
      </c>
    </row>
    <row r="1543" spans="1:37" x14ac:dyDescent="0.2">
      <c r="A1543" t="str">
        <f>"20200111155527810"</f>
        <v>20200111155527810</v>
      </c>
      <c r="B1543" t="str">
        <f>"1578729327804050"</f>
        <v>1578729327804050</v>
      </c>
      <c r="C1543" t="s">
        <v>37</v>
      </c>
      <c r="D1543">
        <v>6.1632540000000002</v>
      </c>
      <c r="E1543">
        <v>0.65127100000000004</v>
      </c>
      <c r="F1543" t="s">
        <v>44</v>
      </c>
      <c r="G1543">
        <v>-153.4436</v>
      </c>
      <c r="H1543">
        <v>1.708799</v>
      </c>
      <c r="I1543">
        <v>254.45500000000001</v>
      </c>
      <c r="J1543">
        <v>-198.97569999999999</v>
      </c>
      <c r="K1543">
        <v>1.099005</v>
      </c>
      <c r="L1543">
        <v>358.98930000000001</v>
      </c>
      <c r="M1543">
        <v>0.74972780000000006</v>
      </c>
      <c r="N1543">
        <v>0</v>
      </c>
      <c r="O1543">
        <v>-0.66158680000000003</v>
      </c>
      <c r="P1543">
        <v>0.68233379999999999</v>
      </c>
      <c r="Q1543">
        <v>1.174307E-2</v>
      </c>
      <c r="R1543">
        <v>-0.73094609999999904</v>
      </c>
      <c r="S1543">
        <v>1.297577</v>
      </c>
      <c r="T1543">
        <v>1.7203090000000001E-2</v>
      </c>
      <c r="U1543">
        <v>-2.9616699999999998</v>
      </c>
      <c r="V1543">
        <v>9.6969830000000007E-2</v>
      </c>
      <c r="W1543">
        <v>2.4791870000000001E-2</v>
      </c>
      <c r="X1543">
        <v>0.99497849999999999</v>
      </c>
      <c r="Y1543">
        <v>0.42126369999999902</v>
      </c>
      <c r="Z1543">
        <v>-2.6389540000000002E-3</v>
      </c>
      <c r="AA1543">
        <v>0.90693429999999997</v>
      </c>
      <c r="AB1543">
        <v>20</v>
      </c>
      <c r="AC1543">
        <v>45.5320999999999</v>
      </c>
      <c r="AD1543">
        <v>0.60979399999999995</v>
      </c>
      <c r="AE1543">
        <v>-104.5343</v>
      </c>
      <c r="AF1543">
        <v>48.252548528861702</v>
      </c>
      <c r="AG1543">
        <v>0.60979399999999995</v>
      </c>
      <c r="AH1543">
        <v>103.30314565312599</v>
      </c>
      <c r="AI1543">
        <v>89.693569143154505</v>
      </c>
      <c r="AJ1543">
        <v>64.962881532810698</v>
      </c>
      <c r="AK1543">
        <v>114.018508103218</v>
      </c>
    </row>
    <row r="1544" spans="1:37" x14ac:dyDescent="0.2">
      <c r="A1544" t="str">
        <f>"20200111155528239"</f>
        <v>20200111155528239</v>
      </c>
      <c r="B1544" t="str">
        <f>"1578729328233503"</f>
        <v>1578729328233503</v>
      </c>
      <c r="C1544" t="s">
        <v>37</v>
      </c>
      <c r="D1544">
        <v>4.6957579999999997</v>
      </c>
      <c r="E1544">
        <v>0.65131450000000002</v>
      </c>
      <c r="F1544" t="s">
        <v>45</v>
      </c>
      <c r="G1544">
        <v>-165.60419999999999</v>
      </c>
      <c r="H1544">
        <v>1.559145</v>
      </c>
      <c r="I1544">
        <v>272.61509999999998</v>
      </c>
      <c r="J1544">
        <v>-196.56219999999999</v>
      </c>
      <c r="K1544">
        <v>1.098757</v>
      </c>
      <c r="L1544">
        <v>355.99149999999997</v>
      </c>
      <c r="M1544">
        <v>0.58746960000000004</v>
      </c>
      <c r="N1544">
        <v>0</v>
      </c>
      <c r="O1544">
        <v>-0.80911279999999997</v>
      </c>
      <c r="P1544">
        <v>0.487824799999999</v>
      </c>
      <c r="Q1544">
        <v>1.429996E-2</v>
      </c>
      <c r="R1544">
        <v>-0.87282479999999996</v>
      </c>
      <c r="S1544">
        <v>1.1653290000000001</v>
      </c>
      <c r="T1544">
        <v>1.607072E-2</v>
      </c>
      <c r="U1544">
        <v>-3.0161739999999999</v>
      </c>
      <c r="V1544">
        <v>0.1184925</v>
      </c>
      <c r="W1544">
        <v>2.7088009999999999E-2</v>
      </c>
      <c r="X1544">
        <v>0.99258539999999995</v>
      </c>
      <c r="Y1544">
        <v>0.2564205</v>
      </c>
      <c r="Z1544">
        <v>-3.6410329999999901E-3</v>
      </c>
      <c r="AA1544">
        <v>0.96655849999999899</v>
      </c>
      <c r="AB1544">
        <v>19</v>
      </c>
      <c r="AC1544">
        <v>30.957999999999998</v>
      </c>
      <c r="AD1544">
        <v>0.46038800000000002</v>
      </c>
      <c r="AE1544">
        <v>-83.376399999999904</v>
      </c>
      <c r="AF1544">
        <v>23.934529436045</v>
      </c>
      <c r="AG1544">
        <v>0.46038800000000002</v>
      </c>
      <c r="AH1544">
        <v>85.654750273713404</v>
      </c>
      <c r="AI1544">
        <v>89.703403826156105</v>
      </c>
      <c r="AJ1544">
        <v>74.388028325294997</v>
      </c>
      <c r="AK1544">
        <v>88.9371120561471</v>
      </c>
    </row>
    <row r="1545" spans="1:37" x14ac:dyDescent="0.2">
      <c r="A1545" t="str">
        <f>"20200111155528256"</f>
        <v>20200111155528256</v>
      </c>
      <c r="B1545" t="str">
        <f>"1578729328244239"</f>
        <v>1578729328244239</v>
      </c>
      <c r="C1545" t="s">
        <v>37</v>
      </c>
      <c r="D1545">
        <v>4.6377009999999999</v>
      </c>
      <c r="E1545">
        <v>0.65135050000000005</v>
      </c>
      <c r="F1545" t="s">
        <v>46</v>
      </c>
      <c r="G1545">
        <v>-165.00960000000001</v>
      </c>
      <c r="H1545">
        <v>1.9145989999999999</v>
      </c>
      <c r="I1545">
        <v>109.6066</v>
      </c>
      <c r="J1545">
        <v>-196.47980000000001</v>
      </c>
      <c r="K1545">
        <v>1.098754</v>
      </c>
      <c r="L1545">
        <v>355.85939999999999</v>
      </c>
      <c r="M1545">
        <v>0.5799048</v>
      </c>
      <c r="N1545">
        <v>0</v>
      </c>
      <c r="O1545">
        <v>-0.81455180000000005</v>
      </c>
      <c r="P1545">
        <v>0.47840820000000001</v>
      </c>
      <c r="Q1545">
        <v>1.4497019999999999E-2</v>
      </c>
      <c r="R1545">
        <v>-0.87801839999999998</v>
      </c>
      <c r="S1545">
        <v>0.41075129999999999</v>
      </c>
      <c r="T1545">
        <v>1.062071E-2</v>
      </c>
      <c r="U1545">
        <v>-3.20742799999999</v>
      </c>
      <c r="V1545">
        <v>0.1199221</v>
      </c>
      <c r="W1545">
        <v>2.7262950000000001E-2</v>
      </c>
      <c r="X1545">
        <v>0.99240890000000004</v>
      </c>
      <c r="Y1545">
        <v>0.47178969999999998</v>
      </c>
      <c r="Z1545">
        <v>-2.198045E-3</v>
      </c>
      <c r="AA1545">
        <v>0.8817083</v>
      </c>
      <c r="AB1545">
        <v>19</v>
      </c>
      <c r="AC1545">
        <v>31.470199999999998</v>
      </c>
      <c r="AD1545">
        <v>0.81584500000000004</v>
      </c>
      <c r="AE1545">
        <v>-246.25280000000001</v>
      </c>
      <c r="AF1545">
        <v>117.180451036135</v>
      </c>
      <c r="AG1545">
        <v>0.81584500000000004</v>
      </c>
      <c r="AH1545">
        <v>218.85663276739999</v>
      </c>
      <c r="AI1545">
        <v>89.811706876373194</v>
      </c>
      <c r="AJ1545">
        <v>61.834465514009104</v>
      </c>
      <c r="AK1545">
        <v>248.25420321593899</v>
      </c>
    </row>
    <row r="1546" spans="1:37" x14ac:dyDescent="0.2">
      <c r="A1546" t="str">
        <f>"20200111155528327"</f>
        <v>20200111155528327</v>
      </c>
      <c r="B1546" t="str">
        <f>"1578729328323295"</f>
        <v>1578729328323295</v>
      </c>
      <c r="C1546" t="s">
        <v>37</v>
      </c>
      <c r="D1546">
        <v>4.5514789999999996</v>
      </c>
      <c r="E1546">
        <v>0.65123180000000003</v>
      </c>
      <c r="F1546" t="s">
        <v>46</v>
      </c>
      <c r="G1546">
        <v>-167.37520000000001</v>
      </c>
      <c r="H1546">
        <v>1.788756</v>
      </c>
      <c r="I1546">
        <v>107.2368</v>
      </c>
      <c r="J1546">
        <v>-196.1634</v>
      </c>
      <c r="K1546">
        <v>1.0987370000000001</v>
      </c>
      <c r="L1546">
        <v>355.32409999999999</v>
      </c>
      <c r="M1546">
        <v>0.54893549999999902</v>
      </c>
      <c r="N1546">
        <v>0</v>
      </c>
      <c r="O1546">
        <v>-0.83573529999999996</v>
      </c>
      <c r="P1546">
        <v>0.44470119999999902</v>
      </c>
      <c r="Q1546">
        <v>1.4660589999999999E-2</v>
      </c>
      <c r="R1546">
        <v>-0.89555929999999995</v>
      </c>
      <c r="S1546">
        <v>0.37597659999999899</v>
      </c>
      <c r="T1546">
        <v>8.9136359999999904E-3</v>
      </c>
      <c r="U1546">
        <v>-3.2117309999999999</v>
      </c>
      <c r="V1546">
        <v>0.120399399999999</v>
      </c>
      <c r="W1546">
        <v>2.7430260000000001E-2</v>
      </c>
      <c r="X1546">
        <v>0.99234650000000002</v>
      </c>
      <c r="Y1546">
        <v>0.44809060000000001</v>
      </c>
      <c r="Z1546">
        <v>-1.9459309999999999E-3</v>
      </c>
      <c r="AA1546">
        <v>0.89398599999999995</v>
      </c>
      <c r="AB1546">
        <v>19</v>
      </c>
      <c r="AC1546">
        <v>28.7881999999999</v>
      </c>
      <c r="AD1546">
        <v>0.69001900000000005</v>
      </c>
      <c r="AE1546">
        <v>-248.0873</v>
      </c>
      <c r="AF1546">
        <v>112.135884811049</v>
      </c>
      <c r="AG1546">
        <v>0.69001900000000005</v>
      </c>
      <c r="AH1546">
        <v>223.16061475232399</v>
      </c>
      <c r="AI1546">
        <v>89.841701466535895</v>
      </c>
      <c r="AJ1546">
        <v>63.320948304746203</v>
      </c>
      <c r="AK1546">
        <v>249.75106158976001</v>
      </c>
    </row>
    <row r="1547" spans="1:37" x14ac:dyDescent="0.2">
      <c r="A1547" t="str">
        <f>"20200111155528339"</f>
        <v>20200111155528339</v>
      </c>
      <c r="B1547" t="str">
        <f>"1578729328334031"</f>
        <v>1578729328334031</v>
      </c>
      <c r="C1547" t="s">
        <v>37</v>
      </c>
      <c r="D1547">
        <v>4.5405139999999999</v>
      </c>
      <c r="E1547">
        <v>0.65115239999999996</v>
      </c>
      <c r="F1547" t="s">
        <v>47</v>
      </c>
      <c r="G1547">
        <v>-177.55860000000001</v>
      </c>
      <c r="H1547">
        <v>1.6387689999999999</v>
      </c>
      <c r="I1547">
        <v>119.68729999999999</v>
      </c>
      <c r="J1547">
        <v>-196.1087</v>
      </c>
      <c r="K1547">
        <v>1.0987370000000001</v>
      </c>
      <c r="L1547">
        <v>355.22710000000001</v>
      </c>
      <c r="M1547">
        <v>0.54326809999999903</v>
      </c>
      <c r="N1547">
        <v>0</v>
      </c>
      <c r="O1547">
        <v>-0.83943040000000002</v>
      </c>
      <c r="P1547">
        <v>0.43890879999999999</v>
      </c>
      <c r="Q1547">
        <v>1.450711E-2</v>
      </c>
      <c r="R1547">
        <v>-0.89841459999999995</v>
      </c>
      <c r="S1547">
        <v>0.25450129999999999</v>
      </c>
      <c r="T1547">
        <v>7.3872800000000004E-3</v>
      </c>
      <c r="U1547">
        <v>-3.2233580000000002</v>
      </c>
      <c r="V1547">
        <v>0.12009209999999999</v>
      </c>
      <c r="W1547">
        <v>2.72844E-2</v>
      </c>
      <c r="X1547">
        <v>0.99238780000000004</v>
      </c>
      <c r="Y1547">
        <v>0.47556229999999899</v>
      </c>
      <c r="Z1547">
        <v>-1.6039800000000001E-3</v>
      </c>
      <c r="AA1547">
        <v>0.87968060000000003</v>
      </c>
      <c r="AB1547">
        <v>19</v>
      </c>
      <c r="AC1547">
        <v>18.550099999999901</v>
      </c>
      <c r="AD1547">
        <v>0.54003199999999896</v>
      </c>
      <c r="AE1547">
        <v>-235.53980000000001</v>
      </c>
      <c r="AF1547">
        <v>112.40131568647701</v>
      </c>
      <c r="AG1547">
        <v>0.54003199999999896</v>
      </c>
      <c r="AH1547">
        <v>207.818345103235</v>
      </c>
      <c r="AI1547">
        <v>89.869040607775702</v>
      </c>
      <c r="AJ1547">
        <v>61.592671324735598</v>
      </c>
      <c r="AK1547">
        <v>236.268516658609</v>
      </c>
    </row>
    <row r="1548" spans="1:37" x14ac:dyDescent="0.2">
      <c r="A1548" t="str">
        <f>"20200111155528356"</f>
        <v>20200111155528356</v>
      </c>
      <c r="B1548" t="str">
        <f>"1578729328353551"</f>
        <v>1578729328353551</v>
      </c>
      <c r="C1548" t="s">
        <v>37</v>
      </c>
      <c r="D1548">
        <v>4.5599379999999998</v>
      </c>
      <c r="E1548">
        <v>0.65096480000000001</v>
      </c>
      <c r="F1548" t="s">
        <v>44</v>
      </c>
      <c r="G1548">
        <v>-167.55770000000001</v>
      </c>
      <c r="H1548">
        <v>1.876169</v>
      </c>
      <c r="I1548">
        <v>-37.694769999999998</v>
      </c>
      <c r="J1548">
        <v>-196.03399999999999</v>
      </c>
      <c r="K1548">
        <v>1.0987389999999999</v>
      </c>
      <c r="L1548">
        <v>355.09120000000001</v>
      </c>
      <c r="M1548">
        <v>0.53531289999999998</v>
      </c>
      <c r="N1548">
        <v>0</v>
      </c>
      <c r="O1548">
        <v>-0.84452559999999999</v>
      </c>
      <c r="P1548">
        <v>0.43148249999999999</v>
      </c>
      <c r="Q1548">
        <v>1.41967E-2</v>
      </c>
      <c r="R1548">
        <v>-0.90200970000000003</v>
      </c>
      <c r="S1548">
        <v>0.23431399999999999</v>
      </c>
      <c r="T1548">
        <v>6.3800810000000001E-3</v>
      </c>
      <c r="U1548">
        <v>-3.22464</v>
      </c>
      <c r="V1548">
        <v>0.11890000000000001</v>
      </c>
      <c r="W1548">
        <v>2.6998399999999999E-2</v>
      </c>
      <c r="X1548">
        <v>0.99253910000000001</v>
      </c>
      <c r="Y1548">
        <v>0.47275159999999899</v>
      </c>
      <c r="Z1548">
        <v>-1.4012179999999901E-3</v>
      </c>
      <c r="AA1548">
        <v>0.8811947</v>
      </c>
      <c r="AB1548">
        <v>19</v>
      </c>
      <c r="AC1548">
        <v>28.476299999999998</v>
      </c>
      <c r="AD1548">
        <v>0.77742999999999995</v>
      </c>
      <c r="AE1548">
        <v>-392.78597000000002</v>
      </c>
      <c r="AF1548">
        <v>186.233877812012</v>
      </c>
      <c r="AG1548">
        <v>0.77742999999999995</v>
      </c>
      <c r="AH1548">
        <v>346.99776924050599</v>
      </c>
      <c r="AI1548">
        <v>89.8868926693942</v>
      </c>
      <c r="AJ1548">
        <v>61.777522225947898</v>
      </c>
      <c r="AK1548">
        <v>393.81609096149401</v>
      </c>
    </row>
    <row r="1549" spans="1:37" x14ac:dyDescent="0.2">
      <c r="A1549" t="str">
        <f>"20200111155528370"</f>
        <v>20200111155528370</v>
      </c>
      <c r="B1549" t="str">
        <f>"1578729328364287"</f>
        <v>1578729328364287</v>
      </c>
      <c r="C1549" t="s">
        <v>37</v>
      </c>
      <c r="D1549">
        <v>4.5160910000000003</v>
      </c>
      <c r="E1549">
        <v>0.65085389999999999</v>
      </c>
      <c r="F1549" t="s">
        <v>48</v>
      </c>
      <c r="G1549">
        <v>0</v>
      </c>
      <c r="H1549">
        <v>0</v>
      </c>
      <c r="I1549">
        <v>0</v>
      </c>
      <c r="J1549">
        <v>-195.98169999999999</v>
      </c>
      <c r="K1549">
        <v>1.0987420000000001</v>
      </c>
      <c r="L1549">
        <v>354.99400000000003</v>
      </c>
      <c r="M1549">
        <v>0.52960839999999998</v>
      </c>
      <c r="N1549">
        <v>0</v>
      </c>
      <c r="O1549">
        <v>-0.84811440000000005</v>
      </c>
      <c r="P1549">
        <v>0.42603859999999899</v>
      </c>
      <c r="Q1549">
        <v>1.409612E-2</v>
      </c>
      <c r="R1549">
        <v>-0.90459539999999905</v>
      </c>
      <c r="S1549">
        <v>0.20916750000000001</v>
      </c>
      <c r="T1549">
        <v>4.3762920000000004E-3</v>
      </c>
      <c r="U1549">
        <v>-3.2257689999999899</v>
      </c>
      <c r="V1549">
        <v>0.1181907</v>
      </c>
      <c r="W1549">
        <v>2.691261E-2</v>
      </c>
      <c r="X1549">
        <v>0.99262609999999996</v>
      </c>
      <c r="Y1549">
        <v>0.47367120000000001</v>
      </c>
      <c r="Z1549">
        <v>-9.6771949999999998E-4</v>
      </c>
      <c r="AA1549">
        <v>0.88070119999999896</v>
      </c>
      <c r="AB1549">
        <v>19</v>
      </c>
      <c r="AC1549">
        <v>0.20916750000000001</v>
      </c>
      <c r="AD1549">
        <v>4.3762920000000004E-3</v>
      </c>
      <c r="AE1549">
        <v>-3.2257689999999899</v>
      </c>
      <c r="AF1549">
        <v>1.53115965278915</v>
      </c>
      <c r="AG1549">
        <v>4.3762920000000004E-3</v>
      </c>
      <c r="AH1549">
        <v>2.8469015610536599</v>
      </c>
      <c r="AI1549">
        <v>89.922431553531993</v>
      </c>
      <c r="AJ1549">
        <v>61.7271376535478</v>
      </c>
      <c r="AK1549">
        <v>3.2325404146879402</v>
      </c>
    </row>
    <row r="1550" spans="1:37" x14ac:dyDescent="0.2">
      <c r="A1550" t="str">
        <f>"20200111155528384"</f>
        <v>20200111155528384</v>
      </c>
      <c r="B1550" t="str">
        <f>"1578729328374046"</f>
        <v>1578729328374046</v>
      </c>
      <c r="C1550" t="s">
        <v>37</v>
      </c>
      <c r="D1550">
        <v>4.4712209999999999</v>
      </c>
      <c r="E1550">
        <v>0.65076259999999997</v>
      </c>
      <c r="F1550" t="s">
        <v>48</v>
      </c>
      <c r="G1550">
        <v>0</v>
      </c>
      <c r="H1550">
        <v>0</v>
      </c>
      <c r="I1550">
        <v>0</v>
      </c>
      <c r="J1550">
        <v>-195.9229</v>
      </c>
      <c r="K1550">
        <v>1.098746</v>
      </c>
      <c r="L1550">
        <v>354.88310000000001</v>
      </c>
      <c r="M1550">
        <v>0.52308829999999995</v>
      </c>
      <c r="N1550">
        <v>0</v>
      </c>
      <c r="O1550">
        <v>-0.852151199999999</v>
      </c>
      <c r="P1550">
        <v>0.41967549999999998</v>
      </c>
      <c r="Q1550">
        <v>1.3931310000000001E-2</v>
      </c>
      <c r="R1550">
        <v>-0.90756769999999998</v>
      </c>
      <c r="S1550">
        <v>0.19039919999999999</v>
      </c>
      <c r="T1550">
        <v>4.163384E-3</v>
      </c>
      <c r="U1550">
        <v>-3.2266539999999999</v>
      </c>
      <c r="V1550">
        <v>0.117547</v>
      </c>
      <c r="W1550">
        <v>2.676245E-2</v>
      </c>
      <c r="X1550">
        <v>0.99270669999999905</v>
      </c>
      <c r="Y1550">
        <v>0.47203459999999903</v>
      </c>
      <c r="Z1550">
        <v>-9.2869939999999998E-4</v>
      </c>
      <c r="AA1550">
        <v>0.88157949999999996</v>
      </c>
      <c r="AB1550">
        <v>19</v>
      </c>
      <c r="AC1550">
        <v>0.19039919999999999</v>
      </c>
      <c r="AD1550">
        <v>4.163384E-3</v>
      </c>
      <c r="AE1550">
        <v>-3.2266539999999999</v>
      </c>
      <c r="AF1550">
        <v>1.52573904091642</v>
      </c>
      <c r="AG1550">
        <v>4.163384E-3</v>
      </c>
      <c r="AH1550">
        <v>2.84949707889895</v>
      </c>
      <c r="AI1550">
        <v>89.926198974542402</v>
      </c>
      <c r="AJ1550">
        <v>61.833554682697297</v>
      </c>
      <c r="AK1550">
        <v>3.2322639987161499</v>
      </c>
    </row>
    <row r="1551" spans="1:37" x14ac:dyDescent="0.2">
      <c r="A1551" t="str">
        <f>"20200111155528403"</f>
        <v>20200111155528403</v>
      </c>
      <c r="B1551" t="str">
        <f>"1578729328393566"</f>
        <v>1578729328393566</v>
      </c>
      <c r="C1551" t="s">
        <v>37</v>
      </c>
      <c r="D1551">
        <v>4.4826410000000001</v>
      </c>
      <c r="E1551">
        <v>0.65056780000000003</v>
      </c>
      <c r="F1551" t="s">
        <v>48</v>
      </c>
      <c r="G1551">
        <v>0</v>
      </c>
      <c r="H1551">
        <v>0</v>
      </c>
      <c r="I1551">
        <v>0</v>
      </c>
      <c r="J1551">
        <v>-195.84639999999999</v>
      </c>
      <c r="K1551">
        <v>1.098754</v>
      </c>
      <c r="L1551">
        <v>354.73559999999998</v>
      </c>
      <c r="M1551">
        <v>0.51440240000000004</v>
      </c>
      <c r="N1551">
        <v>0</v>
      </c>
      <c r="O1551">
        <v>-0.85742260000000003</v>
      </c>
      <c r="P1551">
        <v>0.41154439999999998</v>
      </c>
      <c r="Q1551">
        <v>1.3594899999999899E-2</v>
      </c>
      <c r="R1551">
        <v>-0.91128889999999996</v>
      </c>
      <c r="S1551">
        <v>0.16854859999999999</v>
      </c>
      <c r="T1551">
        <v>2.9726029999999999E-3</v>
      </c>
      <c r="U1551">
        <v>-3.2275700000000001</v>
      </c>
      <c r="V1551">
        <v>0.11633159999999999</v>
      </c>
      <c r="W1551">
        <v>2.645167E-2</v>
      </c>
      <c r="X1551">
        <v>0.99285809999999997</v>
      </c>
      <c r="Y1551">
        <v>0.46903820000000002</v>
      </c>
      <c r="Z1551">
        <v>-6.7084789999999903E-4</v>
      </c>
      <c r="AA1551">
        <v>0.88317760000000001</v>
      </c>
      <c r="AB1551">
        <v>19</v>
      </c>
      <c r="AC1551">
        <v>0.16854859999999999</v>
      </c>
      <c r="AD1551">
        <v>2.9726029999999999E-3</v>
      </c>
      <c r="AE1551">
        <v>-3.2275700000000001</v>
      </c>
      <c r="AF1551">
        <v>1.51591531797644</v>
      </c>
      <c r="AG1551">
        <v>2.9726029999999999E-3</v>
      </c>
      <c r="AH1551">
        <v>2.8544000790834398</v>
      </c>
      <c r="AI1551">
        <v>89.947302168361702</v>
      </c>
      <c r="AJ1551">
        <v>62.028114324531202</v>
      </c>
      <c r="AK1551">
        <v>3.2319665683784198</v>
      </c>
    </row>
    <row r="1552" spans="1:37" x14ac:dyDescent="0.2">
      <c r="A1552" t="str">
        <f>"20200111155528416"</f>
        <v>20200111155528416</v>
      </c>
      <c r="B1552" t="str">
        <f>"1578729328414062"</f>
        <v>1578729328414062</v>
      </c>
      <c r="C1552" t="s">
        <v>37</v>
      </c>
      <c r="D1552">
        <v>4.4440239999999998</v>
      </c>
      <c r="E1552">
        <v>0.65030259999999995</v>
      </c>
      <c r="F1552" t="s">
        <v>49</v>
      </c>
      <c r="G1552">
        <v>-176.80410000000001</v>
      </c>
      <c r="H1552">
        <v>1.2476149999999999</v>
      </c>
      <c r="I1552">
        <v>-80.949039999999997</v>
      </c>
      <c r="J1552">
        <v>-195.78880000000001</v>
      </c>
      <c r="K1552">
        <v>1.098765</v>
      </c>
      <c r="L1552">
        <v>354.6225</v>
      </c>
      <c r="M1552">
        <v>0.50772709999999999</v>
      </c>
      <c r="N1552">
        <v>0</v>
      </c>
      <c r="O1552">
        <v>-0.86139219999999905</v>
      </c>
      <c r="P1552">
        <v>0.40512979999999998</v>
      </c>
      <c r="Q1552">
        <v>1.3440819999999999E-2</v>
      </c>
      <c r="R1552">
        <v>-0.91416049999999904</v>
      </c>
      <c r="S1552">
        <v>0.141098</v>
      </c>
      <c r="T1552">
        <v>1.1030439999999901E-3</v>
      </c>
      <c r="U1552">
        <v>-3.2283019999999998</v>
      </c>
      <c r="V1552">
        <v>0.1155954</v>
      </c>
      <c r="W1552">
        <v>2.6314379999999998E-2</v>
      </c>
      <c r="X1552">
        <v>0.99294780000000005</v>
      </c>
      <c r="Y1552">
        <v>0.46968119999999902</v>
      </c>
      <c r="Z1552">
        <v>-2.508322E-4</v>
      </c>
      <c r="AA1552">
        <v>0.88283599999999995</v>
      </c>
      <c r="AB1552">
        <v>19</v>
      </c>
      <c r="AC1552">
        <v>18.9847</v>
      </c>
      <c r="AD1552">
        <v>0.14884999999999901</v>
      </c>
      <c r="AE1552">
        <v>-435.57154000000003</v>
      </c>
      <c r="AF1552">
        <v>204.82036886233399</v>
      </c>
      <c r="AG1552">
        <v>0.14884999999999901</v>
      </c>
      <c r="AH1552">
        <v>384.87862694428901</v>
      </c>
      <c r="AI1552">
        <v>89.980438602283201</v>
      </c>
      <c r="AJ1552">
        <v>61.979488302032102</v>
      </c>
      <c r="AK1552">
        <v>435.98504921126198</v>
      </c>
    </row>
    <row r="1553" spans="1:37" x14ac:dyDescent="0.2">
      <c r="A1553" t="str">
        <f>"20200111155528436"</f>
        <v>20200111155528436</v>
      </c>
      <c r="B1553" t="str">
        <f>"1578729328433582"</f>
        <v>1578729328433582</v>
      </c>
      <c r="C1553" t="s">
        <v>37</v>
      </c>
      <c r="D1553">
        <v>4.4243209999999999</v>
      </c>
      <c r="E1553">
        <v>0.65011850000000004</v>
      </c>
      <c r="F1553" t="s">
        <v>49</v>
      </c>
      <c r="G1553">
        <v>-179.5196</v>
      </c>
      <c r="H1553">
        <v>1.1164750000000001</v>
      </c>
      <c r="I1553">
        <v>-81.815539999999999</v>
      </c>
      <c r="J1553">
        <v>-195.71469999999999</v>
      </c>
      <c r="K1553">
        <v>1.098784</v>
      </c>
      <c r="L1553">
        <v>354.47289999999998</v>
      </c>
      <c r="M1553">
        <v>0.49889060000000002</v>
      </c>
      <c r="N1553">
        <v>0</v>
      </c>
      <c r="O1553">
        <v>-0.86653999999999998</v>
      </c>
      <c r="P1553">
        <v>0.39708369999999998</v>
      </c>
      <c r="Q1553">
        <v>1.309371E-2</v>
      </c>
      <c r="R1553">
        <v>-0.91768899999999998</v>
      </c>
      <c r="S1553">
        <v>0.1203461</v>
      </c>
      <c r="T1553">
        <v>1.31011E-4</v>
      </c>
      <c r="U1553">
        <v>-3.22839399999999</v>
      </c>
      <c r="V1553">
        <v>0.11415789999999899</v>
      </c>
      <c r="W1553">
        <v>2.5996439999999999E-2</v>
      </c>
      <c r="X1553">
        <v>0.99312250000000002</v>
      </c>
      <c r="Y1553">
        <v>0.46631499999999998</v>
      </c>
      <c r="Z1553" s="1">
        <v>-3.013792E-5</v>
      </c>
      <c r="AA1553">
        <v>0.88461880000000004</v>
      </c>
      <c r="AB1553">
        <v>19</v>
      </c>
      <c r="AC1553">
        <v>16.195099999999901</v>
      </c>
      <c r="AD1553">
        <v>1.7691000000000099E-2</v>
      </c>
      <c r="AE1553">
        <v>-436.28843999999998</v>
      </c>
      <c r="AF1553">
        <v>203.64855540810299</v>
      </c>
      <c r="AG1553">
        <v>1.7691000000000099E-2</v>
      </c>
      <c r="AH1553">
        <v>386.182792723722</v>
      </c>
      <c r="AI1553">
        <v>89.9976783202859</v>
      </c>
      <c r="AJ1553">
        <v>62.1956505430188</v>
      </c>
      <c r="AK1553">
        <v>436.58891858208199</v>
      </c>
    </row>
    <row r="1554" spans="1:37" x14ac:dyDescent="0.2">
      <c r="A1554" t="str">
        <f>"20200111155528450"</f>
        <v>20200111155528450</v>
      </c>
      <c r="B1554" t="str">
        <f>"1578729328444319"</f>
        <v>1578729328444319</v>
      </c>
      <c r="C1554" t="s">
        <v>37</v>
      </c>
      <c r="D1554">
        <v>4.4213620000000002</v>
      </c>
      <c r="E1554">
        <v>0.6499954</v>
      </c>
      <c r="F1554" t="s">
        <v>49</v>
      </c>
      <c r="G1554">
        <v>-183.1249</v>
      </c>
      <c r="H1554">
        <v>1.1497999999999999</v>
      </c>
      <c r="I1554">
        <v>-81.815539999999999</v>
      </c>
      <c r="J1554">
        <v>-195.66299999999899</v>
      </c>
      <c r="K1554">
        <v>1.0988009999999999</v>
      </c>
      <c r="L1554">
        <v>354.36610000000002</v>
      </c>
      <c r="M1554">
        <v>0.49258159999999901</v>
      </c>
      <c r="N1554">
        <v>0</v>
      </c>
      <c r="O1554">
        <v>-0.87014159999999996</v>
      </c>
      <c r="P1554">
        <v>0.39097359999999998</v>
      </c>
      <c r="Q1554">
        <v>1.281293E-2</v>
      </c>
      <c r="R1554">
        <v>-0.92031280000000004</v>
      </c>
      <c r="S1554">
        <v>9.3170169999999997E-2</v>
      </c>
      <c r="T1554">
        <v>3.7753580000000003E-4</v>
      </c>
      <c r="U1554">
        <v>-3.228729</v>
      </c>
      <c r="V1554">
        <v>0.1135418</v>
      </c>
      <c r="W1554">
        <v>2.572903E-2</v>
      </c>
      <c r="X1554">
        <v>0.99319999999999997</v>
      </c>
      <c r="Y1554">
        <v>0.46732839999999998</v>
      </c>
      <c r="Z1554" s="1">
        <v>-8.7432349999999996E-5</v>
      </c>
      <c r="AA1554">
        <v>0.88408379999999998</v>
      </c>
      <c r="AB1554">
        <v>19</v>
      </c>
      <c r="AC1554">
        <v>12.538099999999901</v>
      </c>
      <c r="AD1554">
        <v>5.0999000000000003E-2</v>
      </c>
      <c r="AE1554">
        <v>-436.18164000000002</v>
      </c>
      <c r="AF1554">
        <v>203.96725284461201</v>
      </c>
      <c r="AG1554">
        <v>5.0999000000000003E-2</v>
      </c>
      <c r="AH1554">
        <v>385.757672107666</v>
      </c>
      <c r="AI1554">
        <v>89.993303658945507</v>
      </c>
      <c r="AJ1554">
        <v>62.132598446578797</v>
      </c>
      <c r="AK1554">
        <v>436.36180449691199</v>
      </c>
    </row>
    <row r="1555" spans="1:37" x14ac:dyDescent="0.2">
      <c r="A1555" t="str">
        <f>"20200111155528469"</f>
        <v>20200111155528469</v>
      </c>
      <c r="B1555" t="str">
        <f>"1578729328463838"</f>
        <v>1578729328463838</v>
      </c>
      <c r="C1555" t="s">
        <v>37</v>
      </c>
      <c r="D1555">
        <v>4.5996579999999998</v>
      </c>
      <c r="E1555">
        <v>0.64970989999999995</v>
      </c>
      <c r="F1555" t="s">
        <v>49</v>
      </c>
      <c r="G1555">
        <v>-185.8596</v>
      </c>
      <c r="H1555">
        <v>1.1341600000000001</v>
      </c>
      <c r="I1555">
        <v>-81.815539999999999</v>
      </c>
      <c r="J1555">
        <v>-195.5916</v>
      </c>
      <c r="K1555">
        <v>1.0988199999999999</v>
      </c>
      <c r="L1555">
        <v>354.21530000000001</v>
      </c>
      <c r="M1555">
        <v>0.48366690000000001</v>
      </c>
      <c r="N1555">
        <v>0</v>
      </c>
      <c r="O1555">
        <v>-0.87512839999999903</v>
      </c>
      <c r="P1555">
        <v>0.38271119999999997</v>
      </c>
      <c r="Q1555">
        <v>1.2244649999999999E-2</v>
      </c>
      <c r="R1555">
        <v>-0.92378709999999997</v>
      </c>
      <c r="S1555">
        <v>7.2570800000000005E-2</v>
      </c>
      <c r="T1555">
        <v>2.6178360000000001E-4</v>
      </c>
      <c r="U1555">
        <v>-3.228882</v>
      </c>
      <c r="V1555">
        <v>0.11228869999999901</v>
      </c>
      <c r="W1555">
        <v>2.5186090000000001E-2</v>
      </c>
      <c r="X1555">
        <v>0.99335640000000003</v>
      </c>
      <c r="Y1555">
        <v>0.46393109999999999</v>
      </c>
      <c r="Z1555" s="1">
        <v>-6.1296059999999995E-5</v>
      </c>
      <c r="AA1555">
        <v>0.88587130000000003</v>
      </c>
      <c r="AB1555">
        <v>19</v>
      </c>
      <c r="AC1555">
        <v>9.7319999999999993</v>
      </c>
      <c r="AD1555">
        <v>3.5339999999999899E-2</v>
      </c>
      <c r="AE1555">
        <v>-436.03084000000001</v>
      </c>
      <c r="AF1555">
        <v>202.398856104798</v>
      </c>
      <c r="AG1555">
        <v>3.5339999999999899E-2</v>
      </c>
      <c r="AH1555">
        <v>386.33185968121097</v>
      </c>
      <c r="AI1555">
        <v>89.995357372660195</v>
      </c>
      <c r="AJ1555">
        <v>62.350004141191597</v>
      </c>
      <c r="AK1555">
        <v>436.13943184054102</v>
      </c>
    </row>
    <row r="1556" spans="1:37" x14ac:dyDescent="0.2">
      <c r="A1556" t="str">
        <f>"20200111155528482"</f>
        <v>20200111155528482</v>
      </c>
      <c r="B1556" t="str">
        <f>"1578729328473599"</f>
        <v>1578729328473599</v>
      </c>
      <c r="C1556" t="s">
        <v>37</v>
      </c>
      <c r="D1556">
        <v>4.3890919999999998</v>
      </c>
      <c r="E1556">
        <v>0.64957529999999997</v>
      </c>
      <c r="F1556" t="s">
        <v>49</v>
      </c>
      <c r="G1556">
        <v>-189.38849999999999</v>
      </c>
      <c r="H1556">
        <v>1.048198</v>
      </c>
      <c r="I1556">
        <v>-81.815510000000003</v>
      </c>
      <c r="J1556">
        <v>-195.5421</v>
      </c>
      <c r="K1556">
        <v>1.0988359999999999</v>
      </c>
      <c r="L1556">
        <v>354.10879999999997</v>
      </c>
      <c r="M1556">
        <v>0.4773616</v>
      </c>
      <c r="N1556">
        <v>0</v>
      </c>
      <c r="O1556">
        <v>-0.87858380000000003</v>
      </c>
      <c r="P1556">
        <v>0.376664099999999</v>
      </c>
      <c r="Q1556">
        <v>1.2253460000000001E-2</v>
      </c>
      <c r="R1556">
        <v>-0.92626909999999896</v>
      </c>
      <c r="S1556">
        <v>4.5928959999999998E-2</v>
      </c>
      <c r="T1556">
        <v>-3.7479400000000002E-4</v>
      </c>
      <c r="U1556">
        <v>-3.2285159999999999</v>
      </c>
      <c r="V1556">
        <v>0.1116383</v>
      </c>
      <c r="W1556">
        <v>2.520849E-2</v>
      </c>
      <c r="X1556">
        <v>0.99342909999999995</v>
      </c>
      <c r="Y1556">
        <v>0.46486620000000001</v>
      </c>
      <c r="Z1556" s="1">
        <v>8.8330620000000006E-5</v>
      </c>
      <c r="AA1556">
        <v>0.88538099999999997</v>
      </c>
      <c r="AB1556">
        <v>19</v>
      </c>
      <c r="AC1556">
        <v>6.1536000000000097</v>
      </c>
      <c r="AD1556">
        <v>-5.06380000000001E-2</v>
      </c>
      <c r="AE1556">
        <v>-435.92430999999902</v>
      </c>
      <c r="AF1556">
        <v>202.70900533034299</v>
      </c>
      <c r="AG1556">
        <v>-5.06380000000001E-2</v>
      </c>
      <c r="AH1556">
        <v>385.97529049345201</v>
      </c>
      <c r="AI1556">
        <v>90.006654950444499</v>
      </c>
      <c r="AJ1556">
        <v>62.2921517936227</v>
      </c>
      <c r="AK1556">
        <v>435.96773765696099</v>
      </c>
    </row>
    <row r="1557" spans="1:37" x14ac:dyDescent="0.2">
      <c r="A1557" t="str">
        <f>"20200111155528496"</f>
        <v>20200111155528496</v>
      </c>
      <c r="B1557" t="str">
        <f>"1578729328483359"</f>
        <v>1578729328483359</v>
      </c>
      <c r="C1557" t="s">
        <v>37</v>
      </c>
      <c r="D1557">
        <v>4.4369129999999997</v>
      </c>
      <c r="E1557">
        <v>0.6494278</v>
      </c>
      <c r="F1557" t="s">
        <v>49</v>
      </c>
      <c r="G1557">
        <v>-192.08269999999999</v>
      </c>
      <c r="H1557">
        <v>1.141764</v>
      </c>
      <c r="I1557">
        <v>-81.815539999999999</v>
      </c>
      <c r="J1557">
        <v>-195.4915</v>
      </c>
      <c r="K1557">
        <v>1.0988549999999999</v>
      </c>
      <c r="L1557">
        <v>353.99770000000001</v>
      </c>
      <c r="M1557">
        <v>0.470779</v>
      </c>
      <c r="N1557">
        <v>0</v>
      </c>
      <c r="O1557">
        <v>-0.88212839999999904</v>
      </c>
      <c r="P1557">
        <v>0.37032019999999999</v>
      </c>
      <c r="Q1557">
        <v>1.225716E-2</v>
      </c>
      <c r="R1557">
        <v>-0.92882319999999996</v>
      </c>
      <c r="S1557">
        <v>2.5619510000000002E-2</v>
      </c>
      <c r="T1557">
        <v>3.1793119999999999E-4</v>
      </c>
      <c r="U1557">
        <v>-3.2283629999999999</v>
      </c>
      <c r="V1557">
        <v>0.111003399999999</v>
      </c>
      <c r="W1557">
        <v>2.5225649999999999E-2</v>
      </c>
      <c r="X1557">
        <v>0.99349979999999904</v>
      </c>
      <c r="Y1557">
        <v>0.46381430000000001</v>
      </c>
      <c r="Z1557" s="1">
        <v>-7.5476229999999996E-5</v>
      </c>
      <c r="AA1557">
        <v>0.88593239999999995</v>
      </c>
      <c r="AB1557">
        <v>19</v>
      </c>
      <c r="AC1557">
        <v>3.40880000000001</v>
      </c>
      <c r="AD1557">
        <v>4.2909000000000003E-2</v>
      </c>
      <c r="AE1557">
        <v>-435.81324000000001</v>
      </c>
      <c r="AF1557">
        <v>202.18661998949699</v>
      </c>
      <c r="AG1557">
        <v>4.2909000000000003E-2</v>
      </c>
      <c r="AH1557">
        <v>386.08984328986901</v>
      </c>
      <c r="AI1557">
        <v>89.994358984095797</v>
      </c>
      <c r="AJ1557">
        <v>62.359954198573298</v>
      </c>
      <c r="AK1557">
        <v>435.82656898765902</v>
      </c>
    </row>
    <row r="1558" spans="1:37" x14ac:dyDescent="0.2">
      <c r="A1558" t="str">
        <f>"20200111155528514"</f>
        <v>20200111155528514</v>
      </c>
      <c r="B1558" t="str">
        <f>"1578729328503854"</f>
        <v>1578729328503854</v>
      </c>
      <c r="C1558" t="s">
        <v>37</v>
      </c>
      <c r="D1558">
        <v>4.3543750000000001</v>
      </c>
      <c r="E1558">
        <v>0.6491133</v>
      </c>
      <c r="F1558" t="s">
        <v>49</v>
      </c>
      <c r="G1558">
        <v>-194.85900000000001</v>
      </c>
      <c r="H1558">
        <v>1.2280599999999999</v>
      </c>
      <c r="I1558">
        <v>-81.815569999999994</v>
      </c>
      <c r="J1558">
        <v>-195.43020000000001</v>
      </c>
      <c r="K1558">
        <v>1.0988770000000001</v>
      </c>
      <c r="L1558">
        <v>353.85969999999998</v>
      </c>
      <c r="M1558">
        <v>0.46261729999999901</v>
      </c>
      <c r="N1558">
        <v>0</v>
      </c>
      <c r="O1558">
        <v>-0.886436</v>
      </c>
      <c r="P1558">
        <v>0.36294969999999999</v>
      </c>
      <c r="Q1558">
        <v>1.305474E-2</v>
      </c>
      <c r="R1558">
        <v>-0.93171749999999998</v>
      </c>
      <c r="S1558">
        <v>4.6844479999999999E-3</v>
      </c>
      <c r="T1558">
        <v>9.5701219999999999E-4</v>
      </c>
      <c r="U1558">
        <v>-3.2279659999999999</v>
      </c>
      <c r="V1558">
        <v>0.1097103</v>
      </c>
      <c r="W1558">
        <v>2.60464999999999E-2</v>
      </c>
      <c r="X1558">
        <v>0.99362220000000001</v>
      </c>
      <c r="Y1558">
        <v>0.46138029999999902</v>
      </c>
      <c r="Z1558">
        <v>-2.2929959999999999E-4</v>
      </c>
      <c r="AA1558">
        <v>0.88720239999999995</v>
      </c>
      <c r="AB1558">
        <v>19</v>
      </c>
      <c r="AC1558">
        <v>0.57120000000000404</v>
      </c>
      <c r="AD1558">
        <v>0.12918299999999899</v>
      </c>
      <c r="AE1558">
        <v>-435.67527000000001</v>
      </c>
      <c r="AF1558">
        <v>201.06632891172501</v>
      </c>
      <c r="AG1558">
        <v>0.12918299999999899</v>
      </c>
      <c r="AH1558">
        <v>386.50428867023498</v>
      </c>
      <c r="AI1558">
        <v>89.983011120283805</v>
      </c>
      <c r="AJ1558">
        <v>62.5157558896829</v>
      </c>
      <c r="AK1558">
        <v>435.67562528878</v>
      </c>
    </row>
    <row r="1559" spans="1:37" x14ac:dyDescent="0.2">
      <c r="A1559" t="str">
        <f>"20200111155528529"</f>
        <v>20200111155528529</v>
      </c>
      <c r="B1559" t="str">
        <f>"1578729328523374"</f>
        <v>1578729328523374</v>
      </c>
      <c r="C1559" t="s">
        <v>37</v>
      </c>
      <c r="D1559">
        <v>4.3758499999999998</v>
      </c>
      <c r="E1559">
        <v>0.64876420000000001</v>
      </c>
      <c r="F1559" t="s">
        <v>49</v>
      </c>
      <c r="G1559">
        <v>-197.9496</v>
      </c>
      <c r="H1559">
        <v>1.627562</v>
      </c>
      <c r="I1559">
        <v>-81.815700000000007</v>
      </c>
      <c r="J1559">
        <v>-195.37899999999999</v>
      </c>
      <c r="K1559">
        <v>1.098897</v>
      </c>
      <c r="L1559">
        <v>353.74180000000001</v>
      </c>
      <c r="M1559">
        <v>0.4556287</v>
      </c>
      <c r="N1559">
        <v>0</v>
      </c>
      <c r="O1559">
        <v>-0.89004839999999996</v>
      </c>
      <c r="P1559">
        <v>0.35619840000000003</v>
      </c>
      <c r="Q1559">
        <v>1.3432299999999901E-2</v>
      </c>
      <c r="R1559">
        <v>-0.93431399999999998</v>
      </c>
      <c r="S1559">
        <v>-1.8661500000000001E-2</v>
      </c>
      <c r="T1559">
        <v>3.9160250000000001E-3</v>
      </c>
      <c r="U1559">
        <v>-3.2270810000000001</v>
      </c>
      <c r="V1559">
        <v>0.1090843</v>
      </c>
      <c r="W1559">
        <v>2.6435940000000002E-2</v>
      </c>
      <c r="X1559">
        <v>0.99368089999999998</v>
      </c>
      <c r="Y1559">
        <v>0.4608178</v>
      </c>
      <c r="Z1559">
        <v>-9.4516279999999999E-4</v>
      </c>
      <c r="AA1559">
        <v>0.88749429999999996</v>
      </c>
      <c r="AB1559">
        <v>19</v>
      </c>
      <c r="AC1559">
        <v>-2.5705999999999798</v>
      </c>
      <c r="AD1559">
        <v>0.52866500000000005</v>
      </c>
      <c r="AE1559">
        <v>-435.5575</v>
      </c>
      <c r="AF1559">
        <v>200.76187711514899</v>
      </c>
      <c r="AG1559">
        <v>0.52866500000000005</v>
      </c>
      <c r="AH1559">
        <v>386.53726019063402</v>
      </c>
      <c r="AI1559">
        <v>89.930457458537106</v>
      </c>
      <c r="AJ1559">
        <v>62.553286270929704</v>
      </c>
      <c r="AK1559">
        <v>435.56476476542798</v>
      </c>
    </row>
    <row r="1560" spans="1:37" x14ac:dyDescent="0.2">
      <c r="A1560" t="str">
        <f>"20200111155528548"</f>
        <v>20200111155528548</v>
      </c>
      <c r="B1560" t="str">
        <f>"1578729328543870"</f>
        <v>1578729328543870</v>
      </c>
      <c r="C1560" t="s">
        <v>37</v>
      </c>
      <c r="D1560">
        <v>4.4649159999999997</v>
      </c>
      <c r="E1560">
        <v>0.64841219999999999</v>
      </c>
      <c r="F1560" t="s">
        <v>49</v>
      </c>
      <c r="G1560">
        <v>-200.68620000000001</v>
      </c>
      <c r="H1560">
        <v>1.7013069999999999</v>
      </c>
      <c r="I1560">
        <v>-81.815730000000002</v>
      </c>
      <c r="J1560">
        <v>-195.31549999999999</v>
      </c>
      <c r="K1560">
        <v>1.09892099999999</v>
      </c>
      <c r="L1560">
        <v>353.59190000000001</v>
      </c>
      <c r="M1560">
        <v>0.4467469</v>
      </c>
      <c r="N1560">
        <v>0</v>
      </c>
      <c r="O1560">
        <v>-0.89453939999999998</v>
      </c>
      <c r="P1560">
        <v>0.34754069999999998</v>
      </c>
      <c r="Q1560">
        <v>1.382746E-2</v>
      </c>
      <c r="R1560">
        <v>-0.93756269999999997</v>
      </c>
      <c r="S1560">
        <v>-3.9306639999999997E-2</v>
      </c>
      <c r="T1560">
        <v>4.4616459999999997E-3</v>
      </c>
      <c r="U1560">
        <v>-3.2258610000000001</v>
      </c>
      <c r="V1560">
        <v>0.1083867</v>
      </c>
      <c r="W1560">
        <v>2.6843479999999999E-2</v>
      </c>
      <c r="X1560">
        <v>0.99374629999999997</v>
      </c>
      <c r="Y1560">
        <v>0.45766229999999902</v>
      </c>
      <c r="Z1560">
        <v>-1.0875710000000001E-3</v>
      </c>
      <c r="AA1560">
        <v>0.88912549999999901</v>
      </c>
      <c r="AB1560">
        <v>19</v>
      </c>
      <c r="AC1560">
        <v>-5.3707000000000198</v>
      </c>
      <c r="AD1560">
        <v>0.60238599999999998</v>
      </c>
      <c r="AE1560">
        <v>-435.40762999999998</v>
      </c>
      <c r="AF1560">
        <v>199.34250716146201</v>
      </c>
      <c r="AG1560">
        <v>0.60238599999999998</v>
      </c>
      <c r="AH1560">
        <v>387.131098962078</v>
      </c>
      <c r="AI1560">
        <v>89.920737277579306</v>
      </c>
      <c r="AJ1560">
        <v>62.755042994299501</v>
      </c>
      <c r="AK1560">
        <v>435.44033553851699</v>
      </c>
    </row>
    <row r="1561" spans="1:37" x14ac:dyDescent="0.2">
      <c r="A1561" t="str">
        <f>"20200111155528561"</f>
        <v>20200111155528561</v>
      </c>
      <c r="B1561" t="str">
        <f>"1578729328553631"</f>
        <v>1578729328553631</v>
      </c>
      <c r="C1561" t="s">
        <v>37</v>
      </c>
      <c r="D1561">
        <v>4.3226399999999998</v>
      </c>
      <c r="E1561">
        <v>0.64824780000000004</v>
      </c>
      <c r="F1561" t="s">
        <v>49</v>
      </c>
      <c r="G1561">
        <v>-204.2792</v>
      </c>
      <c r="H1561">
        <v>1.738513</v>
      </c>
      <c r="I1561">
        <v>-80.949200000000005</v>
      </c>
      <c r="J1561">
        <v>-195.2681</v>
      </c>
      <c r="K1561">
        <v>1.098946</v>
      </c>
      <c r="L1561">
        <v>353.47739999999999</v>
      </c>
      <c r="M1561">
        <v>0.43996380000000002</v>
      </c>
      <c r="N1561">
        <v>0</v>
      </c>
      <c r="O1561">
        <v>-0.89789519999999901</v>
      </c>
      <c r="P1561">
        <v>0.34078839999999999</v>
      </c>
      <c r="Q1561">
        <v>1.3444599999999999E-2</v>
      </c>
      <c r="R1561">
        <v>-0.94004430000000005</v>
      </c>
      <c r="S1561">
        <v>-6.6513059999999999E-2</v>
      </c>
      <c r="T1561">
        <v>4.7459599999999996E-3</v>
      </c>
      <c r="U1561">
        <v>-3.224396</v>
      </c>
      <c r="V1561">
        <v>0.1080086</v>
      </c>
      <c r="W1561">
        <v>2.6468350000000002E-2</v>
      </c>
      <c r="X1561">
        <v>0.9937975</v>
      </c>
      <c r="Y1561">
        <v>0.4584376</v>
      </c>
      <c r="Z1561">
        <v>-1.1642989999999999E-3</v>
      </c>
      <c r="AA1561">
        <v>0.88872589999999996</v>
      </c>
      <c r="AB1561">
        <v>19</v>
      </c>
      <c r="AC1561">
        <v>-9.0111000000000008</v>
      </c>
      <c r="AD1561">
        <v>0.639567</v>
      </c>
      <c r="AE1561">
        <v>-434.42660000000001</v>
      </c>
      <c r="AF1561">
        <v>199.24409553569799</v>
      </c>
      <c r="AG1561">
        <v>0.639567</v>
      </c>
      <c r="AH1561">
        <v>386.14588307489998</v>
      </c>
      <c r="AI1561">
        <v>89.915666623331504</v>
      </c>
      <c r="AJ1561">
        <v>62.707107323305102</v>
      </c>
      <c r="AK1561">
        <v>434.51957570111898</v>
      </c>
    </row>
    <row r="1562" spans="1:37" x14ac:dyDescent="0.2">
      <c r="A1562" t="str">
        <f>"20200111155528575"</f>
        <v>20200111155528575</v>
      </c>
      <c r="B1562" t="str">
        <f>"1578729328563390"</f>
        <v>1578729328563390</v>
      </c>
      <c r="C1562" t="s">
        <v>37</v>
      </c>
      <c r="D1562">
        <v>4.3129569999999999</v>
      </c>
      <c r="E1562">
        <v>0.64807029999999999</v>
      </c>
      <c r="F1562" t="s">
        <v>49</v>
      </c>
      <c r="G1562">
        <v>-207.2175</v>
      </c>
      <c r="H1562">
        <v>1.5749569999999999</v>
      </c>
      <c r="I1562">
        <v>-81.815690000000004</v>
      </c>
      <c r="J1562">
        <v>-195.2251</v>
      </c>
      <c r="K1562">
        <v>1.0989640000000001</v>
      </c>
      <c r="L1562">
        <v>353.37139999999999</v>
      </c>
      <c r="M1562">
        <v>0.43367549999999999</v>
      </c>
      <c r="N1562">
        <v>0</v>
      </c>
      <c r="O1562">
        <v>-0.90094929999999995</v>
      </c>
      <c r="P1562">
        <v>0.33475919999999998</v>
      </c>
      <c r="Q1562">
        <v>1.301034E-2</v>
      </c>
      <c r="R1562">
        <v>-0.94221429999999995</v>
      </c>
      <c r="S1562">
        <v>-8.8485720000000004E-2</v>
      </c>
      <c r="T1562">
        <v>3.5248990000000002E-3</v>
      </c>
      <c r="U1562">
        <v>-3.2233580000000002</v>
      </c>
      <c r="V1562">
        <v>0.1074222</v>
      </c>
      <c r="W1562">
        <v>2.6044109999999999E-2</v>
      </c>
      <c r="X1562">
        <v>0.99387230000000004</v>
      </c>
      <c r="Y1562">
        <v>0.45828459999999899</v>
      </c>
      <c r="Z1562">
        <v>-8.6993070000000001E-4</v>
      </c>
      <c r="AA1562">
        <v>0.88880499999999996</v>
      </c>
      <c r="AB1562">
        <v>19</v>
      </c>
      <c r="AC1562">
        <v>-11.9924</v>
      </c>
      <c r="AD1562">
        <v>0.475992999999999</v>
      </c>
      <c r="AE1562">
        <v>-435.18709000000001</v>
      </c>
      <c r="AF1562">
        <v>199.555829871415</v>
      </c>
      <c r="AG1562">
        <v>0.475992999999999</v>
      </c>
      <c r="AH1562">
        <v>386.92200581887101</v>
      </c>
      <c r="AI1562">
        <v>89.937355534790399</v>
      </c>
      <c r="AJ1562">
        <v>62.717484951645503</v>
      </c>
      <c r="AK1562">
        <v>435.35203501523199</v>
      </c>
    </row>
    <row r="1563" spans="1:37" x14ac:dyDescent="0.2">
      <c r="A1563" t="str">
        <f>"20200111155528591"</f>
        <v>20200111155528591</v>
      </c>
      <c r="B1563" t="str">
        <f>"1578729328583886"</f>
        <v>1578729328583886</v>
      </c>
      <c r="C1563" t="s">
        <v>37</v>
      </c>
      <c r="D1563">
        <v>4.264284</v>
      </c>
      <c r="E1563">
        <v>0.6476864</v>
      </c>
      <c r="F1563" t="s">
        <v>49</v>
      </c>
      <c r="G1563">
        <v>-209.78659999999999</v>
      </c>
      <c r="H1563">
        <v>1.4606110000000001</v>
      </c>
      <c r="I1563">
        <v>-81.815650000000005</v>
      </c>
      <c r="J1563">
        <v>-195.17269999999999</v>
      </c>
      <c r="K1563">
        <v>1.0989879999999901</v>
      </c>
      <c r="L1563">
        <v>353.23880000000003</v>
      </c>
      <c r="M1563">
        <v>0.425809099999999</v>
      </c>
      <c r="N1563">
        <v>0</v>
      </c>
      <c r="O1563">
        <v>-0.90469359999999999</v>
      </c>
      <c r="P1563">
        <v>0.32775270000000001</v>
      </c>
      <c r="Q1563">
        <v>1.2560750000000001E-2</v>
      </c>
      <c r="R1563">
        <v>-0.94468009999999902</v>
      </c>
      <c r="S1563">
        <v>-0.1078186</v>
      </c>
      <c r="T1563">
        <v>2.6777979999999999E-3</v>
      </c>
      <c r="U1563">
        <v>-3.2222900000000001</v>
      </c>
      <c r="V1563">
        <v>0.106138</v>
      </c>
      <c r="W1563">
        <v>2.5615099999999998E-2</v>
      </c>
      <c r="X1563">
        <v>0.99402139999999894</v>
      </c>
      <c r="Y1563">
        <v>0.45587450000000002</v>
      </c>
      <c r="Z1563">
        <v>-6.6617079999999995E-4</v>
      </c>
      <c r="AA1563">
        <v>0.89004380000000005</v>
      </c>
      <c r="AB1563">
        <v>19</v>
      </c>
      <c r="AC1563">
        <v>-14.613899999999999</v>
      </c>
      <c r="AD1563">
        <v>0.36162300000000003</v>
      </c>
      <c r="AE1563">
        <v>-435.05444999999997</v>
      </c>
      <c r="AF1563">
        <v>198.49255696120099</v>
      </c>
      <c r="AG1563">
        <v>0.36162300000000003</v>
      </c>
      <c r="AH1563">
        <v>387.409839610326</v>
      </c>
      <c r="AI1563">
        <v>89.952401816266402</v>
      </c>
      <c r="AJ1563">
        <v>62.8713012211389</v>
      </c>
      <c r="AK1563">
        <v>435.29967811507601</v>
      </c>
    </row>
    <row r="1564" spans="1:37" x14ac:dyDescent="0.2">
      <c r="A1564" t="str">
        <f>"20200111155528606"</f>
        <v>20200111155528606</v>
      </c>
      <c r="B1564" t="str">
        <f>"1578729328593646"</f>
        <v>1578729328593646</v>
      </c>
      <c r="C1564" t="s">
        <v>37</v>
      </c>
      <c r="D1564">
        <v>4.3042569999999998</v>
      </c>
      <c r="E1564">
        <v>0.64748139999999998</v>
      </c>
      <c r="F1564" t="s">
        <v>50</v>
      </c>
      <c r="G1564">
        <v>-210.82380000000001</v>
      </c>
      <c r="H1564">
        <v>1.399777</v>
      </c>
      <c r="I1564">
        <v>-37.533389999999997</v>
      </c>
      <c r="J1564">
        <v>-195.12880000000001</v>
      </c>
      <c r="K1564">
        <v>1.0990059999999999</v>
      </c>
      <c r="L1564">
        <v>353.12529999999998</v>
      </c>
      <c r="M1564">
        <v>0.41906759999999899</v>
      </c>
      <c r="N1564">
        <v>0</v>
      </c>
      <c r="O1564">
        <v>-0.90783630000000004</v>
      </c>
      <c r="P1564">
        <v>0.32164789999999999</v>
      </c>
      <c r="Q1564">
        <v>1.249753E-2</v>
      </c>
      <c r="R1564">
        <v>-0.94677690000000003</v>
      </c>
      <c r="S1564">
        <v>-0.1289825</v>
      </c>
      <c r="T1564">
        <v>2.4788379999999902E-3</v>
      </c>
      <c r="U1564">
        <v>-3.2203979999999999</v>
      </c>
      <c r="V1564">
        <v>0.105158399999999</v>
      </c>
      <c r="W1564">
        <v>2.5568380000000002E-2</v>
      </c>
      <c r="X1564">
        <v>0.99412670000000003</v>
      </c>
      <c r="Y1564">
        <v>0.45511220000000002</v>
      </c>
      <c r="Z1564">
        <v>-6.2070150000000004E-4</v>
      </c>
      <c r="AA1564">
        <v>0.8904339</v>
      </c>
      <c r="AB1564">
        <v>19</v>
      </c>
      <c r="AC1564">
        <v>-15.694999999999901</v>
      </c>
      <c r="AD1564">
        <v>0.30077100000000001</v>
      </c>
      <c r="AE1564">
        <v>-390.65868999999998</v>
      </c>
      <c r="AF1564">
        <v>177.97997223752799</v>
      </c>
      <c r="AG1564">
        <v>0.30077100000000001</v>
      </c>
      <c r="AH1564">
        <v>348.11419628279401</v>
      </c>
      <c r="AI1564">
        <v>89.955923098045403</v>
      </c>
      <c r="AJ1564">
        <v>62.920750826049002</v>
      </c>
      <c r="AK1564">
        <v>390.97372627132103</v>
      </c>
    </row>
    <row r="1565" spans="1:37" x14ac:dyDescent="0.2">
      <c r="A1565" t="str">
        <f>"20200111155528620"</f>
        <v>20200111155528620</v>
      </c>
      <c r="B1565" t="str">
        <f>"1578729328614143"</f>
        <v>1578729328614143</v>
      </c>
      <c r="C1565" t="s">
        <v>37</v>
      </c>
      <c r="D1565">
        <v>4.316001</v>
      </c>
      <c r="E1565">
        <v>0.64704430000000002</v>
      </c>
      <c r="F1565" t="s">
        <v>51</v>
      </c>
      <c r="G1565">
        <v>-210.72890000000001</v>
      </c>
      <c r="H1565">
        <v>1.342703</v>
      </c>
      <c r="I1565">
        <v>14.027479999999899</v>
      </c>
      <c r="J1565">
        <v>-195.08099999999999</v>
      </c>
      <c r="K1565">
        <v>1.0990260000000001</v>
      </c>
      <c r="L1565">
        <v>352.99900000000002</v>
      </c>
      <c r="M1565">
        <v>0.41156239999999999</v>
      </c>
      <c r="N1565">
        <v>0</v>
      </c>
      <c r="O1565">
        <v>-0.91126319999999905</v>
      </c>
      <c r="P1565">
        <v>0.3147277</v>
      </c>
      <c r="Q1565">
        <v>1.3047049999999999E-2</v>
      </c>
      <c r="R1565">
        <v>-0.9490923</v>
      </c>
      <c r="S1565">
        <v>-0.14808650000000001</v>
      </c>
      <c r="T1565">
        <v>2.3127790000000001E-3</v>
      </c>
      <c r="U1565">
        <v>-3.2189329999999998</v>
      </c>
      <c r="V1565">
        <v>0.104216499999999</v>
      </c>
      <c r="W1565">
        <v>2.6132780000000001E-2</v>
      </c>
      <c r="X1565">
        <v>0.99421130000000002</v>
      </c>
      <c r="Y1565">
        <v>0.45305469999999998</v>
      </c>
      <c r="Z1565">
        <v>-5.8335349999999995E-4</v>
      </c>
      <c r="AA1565">
        <v>0.89148249999999996</v>
      </c>
      <c r="AB1565">
        <v>19</v>
      </c>
      <c r="AC1565">
        <v>-15.6479</v>
      </c>
      <c r="AD1565">
        <v>0.24367699999999901</v>
      </c>
      <c r="AE1565">
        <v>-338.97152</v>
      </c>
      <c r="AF1565">
        <v>153.78380039094401</v>
      </c>
      <c r="AG1565">
        <v>0.24367699999999901</v>
      </c>
      <c r="AH1565">
        <v>302.48466428229</v>
      </c>
      <c r="AI1565">
        <v>89.958855493336898</v>
      </c>
      <c r="AJ1565">
        <v>63.051126415611698</v>
      </c>
      <c r="AK1565">
        <v>339.33241632230101</v>
      </c>
    </row>
    <row r="1566" spans="1:37" x14ac:dyDescent="0.2">
      <c r="A1566" t="str">
        <f>"20200111155528637"</f>
        <v>20200111155528637</v>
      </c>
      <c r="B1566" t="str">
        <f>"1578729328633663"</f>
        <v>1578729328633663</v>
      </c>
      <c r="C1566" t="s">
        <v>37</v>
      </c>
      <c r="D1566">
        <v>4.3375890000000004</v>
      </c>
      <c r="E1566">
        <v>0.64659759999999999</v>
      </c>
      <c r="F1566" t="s">
        <v>52</v>
      </c>
      <c r="G1566">
        <v>-211.38130000000001</v>
      </c>
      <c r="H1566">
        <v>1.4188179999999999</v>
      </c>
      <c r="I1566">
        <v>41.546009999999903</v>
      </c>
      <c r="J1566">
        <v>-195.03290000000001</v>
      </c>
      <c r="K1566">
        <v>1.0990500000000001</v>
      </c>
      <c r="L1566">
        <v>352.86849999999998</v>
      </c>
      <c r="M1566">
        <v>0.4038002</v>
      </c>
      <c r="N1566">
        <v>0</v>
      </c>
      <c r="O1566">
        <v>-0.91472940000000003</v>
      </c>
      <c r="P1566">
        <v>0.30895790000000001</v>
      </c>
      <c r="Q1566">
        <v>1.452647E-2</v>
      </c>
      <c r="R1566">
        <v>-0.950964699999999</v>
      </c>
      <c r="S1566">
        <v>-0.16835020000000001</v>
      </c>
      <c r="T1566">
        <v>3.3029320000000002E-3</v>
      </c>
      <c r="U1566">
        <v>-3.2167050000000001</v>
      </c>
      <c r="V1566">
        <v>0.1018131</v>
      </c>
      <c r="W1566">
        <v>2.7650950000000001E-2</v>
      </c>
      <c r="X1566">
        <v>0.99441919999999995</v>
      </c>
      <c r="Y1566">
        <v>0.45110499999999998</v>
      </c>
      <c r="Z1566">
        <v>-8.3935770000000002E-4</v>
      </c>
      <c r="AA1566">
        <v>0.89247049999999895</v>
      </c>
      <c r="AB1566">
        <v>19</v>
      </c>
      <c r="AC1566">
        <v>-16.348399999999899</v>
      </c>
      <c r="AD1566">
        <v>0.319768</v>
      </c>
      <c r="AE1566">
        <v>-311.32249000000002</v>
      </c>
      <c r="AF1566">
        <v>140.681458735717</v>
      </c>
      <c r="AG1566">
        <v>0.319768</v>
      </c>
      <c r="AH1566">
        <v>278.20403596555798</v>
      </c>
      <c r="AI1566">
        <v>89.941230842664794</v>
      </c>
      <c r="AJ1566">
        <v>63.175313106911503</v>
      </c>
      <c r="AK1566">
        <v>311.75128020764998</v>
      </c>
    </row>
    <row r="1567" spans="1:37" x14ac:dyDescent="0.2">
      <c r="A1567" t="str">
        <f>"20200111155528651"</f>
        <v>20200111155528651</v>
      </c>
      <c r="B1567" t="str">
        <f>"1578729328644398"</f>
        <v>1578729328644398</v>
      </c>
      <c r="C1567" t="s">
        <v>37</v>
      </c>
      <c r="D1567">
        <v>4.3429310000000001</v>
      </c>
      <c r="E1567">
        <v>0.64635209999999998</v>
      </c>
      <c r="F1567" t="s">
        <v>52</v>
      </c>
      <c r="G1567">
        <v>-211.35919999999999</v>
      </c>
      <c r="H1567">
        <v>1.75799199999999</v>
      </c>
      <c r="I1567">
        <v>68.290669999999906</v>
      </c>
      <c r="J1567">
        <v>-194.99260000000001</v>
      </c>
      <c r="K1567">
        <v>1.0990679999999999</v>
      </c>
      <c r="L1567">
        <v>352.7559</v>
      </c>
      <c r="M1567">
        <v>0.39710079999999998</v>
      </c>
      <c r="N1567">
        <v>0</v>
      </c>
      <c r="O1567">
        <v>-0.91765759999999996</v>
      </c>
      <c r="P1567">
        <v>0.30322309999999902</v>
      </c>
      <c r="Q1567">
        <v>1.5282749999999999E-2</v>
      </c>
      <c r="R1567">
        <v>-0.95279720000000001</v>
      </c>
      <c r="S1567">
        <v>-0.18441769999999999</v>
      </c>
      <c r="T1567">
        <v>7.4434280000000002E-3</v>
      </c>
      <c r="U1567">
        <v>-3.2145079999999999</v>
      </c>
      <c r="V1567">
        <v>0.10053769999999999</v>
      </c>
      <c r="W1567">
        <v>2.8426940000000001E-2</v>
      </c>
      <c r="X1567">
        <v>0.99452700000000005</v>
      </c>
      <c r="Y1567">
        <v>0.44905709999999999</v>
      </c>
      <c r="Z1567">
        <v>-1.903903E-3</v>
      </c>
      <c r="AA1567">
        <v>0.89350099999999999</v>
      </c>
      <c r="AB1567">
        <v>19</v>
      </c>
      <c r="AC1567">
        <v>-16.366599999999899</v>
      </c>
      <c r="AD1567">
        <v>0.65892399999999895</v>
      </c>
      <c r="AE1567">
        <v>-284.46523000000002</v>
      </c>
      <c r="AF1567">
        <v>127.993411865434</v>
      </c>
      <c r="AG1567">
        <v>0.65892399999999895</v>
      </c>
      <c r="AH1567">
        <v>254.56855822911101</v>
      </c>
      <c r="AI1567">
        <v>89.867500971006095</v>
      </c>
      <c r="AJ1567">
        <v>63.307407464208602</v>
      </c>
      <c r="AK1567">
        <v>284.93490221564701</v>
      </c>
    </row>
    <row r="1568" spans="1:37" x14ac:dyDescent="0.2">
      <c r="A1568" t="str">
        <f>"20200111155528665"</f>
        <v>20200111155528665</v>
      </c>
      <c r="B1568" t="str">
        <f>"1578729328663918"</f>
        <v>1578729328663918</v>
      </c>
      <c r="C1568" t="s">
        <v>37</v>
      </c>
      <c r="D1568">
        <v>4.4650439999999998</v>
      </c>
      <c r="E1568">
        <v>0.64595190000000002</v>
      </c>
      <c r="F1568" t="s">
        <v>52</v>
      </c>
      <c r="G1568">
        <v>-212.22579999999999</v>
      </c>
      <c r="H1568">
        <v>1.938636</v>
      </c>
      <c r="I1568">
        <v>78.480500000000006</v>
      </c>
      <c r="J1568">
        <v>-194.9512</v>
      </c>
      <c r="K1568">
        <v>1.0990899999999999</v>
      </c>
      <c r="L1568">
        <v>352.6377</v>
      </c>
      <c r="M1568">
        <v>0.39006990000000002</v>
      </c>
      <c r="N1568">
        <v>0</v>
      </c>
      <c r="O1568">
        <v>-0.92066819999999905</v>
      </c>
      <c r="P1568">
        <v>0.29735489999999998</v>
      </c>
      <c r="Q1568">
        <v>1.5869149999999999E-2</v>
      </c>
      <c r="R1568">
        <v>-0.95463500000000001</v>
      </c>
      <c r="S1568">
        <v>-0.2018585</v>
      </c>
      <c r="T1568">
        <v>9.8344090000000006E-3</v>
      </c>
      <c r="U1568">
        <v>-3.2126769999999998</v>
      </c>
      <c r="V1568">
        <v>9.9052780000000007E-2</v>
      </c>
      <c r="W1568">
        <v>2.903704E-2</v>
      </c>
      <c r="X1568">
        <v>0.99465840000000005</v>
      </c>
      <c r="Y1568">
        <v>0.44708350000000002</v>
      </c>
      <c r="Z1568">
        <v>-2.5317650000000001E-3</v>
      </c>
      <c r="AA1568">
        <v>0.89448859999999997</v>
      </c>
      <c r="AB1568">
        <v>19</v>
      </c>
      <c r="AC1568">
        <v>-17.2745999999999</v>
      </c>
      <c r="AD1568">
        <v>0.83954600000000001</v>
      </c>
      <c r="AE1568">
        <v>-274.15719999999999</v>
      </c>
      <c r="AF1568">
        <v>122.85673995946701</v>
      </c>
      <c r="AG1568">
        <v>0.83954600000000001</v>
      </c>
      <c r="AH1568">
        <v>245.69369936632401</v>
      </c>
      <c r="AI1568">
        <v>89.824890479849898</v>
      </c>
      <c r="AJ1568">
        <v>63.433103722400404</v>
      </c>
      <c r="AK1568">
        <v>274.69961284877002</v>
      </c>
    </row>
    <row r="1569" spans="1:37" x14ac:dyDescent="0.2">
      <c r="A1569" t="str">
        <f>"20200111155528682"</f>
        <v>20200111155528682</v>
      </c>
      <c r="B1569" t="str">
        <f>"1578729328673679"</f>
        <v>1578729328673679</v>
      </c>
      <c r="C1569" t="s">
        <v>37</v>
      </c>
      <c r="D1569">
        <v>4.4218999999999999</v>
      </c>
      <c r="E1569">
        <v>0.64583690000000005</v>
      </c>
      <c r="F1569" t="s">
        <v>52</v>
      </c>
      <c r="G1569">
        <v>-212.26589999999999</v>
      </c>
      <c r="H1569">
        <v>2.0064829999999998</v>
      </c>
      <c r="I1569">
        <v>98.375469999999893</v>
      </c>
      <c r="J1569">
        <v>-194.9051</v>
      </c>
      <c r="K1569">
        <v>1.099116</v>
      </c>
      <c r="L1569">
        <v>352.50310000000002</v>
      </c>
      <c r="M1569">
        <v>0.38206209999999902</v>
      </c>
      <c r="N1569">
        <v>0</v>
      </c>
      <c r="O1569">
        <v>-0.92401999999999995</v>
      </c>
      <c r="P1569">
        <v>0.29119440000000002</v>
      </c>
      <c r="Q1569">
        <v>1.6660979999999999E-2</v>
      </c>
      <c r="R1569">
        <v>-0.9565188</v>
      </c>
      <c r="S1569">
        <v>-0.21862789999999999</v>
      </c>
      <c r="T1569">
        <v>1.145768E-2</v>
      </c>
      <c r="U1569">
        <v>-3.21048</v>
      </c>
      <c r="V1569">
        <v>9.6833520000000006E-2</v>
      </c>
      <c r="W1569">
        <v>2.986399E-2</v>
      </c>
      <c r="X1569">
        <v>0.99485249999999903</v>
      </c>
      <c r="Y1569">
        <v>0.4440055</v>
      </c>
      <c r="Z1569">
        <v>-2.9717929999999999E-3</v>
      </c>
      <c r="AA1569">
        <v>0.89601919999999902</v>
      </c>
      <c r="AB1569">
        <v>19</v>
      </c>
      <c r="AC1569">
        <v>-17.360799999999902</v>
      </c>
      <c r="AD1569">
        <v>0.90736700000000003</v>
      </c>
      <c r="AE1569">
        <v>-254.12763000000001</v>
      </c>
      <c r="AF1569">
        <v>113.14502401883701</v>
      </c>
      <c r="AG1569">
        <v>0.90736700000000003</v>
      </c>
      <c r="AH1569">
        <v>228.207814606401</v>
      </c>
      <c r="AI1569">
        <v>89.795898434132198</v>
      </c>
      <c r="AJ1569">
        <v>63.6278686017193</v>
      </c>
      <c r="AK1569">
        <v>254.718327614103</v>
      </c>
    </row>
    <row r="1570" spans="1:37" x14ac:dyDescent="0.2">
      <c r="A1570" t="str">
        <f>"20200111155528719"</f>
        <v>20200111155528719</v>
      </c>
      <c r="B1570" t="str">
        <f>"1578729328713694"</f>
        <v>1578729328713694</v>
      </c>
      <c r="C1570" t="s">
        <v>37</v>
      </c>
      <c r="D1570">
        <v>4.3835809999999897</v>
      </c>
      <c r="E1570">
        <v>0.64574889999999996</v>
      </c>
      <c r="F1570" t="s">
        <v>53</v>
      </c>
      <c r="G1570">
        <v>-212.65379999999999</v>
      </c>
      <c r="H1570">
        <v>2.2465519999999999</v>
      </c>
      <c r="I1570">
        <v>113.85980000000001</v>
      </c>
      <c r="J1570">
        <v>-194.80799999999999</v>
      </c>
      <c r="K1570">
        <v>1.099183</v>
      </c>
      <c r="L1570">
        <v>352.20580000000001</v>
      </c>
      <c r="M1570">
        <v>0.3644174</v>
      </c>
      <c r="N1570">
        <v>0</v>
      </c>
      <c r="O1570">
        <v>-0.93112039999999996</v>
      </c>
      <c r="P1570">
        <v>0.27563159999999998</v>
      </c>
      <c r="Q1570">
        <v>1.6168200000000001E-2</v>
      </c>
      <c r="R1570">
        <v>-0.96112759999999997</v>
      </c>
      <c r="S1570">
        <v>-0.23864749999999901</v>
      </c>
      <c r="T1570">
        <v>1.542866E-2</v>
      </c>
      <c r="U1570">
        <v>-3.208771</v>
      </c>
      <c r="V1570">
        <v>9.4046340000000006E-2</v>
      </c>
      <c r="W1570">
        <v>2.9415960000000001E-2</v>
      </c>
      <c r="X1570">
        <v>0.99513320000000005</v>
      </c>
      <c r="Y1570">
        <v>0.43251919999999999</v>
      </c>
      <c r="Z1570">
        <v>-4.0677070000000003E-3</v>
      </c>
      <c r="AA1570">
        <v>0.90161559999999896</v>
      </c>
      <c r="AB1570">
        <v>19</v>
      </c>
      <c r="AC1570">
        <v>-17.845799999999901</v>
      </c>
      <c r="AD1570">
        <v>1.1473690000000001</v>
      </c>
      <c r="AE1570">
        <v>-238.346</v>
      </c>
      <c r="AF1570">
        <v>103.48274616507599</v>
      </c>
      <c r="AG1570">
        <v>1.1473690000000001</v>
      </c>
      <c r="AH1570">
        <v>215.443674122814</v>
      </c>
      <c r="AI1570">
        <v>89.724950657455693</v>
      </c>
      <c r="AJ1570">
        <v>64.343913015970998</v>
      </c>
      <c r="AK1570">
        <v>239.01040129882401</v>
      </c>
    </row>
    <row r="1571" spans="1:37" x14ac:dyDescent="0.2">
      <c r="A1571" t="str">
        <f>"20200111155528738"</f>
        <v>20200111155528738</v>
      </c>
      <c r="B1571" t="str">
        <f>"1578729328734191"</f>
        <v>1578729328734191</v>
      </c>
      <c r="C1571" t="s">
        <v>37</v>
      </c>
      <c r="D1571">
        <v>4.3879289999999997</v>
      </c>
      <c r="E1571">
        <v>0.64551009999999998</v>
      </c>
      <c r="F1571" t="s">
        <v>54</v>
      </c>
      <c r="G1571">
        <v>-216.4667</v>
      </c>
      <c r="H1571">
        <v>2.2513839999999998</v>
      </c>
      <c r="I1571">
        <v>112.9751</v>
      </c>
      <c r="J1571">
        <v>-194.7603</v>
      </c>
      <c r="K1571">
        <v>1.099224</v>
      </c>
      <c r="L1571">
        <v>352.05220000000003</v>
      </c>
      <c r="M1571">
        <v>0.35535309999999998</v>
      </c>
      <c r="N1571">
        <v>0</v>
      </c>
      <c r="O1571">
        <v>-0.93461759999999905</v>
      </c>
      <c r="P1571">
        <v>0.26806049999999998</v>
      </c>
      <c r="Q1571">
        <v>1.629481E-2</v>
      </c>
      <c r="R1571">
        <v>-0.96326449999999997</v>
      </c>
      <c r="S1571">
        <v>-0.29010009999999897</v>
      </c>
      <c r="T1571">
        <v>1.543307E-2</v>
      </c>
      <c r="U1571">
        <v>-3.204285</v>
      </c>
      <c r="V1571">
        <v>9.2203889999999997E-2</v>
      </c>
      <c r="W1571">
        <v>2.9571340000000002E-2</v>
      </c>
      <c r="X1571">
        <v>0.99530090000000004</v>
      </c>
      <c r="Y1571">
        <v>0.43822250000000001</v>
      </c>
      <c r="Z1571">
        <v>-4.0901590000000003E-3</v>
      </c>
      <c r="AA1571">
        <v>0.89885720000000002</v>
      </c>
      <c r="AB1571">
        <v>19</v>
      </c>
      <c r="AC1571">
        <v>-21.706399999999999</v>
      </c>
      <c r="AD1571">
        <v>1.1521600000000001</v>
      </c>
      <c r="AE1571">
        <v>-239.0771</v>
      </c>
      <c r="AF1571">
        <v>105.25281664353101</v>
      </c>
      <c r="AG1571">
        <v>1.1521600000000001</v>
      </c>
      <c r="AH1571">
        <v>215.75035870276801</v>
      </c>
      <c r="AI1571">
        <v>89.725007119996505</v>
      </c>
      <c r="AJ1571">
        <v>63.994779450846899</v>
      </c>
      <c r="AK1571">
        <v>240.057701739468</v>
      </c>
    </row>
    <row r="1572" spans="1:37" x14ac:dyDescent="0.2">
      <c r="A1572" t="str">
        <f>"20200111155528752"</f>
        <v>20200111155528752</v>
      </c>
      <c r="B1572" t="str">
        <f>"1578729328743950"</f>
        <v>1578729328743950</v>
      </c>
      <c r="C1572" t="s">
        <v>37</v>
      </c>
      <c r="D1572">
        <v>4.4528280000000002</v>
      </c>
      <c r="E1572">
        <v>0.64536539999999998</v>
      </c>
      <c r="F1572" t="s">
        <v>54</v>
      </c>
      <c r="G1572">
        <v>-218.12970000000001</v>
      </c>
      <c r="H1572">
        <v>2.2088009999999998</v>
      </c>
      <c r="I1572">
        <v>113.2439</v>
      </c>
      <c r="J1572">
        <v>-194.7235</v>
      </c>
      <c r="K1572">
        <v>1.0992759999999999</v>
      </c>
      <c r="L1572">
        <v>351.92989999999998</v>
      </c>
      <c r="M1572">
        <v>0.3481764</v>
      </c>
      <c r="N1572">
        <v>0</v>
      </c>
      <c r="O1572">
        <v>-0.93731489999999995</v>
      </c>
      <c r="P1572">
        <v>0.26150410000000002</v>
      </c>
      <c r="Q1572">
        <v>1.6707840000000002E-2</v>
      </c>
      <c r="R1572">
        <v>-0.96505799999999997</v>
      </c>
      <c r="S1572">
        <v>-0.31327820000000001</v>
      </c>
      <c r="T1572">
        <v>1.4874699999999999E-2</v>
      </c>
      <c r="U1572">
        <v>-3.2013240000000001</v>
      </c>
      <c r="V1572">
        <v>9.1339480000000001E-2</v>
      </c>
      <c r="W1572">
        <v>2.999744E-2</v>
      </c>
      <c r="X1572">
        <v>0.99536789999999997</v>
      </c>
      <c r="Y1572">
        <v>0.43785550000000001</v>
      </c>
      <c r="Z1572">
        <v>-3.9636059999999997E-3</v>
      </c>
      <c r="AA1572">
        <v>0.89903659999999996</v>
      </c>
      <c r="AB1572">
        <v>19</v>
      </c>
      <c r="AC1572">
        <v>-23.406199999999998</v>
      </c>
      <c r="AD1572">
        <v>1.1095250000000001</v>
      </c>
      <c r="AE1572">
        <v>-238.68599999999901</v>
      </c>
      <c r="AF1572">
        <v>105.052803892075</v>
      </c>
      <c r="AG1572">
        <v>1.1095250000000001</v>
      </c>
      <c r="AH1572">
        <v>215.59291077501001</v>
      </c>
      <c r="AI1572">
        <v>89.734929865611207</v>
      </c>
      <c r="AJ1572">
        <v>64.021233201057399</v>
      </c>
      <c r="AK1572">
        <v>239.82832574104799</v>
      </c>
    </row>
    <row r="1573" spans="1:37" x14ac:dyDescent="0.2">
      <c r="A1573" t="str">
        <f>"20200111155528772"</f>
        <v>20200111155528772</v>
      </c>
      <c r="B1573" t="str">
        <f>"1578729328764446"</f>
        <v>1578729328764446</v>
      </c>
      <c r="C1573" t="s">
        <v>37</v>
      </c>
      <c r="D1573">
        <v>4.4308059999999996</v>
      </c>
      <c r="E1573">
        <v>0.64509300000000003</v>
      </c>
      <c r="F1573" t="s">
        <v>52</v>
      </c>
      <c r="G1573">
        <v>-221.3193</v>
      </c>
      <c r="H1573">
        <v>2.3066779999999998</v>
      </c>
      <c r="I1573">
        <v>97.150019999999998</v>
      </c>
      <c r="J1573">
        <v>-194.67699999999999</v>
      </c>
      <c r="K1573">
        <v>1.0993649999999999</v>
      </c>
      <c r="L1573">
        <v>351.77120000000002</v>
      </c>
      <c r="M1573">
        <v>0.33894359999999901</v>
      </c>
      <c r="N1573">
        <v>0</v>
      </c>
      <c r="O1573">
        <v>-0.94069319999999901</v>
      </c>
      <c r="P1573">
        <v>0.25417919999999999</v>
      </c>
      <c r="Q1573">
        <v>1.6862970000000001E-2</v>
      </c>
      <c r="R1573">
        <v>-0.96701009999999998</v>
      </c>
      <c r="S1573">
        <v>-0.33392329999999998</v>
      </c>
      <c r="T1573">
        <v>1.5159850000000001E-2</v>
      </c>
      <c r="U1573">
        <v>-3.1988829999999999</v>
      </c>
      <c r="V1573">
        <v>8.9093439999999996E-2</v>
      </c>
      <c r="W1573">
        <v>3.0188090000000001E-2</v>
      </c>
      <c r="X1573">
        <v>0.995565699999999</v>
      </c>
      <c r="Y1573">
        <v>0.43482309999999902</v>
      </c>
      <c r="Z1573">
        <v>-4.0688219999999997E-3</v>
      </c>
      <c r="AA1573">
        <v>0.90050669999999899</v>
      </c>
      <c r="AB1573">
        <v>19</v>
      </c>
      <c r="AC1573">
        <v>-26.642299999999899</v>
      </c>
      <c r="AD1573">
        <v>1.2073129999999901</v>
      </c>
      <c r="AE1573">
        <v>-254.62118000000001</v>
      </c>
      <c r="AF1573">
        <v>111.373865206524</v>
      </c>
      <c r="AG1573">
        <v>1.2073129999999901</v>
      </c>
      <c r="AH1573">
        <v>230.50966246716601</v>
      </c>
      <c r="AI1573">
        <v>89.729797161560995</v>
      </c>
      <c r="AJ1573">
        <v>64.211860041431805</v>
      </c>
      <c r="AK1573">
        <v>256.00839819515198</v>
      </c>
    </row>
    <row r="1574" spans="1:37" x14ac:dyDescent="0.2">
      <c r="A1574" t="str">
        <f>"20200111155528787"</f>
        <v>20200111155528787</v>
      </c>
      <c r="B1574" t="str">
        <f>"1578729328783966"</f>
        <v>1578729328783966</v>
      </c>
      <c r="C1574" t="s">
        <v>37</v>
      </c>
      <c r="D1574">
        <v>4.4221529999999998</v>
      </c>
      <c r="E1574">
        <v>0.64479699999999995</v>
      </c>
      <c r="F1574" t="s">
        <v>52</v>
      </c>
      <c r="G1574">
        <v>-223.04820000000001</v>
      </c>
      <c r="H1574">
        <v>2.2693639999999999</v>
      </c>
      <c r="I1574">
        <v>97.150019999999998</v>
      </c>
      <c r="J1574">
        <v>-194.64189999999999</v>
      </c>
      <c r="K1574">
        <v>1.09945</v>
      </c>
      <c r="L1574">
        <v>351.64760000000001</v>
      </c>
      <c r="M1574">
        <v>0.33182899999999999</v>
      </c>
      <c r="N1574">
        <v>0</v>
      </c>
      <c r="O1574">
        <v>-0.94322649999999997</v>
      </c>
      <c r="P1574">
        <v>0.2478427</v>
      </c>
      <c r="Q1574">
        <v>1.6580580000000001E-2</v>
      </c>
      <c r="R1574">
        <v>-0.96865840000000003</v>
      </c>
      <c r="S1574">
        <v>-0.35607909999999998</v>
      </c>
      <c r="T1574">
        <v>1.468468E-2</v>
      </c>
      <c r="U1574">
        <v>-3.1956790000000002</v>
      </c>
      <c r="V1574">
        <v>8.8082869999999994E-2</v>
      </c>
      <c r="W1574">
        <v>2.9921659999999999E-2</v>
      </c>
      <c r="X1574">
        <v>0.99566359999999998</v>
      </c>
      <c r="Y1574">
        <v>0.43428610000000001</v>
      </c>
      <c r="Z1574">
        <v>-3.9617640000000004E-3</v>
      </c>
      <c r="AA1574">
        <v>0.90076630000000002</v>
      </c>
      <c r="AB1574">
        <v>19</v>
      </c>
      <c r="AC1574">
        <v>-28.406300000000002</v>
      </c>
      <c r="AD1574">
        <v>1.1699139999999999</v>
      </c>
      <c r="AE1574">
        <v>-254.49758</v>
      </c>
      <c r="AF1574">
        <v>111.25279546245299</v>
      </c>
      <c r="AG1574">
        <v>1.1699139999999999</v>
      </c>
      <c r="AH1574">
        <v>230.64261162131501</v>
      </c>
      <c r="AI1574">
        <v>89.738235731535198</v>
      </c>
      <c r="AJ1574">
        <v>64.249192667796905</v>
      </c>
      <c r="AK1574">
        <v>256.07531605462998</v>
      </c>
    </row>
    <row r="1575" spans="1:37" x14ac:dyDescent="0.2">
      <c r="A1575" t="str">
        <f>"20200111155528805"</f>
        <v>20200111155528805</v>
      </c>
      <c r="B1575" t="str">
        <f>"1578729328793727"</f>
        <v>1578729328793727</v>
      </c>
      <c r="C1575" t="s">
        <v>37</v>
      </c>
      <c r="D1575">
        <v>4.3856859999999998</v>
      </c>
      <c r="E1575">
        <v>0.64467719999999995</v>
      </c>
      <c r="F1575" t="s">
        <v>52</v>
      </c>
      <c r="G1575">
        <v>-224.50980000000001</v>
      </c>
      <c r="H1575">
        <v>2.1149819999999999</v>
      </c>
      <c r="I1575">
        <v>97.150019999999998</v>
      </c>
      <c r="J1575">
        <v>-194.601</v>
      </c>
      <c r="K1575">
        <v>1.099577</v>
      </c>
      <c r="L1575">
        <v>351.49950000000001</v>
      </c>
      <c r="M1575">
        <v>0.3234205</v>
      </c>
      <c r="N1575">
        <v>0</v>
      </c>
      <c r="O1575">
        <v>-0.94614310000000001</v>
      </c>
      <c r="P1575">
        <v>0.2417465</v>
      </c>
      <c r="Q1575">
        <v>1.6244169999999999E-2</v>
      </c>
      <c r="R1575">
        <v>-0.9702035</v>
      </c>
      <c r="S1575">
        <v>-0.37469479999999999</v>
      </c>
      <c r="T1575">
        <v>1.274025E-2</v>
      </c>
      <c r="U1575">
        <v>-3.192688</v>
      </c>
      <c r="V1575">
        <v>8.5468879999999997E-2</v>
      </c>
      <c r="W1575">
        <v>2.9623770000000001E-2</v>
      </c>
      <c r="X1575">
        <v>0.99590029999999996</v>
      </c>
      <c r="Y1575">
        <v>0.43154379999999998</v>
      </c>
      <c r="Z1575">
        <v>-3.4593290000000001E-3</v>
      </c>
      <c r="AA1575">
        <v>0.90208539999999904</v>
      </c>
      <c r="AB1575">
        <v>19</v>
      </c>
      <c r="AC1575">
        <v>-29.908799999999999</v>
      </c>
      <c r="AD1575">
        <v>1.0154049999999999</v>
      </c>
      <c r="AE1575">
        <v>-254.34948</v>
      </c>
      <c r="AF1575">
        <v>110.569846713877</v>
      </c>
      <c r="AG1575">
        <v>1.0154049999999999</v>
      </c>
      <c r="AH1575">
        <v>230.998790571239</v>
      </c>
      <c r="AI1575">
        <v>89.772828605458002</v>
      </c>
      <c r="AJ1575">
        <v>64.421433225668096</v>
      </c>
      <c r="AK1575">
        <v>256.09990881493798</v>
      </c>
    </row>
    <row r="1576" spans="1:37" x14ac:dyDescent="0.2">
      <c r="A1576" t="str">
        <f>"20200111155528821"</f>
        <v>20200111155528821</v>
      </c>
      <c r="B1576" t="str">
        <f>"1578729328814223"</f>
        <v>1578729328814223</v>
      </c>
      <c r="C1576" t="s">
        <v>37</v>
      </c>
      <c r="D1576">
        <v>4.4062739999999998</v>
      </c>
      <c r="E1576">
        <v>0.64441610000000005</v>
      </c>
      <c r="F1576" t="s">
        <v>52</v>
      </c>
      <c r="G1576">
        <v>-226.00229999999999</v>
      </c>
      <c r="H1576">
        <v>2.0650710000000001</v>
      </c>
      <c r="I1576">
        <v>97.150019999999998</v>
      </c>
      <c r="J1576">
        <v>-194.56569999999999</v>
      </c>
      <c r="K1576">
        <v>1.0996969999999999</v>
      </c>
      <c r="L1576">
        <v>351.36799999999999</v>
      </c>
      <c r="M1576">
        <v>0.31604879999999902</v>
      </c>
      <c r="N1576">
        <v>0</v>
      </c>
      <c r="O1576">
        <v>-0.94863149999999996</v>
      </c>
      <c r="P1576">
        <v>0.23541300000000001</v>
      </c>
      <c r="Q1576">
        <v>1.6224280000000001E-2</v>
      </c>
      <c r="R1576">
        <v>-0.97176030000000002</v>
      </c>
      <c r="S1576">
        <v>-0.39382929999999999</v>
      </c>
      <c r="T1576">
        <v>1.2109399999999999E-2</v>
      </c>
      <c r="U1576">
        <v>-3.1900019999999998</v>
      </c>
      <c r="V1576">
        <v>8.420598E-2</v>
      </c>
      <c r="W1576">
        <v>2.9621390000000001E-2</v>
      </c>
      <c r="X1576">
        <v>0.996008</v>
      </c>
      <c r="Y1576">
        <v>0.42994510000000002</v>
      </c>
      <c r="Z1576">
        <v>-3.305208E-3</v>
      </c>
      <c r="AA1576">
        <v>0.90284900000000001</v>
      </c>
      <c r="AB1576">
        <v>19</v>
      </c>
      <c r="AC1576">
        <v>-31.436599999999999</v>
      </c>
      <c r="AD1576">
        <v>0.96537399999999995</v>
      </c>
      <c r="AE1576">
        <v>-254.21798000000001</v>
      </c>
      <c r="AF1576">
        <v>110.177119990081</v>
      </c>
      <c r="AG1576">
        <v>0.96537399999999995</v>
      </c>
      <c r="AH1576">
        <v>231.244847621133</v>
      </c>
      <c r="AI1576">
        <v>89.784066193945705</v>
      </c>
      <c r="AJ1576">
        <v>64.524431625765601</v>
      </c>
      <c r="AK1576">
        <v>256.15251173390698</v>
      </c>
    </row>
    <row r="1577" spans="1:37" x14ac:dyDescent="0.2">
      <c r="A1577" t="str">
        <f>"20200111155528837"</f>
        <v>20200111155528837</v>
      </c>
      <c r="B1577" t="str">
        <f>"1578729328833743"</f>
        <v>1578729328833743</v>
      </c>
      <c r="C1577" t="s">
        <v>37</v>
      </c>
      <c r="D1577">
        <v>4.3955339999999996</v>
      </c>
      <c r="E1577">
        <v>0.64413609999999999</v>
      </c>
      <c r="F1577" t="s">
        <v>55</v>
      </c>
      <c r="G1577">
        <v>-226.18469999999999</v>
      </c>
      <c r="H1577">
        <v>2.015228</v>
      </c>
      <c r="I1577">
        <v>107.1837</v>
      </c>
      <c r="J1577">
        <v>-194.52869999999999</v>
      </c>
      <c r="K1577">
        <v>1.0998289999999999</v>
      </c>
      <c r="L1577">
        <v>351.22660000000002</v>
      </c>
      <c r="M1577">
        <v>0.308255</v>
      </c>
      <c r="N1577">
        <v>0</v>
      </c>
      <c r="O1577">
        <v>-0.95119319999999896</v>
      </c>
      <c r="P1577">
        <v>0.23006879999999999</v>
      </c>
      <c r="Q1577">
        <v>1.6268709999999999E-2</v>
      </c>
      <c r="R1577">
        <v>-0.97303879999999998</v>
      </c>
      <c r="S1577">
        <v>-0.41267399999999999</v>
      </c>
      <c r="T1577">
        <v>1.1949059999999999E-2</v>
      </c>
      <c r="U1577">
        <v>-3.1869509999999899</v>
      </c>
      <c r="V1577">
        <v>8.1496639999999995E-2</v>
      </c>
      <c r="W1577">
        <v>2.9700979999999998E-2</v>
      </c>
      <c r="X1577">
        <v>0.99623099999999998</v>
      </c>
      <c r="Y1577">
        <v>0.42789579999999899</v>
      </c>
      <c r="Z1577">
        <v>-3.2795579999999902E-3</v>
      </c>
      <c r="AA1577">
        <v>0.90382209999999996</v>
      </c>
      <c r="AB1577">
        <v>19</v>
      </c>
      <c r="AC1577">
        <v>-31.655999999999999</v>
      </c>
      <c r="AD1577">
        <v>0.91539899999999996</v>
      </c>
      <c r="AE1577">
        <v>-244.0429</v>
      </c>
      <c r="AF1577">
        <v>105.348039159908</v>
      </c>
      <c r="AG1577">
        <v>0.91539899999999996</v>
      </c>
      <c r="AH1577">
        <v>222.39414143744301</v>
      </c>
      <c r="AI1577">
        <v>89.786868528477697</v>
      </c>
      <c r="AJ1577">
        <v>64.653098991846406</v>
      </c>
      <c r="AK1577">
        <v>246.085760367934</v>
      </c>
    </row>
    <row r="1578" spans="1:37" x14ac:dyDescent="0.2">
      <c r="A1578" t="str">
        <f>"20200111155528862"</f>
        <v>20200111155528862</v>
      </c>
      <c r="B1578" t="str">
        <f>"1578729328854238"</f>
        <v>1578729328854238</v>
      </c>
      <c r="C1578" t="s">
        <v>37</v>
      </c>
      <c r="D1578">
        <v>4.432067</v>
      </c>
      <c r="E1578">
        <v>0.6438258</v>
      </c>
      <c r="F1578" t="s">
        <v>55</v>
      </c>
      <c r="G1578">
        <v>-226.18469999999999</v>
      </c>
      <c r="H1578">
        <v>1.870169</v>
      </c>
      <c r="I1578">
        <v>115.57129999999999</v>
      </c>
      <c r="J1578">
        <v>-194.48089999999999</v>
      </c>
      <c r="K1578">
        <v>1.1000179999999999</v>
      </c>
      <c r="L1578">
        <v>351.0367</v>
      </c>
      <c r="M1578">
        <v>0.29805340000000002</v>
      </c>
      <c r="N1578">
        <v>0</v>
      </c>
      <c r="O1578">
        <v>-0.9544395</v>
      </c>
      <c r="P1578">
        <v>0.22151999999999999</v>
      </c>
      <c r="Q1578">
        <v>1.648604E-2</v>
      </c>
      <c r="R1578">
        <v>-0.97501649999999995</v>
      </c>
      <c r="S1578">
        <v>-0.42771909999999902</v>
      </c>
      <c r="T1578">
        <v>1.0408519999999999E-2</v>
      </c>
      <c r="U1578">
        <v>-3.1840519999999999</v>
      </c>
      <c r="V1578">
        <v>7.9559649999999996E-2</v>
      </c>
      <c r="W1578">
        <v>2.9937869999999998E-2</v>
      </c>
      <c r="X1578">
        <v>0.99638040000000005</v>
      </c>
      <c r="Y1578">
        <v>0.42251379999999999</v>
      </c>
      <c r="Z1578">
        <v>-2.8785099999999999E-3</v>
      </c>
      <c r="AA1578">
        <v>0.90635189999999999</v>
      </c>
      <c r="AB1578">
        <v>19</v>
      </c>
      <c r="AC1578">
        <v>-31.703800000000001</v>
      </c>
      <c r="AD1578">
        <v>0.77015100000000003</v>
      </c>
      <c r="AE1578">
        <v>-235.46539999999999</v>
      </c>
      <c r="AF1578">
        <v>100.450084971354</v>
      </c>
      <c r="AG1578">
        <v>0.77015100000000003</v>
      </c>
      <c r="AH1578">
        <v>215.308336379292</v>
      </c>
      <c r="AI1578">
        <v>89.814273830036498</v>
      </c>
      <c r="AJ1578">
        <v>64.989037185845206</v>
      </c>
      <c r="AK1578">
        <v>237.588914761892</v>
      </c>
    </row>
    <row r="1579" spans="1:37" x14ac:dyDescent="0.2">
      <c r="A1579" t="str">
        <f>"20200111155528884"</f>
        <v>20200111155528884</v>
      </c>
      <c r="B1579" t="str">
        <f>"1578729328873761"</f>
        <v>1578729328873761</v>
      </c>
      <c r="C1579" t="s">
        <v>37</v>
      </c>
      <c r="D1579">
        <v>4.4465879999999904</v>
      </c>
      <c r="E1579">
        <v>0.64351849999999999</v>
      </c>
      <c r="F1579" t="s">
        <v>55</v>
      </c>
      <c r="G1579">
        <v>-227.49250000000001</v>
      </c>
      <c r="H1579">
        <v>1.6197520000000001</v>
      </c>
      <c r="I1579">
        <v>119.3841</v>
      </c>
      <c r="J1579">
        <v>-194.43599999999901</v>
      </c>
      <c r="K1579">
        <v>1.1002270000000001</v>
      </c>
      <c r="L1579">
        <v>350.85149999999999</v>
      </c>
      <c r="M1579">
        <v>0.28843619999999998</v>
      </c>
      <c r="N1579">
        <v>0</v>
      </c>
      <c r="O1579">
        <v>-0.95739079999999999</v>
      </c>
      <c r="P1579">
        <v>0.21304799999999999</v>
      </c>
      <c r="Q1579">
        <v>1.698071E-2</v>
      </c>
      <c r="R1579">
        <v>-0.9768947</v>
      </c>
      <c r="S1579">
        <v>-0.453125</v>
      </c>
      <c r="T1579">
        <v>7.1340800000000001E-3</v>
      </c>
      <c r="U1579">
        <v>-3.1797179999999998</v>
      </c>
      <c r="V1579">
        <v>7.8170779999999995E-2</v>
      </c>
      <c r="W1579">
        <v>3.0443080000000001E-2</v>
      </c>
      <c r="X1579">
        <v>0.996475</v>
      </c>
      <c r="Y1579">
        <v>0.420662799999999</v>
      </c>
      <c r="Z1579">
        <v>-1.9854299999999998E-3</v>
      </c>
      <c r="AA1579">
        <v>0.90721489999999905</v>
      </c>
      <c r="AB1579">
        <v>18</v>
      </c>
      <c r="AC1579">
        <v>-33.0565</v>
      </c>
      <c r="AD1579">
        <v>0.51952500000000001</v>
      </c>
      <c r="AE1579">
        <v>-231.4674</v>
      </c>
      <c r="AF1579">
        <v>98.421287938411695</v>
      </c>
      <c r="AG1579">
        <v>0.51952500000000001</v>
      </c>
      <c r="AH1579">
        <v>212.09101755402199</v>
      </c>
      <c r="AI1579">
        <v>89.872691789082296</v>
      </c>
      <c r="AJ1579">
        <v>65.106242341010599</v>
      </c>
      <c r="AK1579">
        <v>233.815353543735</v>
      </c>
    </row>
    <row r="1580" spans="1:37" x14ac:dyDescent="0.2">
      <c r="A1580" t="str">
        <f>"20200111155528906"</f>
        <v>20200111155528906</v>
      </c>
      <c r="B1580" t="str">
        <f>"1578729328894254"</f>
        <v>1578729328894254</v>
      </c>
      <c r="C1580" t="s">
        <v>37</v>
      </c>
      <c r="D1580">
        <v>4.5261420000000001</v>
      </c>
      <c r="E1580">
        <v>0.64320299999999997</v>
      </c>
      <c r="F1580" t="s">
        <v>55</v>
      </c>
      <c r="G1580">
        <v>-229.31020000000001</v>
      </c>
      <c r="H1580">
        <v>1.522546</v>
      </c>
      <c r="I1580">
        <v>119.3841</v>
      </c>
      <c r="J1580">
        <v>-194.39349999999999</v>
      </c>
      <c r="K1580">
        <v>1.100438</v>
      </c>
      <c r="L1580">
        <v>350.67059999999998</v>
      </c>
      <c r="M1580">
        <v>0.2793387</v>
      </c>
      <c r="N1580">
        <v>0</v>
      </c>
      <c r="O1580">
        <v>-0.96008530000000003</v>
      </c>
      <c r="P1580">
        <v>0.205586299999999</v>
      </c>
      <c r="Q1580">
        <v>1.6962290000000001E-2</v>
      </c>
      <c r="R1580">
        <v>-0.97849229999999998</v>
      </c>
      <c r="S1580">
        <v>-0.47839359999999997</v>
      </c>
      <c r="T1580">
        <v>5.7933330000000003E-3</v>
      </c>
      <c r="U1580">
        <v>-3.1752009999999999</v>
      </c>
      <c r="V1580">
        <v>7.6302819999999993E-2</v>
      </c>
      <c r="W1580">
        <v>3.0435940000000002E-2</v>
      </c>
      <c r="X1580">
        <v>0.99662009999999901</v>
      </c>
      <c r="Y1580">
        <v>0.419301599999999</v>
      </c>
      <c r="Z1580">
        <v>-1.6215800000000001E-3</v>
      </c>
      <c r="AA1580">
        <v>0.90784560000000003</v>
      </c>
      <c r="AB1580">
        <v>18</v>
      </c>
      <c r="AC1580">
        <v>-34.916699999999999</v>
      </c>
      <c r="AD1580">
        <v>0.42210799999999898</v>
      </c>
      <c r="AE1580">
        <v>-231.28649999999999</v>
      </c>
      <c r="AF1580">
        <v>98.140075284902807</v>
      </c>
      <c r="AG1580">
        <v>0.42210799999999898</v>
      </c>
      <c r="AH1580">
        <v>212.322373516374</v>
      </c>
      <c r="AI1580">
        <v>89.896604080834095</v>
      </c>
      <c r="AJ1580">
        <v>65.192580816702105</v>
      </c>
      <c r="AK1580">
        <v>233.90691064548901</v>
      </c>
    </row>
    <row r="1581" spans="1:37" x14ac:dyDescent="0.2">
      <c r="A1581" t="str">
        <f>"20200111155528928"</f>
        <v>20200111155528928</v>
      </c>
      <c r="B1581" t="str">
        <f>"1578729328924510"</f>
        <v>1578729328924510</v>
      </c>
      <c r="C1581" t="s">
        <v>37</v>
      </c>
      <c r="D1581">
        <v>4.4643620000000004</v>
      </c>
      <c r="E1581">
        <v>0.64271060000000002</v>
      </c>
      <c r="F1581" t="s">
        <v>55</v>
      </c>
      <c r="G1581">
        <v>-230.86189999999999</v>
      </c>
      <c r="H1581">
        <v>1.4785079999999999</v>
      </c>
      <c r="I1581">
        <v>119.3841</v>
      </c>
      <c r="J1581">
        <v>-194.3528</v>
      </c>
      <c r="K1581">
        <v>1.100649</v>
      </c>
      <c r="L1581">
        <v>350.49110000000002</v>
      </c>
      <c r="M1581">
        <v>0.27062399999999998</v>
      </c>
      <c r="N1581">
        <v>0</v>
      </c>
      <c r="O1581">
        <v>-0.96257879999999996</v>
      </c>
      <c r="P1581">
        <v>0.19864799999999999</v>
      </c>
      <c r="Q1581">
        <v>1.7465270000000001E-2</v>
      </c>
      <c r="R1581">
        <v>-0.97991539999999999</v>
      </c>
      <c r="S1581">
        <v>-0.499984699999999</v>
      </c>
      <c r="T1581">
        <v>5.1834580000000002E-3</v>
      </c>
      <c r="U1581">
        <v>-3.1709589999999999</v>
      </c>
      <c r="V1581">
        <v>7.4315610000000004E-2</v>
      </c>
      <c r="W1581">
        <v>3.094686E-2</v>
      </c>
      <c r="X1581">
        <v>0.99675449999999999</v>
      </c>
      <c r="Y1581">
        <v>0.41728739999999998</v>
      </c>
      <c r="Z1581">
        <v>-1.458909E-3</v>
      </c>
      <c r="AA1581">
        <v>0.90877339999999995</v>
      </c>
      <c r="AB1581">
        <v>18</v>
      </c>
      <c r="AC1581">
        <v>-36.509099999999897</v>
      </c>
      <c r="AD1581">
        <v>0.377859</v>
      </c>
      <c r="AE1581">
        <v>-231.107</v>
      </c>
      <c r="AF1581">
        <v>97.695731544208897</v>
      </c>
      <c r="AG1581">
        <v>0.377859</v>
      </c>
      <c r="AH1581">
        <v>212.599666782714</v>
      </c>
      <c r="AI1581">
        <v>89.907468961962607</v>
      </c>
      <c r="AJ1581">
        <v>65.3198427525829</v>
      </c>
      <c r="AK1581">
        <v>233.97268442171401</v>
      </c>
    </row>
    <row r="1582" spans="1:37" x14ac:dyDescent="0.2">
      <c r="A1582" t="str">
        <f>"20200111155528949"</f>
        <v>20200111155528949</v>
      </c>
      <c r="B1582" t="str">
        <f>"1578729328944031"</f>
        <v>1578729328944031</v>
      </c>
      <c r="C1582" t="s">
        <v>37</v>
      </c>
      <c r="D1582">
        <v>4.4938750000000001</v>
      </c>
      <c r="E1582">
        <v>0.64233079999999998</v>
      </c>
      <c r="F1582" t="s">
        <v>55</v>
      </c>
      <c r="G1582">
        <v>-232.20500000000001</v>
      </c>
      <c r="H1582">
        <v>1.6538809999999999</v>
      </c>
      <c r="I1582">
        <v>119.3841</v>
      </c>
      <c r="J1582">
        <v>-194.31270000000001</v>
      </c>
      <c r="K1582">
        <v>1.1008789999999999</v>
      </c>
      <c r="L1582">
        <v>350.30869999999999</v>
      </c>
      <c r="M1582">
        <v>0.26211119999999999</v>
      </c>
      <c r="N1582">
        <v>0</v>
      </c>
      <c r="O1582">
        <v>-0.96493240000000002</v>
      </c>
      <c r="P1582">
        <v>0.19121629999999901</v>
      </c>
      <c r="Q1582">
        <v>1.8589080000000001E-2</v>
      </c>
      <c r="R1582">
        <v>-0.98137209999999997</v>
      </c>
      <c r="S1582">
        <v>-0.51863099999999995</v>
      </c>
      <c r="T1582">
        <v>7.5801610000000002E-3</v>
      </c>
      <c r="U1582">
        <v>-3.1665040000000002</v>
      </c>
      <c r="V1582">
        <v>7.3052939999999997E-2</v>
      </c>
      <c r="W1582">
        <v>3.2069250000000001E-2</v>
      </c>
      <c r="X1582">
        <v>0.99681229999999998</v>
      </c>
      <c r="Y1582">
        <v>0.41467139999999902</v>
      </c>
      <c r="Z1582">
        <v>-2.1453150000000001E-3</v>
      </c>
      <c r="AA1582">
        <v>0.90996869999999996</v>
      </c>
      <c r="AB1582">
        <v>18</v>
      </c>
      <c r="AC1582">
        <v>-37.892299999999999</v>
      </c>
      <c r="AD1582">
        <v>0.55300199999999999</v>
      </c>
      <c r="AE1582">
        <v>-230.9246</v>
      </c>
      <c r="AF1582">
        <v>97.100754881436401</v>
      </c>
      <c r="AG1582">
        <v>0.55300199999999999</v>
      </c>
      <c r="AH1582">
        <v>212.91507478007301</v>
      </c>
      <c r="AI1582">
        <v>89.864602292367906</v>
      </c>
      <c r="AJ1582">
        <v>65.484456579829597</v>
      </c>
      <c r="AK1582">
        <v>234.012160962547</v>
      </c>
    </row>
    <row r="1583" spans="1:37" x14ac:dyDescent="0.2">
      <c r="A1583" t="str">
        <f>"20200111155528973"</f>
        <v>20200111155528973</v>
      </c>
      <c r="B1583" t="str">
        <f>"1578729328963553"</f>
        <v>1578729328963553</v>
      </c>
      <c r="C1583" t="s">
        <v>37</v>
      </c>
      <c r="D1583">
        <v>4.5059959999999997</v>
      </c>
      <c r="E1583">
        <v>0.64190290000000005</v>
      </c>
      <c r="F1583" t="s">
        <v>55</v>
      </c>
      <c r="G1583">
        <v>-233.7107</v>
      </c>
      <c r="H1583">
        <v>1.8557569999999901</v>
      </c>
      <c r="I1583">
        <v>119.4838</v>
      </c>
      <c r="J1583">
        <v>-194.27369999999999</v>
      </c>
      <c r="K1583">
        <v>1.101118</v>
      </c>
      <c r="L1583">
        <v>350.12529999999998</v>
      </c>
      <c r="M1583">
        <v>0.25393289999999902</v>
      </c>
      <c r="N1583">
        <v>0</v>
      </c>
      <c r="O1583">
        <v>-0.96711769999999997</v>
      </c>
      <c r="P1583">
        <v>0.18358569999999999</v>
      </c>
      <c r="Q1583">
        <v>1.9767949999999999E-2</v>
      </c>
      <c r="R1583">
        <v>-0.98280529999999999</v>
      </c>
      <c r="S1583">
        <v>-0.539688099999999</v>
      </c>
      <c r="T1583">
        <v>1.034069E-2</v>
      </c>
      <c r="U1583">
        <v>-3.1619259999999998</v>
      </c>
      <c r="V1583">
        <v>7.2344350000000002E-2</v>
      </c>
      <c r="W1583">
        <v>3.3238789999999997E-2</v>
      </c>
      <c r="X1583">
        <v>0.99682569999999904</v>
      </c>
      <c r="Y1583">
        <v>0.41307129999999997</v>
      </c>
      <c r="Z1583">
        <v>-2.9410559999999901E-3</v>
      </c>
      <c r="AA1583">
        <v>0.91069389999999995</v>
      </c>
      <c r="AB1583">
        <v>18</v>
      </c>
      <c r="AC1583">
        <v>-39.436999999999998</v>
      </c>
      <c r="AD1583">
        <v>0.75463899999999895</v>
      </c>
      <c r="AE1583">
        <v>-230.64150000000001</v>
      </c>
      <c r="AF1583">
        <v>96.716421420033598</v>
      </c>
      <c r="AG1583">
        <v>0.75463899999999895</v>
      </c>
      <c r="AH1583">
        <v>213.062369687097</v>
      </c>
      <c r="AI1583">
        <v>89.815213712420103</v>
      </c>
      <c r="AJ1583">
        <v>65.585049347189994</v>
      </c>
      <c r="AK1583">
        <v>233.98762580315901</v>
      </c>
    </row>
    <row r="1584" spans="1:37" x14ac:dyDescent="0.2">
      <c r="A1584" t="str">
        <f>"20200111155528995"</f>
        <v>20200111155528995</v>
      </c>
      <c r="B1584" t="str">
        <f>"1578729328984049"</f>
        <v>1578729328984049</v>
      </c>
      <c r="C1584" t="s">
        <v>37</v>
      </c>
      <c r="D1584">
        <v>4.5712859999999997</v>
      </c>
      <c r="E1584">
        <v>0.6416944</v>
      </c>
      <c r="F1584" t="s">
        <v>55</v>
      </c>
      <c r="G1584">
        <v>-235.23439999999999</v>
      </c>
      <c r="H1584">
        <v>1.958798</v>
      </c>
      <c r="I1584">
        <v>119.4838</v>
      </c>
      <c r="J1584">
        <v>-194.23589999999999</v>
      </c>
      <c r="K1584">
        <v>1.1013729999999999</v>
      </c>
      <c r="L1584">
        <v>349.94299999999998</v>
      </c>
      <c r="M1584">
        <v>0.24620729999999999</v>
      </c>
      <c r="N1584">
        <v>0</v>
      </c>
      <c r="O1584">
        <v>-0.96911409999999998</v>
      </c>
      <c r="P1584">
        <v>0.17669379999999901</v>
      </c>
      <c r="Q1584">
        <v>2.0073710000000002E-2</v>
      </c>
      <c r="R1584">
        <v>-0.98406099999999996</v>
      </c>
      <c r="S1584">
        <v>-0.56066890000000003</v>
      </c>
      <c r="T1584">
        <v>1.1739970000000001E-2</v>
      </c>
      <c r="U1584">
        <v>-3.1570130000000001</v>
      </c>
      <c r="V1584">
        <v>7.1354440000000005E-2</v>
      </c>
      <c r="W1584">
        <v>3.353855E-2</v>
      </c>
      <c r="X1584">
        <v>0.99688699999999997</v>
      </c>
      <c r="Y1584">
        <v>0.4119121</v>
      </c>
      <c r="Z1584">
        <v>-3.354344E-3</v>
      </c>
      <c r="AA1584">
        <v>0.91121739999999996</v>
      </c>
      <c r="AB1584">
        <v>18</v>
      </c>
      <c r="AC1584">
        <v>-40.9985</v>
      </c>
      <c r="AD1584">
        <v>0.85742499999999999</v>
      </c>
      <c r="AE1584">
        <v>-230.45920000000001</v>
      </c>
      <c r="AF1584">
        <v>96.481307657292703</v>
      </c>
      <c r="AG1584">
        <v>0.85742499999999999</v>
      </c>
      <c r="AH1584">
        <v>213.26557812727199</v>
      </c>
      <c r="AI1584">
        <v>89.790123982358196</v>
      </c>
      <c r="AJ1584">
        <v>65.658013017936696</v>
      </c>
      <c r="AK1584">
        <v>234.076023374568</v>
      </c>
    </row>
    <row r="1585" spans="1:37" x14ac:dyDescent="0.2">
      <c r="A1585" t="str">
        <f>"20200111155529017"</f>
        <v>20200111155529017</v>
      </c>
      <c r="B1585" t="str">
        <f>"1578729329014303"</f>
        <v>1578729329014303</v>
      </c>
      <c r="C1585" t="s">
        <v>37</v>
      </c>
      <c r="D1585">
        <v>4.578195</v>
      </c>
      <c r="E1585">
        <v>0.59972619999999999</v>
      </c>
      <c r="F1585" t="s">
        <v>55</v>
      </c>
      <c r="G1585">
        <v>-236.69799999999901</v>
      </c>
      <c r="H1585">
        <v>1.99369199999999</v>
      </c>
      <c r="I1585">
        <v>119.5971</v>
      </c>
      <c r="J1585">
        <v>-194.2004</v>
      </c>
      <c r="K1585">
        <v>1.1016440000000001</v>
      </c>
      <c r="L1585">
        <v>349.76729999999998</v>
      </c>
      <c r="M1585">
        <v>0.23916759999999901</v>
      </c>
      <c r="N1585">
        <v>0</v>
      </c>
      <c r="O1585">
        <v>-0.97087639999999997</v>
      </c>
      <c r="P1585">
        <v>0.1704184</v>
      </c>
      <c r="Q1585">
        <v>2.1065159999999999E-2</v>
      </c>
      <c r="R1585">
        <v>-0.98514679999999999</v>
      </c>
      <c r="S1585">
        <v>-0.5811615</v>
      </c>
      <c r="T1585">
        <v>1.2212870000000001E-2</v>
      </c>
      <c r="U1585">
        <v>-3.1526489999999998</v>
      </c>
      <c r="V1585">
        <v>7.0453580000000002E-2</v>
      </c>
      <c r="W1585">
        <v>3.4523600000000002E-2</v>
      </c>
      <c r="X1585">
        <v>0.99691739999999995</v>
      </c>
      <c r="Y1585">
        <v>0.41125059999999902</v>
      </c>
      <c r="Z1585">
        <v>-3.503E-3</v>
      </c>
      <c r="AA1585">
        <v>0.91151559999999898</v>
      </c>
      <c r="AB1585">
        <v>18</v>
      </c>
      <c r="AC1585">
        <v>-42.497599999999899</v>
      </c>
      <c r="AD1585">
        <v>0.89204799999999895</v>
      </c>
      <c r="AE1585">
        <v>-230.17019999999999</v>
      </c>
      <c r="AF1585">
        <v>96.317302206125206</v>
      </c>
      <c r="AG1585">
        <v>0.89204799999999895</v>
      </c>
      <c r="AH1585">
        <v>213.320774433574</v>
      </c>
      <c r="AI1585">
        <v>89.781633135723794</v>
      </c>
      <c r="AJ1585">
        <v>65.700160790637298</v>
      </c>
      <c r="AK1585">
        <v>234.05890553200501</v>
      </c>
    </row>
    <row r="1586" spans="1:37" x14ac:dyDescent="0.2">
      <c r="A1586" t="str">
        <f>"20200111155529040"</f>
        <v>20200111155529040</v>
      </c>
      <c r="B1586" t="str">
        <f>"1578729329033823"</f>
        <v>1578729329033823</v>
      </c>
      <c r="C1586" t="s">
        <v>37</v>
      </c>
      <c r="D1586">
        <v>4.6418489999999997</v>
      </c>
      <c r="E1586">
        <v>0.59837269999999998</v>
      </c>
      <c r="F1586" t="s">
        <v>56</v>
      </c>
      <c r="G1586">
        <v>-199.13890000000001</v>
      </c>
      <c r="H1586" s="1">
        <v>1.2193050000000001E-6</v>
      </c>
      <c r="I1586">
        <v>293.1053</v>
      </c>
      <c r="J1586">
        <v>-194.16159999999999</v>
      </c>
      <c r="K1586">
        <v>1.101969</v>
      </c>
      <c r="L1586">
        <v>349.57010000000002</v>
      </c>
      <c r="M1586">
        <v>0.23178299999999999</v>
      </c>
      <c r="N1586">
        <v>0</v>
      </c>
      <c r="O1586">
        <v>-0.97266679999999905</v>
      </c>
      <c r="P1586">
        <v>0.16378960000000001</v>
      </c>
      <c r="Q1586">
        <v>2.3847839999999999E-2</v>
      </c>
      <c r="R1586">
        <v>-0.9862071</v>
      </c>
      <c r="S1586">
        <v>-0.26959229999999901</v>
      </c>
      <c r="T1586">
        <v>-6.0138579999999997E-2</v>
      </c>
      <c r="U1586">
        <v>-3.0931700000000002</v>
      </c>
      <c r="V1586">
        <v>6.9560609999999995E-2</v>
      </c>
      <c r="W1586">
        <v>3.729843E-2</v>
      </c>
      <c r="X1586">
        <v>0.99688019999999999</v>
      </c>
      <c r="Y1586">
        <v>0.31537759999999998</v>
      </c>
      <c r="Z1586">
        <v>1.8111479999999999E-2</v>
      </c>
      <c r="AA1586">
        <v>0.94879340000000001</v>
      </c>
      <c r="AB1586">
        <v>18</v>
      </c>
      <c r="AC1586">
        <v>-4.9773000000000103</v>
      </c>
      <c r="AD1586">
        <v>-1.1019677806949999</v>
      </c>
      <c r="AE1586">
        <v>-56.464799999999997</v>
      </c>
      <c r="AF1586">
        <v>17.923817828136102</v>
      </c>
      <c r="AG1586">
        <v>-1.1019677806949999</v>
      </c>
      <c r="AH1586">
        <v>53.7527359205938</v>
      </c>
      <c r="AI1586">
        <v>91.114146603047004</v>
      </c>
      <c r="AJ1586">
        <v>71.559065993006598</v>
      </c>
      <c r="AK1586">
        <v>56.673046481330097</v>
      </c>
    </row>
    <row r="1587" spans="1:37" x14ac:dyDescent="0.2">
      <c r="A1587" t="str">
        <f>"20200111155529062"</f>
        <v>20200111155529062</v>
      </c>
      <c r="B1587" t="str">
        <f>"1578729329054318"</f>
        <v>1578729329054318</v>
      </c>
      <c r="C1587" t="s">
        <v>37</v>
      </c>
      <c r="D1587">
        <v>4.6609530000000001</v>
      </c>
      <c r="E1587">
        <v>0.59591939999999999</v>
      </c>
      <c r="F1587" t="s">
        <v>56</v>
      </c>
      <c r="G1587">
        <v>-199.74979999999999</v>
      </c>
      <c r="H1587" s="1">
        <v>1.9523200000000001E-6</v>
      </c>
      <c r="I1587">
        <v>287.85140000000001</v>
      </c>
      <c r="J1587">
        <v>-194.12880000000001</v>
      </c>
      <c r="K1587">
        <v>1.102249</v>
      </c>
      <c r="L1587">
        <v>349.40019999999998</v>
      </c>
      <c r="M1587">
        <v>0.2258521</v>
      </c>
      <c r="N1587">
        <v>0</v>
      </c>
      <c r="O1587">
        <v>-0.97406179999999998</v>
      </c>
      <c r="P1587">
        <v>0.1582296</v>
      </c>
      <c r="Q1587">
        <v>2.6953600000000001E-2</v>
      </c>
      <c r="R1587">
        <v>-0.98703439999999998</v>
      </c>
      <c r="S1587">
        <v>-0.27975459999999902</v>
      </c>
      <c r="T1587">
        <v>-5.5166010000000001E-2</v>
      </c>
      <c r="U1587">
        <v>-3.0897220000000001</v>
      </c>
      <c r="V1587">
        <v>6.9082009999999999E-2</v>
      </c>
      <c r="W1587">
        <v>4.0395060000000003E-2</v>
      </c>
      <c r="X1587">
        <v>0.99679280000000003</v>
      </c>
      <c r="Y1587">
        <v>0.31278440000000002</v>
      </c>
      <c r="Z1587">
        <v>1.6675470000000001E-2</v>
      </c>
      <c r="AA1587">
        <v>0.94967780000000002</v>
      </c>
      <c r="AB1587">
        <v>18</v>
      </c>
      <c r="AC1587">
        <v>-5.62099999999998</v>
      </c>
      <c r="AD1587">
        <v>-1.1022470476799999</v>
      </c>
      <c r="AE1587">
        <v>-61.5487999999999</v>
      </c>
      <c r="AF1587">
        <v>19.3718496739268</v>
      </c>
      <c r="AG1587">
        <v>-1.1022470476799999</v>
      </c>
      <c r="AH1587">
        <v>58.669865555814198</v>
      </c>
      <c r="AI1587">
        <v>91.022045996834095</v>
      </c>
      <c r="AJ1587">
        <v>71.727604547912904</v>
      </c>
      <c r="AK1587">
        <v>61.795118194568197</v>
      </c>
    </row>
    <row r="1588" spans="1:37" x14ac:dyDescent="0.2">
      <c r="A1588" t="str">
        <f>"20200111155529075"</f>
        <v>20200111155529075</v>
      </c>
      <c r="B1588" t="str">
        <f>"1578729329064079"</f>
        <v>1578729329064079</v>
      </c>
      <c r="C1588" t="s">
        <v>37</v>
      </c>
      <c r="D1588">
        <v>4.6737440000000001</v>
      </c>
      <c r="E1588">
        <v>0.59479530000000003</v>
      </c>
      <c r="F1588" t="s">
        <v>56</v>
      </c>
      <c r="G1588">
        <v>-199.78799999999899</v>
      </c>
      <c r="H1588" s="1">
        <v>2.0593750000000001E-6</v>
      </c>
      <c r="I1588">
        <v>286.54950000000002</v>
      </c>
      <c r="J1588">
        <v>-194.10599999999999</v>
      </c>
      <c r="K1588">
        <v>1.1024209999999901</v>
      </c>
      <c r="L1588">
        <v>349.2801</v>
      </c>
      <c r="M1588">
        <v>0.22185940000000001</v>
      </c>
      <c r="N1588">
        <v>0</v>
      </c>
      <c r="O1588">
        <v>-0.97497959999999995</v>
      </c>
      <c r="P1588">
        <v>0.15418280000000001</v>
      </c>
      <c r="Q1588">
        <v>2.830585E-2</v>
      </c>
      <c r="R1588">
        <v>-0.98763719999999999</v>
      </c>
      <c r="S1588">
        <v>-0.27781679999999997</v>
      </c>
      <c r="T1588">
        <v>-5.4111239999999998E-2</v>
      </c>
      <c r="U1588">
        <v>-3.0854490000000001</v>
      </c>
      <c r="V1588">
        <v>6.906706E-2</v>
      </c>
      <c r="W1588">
        <v>4.1736229999999999E-2</v>
      </c>
      <c r="X1588">
        <v>0.99673860000000003</v>
      </c>
      <c r="Y1588">
        <v>0.30841649999999998</v>
      </c>
      <c r="Z1588">
        <v>1.6416449999999999E-2</v>
      </c>
      <c r="AA1588">
        <v>0.95110980000000001</v>
      </c>
      <c r="AB1588">
        <v>18</v>
      </c>
      <c r="AC1588">
        <v>-5.68199999999998</v>
      </c>
      <c r="AD1588">
        <v>-1.10241894062499</v>
      </c>
      <c r="AE1588">
        <v>-62.730599999999903</v>
      </c>
      <c r="AF1588">
        <v>19.453128042599701</v>
      </c>
      <c r="AG1588">
        <v>-1.10241894062499</v>
      </c>
      <c r="AH1588">
        <v>59.887891690102002</v>
      </c>
      <c r="AI1588">
        <v>91.003007603754796</v>
      </c>
      <c r="AJ1588">
        <v>72.004869970511294</v>
      </c>
      <c r="AK1588">
        <v>62.977766626388203</v>
      </c>
    </row>
    <row r="1589" spans="1:37" x14ac:dyDescent="0.2">
      <c r="A1589" t="str">
        <f>"20200111155529096"</f>
        <v>20200111155529096</v>
      </c>
      <c r="B1589" t="str">
        <f>"1578729329094335"</f>
        <v>1578729329094335</v>
      </c>
      <c r="C1589" t="s">
        <v>37</v>
      </c>
      <c r="D1589">
        <v>4.7215379999999998</v>
      </c>
      <c r="E1589">
        <v>0.59319540000000004</v>
      </c>
      <c r="F1589" t="s">
        <v>56</v>
      </c>
      <c r="G1589">
        <v>-199.85849999999999</v>
      </c>
      <c r="H1589" s="1">
        <v>2.0677359999999998E-6</v>
      </c>
      <c r="I1589">
        <v>286.3107</v>
      </c>
      <c r="J1589">
        <v>-194.0754</v>
      </c>
      <c r="K1589">
        <v>1.102622</v>
      </c>
      <c r="L1589">
        <v>349.11610000000002</v>
      </c>
      <c r="M1589">
        <v>0.2166873</v>
      </c>
      <c r="N1589">
        <v>0</v>
      </c>
      <c r="O1589">
        <v>-0.97614269999999903</v>
      </c>
      <c r="P1589">
        <v>0.14857319999999999</v>
      </c>
      <c r="Q1589">
        <v>3.0525170000000001E-2</v>
      </c>
      <c r="R1589">
        <v>-0.98843029999999998</v>
      </c>
      <c r="S1589">
        <v>-0.28164670000000003</v>
      </c>
      <c r="T1589">
        <v>-5.3975460000000003E-2</v>
      </c>
      <c r="U1589">
        <v>-3.0830380000000002</v>
      </c>
      <c r="V1589">
        <v>6.9420419999999997E-2</v>
      </c>
      <c r="W1589">
        <v>4.3935290000000002E-2</v>
      </c>
      <c r="X1589">
        <v>0.99661949999999999</v>
      </c>
      <c r="Y1589">
        <v>0.30460909999999902</v>
      </c>
      <c r="Z1589">
        <v>1.6428399999999999E-2</v>
      </c>
      <c r="AA1589">
        <v>0.95233579999999995</v>
      </c>
      <c r="AB1589">
        <v>18</v>
      </c>
      <c r="AC1589">
        <v>-5.7830999999999904</v>
      </c>
      <c r="AD1589">
        <v>-1.102619932264</v>
      </c>
      <c r="AE1589">
        <v>-62.805399999999999</v>
      </c>
      <c r="AF1589">
        <v>19.250229111907899</v>
      </c>
      <c r="AG1589">
        <v>-1.102619932264</v>
      </c>
      <c r="AH1589">
        <v>60.041325491199203</v>
      </c>
      <c r="AI1589">
        <v>91.001858932644794</v>
      </c>
      <c r="AJ1589">
        <v>72.223301445842495</v>
      </c>
      <c r="AK1589">
        <v>63.061460959258604</v>
      </c>
    </row>
    <row r="1590" spans="1:37" x14ac:dyDescent="0.2">
      <c r="A1590" t="str">
        <f>"20200111155529110"</f>
        <v>20200111155529110</v>
      </c>
      <c r="B1590" t="str">
        <f>"1578729329104095"</f>
        <v>1578729329104095</v>
      </c>
      <c r="C1590" t="s">
        <v>37</v>
      </c>
      <c r="D1590">
        <v>4.7103390000000003</v>
      </c>
      <c r="E1590">
        <v>0.58182009999999995</v>
      </c>
      <c r="F1590" t="s">
        <v>56</v>
      </c>
      <c r="G1590">
        <v>-200.0247</v>
      </c>
      <c r="H1590" s="1">
        <v>2.1857990000000001E-6</v>
      </c>
      <c r="I1590">
        <v>285.0985</v>
      </c>
      <c r="J1590">
        <v>-194.054</v>
      </c>
      <c r="K1590">
        <v>1.1027690000000001</v>
      </c>
      <c r="L1590">
        <v>349</v>
      </c>
      <c r="M1590">
        <v>0.21327849999999901</v>
      </c>
      <c r="N1590">
        <v>0</v>
      </c>
      <c r="O1590">
        <v>-0.97689349999999997</v>
      </c>
      <c r="P1590">
        <v>0.14503060000000001</v>
      </c>
      <c r="Q1590">
        <v>3.2092540000000003E-2</v>
      </c>
      <c r="R1590">
        <v>-0.98890689999999903</v>
      </c>
      <c r="S1590">
        <v>-0.28620909999999999</v>
      </c>
      <c r="T1590">
        <v>-5.3044559999999998E-2</v>
      </c>
      <c r="U1590">
        <v>-3.079742</v>
      </c>
      <c r="V1590">
        <v>6.9495799999999996E-2</v>
      </c>
      <c r="W1590">
        <v>4.5491070000000002E-2</v>
      </c>
      <c r="X1590">
        <v>0.99654449999999895</v>
      </c>
      <c r="Y1590">
        <v>0.30277529999999903</v>
      </c>
      <c r="Z1590">
        <v>1.6185680000000001E-2</v>
      </c>
      <c r="AA1590">
        <v>0.95292449999999995</v>
      </c>
      <c r="AB1590">
        <v>18</v>
      </c>
      <c r="AC1590">
        <v>-5.9706999999999901</v>
      </c>
      <c r="AD1590">
        <v>-1.1027668142010001</v>
      </c>
      <c r="AE1590">
        <v>-63.901499999999999</v>
      </c>
      <c r="AF1590">
        <v>19.4576719278631</v>
      </c>
      <c r="AG1590">
        <v>-1.1027668142010001</v>
      </c>
      <c r="AH1590">
        <v>61.1393396372399</v>
      </c>
      <c r="AI1590">
        <v>90.984675606580694</v>
      </c>
      <c r="AJ1590">
        <v>72.346262858371105</v>
      </c>
      <c r="AK1590">
        <v>64.170366547002303</v>
      </c>
    </row>
    <row r="1591" spans="1:37" x14ac:dyDescent="0.2">
      <c r="A1591" t="str">
        <f>"20200111155529141"</f>
        <v>20200111155529141</v>
      </c>
      <c r="B1591" t="str">
        <f>"1578729329134350"</f>
        <v>1578729329134350</v>
      </c>
      <c r="C1591" t="s">
        <v>37</v>
      </c>
      <c r="D1591">
        <v>4.9187379999999896</v>
      </c>
      <c r="E1591">
        <v>0.57990090000000005</v>
      </c>
      <c r="F1591" t="s">
        <v>38</v>
      </c>
      <c r="G1591">
        <v>-196.71449999999999</v>
      </c>
      <c r="H1591" s="1">
        <v>-5.4697049999999998E-6</v>
      </c>
      <c r="I1591">
        <v>309.5598</v>
      </c>
      <c r="J1591">
        <v>-194.0104</v>
      </c>
      <c r="K1591">
        <v>1.103091</v>
      </c>
      <c r="L1591">
        <v>348.7602</v>
      </c>
      <c r="M1591">
        <v>0.20677590000000001</v>
      </c>
      <c r="N1591">
        <v>0</v>
      </c>
      <c r="O1591">
        <v>-0.97829159999999904</v>
      </c>
      <c r="P1591">
        <v>0.1404666</v>
      </c>
      <c r="Q1591">
        <v>3.5525420000000002E-2</v>
      </c>
      <c r="R1591">
        <v>-0.98944789999999905</v>
      </c>
      <c r="S1591">
        <v>-0.2068787</v>
      </c>
      <c r="T1591">
        <v>-8.5749859999999997E-2</v>
      </c>
      <c r="U1591">
        <v>-3.06680299999999</v>
      </c>
      <c r="V1591">
        <v>6.7421830000000002E-2</v>
      </c>
      <c r="W1591">
        <v>4.8916189999999998E-2</v>
      </c>
      <c r="X1591">
        <v>0.99652469999999904</v>
      </c>
      <c r="Y1591">
        <v>0.27215050000000002</v>
      </c>
      <c r="Z1591">
        <v>2.6483900000000001E-2</v>
      </c>
      <c r="AA1591">
        <v>0.96189020000000003</v>
      </c>
      <c r="AB1591">
        <v>18</v>
      </c>
      <c r="AC1591">
        <v>-2.70409999999998</v>
      </c>
      <c r="AD1591">
        <v>-1.1030964697050001</v>
      </c>
      <c r="AE1591">
        <v>-39.200400000000002</v>
      </c>
      <c r="AF1591">
        <v>10.743646767522799</v>
      </c>
      <c r="AG1591">
        <v>-1.1030964697050001</v>
      </c>
      <c r="AH1591">
        <v>37.764094076163303</v>
      </c>
      <c r="AI1591">
        <v>91.609321085686403</v>
      </c>
      <c r="AJ1591">
        <v>74.119281383033496</v>
      </c>
      <c r="AK1591">
        <v>39.278105467042302</v>
      </c>
    </row>
    <row r="1592" spans="1:37" x14ac:dyDescent="0.2">
      <c r="A1592" t="str">
        <f>"20200111155529162"</f>
        <v>20200111155529162</v>
      </c>
      <c r="B1592" t="str">
        <f>"1578729329153870"</f>
        <v>1578729329153870</v>
      </c>
      <c r="C1592" t="s">
        <v>37</v>
      </c>
      <c r="D1592">
        <v>4.8055139999999996</v>
      </c>
      <c r="E1592">
        <v>0.57805209999999996</v>
      </c>
      <c r="F1592" t="s">
        <v>38</v>
      </c>
      <c r="G1592">
        <v>-196.5796</v>
      </c>
      <c r="H1592" s="1">
        <v>-2.231241E-6</v>
      </c>
      <c r="I1592">
        <v>310.60829999999999</v>
      </c>
      <c r="J1592">
        <v>-193.9786</v>
      </c>
      <c r="K1592">
        <v>1.103332</v>
      </c>
      <c r="L1592">
        <v>348.5829</v>
      </c>
      <c r="M1592">
        <v>0.20248269999999999</v>
      </c>
      <c r="N1592">
        <v>0</v>
      </c>
      <c r="O1592">
        <v>-0.97919009999999995</v>
      </c>
      <c r="P1592">
        <v>0.1377467</v>
      </c>
      <c r="Q1592">
        <v>3.8347359999999997E-2</v>
      </c>
      <c r="R1592">
        <v>-0.98972490000000002</v>
      </c>
      <c r="S1592">
        <v>-0.20635990000000001</v>
      </c>
      <c r="T1592">
        <v>-8.8602299999999995E-2</v>
      </c>
      <c r="U1592">
        <v>-3.0644230000000001</v>
      </c>
      <c r="V1592">
        <v>6.5750489999999995E-2</v>
      </c>
      <c r="W1592">
        <v>5.173548E-2</v>
      </c>
      <c r="X1592">
        <v>0.99649399999999999</v>
      </c>
      <c r="Y1592">
        <v>0.26781309999999903</v>
      </c>
      <c r="Z1592">
        <v>2.7442080000000001E-2</v>
      </c>
      <c r="AA1592">
        <v>0.96307999999999905</v>
      </c>
      <c r="AB1592">
        <v>18</v>
      </c>
      <c r="AC1592">
        <v>-2.6009999999999902</v>
      </c>
      <c r="AD1592">
        <v>-1.1033342312409999</v>
      </c>
      <c r="AE1592">
        <v>-37.974600000000002</v>
      </c>
      <c r="AF1592">
        <v>10.228438597772399</v>
      </c>
      <c r="AG1592">
        <v>-1.1033342312409999</v>
      </c>
      <c r="AH1592">
        <v>36.630354383450999</v>
      </c>
      <c r="AI1592">
        <v>91.661740291375395</v>
      </c>
      <c r="AJ1592">
        <v>74.398462067207703</v>
      </c>
      <c r="AK1592">
        <v>38.047617071656902</v>
      </c>
    </row>
    <row r="1593" spans="1:37" x14ac:dyDescent="0.2">
      <c r="A1593" t="str">
        <f>"20200111155529185"</f>
        <v>20200111155529185</v>
      </c>
      <c r="B1593" t="str">
        <f>"1578729329174366"</f>
        <v>1578729329174366</v>
      </c>
      <c r="C1593" t="s">
        <v>37</v>
      </c>
      <c r="D1593">
        <v>4.9278139999999997</v>
      </c>
      <c r="E1593">
        <v>0.57642099999999996</v>
      </c>
      <c r="F1593" t="s">
        <v>38</v>
      </c>
      <c r="G1593">
        <v>-196.52599999999899</v>
      </c>
      <c r="H1593" s="1">
        <v>-5.4361149999999997E-6</v>
      </c>
      <c r="I1593">
        <v>309.55939999999998</v>
      </c>
      <c r="J1593">
        <v>-193.94640000000001</v>
      </c>
      <c r="K1593">
        <v>1.1035459999999999</v>
      </c>
      <c r="L1593">
        <v>348.40100000000001</v>
      </c>
      <c r="M1593">
        <v>0.19839419999999999</v>
      </c>
      <c r="N1593">
        <v>0</v>
      </c>
      <c r="O1593">
        <v>-0.98002699999999998</v>
      </c>
      <c r="P1593">
        <v>0.13475780000000001</v>
      </c>
      <c r="Q1593">
        <v>3.9449959999999999E-2</v>
      </c>
      <c r="R1593">
        <v>-0.99009309999999995</v>
      </c>
      <c r="S1593">
        <v>-0.19990539999999901</v>
      </c>
      <c r="T1593">
        <v>-8.6582899999999893E-2</v>
      </c>
      <c r="U1593">
        <v>-3.06231699999999</v>
      </c>
      <c r="V1593">
        <v>6.4568089999999995E-2</v>
      </c>
      <c r="W1593">
        <v>5.2832610000000002E-2</v>
      </c>
      <c r="X1593">
        <v>0.99651380000000001</v>
      </c>
      <c r="Y1593">
        <v>0.26181129999999903</v>
      </c>
      <c r="Z1593">
        <v>2.689625E-2</v>
      </c>
      <c r="AA1593">
        <v>0.96474419999999905</v>
      </c>
      <c r="AB1593">
        <v>18</v>
      </c>
      <c r="AC1593">
        <v>-2.5795999999999699</v>
      </c>
      <c r="AD1593">
        <v>-1.1035514361149901</v>
      </c>
      <c r="AE1593">
        <v>-38.8416</v>
      </c>
      <c r="AF1593">
        <v>10.2267629283776</v>
      </c>
      <c r="AG1593">
        <v>-1.1035514361149901</v>
      </c>
      <c r="AH1593">
        <v>37.527387708736399</v>
      </c>
      <c r="AI1593">
        <v>91.625155155770997</v>
      </c>
      <c r="AJ1593">
        <v>74.756220895699002</v>
      </c>
      <c r="AK1593">
        <v>38.911557846059203</v>
      </c>
    </row>
    <row r="1594" spans="1:37" x14ac:dyDescent="0.2">
      <c r="A1594" t="str">
        <f>"20200111155529207"</f>
        <v>20200111155529207</v>
      </c>
      <c r="B1594" t="str">
        <f>"1578729329203647"</f>
        <v>1578729329203647</v>
      </c>
      <c r="C1594" t="s">
        <v>37</v>
      </c>
      <c r="D1594">
        <v>4.7873469999999996</v>
      </c>
      <c r="E1594">
        <v>0.57396979999999997</v>
      </c>
      <c r="F1594" t="s">
        <v>38</v>
      </c>
      <c r="G1594">
        <v>-196.2302</v>
      </c>
      <c r="H1594" s="1">
        <v>-3.1053879999999899E-6</v>
      </c>
      <c r="I1594">
        <v>312.6542</v>
      </c>
      <c r="J1594">
        <v>-193.9151</v>
      </c>
      <c r="K1594">
        <v>1.103731</v>
      </c>
      <c r="L1594">
        <v>348.22289999999998</v>
      </c>
      <c r="M1594">
        <v>0.19474279999999999</v>
      </c>
      <c r="N1594">
        <v>0</v>
      </c>
      <c r="O1594">
        <v>-0.98075990000000002</v>
      </c>
      <c r="P1594">
        <v>0.13319320000000001</v>
      </c>
      <c r="Q1594">
        <v>3.9464350000000002E-2</v>
      </c>
      <c r="R1594">
        <v>-0.99030419999999997</v>
      </c>
      <c r="S1594">
        <v>-0.19552610000000001</v>
      </c>
      <c r="T1594">
        <v>-9.4478129999999994E-2</v>
      </c>
      <c r="U1594">
        <v>-3.0603940000000001</v>
      </c>
      <c r="V1594">
        <v>6.2405019999999999E-2</v>
      </c>
      <c r="W1594">
        <v>5.2847860000000003E-2</v>
      </c>
      <c r="X1594">
        <v>0.99665079999999995</v>
      </c>
      <c r="Y1594">
        <v>0.25687310000000002</v>
      </c>
      <c r="Z1594">
        <v>2.9420789999999999E-2</v>
      </c>
      <c r="AA1594">
        <v>0.9659972</v>
      </c>
      <c r="AB1594">
        <v>18</v>
      </c>
      <c r="AC1594">
        <v>-2.3151000000000002</v>
      </c>
      <c r="AD1594">
        <v>-1.1037341053880001</v>
      </c>
      <c r="AE1594">
        <v>-35.5686999999999</v>
      </c>
      <c r="AF1594">
        <v>9.1893462094470699</v>
      </c>
      <c r="AG1594">
        <v>-1.1037341053880001</v>
      </c>
      <c r="AH1594">
        <v>34.403707152928597</v>
      </c>
      <c r="AI1594">
        <v>91.775326846924202</v>
      </c>
      <c r="AJ1594">
        <v>75.045225129679096</v>
      </c>
      <c r="AK1594">
        <v>35.626919297028003</v>
      </c>
    </row>
    <row r="1595" spans="1:37" x14ac:dyDescent="0.2">
      <c r="A1595" t="str">
        <f>"20200111155529230"</f>
        <v>20200111155529230</v>
      </c>
      <c r="B1595" t="str">
        <f>"1578729329224142"</f>
        <v>1578729329224142</v>
      </c>
      <c r="C1595" t="s">
        <v>37</v>
      </c>
      <c r="D1595">
        <v>4.8197159999999997</v>
      </c>
      <c r="E1595">
        <v>0.57328359999999901</v>
      </c>
      <c r="F1595" t="s">
        <v>38</v>
      </c>
      <c r="G1595">
        <v>-195.80330000000001</v>
      </c>
      <c r="H1595" s="1">
        <v>-4.470915E-6</v>
      </c>
      <c r="I1595">
        <v>316.24799999999999</v>
      </c>
      <c r="J1595">
        <v>-193.88310000000001</v>
      </c>
      <c r="K1595">
        <v>1.103926</v>
      </c>
      <c r="L1595">
        <v>348.03980000000001</v>
      </c>
      <c r="M1595">
        <v>0.191417</v>
      </c>
      <c r="N1595">
        <v>0</v>
      </c>
      <c r="O1595">
        <v>-0.98141469999999897</v>
      </c>
      <c r="P1595">
        <v>0.13281870000000001</v>
      </c>
      <c r="Q1595">
        <v>3.771977E-2</v>
      </c>
      <c r="R1595">
        <v>-0.99042240000000004</v>
      </c>
      <c r="S1595">
        <v>-0.1805725</v>
      </c>
      <c r="T1595">
        <v>-0.1055538</v>
      </c>
      <c r="U1595">
        <v>-3.0578609999999999</v>
      </c>
      <c r="V1595">
        <v>5.9383720000000001E-2</v>
      </c>
      <c r="W1595">
        <v>5.1108319999999999E-2</v>
      </c>
      <c r="X1595">
        <v>0.99692599999999998</v>
      </c>
      <c r="Y1595">
        <v>0.24892629999999999</v>
      </c>
      <c r="Z1595">
        <v>3.2967900000000001E-2</v>
      </c>
      <c r="AA1595">
        <v>0.96796109999999902</v>
      </c>
      <c r="AB1595">
        <v>18</v>
      </c>
      <c r="AC1595">
        <v>-1.9201999999999899</v>
      </c>
      <c r="AD1595">
        <v>-1.103930470915</v>
      </c>
      <c r="AE1595">
        <v>-31.791799999999999</v>
      </c>
      <c r="AF1595">
        <v>7.9611754873538096</v>
      </c>
      <c r="AG1595">
        <v>-1.103930470915</v>
      </c>
      <c r="AH1595">
        <v>30.799228241764499</v>
      </c>
      <c r="AI1595">
        <v>91.9874934110411</v>
      </c>
      <c r="AJ1595">
        <v>75.507056048565602</v>
      </c>
      <c r="AK1595">
        <v>31.8306681977202</v>
      </c>
    </row>
    <row r="1596" spans="1:37" x14ac:dyDescent="0.2">
      <c r="A1596" t="str">
        <f>"20200111155529253"</f>
        <v>20200111155529253</v>
      </c>
      <c r="B1596" t="str">
        <f>"1578729329243662"</f>
        <v>1578729329243662</v>
      </c>
      <c r="C1596" t="s">
        <v>37</v>
      </c>
      <c r="D1596">
        <v>4.8320699999999999</v>
      </c>
      <c r="E1596">
        <v>0.56261810000000001</v>
      </c>
      <c r="F1596" t="s">
        <v>38</v>
      </c>
      <c r="G1596">
        <v>-195.59989999999999</v>
      </c>
      <c r="H1596" s="1">
        <v>-5.2451409999999996E-6</v>
      </c>
      <c r="I1596">
        <v>318.35809999999998</v>
      </c>
      <c r="J1596">
        <v>-193.85130000000001</v>
      </c>
      <c r="K1596">
        <v>1.1041289999999999</v>
      </c>
      <c r="L1596">
        <v>347.85669999999999</v>
      </c>
      <c r="M1596">
        <v>0.1885501</v>
      </c>
      <c r="N1596">
        <v>0</v>
      </c>
      <c r="O1596">
        <v>-0.98197009999999996</v>
      </c>
      <c r="P1596">
        <v>0.1327333</v>
      </c>
      <c r="Q1596">
        <v>3.5001400000000002E-2</v>
      </c>
      <c r="R1596">
        <v>-0.99053349999999996</v>
      </c>
      <c r="S1596">
        <v>-0.1768188</v>
      </c>
      <c r="T1596">
        <v>-0.11369609999999999</v>
      </c>
      <c r="U1596">
        <v>-3.0569759999999899</v>
      </c>
      <c r="V1596">
        <v>5.6541760000000003E-2</v>
      </c>
      <c r="W1596">
        <v>4.839562E-2</v>
      </c>
      <c r="X1596">
        <v>0.99722659999999996</v>
      </c>
      <c r="Y1596">
        <v>0.24492230000000001</v>
      </c>
      <c r="Z1596">
        <v>3.5569139999999999E-2</v>
      </c>
      <c r="AA1596">
        <v>0.96889009999999998</v>
      </c>
      <c r="AB1596">
        <v>18</v>
      </c>
      <c r="AC1596">
        <v>-1.7485999999999799</v>
      </c>
      <c r="AD1596">
        <v>-1.1041342451409999</v>
      </c>
      <c r="AE1596">
        <v>-29.4986</v>
      </c>
      <c r="AF1596">
        <v>7.2695560883532604</v>
      </c>
      <c r="AG1596">
        <v>-1.1041342451409999</v>
      </c>
      <c r="AH1596">
        <v>28.5997452762908</v>
      </c>
      <c r="AI1596">
        <v>92.142815501795098</v>
      </c>
      <c r="AJ1596">
        <v>75.738433773961006</v>
      </c>
      <c r="AK1596">
        <v>29.529832170564799</v>
      </c>
    </row>
    <row r="1597" spans="1:37" x14ac:dyDescent="0.2">
      <c r="A1597" t="str">
        <f>"20200111155529274"</f>
        <v>20200111155529274</v>
      </c>
      <c r="B1597" t="str">
        <f>"1578729329264157"</f>
        <v>1578729329264157</v>
      </c>
      <c r="C1597" t="s">
        <v>37</v>
      </c>
      <c r="D1597">
        <v>4.9381879999999896</v>
      </c>
      <c r="E1597">
        <v>0.56164159999999996</v>
      </c>
      <c r="F1597" t="s">
        <v>38</v>
      </c>
      <c r="G1597">
        <v>-194.45849999999999</v>
      </c>
      <c r="H1597" s="1">
        <v>-4.4655660000000004E-6</v>
      </c>
      <c r="I1597">
        <v>327.7851</v>
      </c>
      <c r="J1597">
        <v>-193.8212</v>
      </c>
      <c r="K1597">
        <v>1.1043339999999999</v>
      </c>
      <c r="L1597">
        <v>347.68369999999999</v>
      </c>
      <c r="M1597">
        <v>0.18625349999999999</v>
      </c>
      <c r="N1597">
        <v>0</v>
      </c>
      <c r="O1597">
        <v>-0.98240879999999997</v>
      </c>
      <c r="P1597">
        <v>0.13312309999999999</v>
      </c>
      <c r="Q1597">
        <v>3.0963419999999998E-2</v>
      </c>
      <c r="R1597">
        <v>-0.99061580000000005</v>
      </c>
      <c r="S1597">
        <v>-9.2178339999999998E-2</v>
      </c>
      <c r="T1597">
        <v>-0.1676108</v>
      </c>
      <c r="U1597">
        <v>-3.0469360000000001</v>
      </c>
      <c r="V1597">
        <v>5.3807059999999997E-2</v>
      </c>
      <c r="W1597">
        <v>4.4367829999999997E-2</v>
      </c>
      <c r="X1597">
        <v>0.99756520000000004</v>
      </c>
      <c r="Y1597">
        <v>0.21584879999999901</v>
      </c>
      <c r="Z1597">
        <v>5.2824419999999997E-2</v>
      </c>
      <c r="AA1597">
        <v>0.97499690000000006</v>
      </c>
      <c r="AB1597">
        <v>18</v>
      </c>
      <c r="AC1597">
        <v>-0.63729999999998199</v>
      </c>
      <c r="AD1597">
        <v>-1.104338465566</v>
      </c>
      <c r="AE1597">
        <v>-19.898599999999899</v>
      </c>
      <c r="AF1597">
        <v>4.3193782610326297</v>
      </c>
      <c r="AG1597">
        <v>-1.104338465566</v>
      </c>
      <c r="AH1597">
        <v>19.372028526485401</v>
      </c>
      <c r="AI1597">
        <v>93.184683979268002</v>
      </c>
      <c r="AJ1597">
        <v>77.430378745919796</v>
      </c>
      <c r="AK1597">
        <v>19.8784325649527</v>
      </c>
    </row>
    <row r="1598" spans="1:37" x14ac:dyDescent="0.2">
      <c r="A1598" t="str">
        <f>"20200111155529295"</f>
        <v>20200111155529295</v>
      </c>
      <c r="B1598" t="str">
        <f>"1578729329284185"</f>
        <v>1578729329284185</v>
      </c>
      <c r="C1598" t="s">
        <v>37</v>
      </c>
      <c r="D1598">
        <v>4.799569</v>
      </c>
      <c r="E1598">
        <v>0.56445440000000002</v>
      </c>
      <c r="F1598" t="s">
        <v>38</v>
      </c>
      <c r="G1598">
        <v>-194.3237</v>
      </c>
      <c r="H1598" s="1">
        <v>-4.9890269999999997E-6</v>
      </c>
      <c r="I1598">
        <v>329.39359999999999</v>
      </c>
      <c r="J1598">
        <v>-193.791</v>
      </c>
      <c r="K1598">
        <v>1.104555</v>
      </c>
      <c r="L1598">
        <v>347.51069999999999</v>
      </c>
      <c r="M1598">
        <v>0.1843352</v>
      </c>
      <c r="N1598">
        <v>0</v>
      </c>
      <c r="O1598">
        <v>-0.9827709</v>
      </c>
      <c r="P1598">
        <v>0.13390929999999901</v>
      </c>
      <c r="Q1598">
        <v>2.613E-2</v>
      </c>
      <c r="R1598">
        <v>-0.99064920000000001</v>
      </c>
      <c r="S1598">
        <v>-8.3663940000000006E-2</v>
      </c>
      <c r="T1598">
        <v>-0.1838764</v>
      </c>
      <c r="U1598">
        <v>-3.04537999999999</v>
      </c>
      <c r="V1598">
        <v>5.1060840000000003E-2</v>
      </c>
      <c r="W1598">
        <v>3.9545539999999997E-2</v>
      </c>
      <c r="X1598">
        <v>0.99791229999999997</v>
      </c>
      <c r="Y1598">
        <v>0.21122299999999999</v>
      </c>
      <c r="Z1598">
        <v>5.8028240000000002E-2</v>
      </c>
      <c r="AA1598">
        <v>0.97571379999999996</v>
      </c>
      <c r="AB1598">
        <v>18</v>
      </c>
      <c r="AC1598">
        <v>-0.53270000000000495</v>
      </c>
      <c r="AD1598">
        <v>-1.1045599890269999</v>
      </c>
      <c r="AE1598">
        <v>-18.117099999999901</v>
      </c>
      <c r="AF1598">
        <v>3.8491973021647898</v>
      </c>
      <c r="AG1598">
        <v>-1.1045599890269999</v>
      </c>
      <c r="AH1598">
        <v>17.642850750894102</v>
      </c>
      <c r="AI1598">
        <v>93.500295962925193</v>
      </c>
      <c r="AJ1598">
        <v>77.692455231323706</v>
      </c>
      <c r="AK1598">
        <v>18.0916156066471</v>
      </c>
    </row>
    <row r="1599" spans="1:37" x14ac:dyDescent="0.2">
      <c r="A1599" t="str">
        <f>"20200111155529320"</f>
        <v>20200111155529320</v>
      </c>
      <c r="B1599" t="str">
        <f>"1578729329314442"</f>
        <v>1578729329314442</v>
      </c>
      <c r="C1599" t="s">
        <v>37</v>
      </c>
      <c r="D1599">
        <v>3.832608</v>
      </c>
      <c r="E1599">
        <v>0.55964209999999903</v>
      </c>
      <c r="F1599" t="s">
        <v>38</v>
      </c>
      <c r="G1599">
        <v>-194.4392</v>
      </c>
      <c r="H1599" s="1">
        <v>-4.7091770000000002E-6</v>
      </c>
      <c r="I1599">
        <v>328.510999999999</v>
      </c>
      <c r="J1599">
        <v>-193.75799999999899</v>
      </c>
      <c r="K1599">
        <v>1.1047670000000001</v>
      </c>
      <c r="L1599">
        <v>347.3227</v>
      </c>
      <c r="M1599">
        <v>0.18266189999999999</v>
      </c>
      <c r="N1599">
        <v>0</v>
      </c>
      <c r="O1599">
        <v>-0.98308340000000005</v>
      </c>
      <c r="P1599">
        <v>0.1351541</v>
      </c>
      <c r="Q1599">
        <v>2.198317E-2</v>
      </c>
      <c r="R1599">
        <v>-0.99058069999999898</v>
      </c>
      <c r="S1599">
        <v>-0.1039581</v>
      </c>
      <c r="T1599">
        <v>-0.1771421</v>
      </c>
      <c r="U1599">
        <v>-3.0470579999999998</v>
      </c>
      <c r="V1599">
        <v>4.8099980000000001E-2</v>
      </c>
      <c r="W1599">
        <v>3.5408549999999997E-2</v>
      </c>
      <c r="X1599">
        <v>0.99821469999999901</v>
      </c>
      <c r="Y1599">
        <v>0.21603839999999999</v>
      </c>
      <c r="Z1599">
        <v>5.587019E-2</v>
      </c>
      <c r="AA1599">
        <v>0.97478509999999996</v>
      </c>
      <c r="AB1599">
        <v>18</v>
      </c>
      <c r="AC1599">
        <v>-0.68120000000001801</v>
      </c>
      <c r="AD1599">
        <v>-1.104771709177</v>
      </c>
      <c r="AE1599">
        <v>-18.811699999999998</v>
      </c>
      <c r="AF1599">
        <v>4.0921351048741199</v>
      </c>
      <c r="AG1599">
        <v>-1.104771709177</v>
      </c>
      <c r="AH1599">
        <v>18.3076496019271</v>
      </c>
      <c r="AI1599">
        <v>93.370346806480995</v>
      </c>
      <c r="AJ1599">
        <v>77.400326148861694</v>
      </c>
      <c r="AK1599">
        <v>18.7919164587565</v>
      </c>
    </row>
    <row r="1600" spans="1:37" x14ac:dyDescent="0.2">
      <c r="A1600" t="str">
        <f>"20200111155529341"</f>
        <v>20200111155529341</v>
      </c>
      <c r="B1600" t="str">
        <f>"1578729329333962"</f>
        <v>1578729329333962</v>
      </c>
      <c r="C1600" t="s">
        <v>37</v>
      </c>
      <c r="D1600">
        <v>3.8354119999999998</v>
      </c>
      <c r="E1600">
        <v>0.55141240000000002</v>
      </c>
      <c r="F1600" t="s">
        <v>38</v>
      </c>
      <c r="G1600">
        <v>-194.2398</v>
      </c>
      <c r="H1600" s="1">
        <v>-3.08713399999999E-6</v>
      </c>
      <c r="I1600">
        <v>324.15570000000002</v>
      </c>
      <c r="J1600">
        <v>-193.72710000000001</v>
      </c>
      <c r="K1600">
        <v>1.104916</v>
      </c>
      <c r="L1600">
        <v>347.14749999999998</v>
      </c>
      <c r="M1600">
        <v>0.18146689999999999</v>
      </c>
      <c r="N1600">
        <v>0</v>
      </c>
      <c r="O1600">
        <v>-0.98330509999999904</v>
      </c>
      <c r="P1600">
        <v>0.1357555</v>
      </c>
      <c r="Q1600">
        <v>2.0925030000000001E-2</v>
      </c>
      <c r="R1600">
        <v>-0.99052150000000005</v>
      </c>
      <c r="S1600">
        <v>-6.3232419999999998E-2</v>
      </c>
      <c r="T1600">
        <v>-0.1449868</v>
      </c>
      <c r="U1600">
        <v>-3.040375</v>
      </c>
      <c r="V1600">
        <v>4.6269949999999997E-2</v>
      </c>
      <c r="W1600">
        <v>3.4350609999999997E-2</v>
      </c>
      <c r="X1600">
        <v>0.99833819999999995</v>
      </c>
      <c r="Y1600">
        <v>0.2018674</v>
      </c>
      <c r="Z1600">
        <v>4.5950900000000003E-2</v>
      </c>
      <c r="AA1600">
        <v>0.97833440000000005</v>
      </c>
      <c r="AB1600">
        <v>18</v>
      </c>
      <c r="AC1600">
        <v>-0.51269999999999505</v>
      </c>
      <c r="AD1600">
        <v>-1.104919087134</v>
      </c>
      <c r="AE1600">
        <v>-22.991799999999898</v>
      </c>
      <c r="AF1600">
        <v>4.6660433057087598</v>
      </c>
      <c r="AG1600">
        <v>-1.104919087134</v>
      </c>
      <c r="AH1600">
        <v>22.465095246767799</v>
      </c>
      <c r="AI1600">
        <v>92.757008805638506</v>
      </c>
      <c r="AJ1600">
        <v>78.266388143517503</v>
      </c>
      <c r="AK1600">
        <v>22.971140824221401</v>
      </c>
    </row>
    <row r="1601" spans="1:37" x14ac:dyDescent="0.2">
      <c r="A1601" t="str">
        <f>"20200111155529364"</f>
        <v>20200111155529364</v>
      </c>
      <c r="B1601" t="str">
        <f>"1578729329354457"</f>
        <v>1578729329354457</v>
      </c>
      <c r="C1601" t="s">
        <v>37</v>
      </c>
      <c r="D1601">
        <v>4.8507369999999996</v>
      </c>
      <c r="E1601">
        <v>0.55379350000000005</v>
      </c>
      <c r="F1601" t="s">
        <v>38</v>
      </c>
      <c r="G1601">
        <v>-193.69409999999999</v>
      </c>
      <c r="H1601" s="1">
        <v>-1.3176220000000001E-6</v>
      </c>
      <c r="I1601">
        <v>310.29969999999997</v>
      </c>
      <c r="J1601">
        <v>-193.69640000000001</v>
      </c>
      <c r="K1601">
        <v>1.1050059999999999</v>
      </c>
      <c r="L1601">
        <v>346.97390000000001</v>
      </c>
      <c r="M1601">
        <v>0.18052750000000001</v>
      </c>
      <c r="N1601">
        <v>0</v>
      </c>
      <c r="O1601">
        <v>-0.98347850000000003</v>
      </c>
      <c r="P1601">
        <v>0.13554959999999999</v>
      </c>
      <c r="Q1601">
        <v>2.2509479999999998E-2</v>
      </c>
      <c r="R1601">
        <v>-0.99051540000000005</v>
      </c>
      <c r="S1601">
        <v>2.7160639999999998E-3</v>
      </c>
      <c r="T1601">
        <v>-9.0864059999999996E-2</v>
      </c>
      <c r="U1601">
        <v>-3.0302119999999899</v>
      </c>
      <c r="V1601">
        <v>4.5510090000000003E-2</v>
      </c>
      <c r="W1601">
        <v>3.5927019999999997E-2</v>
      </c>
      <c r="X1601">
        <v>0.99831759999999903</v>
      </c>
      <c r="Y1601">
        <v>0.17966179999999901</v>
      </c>
      <c r="Z1601">
        <v>2.899003E-2</v>
      </c>
      <c r="AA1601">
        <v>0.98330119999999899</v>
      </c>
      <c r="AB1601">
        <v>18</v>
      </c>
      <c r="AC1601">
        <v>2.3000000000195E-3</v>
      </c>
      <c r="AD1601">
        <v>-1.1050073176219899</v>
      </c>
      <c r="AE1601">
        <v>-36.674199999999999</v>
      </c>
      <c r="AF1601">
        <v>6.6130313522700597</v>
      </c>
      <c r="AG1601">
        <v>-1.1050073176219899</v>
      </c>
      <c r="AH1601">
        <v>36.039228715758803</v>
      </c>
      <c r="AI1601">
        <v>91.727386882161795</v>
      </c>
      <c r="AJ1601">
        <v>79.6021607174727</v>
      </c>
      <c r="AK1601">
        <v>36.657594455513298</v>
      </c>
    </row>
    <row r="1602" spans="1:37" x14ac:dyDescent="0.2">
      <c r="A1602" t="str">
        <f>"20200111155529387"</f>
        <v>20200111155529387</v>
      </c>
      <c r="B1602" t="str">
        <f>"1578729329383737"</f>
        <v>1578729329383737</v>
      </c>
      <c r="C1602" t="s">
        <v>37</v>
      </c>
      <c r="D1602">
        <v>4.7005480000000004</v>
      </c>
      <c r="E1602">
        <v>0.5565175</v>
      </c>
      <c r="F1602" t="s">
        <v>38</v>
      </c>
      <c r="G1602">
        <v>-193.9051</v>
      </c>
      <c r="H1602" s="1">
        <v>-4.5690699999999996E-6</v>
      </c>
      <c r="I1602">
        <v>308.3777</v>
      </c>
      <c r="J1602">
        <v>-193.66419999999999</v>
      </c>
      <c r="K1602">
        <v>1.1050309999999901</v>
      </c>
      <c r="L1602">
        <v>346.79230000000001</v>
      </c>
      <c r="M1602">
        <v>0.17972170000000001</v>
      </c>
      <c r="N1602">
        <v>0</v>
      </c>
      <c r="O1602">
        <v>-0.98362590000000005</v>
      </c>
      <c r="P1602">
        <v>0.1351137</v>
      </c>
      <c r="Q1602">
        <v>2.2947909999999998E-2</v>
      </c>
      <c r="R1602">
        <v>-0.99056480000000002</v>
      </c>
      <c r="S1602">
        <v>-1.64032E-2</v>
      </c>
      <c r="T1602">
        <v>-8.6833720000000003E-2</v>
      </c>
      <c r="U1602">
        <v>-3.032959</v>
      </c>
      <c r="V1602">
        <v>4.5128059999999998E-2</v>
      </c>
      <c r="W1602">
        <v>3.6351120000000001E-2</v>
      </c>
      <c r="X1602">
        <v>0.99831959999999997</v>
      </c>
      <c r="Y1602">
        <v>0.18505269999999999</v>
      </c>
      <c r="Z1602">
        <v>2.7671850000000001E-2</v>
      </c>
      <c r="AA1602">
        <v>0.98233890000000001</v>
      </c>
      <c r="AB1602">
        <v>18</v>
      </c>
      <c r="AC1602">
        <v>-0.24090000000001</v>
      </c>
      <c r="AD1602">
        <v>-1.10503556906999</v>
      </c>
      <c r="AE1602">
        <v>-38.4146</v>
      </c>
      <c r="AF1602">
        <v>7.1356317826554703</v>
      </c>
      <c r="AG1602">
        <v>-1.10503556906999</v>
      </c>
      <c r="AH1602">
        <v>37.714494636513201</v>
      </c>
      <c r="AI1602">
        <v>91.649048022598706</v>
      </c>
      <c r="AJ1602">
        <v>79.286206517896204</v>
      </c>
      <c r="AK1602">
        <v>38.399498046642897</v>
      </c>
    </row>
    <row r="1603" spans="1:37" x14ac:dyDescent="0.2">
      <c r="A1603" t="str">
        <f>"20200111155529410"</f>
        <v>20200111155529410</v>
      </c>
      <c r="B1603" t="str">
        <f>"1578729329404235"</f>
        <v>1578729329404235</v>
      </c>
      <c r="C1603" t="s">
        <v>37</v>
      </c>
      <c r="D1603">
        <v>4.8350089999999897</v>
      </c>
      <c r="E1603">
        <v>0.55743469999999995</v>
      </c>
      <c r="F1603" t="s">
        <v>38</v>
      </c>
      <c r="G1603">
        <v>-194.197</v>
      </c>
      <c r="H1603" s="1">
        <v>-3.7001380000000001E-6</v>
      </c>
      <c r="I1603">
        <v>305.6721</v>
      </c>
      <c r="J1603">
        <v>-193.63159999999999</v>
      </c>
      <c r="K1603">
        <v>1.104992</v>
      </c>
      <c r="L1603">
        <v>346.60820000000001</v>
      </c>
      <c r="M1603">
        <v>0.17899999999999999</v>
      </c>
      <c r="N1603">
        <v>0</v>
      </c>
      <c r="O1603">
        <v>-0.98375780000000002</v>
      </c>
      <c r="P1603">
        <v>0.1348779</v>
      </c>
      <c r="Q1603">
        <v>2.0523929999999999E-2</v>
      </c>
      <c r="R1603">
        <v>-0.99064969999999997</v>
      </c>
      <c r="S1603">
        <v>-3.9337160000000003E-2</v>
      </c>
      <c r="T1603">
        <v>-8.158195E-2</v>
      </c>
      <c r="U1603">
        <v>-3.0357970000000001</v>
      </c>
      <c r="V1603">
        <v>4.4645070000000002E-2</v>
      </c>
      <c r="W1603">
        <v>3.3911709999999998E-2</v>
      </c>
      <c r="X1603">
        <v>0.99842719999999896</v>
      </c>
      <c r="Y1603">
        <v>0.19174340000000001</v>
      </c>
      <c r="Z1603">
        <v>2.5962200000000001E-2</v>
      </c>
      <c r="AA1603">
        <v>0.98110159999999902</v>
      </c>
      <c r="AB1603">
        <v>18</v>
      </c>
      <c r="AC1603">
        <v>-0.565400000000011</v>
      </c>
      <c r="AD1603">
        <v>-1.104995700138</v>
      </c>
      <c r="AE1603">
        <v>-40.936100000000003</v>
      </c>
      <c r="AF1603">
        <v>7.8787469707637001</v>
      </c>
      <c r="AG1603">
        <v>-1.104995700138</v>
      </c>
      <c r="AH1603">
        <v>40.144363757073997</v>
      </c>
      <c r="AI1603">
        <v>91.547198445050796</v>
      </c>
      <c r="AJ1603">
        <v>78.896239941444904</v>
      </c>
      <c r="AK1603">
        <v>40.925122000880101</v>
      </c>
    </row>
    <row r="1604" spans="1:37" x14ac:dyDescent="0.2">
      <c r="A1604" t="str">
        <f>"20200111155529431"</f>
        <v>20200111155529431</v>
      </c>
      <c r="B1604" t="str">
        <f>"1578729329423754"</f>
        <v>1578729329423754</v>
      </c>
      <c r="C1604" t="s">
        <v>37</v>
      </c>
      <c r="D1604">
        <v>4.8981899999999996</v>
      </c>
      <c r="E1604">
        <v>0.55798199999999998</v>
      </c>
      <c r="F1604" t="s">
        <v>38</v>
      </c>
      <c r="G1604">
        <v>-194.2448</v>
      </c>
      <c r="H1604" s="1">
        <v>-4.3420010000000003E-6</v>
      </c>
      <c r="I1604">
        <v>307.53339999999997</v>
      </c>
      <c r="J1604">
        <v>-193.60140000000001</v>
      </c>
      <c r="K1604">
        <v>1.10493</v>
      </c>
      <c r="L1604">
        <v>346.43740000000003</v>
      </c>
      <c r="M1604">
        <v>0.17834539999999999</v>
      </c>
      <c r="N1604">
        <v>0</v>
      </c>
      <c r="O1604">
        <v>-0.98387669999999905</v>
      </c>
      <c r="P1604">
        <v>0.13467779999999999</v>
      </c>
      <c r="Q1604">
        <v>1.7128890000000001E-2</v>
      </c>
      <c r="R1604">
        <v>-0.990741599999999</v>
      </c>
      <c r="S1604">
        <v>-4.76532E-2</v>
      </c>
      <c r="T1604">
        <v>-8.5872530000000002E-2</v>
      </c>
      <c r="U1604">
        <v>-3.0366209999999998</v>
      </c>
      <c r="V1604">
        <v>4.4197189999999997E-2</v>
      </c>
      <c r="W1604">
        <v>3.050361E-2</v>
      </c>
      <c r="X1604">
        <v>0.99855699999999903</v>
      </c>
      <c r="Y1604">
        <v>0.1937721</v>
      </c>
      <c r="Z1604">
        <v>2.731797E-2</v>
      </c>
      <c r="AA1604">
        <v>0.98066620000000004</v>
      </c>
      <c r="AB1604">
        <v>18</v>
      </c>
      <c r="AC1604">
        <v>-0.64339999999998498</v>
      </c>
      <c r="AD1604">
        <v>-1.104934342001</v>
      </c>
      <c r="AE1604">
        <v>-38.904000000000003</v>
      </c>
      <c r="AF1604">
        <v>7.5659541523853804</v>
      </c>
      <c r="AG1604">
        <v>-1.104934342001</v>
      </c>
      <c r="AH1604">
        <v>38.134665437193703</v>
      </c>
      <c r="AI1604">
        <v>91.627940996423902</v>
      </c>
      <c r="AJ1604">
        <v>78.778189134353894</v>
      </c>
      <c r="AK1604">
        <v>38.893665938592498</v>
      </c>
    </row>
    <row r="1605" spans="1:37" x14ac:dyDescent="0.2">
      <c r="A1605" t="str">
        <f>"20200111155529453"</f>
        <v>20200111155529453</v>
      </c>
      <c r="B1605" t="str">
        <f>"1578729329444250"</f>
        <v>1578729329444250</v>
      </c>
      <c r="C1605" t="s">
        <v>37</v>
      </c>
      <c r="D1605">
        <v>4.8618579999999998</v>
      </c>
      <c r="E1605">
        <v>0.55876340000000002</v>
      </c>
      <c r="F1605" t="s">
        <v>38</v>
      </c>
      <c r="G1605">
        <v>-194.22839999999999</v>
      </c>
      <c r="H1605" s="1">
        <v>-1.5935719999999999E-6</v>
      </c>
      <c r="I1605">
        <v>310.58280000000002</v>
      </c>
      <c r="J1605">
        <v>-193.57259999999999</v>
      </c>
      <c r="K1605">
        <v>1.104873</v>
      </c>
      <c r="L1605">
        <v>346.27330000000001</v>
      </c>
      <c r="M1605">
        <v>0.1776865</v>
      </c>
      <c r="N1605">
        <v>0</v>
      </c>
      <c r="O1605">
        <v>-0.98399629999999905</v>
      </c>
      <c r="P1605">
        <v>0.1350112</v>
      </c>
      <c r="Q1605">
        <v>1.450483E-2</v>
      </c>
      <c r="R1605">
        <v>-0.99073799999999901</v>
      </c>
      <c r="S1605">
        <v>-5.3100590000000003E-2</v>
      </c>
      <c r="T1605">
        <v>-9.3586089999999997E-2</v>
      </c>
      <c r="U1605">
        <v>-3.036835</v>
      </c>
      <c r="V1605">
        <v>4.3202190000000001E-2</v>
      </c>
      <c r="W1605">
        <v>2.786783E-2</v>
      </c>
      <c r="X1605">
        <v>0.99867759999999905</v>
      </c>
      <c r="Y1605">
        <v>0.19487109999999999</v>
      </c>
      <c r="Z1605">
        <v>2.9769190000000001E-2</v>
      </c>
      <c r="AA1605">
        <v>0.98037700000000005</v>
      </c>
      <c r="AB1605">
        <v>18</v>
      </c>
      <c r="AC1605">
        <v>-0.65579999999999905</v>
      </c>
      <c r="AD1605">
        <v>-1.1048745935719999</v>
      </c>
      <c r="AE1605">
        <v>-35.690499999999901</v>
      </c>
      <c r="AF1605">
        <v>6.9809615946283401</v>
      </c>
      <c r="AG1605">
        <v>-1.1048745935719999</v>
      </c>
      <c r="AH1605">
        <v>34.972418380658802</v>
      </c>
      <c r="AI1605">
        <v>91.774543511162094</v>
      </c>
      <c r="AJ1605">
        <v>78.711370461389507</v>
      </c>
      <c r="AK1605">
        <v>35.679470568452103</v>
      </c>
    </row>
    <row r="1606" spans="1:37" x14ac:dyDescent="0.2">
      <c r="A1606" t="str">
        <f>"20200111155529475"</f>
        <v>20200111155529475</v>
      </c>
      <c r="B1606" t="str">
        <f>"1578729329463769"</f>
        <v>1578729329463769</v>
      </c>
      <c r="C1606" t="s">
        <v>37</v>
      </c>
      <c r="D1606">
        <v>4.8753519999999897</v>
      </c>
      <c r="E1606">
        <v>0.55909089999999995</v>
      </c>
      <c r="F1606" t="s">
        <v>38</v>
      </c>
      <c r="G1606">
        <v>-194.23140000000001</v>
      </c>
      <c r="H1606" s="1">
        <v>-2.3456879999999999E-6</v>
      </c>
      <c r="I1606">
        <v>312.1721</v>
      </c>
      <c r="J1606">
        <v>-193.54169999999999</v>
      </c>
      <c r="K1606">
        <v>1.1048199999999999</v>
      </c>
      <c r="L1606">
        <v>346.09769999999997</v>
      </c>
      <c r="M1606">
        <v>0.17693110000000001</v>
      </c>
      <c r="N1606">
        <v>0</v>
      </c>
      <c r="O1606">
        <v>-0.98413249999999997</v>
      </c>
      <c r="P1606">
        <v>0.1349272</v>
      </c>
      <c r="Q1606">
        <v>1.415574E-2</v>
      </c>
      <c r="R1606">
        <v>-0.99075449999999998</v>
      </c>
      <c r="S1606">
        <v>-5.8685300000000003E-2</v>
      </c>
      <c r="T1606">
        <v>-9.841287E-2</v>
      </c>
      <c r="U1606">
        <v>-3.037445</v>
      </c>
      <c r="V1606">
        <v>4.2523760000000001E-2</v>
      </c>
      <c r="W1606">
        <v>2.7507480000000001E-2</v>
      </c>
      <c r="X1606">
        <v>0.99871669999999901</v>
      </c>
      <c r="Y1606">
        <v>0.19591549999999999</v>
      </c>
      <c r="Z1606">
        <v>3.1299399999999998E-2</v>
      </c>
      <c r="AA1606">
        <v>0.98012109999999997</v>
      </c>
      <c r="AB1606">
        <v>18</v>
      </c>
      <c r="AC1606">
        <v>-0.68970000000001597</v>
      </c>
      <c r="AD1606">
        <v>-1.104822345688</v>
      </c>
      <c r="AE1606">
        <v>-33.925599999999903</v>
      </c>
      <c r="AF1606">
        <v>6.6747706727237901</v>
      </c>
      <c r="AG1606">
        <v>-1.104822345688</v>
      </c>
      <c r="AH1606">
        <v>33.2329966992816</v>
      </c>
      <c r="AI1606">
        <v>91.866827760995903</v>
      </c>
      <c r="AJ1606">
        <v>78.643374040242406</v>
      </c>
      <c r="AK1606">
        <v>33.914676256208701</v>
      </c>
    </row>
    <row r="1607" spans="1:37" x14ac:dyDescent="0.2">
      <c r="A1607" t="str">
        <f>"20200111155529520"</f>
        <v>20200111155529520</v>
      </c>
      <c r="B1607" t="str">
        <f>"1578729329514521"</f>
        <v>1578729329514521</v>
      </c>
      <c r="C1607" t="s">
        <v>37</v>
      </c>
      <c r="D1607">
        <v>4.727201</v>
      </c>
      <c r="E1607">
        <v>0.55963580000000002</v>
      </c>
      <c r="F1607" t="s">
        <v>38</v>
      </c>
      <c r="G1607">
        <v>-194.22669999999999</v>
      </c>
      <c r="H1607" s="1">
        <v>-2.4486440000000001E-6</v>
      </c>
      <c r="I1607">
        <v>312.39249999999998</v>
      </c>
      <c r="J1607">
        <v>-193.48079999999999</v>
      </c>
      <c r="K1607">
        <v>1.104762</v>
      </c>
      <c r="L1607">
        <v>345.74770000000001</v>
      </c>
      <c r="M1607">
        <v>0.1753208</v>
      </c>
      <c r="N1607">
        <v>0</v>
      </c>
      <c r="O1607">
        <v>-0.98442090000000004</v>
      </c>
      <c r="P1607">
        <v>0.1341099</v>
      </c>
      <c r="Q1607">
        <v>1.836453E-2</v>
      </c>
      <c r="R1607">
        <v>-0.99079660000000003</v>
      </c>
      <c r="S1607">
        <v>-6.1737060000000003E-2</v>
      </c>
      <c r="T1607">
        <v>-9.9574689999999993E-2</v>
      </c>
      <c r="U1607">
        <v>-3.03775</v>
      </c>
      <c r="V1607">
        <v>4.1709320000000001E-2</v>
      </c>
      <c r="W1607">
        <v>3.1696080000000001E-2</v>
      </c>
      <c r="X1607">
        <v>0.99862689999999998</v>
      </c>
      <c r="Y1607">
        <v>0.1952933</v>
      </c>
      <c r="Z1607">
        <v>3.1681189999999998E-2</v>
      </c>
      <c r="AA1607">
        <v>0.98023309999999997</v>
      </c>
      <c r="AB1607">
        <v>18</v>
      </c>
      <c r="AC1607">
        <v>-0.745900000000006</v>
      </c>
      <c r="AD1607">
        <v>-1.104764448644</v>
      </c>
      <c r="AE1607">
        <v>-33.355200000000004</v>
      </c>
      <c r="AF1607">
        <v>6.5755163142029298</v>
      </c>
      <c r="AG1607">
        <v>-1.104764448644</v>
      </c>
      <c r="AH1607">
        <v>32.671873514404801</v>
      </c>
      <c r="AI1607">
        <v>91.898616002456606</v>
      </c>
      <c r="AJ1607">
        <v>78.620710385002397</v>
      </c>
      <c r="AK1607">
        <v>33.345303090939296</v>
      </c>
    </row>
    <row r="1608" spans="1:37" x14ac:dyDescent="0.2">
      <c r="A1608" t="str">
        <f>"20200111155529587"</f>
        <v>20200111155529587</v>
      </c>
      <c r="B1608" t="str">
        <f>"1578729329583537"</f>
        <v>1578729329583537</v>
      </c>
      <c r="C1608" t="s">
        <v>37</v>
      </c>
      <c r="D1608">
        <v>4.6608890000000001</v>
      </c>
      <c r="E1608">
        <v>0.56062639999999997</v>
      </c>
      <c r="F1608" t="s">
        <v>38</v>
      </c>
      <c r="G1608">
        <v>-194.3244</v>
      </c>
      <c r="H1608" s="1">
        <v>-4.49065099999999E-6</v>
      </c>
      <c r="I1608">
        <v>307.92869999999999</v>
      </c>
      <c r="J1608">
        <v>-193.38990000000001</v>
      </c>
      <c r="K1608">
        <v>1.104687</v>
      </c>
      <c r="L1608">
        <v>345.21949999999998</v>
      </c>
      <c r="M1608">
        <v>0.17291229999999999</v>
      </c>
      <c r="N1608">
        <v>0</v>
      </c>
      <c r="O1608">
        <v>-0.98484669999999896</v>
      </c>
      <c r="P1608">
        <v>0.13598499999999999</v>
      </c>
      <c r="Q1608">
        <v>1.345794E-2</v>
      </c>
      <c r="R1608">
        <v>-0.99061960000000004</v>
      </c>
      <c r="S1608">
        <v>-6.7779539999999999E-2</v>
      </c>
      <c r="T1608">
        <v>-8.8765380000000005E-2</v>
      </c>
      <c r="U1608">
        <v>-3.0386660000000001</v>
      </c>
      <c r="V1608">
        <v>3.7391000000000001E-2</v>
      </c>
      <c r="W1608">
        <v>2.6773890000000002E-2</v>
      </c>
      <c r="X1608">
        <v>0.998942</v>
      </c>
      <c r="Y1608">
        <v>0.19483919999999999</v>
      </c>
      <c r="Z1608">
        <v>2.8255990000000002E-2</v>
      </c>
      <c r="AA1608">
        <v>0.98042809999999903</v>
      </c>
      <c r="AB1608">
        <v>18</v>
      </c>
      <c r="AC1608">
        <v>-0.93449999999998501</v>
      </c>
      <c r="AD1608">
        <v>-1.1046914906509999</v>
      </c>
      <c r="AE1608">
        <v>-37.290799999999898</v>
      </c>
      <c r="AF1608">
        <v>7.36257719332135</v>
      </c>
      <c r="AG1608">
        <v>-1.1046914906509999</v>
      </c>
      <c r="AH1608">
        <v>36.535353185692202</v>
      </c>
      <c r="AI1608">
        <v>91.697771333543102</v>
      </c>
      <c r="AJ1608">
        <v>78.606393032808597</v>
      </c>
      <c r="AK1608">
        <v>37.286189381866301</v>
      </c>
    </row>
    <row r="1609" spans="1:37" x14ac:dyDescent="0.2">
      <c r="A1609" t="str">
        <f>"20200111155529609"</f>
        <v>20200111155529609</v>
      </c>
      <c r="B1609" t="str">
        <f>"1578729329604035"</f>
        <v>1578729329604035</v>
      </c>
      <c r="C1609" t="s">
        <v>37</v>
      </c>
      <c r="D1609">
        <v>4.7674079999999996</v>
      </c>
      <c r="E1609">
        <v>0.56105760000000005</v>
      </c>
      <c r="F1609" t="s">
        <v>38</v>
      </c>
      <c r="G1609">
        <v>-194.12209999999999</v>
      </c>
      <c r="H1609" s="1">
        <v>-2.77592899999999E-6</v>
      </c>
      <c r="I1609">
        <v>313.1438</v>
      </c>
      <c r="J1609">
        <v>-193.36070000000001</v>
      </c>
      <c r="K1609">
        <v>1.104679</v>
      </c>
      <c r="L1609">
        <v>345.04759999999999</v>
      </c>
      <c r="M1609">
        <v>0.17216219999999999</v>
      </c>
      <c r="N1609">
        <v>0</v>
      </c>
      <c r="O1609">
        <v>-0.98497829999999997</v>
      </c>
      <c r="P1609">
        <v>0.1372698</v>
      </c>
      <c r="Q1609">
        <v>1.373196E-2</v>
      </c>
      <c r="R1609">
        <v>-0.99043859999999995</v>
      </c>
      <c r="S1609">
        <v>-6.9381709999999999E-2</v>
      </c>
      <c r="T1609">
        <v>-0.10467609999999999</v>
      </c>
      <c r="U1609">
        <v>-3.0393680000000001</v>
      </c>
      <c r="V1609">
        <v>3.5334199999999899E-2</v>
      </c>
      <c r="W1609">
        <v>2.7042259999999999E-2</v>
      </c>
      <c r="X1609">
        <v>0.99900959999999905</v>
      </c>
      <c r="Y1609">
        <v>0.19459979999999999</v>
      </c>
      <c r="Z1609">
        <v>3.3314940000000001E-2</v>
      </c>
      <c r="AA1609">
        <v>0.98031679999999999</v>
      </c>
      <c r="AB1609">
        <v>18</v>
      </c>
      <c r="AC1609">
        <v>-0.76139999999997998</v>
      </c>
      <c r="AD1609">
        <v>-1.104681775929</v>
      </c>
      <c r="AE1609">
        <v>-31.903799999999901</v>
      </c>
      <c r="AF1609">
        <v>6.2356744979543599</v>
      </c>
      <c r="AG1609">
        <v>-1.104681775929</v>
      </c>
      <c r="AH1609">
        <v>31.2587953063633</v>
      </c>
      <c r="AI1609">
        <v>91.984906490776197</v>
      </c>
      <c r="AJ1609">
        <v>78.718418584152701</v>
      </c>
      <c r="AK1609">
        <v>31.893827651688799</v>
      </c>
    </row>
    <row r="1610" spans="1:37" x14ac:dyDescent="0.2">
      <c r="A1610" t="str">
        <f>"20200111155529632"</f>
        <v>20200111155529632</v>
      </c>
      <c r="B1610" t="str">
        <f>"1578729329623555"</f>
        <v>1578729329623555</v>
      </c>
      <c r="C1610" t="s">
        <v>37</v>
      </c>
      <c r="D1610">
        <v>4.8133019999999904</v>
      </c>
      <c r="E1610">
        <v>0.56102839999999998</v>
      </c>
      <c r="F1610" t="s">
        <v>38</v>
      </c>
      <c r="G1610">
        <v>-194.095</v>
      </c>
      <c r="H1610" s="1">
        <v>-2.4983319999999999E-6</v>
      </c>
      <c r="I1610">
        <v>312.5718</v>
      </c>
      <c r="J1610">
        <v>-193.33099999999999</v>
      </c>
      <c r="K1610">
        <v>1.104663</v>
      </c>
      <c r="L1610">
        <v>344.87279999999998</v>
      </c>
      <c r="M1610">
        <v>0.17142479999999999</v>
      </c>
      <c r="N1610">
        <v>0</v>
      </c>
      <c r="O1610">
        <v>-0.98510719999999996</v>
      </c>
      <c r="P1610">
        <v>0.1376627</v>
      </c>
      <c r="Q1610">
        <v>1.183413E-2</v>
      </c>
      <c r="R1610">
        <v>-0.99040859999999997</v>
      </c>
      <c r="S1610">
        <v>-6.8740839999999998E-2</v>
      </c>
      <c r="T1610">
        <v>-0.10340339999999899</v>
      </c>
      <c r="U1610">
        <v>-3.0398860000000001</v>
      </c>
      <c r="V1610">
        <v>3.4192130000000001E-2</v>
      </c>
      <c r="W1610">
        <v>2.512269E-2</v>
      </c>
      <c r="X1610">
        <v>0.99909950000000003</v>
      </c>
      <c r="Y1610">
        <v>0.1936552</v>
      </c>
      <c r="Z1610">
        <v>3.2914569999999997E-2</v>
      </c>
      <c r="AA1610">
        <v>0.98051730000000004</v>
      </c>
      <c r="AB1610">
        <v>18</v>
      </c>
      <c r="AC1610">
        <v>-0.76400000000001</v>
      </c>
      <c r="AD1610">
        <v>-1.1046654983319999</v>
      </c>
      <c r="AE1610">
        <v>-32.300999999999902</v>
      </c>
      <c r="AF1610">
        <v>6.2830277753629096</v>
      </c>
      <c r="AG1610">
        <v>-1.1046654983319999</v>
      </c>
      <c r="AH1610">
        <v>31.654787313402998</v>
      </c>
      <c r="AI1610">
        <v>91.9604412847617</v>
      </c>
      <c r="AJ1610">
        <v>78.773508748483707</v>
      </c>
      <c r="AK1610">
        <v>32.291210626824899</v>
      </c>
    </row>
    <row r="1611" spans="1:37" x14ac:dyDescent="0.2">
      <c r="A1611" t="str">
        <f>"20200111155529653"</f>
        <v>20200111155529653</v>
      </c>
      <c r="B1611" t="str">
        <f>"1578729329644050"</f>
        <v>1578729329644050</v>
      </c>
      <c r="C1611" t="s">
        <v>37</v>
      </c>
      <c r="D1611">
        <v>4.779007</v>
      </c>
      <c r="E1611">
        <v>0.56125709999999995</v>
      </c>
      <c r="F1611" t="s">
        <v>38</v>
      </c>
      <c r="G1611">
        <v>-194.00919999999999</v>
      </c>
      <c r="H1611" s="1">
        <v>-3.2871560000000001E-6</v>
      </c>
      <c r="I1611">
        <v>314.28890000000001</v>
      </c>
      <c r="J1611">
        <v>-193.30269999999999</v>
      </c>
      <c r="K1611">
        <v>1.1046530000000001</v>
      </c>
      <c r="L1611">
        <v>344.70499999999998</v>
      </c>
      <c r="M1611">
        <v>0.17074719999999999</v>
      </c>
      <c r="N1611">
        <v>0</v>
      </c>
      <c r="O1611">
        <v>-0.98522569999999998</v>
      </c>
      <c r="P1611">
        <v>0.14037549999999999</v>
      </c>
      <c r="Q1611">
        <v>1.048751E-2</v>
      </c>
      <c r="R1611">
        <v>-0.99004289999999995</v>
      </c>
      <c r="S1611">
        <v>-6.7398070000000004E-2</v>
      </c>
      <c r="T1611">
        <v>-0.1097916</v>
      </c>
      <c r="U1611">
        <v>-3.0397029999999998</v>
      </c>
      <c r="V1611">
        <v>3.0767679999999999E-2</v>
      </c>
      <c r="W1611">
        <v>2.3731209999999999E-2</v>
      </c>
      <c r="X1611">
        <v>0.99924480000000004</v>
      </c>
      <c r="Y1611">
        <v>0.192547</v>
      </c>
      <c r="Z1611">
        <v>3.4958049999999997E-2</v>
      </c>
      <c r="AA1611">
        <v>0.9806648</v>
      </c>
      <c r="AB1611">
        <v>18</v>
      </c>
      <c r="AC1611">
        <v>-0.70650000000000501</v>
      </c>
      <c r="AD1611">
        <v>-1.1046562871559999</v>
      </c>
      <c r="AE1611">
        <v>-30.416099999999901</v>
      </c>
      <c r="AF1611">
        <v>5.8822887710469196</v>
      </c>
      <c r="AG1611">
        <v>-1.1046562871559999</v>
      </c>
      <c r="AH1611">
        <v>29.809415405105401</v>
      </c>
      <c r="AI1611">
        <v>92.082140646127101</v>
      </c>
      <c r="AJ1611">
        <v>78.8372445308338</v>
      </c>
      <c r="AK1611">
        <v>30.404322611971999</v>
      </c>
    </row>
    <row r="1612" spans="1:37" x14ac:dyDescent="0.2">
      <c r="A1612" t="str">
        <f>"20200111155529676"</f>
        <v>20200111155529676</v>
      </c>
      <c r="B1612" t="str">
        <f>"1578729329663570"</f>
        <v>1578729329663570</v>
      </c>
      <c r="C1612" t="s">
        <v>37</v>
      </c>
      <c r="D1612">
        <v>4.7020689999999998</v>
      </c>
      <c r="E1612">
        <v>0.56153160000000002</v>
      </c>
      <c r="F1612" t="s">
        <v>38</v>
      </c>
      <c r="G1612">
        <v>-193.892</v>
      </c>
      <c r="H1612" s="1">
        <v>-3.653359E-6</v>
      </c>
      <c r="I1612">
        <v>315.12950000000001</v>
      </c>
      <c r="J1612">
        <v>-193.27340000000001</v>
      </c>
      <c r="K1612">
        <v>1.1046579999999999</v>
      </c>
      <c r="L1612">
        <v>344.53129999999999</v>
      </c>
      <c r="M1612">
        <v>0.1700827</v>
      </c>
      <c r="N1612">
        <v>0</v>
      </c>
      <c r="O1612">
        <v>-0.98534169999999999</v>
      </c>
      <c r="P1612">
        <v>0.143797799999999</v>
      </c>
      <c r="Q1612">
        <v>1.357004E-2</v>
      </c>
      <c r="R1612">
        <v>-0.98951449999999996</v>
      </c>
      <c r="S1612">
        <v>-6.0577390000000002E-2</v>
      </c>
      <c r="T1612">
        <v>-0.1135443</v>
      </c>
      <c r="U1612">
        <v>-3.0399780000000001</v>
      </c>
      <c r="V1612">
        <v>2.6632650000000001E-2</v>
      </c>
      <c r="W1612">
        <v>2.673671E-2</v>
      </c>
      <c r="X1612">
        <v>0.9992877</v>
      </c>
      <c r="Y1612">
        <v>0.18968199999999999</v>
      </c>
      <c r="Z1612">
        <v>3.6165799999999998E-2</v>
      </c>
      <c r="AA1612">
        <v>0.98117929999999998</v>
      </c>
      <c r="AB1612">
        <v>18</v>
      </c>
      <c r="AC1612">
        <v>-0.61859999999998605</v>
      </c>
      <c r="AD1612">
        <v>-1.1046616533589999</v>
      </c>
      <c r="AE1612">
        <v>-29.401799999999898</v>
      </c>
      <c r="AF1612">
        <v>5.6028514969308301</v>
      </c>
      <c r="AG1612">
        <v>-1.1046616533589999</v>
      </c>
      <c r="AH1612">
        <v>28.827437714773499</v>
      </c>
      <c r="AI1612">
        <v>92.154217379775901</v>
      </c>
      <c r="AJ1612">
        <v>79.001215680700597</v>
      </c>
      <c r="AK1612">
        <v>29.387640045845899</v>
      </c>
    </row>
    <row r="1613" spans="1:37" x14ac:dyDescent="0.2">
      <c r="A1613" t="str">
        <f>"20200111155529699"</f>
        <v>20200111155529699</v>
      </c>
      <c r="B1613" t="str">
        <f>"1578729329693826"</f>
        <v>1578729329693826</v>
      </c>
      <c r="C1613" t="s">
        <v>37</v>
      </c>
      <c r="D1613">
        <v>4.7137139999999897</v>
      </c>
      <c r="E1613">
        <v>0.56172159999999904</v>
      </c>
      <c r="F1613" t="s">
        <v>38</v>
      </c>
      <c r="G1613">
        <v>-193.84559999999999</v>
      </c>
      <c r="H1613" s="1">
        <v>-1.9540709999999999E-6</v>
      </c>
      <c r="I1613">
        <v>311.5609</v>
      </c>
      <c r="J1613">
        <v>-193.24340000000001</v>
      </c>
      <c r="K1613">
        <v>1.104665</v>
      </c>
      <c r="L1613">
        <v>344.35230000000001</v>
      </c>
      <c r="M1613">
        <v>0.169452399999999</v>
      </c>
      <c r="N1613">
        <v>0</v>
      </c>
      <c r="O1613">
        <v>-0.98545179999999999</v>
      </c>
      <c r="P1613">
        <v>0.14660090000000001</v>
      </c>
      <c r="Q1613">
        <v>1.487569E-2</v>
      </c>
      <c r="R1613">
        <v>-0.98908419999999897</v>
      </c>
      <c r="S1613">
        <v>-5.2764890000000002E-2</v>
      </c>
      <c r="T1613">
        <v>-0.1018816</v>
      </c>
      <c r="U1613">
        <v>-3.0408330000000001</v>
      </c>
      <c r="V1613">
        <v>2.3156389999999999E-2</v>
      </c>
      <c r="W1613">
        <v>2.7929320000000001E-2</v>
      </c>
      <c r="X1613">
        <v>0.9993417</v>
      </c>
      <c r="Y1613">
        <v>0.186529799999999</v>
      </c>
      <c r="Z1613">
        <v>3.2462690000000002E-2</v>
      </c>
      <c r="AA1613">
        <v>0.98191289999999998</v>
      </c>
      <c r="AB1613">
        <v>18</v>
      </c>
      <c r="AC1613">
        <v>-0.60219999999998197</v>
      </c>
      <c r="AD1613">
        <v>-1.1046669540709999</v>
      </c>
      <c r="AE1613">
        <v>-32.791400000000003</v>
      </c>
      <c r="AF1613">
        <v>6.1435755159866101</v>
      </c>
      <c r="AG1613">
        <v>-1.1046669540709999</v>
      </c>
      <c r="AH1613">
        <v>32.178542655366499</v>
      </c>
      <c r="AI1613">
        <v>91.931295407932794</v>
      </c>
      <c r="AJ1613">
        <v>79.191083272957897</v>
      </c>
      <c r="AK1613">
        <v>32.778383374158103</v>
      </c>
    </row>
    <row r="1614" spans="1:37" x14ac:dyDescent="0.2">
      <c r="A1614" t="str">
        <f>"20200111155529712"</f>
        <v>20200111155529712</v>
      </c>
      <c r="B1614" t="str">
        <f>"1578729329704563"</f>
        <v>1578729329704563</v>
      </c>
      <c r="C1614" t="s">
        <v>37</v>
      </c>
      <c r="D1614">
        <v>4.6222459999999996</v>
      </c>
      <c r="E1614">
        <v>0.56197980000000003</v>
      </c>
      <c r="F1614" t="s">
        <v>38</v>
      </c>
      <c r="G1614">
        <v>-193.76300000000001</v>
      </c>
      <c r="H1614" s="1">
        <v>-1.1087070000000001E-6</v>
      </c>
      <c r="I1614">
        <v>309.81900000000002</v>
      </c>
      <c r="J1614">
        <v>-193.22550000000001</v>
      </c>
      <c r="K1614">
        <v>1.1046750000000001</v>
      </c>
      <c r="L1614">
        <v>344.2457</v>
      </c>
      <c r="M1614">
        <v>0.16911300000000001</v>
      </c>
      <c r="N1614">
        <v>0</v>
      </c>
      <c r="O1614">
        <v>-0.98551119999999903</v>
      </c>
      <c r="P1614">
        <v>0.14776909999999999</v>
      </c>
      <c r="Q1614">
        <v>1.432464E-2</v>
      </c>
      <c r="R1614">
        <v>-0.98891839999999998</v>
      </c>
      <c r="S1614">
        <v>-4.5761110000000001E-2</v>
      </c>
      <c r="T1614">
        <v>-9.7287890000000002E-2</v>
      </c>
      <c r="U1614">
        <v>-3.0413509999999899</v>
      </c>
      <c r="V1614">
        <v>2.1630130000000001E-2</v>
      </c>
      <c r="W1614">
        <v>2.729202E-2</v>
      </c>
      <c r="X1614">
        <v>0.99939349999999905</v>
      </c>
      <c r="Y1614">
        <v>0.18392790000000001</v>
      </c>
      <c r="Z1614">
        <v>3.1006490000000001E-2</v>
      </c>
      <c r="AA1614">
        <v>0.98245059999999995</v>
      </c>
      <c r="AB1614">
        <v>18</v>
      </c>
      <c r="AC1614">
        <v>-0.53749999999999398</v>
      </c>
      <c r="AD1614">
        <v>-1.1046761087070001</v>
      </c>
      <c r="AE1614">
        <v>-34.426699999999897</v>
      </c>
      <c r="AF1614">
        <v>6.34571776657224</v>
      </c>
      <c r="AG1614">
        <v>-1.1046761087070001</v>
      </c>
      <c r="AH1614">
        <v>33.805052726713903</v>
      </c>
      <c r="AI1614">
        <v>91.839529840125294</v>
      </c>
      <c r="AJ1614">
        <v>79.368441206438206</v>
      </c>
      <c r="AK1614">
        <v>34.413224683746897</v>
      </c>
    </row>
    <row r="1615" spans="1:37" x14ac:dyDescent="0.2">
      <c r="A1615" t="str">
        <f>"20200111155529732"</f>
        <v>20200111155529732</v>
      </c>
      <c r="B1615" t="str">
        <f>"1578729329724082"</f>
        <v>1578729329724082</v>
      </c>
      <c r="C1615" t="s">
        <v>37</v>
      </c>
      <c r="D1615">
        <v>4.6996159999999998</v>
      </c>
      <c r="E1615">
        <v>0.56211429999999996</v>
      </c>
      <c r="F1615" t="s">
        <v>38</v>
      </c>
      <c r="G1615">
        <v>-193.72309999999999</v>
      </c>
      <c r="H1615" s="1">
        <v>-1.227457E-6</v>
      </c>
      <c r="I1615">
        <v>310.09269999999998</v>
      </c>
      <c r="J1615">
        <v>-193.19990000000001</v>
      </c>
      <c r="K1615">
        <v>1.1046989999999901</v>
      </c>
      <c r="L1615">
        <v>344.09289999999999</v>
      </c>
      <c r="M1615">
        <v>0.16865529999999901</v>
      </c>
      <c r="N1615">
        <v>0</v>
      </c>
      <c r="O1615">
        <v>-0.98559140000000001</v>
      </c>
      <c r="P1615">
        <v>0.1496721</v>
      </c>
      <c r="Q1615">
        <v>1.497441E-2</v>
      </c>
      <c r="R1615">
        <v>-0.98862240000000001</v>
      </c>
      <c r="S1615">
        <v>-4.431152E-2</v>
      </c>
      <c r="T1615">
        <v>-9.8381999999999997E-2</v>
      </c>
      <c r="U1615">
        <v>-3.0416560000000001</v>
      </c>
      <c r="V1615">
        <v>1.9237339999999999E-2</v>
      </c>
      <c r="W1615">
        <v>2.7810629999999999E-2</v>
      </c>
      <c r="X1615">
        <v>0.99942809999999904</v>
      </c>
      <c r="Y1615">
        <v>0.1830012</v>
      </c>
      <c r="Z1615">
        <v>3.1358410000000003E-2</v>
      </c>
      <c r="AA1615">
        <v>0.98261239999999905</v>
      </c>
      <c r="AB1615">
        <v>18</v>
      </c>
      <c r="AC1615">
        <v>-0.52319999999997402</v>
      </c>
      <c r="AD1615">
        <v>-1.1047002274569999</v>
      </c>
      <c r="AE1615">
        <v>-34.0002</v>
      </c>
      <c r="AF1615">
        <v>6.2439010774978998</v>
      </c>
      <c r="AG1615">
        <v>-1.1047002274569999</v>
      </c>
      <c r="AH1615">
        <v>33.389581772833097</v>
      </c>
      <c r="AI1615">
        <v>91.8626843702055</v>
      </c>
      <c r="AJ1615">
        <v>79.407940454796702</v>
      </c>
      <c r="AK1615">
        <v>33.9863330505489</v>
      </c>
    </row>
    <row r="1616" spans="1:37" x14ac:dyDescent="0.2">
      <c r="A1616" t="str">
        <f>"20200111155529754"</f>
        <v>20200111155529754</v>
      </c>
      <c r="B1616" t="str">
        <f>"1578729329743602"</f>
        <v>1578729329743602</v>
      </c>
      <c r="C1616" t="s">
        <v>37</v>
      </c>
      <c r="D1616">
        <v>4.6744409999999998</v>
      </c>
      <c r="E1616">
        <v>0.56212989999999996</v>
      </c>
      <c r="F1616" t="s">
        <v>38</v>
      </c>
      <c r="G1616">
        <v>-193.65539999999999</v>
      </c>
      <c r="H1616" s="1">
        <v>-4.7708369999999997E-6</v>
      </c>
      <c r="I1616">
        <v>309.10070000000002</v>
      </c>
      <c r="J1616">
        <v>-193.1713</v>
      </c>
      <c r="K1616">
        <v>1.1047290000000001</v>
      </c>
      <c r="L1616">
        <v>343.92239999999998</v>
      </c>
      <c r="M1616">
        <v>0.16820060000000001</v>
      </c>
      <c r="N1616">
        <v>0</v>
      </c>
      <c r="O1616">
        <v>-0.98567119999999997</v>
      </c>
      <c r="P1616">
        <v>0.15043599999999999</v>
      </c>
      <c r="Q1616">
        <v>1.8556550000000002E-2</v>
      </c>
      <c r="R1616">
        <v>-0.98844580000000004</v>
      </c>
      <c r="S1616">
        <v>-3.9596560000000003E-2</v>
      </c>
      <c r="T1616">
        <v>-9.6033930000000003E-2</v>
      </c>
      <c r="U1616">
        <v>-3.0419309999999999</v>
      </c>
      <c r="V1616">
        <v>1.7991210000000001E-2</v>
      </c>
      <c r="W1616">
        <v>3.123283E-2</v>
      </c>
      <c r="X1616">
        <v>0.99935019999999997</v>
      </c>
      <c r="Y1616">
        <v>0.1810233</v>
      </c>
      <c r="Z1616">
        <v>3.0617780000000001E-2</v>
      </c>
      <c r="AA1616">
        <v>0.98300209999999999</v>
      </c>
      <c r="AB1616">
        <v>18</v>
      </c>
      <c r="AC1616">
        <v>-0.48409999999998299</v>
      </c>
      <c r="AD1616">
        <v>-1.104733770837</v>
      </c>
      <c r="AE1616">
        <v>-34.8216999999999</v>
      </c>
      <c r="AF1616">
        <v>6.3283354684076301</v>
      </c>
      <c r="AG1616">
        <v>-1.104733770837</v>
      </c>
      <c r="AH1616">
        <v>34.209649515344701</v>
      </c>
      <c r="AI1616">
        <v>91.818776086737998</v>
      </c>
      <c r="AJ1616">
        <v>79.519510096812297</v>
      </c>
      <c r="AK1616">
        <v>34.807590931689802</v>
      </c>
    </row>
    <row r="1617" spans="1:37" x14ac:dyDescent="0.2">
      <c r="A1617" t="str">
        <f>"20200111155529768"</f>
        <v>20200111155529768</v>
      </c>
      <c r="B1617" t="str">
        <f>"1578729329764098"</f>
        <v>1578729329764098</v>
      </c>
      <c r="C1617" t="s">
        <v>37</v>
      </c>
      <c r="D1617">
        <v>4.6864019999999904</v>
      </c>
      <c r="E1617">
        <v>0.56229039999999997</v>
      </c>
      <c r="F1617" t="s">
        <v>38</v>
      </c>
      <c r="G1617">
        <v>-193.65539999999999</v>
      </c>
      <c r="H1617" s="1">
        <v>-3.0918849999999998E-6</v>
      </c>
      <c r="I1617">
        <v>304.5292</v>
      </c>
      <c r="J1617">
        <v>-193.1524</v>
      </c>
      <c r="K1617">
        <v>1.1047450000000001</v>
      </c>
      <c r="L1617">
        <v>343.80990000000003</v>
      </c>
      <c r="M1617">
        <v>0.16794239999999999</v>
      </c>
      <c r="N1617">
        <v>0</v>
      </c>
      <c r="O1617">
        <v>-0.98571699999999995</v>
      </c>
      <c r="P1617">
        <v>0.15083450000000001</v>
      </c>
      <c r="Q1617">
        <v>1.943887E-2</v>
      </c>
      <c r="R1617">
        <v>-0.98836809999999997</v>
      </c>
      <c r="S1617">
        <v>-3.7384029999999999E-2</v>
      </c>
      <c r="T1617">
        <v>-8.5319039999999999E-2</v>
      </c>
      <c r="U1617">
        <v>-3.0423580000000001</v>
      </c>
      <c r="V1617">
        <v>1.732119E-2</v>
      </c>
      <c r="W1617">
        <v>3.1998239999999997E-2</v>
      </c>
      <c r="X1617">
        <v>0.9993379</v>
      </c>
      <c r="Y1617">
        <v>0.18005019999999999</v>
      </c>
      <c r="Z1617">
        <v>2.7205150000000001E-2</v>
      </c>
      <c r="AA1617">
        <v>0.98328110000000002</v>
      </c>
      <c r="AB1617">
        <v>18</v>
      </c>
      <c r="AC1617">
        <v>-0.50299999999998501</v>
      </c>
      <c r="AD1617">
        <v>-1.1047480918849999</v>
      </c>
      <c r="AE1617">
        <v>-39.280700000000003</v>
      </c>
      <c r="AF1617">
        <v>7.0876634398404397</v>
      </c>
      <c r="AG1617">
        <v>-1.1047480918849999</v>
      </c>
      <c r="AH1617">
        <v>38.607685560658702</v>
      </c>
      <c r="AI1617">
        <v>91.612128919218094</v>
      </c>
      <c r="AJ1617">
        <v>79.597376765769994</v>
      </c>
      <c r="AK1617">
        <v>39.268420209293701</v>
      </c>
    </row>
    <row r="1618" spans="1:37" x14ac:dyDescent="0.2">
      <c r="A1618" t="str">
        <f>"20200111155529788"</f>
        <v>20200111155529788</v>
      </c>
      <c r="B1618" t="str">
        <f>"1578729329783619"</f>
        <v>1578729329783619</v>
      </c>
      <c r="C1618" t="s">
        <v>37</v>
      </c>
      <c r="D1618">
        <v>4.7625260000000003</v>
      </c>
      <c r="E1618">
        <v>0.56259599999999998</v>
      </c>
      <c r="F1618" t="s">
        <v>38</v>
      </c>
      <c r="G1618">
        <v>-193.65190000000001</v>
      </c>
      <c r="H1618" s="1">
        <v>-2.4969900000000001E-6</v>
      </c>
      <c r="I1618">
        <v>303.1447</v>
      </c>
      <c r="J1618">
        <v>-193.1266</v>
      </c>
      <c r="K1618">
        <v>1.104746</v>
      </c>
      <c r="L1618">
        <v>343.6558</v>
      </c>
      <c r="M1618">
        <v>0.16763629999999999</v>
      </c>
      <c r="N1618">
        <v>0</v>
      </c>
      <c r="O1618">
        <v>-0.98577119999999996</v>
      </c>
      <c r="P1618">
        <v>0.15138189999999899</v>
      </c>
      <c r="Q1618">
        <v>1.9774819999999999E-2</v>
      </c>
      <c r="R1618">
        <v>-0.98827790000000004</v>
      </c>
      <c r="S1618">
        <v>-3.7368770000000003E-2</v>
      </c>
      <c r="T1618">
        <v>-8.2658889999999999E-2</v>
      </c>
      <c r="U1618">
        <v>-3.0426329999999999</v>
      </c>
      <c r="V1618">
        <v>1.645309E-2</v>
      </c>
      <c r="W1618">
        <v>3.2156469999999999E-2</v>
      </c>
      <c r="X1618">
        <v>0.9993474</v>
      </c>
      <c r="Y1618">
        <v>0.1797387</v>
      </c>
      <c r="Z1618">
        <v>2.6358079999999999E-2</v>
      </c>
      <c r="AA1618">
        <v>0.98336119999999905</v>
      </c>
      <c r="AB1618">
        <v>18</v>
      </c>
      <c r="AC1618">
        <v>-0.52530000000001498</v>
      </c>
      <c r="AD1618">
        <v>-1.1047484969900001</v>
      </c>
      <c r="AE1618">
        <v>-40.511099999999999</v>
      </c>
      <c r="AF1618">
        <v>7.3040856016928597</v>
      </c>
      <c r="AG1618">
        <v>-1.1047484969900001</v>
      </c>
      <c r="AH1618">
        <v>39.820061251276798</v>
      </c>
      <c r="AI1618">
        <v>91.563113595787698</v>
      </c>
      <c r="AJ1618">
        <v>79.605934453661007</v>
      </c>
      <c r="AK1618">
        <v>40.499474240709603</v>
      </c>
    </row>
    <row r="1619" spans="1:37" x14ac:dyDescent="0.2">
      <c r="A1619" t="str">
        <f>"20200111155529809"</f>
        <v>20200111155529809</v>
      </c>
      <c r="B1619" t="str">
        <f>"1578729329804114"</f>
        <v>1578729329804114</v>
      </c>
      <c r="C1619" t="s">
        <v>37</v>
      </c>
      <c r="D1619">
        <v>4.7385169999999999</v>
      </c>
      <c r="E1619">
        <v>0.56288479999999996</v>
      </c>
      <c r="F1619" t="s">
        <v>38</v>
      </c>
      <c r="G1619">
        <v>-193.6429</v>
      </c>
      <c r="H1619" s="1">
        <v>-2.1546270000000002E-6</v>
      </c>
      <c r="I1619">
        <v>302.35219999999998</v>
      </c>
      <c r="J1619">
        <v>-193.0977</v>
      </c>
      <c r="K1619">
        <v>1.104725</v>
      </c>
      <c r="L1619">
        <v>343.48399999999998</v>
      </c>
      <c r="M1619">
        <v>0.16735349999999999</v>
      </c>
      <c r="N1619">
        <v>0</v>
      </c>
      <c r="O1619">
        <v>-0.98582199999999998</v>
      </c>
      <c r="P1619">
        <v>0.1519095</v>
      </c>
      <c r="Q1619">
        <v>1.49948999999999E-2</v>
      </c>
      <c r="R1619">
        <v>-0.98828069999999901</v>
      </c>
      <c r="S1619">
        <v>-3.8040160000000003E-2</v>
      </c>
      <c r="T1619">
        <v>-8.1390379999999998E-2</v>
      </c>
      <c r="U1619">
        <v>-3.0429689999999998</v>
      </c>
      <c r="V1619">
        <v>1.5642980000000001E-2</v>
      </c>
      <c r="W1619">
        <v>2.715188E-2</v>
      </c>
      <c r="X1619">
        <v>0.99950890000000003</v>
      </c>
      <c r="Y1619">
        <v>0.17967179999999999</v>
      </c>
      <c r="Z1619">
        <v>2.595306E-2</v>
      </c>
      <c r="AA1619">
        <v>0.98338419999999904</v>
      </c>
      <c r="AB1619">
        <v>18</v>
      </c>
      <c r="AC1619">
        <v>-0.54519999999999402</v>
      </c>
      <c r="AD1619">
        <v>-1.1047271546269899</v>
      </c>
      <c r="AE1619">
        <v>-41.131799999999998</v>
      </c>
      <c r="AF1619">
        <v>7.4162204274613197</v>
      </c>
      <c r="AG1619">
        <v>-1.1047271546269899</v>
      </c>
      <c r="AH1619">
        <v>40.431221633591498</v>
      </c>
      <c r="AI1619">
        <v>91.5394670113551</v>
      </c>
      <c r="AJ1619">
        <v>79.605891489576905</v>
      </c>
      <c r="AK1619">
        <v>41.120608340581001</v>
      </c>
    </row>
    <row r="1620" spans="1:37" x14ac:dyDescent="0.2">
      <c r="A1620" t="str">
        <f>"20200111155529832"</f>
        <v>20200111155529832</v>
      </c>
      <c r="B1620" t="str">
        <f>"1578729329823634"</f>
        <v>1578729329823634</v>
      </c>
      <c r="C1620" t="s">
        <v>37</v>
      </c>
      <c r="D1620">
        <v>4.6891049999999996</v>
      </c>
      <c r="E1620">
        <v>0.56307339999999995</v>
      </c>
      <c r="F1620" t="s">
        <v>38</v>
      </c>
      <c r="G1620">
        <v>-193.5504</v>
      </c>
      <c r="H1620" s="1">
        <v>-4.4395670000000004E-6</v>
      </c>
      <c r="I1620">
        <v>308.18200000000002</v>
      </c>
      <c r="J1620">
        <v>-193.0692</v>
      </c>
      <c r="K1620">
        <v>1.104692</v>
      </c>
      <c r="L1620">
        <v>343.31400000000002</v>
      </c>
      <c r="M1620">
        <v>0.16711289999999901</v>
      </c>
      <c r="N1620">
        <v>0</v>
      </c>
      <c r="O1620">
        <v>-0.98586580000000001</v>
      </c>
      <c r="P1620">
        <v>0.15204509999999999</v>
      </c>
      <c r="Q1620">
        <v>1.161911E-2</v>
      </c>
      <c r="R1620">
        <v>-0.98830569999999895</v>
      </c>
      <c r="S1620">
        <v>-3.9016719999999998E-2</v>
      </c>
      <c r="T1620">
        <v>-9.5229629999999996E-2</v>
      </c>
      <c r="U1620">
        <v>-3.043091</v>
      </c>
      <c r="V1620">
        <v>1.526739E-2</v>
      </c>
      <c r="W1620">
        <v>2.353767E-2</v>
      </c>
      <c r="X1620">
        <v>0.99960640000000001</v>
      </c>
      <c r="Y1620">
        <v>0.1797444</v>
      </c>
      <c r="Z1620">
        <v>3.0362449999999999E-2</v>
      </c>
      <c r="AA1620">
        <v>0.98324469999999997</v>
      </c>
      <c r="AB1620">
        <v>18</v>
      </c>
      <c r="AC1620">
        <v>-0.48120000000000102</v>
      </c>
      <c r="AD1620">
        <v>-1.104696439567</v>
      </c>
      <c r="AE1620">
        <v>-35.131999999999998</v>
      </c>
      <c r="AF1620">
        <v>6.33959228541082</v>
      </c>
      <c r="AG1620">
        <v>-1.104696439567</v>
      </c>
      <c r="AH1620">
        <v>34.5233464922959</v>
      </c>
      <c r="AI1620">
        <v>91.802634835133901</v>
      </c>
      <c r="AJ1620">
        <v>79.594585382069795</v>
      </c>
      <c r="AK1620">
        <v>35.117975989455203</v>
      </c>
    </row>
    <row r="1621" spans="1:37" x14ac:dyDescent="0.2">
      <c r="A1621" t="str">
        <f>"20200111155529855"</f>
        <v>20200111155529855</v>
      </c>
      <c r="B1621" t="str">
        <f>"1578729329844130"</f>
        <v>1578729329844130</v>
      </c>
      <c r="C1621" t="s">
        <v>37</v>
      </c>
      <c r="D1621">
        <v>4.839124</v>
      </c>
      <c r="E1621">
        <v>0.56331469999999995</v>
      </c>
      <c r="F1621" t="s">
        <v>38</v>
      </c>
      <c r="G1621">
        <v>-193.49770000000001</v>
      </c>
      <c r="H1621" s="1">
        <v>-1.607444E-6</v>
      </c>
      <c r="I1621">
        <v>311.02339999999998</v>
      </c>
      <c r="J1621">
        <v>-193.03799999999899</v>
      </c>
      <c r="K1621">
        <v>1.104654</v>
      </c>
      <c r="L1621">
        <v>343.12779999999998</v>
      </c>
      <c r="M1621">
        <v>0.16687109999999999</v>
      </c>
      <c r="N1621">
        <v>0</v>
      </c>
      <c r="O1621">
        <v>-0.98590999999999995</v>
      </c>
      <c r="P1621">
        <v>0.15247859999999999</v>
      </c>
      <c r="Q1621">
        <v>1.1250899999999999E-2</v>
      </c>
      <c r="R1621">
        <v>-0.98824269999999903</v>
      </c>
      <c r="S1621">
        <v>-4.0374760000000003E-2</v>
      </c>
      <c r="T1621">
        <v>-0.1041019</v>
      </c>
      <c r="U1621">
        <v>-3.0429379999999999</v>
      </c>
      <c r="V1621">
        <v>1.4583509999999999E-2</v>
      </c>
      <c r="W1621">
        <v>2.289793E-2</v>
      </c>
      <c r="X1621">
        <v>0.99963150000000001</v>
      </c>
      <c r="Y1621">
        <v>0.17994060000000001</v>
      </c>
      <c r="Z1621">
        <v>3.3191140000000001E-2</v>
      </c>
      <c r="AA1621">
        <v>0.98311729999999997</v>
      </c>
      <c r="AB1621">
        <v>18</v>
      </c>
      <c r="AC1621">
        <v>-0.45970000000002598</v>
      </c>
      <c r="AD1621">
        <v>-1.1046556074439999</v>
      </c>
      <c r="AE1621">
        <v>-32.104399999999998</v>
      </c>
      <c r="AF1621">
        <v>5.8040429446531396</v>
      </c>
      <c r="AG1621">
        <v>-1.1046556074439999</v>
      </c>
      <c r="AH1621">
        <v>31.540144376895899</v>
      </c>
      <c r="AI1621">
        <v>91.972797680128096</v>
      </c>
      <c r="AJ1621">
        <v>79.573038147873902</v>
      </c>
      <c r="AK1621">
        <v>32.088750144402297</v>
      </c>
    </row>
    <row r="1622" spans="1:37" x14ac:dyDescent="0.2">
      <c r="A1622" t="str">
        <f>"20200111155529878"</f>
        <v>20200111155529878</v>
      </c>
      <c r="B1622" t="str">
        <f>"1578729329874386"</f>
        <v>1578729329874386</v>
      </c>
      <c r="C1622" t="s">
        <v>37</v>
      </c>
      <c r="D1622">
        <v>4.7531299999999996</v>
      </c>
      <c r="E1622">
        <v>0.56344799999999995</v>
      </c>
      <c r="F1622" t="s">
        <v>38</v>
      </c>
      <c r="G1622">
        <v>-193.47450000000001</v>
      </c>
      <c r="H1622" s="1">
        <v>-1.517184E-6</v>
      </c>
      <c r="I1622">
        <v>310.84550000000002</v>
      </c>
      <c r="J1622">
        <v>-193.00909999999999</v>
      </c>
      <c r="K1622">
        <v>1.104609</v>
      </c>
      <c r="L1622">
        <v>342.95569999999998</v>
      </c>
      <c r="M1622">
        <v>0.1666483</v>
      </c>
      <c r="N1622">
        <v>0</v>
      </c>
      <c r="O1622">
        <v>-0.98595089999999996</v>
      </c>
      <c r="P1622">
        <v>0.153528</v>
      </c>
      <c r="Q1622">
        <v>1.1744269999999999E-2</v>
      </c>
      <c r="R1622">
        <v>-0.98807469999999997</v>
      </c>
      <c r="S1622">
        <v>-4.1152950000000001E-2</v>
      </c>
      <c r="T1622">
        <v>-0.1041323</v>
      </c>
      <c r="U1622">
        <v>-3.0431520000000001</v>
      </c>
      <c r="V1622">
        <v>1.3295019999999999E-2</v>
      </c>
      <c r="W1622">
        <v>2.311912E-2</v>
      </c>
      <c r="X1622">
        <v>0.99964430000000004</v>
      </c>
      <c r="Y1622">
        <v>0.1799683</v>
      </c>
      <c r="Z1622">
        <v>3.3200279999999999E-2</v>
      </c>
      <c r="AA1622">
        <v>0.98311199999999999</v>
      </c>
      <c r="AB1622">
        <v>18</v>
      </c>
      <c r="AC1622">
        <v>-0.46540000000001602</v>
      </c>
      <c r="AD1622">
        <v>-1.1046105171839999</v>
      </c>
      <c r="AE1622">
        <v>-32.110199999999899</v>
      </c>
      <c r="AF1622">
        <v>5.80348064727891</v>
      </c>
      <c r="AG1622">
        <v>-1.1046105171839999</v>
      </c>
      <c r="AH1622">
        <v>31.546238268462801</v>
      </c>
      <c r="AI1622">
        <v>91.972355161839602</v>
      </c>
      <c r="AJ1622">
        <v>79.575996028774696</v>
      </c>
      <c r="AK1622">
        <v>32.094636637741203</v>
      </c>
    </row>
    <row r="1623" spans="1:37" x14ac:dyDescent="0.2">
      <c r="A1623" t="str">
        <f>"20200111155529900"</f>
        <v>20200111155529900</v>
      </c>
      <c r="B1623" t="str">
        <f>"1578729329894260"</f>
        <v>1578729329894260</v>
      </c>
      <c r="C1623" t="s">
        <v>37</v>
      </c>
      <c r="D1623">
        <v>4.8914910000000003</v>
      </c>
      <c r="E1623">
        <v>0.56371090000000001</v>
      </c>
      <c r="F1623" t="s">
        <v>38</v>
      </c>
      <c r="G1623">
        <v>-193.4308</v>
      </c>
      <c r="H1623" s="1">
        <v>-1.123603E-6</v>
      </c>
      <c r="I1623">
        <v>310.03750000000002</v>
      </c>
      <c r="J1623">
        <v>-192.98</v>
      </c>
      <c r="K1623">
        <v>1.1045370000000001</v>
      </c>
      <c r="L1623">
        <v>342.78129999999999</v>
      </c>
      <c r="M1623">
        <v>0.16640189999999999</v>
      </c>
      <c r="N1623">
        <v>0</v>
      </c>
      <c r="O1623">
        <v>-0.98599619999999999</v>
      </c>
      <c r="P1623">
        <v>0.1540272</v>
      </c>
      <c r="Q1623">
        <v>1.21177E-2</v>
      </c>
      <c r="R1623">
        <v>-0.9879926</v>
      </c>
      <c r="S1623">
        <v>-3.898621E-2</v>
      </c>
      <c r="T1623">
        <v>-0.102127699999999</v>
      </c>
      <c r="U1623">
        <v>-3.043488</v>
      </c>
      <c r="V1623">
        <v>1.2540030000000001E-2</v>
      </c>
      <c r="W1623">
        <v>2.3175850000000001E-2</v>
      </c>
      <c r="X1623">
        <v>0.99965269999999995</v>
      </c>
      <c r="Y1623">
        <v>0.17902079999999901</v>
      </c>
      <c r="Z1623">
        <v>3.2563450000000001E-2</v>
      </c>
      <c r="AA1623">
        <v>0.98330620000000002</v>
      </c>
      <c r="AB1623">
        <v>18</v>
      </c>
      <c r="AC1623">
        <v>-0.45080000000001502</v>
      </c>
      <c r="AD1623">
        <v>-1.1045381236030001</v>
      </c>
      <c r="AE1623">
        <v>-32.743799999999901</v>
      </c>
      <c r="AF1623">
        <v>5.8867795581040498</v>
      </c>
      <c r="AG1623">
        <v>-1.1045381236030001</v>
      </c>
      <c r="AH1623">
        <v>32.175606197956199</v>
      </c>
      <c r="AI1623">
        <v>91.934024303202406</v>
      </c>
      <c r="AJ1623">
        <v>79.631957897966203</v>
      </c>
      <c r="AK1623">
        <v>32.7283334778623</v>
      </c>
    </row>
    <row r="1624" spans="1:37" x14ac:dyDescent="0.2">
      <c r="A1624" t="str">
        <f>"20200111155529921"</f>
        <v>20200111155529921</v>
      </c>
      <c r="B1624" t="str">
        <f>"1578729329913780"</f>
        <v>1578729329913780</v>
      </c>
      <c r="C1624" t="s">
        <v>37</v>
      </c>
      <c r="D1624">
        <v>4.812532</v>
      </c>
      <c r="E1624">
        <v>0.56377049999999995</v>
      </c>
      <c r="F1624" t="s">
        <v>38</v>
      </c>
      <c r="G1624">
        <v>-193.41820000000001</v>
      </c>
      <c r="H1624" s="1">
        <v>-4.7343169999999902E-6</v>
      </c>
      <c r="I1624">
        <v>309.11700000000002</v>
      </c>
      <c r="J1624">
        <v>-192.9513</v>
      </c>
      <c r="K1624">
        <v>1.10444599999999</v>
      </c>
      <c r="L1624">
        <v>342.60930000000002</v>
      </c>
      <c r="M1624">
        <v>0.1661242</v>
      </c>
      <c r="N1624">
        <v>0</v>
      </c>
      <c r="O1624">
        <v>-0.98604689999999995</v>
      </c>
      <c r="P1624">
        <v>0.1550542</v>
      </c>
      <c r="Q1624">
        <v>1.059947E-2</v>
      </c>
      <c r="R1624">
        <v>-0.98784930000000004</v>
      </c>
      <c r="S1624">
        <v>-3.9627080000000002E-2</v>
      </c>
      <c r="T1624">
        <v>-9.9871639999999998E-2</v>
      </c>
      <c r="U1624">
        <v>-3.0438839999999998</v>
      </c>
      <c r="V1624">
        <v>1.1222370000000001E-2</v>
      </c>
      <c r="W1624">
        <v>2.1313309999999999E-2</v>
      </c>
      <c r="X1624">
        <v>0.99970979999999998</v>
      </c>
      <c r="Y1624">
        <v>0.17894879999999999</v>
      </c>
      <c r="Z1624">
        <v>3.184323E-2</v>
      </c>
      <c r="AA1624">
        <v>0.98334290000000002</v>
      </c>
      <c r="AB1624">
        <v>18</v>
      </c>
      <c r="AC1624">
        <v>-0.46690000000000897</v>
      </c>
      <c r="AD1624">
        <v>-1.10445073431699</v>
      </c>
      <c r="AE1624">
        <v>-33.4923</v>
      </c>
      <c r="AF1624">
        <v>6.0180680627501202</v>
      </c>
      <c r="AG1624">
        <v>-1.10445073431699</v>
      </c>
      <c r="AH1624">
        <v>32.913513360046501</v>
      </c>
      <c r="AI1624">
        <v>91.890584403277998</v>
      </c>
      <c r="AJ1624">
        <v>79.638219664914402</v>
      </c>
      <c r="AK1624">
        <v>33.477400083256001</v>
      </c>
    </row>
    <row r="1625" spans="1:37" x14ac:dyDescent="0.2">
      <c r="A1625" t="str">
        <f>"20200111155529944"</f>
        <v>20200111155529944</v>
      </c>
      <c r="B1625" t="str">
        <f>"1578729329934276"</f>
        <v>1578729329934276</v>
      </c>
      <c r="C1625" t="s">
        <v>37</v>
      </c>
      <c r="D1625">
        <v>4.8059250000000002</v>
      </c>
      <c r="E1625">
        <v>0.56378409999999901</v>
      </c>
      <c r="F1625" t="s">
        <v>38</v>
      </c>
      <c r="G1625">
        <v>-193.3374</v>
      </c>
      <c r="H1625" s="1">
        <v>-1.4011869999999899E-6</v>
      </c>
      <c r="I1625">
        <v>310.6773</v>
      </c>
      <c r="J1625">
        <v>-192.9212</v>
      </c>
      <c r="K1625">
        <v>1.10436</v>
      </c>
      <c r="L1625">
        <v>342.42849999999999</v>
      </c>
      <c r="M1625">
        <v>0.1657911</v>
      </c>
      <c r="N1625">
        <v>0</v>
      </c>
      <c r="O1625">
        <v>-0.98610659999999895</v>
      </c>
      <c r="P1625">
        <v>0.155953799999999</v>
      </c>
      <c r="Q1625">
        <v>9.6579979999999992E-3</v>
      </c>
      <c r="R1625">
        <v>-0.98771739999999997</v>
      </c>
      <c r="S1625">
        <v>-3.6804199999999898E-2</v>
      </c>
      <c r="T1625">
        <v>-0.10527789999999999</v>
      </c>
      <c r="U1625">
        <v>-3.0438230000000002</v>
      </c>
      <c r="V1625">
        <v>9.9761899999999994E-3</v>
      </c>
      <c r="W1625">
        <v>2.000992E-2</v>
      </c>
      <c r="X1625">
        <v>0.99975000000000003</v>
      </c>
      <c r="Y1625">
        <v>0.17770339999999901</v>
      </c>
      <c r="Z1625">
        <v>3.3572669999999999E-2</v>
      </c>
      <c r="AA1625">
        <v>0.98351129999999998</v>
      </c>
      <c r="AB1625">
        <v>18</v>
      </c>
      <c r="AC1625">
        <v>-0.41620000000000301</v>
      </c>
      <c r="AD1625">
        <v>-1.104361401187</v>
      </c>
      <c r="AE1625">
        <v>-31.751199999999901</v>
      </c>
      <c r="AF1625">
        <v>5.6679320847483696</v>
      </c>
      <c r="AG1625">
        <v>-1.104361401187</v>
      </c>
      <c r="AH1625">
        <v>31.204994151862099</v>
      </c>
      <c r="AI1625">
        <v>91.994279176109004</v>
      </c>
      <c r="AJ1625">
        <v>79.705290489036599</v>
      </c>
      <c r="AK1625">
        <v>31.734787351414599</v>
      </c>
    </row>
    <row r="1626" spans="1:37" x14ac:dyDescent="0.2">
      <c r="A1626" t="str">
        <f>"20200111155529966"</f>
        <v>20200111155529966</v>
      </c>
      <c r="B1626" t="str">
        <f>"1578729329953796"</f>
        <v>1578729329953796</v>
      </c>
      <c r="C1626" t="s">
        <v>37</v>
      </c>
      <c r="D1626">
        <v>4.7435749999999999</v>
      </c>
      <c r="E1626">
        <v>0.56395669999999898</v>
      </c>
      <c r="F1626" t="s">
        <v>38</v>
      </c>
      <c r="G1626">
        <v>-193.26820000000001</v>
      </c>
      <c r="H1626" s="1">
        <v>-1.768934E-6</v>
      </c>
      <c r="I1626">
        <v>311.49419999999998</v>
      </c>
      <c r="J1626">
        <v>-192.8922</v>
      </c>
      <c r="K1626">
        <v>1.104271</v>
      </c>
      <c r="L1626">
        <v>342.25290000000001</v>
      </c>
      <c r="M1626">
        <v>0.16542299999999999</v>
      </c>
      <c r="N1626">
        <v>0</v>
      </c>
      <c r="O1626">
        <v>-0.98617219999999906</v>
      </c>
      <c r="P1626">
        <v>0.15604389999999899</v>
      </c>
      <c r="Q1626">
        <v>7.6557989999999996E-3</v>
      </c>
      <c r="R1626">
        <v>-0.98772090000000001</v>
      </c>
      <c r="S1626">
        <v>-3.4133910000000003E-2</v>
      </c>
      <c r="T1626">
        <v>-0.10866199999999999</v>
      </c>
      <c r="U1626">
        <v>-3.0437319999999999</v>
      </c>
      <c r="V1626">
        <v>9.5145319999999992E-3</v>
      </c>
      <c r="W1626">
        <v>1.7653329999999998E-2</v>
      </c>
      <c r="X1626">
        <v>0.99979889999999905</v>
      </c>
      <c r="Y1626">
        <v>0.1764725</v>
      </c>
      <c r="Z1626">
        <v>3.4658999999999898E-2</v>
      </c>
      <c r="AA1626">
        <v>0.98369519999999899</v>
      </c>
      <c r="AB1626">
        <v>18</v>
      </c>
      <c r="AC1626">
        <v>-0.376000000000004</v>
      </c>
      <c r="AD1626">
        <v>-1.1042727689339999</v>
      </c>
      <c r="AE1626">
        <v>-30.758700000000001</v>
      </c>
      <c r="AF1626">
        <v>5.4522428123486</v>
      </c>
      <c r="AG1626">
        <v>-1.1042727689339999</v>
      </c>
      <c r="AH1626">
        <v>30.233721564092299</v>
      </c>
      <c r="AI1626">
        <v>92.058595186155898</v>
      </c>
      <c r="AJ1626">
        <v>79.777353728498795</v>
      </c>
      <c r="AK1626">
        <v>30.7412473664956</v>
      </c>
    </row>
    <row r="1627" spans="1:37" x14ac:dyDescent="0.2">
      <c r="A1627" t="str">
        <f>"20200111155529988"</f>
        <v>20200111155529988</v>
      </c>
      <c r="B1627" t="str">
        <f>"1578729329984052"</f>
        <v>1578729329984052</v>
      </c>
      <c r="C1627" t="s">
        <v>37</v>
      </c>
      <c r="D1627">
        <v>4.8257339999999997</v>
      </c>
      <c r="E1627">
        <v>0.56416669999999902</v>
      </c>
      <c r="F1627" t="s">
        <v>38</v>
      </c>
      <c r="G1627">
        <v>-193.2312</v>
      </c>
      <c r="H1627" s="1">
        <v>-2.4405679999999999E-6</v>
      </c>
      <c r="I1627">
        <v>312.93579999999997</v>
      </c>
      <c r="J1627">
        <v>-192.8612</v>
      </c>
      <c r="K1627">
        <v>1.104177</v>
      </c>
      <c r="L1627">
        <v>342.0652</v>
      </c>
      <c r="M1627">
        <v>0.16497490000000001</v>
      </c>
      <c r="N1627">
        <v>0</v>
      </c>
      <c r="O1627">
        <v>-0.986251199999999</v>
      </c>
      <c r="P1627">
        <v>0.15582550000000001</v>
      </c>
      <c r="Q1627">
        <v>4.3974679999999999E-3</v>
      </c>
      <c r="R1627">
        <v>-0.98777479999999995</v>
      </c>
      <c r="S1627">
        <v>-3.5202030000000002E-2</v>
      </c>
      <c r="T1627">
        <v>-0.11464819999999901</v>
      </c>
      <c r="U1627">
        <v>-3.0437620000000001</v>
      </c>
      <c r="V1627">
        <v>9.2833599999999992E-3</v>
      </c>
      <c r="W1627">
        <v>1.399454E-2</v>
      </c>
      <c r="X1627">
        <v>0.99985900000000005</v>
      </c>
      <c r="Y1627">
        <v>0.17636879999999999</v>
      </c>
      <c r="Z1627">
        <v>3.6569890000000001E-2</v>
      </c>
      <c r="AA1627">
        <v>0.98364459999999998</v>
      </c>
      <c r="AB1627">
        <v>18</v>
      </c>
      <c r="AC1627">
        <v>-0.37000000000000399</v>
      </c>
      <c r="AD1627">
        <v>-1.1041794405679899</v>
      </c>
      <c r="AE1627">
        <v>-29.1294</v>
      </c>
      <c r="AF1627">
        <v>5.16335242837423</v>
      </c>
      <c r="AG1627">
        <v>-1.1041794405679899</v>
      </c>
      <c r="AH1627">
        <v>28.628053657639999</v>
      </c>
      <c r="AI1627">
        <v>92.173755784068902</v>
      </c>
      <c r="AJ1627">
        <v>79.776054830371393</v>
      </c>
      <c r="AK1627">
        <v>29.110906491576099</v>
      </c>
    </row>
    <row r="1628" spans="1:37" x14ac:dyDescent="0.2">
      <c r="A1628" t="str">
        <f>"20200111155530003"</f>
        <v>20200111155530003</v>
      </c>
      <c r="B1628" t="str">
        <f>"1578729329993813"</f>
        <v>1578729329993813</v>
      </c>
      <c r="C1628" t="s">
        <v>37</v>
      </c>
      <c r="D1628">
        <v>4.8210329999999999</v>
      </c>
      <c r="E1628">
        <v>0.56430689999999994</v>
      </c>
      <c r="F1628" t="s">
        <v>38</v>
      </c>
      <c r="G1628">
        <v>-193.19220000000001</v>
      </c>
      <c r="H1628" s="1">
        <v>-3.4246230000000002E-6</v>
      </c>
      <c r="I1628">
        <v>315.03960000000001</v>
      </c>
      <c r="J1628">
        <v>-192.84270000000001</v>
      </c>
      <c r="K1628">
        <v>1.1041209999999999</v>
      </c>
      <c r="L1628">
        <v>341.95260000000002</v>
      </c>
      <c r="M1628">
        <v>0.16468060000000001</v>
      </c>
      <c r="N1628">
        <v>0</v>
      </c>
      <c r="O1628">
        <v>-0.98630269999999998</v>
      </c>
      <c r="P1628">
        <v>0.15572269999999999</v>
      </c>
      <c r="Q1628">
        <v>4.8052640000000001E-3</v>
      </c>
      <c r="R1628">
        <v>-0.98778920000000003</v>
      </c>
      <c r="S1628">
        <v>-3.727722E-2</v>
      </c>
      <c r="T1628">
        <v>-0.1243509</v>
      </c>
      <c r="U1628">
        <v>-3.0435789999999998</v>
      </c>
      <c r="V1628">
        <v>9.0890529999999997E-3</v>
      </c>
      <c r="W1628">
        <v>1.4152359999999999E-2</v>
      </c>
      <c r="X1628">
        <v>0.99985859999999904</v>
      </c>
      <c r="Y1628">
        <v>0.17674429999999999</v>
      </c>
      <c r="Z1628">
        <v>3.9663749999999998E-2</v>
      </c>
      <c r="AA1628">
        <v>0.98345729999999998</v>
      </c>
      <c r="AB1628">
        <v>18</v>
      </c>
      <c r="AC1628">
        <v>-0.34950000000000597</v>
      </c>
      <c r="AD1628">
        <v>-1.104124424623</v>
      </c>
      <c r="AE1628">
        <v>-26.913</v>
      </c>
      <c r="AF1628">
        <v>4.7689449696098896</v>
      </c>
      <c r="AG1628">
        <v>-1.104124424623</v>
      </c>
      <c r="AH1628">
        <v>26.4434650225752</v>
      </c>
      <c r="AI1628">
        <v>92.353032316643393</v>
      </c>
      <c r="AJ1628">
        <v>79.776884369592096</v>
      </c>
      <c r="AK1628">
        <v>26.892727070127599</v>
      </c>
    </row>
    <row r="1629" spans="1:37" x14ac:dyDescent="0.2">
      <c r="A1629" t="str">
        <f>"20200111155530023"</f>
        <v>20200111155530023</v>
      </c>
      <c r="B1629" t="str">
        <f>"1578729330014309"</f>
        <v>1578729330014309</v>
      </c>
      <c r="C1629" t="s">
        <v>37</v>
      </c>
      <c r="D1629">
        <v>4.8423069999999999</v>
      </c>
      <c r="E1629">
        <v>0.56450269999999902</v>
      </c>
      <c r="F1629" t="s">
        <v>38</v>
      </c>
      <c r="G1629">
        <v>-193.1935</v>
      </c>
      <c r="H1629" s="1">
        <v>-3.1872740000000001E-6</v>
      </c>
      <c r="I1629">
        <v>314.5367</v>
      </c>
      <c r="J1629">
        <v>-192.8168</v>
      </c>
      <c r="K1629">
        <v>1.104055</v>
      </c>
      <c r="L1629">
        <v>341.7946</v>
      </c>
      <c r="M1629">
        <v>0.16423260000000001</v>
      </c>
      <c r="N1629">
        <v>0</v>
      </c>
      <c r="O1629">
        <v>-0.98638079999999995</v>
      </c>
      <c r="P1629">
        <v>0.154669</v>
      </c>
      <c r="Q1629">
        <v>5.4977369999999999E-3</v>
      </c>
      <c r="R1629">
        <v>-0.98795119999999903</v>
      </c>
      <c r="S1629">
        <v>-3.8955690000000001E-2</v>
      </c>
      <c r="T1629">
        <v>-0.1225841</v>
      </c>
      <c r="U1629">
        <v>-3.0438230000000002</v>
      </c>
      <c r="V1629">
        <v>9.7015169999999998E-3</v>
      </c>
      <c r="W1629">
        <v>1.448372E-2</v>
      </c>
      <c r="X1629">
        <v>0.99984810000000002</v>
      </c>
      <c r="Y1629">
        <v>0.1768382</v>
      </c>
      <c r="Z1629">
        <v>3.910201E-2</v>
      </c>
      <c r="AA1629">
        <v>0.98346290000000003</v>
      </c>
      <c r="AB1629">
        <v>18</v>
      </c>
      <c r="AC1629">
        <v>-0.37669999999999898</v>
      </c>
      <c r="AD1629">
        <v>-1.1040581872740001</v>
      </c>
      <c r="AE1629">
        <v>-27.257899999999999</v>
      </c>
      <c r="AF1629">
        <v>4.8404610790558404</v>
      </c>
      <c r="AG1629">
        <v>-1.1040581872740001</v>
      </c>
      <c r="AH1629">
        <v>26.7819537747902</v>
      </c>
      <c r="AI1629">
        <v>92.323028012384597</v>
      </c>
      <c r="AJ1629">
        <v>79.755189640168197</v>
      </c>
      <c r="AK1629">
        <v>27.238246197832598</v>
      </c>
    </row>
    <row r="1630" spans="1:37" x14ac:dyDescent="0.2">
      <c r="A1630" t="str">
        <f>"20200111155530037"</f>
        <v>20200111155530037</v>
      </c>
      <c r="B1630" t="str">
        <f>"1578729330033829"</f>
        <v>1578729330033829</v>
      </c>
      <c r="C1630" t="s">
        <v>37</v>
      </c>
      <c r="D1630">
        <v>4.7115809999999998</v>
      </c>
      <c r="E1630">
        <v>0.56458989999999998</v>
      </c>
      <c r="F1630" t="s">
        <v>38</v>
      </c>
      <c r="G1630">
        <v>-193.21599999999901</v>
      </c>
      <c r="H1630" s="1">
        <v>-2.8648059999999998E-6</v>
      </c>
      <c r="I1630">
        <v>313.84190000000001</v>
      </c>
      <c r="J1630">
        <v>-192.79640000000001</v>
      </c>
      <c r="K1630">
        <v>1.1039939999999999</v>
      </c>
      <c r="L1630">
        <v>341.6696</v>
      </c>
      <c r="M1630">
        <v>0.163854</v>
      </c>
      <c r="N1630">
        <v>0</v>
      </c>
      <c r="O1630">
        <v>-0.98644609999999899</v>
      </c>
      <c r="P1630">
        <v>0.1544808</v>
      </c>
      <c r="Q1630">
        <v>6.1119379999999999E-3</v>
      </c>
      <c r="R1630">
        <v>-0.98797710000000005</v>
      </c>
      <c r="S1630">
        <v>-4.3472289999999997E-2</v>
      </c>
      <c r="T1630">
        <v>-0.1202337</v>
      </c>
      <c r="U1630">
        <v>-3.044098</v>
      </c>
      <c r="V1630">
        <v>9.5084200000000001E-3</v>
      </c>
      <c r="W1630">
        <v>1.4813659999999999E-2</v>
      </c>
      <c r="X1630">
        <v>0.99984509999999904</v>
      </c>
      <c r="Y1630">
        <v>0.1779183</v>
      </c>
      <c r="Z1630">
        <v>3.834945E-2</v>
      </c>
      <c r="AA1630">
        <v>0.98329769999999905</v>
      </c>
      <c r="AB1630">
        <v>18</v>
      </c>
      <c r="AC1630">
        <v>-0.41959999999997399</v>
      </c>
      <c r="AD1630">
        <v>-1.1039968648059999</v>
      </c>
      <c r="AE1630">
        <v>-27.8277</v>
      </c>
      <c r="AF1630">
        <v>4.9659674133970597</v>
      </c>
      <c r="AG1630">
        <v>-1.1039968648059999</v>
      </c>
      <c r="AH1630">
        <v>27.339792290559</v>
      </c>
      <c r="AI1630">
        <v>92.275193232827405</v>
      </c>
      <c r="AJ1630">
        <v>79.705102067039505</v>
      </c>
      <c r="AK1630">
        <v>27.809061183710099</v>
      </c>
    </row>
    <row r="1631" spans="1:37" x14ac:dyDescent="0.2">
      <c r="A1631" t="str">
        <f>"20200111155530057"</f>
        <v>20200111155530057</v>
      </c>
      <c r="B1631" t="str">
        <f>"1578729330054325"</f>
        <v>1578729330054325</v>
      </c>
      <c r="C1631" t="s">
        <v>37</v>
      </c>
      <c r="D1631">
        <v>4.8068869999999997</v>
      </c>
      <c r="E1631">
        <v>0.56483649999999996</v>
      </c>
      <c r="F1631" t="s">
        <v>38</v>
      </c>
      <c r="G1631">
        <v>-193.2131</v>
      </c>
      <c r="H1631" s="1">
        <v>-2.5736459999999998E-6</v>
      </c>
      <c r="I1631">
        <v>313.2276</v>
      </c>
      <c r="J1631">
        <v>-192.7706</v>
      </c>
      <c r="K1631">
        <v>1.1039219999999901</v>
      </c>
      <c r="L1631">
        <v>341.51080000000002</v>
      </c>
      <c r="M1631">
        <v>0.1633424</v>
      </c>
      <c r="N1631">
        <v>0</v>
      </c>
      <c r="O1631">
        <v>-0.98653440000000003</v>
      </c>
      <c r="P1631">
        <v>0.1536431</v>
      </c>
      <c r="Q1631">
        <v>6.6067979999999997E-3</v>
      </c>
      <c r="R1631">
        <v>-0.98810489999999995</v>
      </c>
      <c r="S1631">
        <v>-4.4601439999999999E-2</v>
      </c>
      <c r="T1631">
        <v>-0.11816359999999999</v>
      </c>
      <c r="U1631">
        <v>-3.0442200000000001</v>
      </c>
      <c r="V1631">
        <v>9.8378019999999997E-3</v>
      </c>
      <c r="W1631">
        <v>1.49567E-2</v>
      </c>
      <c r="X1631">
        <v>0.999839699999999</v>
      </c>
      <c r="Y1631">
        <v>0.17777190000000001</v>
      </c>
      <c r="Z1631">
        <v>3.769401E-2</v>
      </c>
      <c r="AA1631">
        <v>0.98334959999999905</v>
      </c>
      <c r="AB1631">
        <v>18</v>
      </c>
      <c r="AC1631">
        <v>-0.44249999999999501</v>
      </c>
      <c r="AD1631">
        <v>-1.1039245736459999</v>
      </c>
      <c r="AE1631">
        <v>-28.283200000000001</v>
      </c>
      <c r="AF1631">
        <v>5.0488723356245302</v>
      </c>
      <c r="AG1631">
        <v>-1.1039245736459999</v>
      </c>
      <c r="AH1631">
        <v>27.788709121192099</v>
      </c>
      <c r="AI1631">
        <v>92.238310248132294</v>
      </c>
      <c r="AJ1631">
        <v>79.702379165229999</v>
      </c>
      <c r="AK1631">
        <v>28.265210346784301</v>
      </c>
    </row>
    <row r="1632" spans="1:37" x14ac:dyDescent="0.2">
      <c r="A1632" t="str">
        <f>"20200111155530078"</f>
        <v>20200111155530078</v>
      </c>
      <c r="B1632" t="str">
        <f>"1578729330073844"</f>
        <v>1578729330073844</v>
      </c>
      <c r="C1632" t="s">
        <v>37</v>
      </c>
      <c r="D1632">
        <v>4.7992669999999897</v>
      </c>
      <c r="E1632">
        <v>0.56504639999999995</v>
      </c>
      <c r="F1632" t="s">
        <v>38</v>
      </c>
      <c r="G1632">
        <v>-193.23570000000001</v>
      </c>
      <c r="H1632" s="1">
        <v>-2.2696319999999999E-6</v>
      </c>
      <c r="I1632">
        <v>312.57170000000002</v>
      </c>
      <c r="J1632">
        <v>-192.74160000000001</v>
      </c>
      <c r="K1632">
        <v>1.103844</v>
      </c>
      <c r="L1632">
        <v>341.33159999999998</v>
      </c>
      <c r="M1632">
        <v>0.1627295</v>
      </c>
      <c r="N1632">
        <v>0</v>
      </c>
      <c r="O1632">
        <v>-0.98663880000000004</v>
      </c>
      <c r="P1632">
        <v>0.15222910000000001</v>
      </c>
      <c r="Q1632">
        <v>9.0174909999999903E-3</v>
      </c>
      <c r="R1632">
        <v>-0.98830429999999903</v>
      </c>
      <c r="S1632">
        <v>-4.8934940000000003E-2</v>
      </c>
      <c r="T1632">
        <v>-0.1161364</v>
      </c>
      <c r="U1632">
        <v>-3.044495</v>
      </c>
      <c r="V1632">
        <v>1.064653E-2</v>
      </c>
      <c r="W1632">
        <v>1.6970120000000002E-2</v>
      </c>
      <c r="X1632">
        <v>0.99979929999999995</v>
      </c>
      <c r="Y1632">
        <v>0.17855839999999901</v>
      </c>
      <c r="Z1632">
        <v>3.7047610000000002E-2</v>
      </c>
      <c r="AA1632">
        <v>0.98323159999999898</v>
      </c>
      <c r="AB1632">
        <v>19</v>
      </c>
      <c r="AC1632">
        <v>-0.49410000000000298</v>
      </c>
      <c r="AD1632">
        <v>-1.1038462696319999</v>
      </c>
      <c r="AE1632">
        <v>-28.759899999999899</v>
      </c>
      <c r="AF1632">
        <v>5.1601457875244199</v>
      </c>
      <c r="AG1632">
        <v>-1.1038462696319999</v>
      </c>
      <c r="AH1632">
        <v>28.2545093374051</v>
      </c>
      <c r="AI1632">
        <v>92.200924778762598</v>
      </c>
      <c r="AJ1632">
        <v>79.650086093646806</v>
      </c>
      <c r="AK1632">
        <v>28.743049229909499</v>
      </c>
    </row>
    <row r="1633" spans="1:37" x14ac:dyDescent="0.2">
      <c r="A1633" t="str">
        <f>"20200111155530101"</f>
        <v>20200111155530101</v>
      </c>
      <c r="B1633" t="str">
        <f>"1578729330093872"</f>
        <v>1578729330093872</v>
      </c>
      <c r="C1633" t="s">
        <v>37</v>
      </c>
      <c r="D1633">
        <v>4.8113510000000002</v>
      </c>
      <c r="E1633">
        <v>0.56522139999999998</v>
      </c>
      <c r="F1633" t="s">
        <v>38</v>
      </c>
      <c r="G1633">
        <v>-193.2963</v>
      </c>
      <c r="H1633" s="1">
        <v>-1.272766E-6</v>
      </c>
      <c r="I1633">
        <v>310.42869999999999</v>
      </c>
      <c r="J1633">
        <v>-192.71109999999999</v>
      </c>
      <c r="K1633">
        <v>1.103761</v>
      </c>
      <c r="L1633">
        <v>341.14179999999999</v>
      </c>
      <c r="M1633">
        <v>0.16203970000000001</v>
      </c>
      <c r="N1633">
        <v>0</v>
      </c>
      <c r="O1633">
        <v>-0.98675550000000001</v>
      </c>
      <c r="P1633">
        <v>0.15092739999999999</v>
      </c>
      <c r="Q1633">
        <v>1.018441E-2</v>
      </c>
      <c r="R1633">
        <v>-0.988492499999999</v>
      </c>
      <c r="S1633">
        <v>-5.4656980000000001E-2</v>
      </c>
      <c r="T1633">
        <v>-0.1087653</v>
      </c>
      <c r="U1633">
        <v>-3.0449519999999999</v>
      </c>
      <c r="V1633">
        <v>1.126399E-2</v>
      </c>
      <c r="W1633">
        <v>1.7707199999999999E-2</v>
      </c>
      <c r="X1633">
        <v>0.9997798</v>
      </c>
      <c r="Y1633">
        <v>0.179716299999999</v>
      </c>
      <c r="Z1633">
        <v>3.4695810000000001E-2</v>
      </c>
      <c r="AA1633">
        <v>0.98310640000000005</v>
      </c>
      <c r="AB1633">
        <v>19</v>
      </c>
      <c r="AC1633">
        <v>-0.58520000000001404</v>
      </c>
      <c r="AD1633">
        <v>-1.1037622727659999</v>
      </c>
      <c r="AE1633">
        <v>-30.713100000000001</v>
      </c>
      <c r="AF1633">
        <v>5.5471866029348602</v>
      </c>
      <c r="AG1633">
        <v>-1.1037622727659999</v>
      </c>
      <c r="AH1633">
        <v>30.173395892422398</v>
      </c>
      <c r="AI1633">
        <v>92.060481713064405</v>
      </c>
      <c r="AJ1633">
        <v>79.582857712223301</v>
      </c>
      <c r="AK1633">
        <v>30.698915128118401</v>
      </c>
    </row>
    <row r="1634" spans="1:37" x14ac:dyDescent="0.2">
      <c r="A1634" t="str">
        <f>"20200111155530125"</f>
        <v>20200111155530125</v>
      </c>
      <c r="B1634" t="str">
        <f>"1578729330114368"</f>
        <v>1578729330114368</v>
      </c>
      <c r="C1634" t="s">
        <v>37</v>
      </c>
      <c r="D1634">
        <v>4.8957730000000002</v>
      </c>
      <c r="E1634">
        <v>0.56532959999999999</v>
      </c>
      <c r="F1634" t="s">
        <v>38</v>
      </c>
      <c r="G1634">
        <v>-193.3425</v>
      </c>
      <c r="H1634" s="1">
        <v>-4.694466E-6</v>
      </c>
      <c r="I1634">
        <v>309.03949999999998</v>
      </c>
      <c r="J1634">
        <v>-192.67920000000001</v>
      </c>
      <c r="K1634">
        <v>1.10368</v>
      </c>
      <c r="L1634">
        <v>340.94220000000001</v>
      </c>
      <c r="M1634">
        <v>0.16128390000000001</v>
      </c>
      <c r="N1634">
        <v>0</v>
      </c>
      <c r="O1634">
        <v>-0.98688259999999906</v>
      </c>
      <c r="P1634">
        <v>0.14900820000000001</v>
      </c>
      <c r="Q1634">
        <v>9.4578030000000007E-3</v>
      </c>
      <c r="R1634">
        <v>-0.98879099999999998</v>
      </c>
      <c r="S1634">
        <v>-5.989075E-2</v>
      </c>
      <c r="T1634">
        <v>-0.1046989</v>
      </c>
      <c r="U1634">
        <v>-3.045105</v>
      </c>
      <c r="V1634">
        <v>1.243962E-2</v>
      </c>
      <c r="W1634">
        <v>1.6537690000000001E-2</v>
      </c>
      <c r="X1634">
        <v>0.99978579999999995</v>
      </c>
      <c r="Y1634">
        <v>0.18065149999999999</v>
      </c>
      <c r="Z1634">
        <v>3.3401399999999998E-2</v>
      </c>
      <c r="AA1634">
        <v>0.98297979999999996</v>
      </c>
      <c r="AB1634">
        <v>19</v>
      </c>
      <c r="AC1634">
        <v>-0.66329999999999201</v>
      </c>
      <c r="AD1634">
        <v>-1.1036846944659999</v>
      </c>
      <c r="AE1634">
        <v>-31.902699999999999</v>
      </c>
      <c r="AF1634">
        <v>5.79320626876269</v>
      </c>
      <c r="AG1634">
        <v>-1.1036846944659999</v>
      </c>
      <c r="AH1634">
        <v>31.340534780370302</v>
      </c>
      <c r="AI1634">
        <v>91.983316840175505</v>
      </c>
      <c r="AJ1634">
        <v>79.527253938896905</v>
      </c>
      <c r="AK1634">
        <v>31.8905703789824</v>
      </c>
    </row>
    <row r="1635" spans="1:37" x14ac:dyDescent="0.2">
      <c r="A1635" t="str">
        <f>"20200111155530145"</f>
        <v>20200111155530145</v>
      </c>
      <c r="B1635" t="str">
        <f>"1578729330133888"</f>
        <v>1578729330133888</v>
      </c>
      <c r="C1635" t="s">
        <v>37</v>
      </c>
      <c r="D1635">
        <v>4.908982</v>
      </c>
      <c r="E1635">
        <v>0.56549300000000002</v>
      </c>
      <c r="F1635" t="s">
        <v>38</v>
      </c>
      <c r="G1635">
        <v>-193.36969999999999</v>
      </c>
      <c r="H1635" s="1">
        <v>-4.7936299999999997E-6</v>
      </c>
      <c r="I1635">
        <v>309.31670000000003</v>
      </c>
      <c r="J1635">
        <v>-192.6514</v>
      </c>
      <c r="K1635">
        <v>1.1036159999999999</v>
      </c>
      <c r="L1635">
        <v>340.76760000000002</v>
      </c>
      <c r="M1635">
        <v>0.160603</v>
      </c>
      <c r="N1635">
        <v>0</v>
      </c>
      <c r="O1635">
        <v>-0.98699619999999999</v>
      </c>
      <c r="P1635">
        <v>0.1470812</v>
      </c>
      <c r="Q1635">
        <v>8.4242220000000003E-3</v>
      </c>
      <c r="R1635">
        <v>-0.98908869999999904</v>
      </c>
      <c r="S1635">
        <v>-6.6482540000000007E-2</v>
      </c>
      <c r="T1635">
        <v>-0.1062665</v>
      </c>
      <c r="U1635">
        <v>-3.045013</v>
      </c>
      <c r="V1635">
        <v>1.3698419999999999E-2</v>
      </c>
      <c r="W1635">
        <v>1.513167E-2</v>
      </c>
      <c r="X1635">
        <v>0.99979169999999995</v>
      </c>
      <c r="Y1635">
        <v>0.1820996</v>
      </c>
      <c r="Z1635">
        <v>3.3902269999999998E-2</v>
      </c>
      <c r="AA1635">
        <v>0.98269549999999894</v>
      </c>
      <c r="AB1635">
        <v>19</v>
      </c>
      <c r="AC1635">
        <v>-0.71829999999999905</v>
      </c>
      <c r="AD1635">
        <v>-1.10362079363</v>
      </c>
      <c r="AE1635">
        <v>-31.450899999999901</v>
      </c>
      <c r="AF1635">
        <v>5.7531181009055796</v>
      </c>
      <c r="AG1635">
        <v>-1.10362079363</v>
      </c>
      <c r="AH1635">
        <v>30.889241324194</v>
      </c>
      <c r="AI1635">
        <v>92.011647309139093</v>
      </c>
      <c r="AJ1635">
        <v>79.449553264876201</v>
      </c>
      <c r="AK1635">
        <v>31.439808783187502</v>
      </c>
    </row>
    <row r="1636" spans="1:37" x14ac:dyDescent="0.2">
      <c r="A1636" t="str">
        <f>"20200111155530169"</f>
        <v>20200111155530169</v>
      </c>
      <c r="B1636" t="str">
        <f>"1578729330164145"</f>
        <v>1578729330164145</v>
      </c>
      <c r="C1636" t="s">
        <v>37</v>
      </c>
      <c r="D1636">
        <v>5.0315510000000003</v>
      </c>
      <c r="E1636">
        <v>0.56570209999999999</v>
      </c>
      <c r="F1636" t="s">
        <v>38</v>
      </c>
      <c r="G1636">
        <v>-193.39830000000001</v>
      </c>
      <c r="H1636" s="1">
        <v>-1.091093E-6</v>
      </c>
      <c r="I1636">
        <v>309.98700000000002</v>
      </c>
      <c r="J1636">
        <v>-192.62010000000001</v>
      </c>
      <c r="K1636">
        <v>1.1035539999999999</v>
      </c>
      <c r="L1636">
        <v>340.56950000000001</v>
      </c>
      <c r="M1636">
        <v>0.1598088</v>
      </c>
      <c r="N1636">
        <v>0</v>
      </c>
      <c r="O1636">
        <v>-0.98712809999999995</v>
      </c>
      <c r="P1636">
        <v>0.14489730000000001</v>
      </c>
      <c r="Q1636">
        <v>8.281086E-3</v>
      </c>
      <c r="R1636">
        <v>-0.98941229999999902</v>
      </c>
      <c r="S1636">
        <v>-7.388306E-2</v>
      </c>
      <c r="T1636">
        <v>-0.1091768</v>
      </c>
      <c r="U1636">
        <v>-3.045013</v>
      </c>
      <c r="V1636">
        <v>1.510091E-2</v>
      </c>
      <c r="W1636">
        <v>1.456812E-2</v>
      </c>
      <c r="X1636">
        <v>0.9997798</v>
      </c>
      <c r="Y1636">
        <v>0.18369389999999999</v>
      </c>
      <c r="Z1636">
        <v>3.4830170000000001E-2</v>
      </c>
      <c r="AA1636">
        <v>0.98236619999999997</v>
      </c>
      <c r="AB1636">
        <v>19</v>
      </c>
      <c r="AC1636">
        <v>-0.778199999999998</v>
      </c>
      <c r="AD1636">
        <v>-1.1035550910930001</v>
      </c>
      <c r="AE1636">
        <v>-30.5824999999999</v>
      </c>
      <c r="AF1636">
        <v>5.6482968895333201</v>
      </c>
      <c r="AG1636">
        <v>-1.1035550910930001</v>
      </c>
      <c r="AH1636">
        <v>30.026000765098701</v>
      </c>
      <c r="AI1636">
        <v>92.068612333886506</v>
      </c>
      <c r="AJ1636">
        <v>79.346389881901999</v>
      </c>
      <c r="AK1636">
        <v>30.572566355101699</v>
      </c>
    </row>
    <row r="1637" spans="1:37" x14ac:dyDescent="0.2">
      <c r="A1637" t="str">
        <f>"20200111155530190"</f>
        <v>20200111155530190</v>
      </c>
      <c r="B1637" t="str">
        <f>"1578729330183664"</f>
        <v>1578729330183664</v>
      </c>
      <c r="C1637" t="s">
        <v>37</v>
      </c>
      <c r="D1637">
        <v>4.9242010000000001</v>
      </c>
      <c r="E1637">
        <v>0.56483319999999904</v>
      </c>
      <c r="F1637" t="s">
        <v>38</v>
      </c>
      <c r="G1637">
        <v>-193.4562</v>
      </c>
      <c r="H1637" s="1">
        <v>-4.9002220000000003E-6</v>
      </c>
      <c r="I1637">
        <v>309.58479999999997</v>
      </c>
      <c r="J1637">
        <v>-192.59020000000001</v>
      </c>
      <c r="K1637">
        <v>1.1034930000000001</v>
      </c>
      <c r="L1637">
        <v>340.37950000000001</v>
      </c>
      <c r="M1637">
        <v>0.15902729999999901</v>
      </c>
      <c r="N1637">
        <v>0</v>
      </c>
      <c r="O1637">
        <v>-0.98725669999999899</v>
      </c>
      <c r="P1637">
        <v>0.14249679999999901</v>
      </c>
      <c r="Q1637">
        <v>9.4632520000000001E-3</v>
      </c>
      <c r="R1637">
        <v>-0.98975040000000003</v>
      </c>
      <c r="S1637">
        <v>-8.2168580000000005E-2</v>
      </c>
      <c r="T1637">
        <v>-0.1084529</v>
      </c>
      <c r="U1637">
        <v>-3.0450439999999999</v>
      </c>
      <c r="V1637">
        <v>1.6733930000000001E-2</v>
      </c>
      <c r="W1637">
        <v>1.533908E-2</v>
      </c>
      <c r="X1637">
        <v>0.99974229999999997</v>
      </c>
      <c r="Y1637">
        <v>0.18558620000000001</v>
      </c>
      <c r="Z1637">
        <v>3.4598360000000002E-2</v>
      </c>
      <c r="AA1637">
        <v>0.98201870000000002</v>
      </c>
      <c r="AB1637">
        <v>19</v>
      </c>
      <c r="AC1637">
        <v>-0.865999999999985</v>
      </c>
      <c r="AD1637">
        <v>-1.103497900222</v>
      </c>
      <c r="AE1637">
        <v>-30.794699999999999</v>
      </c>
      <c r="AF1637">
        <v>5.7448905475585397</v>
      </c>
      <c r="AG1637">
        <v>-1.103497900222</v>
      </c>
      <c r="AH1637">
        <v>30.2262965087269</v>
      </c>
      <c r="AI1637">
        <v>92.054079560930603</v>
      </c>
      <c r="AJ1637">
        <v>79.238567463817901</v>
      </c>
      <c r="AK1637">
        <v>30.787180378409101</v>
      </c>
    </row>
    <row r="1638" spans="1:37" x14ac:dyDescent="0.2">
      <c r="A1638" t="str">
        <f>"20200111155530212"</f>
        <v>20200111155530212</v>
      </c>
      <c r="B1638" t="str">
        <f>"1578729330204161"</f>
        <v>1578729330204161</v>
      </c>
      <c r="C1638" t="s">
        <v>37</v>
      </c>
      <c r="D1638">
        <v>4.8950820000000004</v>
      </c>
      <c r="E1638">
        <v>0.56396859999999904</v>
      </c>
      <c r="F1638" t="s">
        <v>38</v>
      </c>
      <c r="G1638">
        <v>-193.4606</v>
      </c>
      <c r="H1638" s="1">
        <v>-4.46084099999999E-6</v>
      </c>
      <c r="I1638">
        <v>308.29140000000001</v>
      </c>
      <c r="J1638">
        <v>-192.56</v>
      </c>
      <c r="K1638">
        <v>1.1034269999999999</v>
      </c>
      <c r="L1638">
        <v>340.18549999999999</v>
      </c>
      <c r="M1638">
        <v>0.158213299999999</v>
      </c>
      <c r="N1638">
        <v>0</v>
      </c>
      <c r="O1638">
        <v>-0.98738999999999999</v>
      </c>
      <c r="P1638">
        <v>0.14089099999999999</v>
      </c>
      <c r="Q1638">
        <v>1.0431350000000001E-2</v>
      </c>
      <c r="R1638">
        <v>-0.98997069999999998</v>
      </c>
      <c r="S1638">
        <v>-8.2565310000000003E-2</v>
      </c>
      <c r="T1638">
        <v>-0.10468089999999999</v>
      </c>
      <c r="U1638">
        <v>-3.0439759999999998</v>
      </c>
      <c r="V1638">
        <v>1.7530770000000001E-2</v>
      </c>
      <c r="W1638">
        <v>1.5886899999999999E-2</v>
      </c>
      <c r="X1638">
        <v>0.999720099999999</v>
      </c>
      <c r="Y1638">
        <v>0.184914</v>
      </c>
      <c r="Z1638">
        <v>3.3417019999999999E-2</v>
      </c>
      <c r="AA1638">
        <v>0.98218639999999902</v>
      </c>
      <c r="AB1638">
        <v>20</v>
      </c>
      <c r="AC1638">
        <v>-0.90059999999999696</v>
      </c>
      <c r="AD1638">
        <v>-1.1034314608409901</v>
      </c>
      <c r="AE1638">
        <v>-31.894099999999899</v>
      </c>
      <c r="AF1638">
        <v>5.9283117691918896</v>
      </c>
      <c r="AG1638">
        <v>-1.1034314608409901</v>
      </c>
      <c r="AH1638">
        <v>31.3124424844065</v>
      </c>
      <c r="AI1638">
        <v>91.983034222288893</v>
      </c>
      <c r="AJ1638">
        <v>79.279216997490593</v>
      </c>
      <c r="AK1638">
        <v>31.887795404523899</v>
      </c>
    </row>
    <row r="1639" spans="1:37" x14ac:dyDescent="0.2">
      <c r="A1639" t="str">
        <f>"20200111155530235"</f>
        <v>20200111155530235</v>
      </c>
      <c r="B1639" t="str">
        <f>"1578729330223680"</f>
        <v>1578729330223680</v>
      </c>
      <c r="C1639" t="s">
        <v>37</v>
      </c>
      <c r="D1639">
        <v>4.9150989999999997</v>
      </c>
      <c r="E1639">
        <v>0.56315660000000001</v>
      </c>
      <c r="F1639" t="s">
        <v>38</v>
      </c>
      <c r="G1639">
        <v>-193.4203</v>
      </c>
      <c r="H1639" s="1">
        <v>-4.2358850000000002E-6</v>
      </c>
      <c r="I1639">
        <v>307.65129999999999</v>
      </c>
      <c r="J1639">
        <v>-192.52959999999999</v>
      </c>
      <c r="K1639">
        <v>1.1033629999999901</v>
      </c>
      <c r="L1639">
        <v>339.9905</v>
      </c>
      <c r="M1639">
        <v>0.15738070000000001</v>
      </c>
      <c r="N1639">
        <v>0</v>
      </c>
      <c r="O1639">
        <v>-0.98752499999999999</v>
      </c>
      <c r="P1639">
        <v>0.14036679999999899</v>
      </c>
      <c r="Q1639">
        <v>1.119797E-2</v>
      </c>
      <c r="R1639">
        <v>-0.99003629999999998</v>
      </c>
      <c r="S1639">
        <v>-8.0474850000000001E-2</v>
      </c>
      <c r="T1639">
        <v>-0.1032052</v>
      </c>
      <c r="U1639">
        <v>-3.0429689999999998</v>
      </c>
      <c r="V1639">
        <v>1.721638E-2</v>
      </c>
      <c r="W1639">
        <v>1.6242090000000001E-2</v>
      </c>
      <c r="X1639">
        <v>0.99971989999999999</v>
      </c>
      <c r="Y1639">
        <v>0.1834199</v>
      </c>
      <c r="Z1639">
        <v>3.2969199999999997E-2</v>
      </c>
      <c r="AA1639">
        <v>0.98248169999999901</v>
      </c>
      <c r="AB1639">
        <v>20</v>
      </c>
      <c r="AC1639">
        <v>-0.89070000000000904</v>
      </c>
      <c r="AD1639">
        <v>-1.103367235885</v>
      </c>
      <c r="AE1639">
        <v>-32.339199999999998</v>
      </c>
      <c r="AF1639">
        <v>5.9622958161054802</v>
      </c>
      <c r="AG1639">
        <v>-1.103367235885</v>
      </c>
      <c r="AH1639">
        <v>31.759055951387101</v>
      </c>
      <c r="AI1639">
        <v>91.9556222080802</v>
      </c>
      <c r="AJ1639">
        <v>79.367321591695003</v>
      </c>
      <c r="AK1639">
        <v>32.332708293294999</v>
      </c>
    </row>
    <row r="1640" spans="1:37" x14ac:dyDescent="0.2">
      <c r="A1640" t="str">
        <f>"20200111155530257"</f>
        <v>20200111155530257</v>
      </c>
      <c r="B1640" t="str">
        <f>"1578729330253937"</f>
        <v>1578729330253937</v>
      </c>
      <c r="C1640" t="s">
        <v>37</v>
      </c>
      <c r="D1640">
        <v>4.9758459999999998</v>
      </c>
      <c r="E1640">
        <v>0.56189549999999999</v>
      </c>
      <c r="F1640" t="s">
        <v>38</v>
      </c>
      <c r="G1640">
        <v>-193.3468</v>
      </c>
      <c r="H1640" s="1">
        <v>-4.0350329999999998E-6</v>
      </c>
      <c r="I1640">
        <v>307.0994</v>
      </c>
      <c r="J1640">
        <v>-192.4984</v>
      </c>
      <c r="K1640">
        <v>1.1032999999999999</v>
      </c>
      <c r="L1640">
        <v>339.78820000000002</v>
      </c>
      <c r="M1640">
        <v>0.15650459999999999</v>
      </c>
      <c r="N1640">
        <v>0</v>
      </c>
      <c r="O1640">
        <v>-0.98766620000000005</v>
      </c>
      <c r="P1640">
        <v>0.13942289999999999</v>
      </c>
      <c r="Q1640">
        <v>1.0649469999999999E-2</v>
      </c>
      <c r="R1640">
        <v>-0.99017559999999905</v>
      </c>
      <c r="S1640">
        <v>-7.5576779999999996E-2</v>
      </c>
      <c r="T1640">
        <v>-0.1020489</v>
      </c>
      <c r="U1640">
        <v>-3.0420529999999899</v>
      </c>
      <c r="V1640">
        <v>1.7282619999999999E-2</v>
      </c>
      <c r="W1640">
        <v>1.528758E-2</v>
      </c>
      <c r="X1640">
        <v>0.99973369999999995</v>
      </c>
      <c r="Y1640">
        <v>0.1809742</v>
      </c>
      <c r="Z1640">
        <v>3.2625319999999999E-2</v>
      </c>
      <c r="AA1640">
        <v>0.9829466</v>
      </c>
      <c r="AB1640">
        <v>20</v>
      </c>
      <c r="AC1640">
        <v>-0.84839999999999705</v>
      </c>
      <c r="AD1640">
        <v>-1.1033040350329999</v>
      </c>
      <c r="AE1640">
        <v>-32.688800000000001</v>
      </c>
      <c r="AF1640">
        <v>5.9471780864510597</v>
      </c>
      <c r="AG1640">
        <v>-1.1033040350329999</v>
      </c>
      <c r="AH1640">
        <v>32.116632641394403</v>
      </c>
      <c r="AI1640">
        <v>91.934646708231099</v>
      </c>
      <c r="AJ1640">
        <v>79.509120605808704</v>
      </c>
      <c r="AK1640">
        <v>32.681253023835602</v>
      </c>
    </row>
    <row r="1641" spans="1:37" x14ac:dyDescent="0.2">
      <c r="A1641" t="str">
        <f>"20200111155530273"</f>
        <v>20200111155530273</v>
      </c>
      <c r="B1641" t="str">
        <f>"1578729330263697"</f>
        <v>1578729330263697</v>
      </c>
      <c r="C1641" t="s">
        <v>37</v>
      </c>
      <c r="D1641">
        <v>4.8770910000000001</v>
      </c>
      <c r="E1641">
        <v>0.56148430000000005</v>
      </c>
      <c r="F1641" t="s">
        <v>38</v>
      </c>
      <c r="G1641">
        <v>-193.22020000000001</v>
      </c>
      <c r="H1641" s="1">
        <v>-4.2573970000000002E-6</v>
      </c>
      <c r="I1641">
        <v>307.81880000000001</v>
      </c>
      <c r="J1641">
        <v>-192.4761</v>
      </c>
      <c r="K1641">
        <v>1.1032580000000001</v>
      </c>
      <c r="L1641">
        <v>339.6431</v>
      </c>
      <c r="M1641">
        <v>0.1558696</v>
      </c>
      <c r="N1641">
        <v>0</v>
      </c>
      <c r="O1641">
        <v>-0.98776810000000004</v>
      </c>
      <c r="P1641">
        <v>0.13856559999999901</v>
      </c>
      <c r="Q1641">
        <v>1.0402E-2</v>
      </c>
      <c r="R1641">
        <v>-0.99029909999999999</v>
      </c>
      <c r="S1641">
        <v>-6.8649290000000002E-2</v>
      </c>
      <c r="T1641">
        <v>-0.10493469999999901</v>
      </c>
      <c r="U1641">
        <v>-3.0405880000000001</v>
      </c>
      <c r="V1641">
        <v>1.7505429999999999E-2</v>
      </c>
      <c r="W1641">
        <v>1.4772179999999999E-2</v>
      </c>
      <c r="X1641">
        <v>0.9997376</v>
      </c>
      <c r="Y1641">
        <v>0.17811379999999999</v>
      </c>
      <c r="Z1641">
        <v>3.3578139999999999E-2</v>
      </c>
      <c r="AA1641">
        <v>0.9834368</v>
      </c>
      <c r="AB1641">
        <v>20</v>
      </c>
      <c r="AC1641">
        <v>-0.74410000000000298</v>
      </c>
      <c r="AD1641">
        <v>-1.1032622573969999</v>
      </c>
      <c r="AE1641">
        <v>-31.824299999999901</v>
      </c>
      <c r="AF1641">
        <v>5.6886598147767904</v>
      </c>
      <c r="AG1641">
        <v>-1.1032622573969999</v>
      </c>
      <c r="AH1641">
        <v>31.281766393661801</v>
      </c>
      <c r="AI1641">
        <v>91.987334562436601</v>
      </c>
      <c r="AJ1641">
        <v>79.693263666273594</v>
      </c>
      <c r="AK1641">
        <v>31.813942647909599</v>
      </c>
    </row>
    <row r="1642" spans="1:37" x14ac:dyDescent="0.2">
      <c r="A1642" t="str">
        <f>"20200111155530292"</f>
        <v>20200111155530292</v>
      </c>
      <c r="B1642" t="str">
        <f>"1578729330284193"</f>
        <v>1578729330284193</v>
      </c>
      <c r="C1642" t="s">
        <v>37</v>
      </c>
      <c r="D1642">
        <v>4.8697929999999996</v>
      </c>
      <c r="E1642">
        <v>0.56069650000000004</v>
      </c>
      <c r="F1642" t="s">
        <v>38</v>
      </c>
      <c r="G1642">
        <v>-193.179</v>
      </c>
      <c r="H1642" s="1">
        <v>-4.3526179999999997E-6</v>
      </c>
      <c r="I1642">
        <v>308.12009999999998</v>
      </c>
      <c r="J1642">
        <v>-192.45140000000001</v>
      </c>
      <c r="K1642">
        <v>1.1032150000000001</v>
      </c>
      <c r="L1642">
        <v>339.48180000000002</v>
      </c>
      <c r="M1642">
        <v>0.15515909999999999</v>
      </c>
      <c r="N1642">
        <v>0</v>
      </c>
      <c r="O1642">
        <v>-0.98788120000000001</v>
      </c>
      <c r="P1642">
        <v>0.13756840000000001</v>
      </c>
      <c r="Q1642">
        <v>1.0417839999999999E-2</v>
      </c>
      <c r="R1642">
        <v>-0.99043780000000003</v>
      </c>
      <c r="S1642">
        <v>-6.7779539999999999E-2</v>
      </c>
      <c r="T1642">
        <v>-0.10639410000000001</v>
      </c>
      <c r="U1642">
        <v>-3.0399479999999999</v>
      </c>
      <c r="V1642">
        <v>1.7792800000000001E-2</v>
      </c>
      <c r="W1642">
        <v>1.450852E-2</v>
      </c>
      <c r="X1642">
        <v>0.99973639999999997</v>
      </c>
      <c r="Y1642">
        <v>0.177128799999999</v>
      </c>
      <c r="Z1642">
        <v>3.4060819999999999E-2</v>
      </c>
      <c r="AA1642">
        <v>0.98359810000000003</v>
      </c>
      <c r="AB1642">
        <v>20</v>
      </c>
      <c r="AC1642">
        <v>-0.72759999999999503</v>
      </c>
      <c r="AD1642">
        <v>-1.1032193526180001</v>
      </c>
      <c r="AE1642">
        <v>-31.361699999999999</v>
      </c>
      <c r="AF1642">
        <v>5.5779825594834804</v>
      </c>
      <c r="AG1642">
        <v>-1.1032193526180001</v>
      </c>
      <c r="AH1642">
        <v>30.830862162983198</v>
      </c>
      <c r="AI1642">
        <v>92.016626471721906</v>
      </c>
      <c r="AJ1642">
        <v>79.7448633109247</v>
      </c>
      <c r="AK1642">
        <v>31.350806115421701</v>
      </c>
    </row>
    <row r="1643" spans="1:37" x14ac:dyDescent="0.2">
      <c r="A1643" t="str">
        <f>"20200111155530312"</f>
        <v>20200111155530312</v>
      </c>
      <c r="B1643" t="str">
        <f>"1578729330303712"</f>
        <v>1578729330303712</v>
      </c>
      <c r="C1643" t="s">
        <v>37</v>
      </c>
      <c r="D1643">
        <v>4.8795760000000001</v>
      </c>
      <c r="E1643">
        <v>0.55993269999999995</v>
      </c>
      <c r="F1643" t="s">
        <v>38</v>
      </c>
      <c r="G1643">
        <v>-193.1113</v>
      </c>
      <c r="H1643" s="1">
        <v>-4.4075699999999902E-6</v>
      </c>
      <c r="I1643">
        <v>308.31689999999998</v>
      </c>
      <c r="J1643">
        <v>-192.42230000000001</v>
      </c>
      <c r="K1643">
        <v>1.1031709999999999</v>
      </c>
      <c r="L1643">
        <v>339.2903</v>
      </c>
      <c r="M1643">
        <v>0.15431120000000001</v>
      </c>
      <c r="N1643">
        <v>0</v>
      </c>
      <c r="O1643">
        <v>-0.98801510000000003</v>
      </c>
      <c r="P1643">
        <v>0.13641439999999999</v>
      </c>
      <c r="Q1643">
        <v>1.093178E-2</v>
      </c>
      <c r="R1643">
        <v>-0.99059169999999996</v>
      </c>
      <c r="S1643">
        <v>-6.4346310000000004E-2</v>
      </c>
      <c r="T1643">
        <v>-0.1075808</v>
      </c>
      <c r="U1643">
        <v>-3.0390630000000001</v>
      </c>
      <c r="V1643">
        <v>1.8099110000000002E-2</v>
      </c>
      <c r="W1643">
        <v>1.4717350000000001E-2</v>
      </c>
      <c r="X1643">
        <v>0.99972780000000006</v>
      </c>
      <c r="Y1643">
        <v>0.175179</v>
      </c>
      <c r="Z1643">
        <v>3.446395E-2</v>
      </c>
      <c r="AA1643">
        <v>0.98393319999999995</v>
      </c>
      <c r="AB1643">
        <v>20</v>
      </c>
      <c r="AC1643">
        <v>-0.68899999999999195</v>
      </c>
      <c r="AD1643">
        <v>-1.10317540757</v>
      </c>
      <c r="AE1643">
        <v>-30.973400000000002</v>
      </c>
      <c r="AF1643">
        <v>5.4534091763135599</v>
      </c>
      <c r="AG1643">
        <v>-1.10317540757</v>
      </c>
      <c r="AH1643">
        <v>30.457465199073798</v>
      </c>
      <c r="AI1643">
        <v>92.041913256216105</v>
      </c>
      <c r="AJ1643">
        <v>79.848757711092603</v>
      </c>
      <c r="AK1643">
        <v>30.961489853961499</v>
      </c>
    </row>
    <row r="1644" spans="1:37" x14ac:dyDescent="0.2">
      <c r="A1644" t="str">
        <f>"20200111155530334"</f>
        <v>20200111155530334</v>
      </c>
      <c r="B1644" t="str">
        <f>"1578729330324211"</f>
        <v>1578729330324211</v>
      </c>
      <c r="C1644" t="s">
        <v>37</v>
      </c>
      <c r="D1644">
        <v>4.9038750000000002</v>
      </c>
      <c r="E1644">
        <v>0.55920199999999998</v>
      </c>
      <c r="F1644" t="s">
        <v>38</v>
      </c>
      <c r="G1644">
        <v>-193.06020000000001</v>
      </c>
      <c r="H1644" s="1">
        <v>-4.2832489999999998E-6</v>
      </c>
      <c r="I1644">
        <v>307.97820000000002</v>
      </c>
      <c r="J1644">
        <v>-192.3913</v>
      </c>
      <c r="K1644">
        <v>1.103124</v>
      </c>
      <c r="L1644">
        <v>339.08460000000002</v>
      </c>
      <c r="M1644">
        <v>0.1533979</v>
      </c>
      <c r="N1644">
        <v>0</v>
      </c>
      <c r="O1644">
        <v>-0.98815830000000004</v>
      </c>
      <c r="P1644">
        <v>0.1351503</v>
      </c>
      <c r="Q1644">
        <v>1.125957E-2</v>
      </c>
      <c r="R1644">
        <v>-0.99076129999999996</v>
      </c>
      <c r="S1644">
        <v>-6.1889649999999997E-2</v>
      </c>
      <c r="T1644">
        <v>-0.1070411</v>
      </c>
      <c r="U1644">
        <v>-3.038208</v>
      </c>
      <c r="V1644">
        <v>1.8450339999999999E-2</v>
      </c>
      <c r="W1644">
        <v>1.4749770000000001E-2</v>
      </c>
      <c r="X1644">
        <v>0.99972099999999897</v>
      </c>
      <c r="Y1644">
        <v>0.1734793</v>
      </c>
      <c r="Z1644">
        <v>3.4314020000000001E-2</v>
      </c>
      <c r="AA1644">
        <v>0.98423950000000004</v>
      </c>
      <c r="AB1644">
        <v>21</v>
      </c>
      <c r="AC1644">
        <v>-0.66890000000000704</v>
      </c>
      <c r="AD1644">
        <v>-1.1031282832489999</v>
      </c>
      <c r="AE1644">
        <v>-31.106400000000001</v>
      </c>
      <c r="AF1644">
        <v>5.4258482713506302</v>
      </c>
      <c r="AG1644">
        <v>-1.1031282832489999</v>
      </c>
      <c r="AH1644">
        <v>30.5971651641471</v>
      </c>
      <c r="AI1644">
        <v>92.0331141567424</v>
      </c>
      <c r="AJ1644">
        <v>79.944177527656507</v>
      </c>
      <c r="AK1644">
        <v>31.094102938581798</v>
      </c>
    </row>
    <row r="1645" spans="1:37" x14ac:dyDescent="0.2">
      <c r="A1645" t="str">
        <f>"20200111155530359"</f>
        <v>20200111155530359</v>
      </c>
      <c r="B1645" t="str">
        <f>"1578729330354465"</f>
        <v>1578729330354465</v>
      </c>
      <c r="C1645" t="s">
        <v>37</v>
      </c>
      <c r="D1645">
        <v>4.9271789999999998</v>
      </c>
      <c r="E1645">
        <v>0.5581216</v>
      </c>
      <c r="F1645" t="s">
        <v>38</v>
      </c>
      <c r="G1645">
        <v>-193.0076</v>
      </c>
      <c r="H1645" s="1">
        <v>-4.2069209999999901E-6</v>
      </c>
      <c r="I1645">
        <v>307.78129999999999</v>
      </c>
      <c r="J1645">
        <v>-192.35650000000001</v>
      </c>
      <c r="K1645">
        <v>1.103084</v>
      </c>
      <c r="L1645">
        <v>338.85300000000001</v>
      </c>
      <c r="M1645">
        <v>0.152367899999999</v>
      </c>
      <c r="N1645">
        <v>0</v>
      </c>
      <c r="O1645">
        <v>-0.98831869999999999</v>
      </c>
      <c r="P1645">
        <v>0.13379820000000001</v>
      </c>
      <c r="Q1645">
        <v>1.1358389999999999E-2</v>
      </c>
      <c r="R1645">
        <v>-0.99094359999999904</v>
      </c>
      <c r="S1645">
        <v>-5.9799190000000002E-2</v>
      </c>
      <c r="T1645">
        <v>-0.10703749999999999</v>
      </c>
      <c r="U1645">
        <v>-3.0373839999999999</v>
      </c>
      <c r="V1645">
        <v>1.8772179999999999E-2</v>
      </c>
      <c r="W1645">
        <v>1.4551430000000001E-2</v>
      </c>
      <c r="X1645">
        <v>0.99971790000000005</v>
      </c>
      <c r="Y1645">
        <v>0.17178080000000001</v>
      </c>
      <c r="Z1645">
        <v>3.4336079999999998E-2</v>
      </c>
      <c r="AA1645">
        <v>0.98453659999999998</v>
      </c>
      <c r="AB1645">
        <v>21</v>
      </c>
      <c r="AC1645">
        <v>-0.65109999999998502</v>
      </c>
      <c r="AD1645">
        <v>-1.103088206921</v>
      </c>
      <c r="AE1645">
        <v>-31.0717</v>
      </c>
      <c r="AF1645">
        <v>5.3710848666618896</v>
      </c>
      <c r="AG1645">
        <v>-1.103088206921</v>
      </c>
      <c r="AH1645">
        <v>30.571177656845901</v>
      </c>
      <c r="AI1645">
        <v>92.035338153873198</v>
      </c>
      <c r="AJ1645">
        <v>80.035336638119006</v>
      </c>
      <c r="AK1645">
        <v>31.059012533620098</v>
      </c>
    </row>
    <row r="1646" spans="1:37" x14ac:dyDescent="0.2">
      <c r="A1646" t="str">
        <f>"20200111155530374"</f>
        <v>20200111155530374</v>
      </c>
      <c r="B1646" t="str">
        <f>"1578729330364225"</f>
        <v>1578729330364225</v>
      </c>
      <c r="C1646" t="s">
        <v>37</v>
      </c>
      <c r="D1646">
        <v>4.9281290000000002</v>
      </c>
      <c r="E1646">
        <v>0.55776990000000004</v>
      </c>
      <c r="F1646" t="s">
        <v>38</v>
      </c>
      <c r="G1646">
        <v>-192.92420000000001</v>
      </c>
      <c r="H1646" s="1">
        <v>-4.1761879999999996E-6</v>
      </c>
      <c r="I1646">
        <v>307.73450000000003</v>
      </c>
      <c r="J1646">
        <v>-192.33459999999999</v>
      </c>
      <c r="K1646">
        <v>1.1030599999999999</v>
      </c>
      <c r="L1646">
        <v>338.70650000000001</v>
      </c>
      <c r="M1646">
        <v>0.1517162</v>
      </c>
      <c r="N1646">
        <v>0</v>
      </c>
      <c r="O1646">
        <v>-0.98841970000000001</v>
      </c>
      <c r="P1646">
        <v>0.13254479999999999</v>
      </c>
      <c r="Q1646">
        <v>1.0560999999999999E-2</v>
      </c>
      <c r="R1646">
        <v>-0.99112119999999904</v>
      </c>
      <c r="S1646">
        <v>-5.5389399999999998E-2</v>
      </c>
      <c r="T1646">
        <v>-0.1076247</v>
      </c>
      <c r="U1646">
        <v>-3.036133</v>
      </c>
      <c r="V1646">
        <v>1.9377579999999998E-2</v>
      </c>
      <c r="W1646">
        <v>1.3585450000000001E-2</v>
      </c>
      <c r="X1646">
        <v>0.99971989999999999</v>
      </c>
      <c r="Y1646">
        <v>0.1697092</v>
      </c>
      <c r="Z1646">
        <v>3.4550570000000003E-2</v>
      </c>
      <c r="AA1646">
        <v>0.9848884</v>
      </c>
      <c r="AB1646">
        <v>21</v>
      </c>
      <c r="AC1646">
        <v>-0.589600000000018</v>
      </c>
      <c r="AD1646">
        <v>-1.103064176188</v>
      </c>
      <c r="AE1646">
        <v>-30.971999999999898</v>
      </c>
      <c r="AF1646">
        <v>5.2750607858315401</v>
      </c>
      <c r="AG1646">
        <v>-1.103064176188</v>
      </c>
      <c r="AH1646">
        <v>30.485361491617201</v>
      </c>
      <c r="AI1646">
        <v>92.041934858970905</v>
      </c>
      <c r="AJ1646">
        <v>80.182983612036693</v>
      </c>
      <c r="AK1646">
        <v>30.958040670326501</v>
      </c>
    </row>
    <row r="1647" spans="1:37" x14ac:dyDescent="0.2">
      <c r="A1647" t="str">
        <f>"20200111155530392"</f>
        <v>20200111155530392</v>
      </c>
      <c r="B1647" t="str">
        <f>"1578729330383744"</f>
        <v>1578729330383744</v>
      </c>
      <c r="C1647" t="s">
        <v>37</v>
      </c>
      <c r="D1647">
        <v>4.9659389999999997</v>
      </c>
      <c r="E1647">
        <v>0.55708530000000001</v>
      </c>
      <c r="F1647" t="s">
        <v>38</v>
      </c>
      <c r="G1647">
        <v>-192.89500000000001</v>
      </c>
      <c r="H1647" s="1">
        <v>-4.4245629999999903E-6</v>
      </c>
      <c r="I1647">
        <v>308.4796</v>
      </c>
      <c r="J1647">
        <v>-192.31099999999901</v>
      </c>
      <c r="K1647">
        <v>1.1030439999999999</v>
      </c>
      <c r="L1647">
        <v>338.54730000000001</v>
      </c>
      <c r="M1647">
        <v>0.1510098</v>
      </c>
      <c r="N1647">
        <v>0</v>
      </c>
      <c r="O1647">
        <v>-0.98852830000000003</v>
      </c>
      <c r="P1647">
        <v>0.1309623</v>
      </c>
      <c r="Q1647">
        <v>1.097648E-2</v>
      </c>
      <c r="R1647">
        <v>-0.99132699999999996</v>
      </c>
      <c r="S1647">
        <v>-5.6274409999999997E-2</v>
      </c>
      <c r="T1647">
        <v>-0.110777</v>
      </c>
      <c r="U1647">
        <v>-3.0355829999999999</v>
      </c>
      <c r="V1647">
        <v>2.0258959999999999E-2</v>
      </c>
      <c r="W1647">
        <v>1.383243E-2</v>
      </c>
      <c r="X1647">
        <v>0.99969909999999995</v>
      </c>
      <c r="Y1647">
        <v>0.16929439999999901</v>
      </c>
      <c r="Z1647">
        <v>3.5574799999999997E-2</v>
      </c>
      <c r="AA1647">
        <v>0.9849232</v>
      </c>
      <c r="AB1647">
        <v>21</v>
      </c>
      <c r="AC1647">
        <v>-0.58400000000003105</v>
      </c>
      <c r="AD1647">
        <v>-1.1030484245629999</v>
      </c>
      <c r="AE1647">
        <v>-30.067699999999999</v>
      </c>
      <c r="AF1647">
        <v>5.11096208464574</v>
      </c>
      <c r="AG1647">
        <v>-1.1030484245629999</v>
      </c>
      <c r="AH1647">
        <v>29.5948842880101</v>
      </c>
      <c r="AI1647">
        <v>92.103409381134298</v>
      </c>
      <c r="AJ1647">
        <v>80.201808607813007</v>
      </c>
      <c r="AK1647">
        <v>30.0532165546106</v>
      </c>
    </row>
    <row r="1648" spans="1:37" x14ac:dyDescent="0.2">
      <c r="A1648" t="str">
        <f>"20200111155530414"</f>
        <v>20200111155530414</v>
      </c>
      <c r="B1648" t="str">
        <f>"1578729330404241"</f>
        <v>1578729330404241</v>
      </c>
      <c r="C1648" t="s">
        <v>37</v>
      </c>
      <c r="D1648">
        <v>4.9605009999999998</v>
      </c>
      <c r="E1648">
        <v>0.55645059999999902</v>
      </c>
      <c r="F1648" t="s">
        <v>38</v>
      </c>
      <c r="G1648">
        <v>-192.87</v>
      </c>
      <c r="H1648" s="1">
        <v>-4.3028989999999997E-6</v>
      </c>
      <c r="I1648">
        <v>308.13510000000002</v>
      </c>
      <c r="J1648">
        <v>-192.27979999999999</v>
      </c>
      <c r="K1648">
        <v>1.10302099999999</v>
      </c>
      <c r="L1648">
        <v>338.33629999999999</v>
      </c>
      <c r="M1648">
        <v>0.1500744</v>
      </c>
      <c r="N1648">
        <v>0</v>
      </c>
      <c r="O1648">
        <v>-0.98867099999999997</v>
      </c>
      <c r="P1648">
        <v>0.129374499999999</v>
      </c>
      <c r="Q1648">
        <v>1.2175139999999999E-2</v>
      </c>
      <c r="R1648">
        <v>-0.99152090000000004</v>
      </c>
      <c r="S1648">
        <v>-5.5786130000000003E-2</v>
      </c>
      <c r="T1648">
        <v>-0.110072499999999</v>
      </c>
      <c r="U1648">
        <v>-3.034821</v>
      </c>
      <c r="V1648">
        <v>2.0913439999999998E-2</v>
      </c>
      <c r="W1648">
        <v>1.482844E-2</v>
      </c>
      <c r="X1648">
        <v>0.99967129999999904</v>
      </c>
      <c r="Y1648">
        <v>0.1682081</v>
      </c>
      <c r="Z1648">
        <v>3.536889E-2</v>
      </c>
      <c r="AA1648">
        <v>0.98511680000000001</v>
      </c>
      <c r="AB1648">
        <v>21</v>
      </c>
      <c r="AC1648">
        <v>-0.59020000000000905</v>
      </c>
      <c r="AD1648">
        <v>-1.10302530289899</v>
      </c>
      <c r="AE1648">
        <v>-30.201199999999901</v>
      </c>
      <c r="AF1648">
        <v>5.10914686096684</v>
      </c>
      <c r="AG1648">
        <v>-1.10302530289899</v>
      </c>
      <c r="AH1648">
        <v>29.730942878053899</v>
      </c>
      <c r="AI1648">
        <v>92.094046214490803</v>
      </c>
      <c r="AJ1648">
        <v>80.249182881777301</v>
      </c>
      <c r="AK1648">
        <v>30.1869013130508</v>
      </c>
    </row>
    <row r="1649" spans="1:37" x14ac:dyDescent="0.2">
      <c r="A1649" t="str">
        <f>"20200111155530436"</f>
        <v>20200111155530436</v>
      </c>
      <c r="B1649" t="str">
        <f>"1578729330423760"</f>
        <v>1578729330423760</v>
      </c>
      <c r="C1649" t="s">
        <v>37</v>
      </c>
      <c r="D1649">
        <v>4.9222070000000002</v>
      </c>
      <c r="E1649">
        <v>0.55576740000000002</v>
      </c>
      <c r="F1649" t="s">
        <v>38</v>
      </c>
      <c r="G1649">
        <v>-192.85059999999999</v>
      </c>
      <c r="H1649" s="1">
        <v>-3.9330579999999998E-6</v>
      </c>
      <c r="I1649">
        <v>307.05840000000001</v>
      </c>
      <c r="J1649">
        <v>-192.24799999999999</v>
      </c>
      <c r="K1649">
        <v>1.102989</v>
      </c>
      <c r="L1649">
        <v>338.11959999999999</v>
      </c>
      <c r="M1649">
        <v>0.14911489999999999</v>
      </c>
      <c r="N1649">
        <v>0</v>
      </c>
      <c r="O1649">
        <v>-0.98881679999999905</v>
      </c>
      <c r="P1649">
        <v>0.12802269999999999</v>
      </c>
      <c r="Q1649">
        <v>1.2599030000000001E-2</v>
      </c>
      <c r="R1649">
        <v>-0.99169130000000005</v>
      </c>
      <c r="S1649">
        <v>-5.5374149999999997E-2</v>
      </c>
      <c r="T1649">
        <v>-0.10700229999999999</v>
      </c>
      <c r="U1649">
        <v>-3.0342099999999999</v>
      </c>
      <c r="V1649">
        <v>2.1305950000000001E-2</v>
      </c>
      <c r="W1649">
        <v>1.5070170000000001E-2</v>
      </c>
      <c r="X1649">
        <v>0.99965939999999998</v>
      </c>
      <c r="Y1649">
        <v>0.16712189999999999</v>
      </c>
      <c r="Z1649">
        <v>3.4401470000000003E-2</v>
      </c>
      <c r="AA1649">
        <v>0.98533590000000004</v>
      </c>
      <c r="AB1649">
        <v>21</v>
      </c>
      <c r="AC1649">
        <v>-0.60259999999999503</v>
      </c>
      <c r="AD1649">
        <v>-1.1029929330579999</v>
      </c>
      <c r="AE1649">
        <v>-31.0611999999999</v>
      </c>
      <c r="AF1649">
        <v>5.2209835432571001</v>
      </c>
      <c r="AG1649">
        <v>-1.1029929330579999</v>
      </c>
      <c r="AH1649">
        <v>30.585519597959799</v>
      </c>
      <c r="AI1649">
        <v>92.035915122077597</v>
      </c>
      <c r="AJ1649">
        <v>80.312914346571404</v>
      </c>
      <c r="AK1649">
        <v>31.0475324566466</v>
      </c>
    </row>
    <row r="1650" spans="1:37" x14ac:dyDescent="0.2">
      <c r="A1650" t="str">
        <f>"20200111155530458"</f>
        <v>20200111155530458</v>
      </c>
      <c r="B1650" t="str">
        <f>"1578729330454017"</f>
        <v>1578729330454017</v>
      </c>
      <c r="C1650" t="s">
        <v>37</v>
      </c>
      <c r="D1650">
        <v>4.9799410000000002</v>
      </c>
      <c r="E1650">
        <v>0.55481519999999995</v>
      </c>
      <c r="F1650" t="s">
        <v>38</v>
      </c>
      <c r="G1650">
        <v>-192.80959999999999</v>
      </c>
      <c r="H1650" s="1">
        <v>-3.78206799999999E-6</v>
      </c>
      <c r="I1650">
        <v>306.6626</v>
      </c>
      <c r="J1650">
        <v>-192.21700000000001</v>
      </c>
      <c r="K1650">
        <v>1.1029599999999999</v>
      </c>
      <c r="L1650">
        <v>337.90699999999998</v>
      </c>
      <c r="M1650">
        <v>0.148172</v>
      </c>
      <c r="N1650">
        <v>0</v>
      </c>
      <c r="O1650">
        <v>-0.98895909999999998</v>
      </c>
      <c r="P1650">
        <v>0.12673180000000001</v>
      </c>
      <c r="Q1650">
        <v>1.218093E-2</v>
      </c>
      <c r="R1650">
        <v>-0.99186269999999999</v>
      </c>
      <c r="S1650">
        <v>-5.4153439999999997E-2</v>
      </c>
      <c r="T1650">
        <v>-0.1063634</v>
      </c>
      <c r="U1650">
        <v>-3.0334469999999998</v>
      </c>
      <c r="V1650">
        <v>2.1654090000000001E-2</v>
      </c>
      <c r="W1650">
        <v>1.4495640000000001E-2</v>
      </c>
      <c r="X1650">
        <v>0.99966039999999901</v>
      </c>
      <c r="Y1650">
        <v>0.16578979999999999</v>
      </c>
      <c r="Z1650">
        <v>3.4216450000000002E-2</v>
      </c>
      <c r="AA1650">
        <v>0.98556730000000003</v>
      </c>
      <c r="AB1650">
        <v>22</v>
      </c>
      <c r="AC1650">
        <v>-0.59259999999997603</v>
      </c>
      <c r="AD1650">
        <v>-1.1029637820679901</v>
      </c>
      <c r="AE1650">
        <v>-31.244399999999899</v>
      </c>
      <c r="AF1650">
        <v>5.2091261913369804</v>
      </c>
      <c r="AG1650">
        <v>-1.1029637820679901</v>
      </c>
      <c r="AH1650">
        <v>30.773368211384501</v>
      </c>
      <c r="AI1650">
        <v>92.023921108582002</v>
      </c>
      <c r="AJ1650">
        <v>80.392396823802301</v>
      </c>
      <c r="AK1650">
        <v>31.230621445230199</v>
      </c>
    </row>
    <row r="1651" spans="1:37" x14ac:dyDescent="0.2">
      <c r="A1651" t="str">
        <f>"20200111155530481"</f>
        <v>20200111155530481</v>
      </c>
      <c r="B1651" t="str">
        <f>"1578729330474513"</f>
        <v>1578729330474513</v>
      </c>
      <c r="C1651" t="s">
        <v>37</v>
      </c>
      <c r="D1651">
        <v>5.0117240000000001</v>
      </c>
      <c r="E1651">
        <v>0.55418769999999995</v>
      </c>
      <c r="F1651" t="s">
        <v>38</v>
      </c>
      <c r="G1651">
        <v>-192.72710000000001</v>
      </c>
      <c r="H1651" s="1">
        <v>-3.9580400000000003E-6</v>
      </c>
      <c r="I1651">
        <v>307.19619999999998</v>
      </c>
      <c r="J1651">
        <v>-192.1848</v>
      </c>
      <c r="K1651">
        <v>1.1029260000000001</v>
      </c>
      <c r="L1651">
        <v>337.68470000000002</v>
      </c>
      <c r="M1651">
        <v>0.14718020000000001</v>
      </c>
      <c r="N1651">
        <v>0</v>
      </c>
      <c r="O1651">
        <v>-0.98910730000000002</v>
      </c>
      <c r="P1651">
        <v>0.12556229999999999</v>
      </c>
      <c r="Q1651">
        <v>1.24167999999999E-2</v>
      </c>
      <c r="R1651">
        <v>-0.99200809999999995</v>
      </c>
      <c r="S1651">
        <v>-5.0369259999999999E-2</v>
      </c>
      <c r="T1651">
        <v>-0.1089075</v>
      </c>
      <c r="U1651">
        <v>-3.03241</v>
      </c>
      <c r="V1651">
        <v>2.183038E-2</v>
      </c>
      <c r="W1651">
        <v>1.4590530000000001E-2</v>
      </c>
      <c r="X1651">
        <v>0.99965519999999997</v>
      </c>
      <c r="Y1651">
        <v>0.16357639999999901</v>
      </c>
      <c r="Z1651">
        <v>3.5060819999999999E-2</v>
      </c>
      <c r="AA1651">
        <v>0.98590739999999999</v>
      </c>
      <c r="AB1651">
        <v>22</v>
      </c>
      <c r="AC1651">
        <v>-0.542300000000011</v>
      </c>
      <c r="AD1651">
        <v>-1.1029299580399901</v>
      </c>
      <c r="AE1651">
        <v>-30.488499999999998</v>
      </c>
      <c r="AF1651">
        <v>5.0171447037319696</v>
      </c>
      <c r="AG1651">
        <v>-1.1029299580399901</v>
      </c>
      <c r="AH1651">
        <v>30.0373573653652</v>
      </c>
      <c r="AI1651">
        <v>92.074167532080196</v>
      </c>
      <c r="AJ1651">
        <v>80.5174150552713</v>
      </c>
      <c r="AK1651">
        <v>30.473447999286002</v>
      </c>
    </row>
    <row r="1652" spans="1:37" x14ac:dyDescent="0.2">
      <c r="A1652" t="str">
        <f>"20200111155530502"</f>
        <v>20200111155530502</v>
      </c>
      <c r="B1652" t="str">
        <f>"1578729330494032"</f>
        <v>1578729330494032</v>
      </c>
      <c r="C1652" t="s">
        <v>37</v>
      </c>
      <c r="D1652">
        <v>5.0519720000000001</v>
      </c>
      <c r="E1652">
        <v>0.55360529999999997</v>
      </c>
      <c r="F1652" t="s">
        <v>38</v>
      </c>
      <c r="G1652">
        <v>-192.67939999999999</v>
      </c>
      <c r="H1652" s="1">
        <v>-3.8921579999999999E-6</v>
      </c>
      <c r="I1652">
        <v>307.02749999999997</v>
      </c>
      <c r="J1652">
        <v>-192.1532</v>
      </c>
      <c r="K1652">
        <v>1.1028899999999999</v>
      </c>
      <c r="L1652">
        <v>337.4649</v>
      </c>
      <c r="M1652">
        <v>0.1461905</v>
      </c>
      <c r="N1652">
        <v>0</v>
      </c>
      <c r="O1652">
        <v>-0.98925450000000004</v>
      </c>
      <c r="P1652">
        <v>0.124696</v>
      </c>
      <c r="Q1652">
        <v>1.295542E-2</v>
      </c>
      <c r="R1652">
        <v>-0.99211079999999996</v>
      </c>
      <c r="S1652">
        <v>-4.8904419999999997E-2</v>
      </c>
      <c r="T1652">
        <v>-0.109070499999999</v>
      </c>
      <c r="U1652">
        <v>-3.0317379999999998</v>
      </c>
      <c r="V1652">
        <v>2.170325E-2</v>
      </c>
      <c r="W1652">
        <v>1.5009140000000001E-2</v>
      </c>
      <c r="X1652">
        <v>0.99965179999999998</v>
      </c>
      <c r="Y1652">
        <v>0.1621165</v>
      </c>
      <c r="Z1652">
        <v>3.513339E-2</v>
      </c>
      <c r="AA1652">
        <v>0.98614599999999997</v>
      </c>
      <c r="AB1652">
        <v>22</v>
      </c>
      <c r="AC1652">
        <v>-0.52619999999998801</v>
      </c>
      <c r="AD1652">
        <v>-1.1028938921579901</v>
      </c>
      <c r="AE1652">
        <v>-30.4374</v>
      </c>
      <c r="AF1652">
        <v>4.9636988609822996</v>
      </c>
      <c r="AG1652">
        <v>-1.1028938921579901</v>
      </c>
      <c r="AH1652">
        <v>29.994098257939701</v>
      </c>
      <c r="AI1652">
        <v>92.077605977911205</v>
      </c>
      <c r="AJ1652">
        <v>80.603331685286605</v>
      </c>
      <c r="AK1652">
        <v>30.422041542717299</v>
      </c>
    </row>
    <row r="1653" spans="1:37" x14ac:dyDescent="0.2">
      <c r="A1653" t="str">
        <f>"20200111155530517"</f>
        <v>20200111155530517</v>
      </c>
      <c r="B1653" t="str">
        <f>"1578729330513553"</f>
        <v>1578729330513553</v>
      </c>
      <c r="C1653" t="s">
        <v>37</v>
      </c>
      <c r="D1653">
        <v>5.0742209999999996</v>
      </c>
      <c r="E1653">
        <v>0.55302980000000002</v>
      </c>
      <c r="F1653" t="s">
        <v>38</v>
      </c>
      <c r="G1653">
        <v>-192.63059999999999</v>
      </c>
      <c r="H1653" s="1">
        <v>-3.6698910000000002E-6</v>
      </c>
      <c r="I1653">
        <v>306.51209999999998</v>
      </c>
      <c r="J1653">
        <v>-192.13220000000001</v>
      </c>
      <c r="K1653">
        <v>1.1028639999999901</v>
      </c>
      <c r="L1653">
        <v>337.31819999999999</v>
      </c>
      <c r="M1653">
        <v>0.14552519999999999</v>
      </c>
      <c r="N1653">
        <v>0</v>
      </c>
      <c r="O1653">
        <v>-0.98935249999999997</v>
      </c>
      <c r="P1653">
        <v>0.1241239</v>
      </c>
      <c r="Q1653">
        <v>1.2857789999999999E-2</v>
      </c>
      <c r="R1653">
        <v>-0.9921837</v>
      </c>
      <c r="S1653">
        <v>-4.6752929999999998E-2</v>
      </c>
      <c r="T1653">
        <v>-0.10800369999999999</v>
      </c>
      <c r="U1653">
        <v>-3.0311279999999998</v>
      </c>
      <c r="V1653">
        <v>2.160778E-2</v>
      </c>
      <c r="W1653">
        <v>1.483845E-2</v>
      </c>
      <c r="X1653">
        <v>0.9996564</v>
      </c>
      <c r="Y1653">
        <v>0.16075639999999999</v>
      </c>
      <c r="Z1653">
        <v>3.4806589999999998E-2</v>
      </c>
      <c r="AA1653">
        <v>0.98638019999999904</v>
      </c>
      <c r="AB1653">
        <v>22</v>
      </c>
      <c r="AC1653">
        <v>-0.49839999999997497</v>
      </c>
      <c r="AD1653">
        <v>-1.1028676698909901</v>
      </c>
      <c r="AE1653">
        <v>-30.806100000000001</v>
      </c>
      <c r="AF1653">
        <v>4.9697992847063901</v>
      </c>
      <c r="AG1653">
        <v>-1.1028676698909901</v>
      </c>
      <c r="AH1653">
        <v>30.366714148341099</v>
      </c>
      <c r="AI1653">
        <v>92.052687040782999</v>
      </c>
      <c r="AJ1653">
        <v>80.705403978550294</v>
      </c>
      <c r="AK1653">
        <v>30.790462000343901</v>
      </c>
    </row>
    <row r="1654" spans="1:37" x14ac:dyDescent="0.2">
      <c r="A1654" t="str">
        <f>"20200111155530536"</f>
        <v>20200111155530536</v>
      </c>
      <c r="B1654" t="str">
        <f>"1578729330524288"</f>
        <v>1578729330524288</v>
      </c>
      <c r="C1654" t="s">
        <v>37</v>
      </c>
      <c r="D1654">
        <v>5.0055050000000003</v>
      </c>
      <c r="E1654">
        <v>0.55273589999999995</v>
      </c>
      <c r="F1654" t="s">
        <v>38</v>
      </c>
      <c r="G1654">
        <v>-192.58009999999999</v>
      </c>
      <c r="H1654" s="1">
        <v>-3.66642299999999E-6</v>
      </c>
      <c r="I1654">
        <v>306.53539999999998</v>
      </c>
      <c r="J1654">
        <v>-192.1061</v>
      </c>
      <c r="K1654">
        <v>1.1028309999999999</v>
      </c>
      <c r="L1654">
        <v>337.13440000000003</v>
      </c>
      <c r="M1654">
        <v>0.1446827</v>
      </c>
      <c r="N1654">
        <v>0</v>
      </c>
      <c r="O1654">
        <v>-0.98947640000000003</v>
      </c>
      <c r="P1654">
        <v>0.1237196</v>
      </c>
      <c r="Q1654">
        <v>1.212745E-2</v>
      </c>
      <c r="R1654">
        <v>-0.99224330000000005</v>
      </c>
      <c r="S1654">
        <v>-4.4097900000000002E-2</v>
      </c>
      <c r="T1654">
        <v>-0.10857749999999999</v>
      </c>
      <c r="U1654">
        <v>-3.0305789999999999</v>
      </c>
      <c r="V1654">
        <v>2.1164430000000001E-2</v>
      </c>
      <c r="W1654">
        <v>1.4029349999999999E-2</v>
      </c>
      <c r="X1654">
        <v>0.99967759999999894</v>
      </c>
      <c r="Y1654">
        <v>0.15905439999999901</v>
      </c>
      <c r="Z1654">
        <v>3.5009430000000001E-2</v>
      </c>
      <c r="AA1654">
        <v>0.98664889999999905</v>
      </c>
      <c r="AB1654">
        <v>22</v>
      </c>
      <c r="AC1654">
        <v>-0.47399999999998899</v>
      </c>
      <c r="AD1654">
        <v>-1.102834666423</v>
      </c>
      <c r="AE1654">
        <v>-30.599</v>
      </c>
      <c r="AF1654">
        <v>4.8898156955399701</v>
      </c>
      <c r="AG1654">
        <v>-1.102834666423</v>
      </c>
      <c r="AH1654">
        <v>30.169279428009499</v>
      </c>
      <c r="AI1654">
        <v>92.066564502921096</v>
      </c>
      <c r="AJ1654">
        <v>80.793599515849095</v>
      </c>
      <c r="AK1654">
        <v>30.582870418636801</v>
      </c>
    </row>
    <row r="1655" spans="1:37" x14ac:dyDescent="0.2">
      <c r="A1655" t="str">
        <f>"20200111155530559"</f>
        <v>20200111155530559</v>
      </c>
      <c r="B1655" t="str">
        <f>"1578729330553568"</f>
        <v>1578729330553568</v>
      </c>
      <c r="C1655" t="s">
        <v>37</v>
      </c>
      <c r="D1655">
        <v>4.9528030000000003</v>
      </c>
      <c r="E1655">
        <v>0.55187350000000002</v>
      </c>
      <c r="F1655" t="s">
        <v>38</v>
      </c>
      <c r="G1655">
        <v>-192.5326</v>
      </c>
      <c r="H1655" s="1">
        <v>-3.8716520000000001E-6</v>
      </c>
      <c r="I1655">
        <v>307.0437</v>
      </c>
      <c r="J1655">
        <v>-192.0737</v>
      </c>
      <c r="K1655">
        <v>1.102795</v>
      </c>
      <c r="L1655">
        <v>336.90460000000002</v>
      </c>
      <c r="M1655">
        <v>0.14361309999999999</v>
      </c>
      <c r="N1655">
        <v>0</v>
      </c>
      <c r="O1655">
        <v>-0.98963230000000002</v>
      </c>
      <c r="P1655">
        <v>0.12297619999999999</v>
      </c>
      <c r="Q1655">
        <v>1.1769369999999999E-2</v>
      </c>
      <c r="R1655">
        <v>-0.99234009999999995</v>
      </c>
      <c r="S1655">
        <v>-4.2953489999999997E-2</v>
      </c>
      <c r="T1655">
        <v>-0.1110573</v>
      </c>
      <c r="U1655">
        <v>-3.0301819999999999</v>
      </c>
      <c r="V1655">
        <v>2.0833520000000001E-2</v>
      </c>
      <c r="W1655">
        <v>1.358259E-2</v>
      </c>
      <c r="X1655">
        <v>0.99969069999999904</v>
      </c>
      <c r="Y1655">
        <v>0.15761600000000001</v>
      </c>
      <c r="Z1655">
        <v>3.5825499999999899E-2</v>
      </c>
      <c r="AA1655">
        <v>0.98685040000000002</v>
      </c>
      <c r="AB1655">
        <v>22</v>
      </c>
      <c r="AC1655">
        <v>-0.45889999999999898</v>
      </c>
      <c r="AD1655">
        <v>-1.1027988716520001</v>
      </c>
      <c r="AE1655">
        <v>-29.860900000000001</v>
      </c>
      <c r="AF1655">
        <v>4.7361081238887603</v>
      </c>
      <c r="AG1655">
        <v>-1.1027988716520001</v>
      </c>
      <c r="AH1655">
        <v>29.445302735487601</v>
      </c>
      <c r="AI1655">
        <v>92.117672268044103</v>
      </c>
      <c r="AJ1655">
        <v>80.8625638233475</v>
      </c>
      <c r="AK1655">
        <v>29.8441407766582</v>
      </c>
    </row>
    <row r="1656" spans="1:37" x14ac:dyDescent="0.2">
      <c r="A1656" t="str">
        <f>"20200111155530581"</f>
        <v>20200111155530581</v>
      </c>
      <c r="B1656" t="str">
        <f>"1578729330574064"</f>
        <v>1578729330574064</v>
      </c>
      <c r="C1656" t="s">
        <v>37</v>
      </c>
      <c r="D1656">
        <v>5.041817</v>
      </c>
      <c r="E1656">
        <v>0.55132669999999995</v>
      </c>
      <c r="F1656" t="s">
        <v>38</v>
      </c>
      <c r="G1656">
        <v>-192.44710000000001</v>
      </c>
      <c r="H1656" s="1">
        <v>-3.9565049999999997E-6</v>
      </c>
      <c r="I1656">
        <v>307.33760000000001</v>
      </c>
      <c r="J1656">
        <v>-192.04130000000001</v>
      </c>
      <c r="K1656">
        <v>1.102757</v>
      </c>
      <c r="L1656">
        <v>336.67329999999998</v>
      </c>
      <c r="M1656">
        <v>0.14251259999999999</v>
      </c>
      <c r="N1656">
        <v>0</v>
      </c>
      <c r="O1656">
        <v>-0.98979150000000005</v>
      </c>
      <c r="P1656">
        <v>0.121791699999999</v>
      </c>
      <c r="Q1656">
        <v>1.2107079999999999E-2</v>
      </c>
      <c r="R1656">
        <v>-0.99248189999999903</v>
      </c>
      <c r="S1656">
        <v>-3.8253780000000001E-2</v>
      </c>
      <c r="T1656">
        <v>-0.11298560000000001</v>
      </c>
      <c r="U1656">
        <v>-3.029236</v>
      </c>
      <c r="V1656">
        <v>2.0915739999999999E-2</v>
      </c>
      <c r="W1656">
        <v>1.384578E-2</v>
      </c>
      <c r="X1656">
        <v>0.9996853</v>
      </c>
      <c r="Y1656">
        <v>0.15499060000000001</v>
      </c>
      <c r="Z1656">
        <v>3.647508E-2</v>
      </c>
      <c r="AA1656">
        <v>0.98724230000000002</v>
      </c>
      <c r="AB1656">
        <v>23</v>
      </c>
      <c r="AC1656">
        <v>-0.40579999999999899</v>
      </c>
      <c r="AD1656">
        <v>-1.1027609565050001</v>
      </c>
      <c r="AE1656">
        <v>-29.3356999999999</v>
      </c>
      <c r="AF1656">
        <v>4.5759060884262297</v>
      </c>
      <c r="AG1656">
        <v>-1.1027609565050001</v>
      </c>
      <c r="AH1656">
        <v>28.937554021823999</v>
      </c>
      <c r="AI1656">
        <v>92.155629798175497</v>
      </c>
      <c r="AJ1656">
        <v>81.014201544926706</v>
      </c>
      <c r="AK1656">
        <v>29.317861979061</v>
      </c>
    </row>
    <row r="1657" spans="1:37" x14ac:dyDescent="0.2">
      <c r="A1657" t="str">
        <f>"20200111155530603"</f>
        <v>20200111155530603</v>
      </c>
      <c r="B1657" t="str">
        <f>"1578729330593583"</f>
        <v>1578729330593583</v>
      </c>
      <c r="C1657" t="s">
        <v>37</v>
      </c>
      <c r="D1657">
        <v>5.0765719999999996</v>
      </c>
      <c r="E1657">
        <v>0.55076530000000001</v>
      </c>
      <c r="F1657" t="s">
        <v>38</v>
      </c>
      <c r="G1657">
        <v>-192.41030000000001</v>
      </c>
      <c r="H1657" s="1">
        <v>-3.79846299999999E-6</v>
      </c>
      <c r="I1657">
        <v>306.94850000000002</v>
      </c>
      <c r="J1657">
        <v>-192.0104</v>
      </c>
      <c r="K1657">
        <v>1.1027260000000001</v>
      </c>
      <c r="L1657">
        <v>336.4504</v>
      </c>
      <c r="M1657">
        <v>0.141434</v>
      </c>
      <c r="N1657">
        <v>0</v>
      </c>
      <c r="O1657">
        <v>-0.9899464</v>
      </c>
      <c r="P1657">
        <v>0.120966</v>
      </c>
      <c r="Q1657">
        <v>1.2648339999999999E-2</v>
      </c>
      <c r="R1657">
        <v>-0.99257640000000003</v>
      </c>
      <c r="S1657">
        <v>-3.7597659999999998E-2</v>
      </c>
      <c r="T1657">
        <v>-0.11236119999999999</v>
      </c>
      <c r="U1657">
        <v>-3.0286869999999899</v>
      </c>
      <c r="V1657">
        <v>2.0658760000000002E-2</v>
      </c>
      <c r="W1657">
        <v>1.4325910000000001E-2</v>
      </c>
      <c r="X1657">
        <v>0.99968389999999996</v>
      </c>
      <c r="Y1657">
        <v>0.15370259999999999</v>
      </c>
      <c r="Z1657">
        <v>3.629276E-2</v>
      </c>
      <c r="AA1657">
        <v>0.98745039999999995</v>
      </c>
      <c r="AB1657">
        <v>23</v>
      </c>
      <c r="AC1657">
        <v>-0.39990000000000198</v>
      </c>
      <c r="AD1657">
        <v>-1.102729798463</v>
      </c>
      <c r="AE1657">
        <v>-29.5018999999999</v>
      </c>
      <c r="AF1657">
        <v>4.5620844368429996</v>
      </c>
      <c r="AG1657">
        <v>-1.102729798463</v>
      </c>
      <c r="AH1657">
        <v>29.108116902076901</v>
      </c>
      <c r="AI1657">
        <v>92.143410891884699</v>
      </c>
      <c r="AJ1657">
        <v>81.092555304625705</v>
      </c>
      <c r="AK1657">
        <v>29.484082095298199</v>
      </c>
    </row>
    <row r="1658" spans="1:37" x14ac:dyDescent="0.2">
      <c r="A1658" t="str">
        <f>"20200111155530624"</f>
        <v>20200111155530624</v>
      </c>
      <c r="B1658" t="str">
        <f>"1578729330614083"</f>
        <v>1578729330614083</v>
      </c>
      <c r="C1658" t="s">
        <v>37</v>
      </c>
      <c r="D1658">
        <v>4.8611519999999997</v>
      </c>
      <c r="E1658">
        <v>0.55025570000000001</v>
      </c>
      <c r="F1658" t="s">
        <v>38</v>
      </c>
      <c r="G1658">
        <v>-192.36250000000001</v>
      </c>
      <c r="H1658" s="1">
        <v>-3.5722269999999898E-6</v>
      </c>
      <c r="I1658">
        <v>306.45080000000002</v>
      </c>
      <c r="J1658">
        <v>-191.9794</v>
      </c>
      <c r="K1658">
        <v>1.102692</v>
      </c>
      <c r="L1658">
        <v>336.2251</v>
      </c>
      <c r="M1658">
        <v>0.14032639999999999</v>
      </c>
      <c r="N1658">
        <v>0</v>
      </c>
      <c r="O1658">
        <v>-0.99010419999999999</v>
      </c>
      <c r="P1658">
        <v>0.119508199999999</v>
      </c>
      <c r="Q1658">
        <v>1.3918120000000001E-2</v>
      </c>
      <c r="R1658">
        <v>-0.99273619999999996</v>
      </c>
      <c r="S1658">
        <v>-3.5537720000000002E-2</v>
      </c>
      <c r="T1658">
        <v>-0.1113121</v>
      </c>
      <c r="U1658">
        <v>-3.0282290000000001</v>
      </c>
      <c r="V1658">
        <v>2.1009050000000001E-2</v>
      </c>
      <c r="W1658">
        <v>1.554171E-2</v>
      </c>
      <c r="X1658">
        <v>0.99965849999999901</v>
      </c>
      <c r="Y1658">
        <v>0.15192720000000001</v>
      </c>
      <c r="Z1658">
        <v>3.5973659999999998E-2</v>
      </c>
      <c r="AA1658">
        <v>0.98773679999999997</v>
      </c>
      <c r="AB1658">
        <v>23</v>
      </c>
      <c r="AC1658">
        <v>-0.38310000000001299</v>
      </c>
      <c r="AD1658">
        <v>-1.102695572227</v>
      </c>
      <c r="AE1658">
        <v>-29.774299999999901</v>
      </c>
      <c r="AF1658">
        <v>4.5511928135208404</v>
      </c>
      <c r="AG1658">
        <v>-1.102695572227</v>
      </c>
      <c r="AH1658">
        <v>29.385633707849198</v>
      </c>
      <c r="AI1658">
        <v>92.123718625045797</v>
      </c>
      <c r="AJ1658">
        <v>81.196084400670202</v>
      </c>
      <c r="AK1658">
        <v>29.756423877252701</v>
      </c>
    </row>
    <row r="1659" spans="1:37" x14ac:dyDescent="0.2">
      <c r="A1659" t="str">
        <f>"20200111155530648"</f>
        <v>20200111155530648</v>
      </c>
      <c r="B1659" t="str">
        <f>"1578729330644336"</f>
        <v>1578729330644336</v>
      </c>
      <c r="C1659" t="s">
        <v>37</v>
      </c>
      <c r="D1659">
        <v>4.8231449999999896</v>
      </c>
      <c r="E1659">
        <v>0.54985580000000001</v>
      </c>
      <c r="F1659" t="s">
        <v>38</v>
      </c>
      <c r="G1659">
        <v>-192.3476</v>
      </c>
      <c r="H1659" s="1">
        <v>-3.02354699999999E-6</v>
      </c>
      <c r="I1659">
        <v>305.18110000000001</v>
      </c>
      <c r="J1659">
        <v>-191.9468</v>
      </c>
      <c r="K1659">
        <v>1.1026629999999999</v>
      </c>
      <c r="L1659">
        <v>335.98579999999998</v>
      </c>
      <c r="M1659">
        <v>0.13913129999999899</v>
      </c>
      <c r="N1659">
        <v>0</v>
      </c>
      <c r="O1659">
        <v>-0.99027259999999995</v>
      </c>
      <c r="P1659">
        <v>0.117635199999999</v>
      </c>
      <c r="Q1659">
        <v>1.512846E-2</v>
      </c>
      <c r="R1659">
        <v>-0.99294189999999904</v>
      </c>
      <c r="S1659">
        <v>-3.5903930000000001E-2</v>
      </c>
      <c r="T1659">
        <v>-0.1075464</v>
      </c>
      <c r="U1659">
        <v>-3.0277400000000001</v>
      </c>
      <c r="V1659">
        <v>2.1688909999999999E-2</v>
      </c>
      <c r="W1659">
        <v>1.6703610000000001E-2</v>
      </c>
      <c r="X1659">
        <v>0.99962519999999999</v>
      </c>
      <c r="Y1659">
        <v>0.15085609999999999</v>
      </c>
      <c r="Z1659">
        <v>3.4775710000000001E-2</v>
      </c>
      <c r="AA1659">
        <v>0.98794389999999999</v>
      </c>
      <c r="AB1659">
        <v>23</v>
      </c>
      <c r="AC1659">
        <v>-0.40080000000000299</v>
      </c>
      <c r="AD1659">
        <v>-1.1026660235470001</v>
      </c>
      <c r="AE1659">
        <v>-30.804699999999901</v>
      </c>
      <c r="AF1659">
        <v>4.6768140095288802</v>
      </c>
      <c r="AG1659">
        <v>-1.1026660235470001</v>
      </c>
      <c r="AH1659">
        <v>30.410368522876599</v>
      </c>
      <c r="AI1659">
        <v>92.052499551219796</v>
      </c>
      <c r="AJ1659">
        <v>81.256974430907604</v>
      </c>
      <c r="AK1659">
        <v>30.787643224780599</v>
      </c>
    </row>
    <row r="1660" spans="1:37" x14ac:dyDescent="0.2">
      <c r="A1660" t="str">
        <f>"20200111155530671"</f>
        <v>20200111155530671</v>
      </c>
      <c r="B1660" t="str">
        <f>"1578729330663856"</f>
        <v>1578729330663856</v>
      </c>
      <c r="C1660" t="s">
        <v>37</v>
      </c>
      <c r="D1660">
        <v>4.8000259999999999</v>
      </c>
      <c r="E1660">
        <v>0.55010429999999999</v>
      </c>
      <c r="F1660" t="s">
        <v>38</v>
      </c>
      <c r="G1660">
        <v>-192.3563</v>
      </c>
      <c r="H1660" s="1">
        <v>-2.3838279999999999E-6</v>
      </c>
      <c r="I1660">
        <v>303.68439999999998</v>
      </c>
      <c r="J1660">
        <v>-191.91390000000001</v>
      </c>
      <c r="K1660">
        <v>1.1026290000000001</v>
      </c>
      <c r="L1660">
        <v>335.741999999999</v>
      </c>
      <c r="M1660">
        <v>0.1378973</v>
      </c>
      <c r="N1660">
        <v>0</v>
      </c>
      <c r="O1660">
        <v>-0.99044519999999903</v>
      </c>
      <c r="P1660">
        <v>0.11603189999999999</v>
      </c>
      <c r="Q1660">
        <v>1.5664150000000002E-2</v>
      </c>
      <c r="R1660">
        <v>-0.9931219</v>
      </c>
      <c r="S1660">
        <v>-3.8375850000000003E-2</v>
      </c>
      <c r="T1660">
        <v>-0.10334690000000001</v>
      </c>
      <c r="U1660">
        <v>-3.0274349999999899</v>
      </c>
      <c r="V1660">
        <v>2.2058080000000001E-2</v>
      </c>
      <c r="W1660">
        <v>1.719849E-2</v>
      </c>
      <c r="X1660">
        <v>0.99960879999999996</v>
      </c>
      <c r="Y1660">
        <v>0.15043280000000001</v>
      </c>
      <c r="Z1660">
        <v>3.3432499999999997E-2</v>
      </c>
      <c r="AA1660">
        <v>0.98805480000000001</v>
      </c>
      <c r="AB1660">
        <v>24</v>
      </c>
      <c r="AC1660">
        <v>-0.44239999999999202</v>
      </c>
      <c r="AD1660">
        <v>-1.102631383828</v>
      </c>
      <c r="AE1660">
        <v>-32.057599999999901</v>
      </c>
      <c r="AF1660">
        <v>4.8530955525654198</v>
      </c>
      <c r="AG1660">
        <v>-1.102631383828</v>
      </c>
      <c r="AH1660">
        <v>31.652892672289902</v>
      </c>
      <c r="AI1660">
        <v>91.972070625906696</v>
      </c>
      <c r="AJ1660">
        <v>81.283158474087003</v>
      </c>
      <c r="AK1660">
        <v>32.041753181348099</v>
      </c>
    </row>
    <row r="1661" spans="1:37" x14ac:dyDescent="0.2">
      <c r="A1661" t="str">
        <f>"20200111155530693"</f>
        <v>20200111155530693</v>
      </c>
      <c r="B1661" t="str">
        <f>"1578729330684353"</f>
        <v>1578729330684353</v>
      </c>
      <c r="C1661" t="s">
        <v>37</v>
      </c>
      <c r="D1661">
        <v>4.8752180000000003</v>
      </c>
      <c r="E1661">
        <v>0.61369039999999997</v>
      </c>
      <c r="F1661" t="s">
        <v>38</v>
      </c>
      <c r="G1661">
        <v>-192.4084</v>
      </c>
      <c r="H1661" s="1">
        <v>-1.9492240000000001E-6</v>
      </c>
      <c r="I1661">
        <v>302.63909999999998</v>
      </c>
      <c r="J1661">
        <v>-191.88200000000001</v>
      </c>
      <c r="K1661">
        <v>1.1025929999999999</v>
      </c>
      <c r="L1661">
        <v>335.50380000000001</v>
      </c>
      <c r="M1661">
        <v>0.13668050000000001</v>
      </c>
      <c r="N1661">
        <v>0</v>
      </c>
      <c r="O1661">
        <v>-0.9906142</v>
      </c>
      <c r="P1661">
        <v>0.1147186</v>
      </c>
      <c r="Q1661">
        <v>1.5181399999999999E-2</v>
      </c>
      <c r="R1661">
        <v>-0.99328229999999995</v>
      </c>
      <c r="S1661">
        <v>-4.5227049999999998E-2</v>
      </c>
      <c r="T1661">
        <v>-0.1008483</v>
      </c>
      <c r="U1661">
        <v>-3.0276489999999998</v>
      </c>
      <c r="V1661">
        <v>2.2152789999999999E-2</v>
      </c>
      <c r="W1661">
        <v>1.6683590000000002E-2</v>
      </c>
      <c r="X1661">
        <v>0.99961540000000004</v>
      </c>
      <c r="Y1661">
        <v>0.15145310000000001</v>
      </c>
      <c r="Z1661">
        <v>3.26281E-2</v>
      </c>
      <c r="AA1661">
        <v>0.98792579999999997</v>
      </c>
      <c r="AB1661">
        <v>24</v>
      </c>
      <c r="AC1661">
        <v>-0.52639999999999498</v>
      </c>
      <c r="AD1661">
        <v>-1.1025949492239999</v>
      </c>
      <c r="AE1661">
        <v>-32.864699999999999</v>
      </c>
      <c r="AF1661">
        <v>5.0077926481742097</v>
      </c>
      <c r="AG1661">
        <v>-1.1025949492239999</v>
      </c>
      <c r="AH1661">
        <v>32.447808593452798</v>
      </c>
      <c r="AI1661">
        <v>91.923439353396205</v>
      </c>
      <c r="AJ1661">
        <v>81.226547331165804</v>
      </c>
      <c r="AK1661">
        <v>32.850479225522903</v>
      </c>
    </row>
    <row r="1662" spans="1:37" x14ac:dyDescent="0.2">
      <c r="A1662" t="str">
        <f>"20200111155530738"</f>
        <v>20200111155530738</v>
      </c>
      <c r="B1662" t="str">
        <f>"1578729330734128"</f>
        <v>1578729330734128</v>
      </c>
      <c r="C1662" t="s">
        <v>37</v>
      </c>
      <c r="D1662">
        <v>4.6750530000000001</v>
      </c>
      <c r="E1662">
        <v>0.61802860000000004</v>
      </c>
      <c r="F1662" t="s">
        <v>38</v>
      </c>
      <c r="G1662">
        <v>-196.84599999999901</v>
      </c>
      <c r="H1662" s="1">
        <v>-4.886296E-6</v>
      </c>
      <c r="I1662">
        <v>307.77690000000001</v>
      </c>
      <c r="J1662">
        <v>-191.8192</v>
      </c>
      <c r="K1662">
        <v>1.1025370000000001</v>
      </c>
      <c r="L1662">
        <v>335.0274</v>
      </c>
      <c r="M1662">
        <v>0.1342313</v>
      </c>
      <c r="N1662">
        <v>0</v>
      </c>
      <c r="O1662">
        <v>-0.99094919999999997</v>
      </c>
      <c r="P1662">
        <v>0.111421399999999</v>
      </c>
      <c r="Q1662">
        <v>1.5302430000000001E-2</v>
      </c>
      <c r="R1662">
        <v>-0.99365599999999998</v>
      </c>
      <c r="S1662">
        <v>-0.55249019999999904</v>
      </c>
      <c r="T1662">
        <v>-0.1227191</v>
      </c>
      <c r="U1662">
        <v>-3.0859990000000002</v>
      </c>
      <c r="V1662">
        <v>2.3000380000000001E-2</v>
      </c>
      <c r="W1662">
        <v>1.6757009999999999E-2</v>
      </c>
      <c r="X1662">
        <v>0.99959500000000001</v>
      </c>
      <c r="Y1662">
        <v>0.30663449999999998</v>
      </c>
      <c r="Z1662">
        <v>3.7935219999999999E-2</v>
      </c>
      <c r="AA1662">
        <v>0.95107109999999995</v>
      </c>
      <c r="AB1662">
        <v>24</v>
      </c>
      <c r="AC1662">
        <v>-5.0267999999999802</v>
      </c>
      <c r="AD1662">
        <v>-1.1025418862959999</v>
      </c>
      <c r="AE1662">
        <v>-27.250499999999899</v>
      </c>
      <c r="AF1662">
        <v>8.6255254777922694</v>
      </c>
      <c r="AG1662">
        <v>-1.1025418862959999</v>
      </c>
      <c r="AH1662">
        <v>26.2875130544735</v>
      </c>
      <c r="AI1662">
        <v>92.282098492810206</v>
      </c>
      <c r="AJ1662">
        <v>71.834170867663701</v>
      </c>
      <c r="AK1662">
        <v>27.688420521369501</v>
      </c>
    </row>
    <row r="1663" spans="1:37" x14ac:dyDescent="0.2">
      <c r="A1663" t="str">
        <f>"20200111155530760"</f>
        <v>20200111155530760</v>
      </c>
      <c r="B1663" t="str">
        <f>"1578729330753648"</f>
        <v>1578729330753648</v>
      </c>
      <c r="C1663" t="s">
        <v>37</v>
      </c>
      <c r="D1663">
        <v>4.6572649999999998</v>
      </c>
      <c r="E1663">
        <v>0.61877340000000003</v>
      </c>
      <c r="F1663" t="s">
        <v>56</v>
      </c>
      <c r="G1663">
        <v>-198.72470000000001</v>
      </c>
      <c r="H1663" s="1">
        <v>4.2881669999999901E-8</v>
      </c>
      <c r="I1663">
        <v>299.37279999999998</v>
      </c>
      <c r="J1663">
        <v>-191.78729999999999</v>
      </c>
      <c r="K1663">
        <v>1.1025149999999999</v>
      </c>
      <c r="L1663">
        <v>334.78129999999999</v>
      </c>
      <c r="M1663">
        <v>0.132965</v>
      </c>
      <c r="N1663">
        <v>0</v>
      </c>
      <c r="O1663">
        <v>-0.99111990000000005</v>
      </c>
      <c r="P1663">
        <v>0.1102626</v>
      </c>
      <c r="Q1663">
        <v>1.4976929999999999E-2</v>
      </c>
      <c r="R1663">
        <v>-0.99378979999999995</v>
      </c>
      <c r="S1663">
        <v>-0.59800719999999996</v>
      </c>
      <c r="T1663">
        <v>-9.5478530000000006E-2</v>
      </c>
      <c r="U1663">
        <v>-3.0876459999999999</v>
      </c>
      <c r="V1663">
        <v>2.2889159999999999E-2</v>
      </c>
      <c r="W1663">
        <v>1.6419449999999999E-2</v>
      </c>
      <c r="X1663">
        <v>0.99960319999999903</v>
      </c>
      <c r="Y1663">
        <v>0.31891029999999998</v>
      </c>
      <c r="Z1663">
        <v>2.9414550000000001E-2</v>
      </c>
      <c r="AA1663">
        <v>0.94732830000000001</v>
      </c>
      <c r="AB1663">
        <v>24</v>
      </c>
      <c r="AC1663">
        <v>-6.9374000000000198</v>
      </c>
      <c r="AD1663">
        <v>-1.1025149571183299</v>
      </c>
      <c r="AE1663">
        <v>-35.408499999999997</v>
      </c>
      <c r="AF1663">
        <v>11.5730904841325</v>
      </c>
      <c r="AG1663">
        <v>-1.1025149571183299</v>
      </c>
      <c r="AH1663">
        <v>34.139790416906699</v>
      </c>
      <c r="AI1663">
        <v>91.751822167693803</v>
      </c>
      <c r="AJ1663">
        <v>71.273790411759506</v>
      </c>
      <c r="AK1663">
        <v>36.064903331284597</v>
      </c>
    </row>
    <row r="1664" spans="1:37" x14ac:dyDescent="0.2">
      <c r="A1664" t="str">
        <f>"20200111155530781"</f>
        <v>20200111155530781</v>
      </c>
      <c r="B1664" t="str">
        <f>"1578729330774144"</f>
        <v>1578729330774144</v>
      </c>
      <c r="C1664" t="s">
        <v>37</v>
      </c>
      <c r="D1664">
        <v>4.6602350000000001</v>
      </c>
      <c r="E1664">
        <v>0.61880919999999995</v>
      </c>
      <c r="F1664" t="s">
        <v>56</v>
      </c>
      <c r="G1664">
        <v>-199.34729999999999</v>
      </c>
      <c r="H1664" s="1">
        <v>5.7160639999999999E-7</v>
      </c>
      <c r="I1664">
        <v>296.3707</v>
      </c>
      <c r="J1664">
        <v>-191.75640000000001</v>
      </c>
      <c r="K1664">
        <v>1.1024969999999901</v>
      </c>
      <c r="L1664">
        <v>334.5412</v>
      </c>
      <c r="M1664">
        <v>0.13173180000000001</v>
      </c>
      <c r="N1664">
        <v>0</v>
      </c>
      <c r="O1664">
        <v>-0.99128449999999901</v>
      </c>
      <c r="P1664">
        <v>0.1087075</v>
      </c>
      <c r="Q1664">
        <v>1.47942E-2</v>
      </c>
      <c r="R1664">
        <v>-0.99396379999999995</v>
      </c>
      <c r="S1664">
        <v>-0.60768129999999998</v>
      </c>
      <c r="T1664">
        <v>-8.8621500000000006E-2</v>
      </c>
      <c r="U1664">
        <v>-3.087494</v>
      </c>
      <c r="V1664">
        <v>2.3210120000000001E-2</v>
      </c>
      <c r="W1664">
        <v>1.623494E-2</v>
      </c>
      <c r="X1664">
        <v>0.99959880000000001</v>
      </c>
      <c r="Y1664">
        <v>0.32061069999999903</v>
      </c>
      <c r="Z1664">
        <v>2.7295929999999999E-2</v>
      </c>
      <c r="AA1664">
        <v>0.94681769999999998</v>
      </c>
      <c r="AB1664">
        <v>25</v>
      </c>
      <c r="AC1664">
        <v>-7.5908999999999702</v>
      </c>
      <c r="AD1664">
        <v>-1.1024964283935901</v>
      </c>
      <c r="AE1664">
        <v>-38.170499999999997</v>
      </c>
      <c r="AF1664">
        <v>12.5429553838026</v>
      </c>
      <c r="AG1664">
        <v>-1.1024964283935901</v>
      </c>
      <c r="AH1664">
        <v>36.808355434528202</v>
      </c>
      <c r="AI1664">
        <v>91.623983631134294</v>
      </c>
      <c r="AJ1664">
        <v>71.182747690412796</v>
      </c>
      <c r="AK1664">
        <v>38.902393987121698</v>
      </c>
    </row>
    <row r="1665" spans="1:37" x14ac:dyDescent="0.2">
      <c r="A1665" t="str">
        <f>"20200111155530805"</f>
        <v>20200111155530805</v>
      </c>
      <c r="B1665" t="str">
        <f>"1578729330793664"</f>
        <v>1578729330793664</v>
      </c>
      <c r="C1665" t="s">
        <v>37</v>
      </c>
      <c r="D1665">
        <v>4.7136959999999997</v>
      </c>
      <c r="E1665">
        <v>0.61881730000000001</v>
      </c>
      <c r="F1665" t="s">
        <v>56</v>
      </c>
      <c r="G1665">
        <v>-199.2559</v>
      </c>
      <c r="H1665" s="1">
        <v>5.0297599999999996E-7</v>
      </c>
      <c r="I1665">
        <v>296.7604</v>
      </c>
      <c r="J1665">
        <v>-191.72389999999999</v>
      </c>
      <c r="K1665">
        <v>1.102481</v>
      </c>
      <c r="L1665">
        <v>334.28620000000001</v>
      </c>
      <c r="M1665">
        <v>0.1304246</v>
      </c>
      <c r="N1665">
        <v>0</v>
      </c>
      <c r="O1665">
        <v>-0.99145709999999998</v>
      </c>
      <c r="P1665">
        <v>0.1067</v>
      </c>
      <c r="Q1665">
        <v>1.428278E-2</v>
      </c>
      <c r="R1665">
        <v>-0.99418850000000003</v>
      </c>
      <c r="S1665">
        <v>-0.61268619999999996</v>
      </c>
      <c r="T1665">
        <v>-9.0070609999999995E-2</v>
      </c>
      <c r="U1665">
        <v>-3.0865779999999998</v>
      </c>
      <c r="V1665">
        <v>2.391105E-2</v>
      </c>
      <c r="W1665">
        <v>1.573194E-2</v>
      </c>
      <c r="X1665">
        <v>0.99959030000000004</v>
      </c>
      <c r="Y1665">
        <v>0.32089000000000001</v>
      </c>
      <c r="Z1665">
        <v>2.7751809999999998E-2</v>
      </c>
      <c r="AA1665">
        <v>0.94670980000000005</v>
      </c>
      <c r="AB1665">
        <v>25</v>
      </c>
      <c r="AC1665">
        <v>-7.5320000000000098</v>
      </c>
      <c r="AD1665">
        <v>-1.1024804970240001</v>
      </c>
      <c r="AE1665">
        <v>-37.525799999999997</v>
      </c>
      <c r="AF1665">
        <v>12.351707796840399</v>
      </c>
      <c r="AG1665">
        <v>-1.1024804970240001</v>
      </c>
      <c r="AH1665">
        <v>36.192873604748101</v>
      </c>
      <c r="AI1665">
        <v>91.651303897823993</v>
      </c>
      <c r="AJ1665">
        <v>71.156531354119494</v>
      </c>
      <c r="AK1665">
        <v>38.2583879497571</v>
      </c>
    </row>
    <row r="1666" spans="1:37" x14ac:dyDescent="0.2">
      <c r="A1666" t="str">
        <f>"20200111155530826"</f>
        <v>20200111155530826</v>
      </c>
      <c r="B1666" t="str">
        <f>"1578729330823920"</f>
        <v>1578729330823920</v>
      </c>
      <c r="C1666" t="s">
        <v>37</v>
      </c>
      <c r="D1666">
        <v>4.6496459999999997</v>
      </c>
      <c r="E1666">
        <v>0.61906190000000005</v>
      </c>
      <c r="F1666" t="s">
        <v>56</v>
      </c>
      <c r="G1666">
        <v>-199.19110000000001</v>
      </c>
      <c r="H1666" s="1">
        <v>4.486052E-7</v>
      </c>
      <c r="I1666">
        <v>297.06909999999999</v>
      </c>
      <c r="J1666">
        <v>-191.69309999999999</v>
      </c>
      <c r="K1666">
        <v>1.102468</v>
      </c>
      <c r="L1666">
        <v>334.04199999999997</v>
      </c>
      <c r="M1666">
        <v>0.12917619999999999</v>
      </c>
      <c r="N1666">
        <v>0</v>
      </c>
      <c r="O1666">
        <v>-0.99162079999999997</v>
      </c>
      <c r="P1666">
        <v>0.1045171</v>
      </c>
      <c r="Q1666">
        <v>1.410049E-2</v>
      </c>
      <c r="R1666">
        <v>-0.99442350000000002</v>
      </c>
      <c r="S1666">
        <v>-0.61901859999999997</v>
      </c>
      <c r="T1666">
        <v>-9.1394779999999995E-2</v>
      </c>
      <c r="U1666">
        <v>-3.0852659999999998</v>
      </c>
      <c r="V1666">
        <v>2.4847350000000001E-2</v>
      </c>
      <c r="W1666">
        <v>1.5565549999999999E-2</v>
      </c>
      <c r="X1666">
        <v>0.99957009999999902</v>
      </c>
      <c r="Y1666">
        <v>0.3216405</v>
      </c>
      <c r="Z1666">
        <v>2.8169079999999999E-2</v>
      </c>
      <c r="AA1666">
        <v>0.94644269999999997</v>
      </c>
      <c r="AB1666">
        <v>25</v>
      </c>
      <c r="AC1666">
        <v>-7.49800000000001</v>
      </c>
      <c r="AD1666">
        <v>-1.1024675513947999</v>
      </c>
      <c r="AE1666">
        <v>-36.972899999999903</v>
      </c>
      <c r="AF1666">
        <v>12.2007823093419</v>
      </c>
      <c r="AG1666">
        <v>-1.1024675513947999</v>
      </c>
      <c r="AH1666">
        <v>35.6641064723418</v>
      </c>
      <c r="AI1666">
        <v>91.675328887051094</v>
      </c>
      <c r="AJ1666">
        <v>71.114051016510103</v>
      </c>
      <c r="AK1666">
        <v>37.709455235157698</v>
      </c>
    </row>
    <row r="1667" spans="1:37" x14ac:dyDescent="0.2">
      <c r="A1667" t="str">
        <f>"20200111155530849"</f>
        <v>20200111155530849</v>
      </c>
      <c r="B1667" t="str">
        <f>"1578729330844416"</f>
        <v>1578729330844416</v>
      </c>
      <c r="C1667" t="s">
        <v>37</v>
      </c>
      <c r="D1667">
        <v>4.6237180000000002</v>
      </c>
      <c r="E1667">
        <v>0.61903920000000001</v>
      </c>
      <c r="F1667" t="s">
        <v>38</v>
      </c>
      <c r="G1667">
        <v>-198.6285</v>
      </c>
      <c r="H1667" s="1">
        <v>-2.4528870000000001E-6</v>
      </c>
      <c r="I1667">
        <v>299.95519999999999</v>
      </c>
      <c r="J1667">
        <v>-191.66149999999999</v>
      </c>
      <c r="K1667">
        <v>1.1024529999999999</v>
      </c>
      <c r="L1667">
        <v>333.78820000000002</v>
      </c>
      <c r="M1667">
        <v>0.12788079999999999</v>
      </c>
      <c r="N1667">
        <v>0</v>
      </c>
      <c r="O1667">
        <v>-0.99178860000000002</v>
      </c>
      <c r="P1667">
        <v>0.1020141</v>
      </c>
      <c r="Q1667">
        <v>1.361735E-2</v>
      </c>
      <c r="R1667">
        <v>-0.99468989999999902</v>
      </c>
      <c r="S1667">
        <v>-0.62751769999999996</v>
      </c>
      <c r="T1667">
        <v>-9.9752430000000003E-2</v>
      </c>
      <c r="U1667">
        <v>-3.08419799999999</v>
      </c>
      <c r="V1667">
        <v>2.6057670000000002E-2</v>
      </c>
      <c r="W1667">
        <v>1.5110220000000001E-2</v>
      </c>
      <c r="X1667">
        <v>0.99954619999999905</v>
      </c>
      <c r="Y1667">
        <v>0.32295699999999999</v>
      </c>
      <c r="Z1667">
        <v>3.0745519999999998E-2</v>
      </c>
      <c r="AA1667">
        <v>0.94591409999999998</v>
      </c>
      <c r="AB1667">
        <v>25</v>
      </c>
      <c r="AC1667">
        <v>-6.9670000000000103</v>
      </c>
      <c r="AD1667">
        <v>-1.1024554528870001</v>
      </c>
      <c r="AE1667">
        <v>-33.832999999999998</v>
      </c>
      <c r="AF1667">
        <v>11.2249590360124</v>
      </c>
      <c r="AG1667">
        <v>-1.1024554528870001</v>
      </c>
      <c r="AH1667">
        <v>32.631030716250201</v>
      </c>
      <c r="AI1667">
        <v>91.829866967612602</v>
      </c>
      <c r="AJ1667">
        <v>71.016964331968197</v>
      </c>
      <c r="AK1667">
        <v>34.525342561524603</v>
      </c>
    </row>
    <row r="1668" spans="1:37" x14ac:dyDescent="0.2">
      <c r="A1668" t="str">
        <f>"20200111155530873"</f>
        <v>20200111155530873</v>
      </c>
      <c r="B1668" t="str">
        <f>"1578729330863937"</f>
        <v>1578729330863937</v>
      </c>
      <c r="C1668" t="s">
        <v>37</v>
      </c>
      <c r="D1668">
        <v>4.6208150000000003</v>
      </c>
      <c r="E1668">
        <v>0.61904979999999998</v>
      </c>
      <c r="F1668" t="s">
        <v>38</v>
      </c>
      <c r="G1668">
        <v>-198.60059999999999</v>
      </c>
      <c r="H1668" s="1">
        <v>-2.510212E-6</v>
      </c>
      <c r="I1668">
        <v>300.10610000000003</v>
      </c>
      <c r="J1668">
        <v>-191.62799999999999</v>
      </c>
      <c r="K1668">
        <v>1.1024449999999999</v>
      </c>
      <c r="L1668">
        <v>333.517</v>
      </c>
      <c r="M1668">
        <v>0.12649949999999999</v>
      </c>
      <c r="N1668">
        <v>0</v>
      </c>
      <c r="O1668">
        <v>-0.99196549999999994</v>
      </c>
      <c r="P1668">
        <v>0.10030839999999901</v>
      </c>
      <c r="Q1668">
        <v>1.3048840000000001E-2</v>
      </c>
      <c r="R1668">
        <v>-0.99487099999999995</v>
      </c>
      <c r="S1668">
        <v>-0.63505549999999999</v>
      </c>
      <c r="T1668">
        <v>-0.1008937</v>
      </c>
      <c r="U1668">
        <v>-3.0824889999999998</v>
      </c>
      <c r="V1668">
        <v>2.6379860000000002E-2</v>
      </c>
      <c r="W1668">
        <v>1.4588139999999999E-2</v>
      </c>
      <c r="X1668">
        <v>0.99954549999999998</v>
      </c>
      <c r="Y1668">
        <v>0.3239591</v>
      </c>
      <c r="Z1668">
        <v>3.1109339999999999E-2</v>
      </c>
      <c r="AA1668">
        <v>0.945559499999999</v>
      </c>
      <c r="AB1668">
        <v>25</v>
      </c>
      <c r="AC1668">
        <v>-6.9725999999999999</v>
      </c>
      <c r="AD1668">
        <v>-1.1024475102119999</v>
      </c>
      <c r="AE1668">
        <v>-33.410899999999899</v>
      </c>
      <c r="AF1668">
        <v>11.131439875688899</v>
      </c>
      <c r="AG1668">
        <v>-1.1024475102119999</v>
      </c>
      <c r="AH1668">
        <v>32.226843682618501</v>
      </c>
      <c r="AI1668">
        <v>91.851982252290995</v>
      </c>
      <c r="AJ1668">
        <v>70.944630000515204</v>
      </c>
      <c r="AK1668">
        <v>34.112956452978104</v>
      </c>
    </row>
    <row r="1669" spans="1:37" x14ac:dyDescent="0.2">
      <c r="A1669" t="str">
        <f>"20200111155530894"</f>
        <v>20200111155530894</v>
      </c>
      <c r="B1669" t="str">
        <f>"1578729330883456"</f>
        <v>1578729330883456</v>
      </c>
      <c r="C1669" t="s">
        <v>37</v>
      </c>
      <c r="D1669">
        <v>4.6141740000000002</v>
      </c>
      <c r="E1669">
        <v>0.61895800000000001</v>
      </c>
      <c r="F1669" t="s">
        <v>38</v>
      </c>
      <c r="G1669">
        <v>-198.4777</v>
      </c>
      <c r="H1669" s="1">
        <v>-2.6717659999999999E-6</v>
      </c>
      <c r="I1669">
        <v>300.55900000000003</v>
      </c>
      <c r="J1669">
        <v>-191.59790000000001</v>
      </c>
      <c r="K1669">
        <v>1.102436</v>
      </c>
      <c r="L1669">
        <v>333.27080000000001</v>
      </c>
      <c r="M1669">
        <v>0.12524769999999999</v>
      </c>
      <c r="N1669">
        <v>0</v>
      </c>
      <c r="O1669">
        <v>-0.99212420000000001</v>
      </c>
      <c r="P1669">
        <v>9.8777439999999994E-2</v>
      </c>
      <c r="Q1669">
        <v>1.2455340000000001E-2</v>
      </c>
      <c r="R1669">
        <v>-0.99503180000000002</v>
      </c>
      <c r="S1669">
        <v>-0.64041139999999996</v>
      </c>
      <c r="T1669">
        <v>-0.10307280000000001</v>
      </c>
      <c r="U1669">
        <v>-3.0813899999999999</v>
      </c>
      <c r="V1669">
        <v>2.6656820000000001E-2</v>
      </c>
      <c r="W1669">
        <v>1.4051279999999999E-2</v>
      </c>
      <c r="X1669">
        <v>0.99954589999999999</v>
      </c>
      <c r="Y1669">
        <v>0.32440340000000001</v>
      </c>
      <c r="Z1669">
        <v>3.1791439999999997E-2</v>
      </c>
      <c r="AA1669">
        <v>0.94538440000000001</v>
      </c>
      <c r="AB1669">
        <v>25</v>
      </c>
      <c r="AC1669">
        <v>-6.8797999999999799</v>
      </c>
      <c r="AD1669">
        <v>-1.102438671766</v>
      </c>
      <c r="AE1669">
        <v>-32.711799999999897</v>
      </c>
      <c r="AF1669">
        <v>10.9108403575765</v>
      </c>
      <c r="AG1669">
        <v>-1.102438671766</v>
      </c>
      <c r="AH1669">
        <v>31.558204765110901</v>
      </c>
      <c r="AI1669">
        <v>91.890986340140799</v>
      </c>
      <c r="AJ1669">
        <v>70.927836568317204</v>
      </c>
      <c r="AK1669">
        <v>33.409311521343803</v>
      </c>
    </row>
    <row r="1670" spans="1:37" x14ac:dyDescent="0.2">
      <c r="A1670" t="str">
        <f>"20200111155530915"</f>
        <v>20200111155530915</v>
      </c>
      <c r="B1670" t="str">
        <f>"1578729330903952"</f>
        <v>1578729330903952</v>
      </c>
      <c r="C1670" t="s">
        <v>37</v>
      </c>
      <c r="D1670">
        <v>4.6285410000000002</v>
      </c>
      <c r="E1670">
        <v>0.6188245</v>
      </c>
      <c r="F1670" t="s">
        <v>38</v>
      </c>
      <c r="G1670">
        <v>-198.38050000000001</v>
      </c>
      <c r="H1670" s="1">
        <v>-2.7702249999999998E-6</v>
      </c>
      <c r="I1670">
        <v>300.84879999999998</v>
      </c>
      <c r="J1670">
        <v>-191.5685</v>
      </c>
      <c r="K1670">
        <v>1.102433</v>
      </c>
      <c r="L1670">
        <v>333.02809999999999</v>
      </c>
      <c r="M1670">
        <v>0.12401379999999999</v>
      </c>
      <c r="N1670">
        <v>0</v>
      </c>
      <c r="O1670">
        <v>-0.99227919999999903</v>
      </c>
      <c r="P1670">
        <v>9.7965430000000006E-2</v>
      </c>
      <c r="Q1670">
        <v>1.1080390000000001E-2</v>
      </c>
      <c r="R1670">
        <v>-0.99512829999999997</v>
      </c>
      <c r="S1670">
        <v>-0.64437869999999997</v>
      </c>
      <c r="T1670">
        <v>-0.10473730000000001</v>
      </c>
      <c r="U1670">
        <v>-3.0802610000000001</v>
      </c>
      <c r="V1670">
        <v>2.6228950000000001E-2</v>
      </c>
      <c r="W1670">
        <v>1.2750579999999999E-2</v>
      </c>
      <c r="X1670">
        <v>0.99957469999999904</v>
      </c>
      <c r="Y1670">
        <v>0.32445949999999901</v>
      </c>
      <c r="Z1670">
        <v>3.2319180000000003E-2</v>
      </c>
      <c r="AA1670">
        <v>0.9453473</v>
      </c>
      <c r="AB1670">
        <v>26</v>
      </c>
      <c r="AC1670">
        <v>-6.81200000000001</v>
      </c>
      <c r="AD1670">
        <v>-1.1024357702249901</v>
      </c>
      <c r="AE1670">
        <v>-32.179299999999998</v>
      </c>
      <c r="AF1670">
        <v>10.738034407211099</v>
      </c>
      <c r="AG1670">
        <v>-1.1024357702249901</v>
      </c>
      <c r="AH1670">
        <v>31.051226546126401</v>
      </c>
      <c r="AI1670">
        <v>91.921785469433999</v>
      </c>
      <c r="AJ1670">
        <v>70.923757076892898</v>
      </c>
      <c r="AK1670">
        <v>32.873993027570997</v>
      </c>
    </row>
    <row r="1671" spans="1:37" x14ac:dyDescent="0.2">
      <c r="A1671" t="str">
        <f>"20200111155530939"</f>
        <v>20200111155530939</v>
      </c>
      <c r="B1671" t="str">
        <f>"1578729330934208"</f>
        <v>1578729330934208</v>
      </c>
      <c r="C1671" t="s">
        <v>37</v>
      </c>
      <c r="D1671">
        <v>4.5670919999999997</v>
      </c>
      <c r="E1671">
        <v>0.61884459999999997</v>
      </c>
      <c r="F1671" t="s">
        <v>38</v>
      </c>
      <c r="G1671">
        <v>-198.1053</v>
      </c>
      <c r="H1671" s="1">
        <v>-3.0966969999999899E-6</v>
      </c>
      <c r="I1671">
        <v>301.86169999999998</v>
      </c>
      <c r="J1671">
        <v>-191.53630000000001</v>
      </c>
      <c r="K1671">
        <v>1.1024320000000001</v>
      </c>
      <c r="L1671">
        <v>332.75839999999999</v>
      </c>
      <c r="M1671">
        <v>0.1226447</v>
      </c>
      <c r="N1671">
        <v>0</v>
      </c>
      <c r="O1671">
        <v>-0.99244920000000003</v>
      </c>
      <c r="P1671">
        <v>9.6746559999999995E-2</v>
      </c>
      <c r="Q1671">
        <v>1.10187999999999E-2</v>
      </c>
      <c r="R1671">
        <v>-0.99524849999999998</v>
      </c>
      <c r="S1671">
        <v>-0.6458893</v>
      </c>
      <c r="T1671">
        <v>-0.1089311</v>
      </c>
      <c r="U1671">
        <v>-3.079529</v>
      </c>
      <c r="V1671">
        <v>2.6074799999999999E-2</v>
      </c>
      <c r="W1671">
        <v>1.2798260000000001E-2</v>
      </c>
      <c r="X1671">
        <v>0.99957809999999903</v>
      </c>
      <c r="Y1671">
        <v>0.3236347</v>
      </c>
      <c r="Z1671">
        <v>3.3631769999999998E-2</v>
      </c>
      <c r="AA1671">
        <v>0.94558419999999899</v>
      </c>
      <c r="AB1671">
        <v>26</v>
      </c>
      <c r="AC1671">
        <v>-6.5689999999999804</v>
      </c>
      <c r="AD1671">
        <v>-1.102435096697</v>
      </c>
      <c r="AE1671">
        <v>-30.896699999999999</v>
      </c>
      <c r="AF1671">
        <v>10.296188325688901</v>
      </c>
      <c r="AG1671">
        <v>-1.102435096697</v>
      </c>
      <c r="AH1671">
        <v>29.821469542020498</v>
      </c>
      <c r="AI1671">
        <v>92.001313415452202</v>
      </c>
      <c r="AJ1671">
        <v>70.952206677502005</v>
      </c>
      <c r="AK1671">
        <v>31.5681311265988</v>
      </c>
    </row>
    <row r="1672" spans="1:37" x14ac:dyDescent="0.2">
      <c r="A1672" t="str">
        <f>"20200111155530961"</f>
        <v>20200111155530961</v>
      </c>
      <c r="B1672" t="str">
        <f>"1578729330953728"</f>
        <v>1578729330953728</v>
      </c>
      <c r="C1672" t="s">
        <v>37</v>
      </c>
      <c r="D1672">
        <v>4.5529080000000004</v>
      </c>
      <c r="E1672">
        <v>0.61888180000000004</v>
      </c>
      <c r="F1672" t="s">
        <v>38</v>
      </c>
      <c r="G1672">
        <v>-198.0993</v>
      </c>
      <c r="H1672" s="1">
        <v>-3.0278769999999998E-6</v>
      </c>
      <c r="I1672">
        <v>301.6626</v>
      </c>
      <c r="J1672">
        <v>-191.5051</v>
      </c>
      <c r="K1672">
        <v>1.1024499999999999</v>
      </c>
      <c r="L1672">
        <v>332.4941</v>
      </c>
      <c r="M1672">
        <v>0.1213043</v>
      </c>
      <c r="N1672">
        <v>0</v>
      </c>
      <c r="O1672">
        <v>-0.99261339999999998</v>
      </c>
      <c r="P1672">
        <v>9.4489050000000005E-2</v>
      </c>
      <c r="Q1672">
        <v>1.152655E-2</v>
      </c>
      <c r="R1672">
        <v>-0.99545910000000004</v>
      </c>
      <c r="S1672">
        <v>-0.64978029999999998</v>
      </c>
      <c r="T1672">
        <v>-0.109149</v>
      </c>
      <c r="U1672">
        <v>-3.0787049999999998</v>
      </c>
      <c r="V1672">
        <v>2.699323E-2</v>
      </c>
      <c r="W1672">
        <v>1.3454809999999999E-2</v>
      </c>
      <c r="X1672">
        <v>0.99954500000000002</v>
      </c>
      <c r="Y1672">
        <v>0.3235518</v>
      </c>
      <c r="Z1672">
        <v>3.3712659999999998E-2</v>
      </c>
      <c r="AA1672">
        <v>0.9456097</v>
      </c>
      <c r="AB1672">
        <v>26</v>
      </c>
      <c r="AC1672">
        <v>-6.5941999999999998</v>
      </c>
      <c r="AD1672">
        <v>-1.1024530278769999</v>
      </c>
      <c r="AE1672">
        <v>-30.831499999999998</v>
      </c>
      <c r="AF1672">
        <v>10.272944578407699</v>
      </c>
      <c r="AG1672">
        <v>-1.1024530278769999</v>
      </c>
      <c r="AH1672">
        <v>29.767517885026301</v>
      </c>
      <c r="AI1672">
        <v>92.005066115219705</v>
      </c>
      <c r="AJ1672">
        <v>70.9601461132374</v>
      </c>
      <c r="AK1672">
        <v>31.509584478775199</v>
      </c>
    </row>
    <row r="1673" spans="1:37" x14ac:dyDescent="0.2">
      <c r="A1673" t="str">
        <f>"20200111155530983"</f>
        <v>20200111155530983</v>
      </c>
      <c r="B1673" t="str">
        <f>"1578729330974224"</f>
        <v>1578729330974224</v>
      </c>
      <c r="C1673" t="s">
        <v>37</v>
      </c>
      <c r="D1673">
        <v>4.5134410000000003</v>
      </c>
      <c r="E1673">
        <v>0.61891010000000002</v>
      </c>
      <c r="F1673" t="s">
        <v>38</v>
      </c>
      <c r="G1673">
        <v>-198.2465</v>
      </c>
      <c r="H1673" s="1">
        <v>-2.760804E-6</v>
      </c>
      <c r="I1673">
        <v>300.90989999999999</v>
      </c>
      <c r="J1673">
        <v>-191.47579999999999</v>
      </c>
      <c r="K1673">
        <v>1.1024689999999999</v>
      </c>
      <c r="L1673">
        <v>332.24340000000001</v>
      </c>
      <c r="M1673">
        <v>0.120032999999999</v>
      </c>
      <c r="N1673">
        <v>0</v>
      </c>
      <c r="O1673">
        <v>-0.99276779999999998</v>
      </c>
      <c r="P1673">
        <v>9.1824340000000004E-2</v>
      </c>
      <c r="Q1673">
        <v>1.267455E-2</v>
      </c>
      <c r="R1673">
        <v>-0.99569479999999999</v>
      </c>
      <c r="S1673">
        <v>-0.65681460000000003</v>
      </c>
      <c r="T1673">
        <v>-0.10741189999999901</v>
      </c>
      <c r="U1673">
        <v>-3.0772400000000002</v>
      </c>
      <c r="V1673">
        <v>2.8390249999999999E-2</v>
      </c>
      <c r="W1673">
        <v>1.476741E-2</v>
      </c>
      <c r="X1673">
        <v>0.99948780000000004</v>
      </c>
      <c r="Y1673">
        <v>0.32450289999999998</v>
      </c>
      <c r="Z1673">
        <v>3.3186819999999999E-2</v>
      </c>
      <c r="AA1673">
        <v>0.94530230000000004</v>
      </c>
      <c r="AB1673">
        <v>26</v>
      </c>
      <c r="AC1673">
        <v>-6.7706999999999997</v>
      </c>
      <c r="AD1673">
        <v>-1.102471760804</v>
      </c>
      <c r="AE1673">
        <v>-31.333500000000001</v>
      </c>
      <c r="AF1673">
        <v>10.4704247911734</v>
      </c>
      <c r="AG1673">
        <v>-1.102471760804</v>
      </c>
      <c r="AH1673">
        <v>30.258457056214802</v>
      </c>
      <c r="AI1673">
        <v>91.972029542899193</v>
      </c>
      <c r="AJ1673">
        <v>70.912691126619407</v>
      </c>
      <c r="AK1673">
        <v>32.037781800770603</v>
      </c>
    </row>
    <row r="1674" spans="1:37" x14ac:dyDescent="0.2">
      <c r="A1674" t="str">
        <f>"20200111155531005"</f>
        <v>20200111155531005</v>
      </c>
      <c r="B1674" t="str">
        <f>"1578729330993744"</f>
        <v>1578729330993744</v>
      </c>
      <c r="C1674" t="s">
        <v>37</v>
      </c>
      <c r="D1674">
        <v>4.4941230000000001</v>
      </c>
      <c r="E1674">
        <v>0.61901899999999999</v>
      </c>
      <c r="F1674" t="s">
        <v>56</v>
      </c>
      <c r="G1674">
        <v>-198.57169999999999</v>
      </c>
      <c r="H1674" s="1">
        <v>2.9674809999999998E-8</v>
      </c>
      <c r="I1674">
        <v>299.44779999999997</v>
      </c>
      <c r="J1674">
        <v>-191.4453</v>
      </c>
      <c r="K1674">
        <v>1.1024909999999899</v>
      </c>
      <c r="L1674">
        <v>331.97879999999998</v>
      </c>
      <c r="M1674">
        <v>0.118689899999999</v>
      </c>
      <c r="N1674">
        <v>0</v>
      </c>
      <c r="O1674">
        <v>-0.99292879999999994</v>
      </c>
      <c r="P1674">
        <v>8.8310550000000002E-2</v>
      </c>
      <c r="Q1674">
        <v>1.350225E-2</v>
      </c>
      <c r="R1674">
        <v>-0.99600169999999999</v>
      </c>
      <c r="S1674">
        <v>-0.66546629999999996</v>
      </c>
      <c r="T1674">
        <v>-0.10339130000000001</v>
      </c>
      <c r="U1674">
        <v>-3.07562299999999</v>
      </c>
      <c r="V1674">
        <v>3.05663999999999E-2</v>
      </c>
      <c r="W1674">
        <v>1.5802030000000002E-2</v>
      </c>
      <c r="X1674">
        <v>0.99940779999999996</v>
      </c>
      <c r="Y1674">
        <v>0.32587500000000003</v>
      </c>
      <c r="Z1674">
        <v>3.1953309999999999E-2</v>
      </c>
      <c r="AA1674">
        <v>0.94487269999999901</v>
      </c>
      <c r="AB1674">
        <v>26</v>
      </c>
      <c r="AC1674">
        <v>-7.1263999999999896</v>
      </c>
      <c r="AD1674">
        <v>-1.1024909703251899</v>
      </c>
      <c r="AE1674">
        <v>-32.530999999999999</v>
      </c>
      <c r="AF1674">
        <v>10.925163215984201</v>
      </c>
      <c r="AG1674">
        <v>-1.1024909703251899</v>
      </c>
      <c r="AH1674">
        <v>31.4207791844775</v>
      </c>
      <c r="AI1674">
        <v>91.898185239709406</v>
      </c>
      <c r="AJ1674">
        <v>70.827179278376803</v>
      </c>
      <c r="AK1674">
        <v>33.284231134205797</v>
      </c>
    </row>
    <row r="1675" spans="1:37" x14ac:dyDescent="0.2">
      <c r="A1675" t="str">
        <f>"20200111155531027"</f>
        <v>20200111155531027</v>
      </c>
      <c r="B1675" t="str">
        <f>"1578729331024001"</f>
        <v>1578729331024001</v>
      </c>
      <c r="C1675" t="s">
        <v>37</v>
      </c>
      <c r="D1675">
        <v>4.4153159999999998</v>
      </c>
      <c r="E1675">
        <v>0.61931809999999998</v>
      </c>
      <c r="F1675" t="s">
        <v>56</v>
      </c>
      <c r="G1675">
        <v>-198.88159999999999</v>
      </c>
      <c r="H1675" s="1">
        <v>2.454556E-7</v>
      </c>
      <c r="I1675">
        <v>298.2226</v>
      </c>
      <c r="J1675">
        <v>-191.41399999999999</v>
      </c>
      <c r="K1675">
        <v>1.102525</v>
      </c>
      <c r="L1675">
        <v>331.7045</v>
      </c>
      <c r="M1675">
        <v>0.1172976</v>
      </c>
      <c r="N1675">
        <v>0</v>
      </c>
      <c r="O1675">
        <v>-0.99309360000000002</v>
      </c>
      <c r="P1675">
        <v>8.4754570000000001E-2</v>
      </c>
      <c r="Q1675">
        <v>1.343865E-2</v>
      </c>
      <c r="R1675">
        <v>-0.99631170000000002</v>
      </c>
      <c r="S1675">
        <v>-0.67706299999999997</v>
      </c>
      <c r="T1675">
        <v>-0.1003793</v>
      </c>
      <c r="U1675">
        <v>-3.0734249999999999</v>
      </c>
      <c r="V1675">
        <v>3.2733869999999998E-2</v>
      </c>
      <c r="W1675">
        <v>1.6013719999999999E-2</v>
      </c>
      <c r="X1675">
        <v>0.9993358</v>
      </c>
      <c r="Y1675">
        <v>0.32809759999999999</v>
      </c>
      <c r="Z1675">
        <v>3.1028399999999901E-2</v>
      </c>
      <c r="AA1675">
        <v>0.94413409999999998</v>
      </c>
      <c r="AB1675">
        <v>26</v>
      </c>
      <c r="AC1675">
        <v>-7.4675999999999698</v>
      </c>
      <c r="AD1675">
        <v>-1.1025247545443999</v>
      </c>
      <c r="AE1675">
        <v>-33.481900000000003</v>
      </c>
      <c r="AF1675">
        <v>11.331703521393299</v>
      </c>
      <c r="AG1675">
        <v>-1.1025247545443999</v>
      </c>
      <c r="AH1675">
        <v>32.341425642816901</v>
      </c>
      <c r="AI1675">
        <v>91.842713212138307</v>
      </c>
      <c r="AJ1675">
        <v>70.690694163586997</v>
      </c>
      <c r="AK1675">
        <v>34.286890762228602</v>
      </c>
    </row>
    <row r="1676" spans="1:37" x14ac:dyDescent="0.2">
      <c r="A1676" t="str">
        <f>"20200111155531051"</f>
        <v>20200111155531051</v>
      </c>
      <c r="B1676" t="str">
        <f>"1578729331043521"</f>
        <v>1578729331043521</v>
      </c>
      <c r="C1676" t="s">
        <v>37</v>
      </c>
      <c r="D1676">
        <v>4.4285889999999997</v>
      </c>
      <c r="E1676">
        <v>0.61948709999999996</v>
      </c>
      <c r="F1676" t="s">
        <v>56</v>
      </c>
      <c r="G1676">
        <v>-199.12790000000001</v>
      </c>
      <c r="H1676" s="1">
        <v>3.9137269999999999E-7</v>
      </c>
      <c r="I1676">
        <v>297.39409999999998</v>
      </c>
      <c r="J1676">
        <v>-191.38339999999999</v>
      </c>
      <c r="K1676">
        <v>1.1025700000000001</v>
      </c>
      <c r="L1676">
        <v>331.4332</v>
      </c>
      <c r="M1676">
        <v>0.115921</v>
      </c>
      <c r="N1676">
        <v>0</v>
      </c>
      <c r="O1676">
        <v>-0.99325390000000002</v>
      </c>
      <c r="P1676">
        <v>8.1534339999999997E-2</v>
      </c>
      <c r="Q1676">
        <v>1.199747E-2</v>
      </c>
      <c r="R1676">
        <v>-0.99659819999999999</v>
      </c>
      <c r="S1676">
        <v>-0.69049069999999901</v>
      </c>
      <c r="T1676">
        <v>-9.8690269999999997E-2</v>
      </c>
      <c r="U1676">
        <v>-3.0712280000000001</v>
      </c>
      <c r="V1676">
        <v>3.4578440000000002E-2</v>
      </c>
      <c r="W1676">
        <v>1.4926180000000001E-2</v>
      </c>
      <c r="X1676">
        <v>0.99929049999999997</v>
      </c>
      <c r="Y1676">
        <v>0.33086549999999998</v>
      </c>
      <c r="Z1676">
        <v>3.0506189999999999E-2</v>
      </c>
      <c r="AA1676">
        <v>0.94318469999999999</v>
      </c>
      <c r="AB1676">
        <v>27</v>
      </c>
      <c r="AC1676">
        <v>-7.7445000000000102</v>
      </c>
      <c r="AD1676">
        <v>-1.1025696086273</v>
      </c>
      <c r="AE1676">
        <v>-34.039099999999998</v>
      </c>
      <c r="AF1676">
        <v>11.6265556357279</v>
      </c>
      <c r="AG1676">
        <v>-1.1025696086273</v>
      </c>
      <c r="AH1676">
        <v>32.879068217639002</v>
      </c>
      <c r="AI1676">
        <v>91.810838593644903</v>
      </c>
      <c r="AJ1676">
        <v>70.525604622067306</v>
      </c>
      <c r="AK1676">
        <v>34.8916262526227</v>
      </c>
    </row>
    <row r="1677" spans="1:37" x14ac:dyDescent="0.2">
      <c r="A1677" t="str">
        <f>"20200111155531072"</f>
        <v>20200111155531072</v>
      </c>
      <c r="B1677" t="str">
        <f>"1578729331064016"</f>
        <v>1578729331064016</v>
      </c>
      <c r="C1677" t="s">
        <v>37</v>
      </c>
      <c r="D1677">
        <v>4.4667589999999997</v>
      </c>
      <c r="E1677">
        <v>0.61969730000000001</v>
      </c>
      <c r="F1677" t="s">
        <v>56</v>
      </c>
      <c r="G1677">
        <v>-198.97890000000001</v>
      </c>
      <c r="H1677" s="1">
        <v>2.479066E-7</v>
      </c>
      <c r="I1677">
        <v>298.20870000000002</v>
      </c>
      <c r="J1677">
        <v>-191.35550000000001</v>
      </c>
      <c r="K1677">
        <v>1.102619</v>
      </c>
      <c r="L1677">
        <v>331.18239999999997</v>
      </c>
      <c r="M1677">
        <v>0.11464829999999999</v>
      </c>
      <c r="N1677">
        <v>0</v>
      </c>
      <c r="O1677">
        <v>-0.99340049999999902</v>
      </c>
      <c r="P1677">
        <v>7.8946089999999997E-2</v>
      </c>
      <c r="Q1677">
        <v>1.113199E-2</v>
      </c>
      <c r="R1677">
        <v>-0.99681690000000001</v>
      </c>
      <c r="S1677">
        <v>-0.70156859999999999</v>
      </c>
      <c r="T1677">
        <v>-0.1018411</v>
      </c>
      <c r="U1677">
        <v>-3.068848</v>
      </c>
      <c r="V1677">
        <v>3.5893699999999903E-2</v>
      </c>
      <c r="W1677">
        <v>1.4478E-2</v>
      </c>
      <c r="X1677">
        <v>0.99925069999999905</v>
      </c>
      <c r="Y1677">
        <v>0.33304339999999999</v>
      </c>
      <c r="Z1677">
        <v>3.1485220000000001E-2</v>
      </c>
      <c r="AA1677">
        <v>0.94238569999999999</v>
      </c>
      <c r="AB1677">
        <v>27</v>
      </c>
      <c r="AC1677">
        <v>-7.6234000000000002</v>
      </c>
      <c r="AD1677">
        <v>-1.1026187520934001</v>
      </c>
      <c r="AE1677">
        <v>-32.973699999999901</v>
      </c>
      <c r="AF1677">
        <v>11.341493219425599</v>
      </c>
      <c r="AG1677">
        <v>-1.1026187520934001</v>
      </c>
      <c r="AH1677">
        <v>31.848453346256498</v>
      </c>
      <c r="AI1677">
        <v>91.868012675605399</v>
      </c>
      <c r="AJ1677">
        <v>70.398772071408402</v>
      </c>
      <c r="AK1677">
        <v>33.825570462409303</v>
      </c>
    </row>
    <row r="1678" spans="1:37" x14ac:dyDescent="0.2">
      <c r="A1678" t="str">
        <f>"20200111155531096"</f>
        <v>20200111155531096</v>
      </c>
      <c r="B1678" t="str">
        <f>"1578729331083536"</f>
        <v>1578729331083536</v>
      </c>
      <c r="C1678" t="s">
        <v>37</v>
      </c>
      <c r="D1678">
        <v>4.4206000000000003</v>
      </c>
      <c r="E1678">
        <v>0.61976399999999998</v>
      </c>
      <c r="F1678" t="s">
        <v>56</v>
      </c>
      <c r="G1678">
        <v>-199.0213</v>
      </c>
      <c r="H1678" s="1">
        <v>2.6219780000000002E-7</v>
      </c>
      <c r="I1678">
        <v>298.1275</v>
      </c>
      <c r="J1678">
        <v>-191.3246</v>
      </c>
      <c r="K1678">
        <v>1.102708</v>
      </c>
      <c r="L1678">
        <v>330.90089999999998</v>
      </c>
      <c r="M1678">
        <v>0.113218899999999</v>
      </c>
      <c r="N1678">
        <v>0</v>
      </c>
      <c r="O1678">
        <v>-0.99356199999999995</v>
      </c>
      <c r="P1678">
        <v>7.6973559999999996E-2</v>
      </c>
      <c r="Q1678">
        <v>9.3708760000000002E-3</v>
      </c>
      <c r="R1678">
        <v>-0.99698899999999901</v>
      </c>
      <c r="S1678">
        <v>-0.71127320000000005</v>
      </c>
      <c r="T1678">
        <v>-0.1023073</v>
      </c>
      <c r="U1678">
        <v>-3.0670169999999999</v>
      </c>
      <c r="V1678">
        <v>3.6433060000000003E-2</v>
      </c>
      <c r="W1678">
        <v>1.330128E-2</v>
      </c>
      <c r="X1678">
        <v>0.99924760000000001</v>
      </c>
      <c r="Y1678">
        <v>0.33463949999999998</v>
      </c>
      <c r="Z1678">
        <v>3.1635339999999998E-2</v>
      </c>
      <c r="AA1678">
        <v>0.94181510000000002</v>
      </c>
      <c r="AB1678">
        <v>27</v>
      </c>
      <c r="AC1678">
        <v>-7.6966999999999901</v>
      </c>
      <c r="AD1678">
        <v>-1.1027077378022001</v>
      </c>
      <c r="AE1678">
        <v>-32.773399999999903</v>
      </c>
      <c r="AF1678">
        <v>11.3456351669103</v>
      </c>
      <c r="AG1678">
        <v>-1.1027077378022001</v>
      </c>
      <c r="AH1678">
        <v>31.657281637283798</v>
      </c>
      <c r="AI1678">
        <v>91.878079809325996</v>
      </c>
      <c r="AJ1678">
        <v>70.282857097997905</v>
      </c>
      <c r="AK1678">
        <v>33.647033782459097</v>
      </c>
    </row>
    <row r="1679" spans="1:37" x14ac:dyDescent="0.2">
      <c r="A1679" t="str">
        <f>"20200111155531118"</f>
        <v>20200111155531118</v>
      </c>
      <c r="B1679" t="str">
        <f>"1578729331114768"</f>
        <v>1578729331114768</v>
      </c>
      <c r="C1679" t="s">
        <v>37</v>
      </c>
      <c r="D1679">
        <v>4.3752079999999998</v>
      </c>
      <c r="E1679">
        <v>0.61978769999999905</v>
      </c>
      <c r="F1679" t="s">
        <v>56</v>
      </c>
      <c r="G1679">
        <v>-198.7645</v>
      </c>
      <c r="H1679" s="1">
        <v>8.5434309999999995E-8</v>
      </c>
      <c r="I1679">
        <v>299.13119999999998</v>
      </c>
      <c r="J1679">
        <v>-191.29519999999999</v>
      </c>
      <c r="K1679">
        <v>1.1028089999999999</v>
      </c>
      <c r="L1679">
        <v>330.6302</v>
      </c>
      <c r="M1679">
        <v>0.1118416</v>
      </c>
      <c r="N1679">
        <v>0</v>
      </c>
      <c r="O1679">
        <v>-0.99371500000000001</v>
      </c>
      <c r="P1679">
        <v>7.5582629999999998E-2</v>
      </c>
      <c r="Q1679">
        <v>8.2124069999999997E-3</v>
      </c>
      <c r="R1679">
        <v>-0.99710599999999905</v>
      </c>
      <c r="S1679">
        <v>-0.71789550000000002</v>
      </c>
      <c r="T1679">
        <v>-0.1064025</v>
      </c>
      <c r="U1679">
        <v>-3.0655209999999999</v>
      </c>
      <c r="V1679">
        <v>3.6442769999999999E-2</v>
      </c>
      <c r="W1679">
        <v>1.2820669999999999E-2</v>
      </c>
      <c r="X1679">
        <v>0.99925350000000002</v>
      </c>
      <c r="Y1679">
        <v>0.33535479999999901</v>
      </c>
      <c r="Z1679">
        <v>3.2911540000000003E-2</v>
      </c>
      <c r="AA1679">
        <v>0.94151689999999999</v>
      </c>
      <c r="AB1679">
        <v>27</v>
      </c>
      <c r="AC1679">
        <v>-7.4692999999999996</v>
      </c>
      <c r="AD1679">
        <v>-1.1028089145656901</v>
      </c>
      <c r="AE1679">
        <v>-31.498999999999999</v>
      </c>
      <c r="AF1679">
        <v>10.9326866790982</v>
      </c>
      <c r="AG1679">
        <v>-1.1028089145656901</v>
      </c>
      <c r="AH1679">
        <v>30.430669695404301</v>
      </c>
      <c r="AI1679">
        <v>91.953360211534701</v>
      </c>
      <c r="AJ1679">
        <v>70.238392951020501</v>
      </c>
      <c r="AK1679">
        <v>32.353755325095896</v>
      </c>
    </row>
    <row r="1680" spans="1:37" x14ac:dyDescent="0.2">
      <c r="A1680" t="str">
        <f>"20200111155531141"</f>
        <v>20200111155531141</v>
      </c>
      <c r="B1680" t="str">
        <f>"1578729331134289"</f>
        <v>1578729331134289</v>
      </c>
      <c r="C1680" t="s">
        <v>37</v>
      </c>
      <c r="D1680">
        <v>4.4238989999999996</v>
      </c>
      <c r="E1680">
        <v>0.61987979999999998</v>
      </c>
      <c r="F1680" t="s">
        <v>56</v>
      </c>
      <c r="G1680">
        <v>-198.77010000000001</v>
      </c>
      <c r="H1680" s="1">
        <v>1.2019490000000001E-7</v>
      </c>
      <c r="I1680">
        <v>298.93389999999999</v>
      </c>
      <c r="J1680">
        <v>-191.26650000000001</v>
      </c>
      <c r="K1680">
        <v>1.1029329999999999</v>
      </c>
      <c r="L1680">
        <v>330.36070000000001</v>
      </c>
      <c r="M1680">
        <v>0.110479199999999</v>
      </c>
      <c r="N1680">
        <v>0</v>
      </c>
      <c r="O1680">
        <v>-0.99386350000000001</v>
      </c>
      <c r="P1680">
        <v>7.4062379999999997E-2</v>
      </c>
      <c r="Q1680">
        <v>7.0967809999999999E-3</v>
      </c>
      <c r="R1680">
        <v>-0.99722849999999996</v>
      </c>
      <c r="S1680">
        <v>-0.72267150000000002</v>
      </c>
      <c r="T1680">
        <v>-0.1066192</v>
      </c>
      <c r="U1680">
        <v>-3.0643919999999998</v>
      </c>
      <c r="V1680">
        <v>3.6597190000000002E-2</v>
      </c>
      <c r="W1680">
        <v>1.24955E-2</v>
      </c>
      <c r="X1680">
        <v>0.99925200000000003</v>
      </c>
      <c r="Y1680">
        <v>0.33553090000000002</v>
      </c>
      <c r="Z1680">
        <v>3.2991329999999999E-2</v>
      </c>
      <c r="AA1680">
        <v>0.94145129999999999</v>
      </c>
      <c r="AB1680">
        <v>27</v>
      </c>
      <c r="AC1680">
        <v>-7.5035999999999996</v>
      </c>
      <c r="AD1680">
        <v>-1.1029328798050999</v>
      </c>
      <c r="AE1680">
        <v>-31.4268</v>
      </c>
      <c r="AF1680">
        <v>10.9170030864907</v>
      </c>
      <c r="AG1680">
        <v>-1.1029328798050999</v>
      </c>
      <c r="AH1680">
        <v>30.370020394851</v>
      </c>
      <c r="AI1680">
        <v>91.957352760452096</v>
      </c>
      <c r="AJ1680">
        <v>70.228191620981406</v>
      </c>
      <c r="AK1680">
        <v>32.291416136668097</v>
      </c>
    </row>
    <row r="1681" spans="1:37" x14ac:dyDescent="0.2">
      <c r="A1681" t="str">
        <f>"20200111155531163"</f>
        <v>20200111155531163</v>
      </c>
      <c r="B1681" t="str">
        <f>"1578729331153810"</f>
        <v>1578729331153810</v>
      </c>
      <c r="C1681" t="s">
        <v>37</v>
      </c>
      <c r="D1681">
        <v>4.4174169999999897</v>
      </c>
      <c r="E1681">
        <v>0.62004630000000005</v>
      </c>
      <c r="F1681" t="s">
        <v>56</v>
      </c>
      <c r="G1681">
        <v>-198.72839999999999</v>
      </c>
      <c r="H1681" s="1">
        <v>1.135352E-7</v>
      </c>
      <c r="I1681">
        <v>298.9717</v>
      </c>
      <c r="J1681">
        <v>-191.23849999999999</v>
      </c>
      <c r="K1681">
        <v>1.1030629999999999</v>
      </c>
      <c r="L1681">
        <v>330.09550000000002</v>
      </c>
      <c r="M1681">
        <v>0.1091403</v>
      </c>
      <c r="N1681">
        <v>0</v>
      </c>
      <c r="O1681">
        <v>-0.99400639999999996</v>
      </c>
      <c r="P1681">
        <v>7.2812329999999995E-2</v>
      </c>
      <c r="Q1681">
        <v>6.1126560000000002E-3</v>
      </c>
      <c r="R1681">
        <v>-0.99732739999999998</v>
      </c>
      <c r="S1681">
        <v>-0.72819519999999904</v>
      </c>
      <c r="T1681">
        <v>-0.107633199999999</v>
      </c>
      <c r="U1681">
        <v>-3.063202</v>
      </c>
      <c r="V1681">
        <v>3.6504509999999997E-2</v>
      </c>
      <c r="W1681">
        <v>1.235722E-2</v>
      </c>
      <c r="X1681">
        <v>0.99925710000000001</v>
      </c>
      <c r="Y1681">
        <v>0.3359491</v>
      </c>
      <c r="Z1681">
        <v>3.3315610000000002E-2</v>
      </c>
      <c r="AA1681">
        <v>0.94129069999999904</v>
      </c>
      <c r="AB1681">
        <v>27</v>
      </c>
      <c r="AC1681">
        <v>-7.4898999999999996</v>
      </c>
      <c r="AD1681">
        <v>-1.1030628864648</v>
      </c>
      <c r="AE1681">
        <v>-31.123799999999999</v>
      </c>
      <c r="AF1681">
        <v>10.8292267676938</v>
      </c>
      <c r="AG1681">
        <v>-1.1030628864648</v>
      </c>
      <c r="AH1681">
        <v>30.084683939466199</v>
      </c>
      <c r="AI1681">
        <v>91.975826031005298</v>
      </c>
      <c r="AJ1681">
        <v>70.203247082558207</v>
      </c>
      <c r="AK1681">
        <v>31.993391627884801</v>
      </c>
    </row>
    <row r="1682" spans="1:37" x14ac:dyDescent="0.2">
      <c r="A1682" t="str">
        <f>"20200111155531185"</f>
        <v>20200111155531185</v>
      </c>
      <c r="B1682" t="str">
        <f>"1578729331174304"</f>
        <v>1578729331174304</v>
      </c>
      <c r="C1682" t="s">
        <v>37</v>
      </c>
      <c r="D1682">
        <v>4.3667730000000002</v>
      </c>
      <c r="E1682">
        <v>0.62015430000000005</v>
      </c>
      <c r="F1682" t="s">
        <v>56</v>
      </c>
      <c r="G1682">
        <v>-198.71440000000001</v>
      </c>
      <c r="H1682" s="1">
        <v>1.2957750000000001E-7</v>
      </c>
      <c r="I1682">
        <v>298.88060000000002</v>
      </c>
      <c r="J1682">
        <v>-191.2124</v>
      </c>
      <c r="K1682">
        <v>1.1031789999999999</v>
      </c>
      <c r="L1682">
        <v>329.84390000000002</v>
      </c>
      <c r="M1682">
        <v>0.1078621</v>
      </c>
      <c r="N1682">
        <v>0</v>
      </c>
      <c r="O1682">
        <v>-0.99414049999999998</v>
      </c>
      <c r="P1682">
        <v>7.1810440000000003E-2</v>
      </c>
      <c r="Q1682">
        <v>5.7993139999999999E-3</v>
      </c>
      <c r="R1682">
        <v>-0.99740180000000001</v>
      </c>
      <c r="S1682">
        <v>-0.73339840000000001</v>
      </c>
      <c r="T1682">
        <v>-0.1082132</v>
      </c>
      <c r="U1682">
        <v>-3.0622560000000001</v>
      </c>
      <c r="V1682">
        <v>3.6225300000000002E-2</v>
      </c>
      <c r="W1682">
        <v>1.2837360000000001E-2</v>
      </c>
      <c r="X1682">
        <v>0.99926119999999996</v>
      </c>
      <c r="Y1682">
        <v>0.3363158</v>
      </c>
      <c r="Z1682">
        <v>3.3503489999999997E-2</v>
      </c>
      <c r="AA1682">
        <v>0.94115309999999897</v>
      </c>
      <c r="AB1682">
        <v>27</v>
      </c>
      <c r="AC1682">
        <v>-7.5019999999999998</v>
      </c>
      <c r="AD1682">
        <v>-1.1031788704225001</v>
      </c>
      <c r="AE1682">
        <v>-30.9633</v>
      </c>
      <c r="AF1682">
        <v>10.7851493725093</v>
      </c>
      <c r="AG1682">
        <v>-1.1031788704225001</v>
      </c>
      <c r="AH1682">
        <v>29.937549453450199</v>
      </c>
      <c r="AI1682">
        <v>91.985549802362897</v>
      </c>
      <c r="AJ1682">
        <v>70.188194784589498</v>
      </c>
      <c r="AK1682">
        <v>31.8401211977163</v>
      </c>
    </row>
    <row r="1683" spans="1:37" x14ac:dyDescent="0.2">
      <c r="A1683" t="str">
        <f>"20200111155531207"</f>
        <v>20200111155531207</v>
      </c>
      <c r="B1683" t="str">
        <f>"1578729331204560"</f>
        <v>1578729331204560</v>
      </c>
      <c r="C1683" t="s">
        <v>37</v>
      </c>
      <c r="D1683">
        <v>4.3981639999999897</v>
      </c>
      <c r="E1683">
        <v>0.62035699999999905</v>
      </c>
      <c r="F1683" t="s">
        <v>56</v>
      </c>
      <c r="G1683">
        <v>-198.76329999999999</v>
      </c>
      <c r="H1683" s="1">
        <v>1.98746E-7</v>
      </c>
      <c r="I1683">
        <v>298.48779999999999</v>
      </c>
      <c r="J1683">
        <v>-191.18450000000001</v>
      </c>
      <c r="K1683">
        <v>1.1032770000000001</v>
      </c>
      <c r="L1683">
        <v>329.57209999999998</v>
      </c>
      <c r="M1683">
        <v>0.10647860000000001</v>
      </c>
      <c r="N1683">
        <v>0</v>
      </c>
      <c r="O1683">
        <v>-0.99428340000000004</v>
      </c>
      <c r="P1683">
        <v>7.0708350000000003E-2</v>
      </c>
      <c r="Q1683">
        <v>5.3777540000000002E-3</v>
      </c>
      <c r="R1683">
        <v>-0.99748289999999995</v>
      </c>
      <c r="S1683">
        <v>-0.73725889999999905</v>
      </c>
      <c r="T1683">
        <v>-0.10771259999999901</v>
      </c>
      <c r="U1683">
        <v>-3.0615540000000001</v>
      </c>
      <c r="V1683">
        <v>3.5940489999999999E-2</v>
      </c>
      <c r="W1683">
        <v>1.321784E-2</v>
      </c>
      <c r="X1683">
        <v>0.99926649999999995</v>
      </c>
      <c r="Y1683">
        <v>0.33617799999999998</v>
      </c>
      <c r="Z1683">
        <v>3.3359930000000003E-2</v>
      </c>
      <c r="AA1683">
        <v>0.94120749999999997</v>
      </c>
      <c r="AB1683">
        <v>27</v>
      </c>
      <c r="AC1683">
        <v>-7.57879999999997</v>
      </c>
      <c r="AD1683">
        <v>-1.103276801254</v>
      </c>
      <c r="AE1683">
        <v>-31.084299999999899</v>
      </c>
      <c r="AF1683">
        <v>10.8327475713042</v>
      </c>
      <c r="AG1683">
        <v>-1.103276801254</v>
      </c>
      <c r="AH1683">
        <v>30.064819836447999</v>
      </c>
      <c r="AI1683">
        <v>91.977289994043602</v>
      </c>
      <c r="AJ1683">
        <v>70.185245573354706</v>
      </c>
      <c r="AK1683">
        <v>31.975913301137499</v>
      </c>
    </row>
    <row r="1684" spans="1:37" x14ac:dyDescent="0.2">
      <c r="A1684" t="str">
        <f>"20200111155531229"</f>
        <v>20200111155531229</v>
      </c>
      <c r="B1684" t="str">
        <f>"1578729331224080"</f>
        <v>1578729331224080</v>
      </c>
      <c r="C1684" t="s">
        <v>37</v>
      </c>
      <c r="D1684">
        <v>5.4976539999999998</v>
      </c>
      <c r="E1684">
        <v>0.62036780000000002</v>
      </c>
      <c r="F1684" t="s">
        <v>56</v>
      </c>
      <c r="G1684">
        <v>-198.8621</v>
      </c>
      <c r="H1684" s="1">
        <v>2.9880940000000001E-7</v>
      </c>
      <c r="I1684">
        <v>297.9196</v>
      </c>
      <c r="J1684">
        <v>-191.1576</v>
      </c>
      <c r="K1684">
        <v>1.1033580000000001</v>
      </c>
      <c r="L1684">
        <v>329.30680000000001</v>
      </c>
      <c r="M1684">
        <v>0.1051337</v>
      </c>
      <c r="N1684">
        <v>0</v>
      </c>
      <c r="O1684">
        <v>-0.99442059999999999</v>
      </c>
      <c r="P1684">
        <v>6.9905430000000005E-2</v>
      </c>
      <c r="Q1684">
        <v>5.3791079999999996E-3</v>
      </c>
      <c r="R1684">
        <v>-0.99753950000000002</v>
      </c>
      <c r="S1684">
        <v>-0.74241639999999998</v>
      </c>
      <c r="T1684">
        <v>-0.10668560000000001</v>
      </c>
      <c r="U1684">
        <v>-3.0607599999999899</v>
      </c>
      <c r="V1684">
        <v>3.5395599999999999E-2</v>
      </c>
      <c r="W1684">
        <v>1.3941139999999999E-2</v>
      </c>
      <c r="X1684">
        <v>0.99927619999999895</v>
      </c>
      <c r="Y1684">
        <v>0.33646140000000002</v>
      </c>
      <c r="Z1684">
        <v>3.3049799999999997E-2</v>
      </c>
      <c r="AA1684">
        <v>0.94111710000000004</v>
      </c>
      <c r="AB1684">
        <v>27</v>
      </c>
      <c r="AC1684">
        <v>-7.7044999999999897</v>
      </c>
      <c r="AD1684">
        <v>-1.1033577011905999</v>
      </c>
      <c r="AE1684">
        <v>-31.3872</v>
      </c>
      <c r="AF1684">
        <v>10.9490134935266</v>
      </c>
      <c r="AG1684">
        <v>-1.1033577011905999</v>
      </c>
      <c r="AH1684">
        <v>30.3678152203249</v>
      </c>
      <c r="AI1684">
        <v>91.957574670176697</v>
      </c>
      <c r="AJ1684">
        <v>70.1734021168444</v>
      </c>
      <c r="AK1684">
        <v>32.300193435241297</v>
      </c>
    </row>
    <row r="1685" spans="1:37" x14ac:dyDescent="0.2">
      <c r="A1685" t="str">
        <f>"20200111155531252"</f>
        <v>20200111155531252</v>
      </c>
      <c r="B1685" t="str">
        <f>"1578729331244577"</f>
        <v>1578729331244577</v>
      </c>
      <c r="C1685" t="s">
        <v>37</v>
      </c>
      <c r="D1685">
        <v>4.4933379999999996</v>
      </c>
      <c r="E1685">
        <v>0.57450119999999905</v>
      </c>
      <c r="F1685" t="s">
        <v>56</v>
      </c>
      <c r="G1685">
        <v>-198.9016</v>
      </c>
      <c r="H1685" s="1">
        <v>3.7397159999999999E-7</v>
      </c>
      <c r="I1685">
        <v>297.49290000000002</v>
      </c>
      <c r="J1685">
        <v>-191.13099999999901</v>
      </c>
      <c r="K1685">
        <v>1.1034170000000001</v>
      </c>
      <c r="L1685">
        <v>329.04059999999998</v>
      </c>
      <c r="M1685">
        <v>0.103792</v>
      </c>
      <c r="N1685">
        <v>0</v>
      </c>
      <c r="O1685">
        <v>-0.99455539999999998</v>
      </c>
      <c r="P1685">
        <v>6.8921839999999998E-2</v>
      </c>
      <c r="Q1685">
        <v>5.4135190000000003E-3</v>
      </c>
      <c r="R1685">
        <v>-0.99760759999999904</v>
      </c>
      <c r="S1685">
        <v>-0.74488829999999995</v>
      </c>
      <c r="T1685">
        <v>-0.1061308</v>
      </c>
      <c r="U1685">
        <v>-3.0601500000000001</v>
      </c>
      <c r="V1685">
        <v>3.5034910000000002E-2</v>
      </c>
      <c r="W1685">
        <v>1.4637249999999999E-2</v>
      </c>
      <c r="X1685">
        <v>0.99927889999999997</v>
      </c>
      <c r="Y1685">
        <v>0.33595370000000002</v>
      </c>
      <c r="Z1685">
        <v>3.2891749999999997E-2</v>
      </c>
      <c r="AA1685">
        <v>0.94130400000000003</v>
      </c>
      <c r="AB1685">
        <v>27</v>
      </c>
      <c r="AC1685">
        <v>-7.7706000000000301</v>
      </c>
      <c r="AD1685">
        <v>-1.1034166260284</v>
      </c>
      <c r="AE1685">
        <v>-31.547699999999899</v>
      </c>
      <c r="AF1685">
        <v>10.990492540987599</v>
      </c>
      <c r="AG1685">
        <v>-1.1034166260284</v>
      </c>
      <c r="AH1685">
        <v>30.5355174037831</v>
      </c>
      <c r="AI1685">
        <v>91.947321504355102</v>
      </c>
      <c r="AJ1685">
        <v>70.204933814932502</v>
      </c>
      <c r="AK1685">
        <v>32.471930611850603</v>
      </c>
    </row>
    <row r="1686" spans="1:37" x14ac:dyDescent="0.2">
      <c r="A1686" t="str">
        <f>"20200111155531273"</f>
        <v>20200111155531273</v>
      </c>
      <c r="B1686" t="str">
        <f>"1578729331264099"</f>
        <v>1578729331264099</v>
      </c>
      <c r="C1686" t="s">
        <v>37</v>
      </c>
      <c r="D1686">
        <v>4.4799610000000003</v>
      </c>
      <c r="E1686">
        <v>0.57031790000000004</v>
      </c>
      <c r="F1686" t="s">
        <v>38</v>
      </c>
      <c r="G1686">
        <v>-194.70150000000001</v>
      </c>
      <c r="H1686" s="1">
        <v>-1.7413909999999999E-6</v>
      </c>
      <c r="I1686">
        <v>300.73239999999998</v>
      </c>
      <c r="J1686">
        <v>-191.10509999999999</v>
      </c>
      <c r="K1686">
        <v>1.1034649999999999</v>
      </c>
      <c r="L1686">
        <v>328.77789999999999</v>
      </c>
      <c r="M1686">
        <v>0.1024706</v>
      </c>
      <c r="N1686">
        <v>0</v>
      </c>
      <c r="O1686">
        <v>-0.99468699999999999</v>
      </c>
      <c r="P1686">
        <v>6.7675269999999996E-2</v>
      </c>
      <c r="Q1686">
        <v>5.2598710000000002E-3</v>
      </c>
      <c r="R1686">
        <v>-0.99769349999999901</v>
      </c>
      <c r="S1686">
        <v>-0.38270569999999998</v>
      </c>
      <c r="T1686">
        <v>-0.11827210000000001</v>
      </c>
      <c r="U1686">
        <v>-3.0342709999999999</v>
      </c>
      <c r="V1686">
        <v>3.4957540000000002E-2</v>
      </c>
      <c r="W1686">
        <v>1.507256E-2</v>
      </c>
      <c r="X1686">
        <v>0.99927509999999997</v>
      </c>
      <c r="Y1686">
        <v>0.226055899999999</v>
      </c>
      <c r="Z1686">
        <v>3.7986539999999999E-2</v>
      </c>
      <c r="AA1686">
        <v>0.97337340000000006</v>
      </c>
      <c r="AB1686">
        <v>27</v>
      </c>
      <c r="AC1686">
        <v>-3.5964000000000098</v>
      </c>
      <c r="AD1686">
        <v>-1.103466741391</v>
      </c>
      <c r="AE1686">
        <v>-28.045500000000001</v>
      </c>
      <c r="AF1686">
        <v>6.4416354022805304</v>
      </c>
      <c r="AG1686">
        <v>-1.103466741391</v>
      </c>
      <c r="AH1686">
        <v>27.487447518507299</v>
      </c>
      <c r="AI1686">
        <v>92.238292715191704</v>
      </c>
      <c r="AJ1686">
        <v>76.810841796468196</v>
      </c>
      <c r="AK1686">
        <v>28.253709076649798</v>
      </c>
    </row>
    <row r="1687" spans="1:37" x14ac:dyDescent="0.2">
      <c r="A1687" t="str">
        <f>"20200111155531297"</f>
        <v>20200111155531297</v>
      </c>
      <c r="B1687" t="str">
        <f>"1578729331284591"</f>
        <v>1578729331284591</v>
      </c>
      <c r="C1687" t="s">
        <v>37</v>
      </c>
      <c r="D1687">
        <v>4.4710029999999996</v>
      </c>
      <c r="E1687">
        <v>0.56798510000000002</v>
      </c>
      <c r="F1687" t="s">
        <v>38</v>
      </c>
      <c r="G1687">
        <v>-194.3854</v>
      </c>
      <c r="H1687" s="1">
        <v>-1.6058369999999999E-6</v>
      </c>
      <c r="I1687">
        <v>300.61250000000001</v>
      </c>
      <c r="J1687">
        <v>-191.0789</v>
      </c>
      <c r="K1687">
        <v>1.103499</v>
      </c>
      <c r="L1687">
        <v>328.50760000000002</v>
      </c>
      <c r="M1687">
        <v>0.1011082</v>
      </c>
      <c r="N1687">
        <v>0</v>
      </c>
      <c r="O1687">
        <v>-0.9948207</v>
      </c>
      <c r="P1687">
        <v>6.6755229999999999E-2</v>
      </c>
      <c r="Q1687">
        <v>4.8311079999999998E-3</v>
      </c>
      <c r="R1687">
        <v>-0.99775809999999998</v>
      </c>
      <c r="S1687">
        <v>-0.35305789999999998</v>
      </c>
      <c r="T1687">
        <v>-0.11876929999999999</v>
      </c>
      <c r="U1687">
        <v>-3.0315249999999998</v>
      </c>
      <c r="V1687">
        <v>3.4511119999999999E-2</v>
      </c>
      <c r="W1687">
        <v>1.518603E-2</v>
      </c>
      <c r="X1687">
        <v>0.99928890000000004</v>
      </c>
      <c r="Y1687">
        <v>0.21543619999999999</v>
      </c>
      <c r="Z1687">
        <v>3.825775E-2</v>
      </c>
      <c r="AA1687">
        <v>0.97576819999999898</v>
      </c>
      <c r="AB1687">
        <v>27</v>
      </c>
      <c r="AC1687">
        <v>-3.3065000000000002</v>
      </c>
      <c r="AD1687">
        <v>-1.103500605837</v>
      </c>
      <c r="AE1687">
        <v>-27.895099999999999</v>
      </c>
      <c r="AF1687">
        <v>6.1007159298840703</v>
      </c>
      <c r="AG1687">
        <v>-1.103500605837</v>
      </c>
      <c r="AH1687">
        <v>27.3755549766034</v>
      </c>
      <c r="AI1687">
        <v>92.253114802038297</v>
      </c>
      <c r="AJ1687">
        <v>77.436773933023602</v>
      </c>
      <c r="AK1687">
        <v>28.068798669007201</v>
      </c>
    </row>
    <row r="1688" spans="1:37" x14ac:dyDescent="0.2">
      <c r="A1688" t="str">
        <f>"20200111155531319"</f>
        <v>20200111155531319</v>
      </c>
      <c r="B1688" t="str">
        <f>"1578729331313872"</f>
        <v>1578729331313872</v>
      </c>
      <c r="C1688" t="s">
        <v>37</v>
      </c>
      <c r="D1688">
        <v>4.4908489999999999</v>
      </c>
      <c r="E1688">
        <v>0.56755949999999999</v>
      </c>
      <c r="F1688" t="s">
        <v>38</v>
      </c>
      <c r="G1688">
        <v>-194.02010000000001</v>
      </c>
      <c r="H1688" s="1">
        <v>-2.136062E-6</v>
      </c>
      <c r="I1688">
        <v>302.07499999999999</v>
      </c>
      <c r="J1688">
        <v>-191.05359999999999</v>
      </c>
      <c r="K1688">
        <v>1.103531</v>
      </c>
      <c r="L1688">
        <v>328.24340000000001</v>
      </c>
      <c r="M1688">
        <v>9.9770520000000001E-2</v>
      </c>
      <c r="N1688">
        <v>0</v>
      </c>
      <c r="O1688">
        <v>-0.99495100000000003</v>
      </c>
      <c r="P1688">
        <v>6.5731830000000005E-2</v>
      </c>
      <c r="Q1688">
        <v>4.7136929999999997E-3</v>
      </c>
      <c r="R1688">
        <v>-0.99782660000000001</v>
      </c>
      <c r="S1688">
        <v>-0.33714290000000002</v>
      </c>
      <c r="T1688">
        <v>-0.12649009999999999</v>
      </c>
      <c r="U1688">
        <v>-3.0298769999999999</v>
      </c>
      <c r="V1688">
        <v>3.419357E-2</v>
      </c>
      <c r="W1688">
        <v>1.5534559999999999E-2</v>
      </c>
      <c r="X1688">
        <v>0.99929449999999997</v>
      </c>
      <c r="Y1688">
        <v>0.2091093</v>
      </c>
      <c r="Z1688">
        <v>4.0811680000000003E-2</v>
      </c>
      <c r="AA1688">
        <v>0.97704029999999997</v>
      </c>
      <c r="AB1688">
        <v>27</v>
      </c>
      <c r="AC1688">
        <v>-2.9665000000000199</v>
      </c>
      <c r="AD1688">
        <v>-1.103533136062</v>
      </c>
      <c r="AE1688">
        <v>-26.168399999999998</v>
      </c>
      <c r="AF1688">
        <v>5.5529364488566504</v>
      </c>
      <c r="AG1688">
        <v>-1.103533136062</v>
      </c>
      <c r="AH1688">
        <v>25.696711975616299</v>
      </c>
      <c r="AI1688">
        <v>92.403615857983993</v>
      </c>
      <c r="AJ1688">
        <v>77.806154772081499</v>
      </c>
      <c r="AK1688">
        <v>26.312998592809699</v>
      </c>
    </row>
    <row r="1689" spans="1:37" x14ac:dyDescent="0.2">
      <c r="A1689" t="str">
        <f>"20200111155531342"</f>
        <v>20200111155531342</v>
      </c>
      <c r="B1689" t="str">
        <f>"1578729331334368"</f>
        <v>1578729331334368</v>
      </c>
      <c r="C1689" t="s">
        <v>37</v>
      </c>
      <c r="D1689">
        <v>4.6615289999999998</v>
      </c>
      <c r="E1689">
        <v>0.56758280000000005</v>
      </c>
      <c r="F1689" t="s">
        <v>38</v>
      </c>
      <c r="G1689">
        <v>-193.97989999999999</v>
      </c>
      <c r="H1689" s="1">
        <v>-2.0617519999999998E-6</v>
      </c>
      <c r="I1689">
        <v>301.92669999999998</v>
      </c>
      <c r="J1689">
        <v>-191.0284</v>
      </c>
      <c r="K1689">
        <v>1.103561</v>
      </c>
      <c r="L1689">
        <v>327.97550000000001</v>
      </c>
      <c r="M1689">
        <v>9.8408809999999999E-2</v>
      </c>
      <c r="N1689">
        <v>0</v>
      </c>
      <c r="O1689">
        <v>-0.99508169999999996</v>
      </c>
      <c r="P1689">
        <v>6.448864E-2</v>
      </c>
      <c r="Q1689">
        <v>4.8967630000000002E-3</v>
      </c>
      <c r="R1689">
        <v>-0.99790639999999997</v>
      </c>
      <c r="S1689">
        <v>-0.33683779999999902</v>
      </c>
      <c r="T1689">
        <v>-0.12702539999999901</v>
      </c>
      <c r="U1689">
        <v>-3.0292659999999998</v>
      </c>
      <c r="V1689">
        <v>3.4072529999999997E-2</v>
      </c>
      <c r="W1689">
        <v>1.61291E-2</v>
      </c>
      <c r="X1689">
        <v>0.99928919999999999</v>
      </c>
      <c r="Y1689">
        <v>0.20769489999999999</v>
      </c>
      <c r="Z1689">
        <v>4.1007330000000002E-2</v>
      </c>
      <c r="AA1689">
        <v>0.97733369999999997</v>
      </c>
      <c r="AB1689">
        <v>26</v>
      </c>
      <c r="AC1689">
        <v>-2.9514999999999798</v>
      </c>
      <c r="AD1689">
        <v>-1.103563061752</v>
      </c>
      <c r="AE1689">
        <v>-26.0488</v>
      </c>
      <c r="AF1689">
        <v>5.4910369744978098</v>
      </c>
      <c r="AG1689">
        <v>-1.103563061752</v>
      </c>
      <c r="AH1689">
        <v>25.586531668646298</v>
      </c>
      <c r="AI1689">
        <v>92.414758278092094</v>
      </c>
      <c r="AJ1689">
        <v>77.887669255243694</v>
      </c>
      <c r="AK1689">
        <v>26.1923641796079</v>
      </c>
    </row>
    <row r="1690" spans="1:37" x14ac:dyDescent="0.2">
      <c r="A1690" t="str">
        <f>"20200111155531363"</f>
        <v>20200111155531363</v>
      </c>
      <c r="B1690" t="str">
        <f>"1578729331353891"</f>
        <v>1578729331353891</v>
      </c>
      <c r="C1690" t="s">
        <v>37</v>
      </c>
      <c r="D1690">
        <v>4.7625479999999998</v>
      </c>
      <c r="E1690">
        <v>0.56711509999999998</v>
      </c>
      <c r="F1690" t="s">
        <v>38</v>
      </c>
      <c r="G1690">
        <v>-194.0198</v>
      </c>
      <c r="H1690" s="1">
        <v>-1.8355850000000001E-6</v>
      </c>
      <c r="I1690">
        <v>301.37470000000002</v>
      </c>
      <c r="J1690">
        <v>-191.0052</v>
      </c>
      <c r="K1690">
        <v>1.1035839999999999</v>
      </c>
      <c r="L1690">
        <v>327.72649999999999</v>
      </c>
      <c r="M1690">
        <v>9.7141630000000007E-2</v>
      </c>
      <c r="N1690">
        <v>0</v>
      </c>
      <c r="O1690">
        <v>-0.9952027</v>
      </c>
      <c r="P1690">
        <v>6.2957860000000004E-2</v>
      </c>
      <c r="Q1690">
        <v>4.9160840000000003E-3</v>
      </c>
      <c r="R1690">
        <v>-0.99800440000000001</v>
      </c>
      <c r="S1690">
        <v>-0.34062189999999998</v>
      </c>
      <c r="T1690">
        <v>-0.125658399999999</v>
      </c>
      <c r="U1690">
        <v>-3.028931</v>
      </c>
      <c r="V1690">
        <v>3.4333990000000002E-2</v>
      </c>
      <c r="W1690">
        <v>1.6484289999999999E-2</v>
      </c>
      <c r="X1690">
        <v>0.99927440000000001</v>
      </c>
      <c r="Y1690">
        <v>0.20766950000000001</v>
      </c>
      <c r="Z1690">
        <v>4.0576269999999998E-2</v>
      </c>
      <c r="AA1690">
        <v>0.97735709999999998</v>
      </c>
      <c r="AB1690">
        <v>26</v>
      </c>
      <c r="AC1690">
        <v>-3.0146000000000002</v>
      </c>
      <c r="AD1690">
        <v>-1.1035858355849999</v>
      </c>
      <c r="AE1690">
        <v>-26.351799999999901</v>
      </c>
      <c r="AF1690">
        <v>5.5507610252644799</v>
      </c>
      <c r="AG1690">
        <v>-1.1035858355849999</v>
      </c>
      <c r="AH1690">
        <v>25.8894715229818</v>
      </c>
      <c r="AI1690">
        <v>92.386684447652897</v>
      </c>
      <c r="AJ1690">
        <v>77.898859039572699</v>
      </c>
      <c r="AK1690">
        <v>26.500822353191001</v>
      </c>
    </row>
    <row r="1691" spans="1:37" x14ac:dyDescent="0.2">
      <c r="A1691" t="str">
        <f>"20200111155531388"</f>
        <v>20200111155531388</v>
      </c>
      <c r="B1691" t="str">
        <f>"1578729331384145"</f>
        <v>1578729331384145</v>
      </c>
      <c r="C1691" t="s">
        <v>37</v>
      </c>
      <c r="D1691">
        <v>4.6816209999999998</v>
      </c>
      <c r="E1691">
        <v>0.56702769999999902</v>
      </c>
      <c r="F1691" t="s">
        <v>38</v>
      </c>
      <c r="G1691">
        <v>-194.01169999999999</v>
      </c>
      <c r="H1691" s="1">
        <v>-1.7017759999999999E-6</v>
      </c>
      <c r="I1691">
        <v>301.06779999999998</v>
      </c>
      <c r="J1691">
        <v>-190.97909999999999</v>
      </c>
      <c r="K1691">
        <v>1.103599</v>
      </c>
      <c r="L1691">
        <v>327.44189999999998</v>
      </c>
      <c r="M1691">
        <v>9.5692189999999996E-2</v>
      </c>
      <c r="N1691">
        <v>0</v>
      </c>
      <c r="O1691">
        <v>-0.99533890000000003</v>
      </c>
      <c r="P1691">
        <v>6.1128910000000002E-2</v>
      </c>
      <c r="Q1691">
        <v>4.1278950000000003E-3</v>
      </c>
      <c r="R1691">
        <v>-0.998121699999999</v>
      </c>
      <c r="S1691">
        <v>-0.34150700000000001</v>
      </c>
      <c r="T1691">
        <v>-0.12535789999999999</v>
      </c>
      <c r="U1691">
        <v>-3.0281980000000002</v>
      </c>
      <c r="V1691">
        <v>3.4709459999999998E-2</v>
      </c>
      <c r="W1691">
        <v>1.6029930000000001E-2</v>
      </c>
      <c r="X1691">
        <v>0.99926890000000002</v>
      </c>
      <c r="Y1691">
        <v>0.20655389999999901</v>
      </c>
      <c r="Z1691">
        <v>4.0502030000000001E-2</v>
      </c>
      <c r="AA1691">
        <v>0.97759660000000004</v>
      </c>
      <c r="AB1691">
        <v>26</v>
      </c>
      <c r="AC1691">
        <v>-3.0326</v>
      </c>
      <c r="AD1691">
        <v>-1.1036007017759999</v>
      </c>
      <c r="AE1691">
        <v>-26.374099999999999</v>
      </c>
      <c r="AF1691">
        <v>5.5330961347644703</v>
      </c>
      <c r="AG1691">
        <v>-1.1036007017759999</v>
      </c>
      <c r="AH1691">
        <v>25.9180456684192</v>
      </c>
      <c r="AI1691">
        <v>92.384535527500603</v>
      </c>
      <c r="AJ1691">
        <v>77.949151253220293</v>
      </c>
      <c r="AK1691">
        <v>26.5250481359746</v>
      </c>
    </row>
    <row r="1692" spans="1:37" x14ac:dyDescent="0.2">
      <c r="A1692" t="str">
        <f>"20200111155531410"</f>
        <v>20200111155531410</v>
      </c>
      <c r="B1692" t="str">
        <f>"1578729331404640"</f>
        <v>1578729331404640</v>
      </c>
      <c r="C1692" t="s">
        <v>37</v>
      </c>
      <c r="D1692">
        <v>4.6784400000000002</v>
      </c>
      <c r="E1692">
        <v>0.56697839999999999</v>
      </c>
      <c r="F1692" t="s">
        <v>38</v>
      </c>
      <c r="G1692">
        <v>-193.93870000000001</v>
      </c>
      <c r="H1692" s="1">
        <v>-1.8941650000000001E-6</v>
      </c>
      <c r="I1692">
        <v>301.5616</v>
      </c>
      <c r="J1692">
        <v>-190.9554</v>
      </c>
      <c r="K1692">
        <v>1.1036109999999999</v>
      </c>
      <c r="L1692">
        <v>327.1782</v>
      </c>
      <c r="M1692">
        <v>9.4348349999999997E-2</v>
      </c>
      <c r="N1692">
        <v>0</v>
      </c>
      <c r="O1692">
        <v>-0.99546399999999902</v>
      </c>
      <c r="P1692">
        <v>5.9435250000000002E-2</v>
      </c>
      <c r="Q1692">
        <v>3.2876490000000001E-3</v>
      </c>
      <c r="R1692">
        <v>-0.99822699999999998</v>
      </c>
      <c r="S1692">
        <v>-0.34619139999999998</v>
      </c>
      <c r="T1692">
        <v>-0.1290935</v>
      </c>
      <c r="U1692">
        <v>-3.0273439999999998</v>
      </c>
      <c r="V1692">
        <v>3.5055089999999997E-2</v>
      </c>
      <c r="W1692">
        <v>1.5457790000000001E-2</v>
      </c>
      <c r="X1692">
        <v>0.99926579999999998</v>
      </c>
      <c r="Y1692">
        <v>0.20675170000000001</v>
      </c>
      <c r="Z1692">
        <v>4.1722179999999998E-2</v>
      </c>
      <c r="AA1692">
        <v>0.97750349999999997</v>
      </c>
      <c r="AB1692">
        <v>26</v>
      </c>
      <c r="AC1692">
        <v>-2.9833000000000101</v>
      </c>
      <c r="AD1692">
        <v>-1.1036128941650001</v>
      </c>
      <c r="AE1692">
        <v>-25.616599999999998</v>
      </c>
      <c r="AF1692">
        <v>5.37720839899829</v>
      </c>
      <c r="AG1692">
        <v>-1.1036128941650001</v>
      </c>
      <c r="AH1692">
        <v>25.174722564501899</v>
      </c>
      <c r="AI1692">
        <v>92.454829164668993</v>
      </c>
      <c r="AJ1692">
        <v>77.9430563906771</v>
      </c>
      <c r="AK1692">
        <v>25.7662373618281</v>
      </c>
    </row>
    <row r="1693" spans="1:37" x14ac:dyDescent="0.2">
      <c r="A1693" t="str">
        <f>"20200111155531432"</f>
        <v>20200111155531432</v>
      </c>
      <c r="B1693" t="str">
        <f>"1578729331424161"</f>
        <v>1578729331424161</v>
      </c>
      <c r="C1693" t="s">
        <v>37</v>
      </c>
      <c r="D1693">
        <v>4.5703649999999998</v>
      </c>
      <c r="E1693">
        <v>0.56735000000000002</v>
      </c>
      <c r="F1693" t="s">
        <v>38</v>
      </c>
      <c r="G1693">
        <v>-193.88759999999999</v>
      </c>
      <c r="H1693" s="1">
        <v>-2.0242060000000002E-6</v>
      </c>
      <c r="I1693">
        <v>301.89640000000003</v>
      </c>
      <c r="J1693">
        <v>-190.93209999999999</v>
      </c>
      <c r="K1693">
        <v>1.103629</v>
      </c>
      <c r="L1693">
        <v>326.91669999999999</v>
      </c>
      <c r="M1693">
        <v>9.3014050000000001E-2</v>
      </c>
      <c r="N1693">
        <v>0</v>
      </c>
      <c r="O1693">
        <v>-0.99558649999999904</v>
      </c>
      <c r="P1693">
        <v>5.781087E-2</v>
      </c>
      <c r="Q1693">
        <v>3.4772850000000001E-3</v>
      </c>
      <c r="R1693">
        <v>-0.99832160000000003</v>
      </c>
      <c r="S1693">
        <v>-0.35104370000000001</v>
      </c>
      <c r="T1693">
        <v>-0.13212179999999901</v>
      </c>
      <c r="U1693">
        <v>-3.026672</v>
      </c>
      <c r="V1693">
        <v>3.5342899999999997E-2</v>
      </c>
      <c r="W1693">
        <v>1.587879E-2</v>
      </c>
      <c r="X1693">
        <v>0.9992491</v>
      </c>
      <c r="Y1693">
        <v>0.20700679999999899</v>
      </c>
      <c r="Z1693">
        <v>4.2711579999999999E-2</v>
      </c>
      <c r="AA1693">
        <v>0.97740669999999996</v>
      </c>
      <c r="AB1693">
        <v>26</v>
      </c>
      <c r="AC1693">
        <v>-2.9554999999999998</v>
      </c>
      <c r="AD1693">
        <v>-1.1036310242059999</v>
      </c>
      <c r="AE1693">
        <v>-25.020299999999899</v>
      </c>
      <c r="AF1693">
        <v>5.2600129125636101</v>
      </c>
      <c r="AG1693">
        <v>-1.1036310242059999</v>
      </c>
      <c r="AH1693">
        <v>24.5897061242283</v>
      </c>
      <c r="AI1693">
        <v>92.513037559641504</v>
      </c>
      <c r="AJ1693">
        <v>77.9257619303947</v>
      </c>
      <c r="AK1693">
        <v>25.170208273946301</v>
      </c>
    </row>
    <row r="1694" spans="1:37" x14ac:dyDescent="0.2">
      <c r="A1694" t="str">
        <f>"20200111155531452"</f>
        <v>20200111155531452</v>
      </c>
      <c r="B1694" t="str">
        <f>"1578729331444656"</f>
        <v>1578729331444656</v>
      </c>
      <c r="C1694" t="s">
        <v>37</v>
      </c>
      <c r="D1694">
        <v>4.5480419999999997</v>
      </c>
      <c r="E1694">
        <v>0.56742090000000001</v>
      </c>
      <c r="F1694" t="s">
        <v>38</v>
      </c>
      <c r="G1694">
        <v>-193.92850000000001</v>
      </c>
      <c r="H1694" s="1">
        <v>-1.9244909999999999E-6</v>
      </c>
      <c r="I1694">
        <v>301.6386</v>
      </c>
      <c r="J1694">
        <v>-190.91139999999999</v>
      </c>
      <c r="K1694">
        <v>1.1036489999999901</v>
      </c>
      <c r="L1694">
        <v>326.68060000000003</v>
      </c>
      <c r="M1694">
        <v>9.1808139999999996E-2</v>
      </c>
      <c r="N1694">
        <v>0</v>
      </c>
      <c r="O1694">
        <v>-0.99569619999999903</v>
      </c>
      <c r="P1694">
        <v>5.6656699999999997E-2</v>
      </c>
      <c r="Q1694">
        <v>4.5922669999999997E-3</v>
      </c>
      <c r="R1694">
        <v>-0.99838329999999997</v>
      </c>
      <c r="S1694">
        <v>-0.35871890000000001</v>
      </c>
      <c r="T1694">
        <v>-0.13212479999999999</v>
      </c>
      <c r="U1694">
        <v>-3.0262449999999999</v>
      </c>
      <c r="V1694">
        <v>3.529057E-2</v>
      </c>
      <c r="W1694">
        <v>1.717608E-2</v>
      </c>
      <c r="X1694">
        <v>0.99922949999999999</v>
      </c>
      <c r="Y1694">
        <v>0.208283</v>
      </c>
      <c r="Z1694">
        <v>4.2713689999999999E-2</v>
      </c>
      <c r="AA1694">
        <v>0.97713549999999905</v>
      </c>
      <c r="AB1694">
        <v>26</v>
      </c>
      <c r="AC1694">
        <v>-3.0171000000000201</v>
      </c>
      <c r="AD1694">
        <v>-1.10365092449099</v>
      </c>
      <c r="AE1694">
        <v>-25.042000000000002</v>
      </c>
      <c r="AF1694">
        <v>5.2934650594327097</v>
      </c>
      <c r="AG1694">
        <v>-1.10365092449099</v>
      </c>
      <c r="AH1694">
        <v>24.6120858839049</v>
      </c>
      <c r="AI1694">
        <v>92.510201791648797</v>
      </c>
      <c r="AJ1694">
        <v>77.861966538904895</v>
      </c>
      <c r="AK1694">
        <v>25.199079135065102</v>
      </c>
    </row>
    <row r="1695" spans="1:37" x14ac:dyDescent="0.2">
      <c r="A1695" t="str">
        <f>"20200111155531475"</f>
        <v>20200111155531475</v>
      </c>
      <c r="B1695" t="str">
        <f>"1578729331464176"</f>
        <v>1578729331464176</v>
      </c>
      <c r="C1695" t="s">
        <v>37</v>
      </c>
      <c r="D1695">
        <v>4.717155</v>
      </c>
      <c r="E1695">
        <v>0.5669923</v>
      </c>
      <c r="F1695" t="s">
        <v>38</v>
      </c>
      <c r="G1695">
        <v>-194.04900000000001</v>
      </c>
      <c r="H1695" s="1">
        <v>-1.4735880000000001E-6</v>
      </c>
      <c r="I1695">
        <v>300.51280000000003</v>
      </c>
      <c r="J1695">
        <v>-190.88800000000001</v>
      </c>
      <c r="K1695">
        <v>1.1036699999999999</v>
      </c>
      <c r="L1695">
        <v>326.40969999999999</v>
      </c>
      <c r="M1695">
        <v>9.0423539999999997E-2</v>
      </c>
      <c r="N1695">
        <v>0</v>
      </c>
      <c r="O1695">
        <v>-0.99582059999999994</v>
      </c>
      <c r="P1695">
        <v>5.5803520000000002E-2</v>
      </c>
      <c r="Q1695">
        <v>4.9398289999999997E-3</v>
      </c>
      <c r="R1695">
        <v>-0.99842999999999904</v>
      </c>
      <c r="S1695">
        <v>-0.36282350000000002</v>
      </c>
      <c r="T1695">
        <v>-0.1276244</v>
      </c>
      <c r="U1695">
        <v>-3.0260009999999999</v>
      </c>
      <c r="V1695">
        <v>3.4756160000000001E-2</v>
      </c>
      <c r="W1695">
        <v>1.770768E-2</v>
      </c>
      <c r="X1695">
        <v>0.99923890000000004</v>
      </c>
      <c r="Y1695">
        <v>0.20824670000000001</v>
      </c>
      <c r="Z1695">
        <v>4.126954E-2</v>
      </c>
      <c r="AA1695">
        <v>0.97720529999999906</v>
      </c>
      <c r="AB1695">
        <v>26</v>
      </c>
      <c r="AC1695">
        <v>-3.161</v>
      </c>
      <c r="AD1695">
        <v>-1.103671473588</v>
      </c>
      <c r="AE1695">
        <v>-25.896899999999899</v>
      </c>
      <c r="AF1695">
        <v>5.4801236473696404</v>
      </c>
      <c r="AG1695">
        <v>-1.103671473588</v>
      </c>
      <c r="AH1695">
        <v>25.459378196884298</v>
      </c>
      <c r="AI1695">
        <v>92.426721919676694</v>
      </c>
      <c r="AJ1695">
        <v>77.852445609676295</v>
      </c>
      <c r="AK1695">
        <v>26.065873936702399</v>
      </c>
    </row>
    <row r="1696" spans="1:37" x14ac:dyDescent="0.2">
      <c r="A1696" t="str">
        <f>"20200111155531496"</f>
        <v>20200111155531496</v>
      </c>
      <c r="B1696" t="str">
        <f>"1578729331494415"</f>
        <v>1578729331494415</v>
      </c>
      <c r="C1696" t="s">
        <v>37</v>
      </c>
      <c r="D1696">
        <v>4.6787999999999998</v>
      </c>
      <c r="E1696">
        <v>0.56690799999999997</v>
      </c>
      <c r="F1696" t="s">
        <v>38</v>
      </c>
      <c r="G1696">
        <v>-194.0258</v>
      </c>
      <c r="H1696" s="1">
        <v>-1.3328659999999899E-6</v>
      </c>
      <c r="I1696">
        <v>300.19909999999999</v>
      </c>
      <c r="J1696">
        <v>-190.86670000000001</v>
      </c>
      <c r="K1696">
        <v>1.103685</v>
      </c>
      <c r="L1696">
        <v>326.15899999999999</v>
      </c>
      <c r="M1696">
        <v>8.9141730000000002E-2</v>
      </c>
      <c r="N1696">
        <v>0</v>
      </c>
      <c r="O1696">
        <v>-0.9959344</v>
      </c>
      <c r="P1696">
        <v>5.5221140000000002E-2</v>
      </c>
      <c r="Q1696">
        <v>5.7433559999999998E-3</v>
      </c>
      <c r="R1696">
        <v>-0.99845799999999996</v>
      </c>
      <c r="S1696">
        <v>-0.36221310000000001</v>
      </c>
      <c r="T1696">
        <v>-0.1274033</v>
      </c>
      <c r="U1696">
        <v>-3.0256349999999999</v>
      </c>
      <c r="V1696">
        <v>3.4054649999999999E-2</v>
      </c>
      <c r="W1696">
        <v>1.8659289999999999E-2</v>
      </c>
      <c r="X1696">
        <v>0.99924579999999996</v>
      </c>
      <c r="Y1696">
        <v>0.20680770000000001</v>
      </c>
      <c r="Z1696">
        <v>4.1217280000000002E-2</v>
      </c>
      <c r="AA1696">
        <v>0.97751299999999997</v>
      </c>
      <c r="AB1696">
        <v>26</v>
      </c>
      <c r="AC1696">
        <v>-3.1590999999999898</v>
      </c>
      <c r="AD1696">
        <v>-1.103686332866</v>
      </c>
      <c r="AE1696">
        <v>-25.959900000000001</v>
      </c>
      <c r="AF1696">
        <v>5.4511173726993798</v>
      </c>
      <c r="AG1696">
        <v>-1.103686332866</v>
      </c>
      <c r="AH1696">
        <v>25.529431774587199</v>
      </c>
      <c r="AI1696">
        <v>92.420959100558093</v>
      </c>
      <c r="AJ1696">
        <v>77.947038691947398</v>
      </c>
      <c r="AK1696">
        <v>26.128235509991999</v>
      </c>
    </row>
    <row r="1697" spans="1:37" x14ac:dyDescent="0.2">
      <c r="A1697" t="str">
        <f>"20200111155531519"</f>
        <v>20200111155531519</v>
      </c>
      <c r="B1697" t="str">
        <f>"1578729331513933"</f>
        <v>1578729331513933</v>
      </c>
      <c r="C1697" t="s">
        <v>37</v>
      </c>
      <c r="D1697">
        <v>4.7049729999999998</v>
      </c>
      <c r="E1697">
        <v>0.56685399999999997</v>
      </c>
      <c r="F1697" t="s">
        <v>56</v>
      </c>
      <c r="G1697">
        <v>-194.06659999999999</v>
      </c>
      <c r="H1697" s="1">
        <v>2.0246709999999999E-8</v>
      </c>
      <c r="I1697">
        <v>299.50139999999999</v>
      </c>
      <c r="J1697">
        <v>-190.84469999999999</v>
      </c>
      <c r="K1697">
        <v>1.1037049999999999</v>
      </c>
      <c r="L1697">
        <v>325.89510000000001</v>
      </c>
      <c r="M1697">
        <v>8.7792620000000002E-2</v>
      </c>
      <c r="N1697">
        <v>0</v>
      </c>
      <c r="O1697">
        <v>-0.99605250000000001</v>
      </c>
      <c r="P1697">
        <v>5.4657219999999999E-2</v>
      </c>
      <c r="Q1697">
        <v>6.3821240000000003E-3</v>
      </c>
      <c r="R1697">
        <v>-0.99848530000000002</v>
      </c>
      <c r="S1697">
        <v>-0.36315920000000002</v>
      </c>
      <c r="T1697">
        <v>-0.1252605</v>
      </c>
      <c r="U1697">
        <v>-3.025452</v>
      </c>
      <c r="V1697">
        <v>3.3266860000000002E-2</v>
      </c>
      <c r="W1697">
        <v>1.9432580000000001E-2</v>
      </c>
      <c r="X1697">
        <v>0.99925759999999897</v>
      </c>
      <c r="Y1697">
        <v>0.20579420000000001</v>
      </c>
      <c r="Z1697">
        <v>4.0538770000000002E-2</v>
      </c>
      <c r="AA1697">
        <v>0.97775519999999905</v>
      </c>
      <c r="AB1697">
        <v>26</v>
      </c>
      <c r="AC1697">
        <v>-3.2219000000000002</v>
      </c>
      <c r="AD1697">
        <v>-1.1037049797532801</v>
      </c>
      <c r="AE1697">
        <v>-26.393699999999999</v>
      </c>
      <c r="AF1697">
        <v>5.5173223342615296</v>
      </c>
      <c r="AG1697">
        <v>-1.1037049797532801</v>
      </c>
      <c r="AH1697">
        <v>25.964151178145599</v>
      </c>
      <c r="AI1697">
        <v>92.381008780448596</v>
      </c>
      <c r="AJ1697">
        <v>78.003226934111595</v>
      </c>
      <c r="AK1697">
        <v>26.566824364685999</v>
      </c>
    </row>
    <row r="1698" spans="1:37" x14ac:dyDescent="0.2">
      <c r="A1698" t="str">
        <f>"20200111155531542"</f>
        <v>20200111155531542</v>
      </c>
      <c r="B1698" t="str">
        <f>"1578729331534429"</f>
        <v>1578729331534429</v>
      </c>
      <c r="C1698" t="s">
        <v>37</v>
      </c>
      <c r="D1698">
        <v>4.7480399999999996</v>
      </c>
      <c r="E1698">
        <v>0.56686099999999995</v>
      </c>
      <c r="F1698" t="s">
        <v>56</v>
      </c>
      <c r="G1698">
        <v>-194.08750000000001</v>
      </c>
      <c r="H1698" s="1">
        <v>1.122561E-7</v>
      </c>
      <c r="I1698">
        <v>298.97890000000001</v>
      </c>
      <c r="J1698">
        <v>-190.82320000000001</v>
      </c>
      <c r="K1698">
        <v>1.1037269999999999</v>
      </c>
      <c r="L1698">
        <v>325.63319999999999</v>
      </c>
      <c r="M1698">
        <v>8.6453909999999995E-2</v>
      </c>
      <c r="N1698">
        <v>0</v>
      </c>
      <c r="O1698">
        <v>-0.99616769999999999</v>
      </c>
      <c r="P1698">
        <v>5.3878969999999998E-2</v>
      </c>
      <c r="Q1698">
        <v>7.5095589999999999E-3</v>
      </c>
      <c r="R1698">
        <v>-0.99851919999999905</v>
      </c>
      <c r="S1698">
        <v>-0.3644867</v>
      </c>
      <c r="T1698">
        <v>-0.1240546</v>
      </c>
      <c r="U1698">
        <v>-3.0253299999999999</v>
      </c>
      <c r="V1698">
        <v>3.2704900000000002E-2</v>
      </c>
      <c r="W1698">
        <v>2.0673540000000001E-2</v>
      </c>
      <c r="X1698">
        <v>0.99925119999999901</v>
      </c>
      <c r="Y1698">
        <v>0.2049086</v>
      </c>
      <c r="Z1698">
        <v>4.0160660000000001E-2</v>
      </c>
      <c r="AA1698">
        <v>0.97795679999999996</v>
      </c>
      <c r="AB1698">
        <v>26</v>
      </c>
      <c r="AC1698">
        <v>-3.2642999999999902</v>
      </c>
      <c r="AD1698">
        <v>-1.1037268877438999</v>
      </c>
      <c r="AE1698">
        <v>-26.6542999999999</v>
      </c>
      <c r="AF1698">
        <v>5.5472752995452597</v>
      </c>
      <c r="AG1698">
        <v>-1.1037268877438999</v>
      </c>
      <c r="AH1698">
        <v>26.227939945503302</v>
      </c>
      <c r="AI1698">
        <v>92.357610977257195</v>
      </c>
      <c r="AJ1698">
        <v>78.057794115948099</v>
      </c>
      <c r="AK1698">
        <v>26.830864877536101</v>
      </c>
    </row>
    <row r="1699" spans="1:37" x14ac:dyDescent="0.2">
      <c r="A1699" t="str">
        <f>"20200111155531564"</f>
        <v>20200111155531564</v>
      </c>
      <c r="B1699" t="str">
        <f>"1578729331553953"</f>
        <v>1578729331553953</v>
      </c>
      <c r="C1699" t="s">
        <v>37</v>
      </c>
      <c r="D1699">
        <v>4.8775930000000001</v>
      </c>
      <c r="E1699">
        <v>0.56659680000000001</v>
      </c>
      <c r="F1699" t="s">
        <v>56</v>
      </c>
      <c r="G1699">
        <v>-194.14269999999999</v>
      </c>
      <c r="H1699" s="1">
        <v>2.4273769999999998E-7</v>
      </c>
      <c r="I1699">
        <v>298.238</v>
      </c>
      <c r="J1699">
        <v>-190.8023</v>
      </c>
      <c r="K1699">
        <v>1.1037440000000001</v>
      </c>
      <c r="L1699">
        <v>325.37490000000003</v>
      </c>
      <c r="M1699">
        <v>8.5133600000000004E-2</v>
      </c>
      <c r="N1699">
        <v>0</v>
      </c>
      <c r="O1699">
        <v>-0.99628030000000001</v>
      </c>
      <c r="P1699">
        <v>5.264659E-2</v>
      </c>
      <c r="Q1699">
        <v>8.1896799999999995E-3</v>
      </c>
      <c r="R1699">
        <v>-0.99857960000000001</v>
      </c>
      <c r="S1699">
        <v>-0.36657709999999999</v>
      </c>
      <c r="T1699">
        <v>-0.12188299999999901</v>
      </c>
      <c r="U1699">
        <v>-3.0252080000000001</v>
      </c>
      <c r="V1699">
        <v>3.2615150000000002E-2</v>
      </c>
      <c r="W1699">
        <v>2.1449180000000002E-2</v>
      </c>
      <c r="X1699">
        <v>0.99923779999999995</v>
      </c>
      <c r="Y1699">
        <v>0.20428560000000001</v>
      </c>
      <c r="Z1699">
        <v>3.946823E-2</v>
      </c>
      <c r="AA1699">
        <v>0.97811539999999997</v>
      </c>
      <c r="AB1699">
        <v>26</v>
      </c>
      <c r="AC1699">
        <v>-3.3403999999999798</v>
      </c>
      <c r="AD1699">
        <v>-1.1037437572622999</v>
      </c>
      <c r="AE1699">
        <v>-27.136900000000001</v>
      </c>
      <c r="AF1699">
        <v>5.6295640866214001</v>
      </c>
      <c r="AG1699">
        <v>-1.1037437572622999</v>
      </c>
      <c r="AH1699">
        <v>26.7104298790108</v>
      </c>
      <c r="AI1699">
        <v>92.315451646741295</v>
      </c>
      <c r="AJ1699">
        <v>78.098369935439393</v>
      </c>
      <c r="AK1699">
        <v>27.3195407430035</v>
      </c>
    </row>
    <row r="1700" spans="1:37" x14ac:dyDescent="0.2">
      <c r="A1700" t="str">
        <f>"20200111155531585"</f>
        <v>20200111155531585</v>
      </c>
      <c r="B1700" t="str">
        <f>"1578729331574445"</f>
        <v>1578729331574445</v>
      </c>
      <c r="C1700" t="s">
        <v>37</v>
      </c>
      <c r="D1700">
        <v>4.9037259999999998</v>
      </c>
      <c r="E1700">
        <v>0.51594960000000001</v>
      </c>
      <c r="F1700" t="s">
        <v>56</v>
      </c>
      <c r="G1700">
        <v>-194.20189999999999</v>
      </c>
      <c r="H1700" s="1">
        <v>3.899137E-7</v>
      </c>
      <c r="I1700">
        <v>297.44850000000002</v>
      </c>
      <c r="J1700">
        <v>-190.7825</v>
      </c>
      <c r="K1700">
        <v>1.1037629999999901</v>
      </c>
      <c r="L1700">
        <v>325.12599999999998</v>
      </c>
      <c r="M1700">
        <v>8.3860950000000004E-2</v>
      </c>
      <c r="N1700">
        <v>0</v>
      </c>
      <c r="O1700">
        <v>-0.99638709999999997</v>
      </c>
      <c r="P1700">
        <v>5.0951700000000003E-2</v>
      </c>
      <c r="Q1700">
        <v>8.1444059999999999E-3</v>
      </c>
      <c r="R1700">
        <v>-0.998668</v>
      </c>
      <c r="S1700">
        <v>-0.36820979999999998</v>
      </c>
      <c r="T1700">
        <v>-0.11954429999999901</v>
      </c>
      <c r="U1700">
        <v>-3.0246580000000001</v>
      </c>
      <c r="V1700">
        <v>3.3034859999999999E-2</v>
      </c>
      <c r="W1700">
        <v>2.148255E-2</v>
      </c>
      <c r="X1700">
        <v>0.99922330000000004</v>
      </c>
      <c r="Y1700">
        <v>0.20358029999999999</v>
      </c>
      <c r="Z1700">
        <v>3.8727079999999997E-2</v>
      </c>
      <c r="AA1700">
        <v>0.97829200000000005</v>
      </c>
      <c r="AB1700">
        <v>26</v>
      </c>
      <c r="AC1700">
        <v>-3.4193999999999898</v>
      </c>
      <c r="AD1700">
        <v>-1.1037626100862901</v>
      </c>
      <c r="AE1700">
        <v>-27.677499999999899</v>
      </c>
      <c r="AF1700">
        <v>5.71966372704901</v>
      </c>
      <c r="AG1700">
        <v>-1.1037626100862901</v>
      </c>
      <c r="AH1700">
        <v>27.250520709494001</v>
      </c>
      <c r="AI1700">
        <v>92.270045556178999</v>
      </c>
      <c r="AJ1700">
        <v>78.146152756617099</v>
      </c>
      <c r="AK1700">
        <v>27.866175266593501</v>
      </c>
    </row>
    <row r="1701" spans="1:37" x14ac:dyDescent="0.2">
      <c r="A1701" t="str">
        <f>"20200111155531609"</f>
        <v>20200111155531609</v>
      </c>
      <c r="B1701" t="str">
        <f>"1578729331603727"</f>
        <v>1578729331603727</v>
      </c>
      <c r="C1701" t="s">
        <v>37</v>
      </c>
      <c r="D1701">
        <v>4.8962820000000002</v>
      </c>
      <c r="E1701">
        <v>0.51236199999999998</v>
      </c>
      <c r="F1701" t="s">
        <v>38</v>
      </c>
      <c r="G1701">
        <v>-190.53880000000001</v>
      </c>
      <c r="H1701" s="1">
        <v>-9.8706949999999994E-7</v>
      </c>
      <c r="I1701">
        <v>301.55579999999998</v>
      </c>
      <c r="J1701">
        <v>-190.76070000000001</v>
      </c>
      <c r="K1701">
        <v>1.1037760000000001</v>
      </c>
      <c r="L1701">
        <v>324.84730000000002</v>
      </c>
      <c r="M1701">
        <v>8.2435229999999998E-2</v>
      </c>
      <c r="N1701">
        <v>0</v>
      </c>
      <c r="O1701">
        <v>-0.99650530000000004</v>
      </c>
      <c r="P1701">
        <v>4.907719E-2</v>
      </c>
      <c r="Q1701">
        <v>7.8371340000000008E-3</v>
      </c>
      <c r="R1701">
        <v>-0.99876450000000006</v>
      </c>
      <c r="S1701">
        <v>3.1051639999999998E-2</v>
      </c>
      <c r="T1701">
        <v>-0.14065239999999901</v>
      </c>
      <c r="U1701">
        <v>-3.0035400000000001</v>
      </c>
      <c r="V1701">
        <v>3.3480330000000003E-2</v>
      </c>
      <c r="W1701">
        <v>2.125086E-2</v>
      </c>
      <c r="X1701">
        <v>0.99921340000000003</v>
      </c>
      <c r="Y1701">
        <v>7.214682E-2</v>
      </c>
      <c r="Z1701">
        <v>4.6476709999999997E-2</v>
      </c>
      <c r="AA1701">
        <v>0.99631059999999905</v>
      </c>
      <c r="AB1701">
        <v>26</v>
      </c>
      <c r="AC1701">
        <v>0.22190000000000501</v>
      </c>
      <c r="AD1701">
        <v>-1.1037769870695</v>
      </c>
      <c r="AE1701">
        <v>-23.291499999999999</v>
      </c>
      <c r="AF1701">
        <v>1.6952630857933599</v>
      </c>
      <c r="AG1701">
        <v>-1.1037769870695</v>
      </c>
      <c r="AH1701">
        <v>23.178456175424198</v>
      </c>
      <c r="AI1701">
        <v>92.719159768166506</v>
      </c>
      <c r="AJ1701">
        <v>85.8168579169878</v>
      </c>
      <c r="AK1701">
        <v>23.266565523155698</v>
      </c>
    </row>
    <row r="1702" spans="1:37" x14ac:dyDescent="0.2">
      <c r="A1702" t="str">
        <f>"20200111155531632"</f>
        <v>20200111155531632</v>
      </c>
      <c r="B1702" t="str">
        <f>"1578729331624222"</f>
        <v>1578729331624222</v>
      </c>
      <c r="C1702" t="s">
        <v>37</v>
      </c>
      <c r="D1702">
        <v>4.9102220000000001</v>
      </c>
      <c r="E1702">
        <v>0.51160939999999999</v>
      </c>
      <c r="F1702" t="s">
        <v>38</v>
      </c>
      <c r="G1702">
        <v>-190.31200000000001</v>
      </c>
      <c r="H1702" s="1">
        <v>-1.4797830000000001E-7</v>
      </c>
      <c r="I1702">
        <v>299.7405</v>
      </c>
      <c r="J1702">
        <v>-190.7406</v>
      </c>
      <c r="K1702">
        <v>1.1037859999999999</v>
      </c>
      <c r="L1702">
        <v>324.58600000000001</v>
      </c>
      <c r="M1702">
        <v>8.1098589999999998E-2</v>
      </c>
      <c r="N1702">
        <v>0</v>
      </c>
      <c r="O1702">
        <v>-0.996613999999999</v>
      </c>
      <c r="P1702">
        <v>4.6775079999999997E-2</v>
      </c>
      <c r="Q1702">
        <v>7.7934429999999997E-3</v>
      </c>
      <c r="R1702">
        <v>-0.99887519999999996</v>
      </c>
      <c r="S1702">
        <v>5.36499E-2</v>
      </c>
      <c r="T1702">
        <v>-0.13198270000000001</v>
      </c>
      <c r="U1702">
        <v>-3.0021059999999999</v>
      </c>
      <c r="V1702">
        <v>3.4443319999999999E-2</v>
      </c>
      <c r="W1702">
        <v>2.1266110000000001E-2</v>
      </c>
      <c r="X1702">
        <v>0.99918039999999997</v>
      </c>
      <c r="Y1702">
        <v>6.3301060000000006E-2</v>
      </c>
      <c r="Z1702">
        <v>4.3656519999999997E-2</v>
      </c>
      <c r="AA1702">
        <v>0.99703909999999996</v>
      </c>
      <c r="AB1702">
        <v>26</v>
      </c>
      <c r="AC1702">
        <v>0.42859999999998799</v>
      </c>
      <c r="AD1702">
        <v>-1.1037861479783</v>
      </c>
      <c r="AE1702">
        <v>-24.845500000000001</v>
      </c>
      <c r="AF1702">
        <v>1.5848050489102701</v>
      </c>
      <c r="AG1702">
        <v>-1.1037861479783</v>
      </c>
      <c r="AH1702">
        <v>24.749575071061599</v>
      </c>
      <c r="AI1702">
        <v>92.548383357505003</v>
      </c>
      <c r="AJ1702">
        <v>86.336145625056005</v>
      </c>
      <c r="AK1702">
        <v>24.8248145431468</v>
      </c>
    </row>
    <row r="1703" spans="1:37" x14ac:dyDescent="0.2">
      <c r="A1703" t="str">
        <f>"20200111155531665"</f>
        <v>20200111155531665</v>
      </c>
      <c r="B1703" t="str">
        <f>"1578729331654477"</f>
        <v>1578729331654477</v>
      </c>
      <c r="C1703" t="s">
        <v>37</v>
      </c>
      <c r="D1703">
        <v>4.9410339999999904</v>
      </c>
      <c r="E1703">
        <v>0.51101969999999997</v>
      </c>
      <c r="F1703" t="s">
        <v>56</v>
      </c>
      <c r="G1703">
        <v>-190.28530000000001</v>
      </c>
      <c r="H1703" s="1">
        <v>3.1463489999999999E-7</v>
      </c>
      <c r="I1703">
        <v>298.64409999999998</v>
      </c>
      <c r="J1703">
        <v>-190.7123</v>
      </c>
      <c r="K1703">
        <v>1.1038079999999999</v>
      </c>
      <c r="L1703">
        <v>324.209</v>
      </c>
      <c r="M1703">
        <v>7.9168920000000004E-2</v>
      </c>
      <c r="N1703">
        <v>0</v>
      </c>
      <c r="O1703">
        <v>-0.99676810000000005</v>
      </c>
      <c r="P1703">
        <v>4.3554160000000001E-2</v>
      </c>
      <c r="Q1703">
        <v>6.671845E-3</v>
      </c>
      <c r="R1703">
        <v>-0.999029099999999</v>
      </c>
      <c r="S1703">
        <v>5.2688599999999898E-2</v>
      </c>
      <c r="T1703">
        <v>-0.12772800000000001</v>
      </c>
      <c r="U1703">
        <v>-3.0019529999999999</v>
      </c>
      <c r="V1703">
        <v>3.5728860000000001E-2</v>
      </c>
      <c r="W1703">
        <v>2.021396E-2</v>
      </c>
      <c r="X1703">
        <v>0.99915710000000002</v>
      </c>
      <c r="Y1703">
        <v>6.1686100000000001E-2</v>
      </c>
      <c r="Z1703">
        <v>4.2266049999999999E-2</v>
      </c>
      <c r="AA1703">
        <v>0.99720030000000004</v>
      </c>
      <c r="AB1703">
        <v>26</v>
      </c>
      <c r="AC1703">
        <v>0.426999999999992</v>
      </c>
      <c r="AD1703">
        <v>-1.1038076853651</v>
      </c>
      <c r="AE1703">
        <v>-25.564900000000002</v>
      </c>
      <c r="AF1703">
        <v>1.5955003747772201</v>
      </c>
      <c r="AG1703">
        <v>-1.1038076853651</v>
      </c>
      <c r="AH1703">
        <v>25.470980193830702</v>
      </c>
      <c r="AI1703">
        <v>92.476563311117701</v>
      </c>
      <c r="AJ1703">
        <v>86.415679585503796</v>
      </c>
      <c r="AK1703">
        <v>25.544761593851302</v>
      </c>
    </row>
    <row r="1704" spans="1:37" x14ac:dyDescent="0.2">
      <c r="A1704" t="str">
        <f>"20200111155531686"</f>
        <v>20200111155531686</v>
      </c>
      <c r="B1704" t="str">
        <f>"1578729331683758"</f>
        <v>1578729331683758</v>
      </c>
      <c r="C1704" t="s">
        <v>37</v>
      </c>
      <c r="D1704">
        <v>4.888331</v>
      </c>
      <c r="E1704">
        <v>0.51048800000000005</v>
      </c>
      <c r="F1704" t="s">
        <v>56</v>
      </c>
      <c r="G1704">
        <v>-190.31549999999999</v>
      </c>
      <c r="H1704" s="1">
        <v>1.067223E-7</v>
      </c>
      <c r="I1704">
        <v>299.22469999999998</v>
      </c>
      <c r="J1704">
        <v>-190.69370000000001</v>
      </c>
      <c r="K1704">
        <v>1.1038190000000001</v>
      </c>
      <c r="L1704">
        <v>323.9556</v>
      </c>
      <c r="M1704">
        <v>7.787173E-2</v>
      </c>
      <c r="N1704">
        <v>0</v>
      </c>
      <c r="O1704">
        <v>-0.99686960000000002</v>
      </c>
      <c r="P1704">
        <v>4.242274E-2</v>
      </c>
      <c r="Q1704">
        <v>6.2803240000000003E-3</v>
      </c>
      <c r="R1704">
        <v>-0.99908009999999903</v>
      </c>
      <c r="S1704">
        <v>4.7668460000000003E-2</v>
      </c>
      <c r="T1704">
        <v>-0.13261709999999999</v>
      </c>
      <c r="U1704">
        <v>-3.0017399999999999</v>
      </c>
      <c r="V1704">
        <v>3.5559449999999999E-2</v>
      </c>
      <c r="W1704">
        <v>1.9864509999999998E-2</v>
      </c>
      <c r="X1704">
        <v>0.99917009999999995</v>
      </c>
      <c r="Y1704">
        <v>6.2054419999999999E-2</v>
      </c>
      <c r="Z1704">
        <v>4.3890779999999997E-2</v>
      </c>
      <c r="AA1704">
        <v>0.99710730000000003</v>
      </c>
      <c r="AB1704">
        <v>26</v>
      </c>
      <c r="AC1704">
        <v>0.37820000000002002</v>
      </c>
      <c r="AD1704">
        <v>-1.1038188932777</v>
      </c>
      <c r="AE1704">
        <v>-24.730899999999998</v>
      </c>
      <c r="AF1704">
        <v>1.5458878392223601</v>
      </c>
      <c r="AG1704">
        <v>-1.1038188932777</v>
      </c>
      <c r="AH1704">
        <v>24.636174809659401</v>
      </c>
      <c r="AI1704">
        <v>92.560381269361102</v>
      </c>
      <c r="AJ1704">
        <v>86.409472068801605</v>
      </c>
      <c r="AK1704">
        <v>24.7092957125999</v>
      </c>
    </row>
    <row r="1705" spans="1:37" x14ac:dyDescent="0.2">
      <c r="A1705" t="str">
        <f>"20200111155531710"</f>
        <v>20200111155531710</v>
      </c>
      <c r="B1705" t="str">
        <f>"1578729331704253"</f>
        <v>1578729331704253</v>
      </c>
      <c r="C1705" t="s">
        <v>37</v>
      </c>
      <c r="D1705">
        <v>4.893796</v>
      </c>
      <c r="E1705">
        <v>0.51019219999999998</v>
      </c>
      <c r="F1705" t="s">
        <v>38</v>
      </c>
      <c r="G1705">
        <v>-190.30070000000001</v>
      </c>
      <c r="H1705" s="1">
        <v>-1.010652E-7</v>
      </c>
      <c r="I1705">
        <v>299.63819999999998</v>
      </c>
      <c r="J1705">
        <v>-190.67420000000001</v>
      </c>
      <c r="K1705">
        <v>1.103831</v>
      </c>
      <c r="L1705">
        <v>323.6859</v>
      </c>
      <c r="M1705">
        <v>7.6491439999999994E-2</v>
      </c>
      <c r="N1705">
        <v>0</v>
      </c>
      <c r="O1705">
        <v>-0.99697610000000003</v>
      </c>
      <c r="P1705">
        <v>4.187797E-2</v>
      </c>
      <c r="Q1705">
        <v>6.0520969999999898E-3</v>
      </c>
      <c r="R1705">
        <v>-0.99910449999999995</v>
      </c>
      <c r="S1705">
        <v>4.8507689999999999E-2</v>
      </c>
      <c r="T1705">
        <v>-0.13624739999999999</v>
      </c>
      <c r="U1705">
        <v>-3.0015559999999999</v>
      </c>
      <c r="V1705">
        <v>3.4720269999999998E-2</v>
      </c>
      <c r="W1705">
        <v>1.967524E-2</v>
      </c>
      <c r="X1705">
        <v>0.99920339999999996</v>
      </c>
      <c r="Y1705">
        <v>6.0393660000000002E-2</v>
      </c>
      <c r="Z1705">
        <v>4.5102040000000003E-2</v>
      </c>
      <c r="AA1705">
        <v>0.99715509999999996</v>
      </c>
      <c r="AB1705">
        <v>26</v>
      </c>
      <c r="AC1705">
        <v>0.37350000000000699</v>
      </c>
      <c r="AD1705">
        <v>-1.1038311010652</v>
      </c>
      <c r="AE1705">
        <v>-24.047699999999999</v>
      </c>
      <c r="AF1705">
        <v>1.46412621927913</v>
      </c>
      <c r="AG1705">
        <v>-1.1038311010652</v>
      </c>
      <c r="AH1705">
        <v>23.955343954826301</v>
      </c>
      <c r="AI1705">
        <v>92.633341915877494</v>
      </c>
      <c r="AJ1705">
        <v>86.502491009902997</v>
      </c>
      <c r="AK1705">
        <v>24.025415973083401</v>
      </c>
    </row>
    <row r="1706" spans="1:37" x14ac:dyDescent="0.2">
      <c r="A1706" t="str">
        <f>"20200111155531731"</f>
        <v>20200111155531731</v>
      </c>
      <c r="B1706" t="str">
        <f>"1578729331723774"</f>
        <v>1578729331723774</v>
      </c>
      <c r="C1706" t="s">
        <v>37</v>
      </c>
      <c r="D1706">
        <v>4.9981339999999896</v>
      </c>
      <c r="E1706">
        <v>0.50988579999999994</v>
      </c>
      <c r="F1706" t="s">
        <v>38</v>
      </c>
      <c r="G1706">
        <v>-190.27979999999999</v>
      </c>
      <c r="H1706" s="1">
        <v>-1.4266869999999999E-7</v>
      </c>
      <c r="I1706">
        <v>299.74810000000002</v>
      </c>
      <c r="J1706">
        <v>-190.65620000000001</v>
      </c>
      <c r="K1706">
        <v>1.103847</v>
      </c>
      <c r="L1706">
        <v>323.43180000000001</v>
      </c>
      <c r="M1706">
        <v>7.5189839999999994E-2</v>
      </c>
      <c r="N1706">
        <v>0</v>
      </c>
      <c r="O1706">
        <v>-0.99707479999999904</v>
      </c>
      <c r="P1706">
        <v>4.1008459999999997E-2</v>
      </c>
      <c r="Q1706">
        <v>5.9703680000000002E-3</v>
      </c>
      <c r="R1706">
        <v>-0.99914119999999995</v>
      </c>
      <c r="S1706">
        <v>4.9453740000000003E-2</v>
      </c>
      <c r="T1706">
        <v>-0.13840629999999901</v>
      </c>
      <c r="U1706">
        <v>-3.0014949999999998</v>
      </c>
      <c r="V1706">
        <v>3.4285160000000002E-2</v>
      </c>
      <c r="W1706">
        <v>1.9624229999999999E-2</v>
      </c>
      <c r="X1706">
        <v>0.99921939999999998</v>
      </c>
      <c r="Y1706">
        <v>5.8776519999999999E-2</v>
      </c>
      <c r="Z1706">
        <v>4.5825070000000002E-2</v>
      </c>
      <c r="AA1706">
        <v>0.99721879999999996</v>
      </c>
      <c r="AB1706">
        <v>26</v>
      </c>
      <c r="AC1706">
        <v>0.376400000000018</v>
      </c>
      <c r="AD1706">
        <v>-1.1038471426687</v>
      </c>
      <c r="AE1706">
        <v>-23.683699999999899</v>
      </c>
      <c r="AF1706">
        <v>1.4025610182075701</v>
      </c>
      <c r="AG1706">
        <v>-1.1038471426687</v>
      </c>
      <c r="AH1706">
        <v>23.593708991267501</v>
      </c>
      <c r="AI1706">
        <v>92.673953631356994</v>
      </c>
      <c r="AJ1706">
        <v>86.597975951758698</v>
      </c>
      <c r="AK1706">
        <v>23.661123386026901</v>
      </c>
    </row>
    <row r="1707" spans="1:37" x14ac:dyDescent="0.2">
      <c r="A1707" t="str">
        <f>"20200111155531755"</f>
        <v>20200111155531755</v>
      </c>
      <c r="B1707" t="str">
        <f>"1578729331744273"</f>
        <v>1578729331744273</v>
      </c>
      <c r="C1707" t="s">
        <v>37</v>
      </c>
      <c r="D1707">
        <v>5.1277999999999997</v>
      </c>
      <c r="E1707">
        <v>0.50906879999999999</v>
      </c>
      <c r="F1707" t="s">
        <v>38</v>
      </c>
      <c r="G1707">
        <v>-190.26609999999999</v>
      </c>
      <c r="H1707" s="1">
        <v>-1.094098E-7</v>
      </c>
      <c r="I1707">
        <v>299.67910000000001</v>
      </c>
      <c r="J1707">
        <v>-190.63820000000001</v>
      </c>
      <c r="K1707">
        <v>1.1038619999999999</v>
      </c>
      <c r="L1707">
        <v>323.17200000000003</v>
      </c>
      <c r="M1707">
        <v>7.3859159999999993E-2</v>
      </c>
      <c r="N1707">
        <v>0</v>
      </c>
      <c r="O1707">
        <v>-0.99717369999999905</v>
      </c>
      <c r="P1707">
        <v>4.0927390000000001E-2</v>
      </c>
      <c r="Q1707">
        <v>5.9465059999999998E-3</v>
      </c>
      <c r="R1707">
        <v>-0.99914449999999999</v>
      </c>
      <c r="S1707">
        <v>4.9301150000000002E-2</v>
      </c>
      <c r="T1707">
        <v>-0.13948459999999999</v>
      </c>
      <c r="U1707">
        <v>-3.0014340000000002</v>
      </c>
      <c r="V1707">
        <v>3.303246E-2</v>
      </c>
      <c r="W1707">
        <v>1.962995E-2</v>
      </c>
      <c r="X1707">
        <v>0.99926150000000002</v>
      </c>
      <c r="Y1707">
        <v>5.749493E-2</v>
      </c>
      <c r="Z1707">
        <v>4.6190929999999998E-2</v>
      </c>
      <c r="AA1707">
        <v>0.99727670000000002</v>
      </c>
      <c r="AB1707">
        <v>26</v>
      </c>
      <c r="AC1707">
        <v>0.37210000000001697</v>
      </c>
      <c r="AD1707">
        <v>-1.1038621094098</v>
      </c>
      <c r="AE1707">
        <v>-23.492899999999999</v>
      </c>
      <c r="AF1707">
        <v>1.3612421777503101</v>
      </c>
      <c r="AG1707">
        <v>-1.1038621094098</v>
      </c>
      <c r="AH1707">
        <v>23.4045476427825</v>
      </c>
      <c r="AI1707">
        <v>92.695772618575504</v>
      </c>
      <c r="AJ1707">
        <v>86.671344955564905</v>
      </c>
      <c r="AK1707">
        <v>23.470073331507798</v>
      </c>
    </row>
    <row r="1708" spans="1:37" x14ac:dyDescent="0.2">
      <c r="A1708" t="str">
        <f>"20200111155531775"</f>
        <v>20200111155531775</v>
      </c>
      <c r="B1708" t="str">
        <f>"1578729331763789"</f>
        <v>1578729331763789</v>
      </c>
      <c r="C1708" t="s">
        <v>37</v>
      </c>
      <c r="D1708">
        <v>4.9794239999999999</v>
      </c>
      <c r="E1708">
        <v>0.50895080000000004</v>
      </c>
      <c r="F1708" t="s">
        <v>56</v>
      </c>
      <c r="G1708">
        <v>-190.19589999999999</v>
      </c>
      <c r="H1708" s="1">
        <v>1.2902630000000001E-7</v>
      </c>
      <c r="I1708">
        <v>299.19159999999999</v>
      </c>
      <c r="J1708">
        <v>-190.62180000000001</v>
      </c>
      <c r="K1708">
        <v>1.1038699999999999</v>
      </c>
      <c r="L1708">
        <v>322.9314</v>
      </c>
      <c r="M1708">
        <v>7.2626819999999995E-2</v>
      </c>
      <c r="N1708">
        <v>0</v>
      </c>
      <c r="O1708">
        <v>-0.99726399999999904</v>
      </c>
      <c r="P1708">
        <v>4.0414350000000002E-2</v>
      </c>
      <c r="Q1708">
        <v>5.7285410000000002E-3</v>
      </c>
      <c r="R1708">
        <v>-0.99916669999999996</v>
      </c>
      <c r="S1708">
        <v>5.5343629999999998E-2</v>
      </c>
      <c r="T1708">
        <v>-0.13814879999999999</v>
      </c>
      <c r="U1708">
        <v>-3.00116</v>
      </c>
      <c r="V1708">
        <v>3.2310100000000001E-2</v>
      </c>
      <c r="W1708">
        <v>1.9434480000000001E-2</v>
      </c>
      <c r="X1708">
        <v>0.99928890000000004</v>
      </c>
      <c r="Y1708">
        <v>5.4251790000000001E-2</v>
      </c>
      <c r="Z1708">
        <v>4.5763310000000001E-2</v>
      </c>
      <c r="AA1708">
        <v>0.99747809999999903</v>
      </c>
      <c r="AB1708">
        <v>26</v>
      </c>
      <c r="AC1708">
        <v>0.42590000000001199</v>
      </c>
      <c r="AD1708">
        <v>-1.1038698709737</v>
      </c>
      <c r="AE1708">
        <v>-23.739799999999999</v>
      </c>
      <c r="AF1708">
        <v>1.2967320139968901</v>
      </c>
      <c r="AG1708">
        <v>-1.1038698709737</v>
      </c>
      <c r="AH1708">
        <v>23.656897559627499</v>
      </c>
      <c r="AI1708">
        <v>92.667579092032398</v>
      </c>
      <c r="AJ1708">
        <v>86.862522047033806</v>
      </c>
      <c r="AK1708">
        <v>23.718112166757301</v>
      </c>
    </row>
    <row r="1709" spans="1:37" x14ac:dyDescent="0.2">
      <c r="A1709" t="str">
        <f>"20200111155531799"</f>
        <v>20200111155531799</v>
      </c>
      <c r="B1709" t="str">
        <f>"1578729331794593"</f>
        <v>1578729331794593</v>
      </c>
      <c r="C1709" t="s">
        <v>37</v>
      </c>
      <c r="D1709">
        <v>5.1829159999999996</v>
      </c>
      <c r="E1709">
        <v>0.50843170000000004</v>
      </c>
      <c r="F1709" t="s">
        <v>56</v>
      </c>
      <c r="G1709">
        <v>-190.1865</v>
      </c>
      <c r="H1709" s="1">
        <v>1.3732329999999999E-7</v>
      </c>
      <c r="I1709">
        <v>299.1705</v>
      </c>
      <c r="J1709">
        <v>-190.6037</v>
      </c>
      <c r="K1709">
        <v>1.103888</v>
      </c>
      <c r="L1709">
        <v>322.66219999999998</v>
      </c>
      <c r="M1709">
        <v>7.1249069999999998E-2</v>
      </c>
      <c r="N1709">
        <v>0</v>
      </c>
      <c r="O1709">
        <v>-0.997362999999999</v>
      </c>
      <c r="P1709">
        <v>3.9636909999999997E-2</v>
      </c>
      <c r="Q1709">
        <v>5.5876149999999998E-3</v>
      </c>
      <c r="R1709">
        <v>-0.99919859999999905</v>
      </c>
      <c r="S1709">
        <v>5.4977419999999999E-2</v>
      </c>
      <c r="T1709">
        <v>-0.13942309999999999</v>
      </c>
      <c r="U1709">
        <v>-3.001099</v>
      </c>
      <c r="V1709">
        <v>3.1706669999999999E-2</v>
      </c>
      <c r="W1709">
        <v>1.931482E-2</v>
      </c>
      <c r="X1709">
        <v>0.99931059999999905</v>
      </c>
      <c r="Y1709">
        <v>5.2993989999999998E-2</v>
      </c>
      <c r="Z1709">
        <v>4.6193989999999997E-2</v>
      </c>
      <c r="AA1709">
        <v>0.99752580000000002</v>
      </c>
      <c r="AB1709">
        <v>26</v>
      </c>
      <c r="AC1709">
        <v>0.41720000000000801</v>
      </c>
      <c r="AD1709">
        <v>-1.1038878626766999</v>
      </c>
      <c r="AE1709">
        <v>-23.491699999999899</v>
      </c>
      <c r="AF1709">
        <v>1.2550114849695799</v>
      </c>
      <c r="AG1709">
        <v>-1.1038878626766999</v>
      </c>
      <c r="AH1709">
        <v>23.410038018989201</v>
      </c>
      <c r="AI1709">
        <v>92.695886592202996</v>
      </c>
      <c r="AJ1709">
        <v>86.931312441802703</v>
      </c>
      <c r="AK1709">
        <v>23.469629359904399</v>
      </c>
    </row>
    <row r="1710" spans="1:37" x14ac:dyDescent="0.2">
      <c r="A1710" t="str">
        <f>"20200111155531821"</f>
        <v>20200111155531821</v>
      </c>
      <c r="B1710" t="str">
        <f>"1578729331814113"</f>
        <v>1578729331814113</v>
      </c>
      <c r="C1710" t="s">
        <v>37</v>
      </c>
      <c r="D1710">
        <v>4.9695799999999997</v>
      </c>
      <c r="E1710">
        <v>0.50827120000000003</v>
      </c>
      <c r="F1710" t="s">
        <v>56</v>
      </c>
      <c r="G1710">
        <v>-190.15270000000001</v>
      </c>
      <c r="H1710" s="1">
        <v>2.731355E-7</v>
      </c>
      <c r="I1710">
        <v>298.79480000000001</v>
      </c>
      <c r="J1710">
        <v>-190.58670000000001</v>
      </c>
      <c r="K1710">
        <v>1.1039030000000001</v>
      </c>
      <c r="L1710">
        <v>322.4024</v>
      </c>
      <c r="M1710">
        <v>6.992189E-2</v>
      </c>
      <c r="N1710">
        <v>0</v>
      </c>
      <c r="O1710">
        <v>-0.99745680000000003</v>
      </c>
      <c r="P1710">
        <v>3.869069E-2</v>
      </c>
      <c r="Q1710">
        <v>5.8157679999999998E-3</v>
      </c>
      <c r="R1710">
        <v>-0.99923459999999997</v>
      </c>
      <c r="S1710">
        <v>5.6716919999999997E-2</v>
      </c>
      <c r="T1710">
        <v>-0.138796</v>
      </c>
      <c r="U1710">
        <v>-3.0009459999999999</v>
      </c>
      <c r="V1710">
        <v>3.1323490000000002E-2</v>
      </c>
      <c r="W1710">
        <v>1.9559389999999999E-2</v>
      </c>
      <c r="X1710">
        <v>0.99931789999999998</v>
      </c>
      <c r="Y1710">
        <v>5.1086020000000003E-2</v>
      </c>
      <c r="Z1710">
        <v>4.5997549999999998E-2</v>
      </c>
      <c r="AA1710">
        <v>0.99763440000000003</v>
      </c>
      <c r="AB1710">
        <v>26</v>
      </c>
      <c r="AC1710">
        <v>0.433999999999997</v>
      </c>
      <c r="AD1710">
        <v>-1.1039027268645001</v>
      </c>
      <c r="AE1710">
        <v>-23.607599999999898</v>
      </c>
      <c r="AF1710">
        <v>1.2152516887418401</v>
      </c>
      <c r="AG1710">
        <v>-1.1039027268645001</v>
      </c>
      <c r="AH1710">
        <v>23.528728445812899</v>
      </c>
      <c r="AI1710">
        <v>92.682618778117401</v>
      </c>
      <c r="AJ1710">
        <v>87.043317668105502</v>
      </c>
      <c r="AK1710">
        <v>23.585938611261099</v>
      </c>
    </row>
    <row r="1711" spans="1:37" x14ac:dyDescent="0.2">
      <c r="A1711" t="str">
        <f>"20200111155531844"</f>
        <v>20200111155531844</v>
      </c>
      <c r="B1711" t="str">
        <f>"1578729331834609"</f>
        <v>1578729331834609</v>
      </c>
      <c r="C1711" t="s">
        <v>37</v>
      </c>
      <c r="D1711">
        <v>4.8880800000000004</v>
      </c>
      <c r="E1711">
        <v>0.50819309999999995</v>
      </c>
      <c r="F1711" t="s">
        <v>56</v>
      </c>
      <c r="G1711">
        <v>-190.14830000000001</v>
      </c>
      <c r="H1711" s="1">
        <v>4.028451E-7</v>
      </c>
      <c r="I1711">
        <v>298.4289</v>
      </c>
      <c r="J1711">
        <v>-190.5703</v>
      </c>
      <c r="K1711">
        <v>1.1039190000000001</v>
      </c>
      <c r="L1711">
        <v>322.14589999999998</v>
      </c>
      <c r="M1711">
        <v>6.8614399999999895E-2</v>
      </c>
      <c r="N1711">
        <v>0</v>
      </c>
      <c r="O1711">
        <v>-0.99754759999999998</v>
      </c>
      <c r="P1711">
        <v>3.8289959999999998E-2</v>
      </c>
      <c r="Q1711">
        <v>6.1671549999999997E-3</v>
      </c>
      <c r="R1711">
        <v>-0.99924789999999997</v>
      </c>
      <c r="S1711">
        <v>5.4885860000000002E-2</v>
      </c>
      <c r="T1711">
        <v>-0.13818710000000001</v>
      </c>
      <c r="U1711">
        <v>-3.001007</v>
      </c>
      <c r="V1711">
        <v>3.0414670000000001E-2</v>
      </c>
      <c r="W1711">
        <v>1.9926010000000001E-2</v>
      </c>
      <c r="X1711">
        <v>0.99933869999999903</v>
      </c>
      <c r="Y1711">
        <v>5.0385680000000002E-2</v>
      </c>
      <c r="Z1711">
        <v>4.5802589999999997E-2</v>
      </c>
      <c r="AA1711">
        <v>0.99767899999999998</v>
      </c>
      <c r="AB1711">
        <v>26</v>
      </c>
      <c r="AC1711">
        <v>0.42199999999999599</v>
      </c>
      <c r="AD1711">
        <v>-1.1039185971548999</v>
      </c>
      <c r="AE1711">
        <v>-23.716999999999899</v>
      </c>
      <c r="AF1711">
        <v>1.2038704359439301</v>
      </c>
      <c r="AG1711">
        <v>-1.1039185971548999</v>
      </c>
      <c r="AH1711">
        <v>23.638855547105202</v>
      </c>
      <c r="AI1711">
        <v>92.670276125469201</v>
      </c>
      <c r="AJ1711">
        <v>87.084581594770398</v>
      </c>
      <c r="AK1711">
        <v>23.695219599585698</v>
      </c>
    </row>
    <row r="1712" spans="1:37" x14ac:dyDescent="0.2">
      <c r="A1712" t="str">
        <f>"20200111155531864"</f>
        <v>20200111155531864</v>
      </c>
      <c r="B1712" t="str">
        <f>"1578729331854132"</f>
        <v>1578729331854132</v>
      </c>
      <c r="C1712" t="s">
        <v>37</v>
      </c>
      <c r="D1712">
        <v>4.9315419999999897</v>
      </c>
      <c r="E1712">
        <v>0.50810809999999995</v>
      </c>
      <c r="F1712" t="s">
        <v>56</v>
      </c>
      <c r="G1712">
        <v>-190.13220000000001</v>
      </c>
      <c r="H1712" s="1">
        <v>5.3416489999999995E-7</v>
      </c>
      <c r="I1712">
        <v>298.06150000000002</v>
      </c>
      <c r="J1712">
        <v>-190.5549</v>
      </c>
      <c r="K1712">
        <v>1.103928</v>
      </c>
      <c r="L1712">
        <v>321.90190000000001</v>
      </c>
      <c r="M1712">
        <v>6.7374729999999994E-2</v>
      </c>
      <c r="N1712">
        <v>0</v>
      </c>
      <c r="O1712">
        <v>-0.99763189999999902</v>
      </c>
      <c r="P1712">
        <v>3.690968E-2</v>
      </c>
      <c r="Q1712">
        <v>6.1546909999999899E-3</v>
      </c>
      <c r="R1712">
        <v>-0.99929979999999996</v>
      </c>
      <c r="S1712">
        <v>5.4580690000000001E-2</v>
      </c>
      <c r="T1712">
        <v>-0.13755239999999999</v>
      </c>
      <c r="U1712">
        <v>-3.001007</v>
      </c>
      <c r="V1712">
        <v>3.0552989999999999E-2</v>
      </c>
      <c r="W1712">
        <v>1.99241E-2</v>
      </c>
      <c r="X1712">
        <v>0.99933459999999996</v>
      </c>
      <c r="Y1712">
        <v>4.9245839999999999E-2</v>
      </c>
      <c r="Z1712">
        <v>4.5599830000000001E-2</v>
      </c>
      <c r="AA1712">
        <v>0.997745199999999</v>
      </c>
      <c r="AB1712">
        <v>26</v>
      </c>
      <c r="AC1712">
        <v>0.42269999999999103</v>
      </c>
      <c r="AD1712">
        <v>-1.1039274658350999</v>
      </c>
      <c r="AE1712">
        <v>-23.840399999999899</v>
      </c>
      <c r="AF1712">
        <v>1.1821209485111499</v>
      </c>
      <c r="AG1712">
        <v>-1.1039274658350999</v>
      </c>
      <c r="AH1712">
        <v>23.7637631686422</v>
      </c>
      <c r="AI1712">
        <v>92.656439569517204</v>
      </c>
      <c r="AJ1712">
        <v>87.152186866520793</v>
      </c>
      <c r="AK1712">
        <v>23.818742740162602</v>
      </c>
    </row>
    <row r="1713" spans="1:37" x14ac:dyDescent="0.2">
      <c r="A1713" t="str">
        <f>"20200111155531888"</f>
        <v>20200111155531888</v>
      </c>
      <c r="B1713" t="str">
        <f>"1578729331884385"</f>
        <v>1578729331884385</v>
      </c>
      <c r="C1713" t="s">
        <v>37</v>
      </c>
      <c r="D1713">
        <v>4.9451999999999998</v>
      </c>
      <c r="E1713">
        <v>0.50793429999999995</v>
      </c>
      <c r="F1713" t="s">
        <v>56</v>
      </c>
      <c r="G1713">
        <v>-190.14590000000001</v>
      </c>
      <c r="H1713" s="1">
        <v>5.7610290000000001E-7</v>
      </c>
      <c r="I1713">
        <v>297.93939999999998</v>
      </c>
      <c r="J1713">
        <v>-190.53870000000001</v>
      </c>
      <c r="K1713">
        <v>1.103942</v>
      </c>
      <c r="L1713">
        <v>321.63869999999997</v>
      </c>
      <c r="M1713">
        <v>6.6044039999999998E-2</v>
      </c>
      <c r="N1713">
        <v>0</v>
      </c>
      <c r="O1713">
        <v>-0.99772059999999996</v>
      </c>
      <c r="P1713">
        <v>3.5238470000000001E-2</v>
      </c>
      <c r="Q1713">
        <v>6.3075369999999898E-3</v>
      </c>
      <c r="R1713">
        <v>-0.999359199999999</v>
      </c>
      <c r="S1713">
        <v>5.1223749999999998E-2</v>
      </c>
      <c r="T1713">
        <v>-0.138257399999999</v>
      </c>
      <c r="U1713">
        <v>-3.001099</v>
      </c>
      <c r="V1713">
        <v>3.0891350000000001E-2</v>
      </c>
      <c r="W1713">
        <v>2.0085240000000001E-2</v>
      </c>
      <c r="X1713">
        <v>0.99932089999999996</v>
      </c>
      <c r="Y1713">
        <v>4.9030110000000002E-2</v>
      </c>
      <c r="Z1713">
        <v>4.5838459999999998E-2</v>
      </c>
      <c r="AA1713">
        <v>0.99774490000000005</v>
      </c>
      <c r="AB1713">
        <v>26</v>
      </c>
      <c r="AC1713">
        <v>0.39279999999999399</v>
      </c>
      <c r="AD1713">
        <v>-1.1039414238970999</v>
      </c>
      <c r="AE1713">
        <v>-23.699299999999901</v>
      </c>
      <c r="AF1713">
        <v>1.17086554004011</v>
      </c>
      <c r="AG1713">
        <v>-1.1039414238970999</v>
      </c>
      <c r="AH1713">
        <v>23.6222505441545</v>
      </c>
      <c r="AI1713">
        <v>92.672387697889803</v>
      </c>
      <c r="AJ1713">
        <v>87.162387400572101</v>
      </c>
      <c r="AK1713">
        <v>23.677000096107101</v>
      </c>
    </row>
    <row r="1714" spans="1:37" x14ac:dyDescent="0.2">
      <c r="A1714" t="str">
        <f>"20200111155531910"</f>
        <v>20200111155531910</v>
      </c>
      <c r="B1714" t="str">
        <f>"1578729331903906"</f>
        <v>1578729331903906</v>
      </c>
      <c r="C1714" t="s">
        <v>37</v>
      </c>
      <c r="D1714">
        <v>4.9101679999999996</v>
      </c>
      <c r="E1714">
        <v>0.50788159999999904</v>
      </c>
      <c r="F1714" t="s">
        <v>56</v>
      </c>
      <c r="G1714">
        <v>-190.1585</v>
      </c>
      <c r="H1714" s="1">
        <v>6.5726159999999998E-7</v>
      </c>
      <c r="I1714">
        <v>297.70670000000001</v>
      </c>
      <c r="J1714">
        <v>-190.52340000000001</v>
      </c>
      <c r="K1714">
        <v>1.103953</v>
      </c>
      <c r="L1714">
        <v>321.38420000000002</v>
      </c>
      <c r="M1714">
        <v>6.4765740000000002E-2</v>
      </c>
      <c r="N1714">
        <v>0</v>
      </c>
      <c r="O1714">
        <v>-0.99780449999999998</v>
      </c>
      <c r="P1714">
        <v>3.3445499999999899E-2</v>
      </c>
      <c r="Q1714">
        <v>6.5869400000000003E-3</v>
      </c>
      <c r="R1714">
        <v>-0.99941899999999995</v>
      </c>
      <c r="S1714">
        <v>4.7683719999999999E-2</v>
      </c>
      <c r="T1714">
        <v>-0.13843539999999999</v>
      </c>
      <c r="U1714">
        <v>-3.001099</v>
      </c>
      <c r="V1714">
        <v>3.1404120000000001E-2</v>
      </c>
      <c r="W1714">
        <v>2.037081E-2</v>
      </c>
      <c r="X1714">
        <v>0.99929920000000005</v>
      </c>
      <c r="Y1714">
        <v>4.8927140000000001E-2</v>
      </c>
      <c r="Z1714">
        <v>4.5903720000000002E-2</v>
      </c>
      <c r="AA1714">
        <v>0.99774689999999999</v>
      </c>
      <c r="AB1714">
        <v>26</v>
      </c>
      <c r="AC1714">
        <v>0.364900000000005</v>
      </c>
      <c r="AD1714">
        <v>-1.1039523427383999</v>
      </c>
      <c r="AE1714">
        <v>-23.677499999999998</v>
      </c>
      <c r="AF1714">
        <v>1.1669677712521001</v>
      </c>
      <c r="AG1714">
        <v>-1.1039523427383999</v>
      </c>
      <c r="AH1714">
        <v>23.600123854596799</v>
      </c>
      <c r="AI1714">
        <v>92.674931676700794</v>
      </c>
      <c r="AJ1714">
        <v>87.1691710497727</v>
      </c>
      <c r="AK1714">
        <v>23.654732518176701</v>
      </c>
    </row>
    <row r="1715" spans="1:37" x14ac:dyDescent="0.2">
      <c r="A1715" t="str">
        <f>"20200111155531933"</f>
        <v>20200111155531933</v>
      </c>
      <c r="B1715" t="str">
        <f>"1578729331924401"</f>
        <v>1578729331924401</v>
      </c>
      <c r="C1715" t="s">
        <v>37</v>
      </c>
      <c r="D1715">
        <v>5.0025409999999999</v>
      </c>
      <c r="E1715">
        <v>0.50776739999999998</v>
      </c>
      <c r="F1715" t="s">
        <v>56</v>
      </c>
      <c r="G1715">
        <v>-190.18010000000001</v>
      </c>
      <c r="H1715" s="1">
        <v>7.9507319999999905E-7</v>
      </c>
      <c r="I1715">
        <v>297.31139999999999</v>
      </c>
      <c r="J1715">
        <v>-190.50839999999999</v>
      </c>
      <c r="K1715">
        <v>1.103961</v>
      </c>
      <c r="L1715">
        <v>321.13029999999998</v>
      </c>
      <c r="M1715">
        <v>6.3497540000000005E-2</v>
      </c>
      <c r="N1715">
        <v>0</v>
      </c>
      <c r="O1715">
        <v>-0.99788589999999999</v>
      </c>
      <c r="P1715">
        <v>3.1403809999999997E-2</v>
      </c>
      <c r="Q1715">
        <v>6.7918259999999999E-3</v>
      </c>
      <c r="R1715">
        <v>-0.99948379999999903</v>
      </c>
      <c r="S1715">
        <v>4.2800900000000003E-2</v>
      </c>
      <c r="T1715">
        <v>-0.13763110000000001</v>
      </c>
      <c r="U1715">
        <v>-3.0011899999999998</v>
      </c>
      <c r="V1715">
        <v>3.2175559999999999E-2</v>
      </c>
      <c r="W1715">
        <v>2.0580089999999999E-2</v>
      </c>
      <c r="X1715">
        <v>0.99927029999999994</v>
      </c>
      <c r="Y1715">
        <v>4.9280949999999997E-2</v>
      </c>
      <c r="Z1715">
        <v>4.5641939999999999E-2</v>
      </c>
      <c r="AA1715">
        <v>0.99774159999999901</v>
      </c>
      <c r="AB1715">
        <v>26</v>
      </c>
      <c r="AC1715">
        <v>0.32829999999998399</v>
      </c>
      <c r="AD1715">
        <v>-1.1039602049268</v>
      </c>
      <c r="AE1715">
        <v>-23.8188999999999</v>
      </c>
      <c r="AF1715">
        <v>1.18240974824976</v>
      </c>
      <c r="AG1715">
        <v>-1.1039602049268</v>
      </c>
      <c r="AH1715">
        <v>23.7406836277321</v>
      </c>
      <c r="AI1715">
        <v>92.659089092226196</v>
      </c>
      <c r="AJ1715">
        <v>87.148727659552506</v>
      </c>
      <c r="AK1715">
        <v>23.7957323917312</v>
      </c>
    </row>
    <row r="1716" spans="1:37" x14ac:dyDescent="0.2">
      <c r="A1716" t="str">
        <f>"20200111155531954"</f>
        <v>20200111155531954</v>
      </c>
      <c r="B1716" t="str">
        <f>"1578729331943920"</f>
        <v>1578729331943920</v>
      </c>
      <c r="C1716" t="s">
        <v>37</v>
      </c>
      <c r="D1716">
        <v>5.2171349999999999</v>
      </c>
      <c r="E1716">
        <v>0.53304259999999903</v>
      </c>
      <c r="F1716" t="s">
        <v>56</v>
      </c>
      <c r="G1716">
        <v>-190.2029</v>
      </c>
      <c r="H1716" s="1">
        <v>9.8846789999999996E-7</v>
      </c>
      <c r="I1716">
        <v>296.7586</v>
      </c>
      <c r="J1716">
        <v>-190.49379999999999</v>
      </c>
      <c r="K1716">
        <v>1.103972</v>
      </c>
      <c r="L1716">
        <v>320.8793</v>
      </c>
      <c r="M1716">
        <v>6.2251279999999999E-2</v>
      </c>
      <c r="N1716">
        <v>0</v>
      </c>
      <c r="O1716">
        <v>-0.99796419999999997</v>
      </c>
      <c r="P1716">
        <v>2.8986060000000001E-2</v>
      </c>
      <c r="Q1716">
        <v>6.8326719999999997E-3</v>
      </c>
      <c r="R1716">
        <v>-0.99955649999999996</v>
      </c>
      <c r="S1716">
        <v>3.7612920000000001E-2</v>
      </c>
      <c r="T1716">
        <v>-0.13594970000000001</v>
      </c>
      <c r="U1716">
        <v>-3.001312</v>
      </c>
      <c r="V1716">
        <v>3.3344650000000003E-2</v>
      </c>
      <c r="W1716">
        <v>2.0622999999999999E-2</v>
      </c>
      <c r="X1716">
        <v>0.99923109999999904</v>
      </c>
      <c r="Y1716">
        <v>4.9758249999999997E-2</v>
      </c>
      <c r="Z1716">
        <v>4.5088980000000001E-2</v>
      </c>
      <c r="AA1716">
        <v>0.99774300000000005</v>
      </c>
      <c r="AB1716">
        <v>26</v>
      </c>
      <c r="AC1716">
        <v>0.290899999999993</v>
      </c>
      <c r="AD1716">
        <v>-1.1039710115321</v>
      </c>
      <c r="AE1716">
        <v>-24.120699999999999</v>
      </c>
      <c r="AF1716">
        <v>1.2088212712297399</v>
      </c>
      <c r="AG1716">
        <v>-1.1039710115321</v>
      </c>
      <c r="AH1716">
        <v>24.041665395787</v>
      </c>
      <c r="AI1716">
        <v>92.625809871781001</v>
      </c>
      <c r="AJ1716">
        <v>87.121577126821506</v>
      </c>
      <c r="AK1716">
        <v>24.097337526437698</v>
      </c>
    </row>
    <row r="1717" spans="1:37" x14ac:dyDescent="0.2">
      <c r="A1717" t="str">
        <f>"20200111155531978"</f>
        <v>20200111155531978</v>
      </c>
      <c r="B1717" t="str">
        <f>"1578729331974177"</f>
        <v>1578729331974177</v>
      </c>
      <c r="C1717" t="s">
        <v>37</v>
      </c>
      <c r="D1717">
        <v>4.9524089999999896</v>
      </c>
      <c r="E1717">
        <v>0.57590399999999997</v>
      </c>
      <c r="F1717" t="s">
        <v>56</v>
      </c>
      <c r="G1717">
        <v>-192.73240000000001</v>
      </c>
      <c r="H1717" s="1">
        <v>3.7096629999999999E-6</v>
      </c>
      <c r="I1717">
        <v>281.98840000000001</v>
      </c>
      <c r="J1717">
        <v>-190.47900000000001</v>
      </c>
      <c r="K1717">
        <v>1.1039909999999999</v>
      </c>
      <c r="L1717">
        <v>320.61630000000002</v>
      </c>
      <c r="M1717">
        <v>6.0951720000000001E-2</v>
      </c>
      <c r="N1717">
        <v>0</v>
      </c>
      <c r="O1717">
        <v>-0.9980445</v>
      </c>
      <c r="P1717">
        <v>2.5976099999999901E-2</v>
      </c>
      <c r="Q1717">
        <v>6.7335669999999898E-3</v>
      </c>
      <c r="R1717">
        <v>-0.99964030000000004</v>
      </c>
      <c r="S1717">
        <v>-0.1730804</v>
      </c>
      <c r="T1717">
        <v>-8.5356349999999998E-2</v>
      </c>
      <c r="U1717">
        <v>-3.006958</v>
      </c>
      <c r="V1717">
        <v>3.5052109999999997E-2</v>
      </c>
      <c r="W1717">
        <v>2.0523369999999999E-2</v>
      </c>
      <c r="X1717">
        <v>0.99917469999999997</v>
      </c>
      <c r="Y1717">
        <v>0.118191899999999</v>
      </c>
      <c r="Z1717">
        <v>2.8172920000000001E-2</v>
      </c>
      <c r="AA1717">
        <v>0.992591</v>
      </c>
      <c r="AB1717">
        <v>25</v>
      </c>
      <c r="AC1717">
        <v>-2.2533999999999899</v>
      </c>
      <c r="AD1717">
        <v>-1.103987290337</v>
      </c>
      <c r="AE1717">
        <v>-38.627899999999997</v>
      </c>
      <c r="AF1717">
        <v>4.6001278320931602</v>
      </c>
      <c r="AG1717">
        <v>-1.103987290337</v>
      </c>
      <c r="AH1717">
        <v>38.387454868168298</v>
      </c>
      <c r="AI1717">
        <v>91.635623290771804</v>
      </c>
      <c r="AJ1717">
        <v>83.166594666045896</v>
      </c>
      <c r="AK1717">
        <v>38.677857428566099</v>
      </c>
    </row>
    <row r="1718" spans="1:37" x14ac:dyDescent="0.2">
      <c r="A1718" t="str">
        <f>"20200111155531999"</f>
        <v>20200111155531999</v>
      </c>
      <c r="B1718" t="str">
        <f>"1578729331994496"</f>
        <v>1578729331994496</v>
      </c>
      <c r="C1718" t="s">
        <v>37</v>
      </c>
      <c r="D1718">
        <v>4.9668580000000002</v>
      </c>
      <c r="E1718">
        <v>0.57542789999999999</v>
      </c>
      <c r="F1718" t="s">
        <v>38</v>
      </c>
      <c r="G1718">
        <v>-193.72049999999999</v>
      </c>
      <c r="H1718" s="1">
        <v>-1.96413099999999E-6</v>
      </c>
      <c r="I1718">
        <v>301.86</v>
      </c>
      <c r="J1718">
        <v>-190.46539999999999</v>
      </c>
      <c r="K1718">
        <v>1.1040049999999999</v>
      </c>
      <c r="L1718">
        <v>320.37169999999998</v>
      </c>
      <c r="M1718">
        <v>5.9746479999999998E-2</v>
      </c>
      <c r="N1718">
        <v>0</v>
      </c>
      <c r="O1718">
        <v>-0.99811740000000004</v>
      </c>
      <c r="P1718">
        <v>2.233723E-2</v>
      </c>
      <c r="Q1718">
        <v>6.8395629999999999E-3</v>
      </c>
      <c r="R1718">
        <v>-0.99972749999999999</v>
      </c>
      <c r="S1718">
        <v>-0.5212097</v>
      </c>
      <c r="T1718">
        <v>-0.1775118</v>
      </c>
      <c r="U1718">
        <v>-3.0158390000000002</v>
      </c>
      <c r="V1718">
        <v>3.7482840000000003E-2</v>
      </c>
      <c r="W1718">
        <v>2.062634E-2</v>
      </c>
      <c r="X1718">
        <v>0.99908439999999998</v>
      </c>
      <c r="Y1718">
        <v>0.22859209999999999</v>
      </c>
      <c r="Z1718">
        <v>5.7398360000000002E-2</v>
      </c>
      <c r="AA1718">
        <v>0.97182869999999999</v>
      </c>
      <c r="AB1718">
        <v>25</v>
      </c>
      <c r="AC1718">
        <v>-3.2550999999999899</v>
      </c>
      <c r="AD1718">
        <v>-1.104006964131</v>
      </c>
      <c r="AE1718">
        <v>-18.511699999999902</v>
      </c>
      <c r="AF1718">
        <v>4.3404243239094598</v>
      </c>
      <c r="AG1718">
        <v>-1.104006964131</v>
      </c>
      <c r="AH1718">
        <v>18.221260224346601</v>
      </c>
      <c r="AI1718">
        <v>93.373100870469898</v>
      </c>
      <c r="AJ1718">
        <v>76.601464498313405</v>
      </c>
      <c r="AK1718">
        <v>18.7635934418701</v>
      </c>
    </row>
    <row r="1719" spans="1:37" x14ac:dyDescent="0.2">
      <c r="A1719" t="str">
        <f>"20200111155532022"</f>
        <v>20200111155532022</v>
      </c>
      <c r="B1719" t="str">
        <f>"1578729332014017"</f>
        <v>1578729332014017</v>
      </c>
      <c r="C1719" t="s">
        <v>37</v>
      </c>
      <c r="D1719">
        <v>4.8941119999999998</v>
      </c>
      <c r="E1719">
        <v>0.57541039999999999</v>
      </c>
      <c r="F1719" t="s">
        <v>38</v>
      </c>
      <c r="G1719">
        <v>-193.6808</v>
      </c>
      <c r="H1719" s="1">
        <v>-2.0293900000000001E-6</v>
      </c>
      <c r="I1719">
        <v>302.0367</v>
      </c>
      <c r="J1719">
        <v>-190.45140000000001</v>
      </c>
      <c r="K1719">
        <v>1.1040190000000001</v>
      </c>
      <c r="L1719">
        <v>320.11219999999997</v>
      </c>
      <c r="M1719">
        <v>5.8470719999999997E-2</v>
      </c>
      <c r="N1719">
        <v>0</v>
      </c>
      <c r="O1719">
        <v>-0.99819279999999999</v>
      </c>
      <c r="P1719">
        <v>1.725279E-2</v>
      </c>
      <c r="Q1719">
        <v>7.6726419999999899E-3</v>
      </c>
      <c r="R1719">
        <v>-0.99982209999999905</v>
      </c>
      <c r="S1719">
        <v>-0.52854919999999905</v>
      </c>
      <c r="T1719">
        <v>-0.18147769999999999</v>
      </c>
      <c r="U1719">
        <v>-3.013916</v>
      </c>
      <c r="V1719">
        <v>4.1288489999999997E-2</v>
      </c>
      <c r="W1719">
        <v>2.1451560000000001E-2</v>
      </c>
      <c r="X1719">
        <v>0.99891700000000005</v>
      </c>
      <c r="Y1719">
        <v>0.22973560000000001</v>
      </c>
      <c r="Z1719">
        <v>5.869957E-2</v>
      </c>
      <c r="AA1719">
        <v>0.97148129999999999</v>
      </c>
      <c r="AB1719">
        <v>25</v>
      </c>
      <c r="AC1719">
        <v>-3.2293999999999898</v>
      </c>
      <c r="AD1719">
        <v>-1.1040210293899999</v>
      </c>
      <c r="AE1719">
        <v>-18.075499999999899</v>
      </c>
      <c r="AF1719">
        <v>4.2654426961664997</v>
      </c>
      <c r="AG1719">
        <v>-1.1040210293899999</v>
      </c>
      <c r="AH1719">
        <v>17.7914067481945</v>
      </c>
      <c r="AI1719">
        <v>93.453246232386604</v>
      </c>
      <c r="AJ1719">
        <v>76.517954659065595</v>
      </c>
      <c r="AK1719">
        <v>18.3288575177864</v>
      </c>
    </row>
    <row r="1720" spans="1:37" x14ac:dyDescent="0.2">
      <c r="A1720" t="str">
        <f>"20200111155532045"</f>
        <v>20200111155532045</v>
      </c>
      <c r="B1720" t="str">
        <f>"1578729332034512"</f>
        <v>1578729332034512</v>
      </c>
      <c r="C1720" t="s">
        <v>37</v>
      </c>
      <c r="D1720">
        <v>4.914434</v>
      </c>
      <c r="E1720">
        <v>0.57621719999999998</v>
      </c>
      <c r="F1720" t="s">
        <v>38</v>
      </c>
      <c r="G1720">
        <v>-193.9735</v>
      </c>
      <c r="H1720" s="1">
        <v>-1.4966129999999999E-6</v>
      </c>
      <c r="I1720">
        <v>300.61329999999998</v>
      </c>
      <c r="J1720">
        <v>-190.43799999999999</v>
      </c>
      <c r="K1720">
        <v>1.104028</v>
      </c>
      <c r="L1720">
        <v>319.8571</v>
      </c>
      <c r="M1720">
        <v>5.7216860000000001E-2</v>
      </c>
      <c r="N1720">
        <v>0</v>
      </c>
      <c r="O1720">
        <v>-0.99826519999999996</v>
      </c>
      <c r="P1720">
        <v>1.064934E-2</v>
      </c>
      <c r="Q1720">
        <v>8.5190560000000005E-3</v>
      </c>
      <c r="R1720">
        <v>-0.99990679999999998</v>
      </c>
      <c r="S1720">
        <v>-0.54391480000000003</v>
      </c>
      <c r="T1720">
        <v>-0.1704947</v>
      </c>
      <c r="U1720">
        <v>-3.0112299999999999</v>
      </c>
      <c r="V1720">
        <v>4.6632640000000003E-2</v>
      </c>
      <c r="W1720">
        <v>2.2285349999999999E-2</v>
      </c>
      <c r="X1720">
        <v>0.99866350000000004</v>
      </c>
      <c r="Y1720">
        <v>0.23349989999999901</v>
      </c>
      <c r="Z1720">
        <v>5.5163499999999997E-2</v>
      </c>
      <c r="AA1720">
        <v>0.97079079999999995</v>
      </c>
      <c r="AB1720">
        <v>25</v>
      </c>
      <c r="AC1720">
        <v>-3.5355000000000101</v>
      </c>
      <c r="AD1720">
        <v>-1.104029496613</v>
      </c>
      <c r="AE1720">
        <v>-19.2438</v>
      </c>
      <c r="AF1720">
        <v>4.6161853313696604</v>
      </c>
      <c r="AG1720">
        <v>-1.104029496613</v>
      </c>
      <c r="AH1720">
        <v>18.949624340924998</v>
      </c>
      <c r="AI1720">
        <v>93.239823155967201</v>
      </c>
      <c r="AJ1720">
        <v>76.309233411669297</v>
      </c>
      <c r="AK1720">
        <v>19.5350021961893</v>
      </c>
    </row>
    <row r="1721" spans="1:37" x14ac:dyDescent="0.2">
      <c r="A1721" t="str">
        <f>"20200111155532065"</f>
        <v>20200111155532065</v>
      </c>
      <c r="B1721" t="str">
        <f>"1578729332054032"</f>
        <v>1578729332054032</v>
      </c>
      <c r="C1721" t="s">
        <v>37</v>
      </c>
      <c r="D1721">
        <v>4.8465629999999997</v>
      </c>
      <c r="E1721">
        <v>0.57719219999999904</v>
      </c>
      <c r="F1721" t="s">
        <v>38</v>
      </c>
      <c r="G1721">
        <v>-194.11689999999999</v>
      </c>
      <c r="H1721" s="1">
        <v>-1.4629179999999899E-6</v>
      </c>
      <c r="I1721">
        <v>300.44580000000002</v>
      </c>
      <c r="J1721">
        <v>-190.42580000000001</v>
      </c>
      <c r="K1721">
        <v>1.104031</v>
      </c>
      <c r="L1721">
        <v>319.61950000000002</v>
      </c>
      <c r="M1721">
        <v>5.6047520000000003E-2</v>
      </c>
      <c r="N1721">
        <v>0</v>
      </c>
      <c r="O1721">
        <v>-0.99833169999999904</v>
      </c>
      <c r="P1721">
        <v>3.6559750000000001E-3</v>
      </c>
      <c r="Q1721">
        <v>8.7953530000000005E-3</v>
      </c>
      <c r="R1721">
        <v>-0.99995480000000003</v>
      </c>
      <c r="S1721">
        <v>-0.57005309999999998</v>
      </c>
      <c r="T1721">
        <v>-0.1710711</v>
      </c>
      <c r="U1721">
        <v>-3.0078130000000001</v>
      </c>
      <c r="V1721">
        <v>5.2448120000000001E-2</v>
      </c>
      <c r="W1721">
        <v>2.2546110000000001E-2</v>
      </c>
      <c r="X1721">
        <v>0.99836909999999901</v>
      </c>
      <c r="Y1721">
        <v>0.24070229999999901</v>
      </c>
      <c r="Z1721">
        <v>5.5323879999999999E-2</v>
      </c>
      <c r="AA1721">
        <v>0.96902099999999902</v>
      </c>
      <c r="AB1721">
        <v>25</v>
      </c>
      <c r="AC1721">
        <v>-3.6910999999999698</v>
      </c>
      <c r="AD1721">
        <v>-1.1040324629180001</v>
      </c>
      <c r="AE1721">
        <v>-19.1737</v>
      </c>
      <c r="AF1721">
        <v>4.7448690904270201</v>
      </c>
      <c r="AG1721">
        <v>-1.1040324629180001</v>
      </c>
      <c r="AH1721">
        <v>18.876309854458899</v>
      </c>
      <c r="AI1721">
        <v>93.246517995862305</v>
      </c>
      <c r="AJ1721">
        <v>75.890099283428597</v>
      </c>
      <c r="AK1721">
        <v>19.494813261121699</v>
      </c>
    </row>
    <row r="1722" spans="1:37" x14ac:dyDescent="0.2">
      <c r="A1722" t="str">
        <f>"20200111155532088"</f>
        <v>20200111155532088</v>
      </c>
      <c r="B1722" t="str">
        <f>"1578729332084288"</f>
        <v>1578729332084288</v>
      </c>
      <c r="C1722" t="s">
        <v>37</v>
      </c>
      <c r="D1722">
        <v>5.1282670000000001</v>
      </c>
      <c r="E1722">
        <v>0.57770559999999904</v>
      </c>
      <c r="F1722" t="s">
        <v>38</v>
      </c>
      <c r="G1722">
        <v>-194.37</v>
      </c>
      <c r="H1722" s="1">
        <v>-1.271224E-6</v>
      </c>
      <c r="I1722">
        <v>299.84199999999998</v>
      </c>
      <c r="J1722">
        <v>-190.4128</v>
      </c>
      <c r="K1722">
        <v>1.104015</v>
      </c>
      <c r="L1722">
        <v>319.3612</v>
      </c>
      <c r="M1722">
        <v>5.4768280000000003E-2</v>
      </c>
      <c r="N1722">
        <v>0</v>
      </c>
      <c r="O1722">
        <v>-0.99840280000000003</v>
      </c>
      <c r="P1722">
        <v>-2.7830989999999998E-3</v>
      </c>
      <c r="Q1722">
        <v>9.3221190000000002E-3</v>
      </c>
      <c r="R1722">
        <v>-0.99995270000000003</v>
      </c>
      <c r="S1722">
        <v>-0.59904480000000004</v>
      </c>
      <c r="T1722">
        <v>-0.16767860000000001</v>
      </c>
      <c r="U1722">
        <v>-3.003784</v>
      </c>
      <c r="V1722">
        <v>5.7599020000000001E-2</v>
      </c>
      <c r="W1722">
        <v>2.3058099999999901E-2</v>
      </c>
      <c r="X1722">
        <v>0.99807349999999995</v>
      </c>
      <c r="Y1722">
        <v>0.2487116</v>
      </c>
      <c r="Z1722">
        <v>5.4202060000000003E-2</v>
      </c>
      <c r="AA1722">
        <v>0.96705980000000002</v>
      </c>
      <c r="AB1722">
        <v>25</v>
      </c>
      <c r="AC1722">
        <v>-3.9571999999999998</v>
      </c>
      <c r="AD1722">
        <v>-1.104016271224</v>
      </c>
      <c r="AE1722">
        <v>-19.519200000000001</v>
      </c>
      <c r="AF1722">
        <v>5.0050158614217199</v>
      </c>
      <c r="AG1722">
        <v>-1.104016271224</v>
      </c>
      <c r="AH1722">
        <v>19.214106871090099</v>
      </c>
      <c r="AI1722">
        <v>93.182549371129298</v>
      </c>
      <c r="AJ1722">
        <v>75.399676345298701</v>
      </c>
      <c r="AK1722">
        <v>19.885948268913001</v>
      </c>
    </row>
    <row r="1723" spans="1:37" x14ac:dyDescent="0.2">
      <c r="A1723" t="str">
        <f>"20200111155532113"</f>
        <v>20200111155532113</v>
      </c>
      <c r="B1723" t="str">
        <f>"1578729332104315"</f>
        <v>1578729332104315</v>
      </c>
      <c r="C1723" t="s">
        <v>37</v>
      </c>
      <c r="D1723">
        <v>4.8611599999999999</v>
      </c>
      <c r="E1723">
        <v>0.57771589999999995</v>
      </c>
      <c r="F1723" t="s">
        <v>56</v>
      </c>
      <c r="G1723">
        <v>-194.5958</v>
      </c>
      <c r="H1723" s="1">
        <v>7.5095849999999998E-8</v>
      </c>
      <c r="I1723">
        <v>299.18990000000002</v>
      </c>
      <c r="J1723">
        <v>-190.39959999999999</v>
      </c>
      <c r="K1723">
        <v>1.104006</v>
      </c>
      <c r="L1723">
        <v>319.0917</v>
      </c>
      <c r="M1723">
        <v>5.341692E-2</v>
      </c>
      <c r="N1723">
        <v>0</v>
      </c>
      <c r="O1723">
        <v>-0.99847609999999998</v>
      </c>
      <c r="P1723">
        <v>-9.1558939999999995E-3</v>
      </c>
      <c r="Q1723">
        <v>8.1025990000000003E-3</v>
      </c>
      <c r="R1723">
        <v>-0.99992549999999902</v>
      </c>
      <c r="S1723">
        <v>-0.62210080000000001</v>
      </c>
      <c r="T1723">
        <v>-0.1641909</v>
      </c>
      <c r="U1723">
        <v>-2.999908</v>
      </c>
      <c r="V1723">
        <v>6.2607769999999993E-2</v>
      </c>
      <c r="W1723">
        <v>2.1823410000000001E-2</v>
      </c>
      <c r="X1723">
        <v>0.99779959999999901</v>
      </c>
      <c r="Y1723">
        <v>0.25478460000000003</v>
      </c>
      <c r="Z1723">
        <v>5.3068089999999998E-2</v>
      </c>
      <c r="AA1723">
        <v>0.96554050000000002</v>
      </c>
      <c r="AB1723">
        <v>25</v>
      </c>
      <c r="AC1723">
        <v>-4.1962000000000002</v>
      </c>
      <c r="AD1723">
        <v>-1.1040059249041401</v>
      </c>
      <c r="AE1723">
        <v>-19.901799999999898</v>
      </c>
      <c r="AF1723">
        <v>5.2379705938223102</v>
      </c>
      <c r="AG1723">
        <v>-1.1040059249041401</v>
      </c>
      <c r="AH1723">
        <v>19.591489843736799</v>
      </c>
      <c r="AI1723">
        <v>93.116060192890799</v>
      </c>
      <c r="AJ1723">
        <v>75.031529154521806</v>
      </c>
      <c r="AK1723">
        <v>20.309643997894501</v>
      </c>
    </row>
    <row r="1724" spans="1:37" x14ac:dyDescent="0.2">
      <c r="A1724" t="str">
        <f>"20200111155532134"</f>
        <v>20200111155532134</v>
      </c>
      <c r="B1724" t="str">
        <f>"1578729332123835"</f>
        <v>1578729332123835</v>
      </c>
      <c r="C1724" t="s">
        <v>37</v>
      </c>
      <c r="D1724">
        <v>4.845618</v>
      </c>
      <c r="E1724">
        <v>0.57730950000000003</v>
      </c>
      <c r="F1724" t="s">
        <v>56</v>
      </c>
      <c r="G1724">
        <v>-194.5718</v>
      </c>
      <c r="H1724" s="1">
        <v>3.1060540000000001E-9</v>
      </c>
      <c r="I1724">
        <v>299.59870000000001</v>
      </c>
      <c r="J1724">
        <v>-190.3879</v>
      </c>
      <c r="K1724">
        <v>1.1039859999999999</v>
      </c>
      <c r="L1724">
        <v>318.84530000000001</v>
      </c>
      <c r="M1724">
        <v>5.2156250000000001E-2</v>
      </c>
      <c r="N1724">
        <v>0</v>
      </c>
      <c r="O1724">
        <v>-0.99854270000000001</v>
      </c>
      <c r="P1724">
        <v>-1.616778E-2</v>
      </c>
      <c r="Q1724">
        <v>6.4906819999999898E-3</v>
      </c>
      <c r="R1724">
        <v>-0.99984879999999998</v>
      </c>
      <c r="S1724">
        <v>-0.64118960000000003</v>
      </c>
      <c r="T1724">
        <v>-0.16966579999999901</v>
      </c>
      <c r="U1724">
        <v>-2.99572799999999</v>
      </c>
      <c r="V1724">
        <v>6.8343210000000001E-2</v>
      </c>
      <c r="W1724">
        <v>2.019251E-2</v>
      </c>
      <c r="X1724">
        <v>0.9974575</v>
      </c>
      <c r="Y1724">
        <v>0.25969880000000001</v>
      </c>
      <c r="Z1724">
        <v>5.4840310000000003E-2</v>
      </c>
      <c r="AA1724">
        <v>0.96413119999999997</v>
      </c>
      <c r="AB1724">
        <v>25</v>
      </c>
      <c r="AC1724">
        <v>-4.1838999999999897</v>
      </c>
      <c r="AD1724">
        <v>-1.1039859968939401</v>
      </c>
      <c r="AE1724">
        <v>-19.246600000000001</v>
      </c>
      <c r="AF1724">
        <v>5.16590154164897</v>
      </c>
      <c r="AG1724">
        <v>-1.1039859968939401</v>
      </c>
      <c r="AH1724">
        <v>18.942649264359702</v>
      </c>
      <c r="AI1724">
        <v>93.218185293004893</v>
      </c>
      <c r="AJ1724">
        <v>74.745656999343694</v>
      </c>
      <c r="AK1724">
        <v>19.665433760074901</v>
      </c>
    </row>
    <row r="1725" spans="1:37" x14ac:dyDescent="0.2">
      <c r="A1725" t="str">
        <f>"20200111155532156"</f>
        <v>20200111155532156</v>
      </c>
      <c r="B1725" t="str">
        <f>"1578729332144331"</f>
        <v>1578729332144331</v>
      </c>
      <c r="C1725" t="s">
        <v>37</v>
      </c>
      <c r="D1725">
        <v>4.8665129999999897</v>
      </c>
      <c r="E1725">
        <v>0.57674429999999999</v>
      </c>
      <c r="F1725" t="s">
        <v>38</v>
      </c>
      <c r="G1725">
        <v>-194.51</v>
      </c>
      <c r="H1725" s="1">
        <v>-1.4312970000000001E-6</v>
      </c>
      <c r="I1725">
        <v>300.12830000000002</v>
      </c>
      <c r="J1725">
        <v>-190.3768</v>
      </c>
      <c r="K1725">
        <v>1.103952</v>
      </c>
      <c r="L1725">
        <v>318.60629999999998</v>
      </c>
      <c r="M1725">
        <v>5.089544E-2</v>
      </c>
      <c r="N1725">
        <v>0</v>
      </c>
      <c r="O1725">
        <v>-0.99860759999999904</v>
      </c>
      <c r="P1725">
        <v>-2.0912170000000001E-2</v>
      </c>
      <c r="Q1725">
        <v>3.13007E-3</v>
      </c>
      <c r="R1725">
        <v>-0.99977660000000002</v>
      </c>
      <c r="S1725">
        <v>-0.65870669999999898</v>
      </c>
      <c r="T1725">
        <v>-0.1764162</v>
      </c>
      <c r="U1725">
        <v>-2.9909669999999999</v>
      </c>
      <c r="V1725">
        <v>7.1811719999999996E-2</v>
      </c>
      <c r="W1725">
        <v>1.6817080000000002E-2</v>
      </c>
      <c r="X1725">
        <v>0.99727639999999995</v>
      </c>
      <c r="Y1725">
        <v>0.26415620000000001</v>
      </c>
      <c r="Z1725">
        <v>5.7038940000000003E-2</v>
      </c>
      <c r="AA1725">
        <v>0.96279179999999998</v>
      </c>
      <c r="AB1725">
        <v>25</v>
      </c>
      <c r="AC1725">
        <v>-4.13319999999998</v>
      </c>
      <c r="AD1725">
        <v>-1.1039534312970001</v>
      </c>
      <c r="AE1725">
        <v>-18.477999999999899</v>
      </c>
      <c r="AF1725">
        <v>5.0512082404848204</v>
      </c>
      <c r="AG1725">
        <v>-1.1039534312970001</v>
      </c>
      <c r="AH1725">
        <v>18.181860943938101</v>
      </c>
      <c r="AI1725">
        <v>93.348080345831093</v>
      </c>
      <c r="AJ1725">
        <v>74.473866573343699</v>
      </c>
      <c r="AK1725">
        <v>18.9027375068247</v>
      </c>
    </row>
    <row r="1726" spans="1:37" x14ac:dyDescent="0.2">
      <c r="A1726" t="str">
        <f>"20200111155532179"</f>
        <v>20200111155532179</v>
      </c>
      <c r="B1726" t="str">
        <f>"1578729332174588"</f>
        <v>1578729332174588</v>
      </c>
      <c r="C1726" t="s">
        <v>37</v>
      </c>
      <c r="D1726">
        <v>4.9182110000000003</v>
      </c>
      <c r="E1726">
        <v>0.57547349999999997</v>
      </c>
      <c r="F1726" t="s">
        <v>38</v>
      </c>
      <c r="G1726">
        <v>-194.30109999999999</v>
      </c>
      <c r="H1726" s="1">
        <v>-1.777204E-6</v>
      </c>
      <c r="I1726">
        <v>301.06420000000003</v>
      </c>
      <c r="J1726">
        <v>-190.36519999999999</v>
      </c>
      <c r="K1726">
        <v>1.103909</v>
      </c>
      <c r="L1726">
        <v>318.34690000000001</v>
      </c>
      <c r="M1726">
        <v>4.9470020000000003E-2</v>
      </c>
      <c r="N1726">
        <v>0</v>
      </c>
      <c r="O1726">
        <v>-0.99867939999999999</v>
      </c>
      <c r="P1726">
        <v>-2.6132119999999998E-2</v>
      </c>
      <c r="Q1726">
        <v>-6.4725709999999997E-4</v>
      </c>
      <c r="R1726">
        <v>-0.99965859999999995</v>
      </c>
      <c r="S1726">
        <v>-0.66825869999999998</v>
      </c>
      <c r="T1726">
        <v>-0.18799199999999999</v>
      </c>
      <c r="U1726">
        <v>-2.987244</v>
      </c>
      <c r="V1726">
        <v>7.5588459999999996E-2</v>
      </c>
      <c r="W1726">
        <v>1.302093E-2</v>
      </c>
      <c r="X1726">
        <v>0.99705409999999906</v>
      </c>
      <c r="Y1726">
        <v>0.26591629999999999</v>
      </c>
      <c r="Z1726">
        <v>6.0812239999999997E-2</v>
      </c>
      <c r="AA1726">
        <v>0.96207609999999999</v>
      </c>
      <c r="AB1726">
        <v>25</v>
      </c>
      <c r="AC1726">
        <v>-3.9359000000000002</v>
      </c>
      <c r="AD1726">
        <v>-1.103910777204</v>
      </c>
      <c r="AE1726">
        <v>-17.282699999999899</v>
      </c>
      <c r="AF1726">
        <v>4.7676454454449502</v>
      </c>
      <c r="AG1726">
        <v>-1.103910777204</v>
      </c>
      <c r="AH1726">
        <v>17.0008662708887</v>
      </c>
      <c r="AI1726">
        <v>93.577515918622296</v>
      </c>
      <c r="AJ1726">
        <v>74.3346209745267</v>
      </c>
      <c r="AK1726">
        <v>17.691198830439401</v>
      </c>
    </row>
    <row r="1727" spans="1:37" x14ac:dyDescent="0.2">
      <c r="A1727" t="str">
        <f>"20200111155532201"</f>
        <v>20200111155532201</v>
      </c>
      <c r="B1727" t="str">
        <f>"1578729332194619"</f>
        <v>1578729332194619</v>
      </c>
      <c r="C1727" t="s">
        <v>37</v>
      </c>
      <c r="D1727">
        <v>4.84748</v>
      </c>
      <c r="E1727">
        <v>0.57517769999999901</v>
      </c>
      <c r="F1727" t="s">
        <v>38</v>
      </c>
      <c r="G1727">
        <v>-194.05860000000001</v>
      </c>
      <c r="H1727" s="1">
        <v>-2.1120599999999998E-6</v>
      </c>
      <c r="I1727">
        <v>301.99509999999998</v>
      </c>
      <c r="J1727">
        <v>-190.3545</v>
      </c>
      <c r="K1727">
        <v>1.1038600000000001</v>
      </c>
      <c r="L1727">
        <v>318.09620000000001</v>
      </c>
      <c r="M1727">
        <v>4.7999680000000003E-2</v>
      </c>
      <c r="N1727">
        <v>0</v>
      </c>
      <c r="O1727">
        <v>-0.99875100000000006</v>
      </c>
      <c r="P1727">
        <v>-2.943602E-2</v>
      </c>
      <c r="Q1727">
        <v>-1.3953259999999999E-3</v>
      </c>
      <c r="R1727">
        <v>-0.99956579999999995</v>
      </c>
      <c r="S1727">
        <v>-0.67382810000000004</v>
      </c>
      <c r="T1727">
        <v>-0.20140179999999999</v>
      </c>
      <c r="U1727">
        <v>-2.983276</v>
      </c>
      <c r="V1727">
        <v>7.7415890000000001E-2</v>
      </c>
      <c r="W1727">
        <v>1.2256619999999999E-2</v>
      </c>
      <c r="X1727">
        <v>0.99692359999999902</v>
      </c>
      <c r="Y1727">
        <v>0.26641789999999999</v>
      </c>
      <c r="Z1727">
        <v>6.5205120000000005E-2</v>
      </c>
      <c r="AA1727">
        <v>0.96164950000000005</v>
      </c>
      <c r="AB1727">
        <v>25</v>
      </c>
      <c r="AC1727">
        <v>-3.7041000000000102</v>
      </c>
      <c r="AD1727">
        <v>-1.1038621120600001</v>
      </c>
      <c r="AE1727">
        <v>-16.101099999999999</v>
      </c>
      <c r="AF1727">
        <v>4.4528741791227704</v>
      </c>
      <c r="AG1727">
        <v>-1.1038621120600001</v>
      </c>
      <c r="AH1727">
        <v>15.8340420631583</v>
      </c>
      <c r="AI1727">
        <v>93.839432025102695</v>
      </c>
      <c r="AJ1727">
        <v>74.292871660459895</v>
      </c>
      <c r="AK1727">
        <v>16.485250622159398</v>
      </c>
    </row>
    <row r="1728" spans="1:37" x14ac:dyDescent="0.2">
      <c r="A1728" t="str">
        <f>"20200111155532223"</f>
        <v>20200111155532223</v>
      </c>
      <c r="B1728" t="str">
        <f>"1578729332214138"</f>
        <v>1578729332214138</v>
      </c>
      <c r="C1728" t="s">
        <v>37</v>
      </c>
      <c r="D1728">
        <v>4.881399</v>
      </c>
      <c r="E1728">
        <v>0.57482889999999998</v>
      </c>
      <c r="F1728" t="s">
        <v>38</v>
      </c>
      <c r="G1728">
        <v>-194.10050000000001</v>
      </c>
      <c r="H1728" s="1">
        <v>-2.0045870000000001E-6</v>
      </c>
      <c r="I1728">
        <v>301.71859999999998</v>
      </c>
      <c r="J1728">
        <v>-190.3441</v>
      </c>
      <c r="K1728">
        <v>1.1038030000000001</v>
      </c>
      <c r="L1728">
        <v>317.84109999999998</v>
      </c>
      <c r="M1728">
        <v>4.6414230000000001E-2</v>
      </c>
      <c r="N1728">
        <v>0</v>
      </c>
      <c r="O1728">
        <v>-0.99882590000000004</v>
      </c>
      <c r="P1728">
        <v>-3.2451639999999997E-2</v>
      </c>
      <c r="Q1728">
        <v>1.274914E-3</v>
      </c>
      <c r="R1728">
        <v>-0.999472899999999</v>
      </c>
      <c r="S1728">
        <v>-0.68182369999999903</v>
      </c>
      <c r="T1728">
        <v>-0.20092079999999901</v>
      </c>
      <c r="U1728">
        <v>-2.980988</v>
      </c>
      <c r="V1728">
        <v>7.8850110000000001E-2</v>
      </c>
      <c r="W1728">
        <v>1.4909489999999999E-2</v>
      </c>
      <c r="X1728">
        <v>0.99677499999999997</v>
      </c>
      <c r="Y1728">
        <v>0.26750109999999999</v>
      </c>
      <c r="Z1728">
        <v>6.5077049999999997E-2</v>
      </c>
      <c r="AA1728">
        <v>0.96135749999999998</v>
      </c>
      <c r="AB1728">
        <v>25</v>
      </c>
      <c r="AC1728">
        <v>-3.75640000000001</v>
      </c>
      <c r="AD1728">
        <v>-1.103805004587</v>
      </c>
      <c r="AE1728">
        <v>-16.122499999999999</v>
      </c>
      <c r="AF1728">
        <v>4.4808149825441497</v>
      </c>
      <c r="AG1728">
        <v>-1.103805004587</v>
      </c>
      <c r="AH1728">
        <v>15.8602404796458</v>
      </c>
      <c r="AI1728">
        <v>93.831616956022302</v>
      </c>
      <c r="AJ1728">
        <v>74.224020264854801</v>
      </c>
      <c r="AK1728">
        <v>16.517969501973901</v>
      </c>
    </row>
    <row r="1729" spans="1:37" x14ac:dyDescent="0.2">
      <c r="A1729" t="str">
        <f>"20200111155532245"</f>
        <v>20200111155532245</v>
      </c>
      <c r="B1729" t="str">
        <f>"1578729332234637"</f>
        <v>1578729332234637</v>
      </c>
      <c r="C1729" t="s">
        <v>37</v>
      </c>
      <c r="D1729">
        <v>4.701606</v>
      </c>
      <c r="E1729">
        <v>0.57442609999999905</v>
      </c>
      <c r="F1729" t="s">
        <v>38</v>
      </c>
      <c r="G1729">
        <v>-194.3409</v>
      </c>
      <c r="H1729" s="1">
        <v>-1.5631699999999999E-6</v>
      </c>
      <c r="I1729">
        <v>300.54059999999998</v>
      </c>
      <c r="J1729">
        <v>-190.33459999999999</v>
      </c>
      <c r="K1729">
        <v>1.103731</v>
      </c>
      <c r="L1729">
        <v>317.59539999999998</v>
      </c>
      <c r="M1729">
        <v>4.4769870000000003E-2</v>
      </c>
      <c r="N1729">
        <v>0</v>
      </c>
      <c r="O1729">
        <v>-0.99890080000000003</v>
      </c>
      <c r="P1729">
        <v>-3.5484799999999997E-2</v>
      </c>
      <c r="Q1729">
        <v>5.1004559999999997E-3</v>
      </c>
      <c r="R1729">
        <v>-0.9993573</v>
      </c>
      <c r="S1729">
        <v>-0.6883087</v>
      </c>
      <c r="T1729">
        <v>-0.1900935</v>
      </c>
      <c r="U1729">
        <v>-2.9794309999999999</v>
      </c>
      <c r="V1729">
        <v>8.0247280000000004E-2</v>
      </c>
      <c r="W1729">
        <v>1.871507E-2</v>
      </c>
      <c r="X1729">
        <v>0.99659929999999997</v>
      </c>
      <c r="Y1729">
        <v>0.26806160000000001</v>
      </c>
      <c r="Z1729">
        <v>6.1603099999999897E-2</v>
      </c>
      <c r="AA1729">
        <v>0.96143020000000001</v>
      </c>
      <c r="AB1729">
        <v>25</v>
      </c>
      <c r="AC1729">
        <v>-4.0063000000000004</v>
      </c>
      <c r="AD1729">
        <v>-1.1037325631699999</v>
      </c>
      <c r="AE1729">
        <v>-17.0548</v>
      </c>
      <c r="AF1729">
        <v>4.7470548327352402</v>
      </c>
      <c r="AG1729">
        <v>-1.1037325631699999</v>
      </c>
      <c r="AH1729">
        <v>16.791667335208299</v>
      </c>
      <c r="AI1729">
        <v>93.619249307973604</v>
      </c>
      <c r="AJ1729">
        <v>74.214242877384095</v>
      </c>
      <c r="AK1729">
        <v>17.4846460373751</v>
      </c>
    </row>
    <row r="1730" spans="1:37" x14ac:dyDescent="0.2">
      <c r="A1730" t="str">
        <f>"20200111155532268"</f>
        <v>20200111155532268</v>
      </c>
      <c r="B1730" t="str">
        <f>"1578729332263915"</f>
        <v>1578729332263915</v>
      </c>
      <c r="C1730" t="s">
        <v>37</v>
      </c>
      <c r="D1730">
        <v>4.8777710000000001</v>
      </c>
      <c r="E1730">
        <v>0.57388399999999995</v>
      </c>
      <c r="F1730" t="s">
        <v>56</v>
      </c>
      <c r="G1730">
        <v>-194.64410000000001</v>
      </c>
      <c r="H1730" s="1">
        <v>9.1655440000000004E-8</v>
      </c>
      <c r="I1730">
        <v>299.09589999999997</v>
      </c>
      <c r="J1730">
        <v>-190.3254</v>
      </c>
      <c r="K1730">
        <v>1.1036139999999901</v>
      </c>
      <c r="L1730">
        <v>317.3458</v>
      </c>
      <c r="M1730">
        <v>4.2924509999999999E-2</v>
      </c>
      <c r="N1730">
        <v>0</v>
      </c>
      <c r="O1730">
        <v>-0.99898199999999904</v>
      </c>
      <c r="P1730">
        <v>-3.8627399999999999E-2</v>
      </c>
      <c r="Q1730">
        <v>5.1675820000000004E-3</v>
      </c>
      <c r="R1730">
        <v>-0.99924080000000004</v>
      </c>
      <c r="S1730">
        <v>-0.69377140000000004</v>
      </c>
      <c r="T1730">
        <v>-0.1776845</v>
      </c>
      <c r="U1730">
        <v>-2.9781490000000002</v>
      </c>
      <c r="V1730">
        <v>8.1545500000000007E-2</v>
      </c>
      <c r="W1730">
        <v>1.8757019999999999E-2</v>
      </c>
      <c r="X1730">
        <v>0.99649310000000002</v>
      </c>
      <c r="Y1730">
        <v>0.26810059999999902</v>
      </c>
      <c r="Z1730">
        <v>5.7615340000000001E-2</v>
      </c>
      <c r="AA1730">
        <v>0.96166649999999998</v>
      </c>
      <c r="AB1730">
        <v>25</v>
      </c>
      <c r="AC1730">
        <v>-4.3186999999999998</v>
      </c>
      <c r="AD1730">
        <v>-1.10361390834456</v>
      </c>
      <c r="AE1730">
        <v>-18.2499</v>
      </c>
      <c r="AF1730">
        <v>5.0805682826233802</v>
      </c>
      <c r="AG1730">
        <v>-1.10361390834456</v>
      </c>
      <c r="AH1730">
        <v>17.985397228742698</v>
      </c>
      <c r="AI1730">
        <v>93.379440048666297</v>
      </c>
      <c r="AJ1730">
        <v>74.225918102705407</v>
      </c>
      <c r="AK1730">
        <v>18.721769446522799</v>
      </c>
    </row>
    <row r="1731" spans="1:37" x14ac:dyDescent="0.2">
      <c r="A1731" t="str">
        <f>"20200111155532283"</f>
        <v>20200111155532283</v>
      </c>
      <c r="B1731" t="str">
        <f>"1578729332274652"</f>
        <v>1578729332274652</v>
      </c>
      <c r="C1731" t="s">
        <v>37</v>
      </c>
      <c r="D1731">
        <v>4.8714279999999999</v>
      </c>
      <c r="E1731">
        <v>0.57369799999999904</v>
      </c>
      <c r="F1731" t="s">
        <v>56</v>
      </c>
      <c r="G1731">
        <v>-194.7089</v>
      </c>
      <c r="H1731" s="1">
        <v>1.662087E-7</v>
      </c>
      <c r="I1731">
        <v>298.67259999999999</v>
      </c>
      <c r="J1731">
        <v>-190.31950000000001</v>
      </c>
      <c r="K1731">
        <v>1.1035109999999999</v>
      </c>
      <c r="L1731">
        <v>317.17450000000002</v>
      </c>
      <c r="M1731">
        <v>4.1536320000000002E-2</v>
      </c>
      <c r="N1731">
        <v>0</v>
      </c>
      <c r="O1731">
        <v>-0.999040699999999</v>
      </c>
      <c r="P1731">
        <v>-4.0441739999999997E-2</v>
      </c>
      <c r="Q1731">
        <v>3.352795E-3</v>
      </c>
      <c r="R1731">
        <v>-0.99917630000000002</v>
      </c>
      <c r="S1731">
        <v>-0.698654199999999</v>
      </c>
      <c r="T1731">
        <v>-0.17589779999999999</v>
      </c>
      <c r="U1731">
        <v>-2.9761959999999998</v>
      </c>
      <c r="V1731">
        <v>8.1968959999999993E-2</v>
      </c>
      <c r="W1731">
        <v>1.6923400000000002E-2</v>
      </c>
      <c r="X1731">
        <v>0.99649120000000002</v>
      </c>
      <c r="Y1731">
        <v>0.2684047</v>
      </c>
      <c r="Z1731">
        <v>5.7066489999999997E-2</v>
      </c>
      <c r="AA1731">
        <v>0.96161439999999998</v>
      </c>
      <c r="AB1731">
        <v>25</v>
      </c>
      <c r="AC1731">
        <v>-4.3893999999999904</v>
      </c>
      <c r="AD1731">
        <v>-1.1035108337913</v>
      </c>
      <c r="AE1731">
        <v>-18.501899999999999</v>
      </c>
      <c r="AF1731">
        <v>5.1368862159231199</v>
      </c>
      <c r="AG1731">
        <v>-1.1035108337913</v>
      </c>
      <c r="AH1731">
        <v>18.242157540828799</v>
      </c>
      <c r="AI1731">
        <v>93.332443426559493</v>
      </c>
      <c r="AJ1731">
        <v>74.273086900878397</v>
      </c>
      <c r="AK1731">
        <v>18.983720602138298</v>
      </c>
    </row>
    <row r="1732" spans="1:37" x14ac:dyDescent="0.2">
      <c r="A1732" t="str">
        <f>"20200111155532301"</f>
        <v>20200111155532301</v>
      </c>
      <c r="B1732" t="str">
        <f>"1578729332293700"</f>
        <v>1578729332293700</v>
      </c>
      <c r="C1732" t="s">
        <v>37</v>
      </c>
      <c r="D1732">
        <v>4.0303879999999896</v>
      </c>
      <c r="E1732">
        <v>0.66429329999999998</v>
      </c>
      <c r="F1732" t="s">
        <v>56</v>
      </c>
      <c r="G1732">
        <v>-194.5934</v>
      </c>
      <c r="H1732" s="1">
        <v>9.5112389999999997E-8</v>
      </c>
      <c r="I1732">
        <v>299.0763</v>
      </c>
      <c r="J1732">
        <v>-190.31299999999999</v>
      </c>
      <c r="K1732">
        <v>1.1033500000000001</v>
      </c>
      <c r="L1732">
        <v>316.96910000000003</v>
      </c>
      <c r="M1732">
        <v>3.97063E-2</v>
      </c>
      <c r="N1732">
        <v>0</v>
      </c>
      <c r="O1732">
        <v>-0.99911489999999903</v>
      </c>
      <c r="P1732">
        <v>-4.2697239999999997E-2</v>
      </c>
      <c r="Q1732">
        <v>-6.2059050000000003E-4</v>
      </c>
      <c r="R1732">
        <v>-0.99908790000000003</v>
      </c>
      <c r="S1732">
        <v>-0.70245360000000001</v>
      </c>
      <c r="T1732">
        <v>-0.18137410000000001</v>
      </c>
      <c r="U1732">
        <v>-2.97464</v>
      </c>
      <c r="V1732">
        <v>8.2384890000000002E-2</v>
      </c>
      <c r="W1732">
        <v>1.2924140000000001E-2</v>
      </c>
      <c r="X1732">
        <v>0.99651679999999998</v>
      </c>
      <c r="Y1732">
        <v>0.26789190000000002</v>
      </c>
      <c r="Z1732">
        <v>5.886922E-2</v>
      </c>
      <c r="AA1732">
        <v>0.96164879999999997</v>
      </c>
      <c r="AB1732">
        <v>25</v>
      </c>
      <c r="AC1732">
        <v>-4.28040000000001</v>
      </c>
      <c r="AD1732">
        <v>-1.1033499048876101</v>
      </c>
      <c r="AE1732">
        <v>-17.892800000000001</v>
      </c>
      <c r="AF1732">
        <v>4.9696748913252602</v>
      </c>
      <c r="AG1732">
        <v>-1.1033499048876101</v>
      </c>
      <c r="AH1732">
        <v>17.645247470814699</v>
      </c>
      <c r="AI1732">
        <v>93.444361877099496</v>
      </c>
      <c r="AJ1732">
        <v>74.270454156859699</v>
      </c>
      <c r="AK1732">
        <v>18.364906965306901</v>
      </c>
    </row>
    <row r="1733" spans="1:37" x14ac:dyDescent="0.2">
      <c r="A1733" t="str">
        <f>"20200111155532324"</f>
        <v>20200111155532324</v>
      </c>
      <c r="B1733" t="str">
        <f>"1578729332314196"</f>
        <v>1578729332314196</v>
      </c>
      <c r="C1733" t="s">
        <v>37</v>
      </c>
      <c r="D1733">
        <v>4.9401919999999997</v>
      </c>
      <c r="E1733">
        <v>0.66429329999999998</v>
      </c>
      <c r="F1733" t="s">
        <v>57</v>
      </c>
      <c r="G1733">
        <v>-232.83940000000001</v>
      </c>
      <c r="H1733">
        <v>8.6761920000000003</v>
      </c>
      <c r="I1733">
        <v>230.55959999999999</v>
      </c>
      <c r="J1733">
        <v>-190.3057</v>
      </c>
      <c r="K1733">
        <v>1.103121</v>
      </c>
      <c r="L1733">
        <v>316.71460000000002</v>
      </c>
      <c r="M1733">
        <v>3.7147010000000001E-2</v>
      </c>
      <c r="N1733">
        <v>0</v>
      </c>
      <c r="O1733">
        <v>-0.99921349999999998</v>
      </c>
      <c r="P1733">
        <v>-4.5838030000000002E-2</v>
      </c>
      <c r="Q1733">
        <v>-4.3754880000000003E-3</v>
      </c>
      <c r="R1733">
        <v>-0.99893969999999899</v>
      </c>
      <c r="S1733">
        <v>-1.447433</v>
      </c>
      <c r="T1733">
        <v>0.25774979999999997</v>
      </c>
      <c r="U1733">
        <v>-2.9410400000000001</v>
      </c>
      <c r="V1733">
        <v>8.2956059999999998E-2</v>
      </c>
      <c r="W1733">
        <v>9.1306540000000002E-3</v>
      </c>
      <c r="X1733">
        <v>0.99651139999999905</v>
      </c>
      <c r="Y1733">
        <v>0.47325909999999899</v>
      </c>
      <c r="Z1733">
        <v>-7.7602069999999995E-2</v>
      </c>
      <c r="AA1733">
        <v>0.87749859999999902</v>
      </c>
      <c r="AB1733">
        <v>25</v>
      </c>
      <c r="AC1733">
        <v>-42.533700000000003</v>
      </c>
      <c r="AD1733">
        <v>7.5730709999999997</v>
      </c>
      <c r="AE1733">
        <v>-86.155000000000001</v>
      </c>
      <c r="AF1733">
        <v>45.422862908747597</v>
      </c>
      <c r="AG1733">
        <v>7.5730709999999997</v>
      </c>
      <c r="AH1733">
        <v>83.993573903730507</v>
      </c>
      <c r="AI1733">
        <v>85.465461853501296</v>
      </c>
      <c r="AJ1733">
        <v>61.595932205852897</v>
      </c>
      <c r="AK1733">
        <v>95.788873760574901</v>
      </c>
    </row>
    <row r="1734" spans="1:37" x14ac:dyDescent="0.2">
      <c r="A1734" t="str">
        <f>"20200111155532346"</f>
        <v>20200111155532346</v>
      </c>
      <c r="B1734" t="str">
        <f>"1578729332333717"</f>
        <v>1578729332333717</v>
      </c>
      <c r="C1734" t="s">
        <v>37</v>
      </c>
      <c r="D1734">
        <v>4.9919089999999997</v>
      </c>
      <c r="E1734">
        <v>0.62195549999999999</v>
      </c>
      <c r="F1734" t="s">
        <v>57</v>
      </c>
      <c r="G1734">
        <v>-232.83920000000001</v>
      </c>
      <c r="H1734">
        <v>8.243938</v>
      </c>
      <c r="I1734">
        <v>230.98400000000001</v>
      </c>
      <c r="J1734">
        <v>-190.2997</v>
      </c>
      <c r="K1734">
        <v>1.1029009999999999</v>
      </c>
      <c r="L1734">
        <v>316.47469999999998</v>
      </c>
      <c r="M1734">
        <v>3.4442590000000002E-2</v>
      </c>
      <c r="N1734">
        <v>0</v>
      </c>
      <c r="O1734">
        <v>-0.99931000000000003</v>
      </c>
      <c r="P1734">
        <v>-4.8551650000000002E-2</v>
      </c>
      <c r="Q1734">
        <v>-8.0152119999999903E-3</v>
      </c>
      <c r="R1734">
        <v>-0.99878840000000002</v>
      </c>
      <c r="S1734">
        <v>-1.4573209999999901</v>
      </c>
      <c r="T1734">
        <v>0.24466450000000001</v>
      </c>
      <c r="U1734">
        <v>-2.9373779999999998</v>
      </c>
      <c r="V1734">
        <v>8.295334E-2</v>
      </c>
      <c r="W1734">
        <v>5.4562459999999997E-3</v>
      </c>
      <c r="X1734">
        <v>0.99653849999999999</v>
      </c>
      <c r="Y1734">
        <v>0.47381590000000001</v>
      </c>
      <c r="Z1734">
        <v>-7.3717469999999993E-2</v>
      </c>
      <c r="AA1734">
        <v>0.87753300000000001</v>
      </c>
      <c r="AB1734">
        <v>25</v>
      </c>
      <c r="AC1734">
        <v>-42.539499999999997</v>
      </c>
      <c r="AD1734">
        <v>7.1410369999999999</v>
      </c>
      <c r="AE1734">
        <v>-85.490699999999904</v>
      </c>
      <c r="AF1734">
        <v>45.206242809621301</v>
      </c>
      <c r="AG1734">
        <v>7.1410369999999999</v>
      </c>
      <c r="AH1734">
        <v>83.507633605616903</v>
      </c>
      <c r="AI1734">
        <v>85.6993600836403</v>
      </c>
      <c r="AJ1734">
        <v>61.571427226953602</v>
      </c>
      <c r="AK1734">
        <v>95.226696198113302</v>
      </c>
    </row>
    <row r="1735" spans="1:37" x14ac:dyDescent="0.2">
      <c r="A1735" t="str">
        <f>"20200111155532369"</f>
        <v>20200111155532369</v>
      </c>
      <c r="B1735" t="str">
        <f>"1578729332363973"</f>
        <v>1578729332363973</v>
      </c>
      <c r="C1735" t="s">
        <v>37</v>
      </c>
      <c r="D1735">
        <v>4.9733199999999904</v>
      </c>
      <c r="E1735">
        <v>0.62065950000000003</v>
      </c>
      <c r="F1735" t="s">
        <v>38</v>
      </c>
      <c r="G1735">
        <v>-195.58330000000001</v>
      </c>
      <c r="H1735" s="1">
        <v>-2.7075520000000001E-6</v>
      </c>
      <c r="I1735">
        <v>302.43759999999997</v>
      </c>
      <c r="J1735">
        <v>-190.2944</v>
      </c>
      <c r="K1735">
        <v>1.1026590000000001</v>
      </c>
      <c r="L1735">
        <v>316.21690000000001</v>
      </c>
      <c r="M1735">
        <v>3.119303E-2</v>
      </c>
      <c r="N1735">
        <v>0</v>
      </c>
      <c r="O1735">
        <v>-0.99941659999999899</v>
      </c>
      <c r="P1735">
        <v>-5.130345E-2</v>
      </c>
      <c r="Q1735">
        <v>-1.017204E-2</v>
      </c>
      <c r="R1735">
        <v>-0.99863169999999901</v>
      </c>
      <c r="S1735">
        <v>-1.1095729999999999</v>
      </c>
      <c r="T1735">
        <v>-0.2316134</v>
      </c>
      <c r="U1735">
        <v>-2.947845</v>
      </c>
      <c r="V1735">
        <v>8.2450040000000002E-2</v>
      </c>
      <c r="W1735">
        <v>3.2651999999999998E-3</v>
      </c>
      <c r="X1735">
        <v>0.99658979999999997</v>
      </c>
      <c r="Y1735">
        <v>0.38035849999999999</v>
      </c>
      <c r="Z1735">
        <v>7.2847480000000006E-2</v>
      </c>
      <c r="AA1735">
        <v>0.921965699999999</v>
      </c>
      <c r="AB1735">
        <v>25</v>
      </c>
      <c r="AC1735">
        <v>-5.2889000000000097</v>
      </c>
      <c r="AD1735">
        <v>-1.102661707552</v>
      </c>
      <c r="AE1735">
        <v>-13.779299999999999</v>
      </c>
      <c r="AF1735">
        <v>5.6844582271891699</v>
      </c>
      <c r="AG1735">
        <v>-1.102661707552</v>
      </c>
      <c r="AH1735">
        <v>13.5320726020141</v>
      </c>
      <c r="AI1735">
        <v>94.296321126159</v>
      </c>
      <c r="AJ1735">
        <v>67.214039330676101</v>
      </c>
      <c r="AK1735">
        <v>14.718896598731201</v>
      </c>
    </row>
    <row r="1736" spans="1:37" x14ac:dyDescent="0.2">
      <c r="A1736" t="str">
        <f>"20200111155532392"</f>
        <v>20200111155532392</v>
      </c>
      <c r="B1736" t="str">
        <f>"1578729332384470"</f>
        <v>1578729332384470</v>
      </c>
      <c r="C1736" t="s">
        <v>37</v>
      </c>
      <c r="D1736">
        <v>4.9152209999999998</v>
      </c>
      <c r="E1736">
        <v>0.62140790000000001</v>
      </c>
      <c r="F1736" t="s">
        <v>38</v>
      </c>
      <c r="G1736">
        <v>-195.26390000000001</v>
      </c>
      <c r="H1736" s="1">
        <v>-2.8622229999999999E-6</v>
      </c>
      <c r="I1736">
        <v>302.99619999999999</v>
      </c>
      <c r="J1736">
        <v>-190.29040000000001</v>
      </c>
      <c r="K1736">
        <v>1.102419</v>
      </c>
      <c r="L1736">
        <v>315.95909999999998</v>
      </c>
      <c r="M1736">
        <v>2.7565470000000002E-2</v>
      </c>
      <c r="N1736">
        <v>0</v>
      </c>
      <c r="O1736">
        <v>-0.99952299999999905</v>
      </c>
      <c r="P1736">
        <v>-5.4805729999999997E-2</v>
      </c>
      <c r="Q1736">
        <v>-1.0750900000000001E-2</v>
      </c>
      <c r="R1736">
        <v>-0.99843939999999998</v>
      </c>
      <c r="S1736">
        <v>-1.106857</v>
      </c>
      <c r="T1736">
        <v>-0.245600599999999</v>
      </c>
      <c r="U1736">
        <v>-2.9447019999999999</v>
      </c>
      <c r="V1736">
        <v>8.2326789999999997E-2</v>
      </c>
      <c r="W1736">
        <v>2.6510370000000002E-3</v>
      </c>
      <c r="X1736">
        <v>0.99660190000000004</v>
      </c>
      <c r="Y1736">
        <v>0.3764594</v>
      </c>
      <c r="Z1736">
        <v>7.7384809999999998E-2</v>
      </c>
      <c r="AA1736">
        <v>0.92319549999999995</v>
      </c>
      <c r="AB1736">
        <v>25</v>
      </c>
      <c r="AC1736">
        <v>-4.9734999999999996</v>
      </c>
      <c r="AD1736">
        <v>-1.102421862223</v>
      </c>
      <c r="AE1736">
        <v>-12.9628999999999</v>
      </c>
      <c r="AF1736">
        <v>5.2955867635181404</v>
      </c>
      <c r="AG1736">
        <v>-1.102421862223</v>
      </c>
      <c r="AH1736">
        <v>12.740540258209</v>
      </c>
      <c r="AI1736">
        <v>94.5683112030069</v>
      </c>
      <c r="AJ1736">
        <v>67.429858772720806</v>
      </c>
      <c r="AK1736">
        <v>13.8412405225579</v>
      </c>
    </row>
    <row r="1737" spans="1:37" x14ac:dyDescent="0.2">
      <c r="A1737" t="str">
        <f>"20200111155532436"</f>
        <v>20200111155532436</v>
      </c>
      <c r="B1737" t="str">
        <f>"1578729332424018"</f>
        <v>1578729332424018</v>
      </c>
      <c r="C1737" t="s">
        <v>37</v>
      </c>
      <c r="D1737">
        <v>5.0335869999999998</v>
      </c>
      <c r="E1737">
        <v>0.62105069999999996</v>
      </c>
      <c r="F1737" t="s">
        <v>38</v>
      </c>
      <c r="G1737">
        <v>-195.44929999999999</v>
      </c>
      <c r="H1737" s="1">
        <v>-2.6769979999999999E-6</v>
      </c>
      <c r="I1737">
        <v>302.4495</v>
      </c>
      <c r="J1737">
        <v>-190.28649999999999</v>
      </c>
      <c r="K1737">
        <v>1.101979</v>
      </c>
      <c r="L1737">
        <v>315.47000000000003</v>
      </c>
      <c r="M1737">
        <v>1.9606910000000002E-2</v>
      </c>
      <c r="N1737">
        <v>0</v>
      </c>
      <c r="O1737">
        <v>-0.999710399999999</v>
      </c>
      <c r="P1737">
        <v>-6.5587859999999998E-2</v>
      </c>
      <c r="Q1737">
        <v>-7.0194940000000003E-3</v>
      </c>
      <c r="R1737">
        <v>-0.99782230000000005</v>
      </c>
      <c r="S1737">
        <v>-1.122879</v>
      </c>
      <c r="T1737">
        <v>-0.2399522</v>
      </c>
      <c r="U1737">
        <v>-2.9404910000000002</v>
      </c>
      <c r="V1737">
        <v>8.5187139999999995E-2</v>
      </c>
      <c r="W1737">
        <v>6.2940339999999996E-3</v>
      </c>
      <c r="X1737">
        <v>0.99634509999999898</v>
      </c>
      <c r="Y1737">
        <v>0.37396609999999902</v>
      </c>
      <c r="Z1737">
        <v>7.5708769999999995E-2</v>
      </c>
      <c r="AA1737">
        <v>0.92434709999999998</v>
      </c>
      <c r="AB1737">
        <v>25</v>
      </c>
      <c r="AC1737">
        <v>-5.1627999999999998</v>
      </c>
      <c r="AD1737">
        <v>-1.101981676998</v>
      </c>
      <c r="AE1737">
        <v>-13.0205</v>
      </c>
      <c r="AF1737">
        <v>5.3837993371395401</v>
      </c>
      <c r="AG1737">
        <v>-1.101981676998</v>
      </c>
      <c r="AH1737">
        <v>12.837299827989201</v>
      </c>
      <c r="AI1737">
        <v>94.526223981291594</v>
      </c>
      <c r="AJ1737">
        <v>67.247446409367896</v>
      </c>
      <c r="AK1737">
        <v>13.9640941629851</v>
      </c>
    </row>
    <row r="1738" spans="1:37" x14ac:dyDescent="0.2">
      <c r="A1738" t="str">
        <f>"20200111155532458"</f>
        <v>20200111155532458</v>
      </c>
      <c r="B1738" t="str">
        <f>"1578729332454274"</f>
        <v>1578729332454274</v>
      </c>
      <c r="C1738" t="s">
        <v>37</v>
      </c>
      <c r="D1738">
        <v>5.0450119999999998</v>
      </c>
      <c r="E1738">
        <v>0.62063190000000001</v>
      </c>
      <c r="F1738" t="s">
        <v>38</v>
      </c>
      <c r="G1738">
        <v>-195.76410000000001</v>
      </c>
      <c r="H1738" s="1">
        <v>-2.367149E-6</v>
      </c>
      <c r="I1738">
        <v>301.53199999999998</v>
      </c>
      <c r="J1738">
        <v>-190.28649999999999</v>
      </c>
      <c r="K1738">
        <v>1.10175499999999</v>
      </c>
      <c r="L1738">
        <v>315.22949999999997</v>
      </c>
      <c r="M1738">
        <v>1.517891E-2</v>
      </c>
      <c r="N1738">
        <v>0</v>
      </c>
      <c r="O1738">
        <v>-0.99978729999999905</v>
      </c>
      <c r="P1738">
        <v>-7.2757299999999997E-2</v>
      </c>
      <c r="Q1738">
        <v>-5.2192699999999998E-3</v>
      </c>
      <c r="R1738">
        <v>-0.99733609999999995</v>
      </c>
      <c r="S1738">
        <v>-1.1511990000000001</v>
      </c>
      <c r="T1738">
        <v>-0.23159769999999999</v>
      </c>
      <c r="U1738">
        <v>-2.9292910000000001</v>
      </c>
      <c r="V1738">
        <v>8.795182E-2</v>
      </c>
      <c r="W1738">
        <v>8.0382590000000007E-3</v>
      </c>
      <c r="X1738">
        <v>0.99609230000000004</v>
      </c>
      <c r="Y1738">
        <v>0.37886900000000001</v>
      </c>
      <c r="Z1738">
        <v>7.3157899999999998E-2</v>
      </c>
      <c r="AA1738">
        <v>0.92255419999999999</v>
      </c>
      <c r="AB1738">
        <v>25</v>
      </c>
      <c r="AC1738">
        <v>-5.4776000000000202</v>
      </c>
      <c r="AD1738">
        <v>-1.10175736714899</v>
      </c>
      <c r="AE1738">
        <v>-13.6974999999999</v>
      </c>
      <c r="AF1738">
        <v>5.6533689246269896</v>
      </c>
      <c r="AG1738">
        <v>-1.10175736714899</v>
      </c>
      <c r="AH1738">
        <v>13.5372615885658</v>
      </c>
      <c r="AI1738">
        <v>94.294916814326697</v>
      </c>
      <c r="AJ1738">
        <v>67.333833386509298</v>
      </c>
      <c r="AK1738">
        <v>14.711624682925599</v>
      </c>
    </row>
    <row r="1739" spans="1:37" x14ac:dyDescent="0.2">
      <c r="A1739" t="str">
        <f>"20200111155532571"</f>
        <v>20200111155532571</v>
      </c>
      <c r="B1739" t="str">
        <f>"1578729332564863"</f>
        <v>1578729332564863</v>
      </c>
      <c r="C1739" t="s">
        <v>37</v>
      </c>
      <c r="D1739">
        <v>5.0811779999999898</v>
      </c>
      <c r="E1739">
        <v>0.62019740000000001</v>
      </c>
      <c r="F1739" t="s">
        <v>38</v>
      </c>
      <c r="G1739">
        <v>-196.01410000000001</v>
      </c>
      <c r="H1739" s="1">
        <v>-2.16610999999999E-6</v>
      </c>
      <c r="I1739">
        <v>300.9083</v>
      </c>
      <c r="J1739">
        <v>-190.31209999999999</v>
      </c>
      <c r="K1739">
        <v>1.100873</v>
      </c>
      <c r="L1739">
        <v>313.97460000000001</v>
      </c>
      <c r="M1739">
        <v>-1.278284E-2</v>
      </c>
      <c r="N1739">
        <v>0</v>
      </c>
      <c r="O1739">
        <v>-0.99981939999999903</v>
      </c>
      <c r="P1739">
        <v>-0.12611700000000001</v>
      </c>
      <c r="Q1739">
        <v>-1.105883E-2</v>
      </c>
      <c r="R1739">
        <v>-0.99195390000000006</v>
      </c>
      <c r="S1739">
        <v>-1.168442</v>
      </c>
      <c r="T1739">
        <v>-0.22476189999999999</v>
      </c>
      <c r="U1739">
        <v>-2.92157</v>
      </c>
      <c r="V1739">
        <v>0.11344890000000001</v>
      </c>
      <c r="W1739">
        <v>1.7965469999999999E-3</v>
      </c>
      <c r="X1739">
        <v>0.99354219999999904</v>
      </c>
      <c r="Y1739">
        <v>0.35849219999999998</v>
      </c>
      <c r="Z1739">
        <v>7.1412820000000002E-2</v>
      </c>
      <c r="AA1739">
        <v>0.93079730000000005</v>
      </c>
      <c r="AB1739">
        <v>25</v>
      </c>
      <c r="AC1739">
        <v>-5.7020000000000204</v>
      </c>
      <c r="AD1739">
        <v>-1.10087516611</v>
      </c>
      <c r="AE1739">
        <v>-13.0663</v>
      </c>
      <c r="AF1739">
        <v>5.5016865337549499</v>
      </c>
      <c r="AG1739">
        <v>-1.10087516611</v>
      </c>
      <c r="AH1739">
        <v>13.0602489165826</v>
      </c>
      <c r="AI1739">
        <v>94.441869254956103</v>
      </c>
      <c r="AJ1739">
        <v>67.156529857822704</v>
      </c>
      <c r="AK1739">
        <v>14.214449782181401</v>
      </c>
    </row>
    <row r="1740" spans="1:37" x14ac:dyDescent="0.2">
      <c r="A1740" t="str">
        <f>"20200111155532592"</f>
        <v>20200111155532592</v>
      </c>
      <c r="B1740" t="str">
        <f>"1578729332584383"</f>
        <v>1578729332584383</v>
      </c>
      <c r="C1740" t="s">
        <v>37</v>
      </c>
      <c r="D1740">
        <v>5.0700289999999999</v>
      </c>
      <c r="E1740">
        <v>0.61963210000000002</v>
      </c>
      <c r="F1740" t="s">
        <v>38</v>
      </c>
      <c r="G1740">
        <v>-196.01390000000001</v>
      </c>
      <c r="H1740" s="1">
        <v>-2.471155E-6</v>
      </c>
      <c r="I1740">
        <v>301.61939999999998</v>
      </c>
      <c r="J1740">
        <v>-190.3218</v>
      </c>
      <c r="K1740">
        <v>1.100722</v>
      </c>
      <c r="L1740">
        <v>313.73750000000001</v>
      </c>
      <c r="M1740">
        <v>-1.8828609999999999E-2</v>
      </c>
      <c r="N1740">
        <v>0</v>
      </c>
      <c r="O1740">
        <v>-0.99972359999999905</v>
      </c>
      <c r="P1740">
        <v>-0.13877239999999999</v>
      </c>
      <c r="Q1740">
        <v>-9.54908199999999E-3</v>
      </c>
      <c r="R1740">
        <v>-0.99027849999999995</v>
      </c>
      <c r="S1740">
        <v>-1.3171079999999999</v>
      </c>
      <c r="T1740">
        <v>-0.25429819999999997</v>
      </c>
      <c r="U1740">
        <v>-2.8540040000000002</v>
      </c>
      <c r="V1740">
        <v>0.120139699999999</v>
      </c>
      <c r="W1740">
        <v>3.2060729999999998E-3</v>
      </c>
      <c r="X1740">
        <v>0.99275179999999996</v>
      </c>
      <c r="Y1740">
        <v>0.40048099999999998</v>
      </c>
      <c r="Z1740">
        <v>8.0942769999999997E-2</v>
      </c>
      <c r="AA1740">
        <v>0.91272299999999995</v>
      </c>
      <c r="AB1740">
        <v>24</v>
      </c>
      <c r="AC1740">
        <v>-5.6921000000000097</v>
      </c>
      <c r="AD1740">
        <v>-1.1007244711549999</v>
      </c>
      <c r="AE1740">
        <v>-12.1181</v>
      </c>
      <c r="AF1740">
        <v>5.4262236409062901</v>
      </c>
      <c r="AG1740">
        <v>-1.1007244711549999</v>
      </c>
      <c r="AH1740">
        <v>12.141071095207501</v>
      </c>
      <c r="AI1740">
        <v>94.731626690149497</v>
      </c>
      <c r="AJ1740">
        <v>65.918641601688094</v>
      </c>
      <c r="AK1740">
        <v>13.3439538631327</v>
      </c>
    </row>
    <row r="1741" spans="1:37" x14ac:dyDescent="0.2">
      <c r="A1741" t="str">
        <f>"20200111155532637"</f>
        <v>20200111155532637</v>
      </c>
      <c r="B1741" t="str">
        <f>"1578729332633690"</f>
        <v>1578729332633690</v>
      </c>
      <c r="C1741" t="s">
        <v>37</v>
      </c>
      <c r="D1741">
        <v>5.3016519999999998</v>
      </c>
      <c r="E1741">
        <v>0.61872769999999899</v>
      </c>
      <c r="F1741" t="s">
        <v>38</v>
      </c>
      <c r="G1741">
        <v>-196.14519999999999</v>
      </c>
      <c r="H1741" s="1">
        <v>-2.4443550000000001E-6</v>
      </c>
      <c r="I1741">
        <v>301.47550000000001</v>
      </c>
      <c r="J1741">
        <v>-190.34719999999999</v>
      </c>
      <c r="K1741">
        <v>1.1003860000000001</v>
      </c>
      <c r="L1741">
        <v>313.24900000000002</v>
      </c>
      <c r="M1741">
        <v>-3.2053180000000001E-2</v>
      </c>
      <c r="N1741">
        <v>0</v>
      </c>
      <c r="O1741">
        <v>-0.999386199999999</v>
      </c>
      <c r="P1741">
        <v>-0.15801379999999901</v>
      </c>
      <c r="Q1741">
        <v>-3.3814790000000002E-3</v>
      </c>
      <c r="R1741">
        <v>-0.98743119999999995</v>
      </c>
      <c r="S1741">
        <v>-1.347885</v>
      </c>
      <c r="T1741">
        <v>-0.25477089999999902</v>
      </c>
      <c r="U1741">
        <v>-2.8381349999999999</v>
      </c>
      <c r="V1741">
        <v>0.12638940000000001</v>
      </c>
      <c r="W1741">
        <v>9.2403219999999901E-3</v>
      </c>
      <c r="X1741">
        <v>0.99193770000000003</v>
      </c>
      <c r="Y1741">
        <v>0.3984028</v>
      </c>
      <c r="Z1741">
        <v>8.1319810000000006E-2</v>
      </c>
      <c r="AA1741">
        <v>0.91359849999999998</v>
      </c>
      <c r="AB1741">
        <v>24</v>
      </c>
      <c r="AC1741">
        <v>-5.798</v>
      </c>
      <c r="AD1741">
        <v>-1.1003884443550001</v>
      </c>
      <c r="AE1741">
        <v>-11.7735</v>
      </c>
      <c r="AF1741">
        <v>5.3797825247023701</v>
      </c>
      <c r="AG1741">
        <v>-1.1003884443550001</v>
      </c>
      <c r="AH1741">
        <v>11.869862582629001</v>
      </c>
      <c r="AI1741">
        <v>94.826421289951696</v>
      </c>
      <c r="AJ1741">
        <v>65.618521490610803</v>
      </c>
      <c r="AK1741">
        <v>13.0784766877515</v>
      </c>
    </row>
    <row r="1742" spans="1:37" x14ac:dyDescent="0.2">
      <c r="A1742" t="str">
        <f>"20200111155532738"</f>
        <v>20200111155532738</v>
      </c>
      <c r="B1742" t="str">
        <f>"1578729332733748"</f>
        <v>1578729332733748</v>
      </c>
      <c r="C1742" t="s">
        <v>37</v>
      </c>
      <c r="D1742">
        <v>4.9753379999999998</v>
      </c>
      <c r="E1742">
        <v>0.60821130000000001</v>
      </c>
      <c r="F1742" t="s">
        <v>38</v>
      </c>
      <c r="G1742">
        <v>-197.1156</v>
      </c>
      <c r="H1742" s="1">
        <v>-1.9057089999999899E-6</v>
      </c>
      <c r="I1742">
        <v>299.61810000000003</v>
      </c>
      <c r="J1742">
        <v>-190.43510000000001</v>
      </c>
      <c r="K1742">
        <v>1.09951</v>
      </c>
      <c r="L1742">
        <v>312.14789999999999</v>
      </c>
      <c r="M1742">
        <v>-6.6172410000000001E-2</v>
      </c>
      <c r="N1742">
        <v>0</v>
      </c>
      <c r="O1742">
        <v>-0.99770630000000005</v>
      </c>
      <c r="P1742">
        <v>-0.19592809999999999</v>
      </c>
      <c r="Q1742">
        <v>-6.7079440000000004E-3</v>
      </c>
      <c r="R1742">
        <v>-0.98059569999999996</v>
      </c>
      <c r="S1742">
        <v>-1.397186</v>
      </c>
      <c r="T1742">
        <v>-0.22715179999999999</v>
      </c>
      <c r="U1742">
        <v>-2.813812</v>
      </c>
      <c r="V1742">
        <v>0.13069</v>
      </c>
      <c r="W1742">
        <v>5.72374699999999E-3</v>
      </c>
      <c r="X1742">
        <v>0.99140669999999897</v>
      </c>
      <c r="Y1742">
        <v>0.38330779999999998</v>
      </c>
      <c r="Z1742">
        <v>7.2910950000000002E-2</v>
      </c>
      <c r="AA1742">
        <v>0.92073830000000001</v>
      </c>
      <c r="AB1742">
        <v>24</v>
      </c>
      <c r="AC1742">
        <v>-6.6804999999999897</v>
      </c>
      <c r="AD1742">
        <v>-1.0995119057089999</v>
      </c>
      <c r="AE1742">
        <v>-12.5297999999999</v>
      </c>
      <c r="AF1742">
        <v>5.80185590610317</v>
      </c>
      <c r="AG1742">
        <v>-1.0995119057089999</v>
      </c>
      <c r="AH1742">
        <v>12.8672901880464</v>
      </c>
      <c r="AI1742">
        <v>94.454208002727199</v>
      </c>
      <c r="AJ1742">
        <v>65.729406021178605</v>
      </c>
      <c r="AK1742">
        <v>14.1575992021732</v>
      </c>
    </row>
    <row r="1743" spans="1:37" x14ac:dyDescent="0.2">
      <c r="A1743" t="str">
        <f>"20200111155532762"</f>
        <v>20200111155532762</v>
      </c>
      <c r="B1743" t="str">
        <f>"1578729332754245"</f>
        <v>1578729332754245</v>
      </c>
      <c r="C1743" t="s">
        <v>37</v>
      </c>
      <c r="D1743">
        <v>5.0291169999999896</v>
      </c>
      <c r="E1743">
        <v>0.60942980000000002</v>
      </c>
      <c r="F1743" t="s">
        <v>56</v>
      </c>
      <c r="G1743">
        <v>-197.88650000000001</v>
      </c>
      <c r="H1743" s="1">
        <v>3.4872890000000001E-7</v>
      </c>
      <c r="I1743">
        <v>297.63619999999997</v>
      </c>
      <c r="J1743">
        <v>-190.46209999999999</v>
      </c>
      <c r="K1743">
        <v>1.0993379999999999</v>
      </c>
      <c r="L1743">
        <v>311.8922</v>
      </c>
      <c r="M1743">
        <v>-7.5036510000000001E-2</v>
      </c>
      <c r="N1743">
        <v>0</v>
      </c>
      <c r="O1743">
        <v>-0.99707829999999997</v>
      </c>
      <c r="P1743">
        <v>-0.20308489999999901</v>
      </c>
      <c r="Q1743">
        <v>-4.9065669999999997E-3</v>
      </c>
      <c r="R1743">
        <v>-0.97914920000000005</v>
      </c>
      <c r="S1743">
        <v>-1.4240569999999999</v>
      </c>
      <c r="T1743">
        <v>-0.2101277</v>
      </c>
      <c r="U1743">
        <v>-2.7733460000000001</v>
      </c>
      <c r="V1743">
        <v>0.12914709999999999</v>
      </c>
      <c r="W1743">
        <v>7.5213839999999999E-3</v>
      </c>
      <c r="X1743">
        <v>0.9915969</v>
      </c>
      <c r="Y1743">
        <v>0.38767889999999999</v>
      </c>
      <c r="Z1743">
        <v>6.8078260000000002E-2</v>
      </c>
      <c r="AA1743">
        <v>0.91927709999999996</v>
      </c>
      <c r="AB1743">
        <v>24</v>
      </c>
      <c r="AC1743">
        <v>-7.4244000000000101</v>
      </c>
      <c r="AD1743">
        <v>-1.0993376512710999</v>
      </c>
      <c r="AE1743">
        <v>-14.256</v>
      </c>
      <c r="AF1743">
        <v>6.3041451778770803</v>
      </c>
      <c r="AG1743">
        <v>-1.0993376512710999</v>
      </c>
      <c r="AH1743">
        <v>14.704175370444799</v>
      </c>
      <c r="AI1743">
        <v>93.930879830398695</v>
      </c>
      <c r="AJ1743">
        <v>66.793655036513996</v>
      </c>
      <c r="AK1743">
        <v>16.036320120902001</v>
      </c>
    </row>
    <row r="1744" spans="1:37" x14ac:dyDescent="0.2">
      <c r="A1744" t="str">
        <f>"20200111155532782"</f>
        <v>20200111155532782</v>
      </c>
      <c r="B1744" t="str">
        <f>"1578729332773765"</f>
        <v>1578729332773765</v>
      </c>
      <c r="C1744" t="s">
        <v>37</v>
      </c>
      <c r="D1744">
        <v>4.9912400000000003</v>
      </c>
      <c r="E1744">
        <v>0.60858979999999996</v>
      </c>
      <c r="F1744" t="s">
        <v>56</v>
      </c>
      <c r="G1744">
        <v>-198.74599999999899</v>
      </c>
      <c r="H1744" s="1">
        <v>6.0796749999999999E-7</v>
      </c>
      <c r="I1744">
        <v>296.16419999999999</v>
      </c>
      <c r="J1744">
        <v>-190.48840000000001</v>
      </c>
      <c r="K1744">
        <v>1.0991709999999999</v>
      </c>
      <c r="L1744">
        <v>311.66520000000003</v>
      </c>
      <c r="M1744">
        <v>-8.3194470000000006E-2</v>
      </c>
      <c r="N1744">
        <v>0</v>
      </c>
      <c r="O1744">
        <v>-0.99643029999999999</v>
      </c>
      <c r="P1744">
        <v>-0.2106247</v>
      </c>
      <c r="Q1744">
        <v>-2.108043E-3</v>
      </c>
      <c r="R1744">
        <v>-0.97756500000000002</v>
      </c>
      <c r="S1744">
        <v>-1.4543459999999999</v>
      </c>
      <c r="T1744">
        <v>-0.19300390000000001</v>
      </c>
      <c r="U1744">
        <v>-2.7612610000000002</v>
      </c>
      <c r="V1744">
        <v>0.12871559999999899</v>
      </c>
      <c r="W1744">
        <v>1.030505E-2</v>
      </c>
      <c r="X1744">
        <v>0.99162799999999995</v>
      </c>
      <c r="Y1744">
        <v>0.38986799999999999</v>
      </c>
      <c r="Z1744">
        <v>6.2555479999999997E-2</v>
      </c>
      <c r="AA1744">
        <v>0.91874359999999999</v>
      </c>
      <c r="AB1744">
        <v>24</v>
      </c>
      <c r="AC1744">
        <v>-8.2575999999999592</v>
      </c>
      <c r="AD1744">
        <v>-1.0991703920325</v>
      </c>
      <c r="AE1744">
        <v>-15.500999999999999</v>
      </c>
      <c r="AF1744">
        <v>6.9121650759811404</v>
      </c>
      <c r="AG1744">
        <v>-1.0991703920325</v>
      </c>
      <c r="AH1744">
        <v>16.071362853642501</v>
      </c>
      <c r="AI1744">
        <v>93.595084634157999</v>
      </c>
      <c r="AJ1744">
        <v>66.727845228393093</v>
      </c>
      <c r="AK1744">
        <v>17.529258557103201</v>
      </c>
    </row>
    <row r="1745" spans="1:37" x14ac:dyDescent="0.2">
      <c r="A1745" t="str">
        <f>"20200111155532804"</f>
        <v>20200111155532804</v>
      </c>
      <c r="B1745" t="str">
        <f>"1578729332794260"</f>
        <v>1578729332794260</v>
      </c>
      <c r="C1745" t="s">
        <v>37</v>
      </c>
      <c r="D1745">
        <v>5.1329820000000002</v>
      </c>
      <c r="E1745">
        <v>0.60774050000000002</v>
      </c>
      <c r="F1745" t="s">
        <v>56</v>
      </c>
      <c r="G1745">
        <v>-199.20830000000001</v>
      </c>
      <c r="H1745" s="1">
        <v>7.5559960000000005E-7</v>
      </c>
      <c r="I1745">
        <v>295.325999999999</v>
      </c>
      <c r="J1745">
        <v>-190.51920000000001</v>
      </c>
      <c r="K1745">
        <v>1.099008</v>
      </c>
      <c r="L1745">
        <v>311.42009999999999</v>
      </c>
      <c r="M1745">
        <v>-9.2268520000000007E-2</v>
      </c>
      <c r="N1745">
        <v>0</v>
      </c>
      <c r="O1745">
        <v>-0.99563040000000003</v>
      </c>
      <c r="P1745">
        <v>-0.2209981</v>
      </c>
      <c r="Q1745">
        <v>4.3140259999999999E-4</v>
      </c>
      <c r="R1745">
        <v>-0.97527430000000004</v>
      </c>
      <c r="S1745">
        <v>-1.468674</v>
      </c>
      <c r="T1745">
        <v>-0.18513080000000001</v>
      </c>
      <c r="U1745">
        <v>-2.7519840000000002</v>
      </c>
      <c r="V1745">
        <v>0.13025809999999999</v>
      </c>
      <c r="W1745">
        <v>1.28016E-2</v>
      </c>
      <c r="X1745">
        <v>0.99139739999999998</v>
      </c>
      <c r="Y1745">
        <v>0.3865577</v>
      </c>
      <c r="Z1745">
        <v>6.0092899999999998E-2</v>
      </c>
      <c r="AA1745">
        <v>0.92030540000000005</v>
      </c>
      <c r="AB1745">
        <v>24</v>
      </c>
      <c r="AC1745">
        <v>-8.6890999999999892</v>
      </c>
      <c r="AD1745">
        <v>-1.0990072444004</v>
      </c>
      <c r="AE1745">
        <v>-16.094100000000001</v>
      </c>
      <c r="AF1745">
        <v>7.1411101637101604</v>
      </c>
      <c r="AG1745">
        <v>-1.0990072444004</v>
      </c>
      <c r="AH1745">
        <v>16.766706459667201</v>
      </c>
      <c r="AI1745">
        <v>93.451051227604694</v>
      </c>
      <c r="AJ1745">
        <v>66.930353716675299</v>
      </c>
      <c r="AK1745">
        <v>18.2572099949071</v>
      </c>
    </row>
    <row r="1746" spans="1:37" x14ac:dyDescent="0.2">
      <c r="A1746" t="str">
        <f>"20200111155532826"</f>
        <v>20200111155532826</v>
      </c>
      <c r="B1746" t="str">
        <f>"1578729332823541"</f>
        <v>1578729332823541</v>
      </c>
      <c r="C1746" t="s">
        <v>37</v>
      </c>
      <c r="D1746">
        <v>5.0747980000000004</v>
      </c>
      <c r="E1746">
        <v>0.60676869999999905</v>
      </c>
      <c r="F1746" t="s">
        <v>56</v>
      </c>
      <c r="G1746">
        <v>-199.48089999999999</v>
      </c>
      <c r="H1746" s="1">
        <v>8.2135799999999999E-7</v>
      </c>
      <c r="I1746">
        <v>294.95260000000002</v>
      </c>
      <c r="J1746">
        <v>-190.55090000000001</v>
      </c>
      <c r="K1746">
        <v>1.0988690000000001</v>
      </c>
      <c r="L1746">
        <v>311.18669999999997</v>
      </c>
      <c r="M1746">
        <v>-0.1011416</v>
      </c>
      <c r="N1746">
        <v>0</v>
      </c>
      <c r="O1746">
        <v>-0.99476749999999903</v>
      </c>
      <c r="P1746">
        <v>-0.232106799999999</v>
      </c>
      <c r="Q1746">
        <v>3.3699670000000002E-3</v>
      </c>
      <c r="R1746">
        <v>-0.97268469999999996</v>
      </c>
      <c r="S1746">
        <v>-1.4902949999999999</v>
      </c>
      <c r="T1746">
        <v>-0.18275929999999899</v>
      </c>
      <c r="U1746">
        <v>-2.738464</v>
      </c>
      <c r="V1746">
        <v>0.13277520000000001</v>
      </c>
      <c r="W1746">
        <v>1.568379E-2</v>
      </c>
      <c r="X1746">
        <v>0.99102209999999902</v>
      </c>
      <c r="Y1746">
        <v>0.38586709999999902</v>
      </c>
      <c r="Z1746">
        <v>5.9408750000000003E-2</v>
      </c>
      <c r="AA1746">
        <v>0.9206396</v>
      </c>
      <c r="AB1746">
        <v>24</v>
      </c>
      <c r="AC1746">
        <v>-8.9299999999999695</v>
      </c>
      <c r="AD1746">
        <v>-1.098868178642</v>
      </c>
      <c r="AE1746">
        <v>-16.234099999999899</v>
      </c>
      <c r="AF1746">
        <v>7.2166996971492798</v>
      </c>
      <c r="AG1746">
        <v>-1.098868178642</v>
      </c>
      <c r="AH1746">
        <v>16.994346364450902</v>
      </c>
      <c r="AI1746">
        <v>93.4060420633337</v>
      </c>
      <c r="AJ1746">
        <v>66.991351360174605</v>
      </c>
      <c r="AK1746">
        <v>18.495839373972501</v>
      </c>
    </row>
    <row r="1747" spans="1:37" x14ac:dyDescent="0.2">
      <c r="A1747" t="str">
        <f>"20200111155532849"</f>
        <v>20200111155532849</v>
      </c>
      <c r="B1747" t="str">
        <f>"1578729332844037"</f>
        <v>1578729332844037</v>
      </c>
      <c r="C1747" t="s">
        <v>37</v>
      </c>
      <c r="D1747">
        <v>5.1715029999999897</v>
      </c>
      <c r="E1747">
        <v>0.60609809999999997</v>
      </c>
      <c r="F1747" t="s">
        <v>56</v>
      </c>
      <c r="G1747">
        <v>-199.80330000000001</v>
      </c>
      <c r="H1747" s="1">
        <v>9.0858449999999997E-7</v>
      </c>
      <c r="I1747">
        <v>294.53500000000003</v>
      </c>
      <c r="J1747">
        <v>-190.58709999999999</v>
      </c>
      <c r="K1747">
        <v>1.0987359999999999</v>
      </c>
      <c r="L1747">
        <v>310.9393</v>
      </c>
      <c r="M1747">
        <v>-0.1108029</v>
      </c>
      <c r="N1747">
        <v>0</v>
      </c>
      <c r="O1747">
        <v>-0.99373739999999999</v>
      </c>
      <c r="P1747">
        <v>-0.24359069999999999</v>
      </c>
      <c r="Q1747">
        <v>6.4445479999999996E-3</v>
      </c>
      <c r="R1747">
        <v>-0.96985669999999902</v>
      </c>
      <c r="S1747">
        <v>-1.513412</v>
      </c>
      <c r="T1747">
        <v>-0.17974029999999999</v>
      </c>
      <c r="U1747">
        <v>-2.7236940000000001</v>
      </c>
      <c r="V1747">
        <v>0.13491649999999999</v>
      </c>
      <c r="W1747">
        <v>1.870935E-2</v>
      </c>
      <c r="X1747">
        <v>0.99068029999999996</v>
      </c>
      <c r="Y1747">
        <v>0.38501659999999999</v>
      </c>
      <c r="Z1747">
        <v>5.8513849999999999E-2</v>
      </c>
      <c r="AA1747">
        <v>0.9210528</v>
      </c>
      <c r="AB1747">
        <v>24</v>
      </c>
      <c r="AC1747">
        <v>-9.2162000000000095</v>
      </c>
      <c r="AD1747">
        <v>-1.0987350914155001</v>
      </c>
      <c r="AE1747">
        <v>-16.4042999999999</v>
      </c>
      <c r="AF1747">
        <v>7.31665609039975</v>
      </c>
      <c r="AG1747">
        <v>-1.0987350914155001</v>
      </c>
      <c r="AH1747">
        <v>17.265682736442201</v>
      </c>
      <c r="AI1747">
        <v>93.353296274214102</v>
      </c>
      <c r="AJ1747">
        <v>67.034289049456703</v>
      </c>
      <c r="AK1747">
        <v>18.7841549051793</v>
      </c>
    </row>
    <row r="1748" spans="1:37" x14ac:dyDescent="0.2">
      <c r="A1748" t="str">
        <f>"20200111155532872"</f>
        <v>20200111155532872</v>
      </c>
      <c r="B1748" t="str">
        <f>"1578729332863557"</f>
        <v>1578729332863557</v>
      </c>
      <c r="C1748" t="s">
        <v>37</v>
      </c>
      <c r="D1748">
        <v>5.007053</v>
      </c>
      <c r="E1748">
        <v>0.60542819999999997</v>
      </c>
      <c r="F1748" t="s">
        <v>56</v>
      </c>
      <c r="G1748">
        <v>-199.9579</v>
      </c>
      <c r="H1748">
        <v>4.8981990000000003E-2</v>
      </c>
      <c r="I1748">
        <v>294.46769999999998</v>
      </c>
      <c r="J1748">
        <v>-190.62569999999999</v>
      </c>
      <c r="K1748">
        <v>1.0986100000000001</v>
      </c>
      <c r="L1748">
        <v>310.6936</v>
      </c>
      <c r="M1748">
        <v>-0.1206386</v>
      </c>
      <c r="N1748">
        <v>0</v>
      </c>
      <c r="O1748">
        <v>-0.99259089999999905</v>
      </c>
      <c r="P1748">
        <v>-0.25471719999999998</v>
      </c>
      <c r="Q1748">
        <v>9.2039800000000005E-3</v>
      </c>
      <c r="R1748">
        <v>-0.96697199999999905</v>
      </c>
      <c r="S1748">
        <v>-1.5402979999999999</v>
      </c>
      <c r="T1748">
        <v>-0.17255090000000001</v>
      </c>
      <c r="U1748">
        <v>-2.7074889999999998</v>
      </c>
      <c r="V1748">
        <v>0.13653899999999999</v>
      </c>
      <c r="W1748">
        <v>2.143202E-2</v>
      </c>
      <c r="X1748">
        <v>0.99040280000000003</v>
      </c>
      <c r="Y1748">
        <v>0.38522089999999998</v>
      </c>
      <c r="Z1748">
        <v>5.624411E-2</v>
      </c>
      <c r="AA1748">
        <v>0.92110879999999995</v>
      </c>
      <c r="AB1748">
        <v>24</v>
      </c>
      <c r="AC1748">
        <v>-9.3322000000000003</v>
      </c>
      <c r="AD1748">
        <v>-1.0496280099999999</v>
      </c>
      <c r="AE1748">
        <v>-16.225899999999999</v>
      </c>
      <c r="AF1748">
        <v>7.2834503871272798</v>
      </c>
      <c r="AG1748">
        <v>-1.0496280099999999</v>
      </c>
      <c r="AH1748">
        <v>17.1792913030501</v>
      </c>
      <c r="AI1748">
        <v>93.219591310372095</v>
      </c>
      <c r="AJ1748">
        <v>67.024664403823806</v>
      </c>
      <c r="AK1748">
        <v>18.688991898338799</v>
      </c>
    </row>
    <row r="1749" spans="1:37" x14ac:dyDescent="0.2">
      <c r="A1749" t="str">
        <f>"20200111155532893"</f>
        <v>20200111155532893</v>
      </c>
      <c r="B1749" t="str">
        <f>"1578729332884053"</f>
        <v>1578729332884053</v>
      </c>
      <c r="C1749" t="s">
        <v>37</v>
      </c>
      <c r="D1749">
        <v>5.0027619999999997</v>
      </c>
      <c r="E1749">
        <v>0.60476269999999999</v>
      </c>
      <c r="F1749" t="s">
        <v>56</v>
      </c>
      <c r="G1749">
        <v>-200.13079999999999</v>
      </c>
      <c r="H1749">
        <v>8.0000260000000004E-2</v>
      </c>
      <c r="I1749">
        <v>294.35719999999998</v>
      </c>
      <c r="J1749">
        <v>-190.66419999999999</v>
      </c>
      <c r="K1749">
        <v>1.0985039999999999</v>
      </c>
      <c r="L1749">
        <v>310.46429999999998</v>
      </c>
      <c r="M1749">
        <v>-0.13002049999999901</v>
      </c>
      <c r="N1749">
        <v>0</v>
      </c>
      <c r="O1749">
        <v>-0.99140519999999999</v>
      </c>
      <c r="P1749">
        <v>-0.26467379999999902</v>
      </c>
      <c r="Q1749">
        <v>1.0258079999999999E-2</v>
      </c>
      <c r="R1749">
        <v>-0.96428359999999902</v>
      </c>
      <c r="S1749">
        <v>-1.566025</v>
      </c>
      <c r="T1749">
        <v>-0.16782279999999999</v>
      </c>
      <c r="U1749">
        <v>-2.6915279999999999</v>
      </c>
      <c r="V1749">
        <v>0.13740820000000001</v>
      </c>
      <c r="W1749">
        <v>2.246602E-2</v>
      </c>
      <c r="X1749">
        <v>0.99025969999999996</v>
      </c>
      <c r="Y1749">
        <v>0.38548640000000001</v>
      </c>
      <c r="Z1749">
        <v>5.4763579999999999E-2</v>
      </c>
      <c r="AA1749">
        <v>0.92108699999999999</v>
      </c>
      <c r="AB1749">
        <v>24</v>
      </c>
      <c r="AC1749">
        <v>-9.4665999999999997</v>
      </c>
      <c r="AD1749">
        <v>-1.0185037400000001</v>
      </c>
      <c r="AE1749">
        <v>-16.107099999999999</v>
      </c>
      <c r="AF1749">
        <v>7.2701444081957698</v>
      </c>
      <c r="AG1749">
        <v>-1.0185037400000001</v>
      </c>
      <c r="AH1749">
        <v>17.1503556418157</v>
      </c>
      <c r="AI1749">
        <v>93.129642601787594</v>
      </c>
      <c r="AJ1749">
        <v>67.027604475639905</v>
      </c>
      <c r="AK1749">
        <v>18.655483060622501</v>
      </c>
    </row>
    <row r="1750" spans="1:37" x14ac:dyDescent="0.2">
      <c r="A1750" t="str">
        <f>"20200111155532916"</f>
        <v>20200111155532916</v>
      </c>
      <c r="B1750" t="str">
        <f>"1578729332913841"</f>
        <v>1578729332913841</v>
      </c>
      <c r="C1750" t="s">
        <v>37</v>
      </c>
      <c r="D1750">
        <v>3.8206199999999999</v>
      </c>
      <c r="E1750">
        <v>0.60412650000000001</v>
      </c>
      <c r="F1750" t="s">
        <v>56</v>
      </c>
      <c r="G1750">
        <v>-200.34880000000001</v>
      </c>
      <c r="H1750">
        <v>8.0000009999999996E-2</v>
      </c>
      <c r="I1750">
        <v>294.14789999999999</v>
      </c>
      <c r="J1750">
        <v>-190.7079</v>
      </c>
      <c r="K1750">
        <v>1.098393</v>
      </c>
      <c r="L1750">
        <v>310.2201</v>
      </c>
      <c r="M1750">
        <v>-0.14020369999999999</v>
      </c>
      <c r="N1750">
        <v>0</v>
      </c>
      <c r="O1750">
        <v>-0.99001589999999995</v>
      </c>
      <c r="P1750">
        <v>-0.27400049999999998</v>
      </c>
      <c r="Q1750">
        <v>1.087515E-2</v>
      </c>
      <c r="R1750">
        <v>-0.96166799999999997</v>
      </c>
      <c r="S1750">
        <v>-1.58882099999999</v>
      </c>
      <c r="T1750">
        <v>-0.16709270000000001</v>
      </c>
      <c r="U1750">
        <v>-2.6768190000000001</v>
      </c>
      <c r="V1750">
        <v>0.13683779999999901</v>
      </c>
      <c r="W1750">
        <v>2.3090039999999999E-2</v>
      </c>
      <c r="X1750">
        <v>0.99032430000000005</v>
      </c>
      <c r="Y1750">
        <v>0.38402909999999901</v>
      </c>
      <c r="Z1750">
        <v>5.4574780000000003E-2</v>
      </c>
      <c r="AA1750">
        <v>0.92170669999999899</v>
      </c>
      <c r="AB1750">
        <v>24</v>
      </c>
      <c r="AC1750">
        <v>-9.6409000000000091</v>
      </c>
      <c r="AD1750">
        <v>-1.0183929899999999</v>
      </c>
      <c r="AE1750">
        <v>-16.072199999999999</v>
      </c>
      <c r="AF1750">
        <v>7.2705665446955301</v>
      </c>
      <c r="AG1750">
        <v>-1.0183929899999999</v>
      </c>
      <c r="AH1750">
        <v>17.214422142269299</v>
      </c>
      <c r="AI1750">
        <v>93.119414513831501</v>
      </c>
      <c r="AJ1750">
        <v>67.103078836592402</v>
      </c>
      <c r="AK1750">
        <v>18.714555614686098</v>
      </c>
    </row>
    <row r="1751" spans="1:37" x14ac:dyDescent="0.2">
      <c r="A1751" t="str">
        <f>"20200111155532939"</f>
        <v>20200111155532939</v>
      </c>
      <c r="B1751" t="str">
        <f>"1578729332934336"</f>
        <v>1578729332934336</v>
      </c>
      <c r="C1751" t="s">
        <v>37</v>
      </c>
      <c r="D1751">
        <v>4.026713</v>
      </c>
      <c r="E1751">
        <v>0.60412650000000001</v>
      </c>
      <c r="F1751" t="s">
        <v>56</v>
      </c>
      <c r="G1751">
        <v>-200.56819999999999</v>
      </c>
      <c r="H1751">
        <v>8.0000080000000001E-2</v>
      </c>
      <c r="I1751">
        <v>293.91329999999999</v>
      </c>
      <c r="J1751">
        <v>-190.7533</v>
      </c>
      <c r="K1751">
        <v>1.0982969999999901</v>
      </c>
      <c r="L1751">
        <v>309.98149999999998</v>
      </c>
      <c r="M1751">
        <v>-0.150331399999999</v>
      </c>
      <c r="N1751">
        <v>0</v>
      </c>
      <c r="O1751">
        <v>-0.98852819999999997</v>
      </c>
      <c r="P1751">
        <v>-0.28173670000000001</v>
      </c>
      <c r="Q1751">
        <v>1.053139E-2</v>
      </c>
      <c r="R1751">
        <v>-0.95943389999999995</v>
      </c>
      <c r="S1751">
        <v>-1.610077</v>
      </c>
      <c r="T1751">
        <v>-0.1662911</v>
      </c>
      <c r="U1751">
        <v>-2.6626889999999999</v>
      </c>
      <c r="V1751">
        <v>0.13467470000000001</v>
      </c>
      <c r="W1751">
        <v>2.2783520000000002E-2</v>
      </c>
      <c r="X1751">
        <v>0.99062790000000001</v>
      </c>
      <c r="Y1751">
        <v>0.38213509999999901</v>
      </c>
      <c r="Z1751">
        <v>5.435475E-2</v>
      </c>
      <c r="AA1751">
        <v>0.92250650000000001</v>
      </c>
      <c r="AB1751">
        <v>24</v>
      </c>
      <c r="AC1751">
        <v>-9.8148999999999909</v>
      </c>
      <c r="AD1751">
        <v>-1.0182969199999901</v>
      </c>
      <c r="AE1751">
        <v>-16.068199999999901</v>
      </c>
      <c r="AF1751">
        <v>7.2662716356191099</v>
      </c>
      <c r="AG1751">
        <v>-1.0182969199999901</v>
      </c>
      <c r="AH1751">
        <v>17.310569484362201</v>
      </c>
      <c r="AI1751">
        <v>93.104703716678799</v>
      </c>
      <c r="AJ1751">
        <v>67.229320925285407</v>
      </c>
      <c r="AK1751">
        <v>18.801368247359498</v>
      </c>
    </row>
    <row r="1752" spans="1:37" x14ac:dyDescent="0.2">
      <c r="A1752" t="str">
        <f>"20200111155532962"</f>
        <v>20200111155532962</v>
      </c>
      <c r="B1752" t="str">
        <f>"1578729332953857"</f>
        <v>1578729332953857</v>
      </c>
      <c r="C1752" t="s">
        <v>37</v>
      </c>
      <c r="D1752">
        <v>4.0668280000000001</v>
      </c>
      <c r="E1752">
        <v>0.66125259999999997</v>
      </c>
      <c r="F1752" t="s">
        <v>56</v>
      </c>
      <c r="G1752">
        <v>-200.72720000000001</v>
      </c>
      <c r="H1752">
        <v>8.0000070000000006E-2</v>
      </c>
      <c r="I1752">
        <v>293.786</v>
      </c>
      <c r="J1752">
        <v>-190.80289999999999</v>
      </c>
      <c r="K1752">
        <v>1.098214</v>
      </c>
      <c r="L1752">
        <v>309.73669999999998</v>
      </c>
      <c r="M1752">
        <v>-0.1609013</v>
      </c>
      <c r="N1752">
        <v>0</v>
      </c>
      <c r="O1752">
        <v>-0.98686260000000003</v>
      </c>
      <c r="P1752">
        <v>-0.28894599999999998</v>
      </c>
      <c r="Q1752">
        <v>1.032979E-2</v>
      </c>
      <c r="R1752">
        <v>-0.95728989999999903</v>
      </c>
      <c r="S1752">
        <v>-1.631729</v>
      </c>
      <c r="T1752">
        <v>-0.1665924</v>
      </c>
      <c r="U1752">
        <v>-2.6495669999999998</v>
      </c>
      <c r="V1752">
        <v>0.1315259</v>
      </c>
      <c r="W1752">
        <v>2.2640500000000001E-2</v>
      </c>
      <c r="X1752">
        <v>0.9910542</v>
      </c>
      <c r="Y1752">
        <v>0.37974999999999998</v>
      </c>
      <c r="Z1752">
        <v>5.4463480000000002E-2</v>
      </c>
      <c r="AA1752">
        <v>0.92348459999999999</v>
      </c>
      <c r="AB1752">
        <v>24</v>
      </c>
      <c r="AC1752">
        <v>-9.9243000000000094</v>
      </c>
      <c r="AD1752">
        <v>-1.0182139299999999</v>
      </c>
      <c r="AE1752">
        <v>-15.9506999999999</v>
      </c>
      <c r="AF1752">
        <v>7.2070298860560804</v>
      </c>
      <c r="AG1752">
        <v>-1.0182139299999999</v>
      </c>
      <c r="AH1752">
        <v>17.289038821324699</v>
      </c>
      <c r="AI1752">
        <v>93.111518374706904</v>
      </c>
      <c r="AJ1752">
        <v>67.370919738966094</v>
      </c>
      <c r="AK1752">
        <v>18.7587020540075</v>
      </c>
    </row>
    <row r="1753" spans="1:37" x14ac:dyDescent="0.2">
      <c r="A1753" t="str">
        <f>"20200111155532983"</f>
        <v>20200111155532983</v>
      </c>
      <c r="B1753" t="str">
        <f>"1578729332974352"</f>
        <v>1578729332974352</v>
      </c>
      <c r="C1753" t="s">
        <v>37</v>
      </c>
      <c r="D1753">
        <v>3.92972399999999</v>
      </c>
      <c r="E1753">
        <v>0.66183040000000004</v>
      </c>
      <c r="F1753" t="s">
        <v>58</v>
      </c>
      <c r="G1753">
        <v>-232.9881</v>
      </c>
      <c r="H1753">
        <v>4.7612059999999996</v>
      </c>
      <c r="I1753">
        <v>259.84780000000001</v>
      </c>
      <c r="J1753">
        <v>-190.85159999999999</v>
      </c>
      <c r="K1753">
        <v>1.0981540000000001</v>
      </c>
      <c r="L1753">
        <v>309.50889999999998</v>
      </c>
      <c r="M1753">
        <v>-0.17085310000000001</v>
      </c>
      <c r="N1753">
        <v>0</v>
      </c>
      <c r="O1753">
        <v>-0.98518790000000001</v>
      </c>
      <c r="P1753">
        <v>-0.29621140000000001</v>
      </c>
      <c r="Q1753">
        <v>1.023109E-2</v>
      </c>
      <c r="R1753">
        <v>-0.95506769999999996</v>
      </c>
      <c r="S1753">
        <v>-2.1098020000000002</v>
      </c>
      <c r="T1753">
        <v>0.18319679999999999</v>
      </c>
      <c r="U1753">
        <v>-2.4950869999999998</v>
      </c>
      <c r="V1753">
        <v>0.12905510000000001</v>
      </c>
      <c r="W1753">
        <v>2.2592350000000001E-2</v>
      </c>
      <c r="X1753">
        <v>0.99137999999999904</v>
      </c>
      <c r="Y1753">
        <v>0.50463820000000004</v>
      </c>
      <c r="Z1753">
        <v>-5.7749420000000003E-2</v>
      </c>
      <c r="AA1753">
        <v>0.86139730000000003</v>
      </c>
      <c r="AB1753">
        <v>24</v>
      </c>
      <c r="AC1753">
        <v>-42.136499999999998</v>
      </c>
      <c r="AD1753">
        <v>3.6630519999999902</v>
      </c>
      <c r="AE1753">
        <v>-49.661099999999898</v>
      </c>
      <c r="AF1753">
        <v>32.926992791894598</v>
      </c>
      <c r="AG1753">
        <v>3.6630519999999902</v>
      </c>
      <c r="AH1753">
        <v>55.9536730939233</v>
      </c>
      <c r="AI1753">
        <v>86.770712586971499</v>
      </c>
      <c r="AJ1753">
        <v>59.524515031098304</v>
      </c>
      <c r="AK1753">
        <v>65.026289583320207</v>
      </c>
    </row>
    <row r="1754" spans="1:37" x14ac:dyDescent="0.2">
      <c r="A1754" t="str">
        <f>"20200111155533006"</f>
        <v>20200111155533006</v>
      </c>
      <c r="B1754" t="str">
        <f>"1578729332993872"</f>
        <v>1578729332993872</v>
      </c>
      <c r="C1754" t="s">
        <v>37</v>
      </c>
      <c r="D1754">
        <v>4.109693</v>
      </c>
      <c r="E1754">
        <v>0.66066659999999999</v>
      </c>
      <c r="F1754" t="s">
        <v>58</v>
      </c>
      <c r="G1754">
        <v>-232.9881</v>
      </c>
      <c r="H1754">
        <v>4.7256349999999996</v>
      </c>
      <c r="I1754">
        <v>260.56760000000003</v>
      </c>
      <c r="J1754">
        <v>-190.90479999999999</v>
      </c>
      <c r="K1754">
        <v>1.0981019999999999</v>
      </c>
      <c r="L1754">
        <v>309.272999999999</v>
      </c>
      <c r="M1754">
        <v>-0.1812687</v>
      </c>
      <c r="N1754">
        <v>0</v>
      </c>
      <c r="O1754">
        <v>-0.98332459999999899</v>
      </c>
      <c r="P1754">
        <v>-0.30401840000000002</v>
      </c>
      <c r="Q1754">
        <v>8.6791209999999997E-3</v>
      </c>
      <c r="R1754">
        <v>-0.95262659999999999</v>
      </c>
      <c r="S1754">
        <v>-2.13308699999999</v>
      </c>
      <c r="T1754">
        <v>0.1836354</v>
      </c>
      <c r="U1754">
        <v>-2.4775700000000001</v>
      </c>
      <c r="V1754">
        <v>0.12665190000000001</v>
      </c>
      <c r="W1754">
        <v>2.109401E-2</v>
      </c>
      <c r="X1754">
        <v>0.99172289999999996</v>
      </c>
      <c r="Y1754">
        <v>0.50316660000000002</v>
      </c>
      <c r="Z1754">
        <v>-5.7900470000000002E-2</v>
      </c>
      <c r="AA1754">
        <v>0.8622476</v>
      </c>
      <c r="AB1754">
        <v>24</v>
      </c>
      <c r="AC1754">
        <v>-42.083300000000001</v>
      </c>
      <c r="AD1754">
        <v>3.6275330000000001</v>
      </c>
      <c r="AE1754">
        <v>-48.705399999999898</v>
      </c>
      <c r="AF1754">
        <v>32.4531972839942</v>
      </c>
      <c r="AG1754">
        <v>3.6275330000000001</v>
      </c>
      <c r="AH1754">
        <v>55.351756738616899</v>
      </c>
      <c r="AI1754">
        <v>86.764211819908994</v>
      </c>
      <c r="AJ1754">
        <v>59.6165478829016</v>
      </c>
      <c r="AK1754">
        <v>64.2665230401564</v>
      </c>
    </row>
    <row r="1755" spans="1:37" x14ac:dyDescent="0.2">
      <c r="A1755" t="str">
        <f>"20200111155533029"</f>
        <v>20200111155533029</v>
      </c>
      <c r="B1755" t="str">
        <f>"1578729333024128"</f>
        <v>1578729333024128</v>
      </c>
      <c r="C1755" t="s">
        <v>37</v>
      </c>
      <c r="D1755">
        <v>4.1020570000000003</v>
      </c>
      <c r="E1755">
        <v>0.66029069999999901</v>
      </c>
      <c r="F1755" t="s">
        <v>58</v>
      </c>
      <c r="G1755">
        <v>-233.1191</v>
      </c>
      <c r="H1755">
        <v>4.4324170000000001</v>
      </c>
      <c r="I1755">
        <v>260.77730000000003</v>
      </c>
      <c r="J1755">
        <v>-190.96109999999999</v>
      </c>
      <c r="K1755">
        <v>1.0980620000000001</v>
      </c>
      <c r="L1755">
        <v>309.03539999999998</v>
      </c>
      <c r="M1755">
        <v>-0.19185869999999999</v>
      </c>
      <c r="N1755">
        <v>0</v>
      </c>
      <c r="O1755">
        <v>-0.98131299999999899</v>
      </c>
      <c r="P1755">
        <v>-0.31367209999999901</v>
      </c>
      <c r="Q1755">
        <v>7.561908E-3</v>
      </c>
      <c r="R1755">
        <v>-0.9495017</v>
      </c>
      <c r="S1755">
        <v>-2.1442570000000001</v>
      </c>
      <c r="T1755">
        <v>0.16936519999999999</v>
      </c>
      <c r="U1755">
        <v>-2.4633180000000001</v>
      </c>
      <c r="V1755">
        <v>0.12600810000000001</v>
      </c>
      <c r="W1755">
        <v>1.9998470000000001E-2</v>
      </c>
      <c r="X1755">
        <v>0.99182760000000003</v>
      </c>
      <c r="Y1755">
        <v>0.49870009999999998</v>
      </c>
      <c r="Z1755">
        <v>-5.348613E-2</v>
      </c>
      <c r="AA1755">
        <v>0.86512279999999997</v>
      </c>
      <c r="AB1755">
        <v>24</v>
      </c>
      <c r="AC1755">
        <v>-42.158000000000001</v>
      </c>
      <c r="AD1755">
        <v>3.334355</v>
      </c>
      <c r="AE1755">
        <v>-48.258099999999899</v>
      </c>
      <c r="AF1755">
        <v>32.028189645817697</v>
      </c>
      <c r="AG1755">
        <v>3.334355</v>
      </c>
      <c r="AH1755">
        <v>55.300907641033596</v>
      </c>
      <c r="AI1755">
        <v>87.013254490555298</v>
      </c>
      <c r="AJ1755">
        <v>59.922203509497102</v>
      </c>
      <c r="AK1755">
        <v>63.993071821694997</v>
      </c>
    </row>
    <row r="1756" spans="1:37" x14ac:dyDescent="0.2">
      <c r="A1756" t="str">
        <f>"20200111155533050"</f>
        <v>20200111155533050</v>
      </c>
      <c r="B1756" t="str">
        <f>"1578729333043649"</f>
        <v>1578729333043649</v>
      </c>
      <c r="C1756" t="s">
        <v>37</v>
      </c>
      <c r="D1756">
        <v>3.91300599999999</v>
      </c>
      <c r="E1756">
        <v>0.66057809999999995</v>
      </c>
      <c r="F1756" t="s">
        <v>58</v>
      </c>
      <c r="G1756">
        <v>-233.3014</v>
      </c>
      <c r="H1756">
        <v>4.3269000000000002</v>
      </c>
      <c r="I1756">
        <v>261.29989999999998</v>
      </c>
      <c r="J1756">
        <v>-191.01830000000001</v>
      </c>
      <c r="K1756">
        <v>1.0980299999999901</v>
      </c>
      <c r="L1756">
        <v>308.80529999999999</v>
      </c>
      <c r="M1756">
        <v>-0.20220350000000001</v>
      </c>
      <c r="N1756">
        <v>0</v>
      </c>
      <c r="O1756">
        <v>-0.97923369999999998</v>
      </c>
      <c r="P1756">
        <v>-0.32431739999999998</v>
      </c>
      <c r="Q1756">
        <v>6.8529419999999999E-3</v>
      </c>
      <c r="R1756">
        <v>-0.94592369999999903</v>
      </c>
      <c r="S1756">
        <v>-2.1664729999999999</v>
      </c>
      <c r="T1756">
        <v>0.16521369999999999</v>
      </c>
      <c r="U1756">
        <v>-2.4425349999999999</v>
      </c>
      <c r="V1756">
        <v>0.12667049999999999</v>
      </c>
      <c r="W1756">
        <v>1.928765E-2</v>
      </c>
      <c r="X1756">
        <v>0.99175729999999995</v>
      </c>
      <c r="Y1756">
        <v>0.49765799999999999</v>
      </c>
      <c r="Z1756">
        <v>-5.2221660000000003E-2</v>
      </c>
      <c r="AA1756">
        <v>0.86579980000000001</v>
      </c>
      <c r="AB1756">
        <v>24</v>
      </c>
      <c r="AC1756">
        <v>-42.283099999999898</v>
      </c>
      <c r="AD1756">
        <v>3.2288700000000001</v>
      </c>
      <c r="AE1756">
        <v>-47.505400000000002</v>
      </c>
      <c r="AF1756">
        <v>31.720933672853899</v>
      </c>
      <c r="AG1756">
        <v>3.2288700000000001</v>
      </c>
      <c r="AH1756">
        <v>54.933005406845098</v>
      </c>
      <c r="AI1756">
        <v>87.0860808585401</v>
      </c>
      <c r="AJ1756">
        <v>59.995816488297798</v>
      </c>
      <c r="AK1756">
        <v>63.515968996646599</v>
      </c>
    </row>
    <row r="1757" spans="1:37" x14ac:dyDescent="0.2">
      <c r="A1757" t="str">
        <f>"20200111155533073"</f>
        <v>20200111155533073</v>
      </c>
      <c r="B1757" t="str">
        <f>"1578729333064144"</f>
        <v>1578729333064144</v>
      </c>
      <c r="C1757" t="s">
        <v>37</v>
      </c>
      <c r="D1757">
        <v>3.8394199999999898</v>
      </c>
      <c r="E1757">
        <v>0.66099580000000002</v>
      </c>
      <c r="F1757" t="s">
        <v>58</v>
      </c>
      <c r="G1757">
        <v>-233.3014</v>
      </c>
      <c r="H1757">
        <v>4.2445349999999999</v>
      </c>
      <c r="I1757">
        <v>262.2559</v>
      </c>
      <c r="J1757">
        <v>-191.0806</v>
      </c>
      <c r="K1757">
        <v>1.098009</v>
      </c>
      <c r="L1757">
        <v>308.5659</v>
      </c>
      <c r="M1757">
        <v>-0.21303510000000001</v>
      </c>
      <c r="N1757">
        <v>0</v>
      </c>
      <c r="O1757">
        <v>-0.97693399999999997</v>
      </c>
      <c r="P1757">
        <v>-0.33602969999999999</v>
      </c>
      <c r="Q1757">
        <v>6.053419E-3</v>
      </c>
      <c r="R1757">
        <v>-0.94183189999999894</v>
      </c>
      <c r="S1757">
        <v>-2.195862</v>
      </c>
      <c r="T1757">
        <v>0.16340569999999999</v>
      </c>
      <c r="U1757">
        <v>-2.41741899999999</v>
      </c>
      <c r="V1757">
        <v>0.12798029999999999</v>
      </c>
      <c r="W1757">
        <v>1.8474310000000001E-2</v>
      </c>
      <c r="X1757">
        <v>0.99160459999999995</v>
      </c>
      <c r="Y1757">
        <v>0.49832349999999997</v>
      </c>
      <c r="Z1757">
        <v>-5.1670720000000003E-2</v>
      </c>
      <c r="AA1757">
        <v>0.8654501</v>
      </c>
      <c r="AB1757">
        <v>24</v>
      </c>
      <c r="AC1757">
        <v>-42.220799999999997</v>
      </c>
      <c r="AD1757">
        <v>3.1465259999999899</v>
      </c>
      <c r="AE1757">
        <v>-46.31</v>
      </c>
      <c r="AF1757">
        <v>31.305746586885601</v>
      </c>
      <c r="AG1757">
        <v>3.1465259999999899</v>
      </c>
      <c r="AH1757">
        <v>54.105782130996303</v>
      </c>
      <c r="AI1757">
        <v>87.118365623467398</v>
      </c>
      <c r="AJ1757">
        <v>59.946213935780001</v>
      </c>
      <c r="AK1757">
        <v>62.589025038243101</v>
      </c>
    </row>
    <row r="1758" spans="1:37" x14ac:dyDescent="0.2">
      <c r="A1758" t="str">
        <f>"20200111155533095"</f>
        <v>20200111155533095</v>
      </c>
      <c r="B1758" t="str">
        <f>"1578729333083664"</f>
        <v>1578729333083664</v>
      </c>
      <c r="C1758" t="s">
        <v>37</v>
      </c>
      <c r="D1758">
        <v>3.9390830000000001</v>
      </c>
      <c r="E1758">
        <v>0.66104469999999904</v>
      </c>
      <c r="F1758" t="s">
        <v>58</v>
      </c>
      <c r="G1758">
        <v>-232.9879</v>
      </c>
      <c r="H1758">
        <v>4.1367079999999996</v>
      </c>
      <c r="I1758">
        <v>263.63279999999997</v>
      </c>
      <c r="J1758">
        <v>-191.142</v>
      </c>
      <c r="K1758">
        <v>1.0979909999999999</v>
      </c>
      <c r="L1758">
        <v>308.34039999999999</v>
      </c>
      <c r="M1758">
        <v>-0.22330419999999901</v>
      </c>
      <c r="N1758">
        <v>0</v>
      </c>
      <c r="O1758">
        <v>-0.97463789999999995</v>
      </c>
      <c r="P1758">
        <v>-0.34695909999999902</v>
      </c>
      <c r="Q1758">
        <v>5.3381380000000001E-3</v>
      </c>
      <c r="R1758">
        <v>-0.93786530000000001</v>
      </c>
      <c r="S1758">
        <v>-2.2283330000000001</v>
      </c>
      <c r="T1758">
        <v>0.16157650000000001</v>
      </c>
      <c r="U1758">
        <v>-2.389221</v>
      </c>
      <c r="V1758">
        <v>0.1290636</v>
      </c>
      <c r="W1758">
        <v>1.7748199999999999E-2</v>
      </c>
      <c r="X1758">
        <v>0.99147750000000001</v>
      </c>
      <c r="Y1758">
        <v>0.50061169999999999</v>
      </c>
      <c r="Z1758">
        <v>-5.1112150000000002E-2</v>
      </c>
      <c r="AA1758">
        <v>0.86416179999999998</v>
      </c>
      <c r="AB1758">
        <v>24</v>
      </c>
      <c r="AC1758">
        <v>-41.8459</v>
      </c>
      <c r="AD1758">
        <v>3.0387170000000001</v>
      </c>
      <c r="AE1758">
        <v>-44.707599999999999</v>
      </c>
      <c r="AF1758">
        <v>30.728867187432598</v>
      </c>
      <c r="AG1758">
        <v>3.0387170000000001</v>
      </c>
      <c r="AH1758">
        <v>52.793806018081398</v>
      </c>
      <c r="AI1758">
        <v>87.152155516349893</v>
      </c>
      <c r="AJ1758">
        <v>59.798266541937103</v>
      </c>
      <c r="AK1758">
        <v>61.161123546774199</v>
      </c>
    </row>
    <row r="1759" spans="1:37" x14ac:dyDescent="0.2">
      <c r="A1759" t="str">
        <f>"20200111155533119"</f>
        <v>20200111155533119</v>
      </c>
      <c r="B1759" t="str">
        <f>"1578729333113920"</f>
        <v>1578729333113920</v>
      </c>
      <c r="C1759" t="s">
        <v>37</v>
      </c>
      <c r="D1759">
        <v>3.9891549999999998</v>
      </c>
      <c r="E1759">
        <v>0.66013630000000001</v>
      </c>
      <c r="F1759" t="s">
        <v>58</v>
      </c>
      <c r="G1759">
        <v>-232.9879</v>
      </c>
      <c r="H1759">
        <v>4.0362499999999999</v>
      </c>
      <c r="I1759">
        <v>264.50709999999998</v>
      </c>
      <c r="J1759">
        <v>-191.21080000000001</v>
      </c>
      <c r="K1759">
        <v>1.0979719999999999</v>
      </c>
      <c r="L1759">
        <v>308.09780000000001</v>
      </c>
      <c r="M1759">
        <v>-0.2343961</v>
      </c>
      <c r="N1759">
        <v>0</v>
      </c>
      <c r="O1759">
        <v>-0.9720299</v>
      </c>
      <c r="P1759">
        <v>-0.35842279999999999</v>
      </c>
      <c r="Q1759">
        <v>4.364138E-3</v>
      </c>
      <c r="R1759">
        <v>-0.93354959999999898</v>
      </c>
      <c r="S1759">
        <v>-2.2560419999999999</v>
      </c>
      <c r="T1759">
        <v>0.15841079999999999</v>
      </c>
      <c r="U1759">
        <v>-2.3631899999999999</v>
      </c>
      <c r="V1759">
        <v>0.1298947</v>
      </c>
      <c r="W1759">
        <v>1.676797E-2</v>
      </c>
      <c r="X1759">
        <v>0.99138599999999999</v>
      </c>
      <c r="Y1759">
        <v>0.50084200000000001</v>
      </c>
      <c r="Z1759">
        <v>-5.0131389999999998E-2</v>
      </c>
      <c r="AA1759">
        <v>0.86408569999999996</v>
      </c>
      <c r="AB1759">
        <v>24</v>
      </c>
      <c r="AC1759">
        <v>-41.777099999999898</v>
      </c>
      <c r="AD1759">
        <v>2.9382779999999999</v>
      </c>
      <c r="AE1759">
        <v>-43.590699999999998</v>
      </c>
      <c r="AF1759">
        <v>30.322576111254602</v>
      </c>
      <c r="AG1759">
        <v>2.9382779999999999</v>
      </c>
      <c r="AH1759">
        <v>52.046236941998202</v>
      </c>
      <c r="AI1759">
        <v>87.207317014937999</v>
      </c>
      <c r="AJ1759">
        <v>59.774561869518202</v>
      </c>
      <c r="AK1759">
        <v>60.3067399172823</v>
      </c>
    </row>
    <row r="1760" spans="1:37" x14ac:dyDescent="0.2">
      <c r="A1760" t="str">
        <f>"20200111155533140"</f>
        <v>20200111155533140</v>
      </c>
      <c r="B1760" t="str">
        <f>"1578729333134416"</f>
        <v>1578729333134416</v>
      </c>
      <c r="C1760" t="s">
        <v>37</v>
      </c>
      <c r="D1760">
        <v>3.9731269999999999</v>
      </c>
      <c r="E1760">
        <v>0.65942840000000003</v>
      </c>
      <c r="F1760" t="s">
        <v>58</v>
      </c>
      <c r="G1760">
        <v>-233.0325</v>
      </c>
      <c r="H1760">
        <v>3.8919919999999899</v>
      </c>
      <c r="I1760">
        <v>265.15929999999997</v>
      </c>
      <c r="J1760">
        <v>-191.27459999999999</v>
      </c>
      <c r="K1760">
        <v>1.0979669999999999</v>
      </c>
      <c r="L1760">
        <v>307.88290000000001</v>
      </c>
      <c r="M1760">
        <v>-0.24426049999999999</v>
      </c>
      <c r="N1760">
        <v>0</v>
      </c>
      <c r="O1760">
        <v>-0.96959779999999995</v>
      </c>
      <c r="P1760">
        <v>-0.36795609999999901</v>
      </c>
      <c r="Q1760">
        <v>3.2235639999999999E-3</v>
      </c>
      <c r="R1760">
        <v>-0.92983780000000005</v>
      </c>
      <c r="S1760">
        <v>-2.2775569999999998</v>
      </c>
      <c r="T1760">
        <v>0.1521593</v>
      </c>
      <c r="U1760">
        <v>-2.3383790000000002</v>
      </c>
      <c r="V1760">
        <v>0.129945</v>
      </c>
      <c r="W1760">
        <v>1.5635159999999999E-2</v>
      </c>
      <c r="X1760">
        <v>0.99139789999999905</v>
      </c>
      <c r="Y1760">
        <v>0.50077249999999995</v>
      </c>
      <c r="Z1760">
        <v>-4.8209990000000001E-2</v>
      </c>
      <c r="AA1760">
        <v>0.86423530000000004</v>
      </c>
      <c r="AB1760">
        <v>24</v>
      </c>
      <c r="AC1760">
        <v>-41.757899999999999</v>
      </c>
      <c r="AD1760">
        <v>2.7940249999999902</v>
      </c>
      <c r="AE1760">
        <v>-42.723599999999998</v>
      </c>
      <c r="AF1760">
        <v>29.9903418210457</v>
      </c>
      <c r="AG1760">
        <v>2.7940249999999902</v>
      </c>
      <c r="AH1760">
        <v>51.517429406653697</v>
      </c>
      <c r="AI1760">
        <v>87.316453657651095</v>
      </c>
      <c r="AJ1760">
        <v>59.794615429566399</v>
      </c>
      <c r="AK1760">
        <v>59.676399949337899</v>
      </c>
    </row>
    <row r="1761" spans="1:37" x14ac:dyDescent="0.2">
      <c r="A1761" t="str">
        <f>"20200111155533163"</f>
        <v>20200111155533163</v>
      </c>
      <c r="B1761" t="str">
        <f>"1578729333153938"</f>
        <v>1578729333153938</v>
      </c>
      <c r="C1761" t="s">
        <v>37</v>
      </c>
      <c r="D1761">
        <v>5.2494559999999897</v>
      </c>
      <c r="E1761">
        <v>0.6589431</v>
      </c>
      <c r="F1761" t="s">
        <v>58</v>
      </c>
      <c r="G1761">
        <v>-233.30119999999999</v>
      </c>
      <c r="H1761">
        <v>3.7377820000000002</v>
      </c>
      <c r="I1761">
        <v>265.46609999999998</v>
      </c>
      <c r="J1761">
        <v>-191.3493</v>
      </c>
      <c r="K1761">
        <v>1.0979669999999999</v>
      </c>
      <c r="L1761">
        <v>307.640999999999</v>
      </c>
      <c r="M1761">
        <v>-0.25539729999999999</v>
      </c>
      <c r="N1761">
        <v>0</v>
      </c>
      <c r="O1761">
        <v>-0.96672369999999996</v>
      </c>
      <c r="P1761">
        <v>-0.37816719999999998</v>
      </c>
      <c r="Q1761">
        <v>2.2705669999999998E-3</v>
      </c>
      <c r="R1761">
        <v>-0.92573459999999996</v>
      </c>
      <c r="S1761">
        <v>-2.2959749999999999</v>
      </c>
      <c r="T1761">
        <v>0.14421700000000001</v>
      </c>
      <c r="U1761">
        <v>-2.317291</v>
      </c>
      <c r="V1761">
        <v>0.12943479999999999</v>
      </c>
      <c r="W1761">
        <v>1.4703519999999999E-2</v>
      </c>
      <c r="X1761">
        <v>0.99147890000000005</v>
      </c>
      <c r="Y1761">
        <v>0.49829430000000002</v>
      </c>
      <c r="Z1761">
        <v>-4.5716109999999997E-2</v>
      </c>
      <c r="AA1761">
        <v>0.86580179999999995</v>
      </c>
      <c r="AB1761">
        <v>23</v>
      </c>
      <c r="AC1761">
        <v>-41.951900000000002</v>
      </c>
      <c r="AD1761">
        <v>2.639815</v>
      </c>
      <c r="AE1761">
        <v>-42.174899999999901</v>
      </c>
      <c r="AF1761">
        <v>29.7292352230637</v>
      </c>
      <c r="AG1761">
        <v>2.639815</v>
      </c>
      <c r="AH1761">
        <v>51.390276236518801</v>
      </c>
      <c r="AI1761">
        <v>87.454086352780095</v>
      </c>
      <c r="AJ1761">
        <v>59.950651617536003</v>
      </c>
      <c r="AK1761">
        <v>59.428583542334103</v>
      </c>
    </row>
    <row r="1762" spans="1:37" x14ac:dyDescent="0.2">
      <c r="A1762" t="str">
        <f>"20200111155533185"</f>
        <v>20200111155533185</v>
      </c>
      <c r="B1762" t="str">
        <f>"1578729333174431"</f>
        <v>1578729333174431</v>
      </c>
      <c r="C1762" t="s">
        <v>37</v>
      </c>
      <c r="D1762">
        <v>5.1160569999999996</v>
      </c>
      <c r="E1762">
        <v>0.57917220000000003</v>
      </c>
      <c r="F1762" t="s">
        <v>58</v>
      </c>
      <c r="G1762">
        <v>-233.30109999999999</v>
      </c>
      <c r="H1762">
        <v>3.5551659999999998</v>
      </c>
      <c r="I1762">
        <v>266.12799999999999</v>
      </c>
      <c r="J1762">
        <v>-191.4177</v>
      </c>
      <c r="K1762">
        <v>1.0979809999999901</v>
      </c>
      <c r="L1762">
        <v>307.42750000000001</v>
      </c>
      <c r="M1762">
        <v>-0.26523969999999902</v>
      </c>
      <c r="N1762">
        <v>0</v>
      </c>
      <c r="O1762">
        <v>-0.96406979999999998</v>
      </c>
      <c r="P1762">
        <v>-0.38588030000000001</v>
      </c>
      <c r="Q1762">
        <v>1.6387960000000001E-3</v>
      </c>
      <c r="R1762">
        <v>-0.92254760000000002</v>
      </c>
      <c r="S1762">
        <v>-2.3177639999999999</v>
      </c>
      <c r="T1762">
        <v>0.13575589999999901</v>
      </c>
      <c r="U1762">
        <v>-2.2935180000000002</v>
      </c>
      <c r="V1762">
        <v>0.12758989999999901</v>
      </c>
      <c r="W1762">
        <v>1.4116119999999999E-2</v>
      </c>
      <c r="X1762">
        <v>0.99172660000000001</v>
      </c>
      <c r="Y1762">
        <v>0.498096599999999</v>
      </c>
      <c r="Z1762">
        <v>-4.3054420000000003E-2</v>
      </c>
      <c r="AA1762">
        <v>0.86605200000000004</v>
      </c>
      <c r="AB1762">
        <v>23</v>
      </c>
      <c r="AC1762">
        <v>-41.883400000000002</v>
      </c>
      <c r="AD1762">
        <v>2.457185</v>
      </c>
      <c r="AE1762">
        <v>-41.299500000000002</v>
      </c>
      <c r="AF1762">
        <v>29.376187966499</v>
      </c>
      <c r="AG1762">
        <v>2.457185</v>
      </c>
      <c r="AH1762">
        <v>50.841552847114599</v>
      </c>
      <c r="AI1762">
        <v>87.603736172291406</v>
      </c>
      <c r="AJ1762">
        <v>59.9807297701837</v>
      </c>
      <c r="AK1762">
        <v>58.769564176308599</v>
      </c>
    </row>
    <row r="1763" spans="1:37" x14ac:dyDescent="0.2">
      <c r="A1763" t="str">
        <f>"20200111155533206"</f>
        <v>20200111155533206</v>
      </c>
      <c r="B1763" t="str">
        <f>"1578729333193951"</f>
        <v>1578729333193951</v>
      </c>
      <c r="C1763" t="s">
        <v>37</v>
      </c>
      <c r="D1763">
        <v>5.1564699999999997</v>
      </c>
      <c r="E1763">
        <v>0.57836709999999902</v>
      </c>
      <c r="F1763" t="s">
        <v>56</v>
      </c>
      <c r="G1763">
        <v>-198.90710000000001</v>
      </c>
      <c r="H1763" s="1">
        <v>5.5780159999999996E-7</v>
      </c>
      <c r="I1763">
        <v>296.44909999999999</v>
      </c>
      <c r="J1763">
        <v>-191.49039999999999</v>
      </c>
      <c r="K1763">
        <v>1.0980019999999999</v>
      </c>
      <c r="L1763">
        <v>307.20859999999999</v>
      </c>
      <c r="M1763">
        <v>-0.27533959999999902</v>
      </c>
      <c r="N1763">
        <v>0</v>
      </c>
      <c r="O1763">
        <v>-0.96123400000000003</v>
      </c>
      <c r="P1763">
        <v>-0.39297109999999902</v>
      </c>
      <c r="Q1763">
        <v>3.105467E-4</v>
      </c>
      <c r="R1763">
        <v>-0.91955119999999901</v>
      </c>
      <c r="S1763">
        <v>-1.7261660000000001</v>
      </c>
      <c r="T1763">
        <v>-0.25306309999999999</v>
      </c>
      <c r="U1763">
        <v>-2.5303040000000001</v>
      </c>
      <c r="V1763">
        <v>0.124795899999999</v>
      </c>
      <c r="W1763">
        <v>1.284976E-2</v>
      </c>
      <c r="X1763">
        <v>0.99209919999999996</v>
      </c>
      <c r="Y1763">
        <v>0.31229559999999901</v>
      </c>
      <c r="Z1763">
        <v>8.2804180000000005E-2</v>
      </c>
      <c r="AA1763">
        <v>0.94636929999999997</v>
      </c>
      <c r="AB1763">
        <v>23</v>
      </c>
      <c r="AC1763">
        <v>-7.4167000000000103</v>
      </c>
      <c r="AD1763">
        <v>-1.0980014421983999</v>
      </c>
      <c r="AE1763">
        <v>-10.759499999999999</v>
      </c>
      <c r="AF1763">
        <v>4.1379083702371204</v>
      </c>
      <c r="AG1763">
        <v>-1.0980014421983999</v>
      </c>
      <c r="AH1763">
        <v>12.2990273757718</v>
      </c>
      <c r="AI1763">
        <v>94.836556224063798</v>
      </c>
      <c r="AJ1763">
        <v>71.404902997733402</v>
      </c>
      <c r="AK1763">
        <v>13.022824856287199</v>
      </c>
    </row>
    <row r="1764" spans="1:37" x14ac:dyDescent="0.2">
      <c r="A1764" t="str">
        <f>"20200111155533230"</f>
        <v>20200111155533230</v>
      </c>
      <c r="B1764" t="str">
        <f>"1578729333224208"</f>
        <v>1578729333224208</v>
      </c>
      <c r="C1764" t="s">
        <v>37</v>
      </c>
      <c r="D1764">
        <v>5.1372309999999999</v>
      </c>
      <c r="E1764">
        <v>0.57810349999999999</v>
      </c>
      <c r="F1764" t="s">
        <v>56</v>
      </c>
      <c r="G1764">
        <v>-198.84630000000001</v>
      </c>
      <c r="H1764" s="1">
        <v>5.392116E-7</v>
      </c>
      <c r="I1764">
        <v>296.55459999999999</v>
      </c>
      <c r="J1764">
        <v>-191.5728</v>
      </c>
      <c r="K1764">
        <v>1.0980319999999999</v>
      </c>
      <c r="L1764">
        <v>306.96910000000003</v>
      </c>
      <c r="M1764">
        <v>-0.28640129999999903</v>
      </c>
      <c r="N1764">
        <v>0</v>
      </c>
      <c r="O1764">
        <v>-0.95799630000000002</v>
      </c>
      <c r="P1764">
        <v>-0.40043889999999999</v>
      </c>
      <c r="Q1764">
        <v>-4.2661279999999999E-4</v>
      </c>
      <c r="R1764">
        <v>-0.91632349999999996</v>
      </c>
      <c r="S1764">
        <v>-1.7393799999999999</v>
      </c>
      <c r="T1764">
        <v>-0.2596349</v>
      </c>
      <c r="U1764">
        <v>-2.5192570000000001</v>
      </c>
      <c r="V1764">
        <v>0.12141730000000001</v>
      </c>
      <c r="W1764">
        <v>1.218605E-2</v>
      </c>
      <c r="X1764">
        <v>0.99252680000000004</v>
      </c>
      <c r="Y1764">
        <v>0.30654189999999998</v>
      </c>
      <c r="Z1764">
        <v>8.4787340000000003E-2</v>
      </c>
      <c r="AA1764">
        <v>0.94807339999999996</v>
      </c>
      <c r="AB1764">
        <v>23</v>
      </c>
      <c r="AC1764">
        <v>-7.2735000000000101</v>
      </c>
      <c r="AD1764">
        <v>-1.0980314607884001</v>
      </c>
      <c r="AE1764">
        <v>-10.4145</v>
      </c>
      <c r="AF1764">
        <v>3.9561339981902202</v>
      </c>
      <c r="AG1764">
        <v>-1.0980314607884001</v>
      </c>
      <c r="AH1764">
        <v>11.9720519795376</v>
      </c>
      <c r="AI1764">
        <v>94.977032770441696</v>
      </c>
      <c r="AJ1764">
        <v>71.713994047362505</v>
      </c>
      <c r="AK1764">
        <v>12.656488371632401</v>
      </c>
    </row>
    <row r="1765" spans="1:37" x14ac:dyDescent="0.2">
      <c r="A1765" t="str">
        <f>"20200111155533252"</f>
        <v>20200111155533252</v>
      </c>
      <c r="B1765" t="str">
        <f>"1578729333243728"</f>
        <v>1578729333243728</v>
      </c>
      <c r="C1765" t="s">
        <v>37</v>
      </c>
      <c r="D1765">
        <v>4.3433669999999998</v>
      </c>
      <c r="E1765">
        <v>0.5776308</v>
      </c>
      <c r="F1765" t="s">
        <v>56</v>
      </c>
      <c r="G1765">
        <v>-198.9271</v>
      </c>
      <c r="H1765" s="1">
        <v>5.5124239999999998E-7</v>
      </c>
      <c r="I1765">
        <v>296.48630000000003</v>
      </c>
      <c r="J1765">
        <v>-191.6516</v>
      </c>
      <c r="K1765">
        <v>1.098063</v>
      </c>
      <c r="L1765">
        <v>306.74810000000002</v>
      </c>
      <c r="M1765">
        <v>-0.29660389999999998</v>
      </c>
      <c r="N1765">
        <v>0</v>
      </c>
      <c r="O1765">
        <v>-0.95488660000000003</v>
      </c>
      <c r="P1765">
        <v>-0.40721259999999998</v>
      </c>
      <c r="Q1765">
        <v>-1.981528E-4</v>
      </c>
      <c r="R1765">
        <v>-0.91333359999999997</v>
      </c>
      <c r="S1765">
        <v>-1.7578579999999999</v>
      </c>
      <c r="T1765">
        <v>-0.26245790000000002</v>
      </c>
      <c r="U1765">
        <v>-2.505646</v>
      </c>
      <c r="V1765">
        <v>0.11818139999999901</v>
      </c>
      <c r="W1765">
        <v>1.248262E-2</v>
      </c>
      <c r="X1765">
        <v>0.9929135</v>
      </c>
      <c r="Y1765">
        <v>0.30345440000000001</v>
      </c>
      <c r="Z1765">
        <v>8.5550349999999997E-2</v>
      </c>
      <c r="AA1765">
        <v>0.94899769999999894</v>
      </c>
      <c r="AB1765">
        <v>23</v>
      </c>
      <c r="AC1765">
        <v>-7.2754999999999903</v>
      </c>
      <c r="AD1765">
        <v>-1.0980624487576001</v>
      </c>
      <c r="AE1765">
        <v>-10.2617999999999</v>
      </c>
      <c r="AF1765">
        <v>3.8744896253569401</v>
      </c>
      <c r="AG1765">
        <v>-1.0980624487576001</v>
      </c>
      <c r="AH1765">
        <v>11.8676692135771</v>
      </c>
      <c r="AI1765">
        <v>95.026613940902607</v>
      </c>
      <c r="AJ1765">
        <v>71.919467520762495</v>
      </c>
      <c r="AK1765">
        <v>12.5323175654488</v>
      </c>
    </row>
    <row r="1766" spans="1:37" x14ac:dyDescent="0.2">
      <c r="A1766" t="str">
        <f>"20200111155533274"</f>
        <v>20200111155533274</v>
      </c>
      <c r="B1766" t="str">
        <f>"1578729333264224"</f>
        <v>1578729333264224</v>
      </c>
      <c r="C1766" t="s">
        <v>37</v>
      </c>
      <c r="D1766">
        <v>5.2109220000000001</v>
      </c>
      <c r="E1766">
        <v>0.57804540000000004</v>
      </c>
      <c r="F1766" t="s">
        <v>56</v>
      </c>
      <c r="G1766">
        <v>-199.0909</v>
      </c>
      <c r="H1766" s="1">
        <v>5.8700989999999997E-7</v>
      </c>
      <c r="I1766">
        <v>296.28320000000002</v>
      </c>
      <c r="J1766">
        <v>-191.7336</v>
      </c>
      <c r="K1766">
        <v>1.098096</v>
      </c>
      <c r="L1766">
        <v>306.52550000000002</v>
      </c>
      <c r="M1766">
        <v>-0.30688409999999999</v>
      </c>
      <c r="N1766">
        <v>0</v>
      </c>
      <c r="O1766">
        <v>-0.951632699999999</v>
      </c>
      <c r="P1766">
        <v>-0.4139409</v>
      </c>
      <c r="Q1766">
        <v>-1.954371E-4</v>
      </c>
      <c r="R1766">
        <v>-0.9103038</v>
      </c>
      <c r="S1766">
        <v>-1.77302599999999</v>
      </c>
      <c r="T1766">
        <v>-0.26170329999999897</v>
      </c>
      <c r="U1766">
        <v>-2.49411</v>
      </c>
      <c r="V1766">
        <v>0.1147991</v>
      </c>
      <c r="W1766">
        <v>1.2553659999999999E-2</v>
      </c>
      <c r="X1766">
        <v>0.99330940000000001</v>
      </c>
      <c r="Y1766">
        <v>0.29910320000000001</v>
      </c>
      <c r="Z1766">
        <v>8.5123439999999995E-2</v>
      </c>
      <c r="AA1766">
        <v>0.95041640000000005</v>
      </c>
      <c r="AB1766">
        <v>23</v>
      </c>
      <c r="AC1766">
        <v>-7.3573000000000004</v>
      </c>
      <c r="AD1766">
        <v>-1.0980954129900999</v>
      </c>
      <c r="AE1766">
        <v>-10.2423</v>
      </c>
      <c r="AF1766">
        <v>3.8296310311251598</v>
      </c>
      <c r="AG1766">
        <v>-1.0980954129900999</v>
      </c>
      <c r="AH1766">
        <v>11.915704961856999</v>
      </c>
      <c r="AI1766">
        <v>95.014027901417293</v>
      </c>
      <c r="AJ1766">
        <v>72.182928421936495</v>
      </c>
      <c r="AK1766">
        <v>12.5640722740921</v>
      </c>
    </row>
    <row r="1767" spans="1:37" x14ac:dyDescent="0.2">
      <c r="A1767" t="str">
        <f>"20200111155533342"</f>
        <v>20200111155533342</v>
      </c>
      <c r="B1767" t="str">
        <f>"1578729333334496"</f>
        <v>1578729333334496</v>
      </c>
      <c r="C1767" t="s">
        <v>37</v>
      </c>
      <c r="D1767">
        <v>5.0561379999999998</v>
      </c>
      <c r="E1767">
        <v>0.60349560000000002</v>
      </c>
      <c r="F1767" t="s">
        <v>56</v>
      </c>
      <c r="G1767">
        <v>-199.32669999999999</v>
      </c>
      <c r="H1767" s="1">
        <v>6.3092229999999997E-7</v>
      </c>
      <c r="I1767">
        <v>296.03390000000002</v>
      </c>
      <c r="J1767">
        <v>-191.99510000000001</v>
      </c>
      <c r="K1767">
        <v>1.0981989999999999</v>
      </c>
      <c r="L1767">
        <v>305.86090000000002</v>
      </c>
      <c r="M1767">
        <v>-0.33755829999999998</v>
      </c>
      <c r="N1767">
        <v>0</v>
      </c>
      <c r="O1767">
        <v>-0.94118930000000001</v>
      </c>
      <c r="P1767">
        <v>-0.4357144</v>
      </c>
      <c r="Q1767">
        <v>1.129276E-3</v>
      </c>
      <c r="R1767">
        <v>-0.90008440000000001</v>
      </c>
      <c r="S1767">
        <v>-1.7944789999999999</v>
      </c>
      <c r="T1767">
        <v>-0.25951489999999999</v>
      </c>
      <c r="U1767">
        <v>-2.479492</v>
      </c>
      <c r="V1767">
        <v>0.1065154</v>
      </c>
      <c r="W1767">
        <v>1.4042219999999999E-2</v>
      </c>
      <c r="X1767">
        <v>0.99421190000000004</v>
      </c>
      <c r="Y1767">
        <v>0.27623209999999998</v>
      </c>
      <c r="Z1767">
        <v>8.3568249999999997E-2</v>
      </c>
      <c r="AA1767">
        <v>0.95745089999999999</v>
      </c>
      <c r="AB1767">
        <v>23</v>
      </c>
      <c r="AC1767">
        <v>-7.3315999999999804</v>
      </c>
      <c r="AD1767">
        <v>-1.0981983690777</v>
      </c>
      <c r="AE1767">
        <v>-9.8269999999999893</v>
      </c>
      <c r="AF1767">
        <v>3.5551043781301699</v>
      </c>
      <c r="AG1767">
        <v>-1.0981983690777</v>
      </c>
      <c r="AH1767">
        <v>11.6318597793666</v>
      </c>
      <c r="AI1767">
        <v>95.159245291270295</v>
      </c>
      <c r="AJ1767">
        <v>73.005009537964199</v>
      </c>
      <c r="AK1767">
        <v>12.212492322376001</v>
      </c>
    </row>
    <row r="1768" spans="1:37" x14ac:dyDescent="0.2">
      <c r="A1768" t="str">
        <f>"20200111155533364"</f>
        <v>20200111155533364</v>
      </c>
      <c r="B1768" t="str">
        <f>"1578729333354017"</f>
        <v>1578729333354017</v>
      </c>
      <c r="C1768" t="s">
        <v>37</v>
      </c>
      <c r="D1768">
        <v>5.051329</v>
      </c>
      <c r="E1768">
        <v>0.62851659999999998</v>
      </c>
      <c r="F1768" t="s">
        <v>56</v>
      </c>
      <c r="G1768">
        <v>-201.73320000000001</v>
      </c>
      <c r="H1768">
        <v>7.9999879999999995E-2</v>
      </c>
      <c r="I1768">
        <v>294.65690000000001</v>
      </c>
      <c r="J1768">
        <v>-192.08750000000001</v>
      </c>
      <c r="K1768">
        <v>1.098233</v>
      </c>
      <c r="L1768">
        <v>305.6404</v>
      </c>
      <c r="M1768">
        <v>-0.34772399999999998</v>
      </c>
      <c r="N1768">
        <v>0</v>
      </c>
      <c r="O1768">
        <v>-0.93748099999999901</v>
      </c>
      <c r="P1768">
        <v>-0.443571099999999</v>
      </c>
      <c r="Q1768">
        <v>1.4265789999999899E-3</v>
      </c>
      <c r="R1768">
        <v>-0.89623799999999898</v>
      </c>
      <c r="S1768">
        <v>-2.039215</v>
      </c>
      <c r="T1768">
        <v>-0.21321679999999901</v>
      </c>
      <c r="U1768">
        <v>-2.3461910000000001</v>
      </c>
      <c r="V1768">
        <v>0.10445639999999901</v>
      </c>
      <c r="W1768">
        <v>1.4380260000000001E-2</v>
      </c>
      <c r="X1768">
        <v>0.99442549999999996</v>
      </c>
      <c r="Y1768">
        <v>0.35096679999999902</v>
      </c>
      <c r="Z1768">
        <v>6.8487899999999893E-2</v>
      </c>
      <c r="AA1768">
        <v>0.93387989999999999</v>
      </c>
      <c r="AB1768">
        <v>23</v>
      </c>
      <c r="AC1768">
        <v>-9.6456999999999997</v>
      </c>
      <c r="AD1768">
        <v>-1.0182331200000001</v>
      </c>
      <c r="AE1768">
        <v>-10.9834999999999</v>
      </c>
      <c r="AF1768">
        <v>5.1987763848659503</v>
      </c>
      <c r="AG1768">
        <v>-1.0182331200000001</v>
      </c>
      <c r="AH1768">
        <v>13.5864242029546</v>
      </c>
      <c r="AI1768">
        <v>94.003921811766105</v>
      </c>
      <c r="AJ1768">
        <v>69.060903606983402</v>
      </c>
      <c r="AK1768">
        <v>14.5826951284436</v>
      </c>
    </row>
    <row r="1769" spans="1:37" x14ac:dyDescent="0.2">
      <c r="A1769" t="str">
        <f>"20200111155533409"</f>
        <v>20200111155533409</v>
      </c>
      <c r="B1769" t="str">
        <f>"1578729333404768"</f>
        <v>1578729333404768</v>
      </c>
      <c r="C1769" t="s">
        <v>37</v>
      </c>
      <c r="D1769">
        <v>5.1274449999999998</v>
      </c>
      <c r="E1769">
        <v>0.62781350000000002</v>
      </c>
      <c r="F1769" t="s">
        <v>56</v>
      </c>
      <c r="G1769">
        <v>-206.10679999999999</v>
      </c>
      <c r="H1769">
        <v>8.0000100000000005E-2</v>
      </c>
      <c r="I1769">
        <v>291.64510000000001</v>
      </c>
      <c r="J1769">
        <v>-192.27440000000001</v>
      </c>
      <c r="K1769">
        <v>1.098322</v>
      </c>
      <c r="L1769">
        <v>305.2133</v>
      </c>
      <c r="M1769">
        <v>-0.36736999999999997</v>
      </c>
      <c r="N1769">
        <v>0</v>
      </c>
      <c r="O1769">
        <v>-0.92995830000000002</v>
      </c>
      <c r="P1769">
        <v>-0.45894439999999997</v>
      </c>
      <c r="Q1769">
        <v>2.5826120000000002E-3</v>
      </c>
      <c r="R1769">
        <v>-0.88846139999999996</v>
      </c>
      <c r="S1769">
        <v>-2.2418979999999999</v>
      </c>
      <c r="T1769">
        <v>-0.1628317</v>
      </c>
      <c r="U1769">
        <v>-2.2380680000000002</v>
      </c>
      <c r="V1769">
        <v>0.10068149999999999</v>
      </c>
      <c r="W1769">
        <v>1.5609410000000001E-2</v>
      </c>
      <c r="X1769">
        <v>0.99479629999999997</v>
      </c>
      <c r="Y1769">
        <v>0.39764169999999999</v>
      </c>
      <c r="Z1769">
        <v>5.1662909999999999E-2</v>
      </c>
      <c r="AA1769">
        <v>0.91608509999999999</v>
      </c>
      <c r="AB1769">
        <v>23</v>
      </c>
      <c r="AC1769">
        <v>-13.8323999999999</v>
      </c>
      <c r="AD1769">
        <v>-1.0183218999999999</v>
      </c>
      <c r="AE1769">
        <v>-13.5681999999999</v>
      </c>
      <c r="AF1769">
        <v>7.8581549269288802</v>
      </c>
      <c r="AG1769">
        <v>-1.0183218999999999</v>
      </c>
      <c r="AH1769">
        <v>17.652629955673302</v>
      </c>
      <c r="AI1769">
        <v>93.016746251004193</v>
      </c>
      <c r="AJ1769">
        <v>66.003527740599395</v>
      </c>
      <c r="AK1769">
        <v>19.3494941199911</v>
      </c>
    </row>
    <row r="1770" spans="1:37" x14ac:dyDescent="0.2">
      <c r="A1770" t="str">
        <f>"20200111155533432"</f>
        <v>20200111155533432</v>
      </c>
      <c r="B1770" t="str">
        <f>"1578729333424289"</f>
        <v>1578729333424289</v>
      </c>
      <c r="C1770" t="s">
        <v>37</v>
      </c>
      <c r="D1770">
        <v>5.1491419999999897</v>
      </c>
      <c r="E1770">
        <v>0.61625129999999995</v>
      </c>
      <c r="F1770" t="s">
        <v>56</v>
      </c>
      <c r="G1770">
        <v>-207.0052</v>
      </c>
      <c r="H1770">
        <v>8.0000310000000005E-2</v>
      </c>
      <c r="I1770">
        <v>290.95949999999999</v>
      </c>
      <c r="J1770">
        <v>-192.37370000000001</v>
      </c>
      <c r="K1770">
        <v>1.098373</v>
      </c>
      <c r="L1770">
        <v>304.9957</v>
      </c>
      <c r="M1770">
        <v>-0.37733329999999998</v>
      </c>
      <c r="N1770">
        <v>0</v>
      </c>
      <c r="O1770">
        <v>-0.92596049999999996</v>
      </c>
      <c r="P1770">
        <v>-0.46608119999999997</v>
      </c>
      <c r="Q1770">
        <v>1.913604E-3</v>
      </c>
      <c r="R1770">
        <v>-0.88474010000000003</v>
      </c>
      <c r="S1770">
        <v>-2.2753749999999999</v>
      </c>
      <c r="T1770">
        <v>-0.15729360000000001</v>
      </c>
      <c r="U1770">
        <v>-2.2016909999999998</v>
      </c>
      <c r="V1770">
        <v>9.7994680000000001E-2</v>
      </c>
      <c r="W1770">
        <v>1.4991020000000001E-2</v>
      </c>
      <c r="X1770">
        <v>0.99507400000000001</v>
      </c>
      <c r="Y1770">
        <v>0.40214850000000002</v>
      </c>
      <c r="Z1770">
        <v>4.9887729999999998E-2</v>
      </c>
      <c r="AA1770">
        <v>0.91421430000000004</v>
      </c>
      <c r="AB1770">
        <v>23</v>
      </c>
      <c r="AC1770">
        <v>-14.6314999999999</v>
      </c>
      <c r="AD1770">
        <v>-1.0183726900000001</v>
      </c>
      <c r="AE1770">
        <v>-14.036199999999999</v>
      </c>
      <c r="AF1770">
        <v>8.2319926777171002</v>
      </c>
      <c r="AG1770">
        <v>-1.0183726900000001</v>
      </c>
      <c r="AH1770">
        <v>18.473322816743298</v>
      </c>
      <c r="AI1770">
        <v>92.882607358700497</v>
      </c>
      <c r="AJ1770">
        <v>65.981522631527397</v>
      </c>
      <c r="AK1770">
        <v>20.250097339848399</v>
      </c>
    </row>
    <row r="1771" spans="1:37" x14ac:dyDescent="0.2">
      <c r="A1771" t="str">
        <f>"20200111155533476"</f>
        <v>20200111155533476</v>
      </c>
      <c r="B1771" t="str">
        <f>"1578729333464304"</f>
        <v>1578729333464304</v>
      </c>
      <c r="C1771" t="s">
        <v>37</v>
      </c>
      <c r="D1771">
        <v>5.1501159999999997</v>
      </c>
      <c r="E1771">
        <v>0.61575059999999904</v>
      </c>
      <c r="F1771" t="s">
        <v>56</v>
      </c>
      <c r="G1771">
        <v>-202.7953</v>
      </c>
      <c r="H1771">
        <v>7.9999769999999998E-2</v>
      </c>
      <c r="I1771">
        <v>294.48320000000001</v>
      </c>
      <c r="J1771">
        <v>-192.572</v>
      </c>
      <c r="K1771">
        <v>1.0985450000000001</v>
      </c>
      <c r="L1771">
        <v>304.57769999999999</v>
      </c>
      <c r="M1771">
        <v>-0.39624619999999999</v>
      </c>
      <c r="N1771">
        <v>0</v>
      </c>
      <c r="O1771">
        <v>-0.91802689999999998</v>
      </c>
      <c r="P1771">
        <v>-0.4803422</v>
      </c>
      <c r="Q1771">
        <v>5.413981E-3</v>
      </c>
      <c r="R1771">
        <v>-0.87706459999999997</v>
      </c>
      <c r="S1771">
        <v>-2.2085569999999999</v>
      </c>
      <c r="T1771">
        <v>-0.2158129</v>
      </c>
      <c r="U1771">
        <v>-2.227814</v>
      </c>
      <c r="V1771">
        <v>9.3746070000000001E-2</v>
      </c>
      <c r="W1771">
        <v>1.8574899999999998E-2</v>
      </c>
      <c r="X1771">
        <v>0.99542280000000005</v>
      </c>
      <c r="Y1771">
        <v>0.36320759999999902</v>
      </c>
      <c r="Z1771">
        <v>6.8148230000000004E-2</v>
      </c>
      <c r="AA1771">
        <v>0.92921260000000006</v>
      </c>
      <c r="AB1771">
        <v>23</v>
      </c>
      <c r="AC1771">
        <v>-10.223299999999901</v>
      </c>
      <c r="AD1771">
        <v>-1.01854523</v>
      </c>
      <c r="AE1771">
        <v>-10.094499999999901</v>
      </c>
      <c r="AF1771">
        <v>5.3590034818903902</v>
      </c>
      <c r="AG1771">
        <v>-1.01854523</v>
      </c>
      <c r="AH1771">
        <v>13.252793826977999</v>
      </c>
      <c r="AI1771">
        <v>94.075458942096503</v>
      </c>
      <c r="AJ1771">
        <v>67.983176124979593</v>
      </c>
      <c r="AK1771">
        <v>14.331535051237701</v>
      </c>
    </row>
    <row r="1772" spans="1:37" x14ac:dyDescent="0.2">
      <c r="A1772" t="str">
        <f>"20200111155533497"</f>
        <v>20200111155533497</v>
      </c>
      <c r="B1772" t="str">
        <f>"1578729333494560"</f>
        <v>1578729333494560</v>
      </c>
      <c r="C1772" t="s">
        <v>37</v>
      </c>
      <c r="D1772">
        <v>5.1840000000000002</v>
      </c>
      <c r="E1772">
        <v>0.61421539999999997</v>
      </c>
      <c r="F1772" t="s">
        <v>56</v>
      </c>
      <c r="G1772">
        <v>-203.91470000000001</v>
      </c>
      <c r="H1772">
        <v>7.9999760000000003E-2</v>
      </c>
      <c r="I1772">
        <v>293.48009999999999</v>
      </c>
      <c r="J1772">
        <v>-192.67060000000001</v>
      </c>
      <c r="K1772">
        <v>1.0986799999999901</v>
      </c>
      <c r="L1772">
        <v>304.37740000000002</v>
      </c>
      <c r="M1772">
        <v>-0.40511789999999998</v>
      </c>
      <c r="N1772">
        <v>0</v>
      </c>
      <c r="O1772">
        <v>-0.91414689999999998</v>
      </c>
      <c r="P1772">
        <v>-0.48955879999999902</v>
      </c>
      <c r="Q1772">
        <v>9.2135399999999992E-3</v>
      </c>
      <c r="R1772">
        <v>-0.87192179999999997</v>
      </c>
      <c r="S1772">
        <v>-2.2422029999999999</v>
      </c>
      <c r="T1772">
        <v>-0.2013441</v>
      </c>
      <c r="U1772">
        <v>-2.193756</v>
      </c>
      <c r="V1772">
        <v>9.4662330000000003E-2</v>
      </c>
      <c r="W1772">
        <v>2.2367350000000001E-2</v>
      </c>
      <c r="X1772">
        <v>0.99525819999999998</v>
      </c>
      <c r="Y1772">
        <v>0.3685949</v>
      </c>
      <c r="Z1772">
        <v>6.3535830000000001E-2</v>
      </c>
      <c r="AA1772">
        <v>0.92741629999999997</v>
      </c>
      <c r="AB1772">
        <v>23</v>
      </c>
      <c r="AC1772">
        <v>-11.2441</v>
      </c>
      <c r="AD1772">
        <v>-1.0186802399999999</v>
      </c>
      <c r="AE1772">
        <v>-10.8973</v>
      </c>
      <c r="AF1772">
        <v>5.8399808872910697</v>
      </c>
      <c r="AG1772">
        <v>-1.0186802399999999</v>
      </c>
      <c r="AH1772">
        <v>14.457290153589801</v>
      </c>
      <c r="AI1772">
        <v>93.737959951350703</v>
      </c>
      <c r="AJ1772">
        <v>68.003895932997295</v>
      </c>
      <c r="AK1772">
        <v>15.625502384895499</v>
      </c>
    </row>
    <row r="1773" spans="1:37" x14ac:dyDescent="0.2">
      <c r="A1773" t="str">
        <f>"20200111155533564"</f>
        <v>20200111155533564</v>
      </c>
      <c r="B1773" t="str">
        <f>"1578729333554100"</f>
        <v>1578729333554100</v>
      </c>
      <c r="C1773" t="s">
        <v>37</v>
      </c>
      <c r="D1773">
        <v>5.0237150000000002</v>
      </c>
      <c r="E1773">
        <v>0.61397990000000002</v>
      </c>
      <c r="F1773" t="s">
        <v>56</v>
      </c>
      <c r="G1773">
        <v>-204.19739999999999</v>
      </c>
      <c r="H1773">
        <v>7.9999749999999994E-2</v>
      </c>
      <c r="I1773">
        <v>293.24689999999998</v>
      </c>
      <c r="J1773">
        <v>-192.99</v>
      </c>
      <c r="K1773">
        <v>1.09931</v>
      </c>
      <c r="L1773">
        <v>303.75650000000002</v>
      </c>
      <c r="M1773">
        <v>-0.43112869999999998</v>
      </c>
      <c r="N1773">
        <v>0</v>
      </c>
      <c r="O1773">
        <v>-0.90217289999999895</v>
      </c>
      <c r="P1773">
        <v>-0.52264719999999998</v>
      </c>
      <c r="Q1773">
        <v>8.7658359999999904E-3</v>
      </c>
      <c r="R1773">
        <v>-0.85250409999999899</v>
      </c>
      <c r="S1773">
        <v>-2.2545009999999999</v>
      </c>
      <c r="T1773">
        <v>-0.19924149999999999</v>
      </c>
      <c r="U1773">
        <v>-2.1770019999999999</v>
      </c>
      <c r="V1773">
        <v>0.10430059999999999</v>
      </c>
      <c r="W1773">
        <v>2.1817690000000001E-2</v>
      </c>
      <c r="X1773">
        <v>0.99430640000000003</v>
      </c>
      <c r="Y1773">
        <v>0.34803640000000002</v>
      </c>
      <c r="Z1773">
        <v>6.2176719999999998E-2</v>
      </c>
      <c r="AA1773">
        <v>0.9354169</v>
      </c>
      <c r="AB1773">
        <v>23</v>
      </c>
      <c r="AC1773">
        <v>-11.2073999999999</v>
      </c>
      <c r="AD1773">
        <v>-1.01931025</v>
      </c>
      <c r="AE1773">
        <v>-10.509600000000001</v>
      </c>
      <c r="AF1773">
        <v>5.5561591253574498</v>
      </c>
      <c r="AG1773">
        <v>-1.01931025</v>
      </c>
      <c r="AH1773">
        <v>14.2520965144535</v>
      </c>
      <c r="AI1773">
        <v>93.812289574625893</v>
      </c>
      <c r="AJ1773">
        <v>68.701748742580406</v>
      </c>
      <c r="AK1773">
        <v>15.3307583853293</v>
      </c>
    </row>
    <row r="1774" spans="1:37" x14ac:dyDescent="0.2">
      <c r="A1774" t="str">
        <f>"20200111155533587"</f>
        <v>20200111155533587</v>
      </c>
      <c r="B1774" t="str">
        <f>"1578729333584353"</f>
        <v>1578729333584353</v>
      </c>
      <c r="C1774" t="s">
        <v>37</v>
      </c>
      <c r="D1774">
        <v>5.1201270000000001</v>
      </c>
      <c r="E1774">
        <v>0.60388359999999996</v>
      </c>
      <c r="F1774" t="s">
        <v>56</v>
      </c>
      <c r="G1774">
        <v>-204.4913</v>
      </c>
      <c r="H1774">
        <v>7.9999680000000004E-2</v>
      </c>
      <c r="I1774">
        <v>293.45580000000001</v>
      </c>
      <c r="J1774">
        <v>-193.09819999999999</v>
      </c>
      <c r="K1774">
        <v>1.09955</v>
      </c>
      <c r="L1774">
        <v>303.55399999999997</v>
      </c>
      <c r="M1774">
        <v>-0.43903409999999898</v>
      </c>
      <c r="N1774">
        <v>0</v>
      </c>
      <c r="O1774">
        <v>-0.89835299999999996</v>
      </c>
      <c r="P1774">
        <v>-0.53289350000000002</v>
      </c>
      <c r="Q1774">
        <v>5.566484E-3</v>
      </c>
      <c r="R1774">
        <v>-0.84616429999999998</v>
      </c>
      <c r="S1774">
        <v>-2.333939</v>
      </c>
      <c r="T1774">
        <v>-0.2068477</v>
      </c>
      <c r="U1774">
        <v>-2.0903019999999999</v>
      </c>
      <c r="V1774">
        <v>0.1074971</v>
      </c>
      <c r="W1774">
        <v>1.8593499999999999E-2</v>
      </c>
      <c r="X1774">
        <v>0.99403149999999996</v>
      </c>
      <c r="Y1774">
        <v>0.37462709999999999</v>
      </c>
      <c r="Z1774">
        <v>6.482984E-2</v>
      </c>
      <c r="AA1774">
        <v>0.92490629999999996</v>
      </c>
      <c r="AB1774">
        <v>23</v>
      </c>
      <c r="AC1774">
        <v>-11.3931</v>
      </c>
      <c r="AD1774">
        <v>-1.01955032</v>
      </c>
      <c r="AE1774">
        <v>-10.0982</v>
      </c>
      <c r="AF1774">
        <v>5.7762776690787501</v>
      </c>
      <c r="AG1774">
        <v>-1.01955032</v>
      </c>
      <c r="AH1774">
        <v>14.012348983874301</v>
      </c>
      <c r="AI1774">
        <v>93.848454054582504</v>
      </c>
      <c r="AJ1774">
        <v>67.597189286387703</v>
      </c>
      <c r="AK1774">
        <v>15.1904835542254</v>
      </c>
    </row>
    <row r="1775" spans="1:37" x14ac:dyDescent="0.2">
      <c r="A1775" t="str">
        <f>"20200111155533609"</f>
        <v>20200111155533609</v>
      </c>
      <c r="B1775" t="str">
        <f>"1578729333603873"</f>
        <v>1578729333603873</v>
      </c>
      <c r="C1775" t="s">
        <v>37</v>
      </c>
      <c r="D1775">
        <v>3.982907</v>
      </c>
      <c r="E1775">
        <v>0.66605709999999996</v>
      </c>
      <c r="F1775" t="s">
        <v>56</v>
      </c>
      <c r="G1775">
        <v>-202.50919999999999</v>
      </c>
      <c r="H1775">
        <v>7.9999710000000002E-2</v>
      </c>
      <c r="I1775">
        <v>294.89879999999999</v>
      </c>
      <c r="J1775">
        <v>-193.2099</v>
      </c>
      <c r="K1775">
        <v>1.0998159999999999</v>
      </c>
      <c r="L1775">
        <v>303.34840000000003</v>
      </c>
      <c r="M1775">
        <v>-0.4466772</v>
      </c>
      <c r="N1775">
        <v>0</v>
      </c>
      <c r="O1775">
        <v>-0.89457799999999998</v>
      </c>
      <c r="P1775">
        <v>-0.54087319999999905</v>
      </c>
      <c r="Q1775">
        <v>2.8031039999999998E-3</v>
      </c>
      <c r="R1775">
        <v>-0.84109929999999999</v>
      </c>
      <c r="S1775">
        <v>-2.2892610000000002</v>
      </c>
      <c r="T1775">
        <v>-0.2480087</v>
      </c>
      <c r="U1775">
        <v>-2.1054080000000002</v>
      </c>
      <c r="V1775">
        <v>0.10837139999999899</v>
      </c>
      <c r="W1775">
        <v>1.5844460000000001E-2</v>
      </c>
      <c r="X1775">
        <v>0.99398419999999899</v>
      </c>
      <c r="Y1775">
        <v>0.35368270000000002</v>
      </c>
      <c r="Z1775">
        <v>7.7641639999999998E-2</v>
      </c>
      <c r="AA1775">
        <v>0.93213749999999995</v>
      </c>
      <c r="AB1775">
        <v>23</v>
      </c>
      <c r="AC1775">
        <v>-9.2992999999999792</v>
      </c>
      <c r="AD1775">
        <v>-1.0198162899999901</v>
      </c>
      <c r="AE1775">
        <v>-8.4496000000000304</v>
      </c>
      <c r="AF1775">
        <v>4.5154355312655596</v>
      </c>
      <c r="AG1775">
        <v>-1.0198162899999901</v>
      </c>
      <c r="AH1775">
        <v>11.637176946327999</v>
      </c>
      <c r="AI1775">
        <v>94.670669878621894</v>
      </c>
      <c r="AJ1775">
        <v>68.792844477662896</v>
      </c>
      <c r="AK1775">
        <v>12.524099591687699</v>
      </c>
    </row>
    <row r="1776" spans="1:37" x14ac:dyDescent="0.2">
      <c r="A1776" t="str">
        <f>"20200111155533632"</f>
        <v>20200111155533632</v>
      </c>
      <c r="B1776" t="str">
        <f>"1578729333624368"</f>
        <v>1578729333624368</v>
      </c>
      <c r="C1776" t="s">
        <v>37</v>
      </c>
      <c r="D1776">
        <v>5.038214</v>
      </c>
      <c r="E1776">
        <v>0.66541740000000005</v>
      </c>
      <c r="F1776" t="s">
        <v>58</v>
      </c>
      <c r="G1776">
        <v>-245.65280000000001</v>
      </c>
      <c r="H1776">
        <v>4.1561199999999996</v>
      </c>
      <c r="I1776">
        <v>268.92189999999999</v>
      </c>
      <c r="J1776">
        <v>-193.3228</v>
      </c>
      <c r="K1776">
        <v>1.1001190000000001</v>
      </c>
      <c r="L1776">
        <v>303.1438</v>
      </c>
      <c r="M1776">
        <v>-0.45386320000000002</v>
      </c>
      <c r="N1776">
        <v>0</v>
      </c>
      <c r="O1776">
        <v>-0.89095440000000004</v>
      </c>
      <c r="P1776">
        <v>-0.54722930000000003</v>
      </c>
      <c r="Q1776">
        <v>2.4006029999999999E-3</v>
      </c>
      <c r="R1776">
        <v>-0.83697940000000004</v>
      </c>
      <c r="S1776">
        <v>-2.7442929999999999</v>
      </c>
      <c r="T1776">
        <v>0.15993399999999999</v>
      </c>
      <c r="U1776">
        <v>-1.8015139999999901</v>
      </c>
      <c r="V1776">
        <v>0.107883199999999</v>
      </c>
      <c r="W1776">
        <v>1.5477339999999999E-2</v>
      </c>
      <c r="X1776">
        <v>0.99404309999999996</v>
      </c>
      <c r="Y1776">
        <v>0.49469069999999998</v>
      </c>
      <c r="Z1776">
        <v>-4.9216999999999997E-2</v>
      </c>
      <c r="AA1776">
        <v>0.86767439999999996</v>
      </c>
      <c r="AB1776">
        <v>23</v>
      </c>
      <c r="AC1776">
        <v>-52.33</v>
      </c>
      <c r="AD1776">
        <v>3.0560010000000002</v>
      </c>
      <c r="AE1776">
        <v>-34.221899999999998</v>
      </c>
      <c r="AF1776">
        <v>31.020721735065301</v>
      </c>
      <c r="AG1776">
        <v>3.0560010000000002</v>
      </c>
      <c r="AH1776">
        <v>54.117193143064902</v>
      </c>
      <c r="AI1776">
        <v>87.195206636905198</v>
      </c>
      <c r="AJ1776">
        <v>60.178070199572197</v>
      </c>
      <c r="AK1776">
        <v>62.452341131138901</v>
      </c>
    </row>
    <row r="1777" spans="1:37" x14ac:dyDescent="0.2">
      <c r="A1777" t="str">
        <f>"20200111155533677"</f>
        <v>20200111155533677</v>
      </c>
      <c r="B1777" t="str">
        <f>"1578729333674143"</f>
        <v>1578729333674143</v>
      </c>
      <c r="C1777" t="s">
        <v>37</v>
      </c>
      <c r="D1777">
        <v>5.0314209999999999</v>
      </c>
      <c r="E1777">
        <v>0.59643109999999999</v>
      </c>
      <c r="F1777" t="s">
        <v>58</v>
      </c>
      <c r="G1777">
        <v>-245.79599999999999</v>
      </c>
      <c r="H1777">
        <v>4.1869040000000002</v>
      </c>
      <c r="I1777">
        <v>269.1576</v>
      </c>
      <c r="J1777">
        <v>-193.54920000000001</v>
      </c>
      <c r="K1777">
        <v>1.1008249999999999</v>
      </c>
      <c r="L1777">
        <v>302.74090000000001</v>
      </c>
      <c r="M1777">
        <v>-0.46664849999999902</v>
      </c>
      <c r="N1777">
        <v>0</v>
      </c>
      <c r="O1777">
        <v>-0.88432690000000003</v>
      </c>
      <c r="P1777">
        <v>-0.55840409999999996</v>
      </c>
      <c r="Q1777">
        <v>7.7378419999999896E-3</v>
      </c>
      <c r="R1777">
        <v>-0.82953299999999996</v>
      </c>
      <c r="S1777">
        <v>-2.7536619999999998</v>
      </c>
      <c r="T1777">
        <v>0.16198670000000001</v>
      </c>
      <c r="U1777">
        <v>-1.7835080000000001</v>
      </c>
      <c r="V1777">
        <v>0.1069382</v>
      </c>
      <c r="W1777">
        <v>2.0897599999999999E-2</v>
      </c>
      <c r="X1777">
        <v>0.99404599999999899</v>
      </c>
      <c r="Y1777">
        <v>0.48748089999999999</v>
      </c>
      <c r="Z1777">
        <v>-4.9616019999999997E-2</v>
      </c>
      <c r="AA1777">
        <v>0.87172280000000002</v>
      </c>
      <c r="AB1777">
        <v>23</v>
      </c>
      <c r="AC1777">
        <v>-52.246799999999901</v>
      </c>
      <c r="AD1777">
        <v>3.0860789999999998</v>
      </c>
      <c r="AE1777">
        <v>-33.583300000000001</v>
      </c>
      <c r="AF1777">
        <v>30.459584602508698</v>
      </c>
      <c r="AG1777">
        <v>3.0860789999999998</v>
      </c>
      <c r="AH1777">
        <v>53.951852576022397</v>
      </c>
      <c r="AI1777">
        <v>87.148423066578701</v>
      </c>
      <c r="AJ1777">
        <v>60.552240976104798</v>
      </c>
      <c r="AK1777">
        <v>62.033157054405102</v>
      </c>
    </row>
    <row r="1778" spans="1:37" x14ac:dyDescent="0.2">
      <c r="A1778" t="str">
        <f>"20200111155533700"</f>
        <v>20200111155533700</v>
      </c>
      <c r="B1778" t="str">
        <f>"1578729333694640"</f>
        <v>1578729333694640</v>
      </c>
      <c r="C1778" t="s">
        <v>37</v>
      </c>
      <c r="D1778">
        <v>5.0720359999999998</v>
      </c>
      <c r="E1778">
        <v>0.59520580000000001</v>
      </c>
      <c r="F1778" t="s">
        <v>56</v>
      </c>
      <c r="G1778">
        <v>-204.3417</v>
      </c>
      <c r="H1778">
        <v>7.9999749999999994E-2</v>
      </c>
      <c r="I1778">
        <v>293.05860000000001</v>
      </c>
      <c r="J1778">
        <v>-193.6634</v>
      </c>
      <c r="K1778">
        <v>1.101213</v>
      </c>
      <c r="L1778">
        <v>302.54109999999997</v>
      </c>
      <c r="M1778">
        <v>-0.47226309999999899</v>
      </c>
      <c r="N1778">
        <v>0</v>
      </c>
      <c r="O1778">
        <v>-0.88134219999999897</v>
      </c>
      <c r="P1778">
        <v>-0.56407399999999996</v>
      </c>
      <c r="Q1778">
        <v>9.6707230000000009E-3</v>
      </c>
      <c r="R1778">
        <v>-0.82566759999999995</v>
      </c>
      <c r="S1778">
        <v>-2.3043979999999999</v>
      </c>
      <c r="T1778">
        <v>-0.21796579999999999</v>
      </c>
      <c r="U1778">
        <v>-2.0673520000000001</v>
      </c>
      <c r="V1778">
        <v>0.1074343</v>
      </c>
      <c r="W1778">
        <v>2.2867889999999998E-2</v>
      </c>
      <c r="X1778">
        <v>0.99394919999999998</v>
      </c>
      <c r="Y1778">
        <v>0.33879419999999999</v>
      </c>
      <c r="Z1778">
        <v>6.7722480000000002E-2</v>
      </c>
      <c r="AA1778">
        <v>0.93842000000000003</v>
      </c>
      <c r="AB1778">
        <v>23</v>
      </c>
      <c r="AC1778">
        <v>-10.6783</v>
      </c>
      <c r="AD1778">
        <v>-1.02121325</v>
      </c>
      <c r="AE1778">
        <v>-9.4824999999999608</v>
      </c>
      <c r="AF1778">
        <v>4.9084042047840502</v>
      </c>
      <c r="AG1778">
        <v>-1.02121325</v>
      </c>
      <c r="AH1778">
        <v>13.3334767523101</v>
      </c>
      <c r="AI1778">
        <v>94.111049061469402</v>
      </c>
      <c r="AJ1778">
        <v>69.790008933197001</v>
      </c>
      <c r="AK1778">
        <v>14.244890685572599</v>
      </c>
    </row>
    <row r="1779" spans="1:37" x14ac:dyDescent="0.2">
      <c r="A1779" t="str">
        <f>"20200111155533732"</f>
        <v>20200111155533732</v>
      </c>
      <c r="B1779" t="str">
        <f>"1578729333723920"</f>
        <v>1578729333723920</v>
      </c>
      <c r="C1779" t="s">
        <v>37</v>
      </c>
      <c r="D1779">
        <v>4.0270130000000002</v>
      </c>
      <c r="E1779">
        <v>0.60336499999999904</v>
      </c>
      <c r="F1779" t="s">
        <v>56</v>
      </c>
      <c r="G1779">
        <v>-204.56370000000001</v>
      </c>
      <c r="H1779">
        <v>7.9999760000000003E-2</v>
      </c>
      <c r="I1779">
        <v>292.83120000000002</v>
      </c>
      <c r="J1779">
        <v>-193.83439999999999</v>
      </c>
      <c r="K1779">
        <v>1.101747</v>
      </c>
      <c r="L1779">
        <v>302.2448</v>
      </c>
      <c r="M1779">
        <v>-0.47969020000000001</v>
      </c>
      <c r="N1779">
        <v>0</v>
      </c>
      <c r="O1779">
        <v>-0.87732339999999998</v>
      </c>
      <c r="P1779">
        <v>-0.5709438</v>
      </c>
      <c r="Q1779">
        <v>8.4058380000000005E-3</v>
      </c>
      <c r="R1779">
        <v>-0.82094630000000002</v>
      </c>
      <c r="S1779">
        <v>-2.3100890000000001</v>
      </c>
      <c r="T1779">
        <v>-0.2164247</v>
      </c>
      <c r="U1779">
        <v>-2.0577999999999999</v>
      </c>
      <c r="V1779">
        <v>0.1072867</v>
      </c>
      <c r="W1779">
        <v>2.1661799999999998E-2</v>
      </c>
      <c r="X1779">
        <v>0.99399210000000005</v>
      </c>
      <c r="Y1779">
        <v>0.3341903</v>
      </c>
      <c r="Z1779">
        <v>6.701762E-2</v>
      </c>
      <c r="AA1779">
        <v>0.94011990000000001</v>
      </c>
      <c r="AB1779">
        <v>23</v>
      </c>
      <c r="AC1779">
        <v>-10.7293</v>
      </c>
      <c r="AD1779">
        <v>-1.0217472400000001</v>
      </c>
      <c r="AE1779">
        <v>-9.4135999999999704</v>
      </c>
      <c r="AF1779">
        <v>4.8729764827995297</v>
      </c>
      <c r="AG1779">
        <v>-1.0217472400000001</v>
      </c>
      <c r="AH1779">
        <v>13.3385099719201</v>
      </c>
      <c r="AI1779">
        <v>94.115348284378797</v>
      </c>
      <c r="AJ1779">
        <v>69.931164229442899</v>
      </c>
      <c r="AK1779">
        <v>14.2374757416958</v>
      </c>
    </row>
    <row r="1780" spans="1:37" x14ac:dyDescent="0.2">
      <c r="A1780" t="str">
        <f>"20200111155533754"</f>
        <v>20200111155533754</v>
      </c>
      <c r="B1780" t="str">
        <f>"1578729333744415"</f>
        <v>1578729333744415</v>
      </c>
      <c r="C1780" t="s">
        <v>37</v>
      </c>
      <c r="D1780">
        <v>5.0077109999999996</v>
      </c>
      <c r="E1780">
        <v>0.60141029999999995</v>
      </c>
      <c r="F1780" t="s">
        <v>56</v>
      </c>
      <c r="G1780">
        <v>-208.70599999999999</v>
      </c>
      <c r="H1780">
        <v>8.0000680000000005E-2</v>
      </c>
      <c r="I1780">
        <v>289.77260000000001</v>
      </c>
      <c r="J1780">
        <v>-193.9426</v>
      </c>
      <c r="K1780">
        <v>1.1020219999999901</v>
      </c>
      <c r="L1780">
        <v>302.0591</v>
      </c>
      <c r="M1780">
        <v>-0.48391790000000001</v>
      </c>
      <c r="N1780">
        <v>0</v>
      </c>
      <c r="O1780">
        <v>-0.87499959999999899</v>
      </c>
      <c r="P1780">
        <v>-0.57445619999999997</v>
      </c>
      <c r="Q1780">
        <v>8.8725000000000002E-3</v>
      </c>
      <c r="R1780">
        <v>-0.81848790000000005</v>
      </c>
      <c r="S1780">
        <v>-2.38308699999999</v>
      </c>
      <c r="T1780">
        <v>-0.1637286</v>
      </c>
      <c r="U1780">
        <v>-1.99859599999999</v>
      </c>
      <c r="V1780">
        <v>0.10674069999999999</v>
      </c>
      <c r="W1780">
        <v>2.2156639999999998E-2</v>
      </c>
      <c r="X1780">
        <v>0.99403999999999904</v>
      </c>
      <c r="Y1780">
        <v>0.35840659999999902</v>
      </c>
      <c r="Z1780">
        <v>5.0730740000000003E-2</v>
      </c>
      <c r="AA1780">
        <v>0.93218619999999996</v>
      </c>
      <c r="AB1780">
        <v>23</v>
      </c>
      <c r="AC1780">
        <v>-14.763399999999899</v>
      </c>
      <c r="AD1780">
        <v>-1.0220213199999999</v>
      </c>
      <c r="AE1780">
        <v>-12.286499999999901</v>
      </c>
      <c r="AF1780">
        <v>6.9533190190571803</v>
      </c>
      <c r="AG1780">
        <v>-1.0220213199999999</v>
      </c>
      <c r="AH1780">
        <v>17.8462096855665</v>
      </c>
      <c r="AI1780">
        <v>93.054463989888603</v>
      </c>
      <c r="AJ1780">
        <v>68.7128971717528</v>
      </c>
      <c r="AK1780">
        <v>19.180207848209701</v>
      </c>
    </row>
    <row r="1781" spans="1:37" x14ac:dyDescent="0.2">
      <c r="A1781" t="str">
        <f>"20200111155533776"</f>
        <v>20200111155533776</v>
      </c>
      <c r="B1781" t="str">
        <f>"1578729333774672"</f>
        <v>1578729333774672</v>
      </c>
      <c r="C1781" t="s">
        <v>37</v>
      </c>
      <c r="D1781">
        <v>4.0332989999999898</v>
      </c>
      <c r="E1781">
        <v>0.6093094</v>
      </c>
      <c r="F1781" t="s">
        <v>56</v>
      </c>
      <c r="G1781">
        <v>-208.10149999999999</v>
      </c>
      <c r="H1781">
        <v>8.0000550000000004E-2</v>
      </c>
      <c r="I1781">
        <v>290.16820000000001</v>
      </c>
      <c r="J1781">
        <v>-194.06</v>
      </c>
      <c r="K1781">
        <v>1.10229</v>
      </c>
      <c r="L1781">
        <v>301.85879999999997</v>
      </c>
      <c r="M1781">
        <v>-0.4880893</v>
      </c>
      <c r="N1781">
        <v>0</v>
      </c>
      <c r="O1781">
        <v>-0.87267999999999901</v>
      </c>
      <c r="P1781">
        <v>-0.57788219999999901</v>
      </c>
      <c r="Q1781">
        <v>1.032862E-2</v>
      </c>
      <c r="R1781">
        <v>-0.81605490000000003</v>
      </c>
      <c r="S1781">
        <v>-2.3786770000000002</v>
      </c>
      <c r="T1781">
        <v>-0.17169789999999999</v>
      </c>
      <c r="U1781">
        <v>-1.9976499999999999</v>
      </c>
      <c r="V1781">
        <v>0.10616639999999999</v>
      </c>
      <c r="W1781">
        <v>2.36373E-2</v>
      </c>
      <c r="X1781">
        <v>0.99406740000000005</v>
      </c>
      <c r="Y1781">
        <v>0.3532052</v>
      </c>
      <c r="Z1781">
        <v>5.3099210000000001E-2</v>
      </c>
      <c r="AA1781">
        <v>0.93403769999999997</v>
      </c>
      <c r="AB1781">
        <v>23</v>
      </c>
      <c r="AC1781">
        <v>-14.0414999999999</v>
      </c>
      <c r="AD1781">
        <v>-1.0222894499999999</v>
      </c>
      <c r="AE1781">
        <v>-11.6905999999999</v>
      </c>
      <c r="AF1781">
        <v>6.5278935052025497</v>
      </c>
      <c r="AG1781">
        <v>-1.0222894499999999</v>
      </c>
      <c r="AH1781">
        <v>17.0041194908537</v>
      </c>
      <c r="AI1781">
        <v>93.212427695240294</v>
      </c>
      <c r="AJ1781">
        <v>68.998168687568693</v>
      </c>
      <c r="AK1781">
        <v>18.242767032281002</v>
      </c>
    </row>
    <row r="1782" spans="1:37" x14ac:dyDescent="0.2">
      <c r="A1782" t="str">
        <f>"20200111155533800"</f>
        <v>20200111155533800</v>
      </c>
      <c r="B1782" t="str">
        <f>"1578729333794192"</f>
        <v>1578729333794192</v>
      </c>
      <c r="C1782" t="s">
        <v>37</v>
      </c>
      <c r="D1782">
        <v>4.068791</v>
      </c>
      <c r="E1782">
        <v>0.61530890000000005</v>
      </c>
      <c r="F1782" t="s">
        <v>59</v>
      </c>
      <c r="G1782">
        <v>-215.12370000000001</v>
      </c>
      <c r="H1782" s="1">
        <v>1.1898180000000001E-6</v>
      </c>
      <c r="I1782">
        <v>285.02670000000001</v>
      </c>
      <c r="J1782">
        <v>-194.17689999999999</v>
      </c>
      <c r="K1782">
        <v>1.1025469999999999</v>
      </c>
      <c r="L1782">
        <v>301.66079999999999</v>
      </c>
      <c r="M1782">
        <v>-0.49180449999999998</v>
      </c>
      <c r="N1782">
        <v>0</v>
      </c>
      <c r="O1782">
        <v>-0.8705927</v>
      </c>
      <c r="P1782">
        <v>-0.57988969999999995</v>
      </c>
      <c r="Q1782">
        <v>1.0392169999999999E-2</v>
      </c>
      <c r="R1782">
        <v>-0.81462880000000004</v>
      </c>
      <c r="S1782">
        <v>-2.44014</v>
      </c>
      <c r="T1782">
        <v>-0.12769529999999901</v>
      </c>
      <c r="U1782">
        <v>-1.949921</v>
      </c>
      <c r="V1782">
        <v>0.1043626</v>
      </c>
      <c r="W1782">
        <v>2.3734069999999999E-2</v>
      </c>
      <c r="X1782">
        <v>0.99425609999999998</v>
      </c>
      <c r="Y1782">
        <v>0.372453599999999</v>
      </c>
      <c r="Z1782">
        <v>3.9452139999999997E-2</v>
      </c>
      <c r="AA1782">
        <v>0.92721189999999998</v>
      </c>
      <c r="AB1782">
        <v>23</v>
      </c>
      <c r="AC1782">
        <v>-20.9468</v>
      </c>
      <c r="AD1782">
        <v>-1.102545810182</v>
      </c>
      <c r="AE1782">
        <v>-16.634099999999901</v>
      </c>
      <c r="AF1782">
        <v>10.0393375868298</v>
      </c>
      <c r="AG1782">
        <v>-1.102545810182</v>
      </c>
      <c r="AH1782">
        <v>24.743653357507899</v>
      </c>
      <c r="AI1782">
        <v>92.364376979610896</v>
      </c>
      <c r="AJ1782">
        <v>67.915940412360698</v>
      </c>
      <c r="AK1782">
        <v>26.725498833930001</v>
      </c>
    </row>
    <row r="1783" spans="1:37" x14ac:dyDescent="0.2">
      <c r="A1783" t="str">
        <f>"20200111155533823"</f>
        <v>20200111155533823</v>
      </c>
      <c r="B1783" t="str">
        <f>"1578729333814688"</f>
        <v>1578729333814688</v>
      </c>
      <c r="C1783" t="s">
        <v>37</v>
      </c>
      <c r="D1783">
        <v>4.1246679999999998</v>
      </c>
      <c r="E1783">
        <v>0.6195948</v>
      </c>
      <c r="F1783" t="s">
        <v>59</v>
      </c>
      <c r="G1783">
        <v>-222.79300000000001</v>
      </c>
      <c r="H1783">
        <v>2.5740140000000002E-2</v>
      </c>
      <c r="I1783">
        <v>279.61630000000002</v>
      </c>
      <c r="J1783">
        <v>-194.29669999999999</v>
      </c>
      <c r="K1783">
        <v>1.102805</v>
      </c>
      <c r="L1783">
        <v>301.45870000000002</v>
      </c>
      <c r="M1783">
        <v>-0.49524079999999898</v>
      </c>
      <c r="N1783">
        <v>0</v>
      </c>
      <c r="O1783">
        <v>-0.86864319999999895</v>
      </c>
      <c r="P1783">
        <v>-0.58055970000000001</v>
      </c>
      <c r="Q1783">
        <v>9.8962419999999995E-3</v>
      </c>
      <c r="R1783">
        <v>-0.81415780000000004</v>
      </c>
      <c r="S1783">
        <v>-2.485382</v>
      </c>
      <c r="T1783">
        <v>-9.3523259999999997E-2</v>
      </c>
      <c r="U1783">
        <v>-1.914612</v>
      </c>
      <c r="V1783">
        <v>0.1012305</v>
      </c>
      <c r="W1783">
        <v>2.3279299999999999E-2</v>
      </c>
      <c r="X1783">
        <v>0.99459059999999899</v>
      </c>
      <c r="Y1783">
        <v>0.38557379999999902</v>
      </c>
      <c r="Z1783">
        <v>2.8847060000000001E-2</v>
      </c>
      <c r="AA1783">
        <v>0.92222599999999999</v>
      </c>
      <c r="AB1783">
        <v>23</v>
      </c>
      <c r="AC1783">
        <v>-28.496300000000002</v>
      </c>
      <c r="AD1783">
        <v>-1.0770648599999999</v>
      </c>
      <c r="AE1783">
        <v>-21.842400000000001</v>
      </c>
      <c r="AF1783">
        <v>13.924701653686199</v>
      </c>
      <c r="AG1783">
        <v>-1.0770648599999999</v>
      </c>
      <c r="AH1783">
        <v>33.0592683813992</v>
      </c>
      <c r="AI1783">
        <v>91.719793849487502</v>
      </c>
      <c r="AJ1783">
        <v>67.1589712612829</v>
      </c>
      <c r="AK1783">
        <v>35.888335302298401</v>
      </c>
    </row>
    <row r="1784" spans="1:37" x14ac:dyDescent="0.2">
      <c r="A1784" t="str">
        <f>"20200111155533843"</f>
        <v>20200111155533843</v>
      </c>
      <c r="B1784" t="str">
        <f>"1578729333834208"</f>
        <v>1578729333834208</v>
      </c>
      <c r="C1784" t="s">
        <v>37</v>
      </c>
      <c r="D1784">
        <v>4.079987</v>
      </c>
      <c r="E1784">
        <v>0.62292950000000002</v>
      </c>
      <c r="F1784" t="s">
        <v>39</v>
      </c>
      <c r="G1784">
        <v>-237.38050000000001</v>
      </c>
      <c r="H1784">
        <v>-0.05</v>
      </c>
      <c r="I1784">
        <v>269.06389999999999</v>
      </c>
      <c r="J1784">
        <v>-194.4059</v>
      </c>
      <c r="K1784">
        <v>1.1030070000000001</v>
      </c>
      <c r="L1784">
        <v>301.2756</v>
      </c>
      <c r="M1784">
        <v>-0.49815929999999897</v>
      </c>
      <c r="N1784">
        <v>0</v>
      </c>
      <c r="O1784">
        <v>-0.86697329999999995</v>
      </c>
      <c r="P1784">
        <v>-0.57983229999999997</v>
      </c>
      <c r="Q1784">
        <v>1.0628220000000001E-2</v>
      </c>
      <c r="R1784">
        <v>-0.81466629999999995</v>
      </c>
      <c r="S1784">
        <v>-2.5157929999999999</v>
      </c>
      <c r="T1784">
        <v>-6.7315819999999998E-2</v>
      </c>
      <c r="U1784">
        <v>-1.891632</v>
      </c>
      <c r="V1784">
        <v>9.6992910000000002E-2</v>
      </c>
      <c r="W1784">
        <v>2.4049170000000002E-2</v>
      </c>
      <c r="X1784">
        <v>0.9949945</v>
      </c>
      <c r="Y1784">
        <v>0.39341039999999999</v>
      </c>
      <c r="Z1784">
        <v>2.0723220000000001E-2</v>
      </c>
      <c r="AA1784">
        <v>0.91912939999999999</v>
      </c>
      <c r="AB1784">
        <v>22</v>
      </c>
      <c r="AC1784">
        <v>-42.974600000000002</v>
      </c>
      <c r="AD1784">
        <v>-1.1530069999999999</v>
      </c>
      <c r="AE1784">
        <v>-32.2117</v>
      </c>
      <c r="AF1784">
        <v>21.203564379515399</v>
      </c>
      <c r="AG1784">
        <v>-1.1530069999999999</v>
      </c>
      <c r="AH1784">
        <v>49.3169515120073</v>
      </c>
      <c r="AI1784">
        <v>91.230437165165995</v>
      </c>
      <c r="AJ1784">
        <v>66.734966863361393</v>
      </c>
      <c r="AK1784">
        <v>53.6943411727529</v>
      </c>
    </row>
    <row r="1785" spans="1:37" x14ac:dyDescent="0.2">
      <c r="A1785" t="str">
        <f>"20200111155533866"</f>
        <v>20200111155533866</v>
      </c>
      <c r="B1785" t="str">
        <f>"1578729333854706"</f>
        <v>1578729333854706</v>
      </c>
      <c r="C1785" t="s">
        <v>37</v>
      </c>
      <c r="D1785">
        <v>4.1062419999999999</v>
      </c>
      <c r="E1785">
        <v>0.62554069999999995</v>
      </c>
      <c r="F1785" t="s">
        <v>58</v>
      </c>
      <c r="G1785">
        <v>-237.79679999999999</v>
      </c>
      <c r="H1785">
        <v>0.35595559999999998</v>
      </c>
      <c r="I1785">
        <v>269.1576</v>
      </c>
      <c r="J1785">
        <v>-194.52160000000001</v>
      </c>
      <c r="K1785">
        <v>1.103175</v>
      </c>
      <c r="L1785">
        <v>301.08260000000001</v>
      </c>
      <c r="M1785">
        <v>-0.50105040000000001</v>
      </c>
      <c r="N1785">
        <v>0</v>
      </c>
      <c r="O1785">
        <v>-0.86530599999999902</v>
      </c>
      <c r="P1785">
        <v>-0.57983370000000001</v>
      </c>
      <c r="Q1785">
        <v>1.213065E-2</v>
      </c>
      <c r="R1785">
        <v>-0.81464449999999999</v>
      </c>
      <c r="S1785">
        <v>-2.5366360000000001</v>
      </c>
      <c r="T1785">
        <v>-4.3672559999999999E-2</v>
      </c>
      <c r="U1785">
        <v>-1.8776250000000001</v>
      </c>
      <c r="V1785">
        <v>9.368042E-2</v>
      </c>
      <c r="W1785">
        <v>2.557458E-2</v>
      </c>
      <c r="X1785">
        <v>0.99527379999999999</v>
      </c>
      <c r="Y1785">
        <v>0.39736009999999899</v>
      </c>
      <c r="Z1785">
        <v>1.341125E-2</v>
      </c>
      <c r="AA1785">
        <v>0.91756469999999901</v>
      </c>
      <c r="AB1785">
        <v>22</v>
      </c>
      <c r="AC1785">
        <v>-43.275199999999899</v>
      </c>
      <c r="AD1785">
        <v>-0.74721939999999998</v>
      </c>
      <c r="AE1785">
        <v>-31.925000000000001</v>
      </c>
      <c r="AF1785">
        <v>21.448196499145901</v>
      </c>
      <c r="AG1785">
        <v>-0.74721939999999998</v>
      </c>
      <c r="AH1785">
        <v>49.303215682294301</v>
      </c>
      <c r="AI1785">
        <v>90.796216862997099</v>
      </c>
      <c r="AJ1785">
        <v>66.489691698010603</v>
      </c>
      <c r="AK1785">
        <v>53.771651885659402</v>
      </c>
    </row>
    <row r="1786" spans="1:37" x14ac:dyDescent="0.2">
      <c r="A1786" t="str">
        <f>"20200111155533888"</f>
        <v>20200111155533888</v>
      </c>
      <c r="B1786" t="str">
        <f>"1578729333883984"</f>
        <v>1578729333883984</v>
      </c>
      <c r="C1786" t="s">
        <v>37</v>
      </c>
      <c r="D1786">
        <v>4.0397069999999999</v>
      </c>
      <c r="E1786">
        <v>0.62897040000000004</v>
      </c>
      <c r="F1786" t="s">
        <v>58</v>
      </c>
      <c r="G1786">
        <v>-238.2474</v>
      </c>
      <c r="H1786">
        <v>0.73898980000000003</v>
      </c>
      <c r="I1786">
        <v>269.1576</v>
      </c>
      <c r="J1786">
        <v>-194.63910000000001</v>
      </c>
      <c r="K1786">
        <v>1.1033010000000001</v>
      </c>
      <c r="L1786">
        <v>300.88740000000001</v>
      </c>
      <c r="M1786">
        <v>-0.50379350000000001</v>
      </c>
      <c r="N1786">
        <v>0</v>
      </c>
      <c r="O1786">
        <v>-0.86371239999999905</v>
      </c>
      <c r="P1786">
        <v>-0.58086740000000003</v>
      </c>
      <c r="Q1786">
        <v>1.4924949999999999E-2</v>
      </c>
      <c r="R1786">
        <v>-0.81386139999999996</v>
      </c>
      <c r="S1786">
        <v>-2.5542449999999999</v>
      </c>
      <c r="T1786">
        <v>-2.1273730000000001E-2</v>
      </c>
      <c r="U1786">
        <v>-1.8648990000000001</v>
      </c>
      <c r="V1786">
        <v>9.1813329999999999E-2</v>
      </c>
      <c r="W1786">
        <v>2.8375460000000002E-2</v>
      </c>
      <c r="X1786">
        <v>0.99537189999999998</v>
      </c>
      <c r="Y1786">
        <v>0.40051599999999998</v>
      </c>
      <c r="Z1786">
        <v>6.5187069999999899E-3</v>
      </c>
      <c r="AA1786">
        <v>0.91626659999999904</v>
      </c>
      <c r="AB1786">
        <v>22</v>
      </c>
      <c r="AC1786">
        <v>-43.6082999999999</v>
      </c>
      <c r="AD1786">
        <v>-0.3643112</v>
      </c>
      <c r="AE1786">
        <v>-31.729800000000001</v>
      </c>
      <c r="AF1786">
        <v>21.680865482312999</v>
      </c>
      <c r="AG1786">
        <v>-0.3643112</v>
      </c>
      <c r="AH1786">
        <v>49.377511903047001</v>
      </c>
      <c r="AI1786">
        <v>90.387058418285804</v>
      </c>
      <c r="AJ1786">
        <v>66.294500320869105</v>
      </c>
      <c r="AK1786">
        <v>53.928947073423799</v>
      </c>
    </row>
    <row r="1787" spans="1:37" x14ac:dyDescent="0.2">
      <c r="A1787" t="str">
        <f>"20200111155533912"</f>
        <v>20200111155533912</v>
      </c>
      <c r="B1787" t="str">
        <f>"1578729333904480"</f>
        <v>1578729333904480</v>
      </c>
      <c r="C1787" t="s">
        <v>37</v>
      </c>
      <c r="D1787">
        <v>4.0686519999999904</v>
      </c>
      <c r="E1787">
        <v>0.63085069999999999</v>
      </c>
      <c r="F1787" t="s">
        <v>58</v>
      </c>
      <c r="G1787">
        <v>-239.00659999999999</v>
      </c>
      <c r="H1787">
        <v>1.1986589999999999</v>
      </c>
      <c r="I1787">
        <v>269.1576</v>
      </c>
      <c r="J1787">
        <v>-194.75970000000001</v>
      </c>
      <c r="K1787">
        <v>1.103399</v>
      </c>
      <c r="L1787">
        <v>300.68799999999999</v>
      </c>
      <c r="M1787">
        <v>-0.5064362</v>
      </c>
      <c r="N1787">
        <v>0</v>
      </c>
      <c r="O1787">
        <v>-0.86216599999999999</v>
      </c>
      <c r="P1787">
        <v>-0.58344499999999999</v>
      </c>
      <c r="Q1787">
        <v>1.6882669999999999E-2</v>
      </c>
      <c r="R1787">
        <v>-0.81197730000000001</v>
      </c>
      <c r="S1787">
        <v>-2.5796809999999999</v>
      </c>
      <c r="T1787">
        <v>5.5446619999999997E-3</v>
      </c>
      <c r="U1787">
        <v>-1.8448789999999999</v>
      </c>
      <c r="V1787">
        <v>9.1942469999999998E-2</v>
      </c>
      <c r="W1787">
        <v>3.0323929999999999E-2</v>
      </c>
      <c r="X1787">
        <v>0.99530249999999998</v>
      </c>
      <c r="Y1787">
        <v>0.40672390000000003</v>
      </c>
      <c r="Z1787">
        <v>-1.6956619999999999E-3</v>
      </c>
      <c r="AA1787">
        <v>0.91354959999999996</v>
      </c>
      <c r="AB1787">
        <v>22</v>
      </c>
      <c r="AC1787">
        <v>-44.246899999999897</v>
      </c>
      <c r="AD1787">
        <v>9.52599999999999E-2</v>
      </c>
      <c r="AE1787">
        <v>-31.530399999999901</v>
      </c>
      <c r="AF1787">
        <v>22.182100042917401</v>
      </c>
      <c r="AG1787">
        <v>9.52599999999999E-2</v>
      </c>
      <c r="AH1787">
        <v>49.597283923663397</v>
      </c>
      <c r="AI1787">
        <v>89.899543212466995</v>
      </c>
      <c r="AJ1787">
        <v>65.903693827323707</v>
      </c>
      <c r="AK1787">
        <v>54.3318066088923</v>
      </c>
    </row>
    <row r="1788" spans="1:37" x14ac:dyDescent="0.2">
      <c r="A1788" t="str">
        <f>"20200111155533934"</f>
        <v>20200111155533934</v>
      </c>
      <c r="B1788" t="str">
        <f>"1578729333924000"</f>
        <v>1578729333924000</v>
      </c>
      <c r="C1788" t="s">
        <v>37</v>
      </c>
      <c r="D1788">
        <v>4.2675429999999999</v>
      </c>
      <c r="E1788">
        <v>0.63162959999999901</v>
      </c>
      <c r="F1788" t="s">
        <v>58</v>
      </c>
      <c r="G1788">
        <v>-240.0067</v>
      </c>
      <c r="H1788">
        <v>1.4072929999999999</v>
      </c>
      <c r="I1788">
        <v>268.85500000000002</v>
      </c>
      <c r="J1788">
        <v>-194.87610000000001</v>
      </c>
      <c r="K1788">
        <v>1.1034729999999999</v>
      </c>
      <c r="L1788">
        <v>300.49680000000001</v>
      </c>
      <c r="M1788">
        <v>-0.50885769999999997</v>
      </c>
      <c r="N1788">
        <v>0</v>
      </c>
      <c r="O1788">
        <v>-0.86073949999999999</v>
      </c>
      <c r="P1788">
        <v>-0.5864393</v>
      </c>
      <c r="Q1788">
        <v>1.678228E-2</v>
      </c>
      <c r="R1788">
        <v>-0.80981959999999997</v>
      </c>
      <c r="S1788">
        <v>-2.597855</v>
      </c>
      <c r="T1788">
        <v>1.7448310000000002E-2</v>
      </c>
      <c r="U1788">
        <v>-1.827698</v>
      </c>
      <c r="V1788">
        <v>9.2813980000000004E-2</v>
      </c>
      <c r="W1788">
        <v>3.021049E-2</v>
      </c>
      <c r="X1788">
        <v>0.99522509999999997</v>
      </c>
      <c r="Y1788">
        <v>0.41119939999999999</v>
      </c>
      <c r="Z1788">
        <v>-5.3299180000000003E-3</v>
      </c>
      <c r="AA1788">
        <v>0.91152979999999995</v>
      </c>
      <c r="AB1788">
        <v>22</v>
      </c>
      <c r="AC1788">
        <v>-45.130599999999902</v>
      </c>
      <c r="AD1788">
        <v>0.30381999999999998</v>
      </c>
      <c r="AE1788">
        <v>-31.6417999999999</v>
      </c>
      <c r="AF1788">
        <v>22.7460018292985</v>
      </c>
      <c r="AG1788">
        <v>0.30381999999999998</v>
      </c>
      <c r="AH1788">
        <v>50.203678745789098</v>
      </c>
      <c r="AI1788">
        <v>89.684168297129901</v>
      </c>
      <c r="AJ1788">
        <v>65.625936540123604</v>
      </c>
      <c r="AK1788">
        <v>55.116987085845402</v>
      </c>
    </row>
    <row r="1789" spans="1:37" x14ac:dyDescent="0.2">
      <c r="A1789" t="str">
        <f>"20200111155533956"</f>
        <v>20200111155533956</v>
      </c>
      <c r="B1789" t="str">
        <f>"1578729333944495"</f>
        <v>1578729333944495</v>
      </c>
      <c r="C1789" t="s">
        <v>37</v>
      </c>
      <c r="D1789">
        <v>4.19618</v>
      </c>
      <c r="E1789">
        <v>0.63250469999999903</v>
      </c>
      <c r="F1789" t="s">
        <v>58</v>
      </c>
      <c r="G1789">
        <v>-240.3921</v>
      </c>
      <c r="H1789">
        <v>1.475789</v>
      </c>
      <c r="I1789">
        <v>268.85500000000002</v>
      </c>
      <c r="J1789">
        <v>-194.98949999999999</v>
      </c>
      <c r="K1789">
        <v>1.1035170000000001</v>
      </c>
      <c r="L1789">
        <v>300.31119999999999</v>
      </c>
      <c r="M1789">
        <v>-0.51112769999999996</v>
      </c>
      <c r="N1789">
        <v>0</v>
      </c>
      <c r="O1789">
        <v>-0.85939370000000004</v>
      </c>
      <c r="P1789">
        <v>-0.58916619999999997</v>
      </c>
      <c r="Q1789">
        <v>1.4005419999999999E-2</v>
      </c>
      <c r="R1789">
        <v>-0.80789080000000002</v>
      </c>
      <c r="S1789">
        <v>-2.6097410000000001</v>
      </c>
      <c r="T1789">
        <v>2.1347519999999998E-2</v>
      </c>
      <c r="U1789">
        <v>-1.8142400000000001</v>
      </c>
      <c r="V1789">
        <v>9.3501630000000002E-2</v>
      </c>
      <c r="W1789">
        <v>2.7423579999999999E-2</v>
      </c>
      <c r="X1789">
        <v>0.99524140000000005</v>
      </c>
      <c r="Y1789">
        <v>0.41390359999999998</v>
      </c>
      <c r="Z1789">
        <v>-6.5163819999999898E-3</v>
      </c>
      <c r="AA1789">
        <v>0.91029740000000003</v>
      </c>
      <c r="AB1789">
        <v>22</v>
      </c>
      <c r="AC1789">
        <v>-45.4026</v>
      </c>
      <c r="AD1789">
        <v>0.37227199999999999</v>
      </c>
      <c r="AE1789">
        <v>-31.4561999999999</v>
      </c>
      <c r="AF1789">
        <v>22.941721601591301</v>
      </c>
      <c r="AG1789">
        <v>0.37227199999999999</v>
      </c>
      <c r="AH1789">
        <v>50.242301511334098</v>
      </c>
      <c r="AI1789">
        <v>89.613826044623593</v>
      </c>
      <c r="AJ1789">
        <v>65.457535474797695</v>
      </c>
      <c r="AK1789">
        <v>55.233595190270798</v>
      </c>
    </row>
    <row r="1790" spans="1:37" x14ac:dyDescent="0.2">
      <c r="A1790" t="str">
        <f>"20200111155533978"</f>
        <v>20200111155533978</v>
      </c>
      <c r="B1790" t="str">
        <f>"1578729333974753"</f>
        <v>1578729333974753</v>
      </c>
      <c r="C1790" t="s">
        <v>37</v>
      </c>
      <c r="D1790">
        <v>5.1443469999999998</v>
      </c>
      <c r="E1790">
        <v>0.63157810000000003</v>
      </c>
      <c r="F1790" t="s">
        <v>58</v>
      </c>
      <c r="G1790">
        <v>-240.767</v>
      </c>
      <c r="H1790">
        <v>1.42788</v>
      </c>
      <c r="I1790">
        <v>268.85500000000002</v>
      </c>
      <c r="J1790">
        <v>-195.1069</v>
      </c>
      <c r="K1790">
        <v>1.10355</v>
      </c>
      <c r="L1790">
        <v>300.11989999999997</v>
      </c>
      <c r="M1790">
        <v>-0.51340659999999905</v>
      </c>
      <c r="N1790">
        <v>0</v>
      </c>
      <c r="O1790">
        <v>-0.85803459999999998</v>
      </c>
      <c r="P1790">
        <v>-0.59178350000000002</v>
      </c>
      <c r="Q1790">
        <v>1.0883429999999999E-2</v>
      </c>
      <c r="R1790">
        <v>-0.80602399999999996</v>
      </c>
      <c r="S1790">
        <v>-2.6214750000000002</v>
      </c>
      <c r="T1790">
        <v>1.8575069999999999E-2</v>
      </c>
      <c r="U1790">
        <v>-1.801361</v>
      </c>
      <c r="V1790">
        <v>9.404933E-2</v>
      </c>
      <c r="W1790">
        <v>2.4292770000000002E-2</v>
      </c>
      <c r="X1790">
        <v>0.99527109999999996</v>
      </c>
      <c r="Y1790">
        <v>0.41643429999999998</v>
      </c>
      <c r="Z1790">
        <v>-5.6652669999999999E-3</v>
      </c>
      <c r="AA1790">
        <v>0.90914819999999996</v>
      </c>
      <c r="AB1790">
        <v>22</v>
      </c>
      <c r="AC1790">
        <v>-45.6601</v>
      </c>
      <c r="AD1790">
        <v>0.32433000000000001</v>
      </c>
      <c r="AE1790">
        <v>-31.264899999999901</v>
      </c>
      <c r="AF1790">
        <v>23.127745853274899</v>
      </c>
      <c r="AG1790">
        <v>0.32433000000000001</v>
      </c>
      <c r="AH1790">
        <v>50.271619296653903</v>
      </c>
      <c r="AI1790">
        <v>89.664190415403496</v>
      </c>
      <c r="AJ1790">
        <v>65.294935013694001</v>
      </c>
      <c r="AK1790">
        <v>55.337451377076199</v>
      </c>
    </row>
    <row r="1791" spans="1:37" x14ac:dyDescent="0.2">
      <c r="A1791" t="str">
        <f>"20200111155534000"</f>
        <v>20200111155534000</v>
      </c>
      <c r="B1791" t="str">
        <f>"1578729333994272"</f>
        <v>1578729333994272</v>
      </c>
      <c r="C1791" t="s">
        <v>37</v>
      </c>
      <c r="D1791">
        <v>5.1950519999999996</v>
      </c>
      <c r="E1791">
        <v>0.6286119</v>
      </c>
      <c r="F1791" t="s">
        <v>58</v>
      </c>
      <c r="G1791">
        <v>-240.70509999999999</v>
      </c>
      <c r="H1791">
        <v>1.181786</v>
      </c>
      <c r="I1791">
        <v>268.85500000000002</v>
      </c>
      <c r="J1791">
        <v>-195.22069999999999</v>
      </c>
      <c r="K1791">
        <v>1.1035740000000001</v>
      </c>
      <c r="L1791">
        <v>299.93560000000002</v>
      </c>
      <c r="M1791">
        <v>-0.51555050000000002</v>
      </c>
      <c r="N1791">
        <v>0</v>
      </c>
      <c r="O1791">
        <v>-0.85674850000000002</v>
      </c>
      <c r="P1791">
        <v>-0.59467199999999998</v>
      </c>
      <c r="Q1791">
        <v>8.7810309999999999E-3</v>
      </c>
      <c r="R1791">
        <v>-0.80392109999999894</v>
      </c>
      <c r="S1791">
        <v>-2.621353</v>
      </c>
      <c r="T1791">
        <v>4.4977659999999899E-3</v>
      </c>
      <c r="U1791">
        <v>-1.797363</v>
      </c>
      <c r="V1791">
        <v>9.5109659999999999E-2</v>
      </c>
      <c r="W1791">
        <v>2.2178090000000001E-2</v>
      </c>
      <c r="X1791">
        <v>0.99521970000000004</v>
      </c>
      <c r="Y1791">
        <v>0.41509740000000001</v>
      </c>
      <c r="Z1791">
        <v>-1.3711050000000001E-3</v>
      </c>
      <c r="AA1791">
        <v>0.90977589999999997</v>
      </c>
      <c r="AB1791">
        <v>22</v>
      </c>
      <c r="AC1791">
        <v>-45.484400000000001</v>
      </c>
      <c r="AD1791">
        <v>7.8211999999999907E-2</v>
      </c>
      <c r="AE1791">
        <v>-31.0806</v>
      </c>
      <c r="AF1791">
        <v>22.9472028815198</v>
      </c>
      <c r="AG1791">
        <v>7.8211999999999907E-2</v>
      </c>
      <c r="AH1791">
        <v>50.0824119371009</v>
      </c>
      <c r="AI1791">
        <v>89.918655327905995</v>
      </c>
      <c r="AJ1791">
        <v>65.383276610988602</v>
      </c>
      <c r="AK1791">
        <v>55.089275023728902</v>
      </c>
    </row>
    <row r="1792" spans="1:37" x14ac:dyDescent="0.2">
      <c r="A1792" t="str">
        <f>"20200111155534023"</f>
        <v>20200111155534023</v>
      </c>
      <c r="B1792" t="str">
        <f>"1578729334014768"</f>
        <v>1578729334014768</v>
      </c>
      <c r="C1792" t="s">
        <v>37</v>
      </c>
      <c r="D1792">
        <v>5.2059340000000001</v>
      </c>
      <c r="E1792">
        <v>0.62592369999999997</v>
      </c>
      <c r="F1792" t="s">
        <v>58</v>
      </c>
      <c r="G1792">
        <v>-240.18690000000001</v>
      </c>
      <c r="H1792">
        <v>0.77801129999999996</v>
      </c>
      <c r="I1792">
        <v>268.85500000000002</v>
      </c>
      <c r="J1792">
        <v>-195.34450000000001</v>
      </c>
      <c r="K1792">
        <v>1.1035870000000001</v>
      </c>
      <c r="L1792">
        <v>299.73610000000002</v>
      </c>
      <c r="M1792">
        <v>-0.51782890000000004</v>
      </c>
      <c r="N1792">
        <v>0</v>
      </c>
      <c r="O1792">
        <v>-0.85537319999999994</v>
      </c>
      <c r="P1792">
        <v>-0.59702230000000001</v>
      </c>
      <c r="Q1792">
        <v>6.8865910000000001E-3</v>
      </c>
      <c r="R1792">
        <v>-0.80219529999999994</v>
      </c>
      <c r="S1792">
        <v>-2.6080779999999999</v>
      </c>
      <c r="T1792">
        <v>-1.888275E-2</v>
      </c>
      <c r="U1792">
        <v>-1.8027040000000001</v>
      </c>
      <c r="V1792">
        <v>9.5356579999999996E-2</v>
      </c>
      <c r="W1792">
        <v>2.0272599999999901E-2</v>
      </c>
      <c r="X1792">
        <v>0.99523680000000003</v>
      </c>
      <c r="Y1792">
        <v>0.40923470000000001</v>
      </c>
      <c r="Z1792">
        <v>5.7548909999999998E-3</v>
      </c>
      <c r="AA1792">
        <v>0.91241099999999997</v>
      </c>
      <c r="AB1792">
        <v>22</v>
      </c>
      <c r="AC1792">
        <v>-44.842399999999998</v>
      </c>
      <c r="AD1792">
        <v>-0.32557570000000002</v>
      </c>
      <c r="AE1792">
        <v>-30.8811</v>
      </c>
      <c r="AF1792">
        <v>22.367185521747</v>
      </c>
      <c r="AG1792">
        <v>-0.32557570000000002</v>
      </c>
      <c r="AH1792">
        <v>49.638495133342403</v>
      </c>
      <c r="AI1792">
        <v>90.342618234201495</v>
      </c>
      <c r="AJ1792">
        <v>65.743596384740101</v>
      </c>
      <c r="AK1792">
        <v>54.446094320929397</v>
      </c>
    </row>
    <row r="1793" spans="1:37" x14ac:dyDescent="0.2">
      <c r="A1793" t="str">
        <f>"20200111155534045"</f>
        <v>20200111155534045</v>
      </c>
      <c r="B1793" t="str">
        <f>"1578729334034291"</f>
        <v>1578729334034291</v>
      </c>
      <c r="C1793" t="s">
        <v>37</v>
      </c>
      <c r="D1793">
        <v>5.1491049999999996</v>
      </c>
      <c r="E1793">
        <v>0.62363579999999996</v>
      </c>
      <c r="F1793" t="s">
        <v>58</v>
      </c>
      <c r="G1793">
        <v>-239.66579999999999</v>
      </c>
      <c r="H1793">
        <v>0.43535089999999999</v>
      </c>
      <c r="I1793">
        <v>268.85500000000002</v>
      </c>
      <c r="J1793">
        <v>-195.45599999999999</v>
      </c>
      <c r="K1793">
        <v>1.10358</v>
      </c>
      <c r="L1793">
        <v>299.55739999999997</v>
      </c>
      <c r="M1793">
        <v>-0.51984730000000001</v>
      </c>
      <c r="N1793">
        <v>0</v>
      </c>
      <c r="O1793">
        <v>-0.85414840000000003</v>
      </c>
      <c r="P1793">
        <v>-0.59934009999999904</v>
      </c>
      <c r="Q1793">
        <v>6.0357099999999997E-3</v>
      </c>
      <c r="R1793">
        <v>-0.80047209999999902</v>
      </c>
      <c r="S1793">
        <v>-2.5954739999999998</v>
      </c>
      <c r="T1793">
        <v>-3.9132E-2</v>
      </c>
      <c r="U1793">
        <v>-1.808411</v>
      </c>
      <c r="V1793">
        <v>9.5878859999999996E-2</v>
      </c>
      <c r="W1793">
        <v>1.9408269999999998E-2</v>
      </c>
      <c r="X1793">
        <v>0.99520379999999997</v>
      </c>
      <c r="Y1793">
        <v>0.40360069999999998</v>
      </c>
      <c r="Z1793">
        <v>1.1921930000000001E-2</v>
      </c>
      <c r="AA1793">
        <v>0.91485759999999905</v>
      </c>
      <c r="AB1793">
        <v>22</v>
      </c>
      <c r="AC1793">
        <v>-44.209800000000001</v>
      </c>
      <c r="AD1793">
        <v>-0.66822910000000002</v>
      </c>
      <c r="AE1793">
        <v>-30.702399999999901</v>
      </c>
      <c r="AF1793">
        <v>21.799873950465301</v>
      </c>
      <c r="AG1793">
        <v>-0.66822910000000002</v>
      </c>
      <c r="AH1793">
        <v>49.2038252954912</v>
      </c>
      <c r="AI1793">
        <v>90.711389754458295</v>
      </c>
      <c r="AJ1793">
        <v>66.104146654436406</v>
      </c>
      <c r="AK1793">
        <v>53.820976004671998</v>
      </c>
    </row>
    <row r="1794" spans="1:37" x14ac:dyDescent="0.2">
      <c r="A1794" t="str">
        <f>"20200111155534067"</f>
        <v>20200111155534067</v>
      </c>
      <c r="B1794" t="str">
        <f>"1578729334064544"</f>
        <v>1578729334064544</v>
      </c>
      <c r="C1794" t="s">
        <v>37</v>
      </c>
      <c r="D1794">
        <v>4.0769699999999904</v>
      </c>
      <c r="E1794">
        <v>0.62367490000000003</v>
      </c>
      <c r="F1794" t="s">
        <v>58</v>
      </c>
      <c r="G1794">
        <v>-238.83279999999999</v>
      </c>
      <c r="H1794">
        <v>0.20999380000000001</v>
      </c>
      <c r="I1794">
        <v>269.1576</v>
      </c>
      <c r="J1794">
        <v>-195.5737</v>
      </c>
      <c r="K1794">
        <v>1.103572</v>
      </c>
      <c r="L1794">
        <v>299.36959999999999</v>
      </c>
      <c r="M1794">
        <v>-0.52195809999999998</v>
      </c>
      <c r="N1794">
        <v>0</v>
      </c>
      <c r="O1794">
        <v>-0.85286019999999896</v>
      </c>
      <c r="P1794">
        <v>-0.60199559999999996</v>
      </c>
      <c r="Q1794">
        <v>5.6359819999999899E-3</v>
      </c>
      <c r="R1794">
        <v>-0.79847969999999902</v>
      </c>
      <c r="S1794">
        <v>-2.585785</v>
      </c>
      <c r="T1794">
        <v>-5.3268429999999999E-2</v>
      </c>
      <c r="U1794">
        <v>-1.812195</v>
      </c>
      <c r="V1794">
        <v>9.6720739999999999E-2</v>
      </c>
      <c r="W1794">
        <v>1.8992060000000002E-2</v>
      </c>
      <c r="X1794">
        <v>0.99513039999999997</v>
      </c>
      <c r="Y1794">
        <v>0.3987715</v>
      </c>
      <c r="Z1794">
        <v>1.62191E-2</v>
      </c>
      <c r="AA1794">
        <v>0.91690689999999997</v>
      </c>
      <c r="AB1794">
        <v>22</v>
      </c>
      <c r="AC1794">
        <v>-43.259099999999897</v>
      </c>
      <c r="AD1794">
        <v>-0.89357819999999899</v>
      </c>
      <c r="AE1794">
        <v>-30.2119999999999</v>
      </c>
      <c r="AF1794">
        <v>21.120508105291901</v>
      </c>
      <c r="AG1794">
        <v>-0.89357819999999899</v>
      </c>
      <c r="AH1794">
        <v>48.336761754742703</v>
      </c>
      <c r="AI1794">
        <v>90.970497984876602</v>
      </c>
      <c r="AJ1794">
        <v>66.3973164164032</v>
      </c>
      <c r="AK1794">
        <v>52.757150051533003</v>
      </c>
    </row>
    <row r="1795" spans="1:37" x14ac:dyDescent="0.2">
      <c r="A1795" t="str">
        <f>"20200111155534088"</f>
        <v>20200111155534088</v>
      </c>
      <c r="B1795" t="str">
        <f>"1578729334084064"</f>
        <v>1578729334084064</v>
      </c>
      <c r="C1795" t="s">
        <v>37</v>
      </c>
      <c r="D1795">
        <v>4.0875260000000004</v>
      </c>
      <c r="E1795">
        <v>0.62490889999999999</v>
      </c>
      <c r="F1795" t="s">
        <v>58</v>
      </c>
      <c r="G1795">
        <v>-239.0026</v>
      </c>
      <c r="H1795">
        <v>0.19036529999999999</v>
      </c>
      <c r="I1795">
        <v>269.1576</v>
      </c>
      <c r="J1795">
        <v>-195.69049999999999</v>
      </c>
      <c r="K1795">
        <v>1.1035569999999999</v>
      </c>
      <c r="L1795">
        <v>299.18439999999998</v>
      </c>
      <c r="M1795">
        <v>-0.52404150000000005</v>
      </c>
      <c r="N1795">
        <v>0</v>
      </c>
      <c r="O1795">
        <v>-0.85158199999999995</v>
      </c>
      <c r="P1795">
        <v>-0.60535719999999904</v>
      </c>
      <c r="Q1795">
        <v>5.3253569999999898E-3</v>
      </c>
      <c r="R1795">
        <v>-0.79593639999999999</v>
      </c>
      <c r="S1795">
        <v>-2.592133</v>
      </c>
      <c r="T1795">
        <v>-5.4506180000000001E-2</v>
      </c>
      <c r="U1795">
        <v>-1.80325299999999</v>
      </c>
      <c r="V1795">
        <v>9.8483070000000006E-2</v>
      </c>
      <c r="W1795">
        <v>1.8660240000000002E-2</v>
      </c>
      <c r="X1795">
        <v>0.99496379999999995</v>
      </c>
      <c r="Y1795">
        <v>0.39970809999999901</v>
      </c>
      <c r="Z1795">
        <v>1.658567E-2</v>
      </c>
      <c r="AA1795">
        <v>0.91649239999999998</v>
      </c>
      <c r="AB1795">
        <v>22</v>
      </c>
      <c r="AC1795">
        <v>-43.312100000000001</v>
      </c>
      <c r="AD1795">
        <v>-0.91319169999999905</v>
      </c>
      <c r="AE1795">
        <v>-30.026799999999898</v>
      </c>
      <c r="AF1795">
        <v>21.144161819495</v>
      </c>
      <c r="AG1795">
        <v>-0.91319169999999905</v>
      </c>
      <c r="AH1795">
        <v>48.257683929667998</v>
      </c>
      <c r="AI1795">
        <v>90.992980656374101</v>
      </c>
      <c r="AJ1795">
        <v>66.339313278219194</v>
      </c>
      <c r="AK1795">
        <v>52.694530611683703</v>
      </c>
    </row>
    <row r="1796" spans="1:37" x14ac:dyDescent="0.2">
      <c r="A1796" t="str">
        <f>"20200111155534113"</f>
        <v>20200111155534113</v>
      </c>
      <c r="B1796" t="str">
        <f>"1578729334104090"</f>
        <v>1578729334104090</v>
      </c>
      <c r="C1796" t="s">
        <v>37</v>
      </c>
      <c r="D1796">
        <v>5.1432029999999997</v>
      </c>
      <c r="E1796">
        <v>0.62301640000000003</v>
      </c>
      <c r="F1796" t="s">
        <v>58</v>
      </c>
      <c r="G1796">
        <v>-239.96369999999999</v>
      </c>
      <c r="H1796">
        <v>0.2444654</v>
      </c>
      <c r="I1796">
        <v>268.85500000000002</v>
      </c>
      <c r="J1796">
        <v>-195.8193</v>
      </c>
      <c r="K1796">
        <v>1.103545</v>
      </c>
      <c r="L1796">
        <v>298.9812</v>
      </c>
      <c r="M1796">
        <v>-0.52633980000000002</v>
      </c>
      <c r="N1796">
        <v>0</v>
      </c>
      <c r="O1796">
        <v>-0.85016340000000001</v>
      </c>
      <c r="P1796">
        <v>-0.60949059999999999</v>
      </c>
      <c r="Q1796">
        <v>6.62554599999999E-3</v>
      </c>
      <c r="R1796">
        <v>-0.79276599999999997</v>
      </c>
      <c r="S1796">
        <v>-2.607529</v>
      </c>
      <c r="T1796">
        <v>-5.0597070000000001E-2</v>
      </c>
      <c r="U1796">
        <v>-1.7862849999999999</v>
      </c>
      <c r="V1796">
        <v>0.1009834</v>
      </c>
      <c r="W1796">
        <v>1.9934589999999999E-2</v>
      </c>
      <c r="X1796">
        <v>0.99468840000000003</v>
      </c>
      <c r="Y1796">
        <v>0.40383459999999899</v>
      </c>
      <c r="Z1796">
        <v>1.5386449999999999E-2</v>
      </c>
      <c r="AA1796">
        <v>0.91470260000000003</v>
      </c>
      <c r="AB1796">
        <v>22</v>
      </c>
      <c r="AC1796">
        <v>-44.144399999999898</v>
      </c>
      <c r="AD1796">
        <v>-0.85907960000000005</v>
      </c>
      <c r="AE1796">
        <v>-30.126199999999901</v>
      </c>
      <c r="AF1796">
        <v>21.6697802267851</v>
      </c>
      <c r="AG1796">
        <v>-0.85907960000000005</v>
      </c>
      <c r="AH1796">
        <v>48.839135322780002</v>
      </c>
      <c r="AI1796">
        <v>90.9211443515497</v>
      </c>
      <c r="AJ1796">
        <v>66.073280016516307</v>
      </c>
      <c r="AK1796">
        <v>53.437613456376603</v>
      </c>
    </row>
    <row r="1797" spans="1:37" x14ac:dyDescent="0.2">
      <c r="A1797" t="str">
        <f>"20200111155534134"</f>
        <v>20200111155534134</v>
      </c>
      <c r="B1797" t="str">
        <f>"1578729334124586"</f>
        <v>1578729334124586</v>
      </c>
      <c r="C1797" t="s">
        <v>37</v>
      </c>
      <c r="D1797">
        <v>5.1292339999999896</v>
      </c>
      <c r="E1797">
        <v>0.62132790000000004</v>
      </c>
      <c r="F1797" t="s">
        <v>39</v>
      </c>
      <c r="G1797">
        <v>-246.82040000000001</v>
      </c>
      <c r="H1797">
        <v>-0.05</v>
      </c>
      <c r="I1797">
        <v>264.07080000000002</v>
      </c>
      <c r="J1797">
        <v>-195.92850000000001</v>
      </c>
      <c r="K1797">
        <v>1.1035440000000001</v>
      </c>
      <c r="L1797">
        <v>298.81</v>
      </c>
      <c r="M1797">
        <v>-0.52829320000000002</v>
      </c>
      <c r="N1797">
        <v>0</v>
      </c>
      <c r="O1797">
        <v>-0.84895100000000001</v>
      </c>
      <c r="P1797">
        <v>-0.61392530000000001</v>
      </c>
      <c r="Q1797">
        <v>8.322075E-3</v>
      </c>
      <c r="R1797">
        <v>-0.78932049999999998</v>
      </c>
      <c r="S1797">
        <v>-2.6042179999999999</v>
      </c>
      <c r="T1797">
        <v>-5.8902259999999998E-2</v>
      </c>
      <c r="U1797">
        <v>-1.7825930000000001</v>
      </c>
      <c r="V1797">
        <v>0.10428809999999999</v>
      </c>
      <c r="W1797">
        <v>2.160459E-2</v>
      </c>
      <c r="X1797">
        <v>0.99431250000000004</v>
      </c>
      <c r="Y1797">
        <v>0.40203119999999998</v>
      </c>
      <c r="Z1797">
        <v>1.791365E-2</v>
      </c>
      <c r="AA1797">
        <v>0.91545069999999995</v>
      </c>
      <c r="AB1797">
        <v>22</v>
      </c>
      <c r="AC1797">
        <v>-50.8918999999999</v>
      </c>
      <c r="AD1797">
        <v>-1.1535439999999999</v>
      </c>
      <c r="AE1797">
        <v>-34.739199999999897</v>
      </c>
      <c r="AF1797">
        <v>24.8458811128043</v>
      </c>
      <c r="AG1797">
        <v>-1.1535439999999999</v>
      </c>
      <c r="AH1797">
        <v>56.363283836894702</v>
      </c>
      <c r="AI1797">
        <v>91.072875916135402</v>
      </c>
      <c r="AJ1797">
        <v>66.211309987712298</v>
      </c>
      <c r="AK1797">
        <v>61.607371611763298</v>
      </c>
    </row>
    <row r="1798" spans="1:37" x14ac:dyDescent="0.2">
      <c r="A1798" t="str">
        <f>"20200111155534156"</f>
        <v>20200111155534156</v>
      </c>
      <c r="B1798" t="str">
        <f>"1578729334153867"</f>
        <v>1578729334153867</v>
      </c>
      <c r="C1798" t="s">
        <v>37</v>
      </c>
      <c r="D1798">
        <v>5.146719</v>
      </c>
      <c r="E1798">
        <v>0.61912400000000001</v>
      </c>
      <c r="F1798" t="s">
        <v>39</v>
      </c>
      <c r="G1798">
        <v>-241.20249999999999</v>
      </c>
      <c r="H1798">
        <v>-0.05</v>
      </c>
      <c r="I1798">
        <v>267.9117</v>
      </c>
      <c r="J1798">
        <v>-196.0496</v>
      </c>
      <c r="K1798">
        <v>1.1035280000000001</v>
      </c>
      <c r="L1798">
        <v>298.62099999999998</v>
      </c>
      <c r="M1798">
        <v>-0.53046959999999999</v>
      </c>
      <c r="N1798">
        <v>0</v>
      </c>
      <c r="O1798">
        <v>-0.84759300000000004</v>
      </c>
      <c r="P1798">
        <v>-0.61868459999999903</v>
      </c>
      <c r="Q1798">
        <v>9.7670280000000005E-3</v>
      </c>
      <c r="R1798">
        <v>-0.78557929999999998</v>
      </c>
      <c r="S1798">
        <v>-2.6032410000000001</v>
      </c>
      <c r="T1798">
        <v>-6.6328410000000004E-2</v>
      </c>
      <c r="U1798">
        <v>-1.7766419999999901</v>
      </c>
      <c r="V1798">
        <v>0.1077615</v>
      </c>
      <c r="W1798">
        <v>2.302092E-2</v>
      </c>
      <c r="X1798">
        <v>0.99391019999999897</v>
      </c>
      <c r="Y1798">
        <v>0.40090720000000002</v>
      </c>
      <c r="Z1798">
        <v>2.0171919999999999E-2</v>
      </c>
      <c r="AA1798">
        <v>0.9158965</v>
      </c>
      <c r="AB1798">
        <v>22</v>
      </c>
      <c r="AC1798">
        <v>-45.152899999999903</v>
      </c>
      <c r="AD1798">
        <v>-1.1535280000000001</v>
      </c>
      <c r="AE1798">
        <v>-30.709299999999899</v>
      </c>
      <c r="AF1798">
        <v>21.973194210783401</v>
      </c>
      <c r="AG1798">
        <v>-1.1535280000000001</v>
      </c>
      <c r="AH1798">
        <v>49.963634252023397</v>
      </c>
      <c r="AI1798">
        <v>91.210702161346603</v>
      </c>
      <c r="AJ1798">
        <v>66.260887089835407</v>
      </c>
      <c r="AK1798">
        <v>54.5941080918221</v>
      </c>
    </row>
    <row r="1799" spans="1:37" x14ac:dyDescent="0.2">
      <c r="A1799" t="str">
        <f>"20200111155534181"</f>
        <v>20200111155534181</v>
      </c>
      <c r="B1799" t="str">
        <f>"1578729334174363"</f>
        <v>1578729334174363</v>
      </c>
      <c r="C1799" t="s">
        <v>37</v>
      </c>
      <c r="D1799">
        <v>5.1845419999999898</v>
      </c>
      <c r="E1799">
        <v>0.61757890000000004</v>
      </c>
      <c r="F1799" t="s">
        <v>59</v>
      </c>
      <c r="G1799">
        <v>-230.7747</v>
      </c>
      <c r="H1799">
        <v>8.0001660000000002E-2</v>
      </c>
      <c r="I1799">
        <v>274.94560000000001</v>
      </c>
      <c r="J1799">
        <v>-196.1781</v>
      </c>
      <c r="K1799">
        <v>1.10351</v>
      </c>
      <c r="L1799">
        <v>298.42189999999999</v>
      </c>
      <c r="M1799">
        <v>-0.53279350000000003</v>
      </c>
      <c r="N1799">
        <v>0</v>
      </c>
      <c r="O1799">
        <v>-0.84613419999999895</v>
      </c>
      <c r="P1799">
        <v>-0.62281019999999998</v>
      </c>
      <c r="Q1799">
        <v>1.1369229999999999E-2</v>
      </c>
      <c r="R1799">
        <v>-0.7822905</v>
      </c>
      <c r="S1799">
        <v>-2.5996090000000001</v>
      </c>
      <c r="T1799">
        <v>-7.662368E-2</v>
      </c>
      <c r="U1799">
        <v>-1.7724</v>
      </c>
      <c r="V1799">
        <v>0.1102838</v>
      </c>
      <c r="W1799">
        <v>2.4598800000000001E-2</v>
      </c>
      <c r="X1799">
        <v>0.99359569999999997</v>
      </c>
      <c r="Y1799">
        <v>0.39875149999999998</v>
      </c>
      <c r="Z1799">
        <v>2.3301880000000001E-2</v>
      </c>
      <c r="AA1799">
        <v>0.91676290000000005</v>
      </c>
      <c r="AB1799">
        <v>22</v>
      </c>
      <c r="AC1799">
        <v>-34.596599999999903</v>
      </c>
      <c r="AD1799">
        <v>-1.02350834</v>
      </c>
      <c r="AE1799">
        <v>-23.476299999999899</v>
      </c>
      <c r="AF1799">
        <v>16.756880622799599</v>
      </c>
      <c r="AG1799">
        <v>-1.02350834</v>
      </c>
      <c r="AH1799">
        <v>38.277605570900299</v>
      </c>
      <c r="AI1799">
        <v>91.4031659135985</v>
      </c>
      <c r="AJ1799">
        <v>66.357521907495098</v>
      </c>
      <c r="AK1799">
        <v>41.7973169685594</v>
      </c>
    </row>
    <row r="1800" spans="1:37" x14ac:dyDescent="0.2">
      <c r="A1800" t="str">
        <f>"20200111155534202"</f>
        <v>20200111155534202</v>
      </c>
      <c r="B1800" t="str">
        <f>"1578729334193882"</f>
        <v>1578729334193882</v>
      </c>
      <c r="C1800" t="s">
        <v>37</v>
      </c>
      <c r="D1800">
        <v>5.1811889999999998</v>
      </c>
      <c r="E1800">
        <v>0.6168825</v>
      </c>
      <c r="F1800" t="s">
        <v>59</v>
      </c>
      <c r="G1800">
        <v>-229.0993</v>
      </c>
      <c r="H1800">
        <v>8.0000249999999995E-2</v>
      </c>
      <c r="I1800">
        <v>276.0369</v>
      </c>
      <c r="J1800">
        <v>-196.2929</v>
      </c>
      <c r="K1800">
        <v>1.1034870000000001</v>
      </c>
      <c r="L1800">
        <v>298.24489999999997</v>
      </c>
      <c r="M1800">
        <v>-0.53489259999999905</v>
      </c>
      <c r="N1800">
        <v>0</v>
      </c>
      <c r="O1800">
        <v>-0.84480909999999998</v>
      </c>
      <c r="P1800">
        <v>-0.62580449999999999</v>
      </c>
      <c r="Q1800">
        <v>1.203242E-2</v>
      </c>
      <c r="R1800">
        <v>-0.77988769999999996</v>
      </c>
      <c r="S1800">
        <v>-2.5987849999999999</v>
      </c>
      <c r="T1800">
        <v>-8.0795290000000006E-2</v>
      </c>
      <c r="U1800">
        <v>-1.7670589999999999</v>
      </c>
      <c r="V1800">
        <v>0.111635199999999</v>
      </c>
      <c r="W1800">
        <v>2.5244240000000001E-2</v>
      </c>
      <c r="X1800">
        <v>0.99342859999999999</v>
      </c>
      <c r="Y1800">
        <v>0.39759749999999999</v>
      </c>
      <c r="Z1800">
        <v>2.456682E-2</v>
      </c>
      <c r="AA1800">
        <v>0.91723099999999902</v>
      </c>
      <c r="AB1800">
        <v>22</v>
      </c>
      <c r="AC1800">
        <v>-32.806399999999996</v>
      </c>
      <c r="AD1800">
        <v>-1.02348675</v>
      </c>
      <c r="AE1800">
        <v>-22.207999999999899</v>
      </c>
      <c r="AF1800">
        <v>15.827171415801301</v>
      </c>
      <c r="AG1800">
        <v>-1.02348675</v>
      </c>
      <c r="AH1800">
        <v>36.288604758400801</v>
      </c>
      <c r="AI1800">
        <v>91.480892216490204</v>
      </c>
      <c r="AJ1800">
        <v>66.435714498737596</v>
      </c>
      <c r="AK1800">
        <v>39.603152847519702</v>
      </c>
    </row>
    <row r="1801" spans="1:37" x14ac:dyDescent="0.2">
      <c r="A1801" t="str">
        <f>"20200111155534224"</f>
        <v>20200111155534224</v>
      </c>
      <c r="B1801" t="str">
        <f>"1578729334214379"</f>
        <v>1578729334214379</v>
      </c>
      <c r="C1801" t="s">
        <v>37</v>
      </c>
      <c r="D1801">
        <v>5.2509489999999897</v>
      </c>
      <c r="E1801">
        <v>0.58331499999999903</v>
      </c>
      <c r="F1801" t="s">
        <v>59</v>
      </c>
      <c r="G1801">
        <v>-228.60820000000001</v>
      </c>
      <c r="H1801">
        <v>8.0000399999999902E-2</v>
      </c>
      <c r="I1801">
        <v>276.3716</v>
      </c>
      <c r="J1801">
        <v>-196.40889999999999</v>
      </c>
      <c r="K1801">
        <v>1.1034549999999901</v>
      </c>
      <c r="L1801">
        <v>298.06729999999999</v>
      </c>
      <c r="M1801">
        <v>-0.53703000000000001</v>
      </c>
      <c r="N1801">
        <v>0</v>
      </c>
      <c r="O1801">
        <v>-0.84345170000000003</v>
      </c>
      <c r="P1801">
        <v>-0.62782069999999901</v>
      </c>
      <c r="Q1801">
        <v>1.0823650000000001E-2</v>
      </c>
      <c r="R1801">
        <v>-0.77828269999999899</v>
      </c>
      <c r="S1801">
        <v>-2.6012419999999898</v>
      </c>
      <c r="T1801">
        <v>-8.238637E-2</v>
      </c>
      <c r="U1801">
        <v>-1.7607119999999901</v>
      </c>
      <c r="V1801">
        <v>0.111678399999999</v>
      </c>
      <c r="W1801">
        <v>2.402439E-2</v>
      </c>
      <c r="X1801">
        <v>0.99345399999999995</v>
      </c>
      <c r="Y1801">
        <v>0.39719890000000002</v>
      </c>
      <c r="Z1801">
        <v>2.5035399999999999E-2</v>
      </c>
      <c r="AA1801">
        <v>0.91739099999999996</v>
      </c>
      <c r="AB1801">
        <v>22</v>
      </c>
      <c r="AC1801">
        <v>-32.199300000000001</v>
      </c>
      <c r="AD1801">
        <v>-1.02345459999999</v>
      </c>
      <c r="AE1801">
        <v>-21.695699999999899</v>
      </c>
      <c r="AF1801">
        <v>15.498001993993901</v>
      </c>
      <c r="AG1801">
        <v>-1.02345459999999</v>
      </c>
      <c r="AH1801">
        <v>35.569896203727197</v>
      </c>
      <c r="AI1801">
        <v>91.510997538686098</v>
      </c>
      <c r="AJ1801">
        <v>66.456974702741704</v>
      </c>
      <c r="AK1801">
        <v>38.813052457491999</v>
      </c>
    </row>
    <row r="1802" spans="1:37" x14ac:dyDescent="0.2">
      <c r="A1802" t="str">
        <f>"20200111155534247"</f>
        <v>20200111155534247</v>
      </c>
      <c r="B1802" t="str">
        <f>"1578729334233898"</f>
        <v>1578729334233898</v>
      </c>
      <c r="C1802" t="s">
        <v>37</v>
      </c>
      <c r="D1802">
        <v>5.2052420000000001</v>
      </c>
      <c r="E1802">
        <v>0.58490019999999998</v>
      </c>
      <c r="F1802" t="s">
        <v>56</v>
      </c>
      <c r="G1802">
        <v>-205.30090000000001</v>
      </c>
      <c r="H1802">
        <v>8.000003E-2</v>
      </c>
      <c r="I1802">
        <v>290.88299999999998</v>
      </c>
      <c r="J1802">
        <v>-196.53360000000001</v>
      </c>
      <c r="K1802">
        <v>1.1034090000000001</v>
      </c>
      <c r="L1802">
        <v>297.8775</v>
      </c>
      <c r="M1802">
        <v>-0.53936819999999996</v>
      </c>
      <c r="N1802">
        <v>0</v>
      </c>
      <c r="O1802">
        <v>-0.8419584</v>
      </c>
      <c r="P1802">
        <v>-0.63029259999999998</v>
      </c>
      <c r="Q1802">
        <v>1.006312E-2</v>
      </c>
      <c r="R1802">
        <v>-0.7762926</v>
      </c>
      <c r="S1802">
        <v>-2.389694</v>
      </c>
      <c r="T1802">
        <v>-0.27504840000000003</v>
      </c>
      <c r="U1802">
        <v>-1.9307559999999999</v>
      </c>
      <c r="V1802">
        <v>0.1120751</v>
      </c>
      <c r="W1802">
        <v>2.3247839999999999E-2</v>
      </c>
      <c r="X1802">
        <v>0.99342779999999997</v>
      </c>
      <c r="Y1802">
        <v>0.31285459999999998</v>
      </c>
      <c r="Z1802">
        <v>8.2868559999999994E-2</v>
      </c>
      <c r="AA1802">
        <v>0.94617899999999999</v>
      </c>
      <c r="AB1802">
        <v>22</v>
      </c>
      <c r="AC1802">
        <v>-8.7673000000000005</v>
      </c>
      <c r="AD1802">
        <v>-1.02340897</v>
      </c>
      <c r="AE1802">
        <v>-6.9945000000000102</v>
      </c>
      <c r="AF1802">
        <v>3.5796249174843902</v>
      </c>
      <c r="AG1802">
        <v>-1.02340897</v>
      </c>
      <c r="AH1802">
        <v>10.531192147736</v>
      </c>
      <c r="AI1802">
        <v>95.256919531910697</v>
      </c>
      <c r="AJ1802">
        <v>71.226748208191694</v>
      </c>
      <c r="AK1802">
        <v>11.169918912968299</v>
      </c>
    </row>
    <row r="1803" spans="1:37" x14ac:dyDescent="0.2">
      <c r="A1803" t="str">
        <f>"20200111155534269"</f>
        <v>20200111155534269</v>
      </c>
      <c r="B1803" t="str">
        <f>"1578729334264155"</f>
        <v>1578729334264155</v>
      </c>
      <c r="C1803" t="s">
        <v>37</v>
      </c>
      <c r="D1803">
        <v>5.066567</v>
      </c>
      <c r="E1803">
        <v>0.59185840000000001</v>
      </c>
      <c r="F1803" t="s">
        <v>56</v>
      </c>
      <c r="G1803">
        <v>-205.6584</v>
      </c>
      <c r="H1803">
        <v>8.0000139999999997E-2</v>
      </c>
      <c r="I1803">
        <v>290.6155</v>
      </c>
      <c r="J1803">
        <v>-196.6533</v>
      </c>
      <c r="K1803">
        <v>1.1033469999999901</v>
      </c>
      <c r="L1803">
        <v>297.69670000000002</v>
      </c>
      <c r="M1803">
        <v>-0.54167109999999996</v>
      </c>
      <c r="N1803">
        <v>0</v>
      </c>
      <c r="O1803">
        <v>-0.84047879999999997</v>
      </c>
      <c r="P1803">
        <v>-0.63220339999999997</v>
      </c>
      <c r="Q1803">
        <v>9.4095689999999996E-3</v>
      </c>
      <c r="R1803">
        <v>-0.77474529999999997</v>
      </c>
      <c r="S1803">
        <v>-2.405869</v>
      </c>
      <c r="T1803">
        <v>-0.269835099999999</v>
      </c>
      <c r="U1803">
        <v>-1.9147029999999901</v>
      </c>
      <c r="V1803">
        <v>0.1117991</v>
      </c>
      <c r="W1803">
        <v>2.2579479999999999E-2</v>
      </c>
      <c r="X1803">
        <v>0.99347419999999997</v>
      </c>
      <c r="Y1803">
        <v>0.31734200000000001</v>
      </c>
      <c r="Z1803">
        <v>8.1258529999999995E-2</v>
      </c>
      <c r="AA1803">
        <v>0.94482330000000003</v>
      </c>
      <c r="AB1803">
        <v>22</v>
      </c>
      <c r="AC1803">
        <v>-9.0050999999999899</v>
      </c>
      <c r="AD1803">
        <v>-1.02334685999999</v>
      </c>
      <c r="AE1803">
        <v>-7.0812000000000204</v>
      </c>
      <c r="AF1803">
        <v>3.7037097415786602</v>
      </c>
      <c r="AG1803">
        <v>-1.02334685999999</v>
      </c>
      <c r="AH1803">
        <v>10.7446769313269</v>
      </c>
      <c r="AI1803">
        <v>95.1452032796048</v>
      </c>
      <c r="AJ1803">
        <v>70.980834088355095</v>
      </c>
      <c r="AK1803">
        <v>11.4110817631075</v>
      </c>
    </row>
    <row r="1804" spans="1:37" x14ac:dyDescent="0.2">
      <c r="A1804" t="str">
        <f>"20200111155534291"</f>
        <v>20200111155534291</v>
      </c>
      <c r="B1804" t="str">
        <f>"1578729334284651"</f>
        <v>1578729334284651</v>
      </c>
      <c r="C1804" t="s">
        <v>37</v>
      </c>
      <c r="D1804">
        <v>5.2085910000000002</v>
      </c>
      <c r="E1804">
        <v>0.59306910000000002</v>
      </c>
      <c r="F1804" t="s">
        <v>56</v>
      </c>
      <c r="G1804">
        <v>-208.04400000000001</v>
      </c>
      <c r="H1804" s="1">
        <v>5.3999019999999901E-6</v>
      </c>
      <c r="I1804">
        <v>289.012</v>
      </c>
      <c r="J1804">
        <v>-196.7773</v>
      </c>
      <c r="K1804">
        <v>1.1032569999999999</v>
      </c>
      <c r="L1804">
        <v>297.51049999999998</v>
      </c>
      <c r="M1804">
        <v>-0.54414980000000002</v>
      </c>
      <c r="N1804">
        <v>0</v>
      </c>
      <c r="O1804">
        <v>-0.83887610000000001</v>
      </c>
      <c r="P1804">
        <v>-0.63434609999999902</v>
      </c>
      <c r="Q1804">
        <v>8.9260280000000008E-3</v>
      </c>
      <c r="R1804">
        <v>-0.77299770000000001</v>
      </c>
      <c r="S1804">
        <v>-2.4550019999999999</v>
      </c>
      <c r="T1804">
        <v>-0.2377985</v>
      </c>
      <c r="U1804">
        <v>-1.8717649999999999</v>
      </c>
      <c r="V1804">
        <v>0.1116164</v>
      </c>
      <c r="W1804">
        <v>2.207607E-2</v>
      </c>
      <c r="X1804">
        <v>0.99350609999999995</v>
      </c>
      <c r="Y1804">
        <v>0.33482469999999998</v>
      </c>
      <c r="Z1804">
        <v>7.1680789999999994E-2</v>
      </c>
      <c r="AA1804">
        <v>0.93955</v>
      </c>
      <c r="AB1804">
        <v>22</v>
      </c>
      <c r="AC1804">
        <v>-11.2667</v>
      </c>
      <c r="AD1804">
        <v>-1.1032516000979999</v>
      </c>
      <c r="AE1804">
        <v>-8.4984999999999697</v>
      </c>
      <c r="AF1804">
        <v>4.7980390784986398</v>
      </c>
      <c r="AG1804">
        <v>-1.1032516000979999</v>
      </c>
      <c r="AH1804">
        <v>13.180654733661299</v>
      </c>
      <c r="AI1804">
        <v>94.497236560429997</v>
      </c>
      <c r="AJ1804">
        <v>69.997416422144099</v>
      </c>
      <c r="AK1804">
        <v>14.070110244767299</v>
      </c>
    </row>
    <row r="1805" spans="1:37" x14ac:dyDescent="0.2">
      <c r="A1805" t="str">
        <f>"20200111155534313"</f>
        <v>20200111155534313</v>
      </c>
      <c r="B1805" t="str">
        <f>"1578729334304516"</f>
        <v>1578729334304516</v>
      </c>
      <c r="C1805" t="s">
        <v>37</v>
      </c>
      <c r="D1805">
        <v>5.1726739999999998</v>
      </c>
      <c r="E1805">
        <v>0.59349010000000002</v>
      </c>
      <c r="F1805" t="s">
        <v>56</v>
      </c>
      <c r="G1805">
        <v>-208.4023</v>
      </c>
      <c r="H1805" s="1">
        <v>5.5810749999999998E-6</v>
      </c>
      <c r="I1805">
        <v>288.75700000000001</v>
      </c>
      <c r="J1805">
        <v>-196.89789999999999</v>
      </c>
      <c r="K1805">
        <v>1.103156</v>
      </c>
      <c r="L1805">
        <v>297.33089999999999</v>
      </c>
      <c r="M1805">
        <v>-0.54667239999999995</v>
      </c>
      <c r="N1805">
        <v>0</v>
      </c>
      <c r="O1805">
        <v>-0.83723440000000005</v>
      </c>
      <c r="P1805">
        <v>-0.63710239999999996</v>
      </c>
      <c r="Q1805">
        <v>8.713139E-3</v>
      </c>
      <c r="R1805">
        <v>-0.77073029999999998</v>
      </c>
      <c r="S1805">
        <v>-2.4680179999999998</v>
      </c>
      <c r="T1805">
        <v>-0.2342226</v>
      </c>
      <c r="U1805">
        <v>-1.858368</v>
      </c>
      <c r="V1805">
        <v>0.1121767</v>
      </c>
      <c r="W1805">
        <v>2.1833419999999999E-2</v>
      </c>
      <c r="X1805">
        <v>0.99344840000000001</v>
      </c>
      <c r="Y1805">
        <v>0.33770270000000002</v>
      </c>
      <c r="Z1805">
        <v>7.053015E-2</v>
      </c>
      <c r="AA1805">
        <v>0.93860659999999896</v>
      </c>
      <c r="AB1805">
        <v>22</v>
      </c>
      <c r="AC1805">
        <v>-11.5044</v>
      </c>
      <c r="AD1805">
        <v>-1.1031504189250001</v>
      </c>
      <c r="AE1805">
        <v>-8.5738999999999805</v>
      </c>
      <c r="AF1805">
        <v>4.9161679418761297</v>
      </c>
      <c r="AG1805">
        <v>-1.1031504189250001</v>
      </c>
      <c r="AH1805">
        <v>13.3896155398195</v>
      </c>
      <c r="AI1805">
        <v>94.422463913830995</v>
      </c>
      <c r="AJ1805">
        <v>69.838646068314802</v>
      </c>
      <c r="AK1805">
        <v>14.306203283320199</v>
      </c>
    </row>
    <row r="1806" spans="1:37" x14ac:dyDescent="0.2">
      <c r="A1806" t="str">
        <f>"20200111155534335"</f>
        <v>20200111155534335</v>
      </c>
      <c r="B1806" t="str">
        <f>"1578729334324035"</f>
        <v>1578729334324035</v>
      </c>
      <c r="C1806" t="s">
        <v>37</v>
      </c>
      <c r="D1806">
        <v>5.2603929999999997</v>
      </c>
      <c r="E1806">
        <v>0.59402080000000002</v>
      </c>
      <c r="F1806" t="s">
        <v>56</v>
      </c>
      <c r="G1806">
        <v>-208.83789999999999</v>
      </c>
      <c r="H1806" s="1">
        <v>5.80285499999999E-6</v>
      </c>
      <c r="I1806">
        <v>288.42970000000003</v>
      </c>
      <c r="J1806">
        <v>-197.01779999999999</v>
      </c>
      <c r="K1806">
        <v>1.103035</v>
      </c>
      <c r="L1806">
        <v>297.15390000000002</v>
      </c>
      <c r="M1806">
        <v>-0.549319</v>
      </c>
      <c r="N1806">
        <v>0</v>
      </c>
      <c r="O1806">
        <v>-0.83550040000000003</v>
      </c>
      <c r="P1806">
        <v>-0.64113299999999995</v>
      </c>
      <c r="Q1806">
        <v>8.4061919999999998E-3</v>
      </c>
      <c r="R1806">
        <v>-0.76738409999999901</v>
      </c>
      <c r="S1806">
        <v>-2.4775390000000002</v>
      </c>
      <c r="T1806">
        <v>-0.22890250000000001</v>
      </c>
      <c r="U1806">
        <v>-1.8469849999999901</v>
      </c>
      <c r="V1806">
        <v>0.1142432</v>
      </c>
      <c r="W1806">
        <v>2.148255E-2</v>
      </c>
      <c r="X1806">
        <v>0.99322049999999995</v>
      </c>
      <c r="Y1806">
        <v>0.33933359999999901</v>
      </c>
      <c r="Z1806">
        <v>6.8860000000000005E-2</v>
      </c>
      <c r="AA1806">
        <v>0.93814229999999998</v>
      </c>
      <c r="AB1806">
        <v>22</v>
      </c>
      <c r="AC1806">
        <v>-11.820099999999901</v>
      </c>
      <c r="AD1806">
        <v>-1.1030291971449999</v>
      </c>
      <c r="AE1806">
        <v>-8.7241999999999909</v>
      </c>
      <c r="AF1806">
        <v>5.0553084661076397</v>
      </c>
      <c r="AG1806">
        <v>-1.1030291971449999</v>
      </c>
      <c r="AH1806">
        <v>13.7061067317869</v>
      </c>
      <c r="AI1806">
        <v>94.317928200575594</v>
      </c>
      <c r="AJ1806">
        <v>69.754199413929001</v>
      </c>
      <c r="AK1806">
        <v>14.650262074119601</v>
      </c>
    </row>
    <row r="1807" spans="1:37" x14ac:dyDescent="0.2">
      <c r="A1807" t="str">
        <f>"20200111155534357"</f>
        <v>20200111155534357</v>
      </c>
      <c r="B1807" t="str">
        <f>"1578729334354293"</f>
        <v>1578729334354293</v>
      </c>
      <c r="C1807" t="s">
        <v>37</v>
      </c>
      <c r="D1807">
        <v>5.0869049999999998</v>
      </c>
      <c r="E1807">
        <v>0.59482309999999905</v>
      </c>
      <c r="F1807" t="s">
        <v>56</v>
      </c>
      <c r="G1807">
        <v>-209.38460000000001</v>
      </c>
      <c r="H1807" s="1">
        <v>6.0771279999999997E-6</v>
      </c>
      <c r="I1807">
        <v>288.06549999999999</v>
      </c>
      <c r="J1807">
        <v>-197.13810000000001</v>
      </c>
      <c r="K1807">
        <v>1.1028979999999999</v>
      </c>
      <c r="L1807">
        <v>296.97800000000001</v>
      </c>
      <c r="M1807">
        <v>-0.55213970000000001</v>
      </c>
      <c r="N1807">
        <v>0</v>
      </c>
      <c r="O1807">
        <v>-0.83363889999999996</v>
      </c>
      <c r="P1807">
        <v>-0.64629809999999999</v>
      </c>
      <c r="Q1807">
        <v>8.5153079999999992E-3</v>
      </c>
      <c r="R1807">
        <v>-0.76303779999999999</v>
      </c>
      <c r="S1807">
        <v>-2.4909520000000001</v>
      </c>
      <c r="T1807">
        <v>-0.22217519999999999</v>
      </c>
      <c r="U1807">
        <v>-1.830627</v>
      </c>
      <c r="V1807">
        <v>0.11759939999999899</v>
      </c>
      <c r="W1807">
        <v>2.153356E-2</v>
      </c>
      <c r="X1807">
        <v>0.99282769999999998</v>
      </c>
      <c r="Y1807">
        <v>0.34269670000000002</v>
      </c>
      <c r="Z1807">
        <v>6.6797399999999896E-2</v>
      </c>
      <c r="AA1807">
        <v>0.93706829999999997</v>
      </c>
      <c r="AB1807">
        <v>22</v>
      </c>
      <c r="AC1807">
        <v>-12.2464999999999</v>
      </c>
      <c r="AD1807">
        <v>-1.102891922872</v>
      </c>
      <c r="AE1807">
        <v>-8.9125000000000192</v>
      </c>
      <c r="AF1807">
        <v>5.2608168947267098</v>
      </c>
      <c r="AG1807">
        <v>-1.102891922872</v>
      </c>
      <c r="AH1807">
        <v>14.118062731352101</v>
      </c>
      <c r="AI1807">
        <v>94.186707848713496</v>
      </c>
      <c r="AJ1807">
        <v>69.563085754538903</v>
      </c>
      <c r="AK1807">
        <v>15.106695875662901</v>
      </c>
    </row>
    <row r="1808" spans="1:37" x14ac:dyDescent="0.2">
      <c r="A1808" t="str">
        <f>"20200111155534381"</f>
        <v>20200111155534381</v>
      </c>
      <c r="B1808" t="str">
        <f>"1578729334374788"</f>
        <v>1578729334374788</v>
      </c>
      <c r="C1808" t="s">
        <v>37</v>
      </c>
      <c r="D1808">
        <v>5.0696690000000002</v>
      </c>
      <c r="E1808">
        <v>0.59522640000000004</v>
      </c>
      <c r="F1808" t="s">
        <v>56</v>
      </c>
      <c r="G1808">
        <v>-209.935</v>
      </c>
      <c r="H1808" s="1">
        <v>6.3490270000000002E-6</v>
      </c>
      <c r="I1808">
        <v>287.74740000000003</v>
      </c>
      <c r="J1808">
        <v>-197.2696</v>
      </c>
      <c r="K1808">
        <v>1.1027279999999999</v>
      </c>
      <c r="L1808">
        <v>296.78769999999997</v>
      </c>
      <c r="M1808">
        <v>-0.55544780000000005</v>
      </c>
      <c r="N1808">
        <v>0</v>
      </c>
      <c r="O1808">
        <v>-0.83143820000000002</v>
      </c>
      <c r="P1808">
        <v>-0.65302169999999904</v>
      </c>
      <c r="Q1808">
        <v>9.5621790000000005E-3</v>
      </c>
      <c r="R1808">
        <v>-0.75727919999999904</v>
      </c>
      <c r="S1808">
        <v>-2.508499</v>
      </c>
      <c r="T1808">
        <v>-0.21619240000000001</v>
      </c>
      <c r="U1808">
        <v>-1.809418</v>
      </c>
      <c r="V1808">
        <v>0.1224576</v>
      </c>
      <c r="W1808">
        <v>2.2501779999999999E-2</v>
      </c>
      <c r="X1808">
        <v>0.99221859999999995</v>
      </c>
      <c r="Y1808">
        <v>0.34740090000000001</v>
      </c>
      <c r="Z1808">
        <v>6.4957979999999998E-2</v>
      </c>
      <c r="AA1808">
        <v>0.93546409999999902</v>
      </c>
      <c r="AB1808">
        <v>22</v>
      </c>
      <c r="AC1808">
        <v>-12.6654</v>
      </c>
      <c r="AD1808">
        <v>-1.102721650973</v>
      </c>
      <c r="AE1808">
        <v>-9.0402999999999398</v>
      </c>
      <c r="AF1808">
        <v>5.48207097265378</v>
      </c>
      <c r="AG1808">
        <v>-1.102721650973</v>
      </c>
      <c r="AH1808">
        <v>14.480072060125</v>
      </c>
      <c r="AI1808">
        <v>94.073789966474095</v>
      </c>
      <c r="AJ1808">
        <v>69.263626035093694</v>
      </c>
      <c r="AK1808">
        <v>15.522293131336999</v>
      </c>
    </row>
    <row r="1809" spans="1:37" x14ac:dyDescent="0.2">
      <c r="A1809" t="str">
        <f>"20200111155534404"</f>
        <v>20200111155534404</v>
      </c>
      <c r="B1809" t="str">
        <f>"1578729334394308"</f>
        <v>1578729334394308</v>
      </c>
      <c r="C1809" t="s">
        <v>37</v>
      </c>
      <c r="D1809">
        <v>5.1127949999999904</v>
      </c>
      <c r="E1809">
        <v>0.59550139999999996</v>
      </c>
      <c r="F1809" t="s">
        <v>59</v>
      </c>
      <c r="G1809">
        <v>-210.5197</v>
      </c>
      <c r="H1809" s="1">
        <v>-1.260222E-6</v>
      </c>
      <c r="I1809">
        <v>287.42739999999998</v>
      </c>
      <c r="J1809">
        <v>-197.3989</v>
      </c>
      <c r="K1809">
        <v>1.102557</v>
      </c>
      <c r="L1809">
        <v>296.60289999999998</v>
      </c>
      <c r="M1809">
        <v>-0.55891780000000002</v>
      </c>
      <c r="N1809">
        <v>0</v>
      </c>
      <c r="O1809">
        <v>-0.82910919999999899</v>
      </c>
      <c r="P1809">
        <v>-0.65978899999999996</v>
      </c>
      <c r="Q1809">
        <v>1.1305580000000001E-2</v>
      </c>
      <c r="R1809">
        <v>-0.75136630000000004</v>
      </c>
      <c r="S1809">
        <v>-2.526993</v>
      </c>
      <c r="T1809">
        <v>-0.2103072</v>
      </c>
      <c r="U1809">
        <v>-1.785156</v>
      </c>
      <c r="V1809">
        <v>0.12724559999999999</v>
      </c>
      <c r="W1809">
        <v>2.4165010000000001E-2</v>
      </c>
      <c r="X1809">
        <v>0.99157689999999998</v>
      </c>
      <c r="Y1809">
        <v>0.35280620000000001</v>
      </c>
      <c r="Z1809">
        <v>6.3174449999999993E-2</v>
      </c>
      <c r="AA1809">
        <v>0.93356130000000004</v>
      </c>
      <c r="AB1809">
        <v>22</v>
      </c>
      <c r="AC1809">
        <v>-13.120799999999999</v>
      </c>
      <c r="AD1809">
        <v>-1.1025582602220001</v>
      </c>
      <c r="AE1809">
        <v>-9.1754999999999995</v>
      </c>
      <c r="AF1809">
        <v>5.7236262357069796</v>
      </c>
      <c r="AG1809">
        <v>-1.1025582602220001</v>
      </c>
      <c r="AH1809">
        <v>14.8718261062753</v>
      </c>
      <c r="AI1809">
        <v>93.957989441296505</v>
      </c>
      <c r="AJ1809">
        <v>68.950095292774193</v>
      </c>
      <c r="AK1809">
        <v>15.9733134865171</v>
      </c>
    </row>
    <row r="1810" spans="1:37" x14ac:dyDescent="0.2">
      <c r="A1810" t="str">
        <f>"20200111155534447"</f>
        <v>20200111155534447</v>
      </c>
      <c r="B1810" t="str">
        <f>"1578729334444083"</f>
        <v>1578729334444083</v>
      </c>
      <c r="C1810" t="s">
        <v>37</v>
      </c>
      <c r="D1810">
        <v>5.1069589999999998</v>
      </c>
      <c r="E1810">
        <v>0.59514290000000003</v>
      </c>
      <c r="F1810" t="s">
        <v>59</v>
      </c>
      <c r="G1810">
        <v>-211.1875</v>
      </c>
      <c r="H1810" s="1">
        <v>-9.048399E-7</v>
      </c>
      <c r="I1810">
        <v>287.06180000000001</v>
      </c>
      <c r="J1810">
        <v>-197.64490000000001</v>
      </c>
      <c r="K1810">
        <v>1.102295</v>
      </c>
      <c r="L1810">
        <v>296.25720000000001</v>
      </c>
      <c r="M1810">
        <v>-0.56599200000000005</v>
      </c>
      <c r="N1810">
        <v>0</v>
      </c>
      <c r="O1810">
        <v>-0.82429589999999997</v>
      </c>
      <c r="P1810">
        <v>-0.66993459999999905</v>
      </c>
      <c r="Q1810">
        <v>1.48081999999999E-2</v>
      </c>
      <c r="R1810">
        <v>-0.74227240000000005</v>
      </c>
      <c r="S1810">
        <v>-2.5449519999999999</v>
      </c>
      <c r="T1810">
        <v>-0.2034975</v>
      </c>
      <c r="U1810">
        <v>-1.7609859999999999</v>
      </c>
      <c r="V1810">
        <v>0.13230529999999999</v>
      </c>
      <c r="W1810">
        <v>2.7556569999999999E-2</v>
      </c>
      <c r="X1810">
        <v>0.99082590000000004</v>
      </c>
      <c r="Y1810">
        <v>0.35401319999999997</v>
      </c>
      <c r="Z1810">
        <v>6.0912880000000003E-2</v>
      </c>
      <c r="AA1810">
        <v>0.93325469999999899</v>
      </c>
      <c r="AB1810">
        <v>22</v>
      </c>
      <c r="AC1810">
        <v>-13.542599999999901</v>
      </c>
      <c r="AD1810">
        <v>-1.1022959048398999</v>
      </c>
      <c r="AE1810">
        <v>-9.1953999999999994</v>
      </c>
      <c r="AF1810">
        <v>5.9322510849793302</v>
      </c>
      <c r="AG1810">
        <v>-1.1022959048398999</v>
      </c>
      <c r="AH1810">
        <v>15.1773551765209</v>
      </c>
      <c r="AI1810">
        <v>93.869828507409196</v>
      </c>
      <c r="AJ1810">
        <v>68.651361282289002</v>
      </c>
      <c r="AK1810">
        <v>16.332751432362301</v>
      </c>
    </row>
    <row r="1811" spans="1:37" x14ac:dyDescent="0.2">
      <c r="A1811" t="str">
        <f>"20200111155534469"</f>
        <v>20200111155534469</v>
      </c>
      <c r="B1811" t="str">
        <f>"1578729334464580"</f>
        <v>1578729334464580</v>
      </c>
      <c r="C1811" t="s">
        <v>37</v>
      </c>
      <c r="D1811">
        <v>5.0995249999999999</v>
      </c>
      <c r="E1811">
        <v>0.59491959999999999</v>
      </c>
      <c r="F1811" t="s">
        <v>59</v>
      </c>
      <c r="G1811">
        <v>-212.2955</v>
      </c>
      <c r="H1811" s="1">
        <v>-3.1522269999999999E-7</v>
      </c>
      <c r="I1811">
        <v>286.3861</v>
      </c>
      <c r="J1811">
        <v>-197.7679</v>
      </c>
      <c r="K1811">
        <v>1.1021719999999999</v>
      </c>
      <c r="L1811">
        <v>296.08730000000003</v>
      </c>
      <c r="M1811">
        <v>-0.56975790000000004</v>
      </c>
      <c r="N1811">
        <v>0</v>
      </c>
      <c r="O1811">
        <v>-0.82169729999999996</v>
      </c>
      <c r="P1811">
        <v>-0.67320249999999904</v>
      </c>
      <c r="Q1811">
        <v>1.5892239999999998E-2</v>
      </c>
      <c r="R1811">
        <v>-0.73928760000000004</v>
      </c>
      <c r="S1811">
        <v>-2.566452</v>
      </c>
      <c r="T1811">
        <v>-0.19309599999999999</v>
      </c>
      <c r="U1811">
        <v>-1.72918699999999</v>
      </c>
      <c r="V1811">
        <v>0.13217110000000001</v>
      </c>
      <c r="W1811">
        <v>2.8611399999999999E-2</v>
      </c>
      <c r="X1811">
        <v>0.99081390000000003</v>
      </c>
      <c r="Y1811">
        <v>0.36147790000000002</v>
      </c>
      <c r="Z1811">
        <v>5.7840589999999997E-2</v>
      </c>
      <c r="AA1811">
        <v>0.93058479999999999</v>
      </c>
      <c r="AB1811">
        <v>22</v>
      </c>
      <c r="AC1811">
        <v>-14.5276</v>
      </c>
      <c r="AD1811">
        <v>-1.1021723152226901</v>
      </c>
      <c r="AE1811">
        <v>-9.7012000000000196</v>
      </c>
      <c r="AF1811">
        <v>6.3851440578655101</v>
      </c>
      <c r="AG1811">
        <v>-1.1021723152226901</v>
      </c>
      <c r="AH1811">
        <v>16.185772813630098</v>
      </c>
      <c r="AI1811">
        <v>93.624521579316706</v>
      </c>
      <c r="AJ1811">
        <v>68.471204693259395</v>
      </c>
      <c r="AK1811">
        <v>17.434565954636899</v>
      </c>
    </row>
    <row r="1812" spans="1:37" x14ac:dyDescent="0.2">
      <c r="A1812" t="str">
        <f>"20200111155534492"</f>
        <v>20200111155534492</v>
      </c>
      <c r="B1812" t="str">
        <f>"1578729334484099"</f>
        <v>1578729334484099</v>
      </c>
      <c r="C1812" t="s">
        <v>37</v>
      </c>
      <c r="D1812">
        <v>5.1664009999999996</v>
      </c>
      <c r="E1812">
        <v>0.59453540000000005</v>
      </c>
      <c r="F1812" t="s">
        <v>59</v>
      </c>
      <c r="G1812">
        <v>-212.51140000000001</v>
      </c>
      <c r="H1812" s="1">
        <v>-2.0035479999999901E-7</v>
      </c>
      <c r="I1812">
        <v>286.22890000000001</v>
      </c>
      <c r="J1812">
        <v>-197.90099999999899</v>
      </c>
      <c r="K1812">
        <v>1.1020369999999999</v>
      </c>
      <c r="L1812">
        <v>295.90550000000002</v>
      </c>
      <c r="M1812">
        <v>-0.57398780000000005</v>
      </c>
      <c r="N1812">
        <v>0</v>
      </c>
      <c r="O1812">
        <v>-0.81874780000000003</v>
      </c>
      <c r="P1812">
        <v>-0.67605819999999905</v>
      </c>
      <c r="Q1812">
        <v>1.5737330000000001E-2</v>
      </c>
      <c r="R1812">
        <v>-0.73668029999999995</v>
      </c>
      <c r="S1812">
        <v>-2.57214399999999</v>
      </c>
      <c r="T1812">
        <v>-0.19228399999999901</v>
      </c>
      <c r="U1812">
        <v>-1.7198789999999999</v>
      </c>
      <c r="V1812">
        <v>0.1309015</v>
      </c>
      <c r="W1812">
        <v>2.8438850000000002E-2</v>
      </c>
      <c r="X1812">
        <v>0.99098739999999996</v>
      </c>
      <c r="Y1812">
        <v>0.35996739999999999</v>
      </c>
      <c r="Z1812">
        <v>5.7443130000000002E-2</v>
      </c>
      <c r="AA1812">
        <v>0.93119479999999999</v>
      </c>
      <c r="AB1812">
        <v>22</v>
      </c>
      <c r="AC1812">
        <v>-14.6104</v>
      </c>
      <c r="AD1812">
        <v>-1.1020372003548</v>
      </c>
      <c r="AE1812">
        <v>-9.6766000000000005</v>
      </c>
      <c r="AF1812">
        <v>6.3833473589263701</v>
      </c>
      <c r="AG1812">
        <v>-1.1020372003548</v>
      </c>
      <c r="AH1812">
        <v>16.2461876564467</v>
      </c>
      <c r="AI1812">
        <v>93.6125742554092</v>
      </c>
      <c r="AJ1812">
        <v>68.549463660924502</v>
      </c>
      <c r="AK1812">
        <v>17.490003512411299</v>
      </c>
    </row>
    <row r="1813" spans="1:37" x14ac:dyDescent="0.2">
      <c r="A1813" t="str">
        <f>"20200111155534515"</f>
        <v>20200111155534515</v>
      </c>
      <c r="B1813" t="str">
        <f>"1578729334504600"</f>
        <v>1578729334504600</v>
      </c>
      <c r="C1813" t="s">
        <v>37</v>
      </c>
      <c r="D1813">
        <v>5.1146709999999898</v>
      </c>
      <c r="E1813">
        <v>0.59416689999999905</v>
      </c>
      <c r="F1813" t="s">
        <v>59</v>
      </c>
      <c r="G1813">
        <v>-212.43879999999999</v>
      </c>
      <c r="H1813" s="1">
        <v>-2.3899419999999999E-7</v>
      </c>
      <c r="I1813">
        <v>286.24149999999997</v>
      </c>
      <c r="J1813">
        <v>-198.03229999999999</v>
      </c>
      <c r="K1813">
        <v>1.1019049999999999</v>
      </c>
      <c r="L1813">
        <v>295.72879999999998</v>
      </c>
      <c r="M1813">
        <v>-0.57828259999999998</v>
      </c>
      <c r="N1813">
        <v>0</v>
      </c>
      <c r="O1813">
        <v>-0.81571979999999999</v>
      </c>
      <c r="P1813">
        <v>-0.67863229999999997</v>
      </c>
      <c r="Q1813">
        <v>1.397209E-2</v>
      </c>
      <c r="R1813">
        <v>-0.73434540000000004</v>
      </c>
      <c r="S1813">
        <v>-2.5760800000000001</v>
      </c>
      <c r="T1813">
        <v>-0.1952807</v>
      </c>
      <c r="U1813">
        <v>-1.7124630000000001</v>
      </c>
      <c r="V1813">
        <v>0.1291358</v>
      </c>
      <c r="W1813">
        <v>2.6663780000000002E-2</v>
      </c>
      <c r="X1813">
        <v>0.99126840000000005</v>
      </c>
      <c r="Y1813">
        <v>0.3575335</v>
      </c>
      <c r="Z1813">
        <v>5.8162070000000003E-2</v>
      </c>
      <c r="AA1813">
        <v>0.93208740000000001</v>
      </c>
      <c r="AB1813">
        <v>22</v>
      </c>
      <c r="AC1813">
        <v>-14.4064999999999</v>
      </c>
      <c r="AD1813">
        <v>-1.1019052389941999</v>
      </c>
      <c r="AE1813">
        <v>-9.4872999999999994</v>
      </c>
      <c r="AF1813">
        <v>6.2404589058973103</v>
      </c>
      <c r="AG1813">
        <v>-1.1019052389941999</v>
      </c>
      <c r="AH1813">
        <v>16.006222827285299</v>
      </c>
      <c r="AI1813">
        <v>93.669919295771393</v>
      </c>
      <c r="AJ1813">
        <v>68.700331235538201</v>
      </c>
      <c r="AK1813">
        <v>17.215013555284401</v>
      </c>
    </row>
    <row r="1814" spans="1:37" x14ac:dyDescent="0.2">
      <c r="A1814" t="str">
        <f>"20200111155534536"</f>
        <v>20200111155534536</v>
      </c>
      <c r="B1814" t="str">
        <f>"1578729334524122"</f>
        <v>1578729334524122</v>
      </c>
      <c r="C1814" t="s">
        <v>37</v>
      </c>
      <c r="D1814">
        <v>5.0927480000000003</v>
      </c>
      <c r="E1814">
        <v>0.59378969999999998</v>
      </c>
      <c r="F1814" t="s">
        <v>59</v>
      </c>
      <c r="G1814">
        <v>-211.9759</v>
      </c>
      <c r="H1814" s="1">
        <v>-4.8529950000000002E-7</v>
      </c>
      <c r="I1814">
        <v>286.50560000000002</v>
      </c>
      <c r="J1814">
        <v>-198.15700000000001</v>
      </c>
      <c r="K1814">
        <v>1.101774</v>
      </c>
      <c r="L1814">
        <v>295.56299999999999</v>
      </c>
      <c r="M1814">
        <v>-0.58246369999999903</v>
      </c>
      <c r="N1814">
        <v>0</v>
      </c>
      <c r="O1814">
        <v>-0.81273960000000001</v>
      </c>
      <c r="P1814">
        <v>-0.6811007</v>
      </c>
      <c r="Q1814">
        <v>1.152416E-2</v>
      </c>
      <c r="R1814">
        <v>-0.73209930000000001</v>
      </c>
      <c r="S1814">
        <v>-2.5789490000000002</v>
      </c>
      <c r="T1814">
        <v>-0.20380279999999901</v>
      </c>
      <c r="U1814">
        <v>-1.7058720000000001</v>
      </c>
      <c r="V1814">
        <v>0.12734519999999999</v>
      </c>
      <c r="W1814">
        <v>2.4211730000000001E-2</v>
      </c>
      <c r="X1814">
        <v>0.99156290000000002</v>
      </c>
      <c r="Y1814">
        <v>0.35472740000000003</v>
      </c>
      <c r="Z1814">
        <v>6.0512059999999999E-2</v>
      </c>
      <c r="AA1814">
        <v>0.93300959999999999</v>
      </c>
      <c r="AB1814">
        <v>22</v>
      </c>
      <c r="AC1814">
        <v>-13.8188999999999</v>
      </c>
      <c r="AD1814">
        <v>-1.1017744852995</v>
      </c>
      <c r="AE1814">
        <v>-9.0573999999999693</v>
      </c>
      <c r="AF1814">
        <v>5.9297604378297999</v>
      </c>
      <c r="AG1814">
        <v>-1.1017744852995</v>
      </c>
      <c r="AH1814">
        <v>15.343556197357101</v>
      </c>
      <c r="AI1814">
        <v>93.831897417909602</v>
      </c>
      <c r="AJ1814">
        <v>68.870185456797998</v>
      </c>
      <c r="AK1814">
        <v>16.486378700247201</v>
      </c>
    </row>
    <row r="1815" spans="1:37" x14ac:dyDescent="0.2">
      <c r="A1815" t="str">
        <f>"20200111155534604"</f>
        <v>20200111155534604</v>
      </c>
      <c r="B1815" t="str">
        <f>"1578729334594392"</f>
        <v>1578729334594392</v>
      </c>
      <c r="C1815" t="s">
        <v>37</v>
      </c>
      <c r="D1815">
        <v>5.3133059999999999</v>
      </c>
      <c r="E1815">
        <v>0.59629860000000001</v>
      </c>
      <c r="F1815" t="s">
        <v>59</v>
      </c>
      <c r="G1815">
        <v>-211.46520000000001</v>
      </c>
      <c r="H1815" s="1">
        <v>-7.5705890000000001E-7</v>
      </c>
      <c r="I1815">
        <v>286.80430000000001</v>
      </c>
      <c r="J1815">
        <v>-198.5479</v>
      </c>
      <c r="K1815">
        <v>1.101402</v>
      </c>
      <c r="L1815">
        <v>295.05180000000001</v>
      </c>
      <c r="M1815">
        <v>-0.60054929999999995</v>
      </c>
      <c r="N1815">
        <v>0</v>
      </c>
      <c r="O1815">
        <v>-0.79945509999999997</v>
      </c>
      <c r="P1815">
        <v>-0.69433</v>
      </c>
      <c r="Q1815">
        <v>3.2618619999999999E-3</v>
      </c>
      <c r="R1815">
        <v>-0.7196496</v>
      </c>
      <c r="S1815">
        <v>-2.5818479999999999</v>
      </c>
      <c r="T1815">
        <v>-0.2137481</v>
      </c>
      <c r="U1815">
        <v>-1.69921899999999</v>
      </c>
      <c r="V1815">
        <v>0.1231116</v>
      </c>
      <c r="W1815">
        <v>1.627928E-2</v>
      </c>
      <c r="X1815">
        <v>0.99225929999999996</v>
      </c>
      <c r="Y1815">
        <v>0.33569779999999999</v>
      </c>
      <c r="Z1815">
        <v>6.235976E-2</v>
      </c>
      <c r="AA1815">
        <v>0.9399033</v>
      </c>
      <c r="AB1815">
        <v>21</v>
      </c>
      <c r="AC1815">
        <v>-12.917299999999999</v>
      </c>
      <c r="AD1815">
        <v>-1.10140275705889</v>
      </c>
      <c r="AE1815">
        <v>-8.2475000000000005</v>
      </c>
      <c r="AF1815">
        <v>5.3467263802373797</v>
      </c>
      <c r="AG1815">
        <v>-1.10140275705889</v>
      </c>
      <c r="AH1815">
        <v>14.278757082125599</v>
      </c>
      <c r="AI1815">
        <v>94.131723560079294</v>
      </c>
      <c r="AJ1815">
        <v>69.471426180986001</v>
      </c>
      <c r="AK1815">
        <v>15.2867090908651</v>
      </c>
    </row>
    <row r="1816" spans="1:37" x14ac:dyDescent="0.2">
      <c r="A1816" t="str">
        <f>"20200111155534626"</f>
        <v>20200111155534626</v>
      </c>
      <c r="B1816" t="str">
        <f>"1578729334613911"</f>
        <v>1578729334613911</v>
      </c>
      <c r="C1816" t="s">
        <v>37</v>
      </c>
      <c r="D1816">
        <v>5.3418589999999897</v>
      </c>
      <c r="E1816">
        <v>0.59868449999999995</v>
      </c>
      <c r="F1816" t="s">
        <v>59</v>
      </c>
      <c r="G1816">
        <v>-210.61279999999999</v>
      </c>
      <c r="H1816" s="1">
        <v>-1.2106779999999999E-6</v>
      </c>
      <c r="I1816">
        <v>287.52850000000001</v>
      </c>
      <c r="J1816">
        <v>-198.6789</v>
      </c>
      <c r="K1816">
        <v>1.10005</v>
      </c>
      <c r="L1816">
        <v>294.8854</v>
      </c>
      <c r="M1816">
        <v>-0.60544869999999995</v>
      </c>
      <c r="N1816">
        <v>0</v>
      </c>
      <c r="O1816">
        <v>-0.79577359999999997</v>
      </c>
      <c r="P1816">
        <v>-0.69829549999999996</v>
      </c>
      <c r="Q1816">
        <v>3.2687620000000001E-3</v>
      </c>
      <c r="R1816">
        <v>-0.7158021</v>
      </c>
      <c r="S1816">
        <v>-2.6251679999999999</v>
      </c>
      <c r="T1816">
        <v>-0.23965059999999999</v>
      </c>
      <c r="U1816">
        <v>-1.6369629999999999</v>
      </c>
      <c r="V1816">
        <v>0.122569</v>
      </c>
      <c r="W1816">
        <v>1.4426990000000001E-2</v>
      </c>
      <c r="X1816">
        <v>0.99235509999999905</v>
      </c>
      <c r="Y1816">
        <v>0.35237639999999998</v>
      </c>
      <c r="Z1816">
        <v>7.0029439999999998E-2</v>
      </c>
      <c r="AA1816">
        <v>0.93323459999999903</v>
      </c>
      <c r="AB1816">
        <v>21</v>
      </c>
      <c r="AC1816">
        <v>-11.9338999999999</v>
      </c>
      <c r="AD1816">
        <v>-1.100051210678</v>
      </c>
      <c r="AE1816">
        <v>-7.3568999999999898</v>
      </c>
      <c r="AF1816">
        <v>5.01204220400186</v>
      </c>
      <c r="AG1816">
        <v>-1.100051210678</v>
      </c>
      <c r="AH1816">
        <v>13.000897061430299</v>
      </c>
      <c r="AI1816">
        <v>94.514126955044702</v>
      </c>
      <c r="AJ1816">
        <v>68.917595369078796</v>
      </c>
      <c r="AK1816">
        <v>13.976909677132401</v>
      </c>
    </row>
    <row r="1817" spans="1:37" x14ac:dyDescent="0.2">
      <c r="A1817" t="str">
        <f>"20200111155534649"</f>
        <v>20200111155534649</v>
      </c>
      <c r="B1817" t="str">
        <f>"1578729334644167"</f>
        <v>1578729334644167</v>
      </c>
      <c r="C1817" t="s">
        <v>37</v>
      </c>
      <c r="D1817">
        <v>5.3598030000000003</v>
      </c>
      <c r="E1817">
        <v>0.60176240000000003</v>
      </c>
      <c r="F1817" t="s">
        <v>59</v>
      </c>
      <c r="G1817">
        <v>-210.91380000000001</v>
      </c>
      <c r="H1817" s="1">
        <v>-1.050532E-6</v>
      </c>
      <c r="I1817">
        <v>287.4529</v>
      </c>
      <c r="J1817">
        <v>-198.8135</v>
      </c>
      <c r="K1817">
        <v>1.098957</v>
      </c>
      <c r="L1817">
        <v>294.7183</v>
      </c>
      <c r="M1817">
        <v>-0.60859510000000006</v>
      </c>
      <c r="N1817">
        <v>0</v>
      </c>
      <c r="O1817">
        <v>-0.79339689999999996</v>
      </c>
      <c r="P1817">
        <v>-0.70089869999999899</v>
      </c>
      <c r="Q1817">
        <v>5.0773190000000003E-3</v>
      </c>
      <c r="R1817">
        <v>-0.71324339999999997</v>
      </c>
      <c r="S1817">
        <v>-2.648209</v>
      </c>
      <c r="T1817">
        <v>-0.23810329999999999</v>
      </c>
      <c r="U1817">
        <v>-1.6087340000000001</v>
      </c>
      <c r="V1817">
        <v>0.122347</v>
      </c>
      <c r="W1817">
        <v>1.395878E-2</v>
      </c>
      <c r="X1817">
        <v>0.99238919999999997</v>
      </c>
      <c r="Y1817">
        <v>0.359599</v>
      </c>
      <c r="Z1817">
        <v>6.9518969999999999E-2</v>
      </c>
      <c r="AA1817">
        <v>0.930513699999999</v>
      </c>
      <c r="AB1817">
        <v>21</v>
      </c>
      <c r="AC1817">
        <v>-12.100300000000001</v>
      </c>
      <c r="AD1817">
        <v>-1.098958050532</v>
      </c>
      <c r="AE1817">
        <v>-7.2653999999999996</v>
      </c>
      <c r="AF1817">
        <v>5.1477895483241003</v>
      </c>
      <c r="AG1817">
        <v>-1.098958050532</v>
      </c>
      <c r="AH1817">
        <v>13.0502847518559</v>
      </c>
      <c r="AI1817">
        <v>94.479139056661396</v>
      </c>
      <c r="AJ1817">
        <v>68.472846827222895</v>
      </c>
      <c r="AK1817">
        <v>14.0718647710667</v>
      </c>
    </row>
    <row r="1818" spans="1:37" x14ac:dyDescent="0.2">
      <c r="A1818" t="str">
        <f>"20200111155534670"</f>
        <v>20200111155534670</v>
      </c>
      <c r="B1818" t="str">
        <f>"1578729334663688"</f>
        <v>1578729334663688</v>
      </c>
      <c r="C1818" t="s">
        <v>37</v>
      </c>
      <c r="D1818">
        <v>6.3829949999999904</v>
      </c>
      <c r="E1818">
        <v>0.59414119999999904</v>
      </c>
      <c r="F1818" t="s">
        <v>59</v>
      </c>
      <c r="G1818">
        <v>-211.55029999999999</v>
      </c>
      <c r="H1818" s="1">
        <v>-7.1178480000000003E-7</v>
      </c>
      <c r="I1818">
        <v>287.18220000000002</v>
      </c>
      <c r="J1818">
        <v>-198.94640000000001</v>
      </c>
      <c r="K1818">
        <v>1.098794</v>
      </c>
      <c r="L1818">
        <v>294.55650000000003</v>
      </c>
      <c r="M1818">
        <v>-0.61118229999999996</v>
      </c>
      <c r="N1818">
        <v>0</v>
      </c>
      <c r="O1818">
        <v>-0.79142639999999997</v>
      </c>
      <c r="P1818">
        <v>-0.70297559999999903</v>
      </c>
      <c r="Q1818">
        <v>7.9703569999999904E-3</v>
      </c>
      <c r="R1818">
        <v>-0.71116979999999996</v>
      </c>
      <c r="S1818">
        <v>-2.6726679999999998</v>
      </c>
      <c r="T1818">
        <v>-0.230603</v>
      </c>
      <c r="U1818">
        <v>-1.5813600000000001</v>
      </c>
      <c r="V1818">
        <v>0.1221061</v>
      </c>
      <c r="W1818">
        <v>1.4957170000000001E-2</v>
      </c>
      <c r="X1818">
        <v>0.99240430000000002</v>
      </c>
      <c r="Y1818">
        <v>0.36753009999999903</v>
      </c>
      <c r="Z1818">
        <v>6.7278130000000005E-2</v>
      </c>
      <c r="AA1818">
        <v>0.92757489999999998</v>
      </c>
      <c r="AB1818">
        <v>21</v>
      </c>
      <c r="AC1818">
        <v>-12.6038999999999</v>
      </c>
      <c r="AD1818">
        <v>-1.0987947117848</v>
      </c>
      <c r="AE1818">
        <v>-7.3742999999999999</v>
      </c>
      <c r="AF1818">
        <v>5.4375052453215602</v>
      </c>
      <c r="AG1818">
        <v>-1.0987947117848</v>
      </c>
      <c r="AH1818">
        <v>13.463943960116399</v>
      </c>
      <c r="AI1818">
        <v>94.327443437398898</v>
      </c>
      <c r="AJ1818">
        <v>68.008345922616101</v>
      </c>
      <c r="AK1818">
        <v>14.561991624523699</v>
      </c>
    </row>
    <row r="1819" spans="1:37" x14ac:dyDescent="0.2">
      <c r="A1819" t="str">
        <f>"20200111155534772"</f>
        <v>20200111155534772</v>
      </c>
      <c r="B1819" t="str">
        <f>"1578729334765191"</f>
        <v>1578729334765191</v>
      </c>
      <c r="C1819" t="s">
        <v>37</v>
      </c>
      <c r="D1819">
        <v>5.1824469999999998</v>
      </c>
      <c r="E1819">
        <v>0.59475369999999905</v>
      </c>
      <c r="F1819" t="s">
        <v>59</v>
      </c>
      <c r="G1819">
        <v>-214.48089999999999</v>
      </c>
      <c r="H1819" s="1">
        <v>8.4772549999999896E-7</v>
      </c>
      <c r="I1819">
        <v>285.04149999999998</v>
      </c>
      <c r="J1819">
        <v>-199.56639999999999</v>
      </c>
      <c r="K1819">
        <v>1.1033170000000001</v>
      </c>
      <c r="L1819">
        <v>293.81799999999998</v>
      </c>
      <c r="M1819">
        <v>-0.63326210000000005</v>
      </c>
      <c r="N1819">
        <v>0</v>
      </c>
      <c r="O1819">
        <v>-0.77392179999999999</v>
      </c>
      <c r="P1819">
        <v>-0.72505620000000004</v>
      </c>
      <c r="Q1819">
        <v>1.7903120000000002E-2</v>
      </c>
      <c r="R1819">
        <v>-0.68845730000000005</v>
      </c>
      <c r="S1819">
        <v>-2.6361539999999999</v>
      </c>
      <c r="T1819">
        <v>-0.18646099999999999</v>
      </c>
      <c r="U1819">
        <v>-1.614655</v>
      </c>
      <c r="V1819">
        <v>0.12574669999999999</v>
      </c>
      <c r="W1819">
        <v>1.9310529999999999E-2</v>
      </c>
      <c r="X1819">
        <v>0.99187440000000004</v>
      </c>
      <c r="Y1819">
        <v>0.32769429999999999</v>
      </c>
      <c r="Z1819">
        <v>5.3046419999999997E-2</v>
      </c>
      <c r="AA1819">
        <v>0.94329349999999901</v>
      </c>
      <c r="AB1819">
        <v>21</v>
      </c>
      <c r="AC1819">
        <v>-14.9145</v>
      </c>
      <c r="AD1819">
        <v>-1.1033161522745001</v>
      </c>
      <c r="AE1819">
        <v>-8.7764999999999898</v>
      </c>
      <c r="AF1819">
        <v>5.9606747382322602</v>
      </c>
      <c r="AG1819">
        <v>-1.1033161522745001</v>
      </c>
      <c r="AH1819">
        <v>16.171572918753199</v>
      </c>
      <c r="AI1819">
        <v>93.662824109589394</v>
      </c>
      <c r="AJ1819">
        <v>69.766634545802106</v>
      </c>
      <c r="AK1819">
        <v>17.270400126616099</v>
      </c>
    </row>
    <row r="1820" spans="1:37" x14ac:dyDescent="0.2">
      <c r="A1820" t="str">
        <f>"20200111155534794"</f>
        <v>20200111155534794</v>
      </c>
      <c r="B1820" t="str">
        <f>"1578729334783736"</f>
        <v>1578729334783736</v>
      </c>
      <c r="C1820" t="s">
        <v>37</v>
      </c>
      <c r="D1820">
        <v>5.28</v>
      </c>
      <c r="E1820">
        <v>0.59699769999999996</v>
      </c>
      <c r="F1820" t="s">
        <v>59</v>
      </c>
      <c r="G1820">
        <v>-220.86799999999999</v>
      </c>
      <c r="H1820" s="1">
        <v>-1.074906E-6</v>
      </c>
      <c r="I1820">
        <v>281.72719999999998</v>
      </c>
      <c r="J1820">
        <v>-199.7045</v>
      </c>
      <c r="K1820">
        <v>1.1044879999999999</v>
      </c>
      <c r="L1820">
        <v>293.6592</v>
      </c>
      <c r="M1820">
        <v>-0.63685630000000004</v>
      </c>
      <c r="N1820">
        <v>0</v>
      </c>
      <c r="O1820">
        <v>-0.7709703</v>
      </c>
      <c r="P1820">
        <v>-0.72921819999999904</v>
      </c>
      <c r="Q1820">
        <v>1.9708989999999999E-2</v>
      </c>
      <c r="R1820">
        <v>-0.68399779999999999</v>
      </c>
      <c r="S1820">
        <v>-2.6908259999999999</v>
      </c>
      <c r="T1820">
        <v>-0.13937179999999999</v>
      </c>
      <c r="U1820">
        <v>-1.5273129999999999</v>
      </c>
      <c r="V1820">
        <v>0.12722519999999901</v>
      </c>
      <c r="W1820">
        <v>2.042658E-2</v>
      </c>
      <c r="X1820">
        <v>0.99166350000000003</v>
      </c>
      <c r="Y1820">
        <v>0.355251599999999</v>
      </c>
      <c r="Z1820">
        <v>3.9966620000000001E-2</v>
      </c>
      <c r="AA1820">
        <v>0.93391589999999902</v>
      </c>
      <c r="AB1820">
        <v>21</v>
      </c>
      <c r="AC1820">
        <v>-21.163499999999999</v>
      </c>
      <c r="AD1820">
        <v>-1.1044890749059999</v>
      </c>
      <c r="AE1820">
        <v>-11.932</v>
      </c>
      <c r="AF1820">
        <v>8.6995634549409893</v>
      </c>
      <c r="AG1820">
        <v>-1.1044890749059999</v>
      </c>
      <c r="AH1820">
        <v>22.630768929813001</v>
      </c>
      <c r="AI1820">
        <v>92.608293834123103</v>
      </c>
      <c r="AJ1820">
        <v>68.972587439635902</v>
      </c>
      <c r="AK1820">
        <v>24.270434746368299</v>
      </c>
    </row>
    <row r="1821" spans="1:37" x14ac:dyDescent="0.2">
      <c r="A1821" t="str">
        <f>"20200111155534995"</f>
        <v>20200111155534995</v>
      </c>
      <c r="B1821" t="str">
        <f>"1578729334984394"</f>
        <v>1578729334984394</v>
      </c>
      <c r="C1821" t="s">
        <v>37</v>
      </c>
      <c r="D1821">
        <v>5.2425439999999996</v>
      </c>
      <c r="E1821">
        <v>0.59860089999999999</v>
      </c>
      <c r="F1821" t="s">
        <v>59</v>
      </c>
      <c r="G1821">
        <v>-222.21099999999899</v>
      </c>
      <c r="H1821" s="1">
        <v>-3.6021949999999901E-7</v>
      </c>
      <c r="I1821">
        <v>281.22879999999998</v>
      </c>
      <c r="J1821">
        <v>-200.98949999999999</v>
      </c>
      <c r="K1821">
        <v>1.1284379999999901</v>
      </c>
      <c r="L1821">
        <v>292.30279999999999</v>
      </c>
      <c r="M1821">
        <v>-0.68627349999999998</v>
      </c>
      <c r="N1821">
        <v>0</v>
      </c>
      <c r="O1821">
        <v>-0.72734119999999902</v>
      </c>
      <c r="P1821">
        <v>-0.77722780000000002</v>
      </c>
      <c r="Q1821">
        <v>1.6462689999999999E-2</v>
      </c>
      <c r="R1821">
        <v>-0.62900419999999901</v>
      </c>
      <c r="S1821">
        <v>-2.712402</v>
      </c>
      <c r="T1821">
        <v>-0.13310910000000001</v>
      </c>
      <c r="U1821">
        <v>-1.4980770000000001</v>
      </c>
      <c r="V1821">
        <v>0.13403679999999901</v>
      </c>
      <c r="W1821">
        <v>1.034939E-2</v>
      </c>
      <c r="X1821">
        <v>0.99092230000000003</v>
      </c>
      <c r="Y1821">
        <v>0.30414400000000003</v>
      </c>
      <c r="Z1821">
        <v>3.5813669999999999E-2</v>
      </c>
      <c r="AA1821">
        <v>0.95195260000000004</v>
      </c>
      <c r="AB1821">
        <v>21</v>
      </c>
      <c r="AC1821">
        <v>-21.221499999999899</v>
      </c>
      <c r="AD1821">
        <v>-1.1284383602194901</v>
      </c>
      <c r="AE1821">
        <v>-11.074</v>
      </c>
      <c r="AF1821">
        <v>7.8181175239313703</v>
      </c>
      <c r="AG1821">
        <v>-1.1284383602194901</v>
      </c>
      <c r="AH1821">
        <v>22.568214260636399</v>
      </c>
      <c r="AI1821">
        <v>92.705016312940103</v>
      </c>
      <c r="AJ1821">
        <v>70.892808063721304</v>
      </c>
      <c r="AK1821">
        <v>23.910680242619801</v>
      </c>
    </row>
    <row r="1822" spans="1:37" x14ac:dyDescent="0.2">
      <c r="A1822" t="str">
        <f>"20200111155535017"</f>
        <v>20200111155535017</v>
      </c>
      <c r="B1822" t="str">
        <f>"1578729335014181"</f>
        <v>1578729335014181</v>
      </c>
      <c r="C1822" t="s">
        <v>37</v>
      </c>
      <c r="D1822">
        <v>5.1856239999999998</v>
      </c>
      <c r="E1822">
        <v>0.60034100000000001</v>
      </c>
      <c r="F1822" t="s">
        <v>59</v>
      </c>
      <c r="G1822">
        <v>-222.91120000000001</v>
      </c>
      <c r="H1822" s="1">
        <v>1.2385839999999999E-8</v>
      </c>
      <c r="I1822">
        <v>282.31060000000002</v>
      </c>
      <c r="J1822">
        <v>-201.13640000000001</v>
      </c>
      <c r="K1822">
        <v>1.130987</v>
      </c>
      <c r="L1822">
        <v>292.15960000000001</v>
      </c>
      <c r="M1822">
        <v>-0.69239629999999996</v>
      </c>
      <c r="N1822">
        <v>0</v>
      </c>
      <c r="O1822">
        <v>-0.72151430000000005</v>
      </c>
      <c r="P1822">
        <v>-0.78253779999999995</v>
      </c>
      <c r="Q1822">
        <v>1.6360139999999999E-2</v>
      </c>
      <c r="R1822">
        <v>-0.62238789999999999</v>
      </c>
      <c r="S1822">
        <v>-2.8219599999999998</v>
      </c>
      <c r="T1822">
        <v>-0.14526269999999999</v>
      </c>
      <c r="U1822">
        <v>-1.2862849999999999</v>
      </c>
      <c r="V1822">
        <v>0.13406509999999999</v>
      </c>
      <c r="W1822">
        <v>9.993689E-3</v>
      </c>
      <c r="X1822">
        <v>0.99092219999999998</v>
      </c>
      <c r="Y1822">
        <v>0.368380599999999</v>
      </c>
      <c r="Z1822">
        <v>3.9956930000000002E-2</v>
      </c>
      <c r="AA1822">
        <v>0.92881599999999997</v>
      </c>
      <c r="AB1822">
        <v>21</v>
      </c>
      <c r="AC1822">
        <v>-21.774799999999999</v>
      </c>
      <c r="AD1822">
        <v>-1.1309869876141601</v>
      </c>
      <c r="AE1822">
        <v>-9.8489999999999895</v>
      </c>
      <c r="AF1822">
        <v>8.8715696287103807</v>
      </c>
      <c r="AG1822">
        <v>-1.1309869876141601</v>
      </c>
      <c r="AH1822">
        <v>22.1334650211008</v>
      </c>
      <c r="AI1822">
        <v>92.715522235038705</v>
      </c>
      <c r="AJ1822">
        <v>68.158023550168295</v>
      </c>
      <c r="AK1822">
        <v>23.8720370534963</v>
      </c>
    </row>
    <row r="1823" spans="1:37" x14ac:dyDescent="0.2">
      <c r="A1823" t="str">
        <f>"20200111155535040"</f>
        <v>20200111155535040</v>
      </c>
      <c r="B1823" t="str">
        <f>"1578729335034677"</f>
        <v>1578729335034677</v>
      </c>
      <c r="C1823" t="s">
        <v>37</v>
      </c>
      <c r="D1823">
        <v>5.206099</v>
      </c>
      <c r="E1823">
        <v>0.60133400000000004</v>
      </c>
      <c r="F1823" t="s">
        <v>59</v>
      </c>
      <c r="G1823">
        <v>-223.2149</v>
      </c>
      <c r="H1823" s="1">
        <v>1.7403899999999999E-7</v>
      </c>
      <c r="I1823">
        <v>282.43810000000002</v>
      </c>
      <c r="J1823">
        <v>-201.2921</v>
      </c>
      <c r="K1823">
        <v>1.133478</v>
      </c>
      <c r="L1823">
        <v>292.0111</v>
      </c>
      <c r="M1823">
        <v>-0.69837419999999995</v>
      </c>
      <c r="N1823">
        <v>0</v>
      </c>
      <c r="O1823">
        <v>-0.71573050000000005</v>
      </c>
      <c r="P1823">
        <v>-0.78726479999999999</v>
      </c>
      <c r="Q1823">
        <v>1.638676E-2</v>
      </c>
      <c r="R1823">
        <v>-0.61639739999999998</v>
      </c>
      <c r="S1823">
        <v>-2.841583</v>
      </c>
      <c r="T1823">
        <v>-0.14556179999999999</v>
      </c>
      <c r="U1823">
        <v>-1.25119</v>
      </c>
      <c r="V1823">
        <v>0.13339870000000001</v>
      </c>
      <c r="W1823">
        <v>1.0147700000000001E-2</v>
      </c>
      <c r="X1823">
        <v>0.99101049999999902</v>
      </c>
      <c r="Y1823">
        <v>0.37263400000000002</v>
      </c>
      <c r="Z1823">
        <v>3.9853710000000001E-2</v>
      </c>
      <c r="AA1823">
        <v>0.92712220000000001</v>
      </c>
      <c r="AB1823">
        <v>21</v>
      </c>
      <c r="AC1823">
        <v>-21.922799999999899</v>
      </c>
      <c r="AD1823">
        <v>-1.1334778259610001</v>
      </c>
      <c r="AE1823">
        <v>-9.5729999999999809</v>
      </c>
      <c r="AF1823">
        <v>8.9851227156698492</v>
      </c>
      <c r="AG1823">
        <v>-1.1334778259610001</v>
      </c>
      <c r="AH1823">
        <v>22.112397930172602</v>
      </c>
      <c r="AI1823">
        <v>92.718879674900407</v>
      </c>
      <c r="AJ1823">
        <v>67.886190285689395</v>
      </c>
      <c r="AK1823">
        <v>23.8950903831707</v>
      </c>
    </row>
    <row r="1824" spans="1:37" x14ac:dyDescent="0.2">
      <c r="A1824" t="str">
        <f>"20200111155535062"</f>
        <v>20200111155535062</v>
      </c>
      <c r="B1824" t="str">
        <f>"1578729335054197"</f>
        <v>1578729335054197</v>
      </c>
      <c r="C1824" t="s">
        <v>37</v>
      </c>
      <c r="D1824">
        <v>5.1985720000000004</v>
      </c>
      <c r="E1824">
        <v>0.60218640000000001</v>
      </c>
      <c r="F1824" t="s">
        <v>59</v>
      </c>
      <c r="G1824">
        <v>-223.4093</v>
      </c>
      <c r="H1824" s="1">
        <v>2.77485E-7</v>
      </c>
      <c r="I1824">
        <v>282.53739999999999</v>
      </c>
      <c r="J1824">
        <v>-201.44880000000001</v>
      </c>
      <c r="K1824">
        <v>1.136566</v>
      </c>
      <c r="L1824">
        <v>291.86579999999998</v>
      </c>
      <c r="M1824">
        <v>-0.70380540000000003</v>
      </c>
      <c r="N1824">
        <v>0</v>
      </c>
      <c r="O1824">
        <v>-0.71039209999999997</v>
      </c>
      <c r="P1824">
        <v>-0.79158200000000001</v>
      </c>
      <c r="Q1824">
        <v>1.5290389999999999E-2</v>
      </c>
      <c r="R1824">
        <v>-0.61087130000000001</v>
      </c>
      <c r="S1824">
        <v>-2.8559109999999999</v>
      </c>
      <c r="T1824">
        <v>-0.14636160000000001</v>
      </c>
      <c r="U1824">
        <v>-1.2232969999999901</v>
      </c>
      <c r="V1824">
        <v>0.13279250000000001</v>
      </c>
      <c r="W1824">
        <v>9.963174E-3</v>
      </c>
      <c r="X1824">
        <v>0.99109380000000002</v>
      </c>
      <c r="Y1824">
        <v>0.37490200000000001</v>
      </c>
      <c r="Z1824">
        <v>3.9886530000000003E-2</v>
      </c>
      <c r="AA1824">
        <v>0.92620599999999997</v>
      </c>
      <c r="AB1824">
        <v>20</v>
      </c>
      <c r="AC1824">
        <v>-21.9605</v>
      </c>
      <c r="AD1824">
        <v>-1.1365657225149901</v>
      </c>
      <c r="AE1824">
        <v>-9.3283999999999807</v>
      </c>
      <c r="AF1824">
        <v>9.0147363468459805</v>
      </c>
      <c r="AG1824">
        <v>-1.1365657225149901</v>
      </c>
      <c r="AH1824">
        <v>22.0327560530135</v>
      </c>
      <c r="AI1824">
        <v>92.733429824739702</v>
      </c>
      <c r="AJ1824">
        <v>67.747999920542199</v>
      </c>
      <c r="AK1824">
        <v>23.832742023030999</v>
      </c>
    </row>
    <row r="1825" spans="1:37" x14ac:dyDescent="0.2">
      <c r="A1825" t="str">
        <f>"20200111155535175"</f>
        <v>20200111155535175</v>
      </c>
      <c r="B1825" t="str">
        <f>"1578729335164485"</f>
        <v>1578729335164485</v>
      </c>
      <c r="C1825" t="s">
        <v>37</v>
      </c>
      <c r="D1825">
        <v>6.4149669999999999</v>
      </c>
      <c r="E1825">
        <v>0.60308189999999995</v>
      </c>
      <c r="F1825" t="s">
        <v>59</v>
      </c>
      <c r="G1825">
        <v>-223.15219999999999</v>
      </c>
      <c r="H1825" s="1">
        <v>1.4063739999999901E-7</v>
      </c>
      <c r="I1825">
        <v>282.80450000000002</v>
      </c>
      <c r="J1825">
        <v>-202.22710000000001</v>
      </c>
      <c r="K1825">
        <v>1.1564239999999999</v>
      </c>
      <c r="L1825">
        <v>291.18979999999999</v>
      </c>
      <c r="M1825">
        <v>-0.73714440000000003</v>
      </c>
      <c r="N1825">
        <v>0</v>
      </c>
      <c r="O1825">
        <v>-0.67572379999999999</v>
      </c>
      <c r="P1825">
        <v>-0.819911099999999</v>
      </c>
      <c r="Q1825">
        <v>5.0631349999999897E-4</v>
      </c>
      <c r="R1825">
        <v>-0.57249099999999997</v>
      </c>
      <c r="S1825">
        <v>-2.8685459999999998</v>
      </c>
      <c r="T1825">
        <v>-0.15022079999999999</v>
      </c>
      <c r="U1825">
        <v>-1.197632</v>
      </c>
      <c r="V1825">
        <v>0.13208739999999999</v>
      </c>
      <c r="W1825">
        <v>1.800362E-3</v>
      </c>
      <c r="X1825">
        <v>0.99123639999999902</v>
      </c>
      <c r="Y1825">
        <v>0.338565</v>
      </c>
      <c r="Z1825">
        <v>3.8839180000000001E-2</v>
      </c>
      <c r="AA1825">
        <v>0.94014109999999995</v>
      </c>
      <c r="AB1825">
        <v>20</v>
      </c>
      <c r="AC1825">
        <v>-20.925099999999901</v>
      </c>
      <c r="AD1825">
        <v>-1.1564238593625999</v>
      </c>
      <c r="AE1825">
        <v>-8.3852999999999707</v>
      </c>
      <c r="AF1825">
        <v>7.9375840778498201</v>
      </c>
      <c r="AG1825">
        <v>-1.1564238593625999</v>
      </c>
      <c r="AH1825">
        <v>21.035772241674401</v>
      </c>
      <c r="AI1825">
        <v>92.944372239725297</v>
      </c>
      <c r="AJ1825">
        <v>69.326631892310203</v>
      </c>
      <c r="AK1825">
        <v>22.513246565945099</v>
      </c>
    </row>
    <row r="1826" spans="1:37" x14ac:dyDescent="0.2">
      <c r="A1826" t="str">
        <f>"20200111155535198"</f>
        <v>20200111155535198</v>
      </c>
      <c r="B1826" t="str">
        <f>"1578729335193764"</f>
        <v>1578729335193764</v>
      </c>
      <c r="C1826" t="s">
        <v>37</v>
      </c>
      <c r="D1826">
        <v>6.2282510000000002</v>
      </c>
      <c r="E1826">
        <v>0.48224349999999999</v>
      </c>
      <c r="F1826" t="s">
        <v>59</v>
      </c>
      <c r="G1826">
        <v>-218.9273</v>
      </c>
      <c r="H1826" s="1">
        <v>3.213858E-6</v>
      </c>
      <c r="I1826">
        <v>285.17</v>
      </c>
      <c r="J1826">
        <v>-202.3974</v>
      </c>
      <c r="K1826">
        <v>1.159608</v>
      </c>
      <c r="L1826">
        <v>291.05079999999998</v>
      </c>
      <c r="M1826">
        <v>-0.74434940000000005</v>
      </c>
      <c r="N1826">
        <v>0</v>
      </c>
      <c r="O1826">
        <v>-0.66777129999999996</v>
      </c>
      <c r="P1826">
        <v>-0.82657700000000001</v>
      </c>
      <c r="Q1826">
        <v>-1.3075879999999999E-3</v>
      </c>
      <c r="R1826">
        <v>-0.56282219999999905</v>
      </c>
      <c r="S1826">
        <v>-2.9233090000000002</v>
      </c>
      <c r="T1826">
        <v>-0.2024271</v>
      </c>
      <c r="U1826">
        <v>-1.053741</v>
      </c>
      <c r="V1826">
        <v>0.13307579999999999</v>
      </c>
      <c r="W1826">
        <v>1.2286350000000001E-3</v>
      </c>
      <c r="X1826">
        <v>0.99110509999999996</v>
      </c>
      <c r="Y1826">
        <v>0.37391190000000002</v>
      </c>
      <c r="Z1826">
        <v>5.2836580000000001E-2</v>
      </c>
      <c r="AA1826">
        <v>0.92595799999999995</v>
      </c>
      <c r="AB1826">
        <v>20</v>
      </c>
      <c r="AC1826">
        <v>-16.529899999999898</v>
      </c>
      <c r="AD1826">
        <v>-1.159604786142</v>
      </c>
      <c r="AE1826">
        <v>-5.8807999999999598</v>
      </c>
      <c r="AF1826">
        <v>6.6319367878689004</v>
      </c>
      <c r="AG1826">
        <v>-1.159604786142</v>
      </c>
      <c r="AH1826">
        <v>16.160661211152998</v>
      </c>
      <c r="AI1826">
        <v>93.797865226489193</v>
      </c>
      <c r="AJ1826">
        <v>67.687962842229297</v>
      </c>
      <c r="AK1826">
        <v>17.506976883517002</v>
      </c>
    </row>
    <row r="1827" spans="1:37" x14ac:dyDescent="0.2">
      <c r="A1827" t="str">
        <f>"20200111155535217"</f>
        <v>20200111155535217</v>
      </c>
      <c r="B1827" t="str">
        <f>"1578729335213793"</f>
        <v>1578729335213793</v>
      </c>
      <c r="C1827" t="s">
        <v>37</v>
      </c>
      <c r="D1827">
        <v>6.1791669999999996</v>
      </c>
      <c r="E1827">
        <v>0.48353580000000002</v>
      </c>
      <c r="F1827" t="s">
        <v>58</v>
      </c>
      <c r="G1827">
        <v>-232.988</v>
      </c>
      <c r="H1827">
        <v>4.4911599999999998</v>
      </c>
      <c r="I1827">
        <v>268.33440000000002</v>
      </c>
      <c r="J1827">
        <v>-202.54040000000001</v>
      </c>
      <c r="K1827">
        <v>1.1618790000000001</v>
      </c>
      <c r="L1827">
        <v>290.93729999999999</v>
      </c>
      <c r="M1827">
        <v>-0.75005900000000003</v>
      </c>
      <c r="N1827">
        <v>0</v>
      </c>
      <c r="O1827">
        <v>-0.66134440000000005</v>
      </c>
      <c r="P1827">
        <v>-0.83139640000000004</v>
      </c>
      <c r="Q1827">
        <v>-3.2533800000000002E-3</v>
      </c>
      <c r="R1827">
        <v>-0.55567069999999996</v>
      </c>
      <c r="S1827">
        <v>-2.4108429999999998</v>
      </c>
      <c r="T1827">
        <v>0.26255980000000001</v>
      </c>
      <c r="U1827">
        <v>-1.7902830000000001</v>
      </c>
      <c r="V1827">
        <v>0.13308200000000001</v>
      </c>
      <c r="W1827">
        <v>2.2203150000000001E-4</v>
      </c>
      <c r="X1827">
        <v>0.99110499999999901</v>
      </c>
      <c r="Y1827">
        <v>8.157375E-2</v>
      </c>
      <c r="Z1827">
        <v>-6.0343029999999999E-2</v>
      </c>
      <c r="AA1827">
        <v>0.99483889999999997</v>
      </c>
      <c r="AB1827">
        <v>20</v>
      </c>
      <c r="AC1827">
        <v>-30.447599999999898</v>
      </c>
      <c r="AD1827">
        <v>3.3292809999999999</v>
      </c>
      <c r="AE1827">
        <v>-22.602899999999899</v>
      </c>
      <c r="AF1827">
        <v>3.1585500016712502</v>
      </c>
      <c r="AG1827">
        <v>3.3292809999999999</v>
      </c>
      <c r="AH1827">
        <v>37.497419663804003</v>
      </c>
      <c r="AI1827">
        <v>84.943999867088607</v>
      </c>
      <c r="AJ1827">
        <v>85.1851252374274</v>
      </c>
      <c r="AK1827">
        <v>37.777202537157997</v>
      </c>
    </row>
    <row r="1828" spans="1:37" x14ac:dyDescent="0.2">
      <c r="A1828" t="str">
        <f>"20200111155535242"</f>
        <v>20200111155535242</v>
      </c>
      <c r="B1828" t="str">
        <f>"1578729335234289"</f>
        <v>1578729335234289</v>
      </c>
      <c r="C1828" t="s">
        <v>37</v>
      </c>
      <c r="D1828">
        <v>6.1910489999999996</v>
      </c>
      <c r="E1828">
        <v>0.48378759999999998</v>
      </c>
      <c r="F1828" t="s">
        <v>58</v>
      </c>
      <c r="G1828">
        <v>-232.988</v>
      </c>
      <c r="H1828">
        <v>4.5582479999999999</v>
      </c>
      <c r="I1828">
        <v>268.90379999999999</v>
      </c>
      <c r="J1828">
        <v>-202.71619999999999</v>
      </c>
      <c r="K1828">
        <v>1.16438</v>
      </c>
      <c r="L1828">
        <v>290.80099999999999</v>
      </c>
      <c r="M1828">
        <v>-0.75707939999999996</v>
      </c>
      <c r="N1828">
        <v>0</v>
      </c>
      <c r="O1828">
        <v>-0.65328679999999995</v>
      </c>
      <c r="P1828">
        <v>-0.83675040000000001</v>
      </c>
      <c r="Q1828">
        <v>-6.0739590000000003E-3</v>
      </c>
      <c r="R1828">
        <v>-0.5475508</v>
      </c>
      <c r="S1828">
        <v>-2.4327999999999999</v>
      </c>
      <c r="T1828">
        <v>0.27137359999999999</v>
      </c>
      <c r="U1828">
        <v>-1.7604979999999999</v>
      </c>
      <c r="V1828">
        <v>0.1320944</v>
      </c>
      <c r="W1828">
        <v>-1.5738709999999999E-3</v>
      </c>
      <c r="X1828">
        <v>0.99123589999999995</v>
      </c>
      <c r="Y1828">
        <v>8.3052870000000001E-2</v>
      </c>
      <c r="Z1828">
        <v>-6.170747E-2</v>
      </c>
      <c r="AA1828">
        <v>0.99463279999999998</v>
      </c>
      <c r="AB1828">
        <v>20</v>
      </c>
      <c r="AC1828">
        <v>-30.271799999999999</v>
      </c>
      <c r="AD1828">
        <v>3.3938679999999999</v>
      </c>
      <c r="AE1828">
        <v>-21.897200000000002</v>
      </c>
      <c r="AF1828">
        <v>3.1721479809013902</v>
      </c>
      <c r="AG1828">
        <v>3.3938679999999999</v>
      </c>
      <c r="AH1828">
        <v>36.919535125894399</v>
      </c>
      <c r="AI1828">
        <v>84.766957971937401</v>
      </c>
      <c r="AJ1828">
        <v>85.089173997593406</v>
      </c>
      <c r="AK1828">
        <v>37.210656225419001</v>
      </c>
    </row>
    <row r="1829" spans="1:37" x14ac:dyDescent="0.2">
      <c r="A1829" t="str">
        <f>"20200111155535263"</f>
        <v>20200111155535263</v>
      </c>
      <c r="B1829" t="str">
        <f>"1578729335253809"</f>
        <v>1578729335253809</v>
      </c>
      <c r="C1829" t="s">
        <v>37</v>
      </c>
      <c r="D1829">
        <v>6.2089259999999999</v>
      </c>
      <c r="E1829">
        <v>0.48327900000000001</v>
      </c>
      <c r="F1829" t="s">
        <v>58</v>
      </c>
      <c r="G1829">
        <v>-233.29409999999999</v>
      </c>
      <c r="H1829">
        <v>4.4767099999999997</v>
      </c>
      <c r="I1829">
        <v>269.1576</v>
      </c>
      <c r="J1829">
        <v>-202.87970000000001</v>
      </c>
      <c r="K1829">
        <v>1.1664000000000001</v>
      </c>
      <c r="L1829">
        <v>290.67669999999998</v>
      </c>
      <c r="M1829">
        <v>-0.76426549999999904</v>
      </c>
      <c r="N1829">
        <v>0</v>
      </c>
      <c r="O1829">
        <v>-0.64485979999999998</v>
      </c>
      <c r="P1829">
        <v>-0.84208649999999996</v>
      </c>
      <c r="Q1829">
        <v>-7.6020829999999999E-3</v>
      </c>
      <c r="R1829">
        <v>-0.53928909999999997</v>
      </c>
      <c r="S1829">
        <v>-2.4516749999999998</v>
      </c>
      <c r="T1829">
        <v>0.265576599999999</v>
      </c>
      <c r="U1829">
        <v>-1.7353209999999999</v>
      </c>
      <c r="V1829">
        <v>0.13084749999999901</v>
      </c>
      <c r="W1829">
        <v>-2.5194010000000001E-3</v>
      </c>
      <c r="X1829">
        <v>0.99139929999999998</v>
      </c>
      <c r="Y1829">
        <v>8.2563689999999995E-2</v>
      </c>
      <c r="Z1829">
        <v>-5.9650790000000002E-2</v>
      </c>
      <c r="AA1829">
        <v>0.99479899999999999</v>
      </c>
      <c r="AB1829">
        <v>20</v>
      </c>
      <c r="AC1829">
        <v>-30.414399999999901</v>
      </c>
      <c r="AD1829">
        <v>3.3103099999999901</v>
      </c>
      <c r="AE1829">
        <v>-21.519099999999899</v>
      </c>
      <c r="AF1829">
        <v>3.1419998914962601</v>
      </c>
      <c r="AG1829">
        <v>3.3103099999999901</v>
      </c>
      <c r="AH1829">
        <v>36.831721932510703</v>
      </c>
      <c r="AI1829">
        <v>84.882735795020096</v>
      </c>
      <c r="AJ1829">
        <v>85.124079790567905</v>
      </c>
      <c r="AK1829">
        <v>37.113421509314598</v>
      </c>
    </row>
    <row r="1830" spans="1:37" x14ac:dyDescent="0.2">
      <c r="A1830" t="str">
        <f>"20200111155535374"</f>
        <v>20200111155535374</v>
      </c>
      <c r="B1830" t="str">
        <f>"1578729335364096"</f>
        <v>1578729335364096</v>
      </c>
      <c r="C1830" t="s">
        <v>37</v>
      </c>
      <c r="D1830">
        <v>6.1729229999999999</v>
      </c>
      <c r="E1830">
        <v>0.48273749999999999</v>
      </c>
      <c r="F1830" t="s">
        <v>58</v>
      </c>
      <c r="G1830">
        <v>-233.85230000000001</v>
      </c>
      <c r="H1830">
        <v>4.5778930000000004</v>
      </c>
      <c r="I1830">
        <v>269.1576</v>
      </c>
      <c r="J1830">
        <v>-203.7141</v>
      </c>
      <c r="K1830">
        <v>1.1691370000000001</v>
      </c>
      <c r="L1830">
        <v>290.07830000000001</v>
      </c>
      <c r="M1830">
        <v>-0.79868300000000003</v>
      </c>
      <c r="N1830">
        <v>0</v>
      </c>
      <c r="O1830">
        <v>-0.60162879999999996</v>
      </c>
      <c r="P1830">
        <v>-0.86684609999999995</v>
      </c>
      <c r="Q1830">
        <v>-1.05764E-2</v>
      </c>
      <c r="R1830">
        <v>-0.49846380000000001</v>
      </c>
      <c r="S1830">
        <v>-2.4672239999999999</v>
      </c>
      <c r="T1830">
        <v>0.27175369999999999</v>
      </c>
      <c r="U1830">
        <v>-1.714172</v>
      </c>
      <c r="V1830">
        <v>0.1234181</v>
      </c>
      <c r="W1830">
        <v>-1.130186E-3</v>
      </c>
      <c r="X1830">
        <v>0.99235409999999902</v>
      </c>
      <c r="Y1830">
        <v>3.6261630000000003E-2</v>
      </c>
      <c r="Z1830">
        <v>-5.5582010000000001E-2</v>
      </c>
      <c r="AA1830">
        <v>0.99779549999999995</v>
      </c>
      <c r="AB1830">
        <v>20</v>
      </c>
      <c r="AC1830">
        <v>-30.138200000000001</v>
      </c>
      <c r="AD1830">
        <v>3.4087559999999999</v>
      </c>
      <c r="AE1830">
        <v>-20.9207</v>
      </c>
      <c r="AF1830">
        <v>1.4109269237419</v>
      </c>
      <c r="AG1830">
        <v>3.4087559999999999</v>
      </c>
      <c r="AH1830">
        <v>36.346311233058799</v>
      </c>
      <c r="AI1830">
        <v>84.646169108312293</v>
      </c>
      <c r="AJ1830">
        <v>87.776952172397003</v>
      </c>
      <c r="AK1830">
        <v>36.533062730929799</v>
      </c>
    </row>
    <row r="1831" spans="1:37" x14ac:dyDescent="0.2">
      <c r="A1831" t="str">
        <f>"20200111155535398"</f>
        <v>20200111155535398</v>
      </c>
      <c r="B1831" t="str">
        <f>"1578729335394352"</f>
        <v>1578729335394352</v>
      </c>
      <c r="C1831" t="s">
        <v>37</v>
      </c>
      <c r="D1831">
        <v>6.177467</v>
      </c>
      <c r="E1831">
        <v>0.48221179999999902</v>
      </c>
      <c r="F1831" t="s">
        <v>58</v>
      </c>
      <c r="G1831">
        <v>-237.21170000000001</v>
      </c>
      <c r="H1831">
        <v>4.7953469999999996</v>
      </c>
      <c r="I1831">
        <v>269.01339999999999</v>
      </c>
      <c r="J1831">
        <v>-203.8914</v>
      </c>
      <c r="K1831">
        <v>1.168137</v>
      </c>
      <c r="L1831">
        <v>289.95920000000001</v>
      </c>
      <c r="M1831">
        <v>-0.80525760000000002</v>
      </c>
      <c r="N1831">
        <v>0</v>
      </c>
      <c r="O1831">
        <v>-0.59277329999999995</v>
      </c>
      <c r="P1831">
        <v>-0.87155729999999998</v>
      </c>
      <c r="Q1831">
        <v>-9.7891869999999995E-3</v>
      </c>
      <c r="R1831">
        <v>-0.49019639999999998</v>
      </c>
      <c r="S1831">
        <v>-2.5442049999999998</v>
      </c>
      <c r="T1831">
        <v>0.27541719999999997</v>
      </c>
      <c r="U1831">
        <v>-1.599915</v>
      </c>
      <c r="V1831">
        <v>0.1219621</v>
      </c>
      <c r="W1831">
        <v>6.4784710000000004E-4</v>
      </c>
      <c r="X1831">
        <v>0.99253449999999999</v>
      </c>
      <c r="Y1831">
        <v>7.0838300000000007E-2</v>
      </c>
      <c r="Z1831">
        <v>-5.6785099999999998E-2</v>
      </c>
      <c r="AA1831">
        <v>0.99587019999999904</v>
      </c>
      <c r="AB1831">
        <v>20</v>
      </c>
      <c r="AC1831">
        <v>-33.320300000000003</v>
      </c>
      <c r="AD1831">
        <v>3.6272099999999998</v>
      </c>
      <c r="AE1831">
        <v>-20.945799999999998</v>
      </c>
      <c r="AF1831">
        <v>2.8605819704437501</v>
      </c>
      <c r="AG1831">
        <v>3.6272099999999998</v>
      </c>
      <c r="AH1831">
        <v>38.920485471676201</v>
      </c>
      <c r="AI1831">
        <v>84.689917211145499</v>
      </c>
      <c r="AJ1831">
        <v>85.796427039627204</v>
      </c>
      <c r="AK1831">
        <v>39.193670036686903</v>
      </c>
    </row>
    <row r="1832" spans="1:37" x14ac:dyDescent="0.2">
      <c r="A1832" t="str">
        <f>"20200111155535420"</f>
        <v>20200111155535420</v>
      </c>
      <c r="B1832" t="str">
        <f>"1578729335413872"</f>
        <v>1578729335413872</v>
      </c>
      <c r="C1832" t="s">
        <v>37</v>
      </c>
      <c r="D1832">
        <v>6.1356549999999999</v>
      </c>
      <c r="E1832">
        <v>0.48167270000000001</v>
      </c>
      <c r="F1832" t="s">
        <v>58</v>
      </c>
      <c r="G1832">
        <v>-236.87889999999999</v>
      </c>
      <c r="H1832">
        <v>5.1365989999999897</v>
      </c>
      <c r="I1832">
        <v>269.58609999999999</v>
      </c>
      <c r="J1832">
        <v>-204.06489999999999</v>
      </c>
      <c r="K1832">
        <v>1.16689</v>
      </c>
      <c r="L1832">
        <v>289.84550000000002</v>
      </c>
      <c r="M1832">
        <v>-0.81159630000000005</v>
      </c>
      <c r="N1832">
        <v>0</v>
      </c>
      <c r="O1832">
        <v>-0.58403039999999995</v>
      </c>
      <c r="P1832">
        <v>-0.87629210000000002</v>
      </c>
      <c r="Q1832">
        <v>-7.30994E-3</v>
      </c>
      <c r="R1832">
        <v>-0.48172500000000001</v>
      </c>
      <c r="S1832">
        <v>-2.5572810000000001</v>
      </c>
      <c r="T1832">
        <v>0.30764639999999999</v>
      </c>
      <c r="U1832">
        <v>-1.5793759999999999</v>
      </c>
      <c r="V1832">
        <v>0.1209807</v>
      </c>
      <c r="W1832">
        <v>4.2632140000000004E-3</v>
      </c>
      <c r="X1832">
        <v>0.99264569999999996</v>
      </c>
      <c r="Y1832">
        <v>6.7612430000000001E-2</v>
      </c>
      <c r="Z1832">
        <v>-6.2381390000000002E-2</v>
      </c>
      <c r="AA1832">
        <v>0.99575949999999902</v>
      </c>
      <c r="AB1832">
        <v>20</v>
      </c>
      <c r="AC1832">
        <v>-32.813999999999901</v>
      </c>
      <c r="AD1832">
        <v>3.9697089999999902</v>
      </c>
      <c r="AE1832">
        <v>-20.259399999999999</v>
      </c>
      <c r="AF1832">
        <v>2.6936762878642599</v>
      </c>
      <c r="AG1832">
        <v>3.9697089999999902</v>
      </c>
      <c r="AH1832">
        <v>38.0647181634994</v>
      </c>
      <c r="AI1832">
        <v>84.060981967572502</v>
      </c>
      <c r="AJ1832">
        <v>85.952172146467802</v>
      </c>
      <c r="AK1832">
        <v>38.365834414946903</v>
      </c>
    </row>
    <row r="1833" spans="1:37" x14ac:dyDescent="0.2">
      <c r="A1833" t="str">
        <f>"20200111155535443"</f>
        <v>20200111155535443</v>
      </c>
      <c r="B1833" t="str">
        <f>"1578729335434369"</f>
        <v>1578729335434369</v>
      </c>
      <c r="C1833" t="s">
        <v>37</v>
      </c>
      <c r="D1833">
        <v>6.1991259999999997</v>
      </c>
      <c r="E1833">
        <v>0.48079169999999999</v>
      </c>
      <c r="F1833" t="s">
        <v>58</v>
      </c>
      <c r="G1833">
        <v>-237.46889999999999</v>
      </c>
      <c r="H1833">
        <v>5.4255360000000001</v>
      </c>
      <c r="I1833">
        <v>269.58609999999999</v>
      </c>
      <c r="J1833">
        <v>-204.2413</v>
      </c>
      <c r="K1833">
        <v>1.1654340000000001</v>
      </c>
      <c r="L1833">
        <v>289.73289999999997</v>
      </c>
      <c r="M1833">
        <v>-0.81782250000000001</v>
      </c>
      <c r="N1833">
        <v>0</v>
      </c>
      <c r="O1833">
        <v>-0.57523579999999996</v>
      </c>
      <c r="P1833">
        <v>-0.88161849999999997</v>
      </c>
      <c r="Q1833">
        <v>-4.612466E-3</v>
      </c>
      <c r="R1833">
        <v>-0.47194009999999997</v>
      </c>
      <c r="S1833">
        <v>-2.569534</v>
      </c>
      <c r="T1833">
        <v>0.32758739999999997</v>
      </c>
      <c r="U1833">
        <v>-1.558411</v>
      </c>
      <c r="V1833">
        <v>0.1214749</v>
      </c>
      <c r="W1833">
        <v>8.2547369999999998E-3</v>
      </c>
      <c r="X1833">
        <v>0.99256009999999995</v>
      </c>
      <c r="Y1833">
        <v>6.4580369999999998E-2</v>
      </c>
      <c r="Z1833">
        <v>-6.5341319999999994E-2</v>
      </c>
      <c r="AA1833">
        <v>0.99577099999999996</v>
      </c>
      <c r="AB1833">
        <v>20</v>
      </c>
      <c r="AC1833">
        <v>-33.227599999999903</v>
      </c>
      <c r="AD1833">
        <v>4.2601019999999998</v>
      </c>
      <c r="AE1833">
        <v>-20.146799999999899</v>
      </c>
      <c r="AF1833">
        <v>2.6062304068429998</v>
      </c>
      <c r="AG1833">
        <v>4.2601019999999998</v>
      </c>
      <c r="AH1833">
        <v>38.308244949762098</v>
      </c>
      <c r="AI1833">
        <v>83.668960285310007</v>
      </c>
      <c r="AJ1833">
        <v>86.107985237486702</v>
      </c>
      <c r="AK1833">
        <v>38.632402683692</v>
      </c>
    </row>
    <row r="1834" spans="1:37" x14ac:dyDescent="0.2">
      <c r="A1834" t="str">
        <f>"20200111155535463"</f>
        <v>20200111155535463</v>
      </c>
      <c r="B1834" t="str">
        <f>"1578729335453889"</f>
        <v>1578729335453889</v>
      </c>
      <c r="C1834" t="s">
        <v>37</v>
      </c>
      <c r="D1834">
        <v>6.1980490000000001</v>
      </c>
      <c r="E1834">
        <v>0.4795451</v>
      </c>
      <c r="F1834" t="s">
        <v>58</v>
      </c>
      <c r="G1834">
        <v>-238.8383</v>
      </c>
      <c r="H1834">
        <v>5.7883009999999997</v>
      </c>
      <c r="I1834">
        <v>269.1576</v>
      </c>
      <c r="J1834">
        <v>-204.3998</v>
      </c>
      <c r="K1834">
        <v>1.164021</v>
      </c>
      <c r="L1834">
        <v>289.63400000000001</v>
      </c>
      <c r="M1834">
        <v>-0.82323519999999994</v>
      </c>
      <c r="N1834">
        <v>0</v>
      </c>
      <c r="O1834">
        <v>-0.56741869999999905</v>
      </c>
      <c r="P1834">
        <v>-0.88696580000000003</v>
      </c>
      <c r="Q1834">
        <v>-2.6666859999999902E-3</v>
      </c>
      <c r="R1834">
        <v>-0.46182810000000002</v>
      </c>
      <c r="S1834">
        <v>-2.5824739999999999</v>
      </c>
      <c r="T1834">
        <v>0.34507120000000002</v>
      </c>
      <c r="U1834">
        <v>-1.535828</v>
      </c>
      <c r="V1834">
        <v>0.123509199999999</v>
      </c>
      <c r="W1834">
        <v>1.134402E-2</v>
      </c>
      <c r="X1834">
        <v>0.99227860000000001</v>
      </c>
      <c r="Y1834">
        <v>6.3414139999999994E-2</v>
      </c>
      <c r="Z1834">
        <v>-6.7886230000000006E-2</v>
      </c>
      <c r="AA1834">
        <v>0.99567569999999905</v>
      </c>
      <c r="AB1834">
        <v>20</v>
      </c>
      <c r="AC1834">
        <v>-34.438499999999998</v>
      </c>
      <c r="AD1834">
        <v>4.6242799999999997</v>
      </c>
      <c r="AE1834">
        <v>-20.476400000000002</v>
      </c>
      <c r="AF1834">
        <v>2.64929397825889</v>
      </c>
      <c r="AG1834">
        <v>4.6242799999999997</v>
      </c>
      <c r="AH1834">
        <v>39.450553632165999</v>
      </c>
      <c r="AI1834">
        <v>83.329350948077007</v>
      </c>
      <c r="AJ1834">
        <v>86.158081930163306</v>
      </c>
      <c r="AK1834">
        <v>39.8089048579089</v>
      </c>
    </row>
    <row r="1835" spans="1:37" x14ac:dyDescent="0.2">
      <c r="A1835" t="str">
        <f>"20200111155535485"</f>
        <v>20200111155535485</v>
      </c>
      <c r="B1835" t="str">
        <f>"1578729335474384"</f>
        <v>1578729335474384</v>
      </c>
      <c r="C1835" t="s">
        <v>37</v>
      </c>
      <c r="D1835">
        <v>6.2346849999999998</v>
      </c>
      <c r="E1835">
        <v>0.4783367</v>
      </c>
      <c r="F1835" t="s">
        <v>58</v>
      </c>
      <c r="G1835">
        <v>-240.01779999999999</v>
      </c>
      <c r="H1835">
        <v>6.0348689999999996</v>
      </c>
      <c r="I1835">
        <v>268.85500000000002</v>
      </c>
      <c r="J1835">
        <v>-204.56970000000001</v>
      </c>
      <c r="K1835">
        <v>1.162439</v>
      </c>
      <c r="L1835">
        <v>289.53050000000002</v>
      </c>
      <c r="M1835">
        <v>-0.82891289999999995</v>
      </c>
      <c r="N1835">
        <v>0</v>
      </c>
      <c r="O1835">
        <v>-0.55904259999999995</v>
      </c>
      <c r="P1835">
        <v>-0.89243700000000004</v>
      </c>
      <c r="Q1835">
        <v>-2.7223079999999901E-3</v>
      </c>
      <c r="R1835">
        <v>-0.45116450000000002</v>
      </c>
      <c r="S1835">
        <v>-2.5951080000000002</v>
      </c>
      <c r="T1835">
        <v>0.35488720000000001</v>
      </c>
      <c r="U1835">
        <v>-1.5139469999999999</v>
      </c>
      <c r="V1835">
        <v>0.1254256</v>
      </c>
      <c r="W1835">
        <v>1.2447339999999999E-2</v>
      </c>
      <c r="X1835">
        <v>0.99202500000000005</v>
      </c>
      <c r="Y1835">
        <v>6.1543899999999999E-2</v>
      </c>
      <c r="Z1835">
        <v>-6.8753919999999996E-2</v>
      </c>
      <c r="AA1835">
        <v>0.99573349999999905</v>
      </c>
      <c r="AB1835">
        <v>20</v>
      </c>
      <c r="AC1835">
        <v>-35.448099999999897</v>
      </c>
      <c r="AD1835">
        <v>4.8724299999999996</v>
      </c>
      <c r="AE1835">
        <v>-20.6755</v>
      </c>
      <c r="AF1835">
        <v>2.6420652994975198</v>
      </c>
      <c r="AG1835">
        <v>4.8724299999999996</v>
      </c>
      <c r="AH1835">
        <v>40.380291349063903</v>
      </c>
      <c r="AI1835">
        <v>83.134289528741505</v>
      </c>
      <c r="AJ1835">
        <v>86.256497429642096</v>
      </c>
      <c r="AK1835">
        <v>40.758913290064498</v>
      </c>
    </row>
    <row r="1836" spans="1:37" x14ac:dyDescent="0.2">
      <c r="A1836" t="str">
        <f>"20200111155535508"</f>
        <v>20200111155535508</v>
      </c>
      <c r="B1836" t="str">
        <f>"1578729335503665"</f>
        <v>1578729335503665</v>
      </c>
      <c r="C1836" t="s">
        <v>37</v>
      </c>
      <c r="D1836">
        <v>5.307849</v>
      </c>
      <c r="E1836">
        <v>0.4777843</v>
      </c>
      <c r="F1836" t="s">
        <v>58</v>
      </c>
      <c r="G1836">
        <v>-240.7492</v>
      </c>
      <c r="H1836">
        <v>6.1345190000000001</v>
      </c>
      <c r="I1836">
        <v>268.85500000000002</v>
      </c>
      <c r="J1836">
        <v>-204.74709999999999</v>
      </c>
      <c r="K1836">
        <v>1.160825</v>
      </c>
      <c r="L1836">
        <v>289.42540000000002</v>
      </c>
      <c r="M1836">
        <v>-0.83478929999999996</v>
      </c>
      <c r="N1836">
        <v>0</v>
      </c>
      <c r="O1836">
        <v>-0.55017759999999905</v>
      </c>
      <c r="P1836">
        <v>-0.89755929999999995</v>
      </c>
      <c r="Q1836">
        <v>-5.7491469999999996E-3</v>
      </c>
      <c r="R1836">
        <v>-0.44085639999999998</v>
      </c>
      <c r="S1836">
        <v>-2.6089479999999998</v>
      </c>
      <c r="T1836">
        <v>0.35854259999999999</v>
      </c>
      <c r="U1836">
        <v>-1.490936</v>
      </c>
      <c r="V1836">
        <v>0.12625519999999901</v>
      </c>
      <c r="W1836">
        <v>1.056443E-2</v>
      </c>
      <c r="X1836">
        <v>0.99194150000000003</v>
      </c>
      <c r="Y1836">
        <v>5.9811940000000001E-2</v>
      </c>
      <c r="Z1836">
        <v>-6.833111E-2</v>
      </c>
      <c r="AA1836">
        <v>0.99586810000000003</v>
      </c>
      <c r="AB1836">
        <v>20</v>
      </c>
      <c r="AC1836">
        <v>-36.002099999999999</v>
      </c>
      <c r="AD1836">
        <v>4.9736940000000001</v>
      </c>
      <c r="AE1836">
        <v>-20.570399999999999</v>
      </c>
      <c r="AF1836">
        <v>2.5987760121529</v>
      </c>
      <c r="AG1836">
        <v>4.9736940000000001</v>
      </c>
      <c r="AH1836">
        <v>40.793520706414903</v>
      </c>
      <c r="AI1836">
        <v>83.062526128698593</v>
      </c>
      <c r="AJ1836">
        <v>86.354863388868296</v>
      </c>
      <c r="AK1836">
        <v>41.177695423513903</v>
      </c>
    </row>
    <row r="1837" spans="1:37" x14ac:dyDescent="0.2">
      <c r="A1837" t="str">
        <f>"20200111155535530"</f>
        <v>20200111155535530</v>
      </c>
      <c r="B1837" t="str">
        <f>"1578729335524160"</f>
        <v>1578729335524160</v>
      </c>
      <c r="C1837" t="s">
        <v>37</v>
      </c>
      <c r="D1837">
        <v>5.1692119999999999</v>
      </c>
      <c r="E1837">
        <v>0.62049779999999999</v>
      </c>
      <c r="F1837" t="s">
        <v>58</v>
      </c>
      <c r="G1837">
        <v>-241.54660000000001</v>
      </c>
      <c r="H1837">
        <v>6.1159410000000003</v>
      </c>
      <c r="I1837">
        <v>268.88240000000002</v>
      </c>
      <c r="J1837">
        <v>-204.9195</v>
      </c>
      <c r="K1837">
        <v>1.159373</v>
      </c>
      <c r="L1837">
        <v>289.32589999999999</v>
      </c>
      <c r="M1837">
        <v>-0.84049649999999998</v>
      </c>
      <c r="N1837">
        <v>0</v>
      </c>
      <c r="O1837">
        <v>-0.54136949999999995</v>
      </c>
      <c r="P1837">
        <v>-0.90194879999999999</v>
      </c>
      <c r="Q1837">
        <v>-9.6268740000000005E-3</v>
      </c>
      <c r="R1837">
        <v>-0.43173620000000001</v>
      </c>
      <c r="S1837">
        <v>-2.624908</v>
      </c>
      <c r="T1837">
        <v>0.3534486</v>
      </c>
      <c r="U1837">
        <v>-1.4653320000000001</v>
      </c>
      <c r="V1837">
        <v>0.1257993</v>
      </c>
      <c r="W1837">
        <v>7.7679009999999998E-3</v>
      </c>
      <c r="X1837">
        <v>0.9920253</v>
      </c>
      <c r="Y1837">
        <v>5.9482510000000002E-2</v>
      </c>
      <c r="Z1837">
        <v>-6.6316319999999998E-2</v>
      </c>
      <c r="AA1837">
        <v>0.99602409999999997</v>
      </c>
      <c r="AB1837">
        <v>20</v>
      </c>
      <c r="AC1837">
        <v>-36.627099999999999</v>
      </c>
      <c r="AD1837">
        <v>4.9565679999999999</v>
      </c>
      <c r="AE1837">
        <v>-20.443499999999901</v>
      </c>
      <c r="AF1837">
        <v>2.6102986321015602</v>
      </c>
      <c r="AG1837">
        <v>4.9565679999999999</v>
      </c>
      <c r="AH1837">
        <v>41.2861070171097</v>
      </c>
      <c r="AI1837">
        <v>83.167681384240495</v>
      </c>
      <c r="AJ1837">
        <v>86.382311094474801</v>
      </c>
      <c r="AK1837">
        <v>41.664419567727201</v>
      </c>
    </row>
    <row r="1838" spans="1:37" x14ac:dyDescent="0.2">
      <c r="A1838" t="str">
        <f>"20200111155535553"</f>
        <v>20200111155535553</v>
      </c>
      <c r="B1838" t="str">
        <f>"1578729335543680"</f>
        <v>1578729335543680</v>
      </c>
      <c r="C1838" t="s">
        <v>37</v>
      </c>
      <c r="D1838">
        <v>5.0029469999999998</v>
      </c>
      <c r="E1838">
        <v>0.62156519999999904</v>
      </c>
      <c r="F1838" t="s">
        <v>59</v>
      </c>
      <c r="G1838">
        <v>-223.9342</v>
      </c>
      <c r="H1838" s="1">
        <v>5.5680859999999997E-7</v>
      </c>
      <c r="I1838">
        <v>286.67860000000002</v>
      </c>
      <c r="J1838">
        <v>-205.10839999999999</v>
      </c>
      <c r="K1838">
        <v>1.158436</v>
      </c>
      <c r="L1838">
        <v>289.22050000000002</v>
      </c>
      <c r="M1838">
        <v>-0.84628740000000002</v>
      </c>
      <c r="N1838">
        <v>0</v>
      </c>
      <c r="O1838">
        <v>-0.53220800000000001</v>
      </c>
      <c r="P1838">
        <v>-0.90622190000000002</v>
      </c>
      <c r="Q1838">
        <v>-1.3573129999999999E-2</v>
      </c>
      <c r="R1838">
        <v>-0.42258459999999998</v>
      </c>
      <c r="S1838">
        <v>-3.116425</v>
      </c>
      <c r="T1838">
        <v>-0.1900154</v>
      </c>
      <c r="U1838">
        <v>-0.43386839999999999</v>
      </c>
      <c r="V1838">
        <v>0.1249618</v>
      </c>
      <c r="W1838">
        <v>5.5468440000000004E-3</v>
      </c>
      <c r="X1838">
        <v>0.99214599999999897</v>
      </c>
      <c r="Y1838">
        <v>0.408939099999999</v>
      </c>
      <c r="Z1838">
        <v>4.3037590000000001E-2</v>
      </c>
      <c r="AA1838">
        <v>0.91154629999999903</v>
      </c>
      <c r="AB1838">
        <v>20</v>
      </c>
      <c r="AC1838">
        <v>-18.825800000000001</v>
      </c>
      <c r="AD1838">
        <v>-1.1584354431913999</v>
      </c>
      <c r="AE1838">
        <v>-2.5418999999999898</v>
      </c>
      <c r="AF1838">
        <v>7.8410784428138101</v>
      </c>
      <c r="AG1838">
        <v>-1.1584354431913999</v>
      </c>
      <c r="AH1838">
        <v>17.225575230536101</v>
      </c>
      <c r="AI1838">
        <v>93.502582867670597</v>
      </c>
      <c r="AJ1838">
        <v>65.524981260188099</v>
      </c>
      <c r="AK1838">
        <v>18.961669911831599</v>
      </c>
    </row>
    <row r="1839" spans="1:37" x14ac:dyDescent="0.2">
      <c r="A1839" t="str">
        <f>"20200111155535575"</f>
        <v>20200111155535575</v>
      </c>
      <c r="B1839" t="str">
        <f>"1578729335564176"</f>
        <v>1578729335564176</v>
      </c>
      <c r="C1839" t="s">
        <v>37</v>
      </c>
      <c r="D1839">
        <v>5.0853229999999998</v>
      </c>
      <c r="E1839">
        <v>0.62087300000000001</v>
      </c>
      <c r="F1839" t="s">
        <v>59</v>
      </c>
      <c r="G1839">
        <v>-226.19200000000001</v>
      </c>
      <c r="H1839" s="1">
        <v>1.75827E-6</v>
      </c>
      <c r="I1839">
        <v>286.56630000000001</v>
      </c>
      <c r="J1839">
        <v>-205.28389999999999</v>
      </c>
      <c r="K1839">
        <v>1.1570769999999999</v>
      </c>
      <c r="L1839">
        <v>289.12419999999997</v>
      </c>
      <c r="M1839">
        <v>-0.85082369999999996</v>
      </c>
      <c r="N1839">
        <v>0</v>
      </c>
      <c r="O1839">
        <v>-0.52489079999999999</v>
      </c>
      <c r="P1839">
        <v>-0.90929689999999996</v>
      </c>
      <c r="Q1839">
        <v>-1.3924880000000001E-2</v>
      </c>
      <c r="R1839">
        <v>-0.41591469999999903</v>
      </c>
      <c r="S1839">
        <v>-3.1244350000000001</v>
      </c>
      <c r="T1839">
        <v>-0.1716713</v>
      </c>
      <c r="U1839">
        <v>-0.393341099999999</v>
      </c>
      <c r="V1839">
        <v>0.1237105</v>
      </c>
      <c r="W1839">
        <v>6.1729200000000001E-3</v>
      </c>
      <c r="X1839">
        <v>0.99229909999999999</v>
      </c>
      <c r="Y1839">
        <v>0.41332079999999999</v>
      </c>
      <c r="Z1839">
        <v>3.8629199999999898E-2</v>
      </c>
      <c r="AA1839">
        <v>0.90976569999999901</v>
      </c>
      <c r="AB1839">
        <v>20</v>
      </c>
      <c r="AC1839">
        <v>-20.908100000000001</v>
      </c>
      <c r="AD1839">
        <v>-1.1570752417300001</v>
      </c>
      <c r="AE1839">
        <v>-2.5578999999999601</v>
      </c>
      <c r="AF1839">
        <v>8.7742621620258205</v>
      </c>
      <c r="AG1839">
        <v>-1.1570752417300001</v>
      </c>
      <c r="AH1839">
        <v>19.079786326802001</v>
      </c>
      <c r="AI1839">
        <v>93.153648521118299</v>
      </c>
      <c r="AJ1839">
        <v>65.303616499262702</v>
      </c>
      <c r="AK1839">
        <v>21.032468848887</v>
      </c>
    </row>
    <row r="1840" spans="1:37" x14ac:dyDescent="0.2">
      <c r="A1840" t="str">
        <f>"20200111155535597"</f>
        <v>20200111155535597</v>
      </c>
      <c r="B1840" t="str">
        <f>"1578729335594433"</f>
        <v>1578729335594433</v>
      </c>
      <c r="C1840" t="s">
        <v>37</v>
      </c>
      <c r="D1840">
        <v>4.8227330000000004</v>
      </c>
      <c r="E1840">
        <v>0.62120520000000001</v>
      </c>
      <c r="F1840" t="s">
        <v>59</v>
      </c>
      <c r="G1840">
        <v>-228.6739</v>
      </c>
      <c r="H1840" s="1">
        <v>3.0790300000000001E-6</v>
      </c>
      <c r="I1840">
        <v>286.32139999999998</v>
      </c>
      <c r="J1840">
        <v>-205.4616</v>
      </c>
      <c r="K1840">
        <v>1.155532</v>
      </c>
      <c r="L1840">
        <v>289.02789999999999</v>
      </c>
      <c r="M1840">
        <v>-0.8551877</v>
      </c>
      <c r="N1840">
        <v>0</v>
      </c>
      <c r="O1840">
        <v>-0.51770039999999995</v>
      </c>
      <c r="P1840">
        <v>-0.91217199999999998</v>
      </c>
      <c r="Q1840">
        <v>-1.3703140000000001E-2</v>
      </c>
      <c r="R1840">
        <v>-0.40957880000000002</v>
      </c>
      <c r="S1840">
        <v>-3.1255799999999998</v>
      </c>
      <c r="T1840">
        <v>-0.15461849999999999</v>
      </c>
      <c r="U1840">
        <v>-0.37454219999999999</v>
      </c>
      <c r="V1840">
        <v>0.12230530000000001</v>
      </c>
      <c r="W1840">
        <v>7.526629E-3</v>
      </c>
      <c r="X1840">
        <v>0.99246399999999901</v>
      </c>
      <c r="Y1840">
        <v>0.41134989999999999</v>
      </c>
      <c r="Z1840">
        <v>3.4456689999999998E-2</v>
      </c>
      <c r="AA1840">
        <v>0.91082600000000002</v>
      </c>
      <c r="AB1840">
        <v>20</v>
      </c>
      <c r="AC1840">
        <v>-23.212299999999999</v>
      </c>
      <c r="AD1840">
        <v>-1.1555289209699999</v>
      </c>
      <c r="AE1840">
        <v>-2.7065000000000001</v>
      </c>
      <c r="AF1840">
        <v>9.6818879534194693</v>
      </c>
      <c r="AG1840">
        <v>-1.1555289209699999</v>
      </c>
      <c r="AH1840">
        <v>21.2069876886126</v>
      </c>
      <c r="AI1840">
        <v>92.837646316108803</v>
      </c>
      <c r="AJ1840">
        <v>65.461294379781805</v>
      </c>
      <c r="AK1840">
        <v>23.341176668170199</v>
      </c>
    </row>
    <row r="1841" spans="1:37" x14ac:dyDescent="0.2">
      <c r="A1841" t="str">
        <f>"20200111155535619"</f>
        <v>20200111155535619</v>
      </c>
      <c r="B1841" t="str">
        <f>"1578729335613952"</f>
        <v>1578729335613952</v>
      </c>
      <c r="C1841" t="s">
        <v>37</v>
      </c>
      <c r="D1841">
        <v>4.8634879999999896</v>
      </c>
      <c r="E1841">
        <v>0.62144580000000005</v>
      </c>
      <c r="F1841" t="s">
        <v>59</v>
      </c>
      <c r="G1841">
        <v>-232.9314</v>
      </c>
      <c r="H1841" s="1">
        <v>-3.5612169999999897E-8</v>
      </c>
      <c r="I1841">
        <v>285.96100000000001</v>
      </c>
      <c r="J1841">
        <v>-205.6386</v>
      </c>
      <c r="K1841">
        <v>1.1540379999999999</v>
      </c>
      <c r="L1841">
        <v>288.93329999999997</v>
      </c>
      <c r="M1841">
        <v>-0.85993059999999999</v>
      </c>
      <c r="N1841">
        <v>0</v>
      </c>
      <c r="O1841">
        <v>-0.50969799999999998</v>
      </c>
      <c r="P1841">
        <v>-0.91521919999999901</v>
      </c>
      <c r="Q1841">
        <v>-1.4344030000000001E-2</v>
      </c>
      <c r="R1841">
        <v>-0.40270079999999903</v>
      </c>
      <c r="S1841">
        <v>-3.1299739999999998</v>
      </c>
      <c r="T1841">
        <v>-0.1316638</v>
      </c>
      <c r="U1841">
        <v>-0.34945679999999901</v>
      </c>
      <c r="V1841">
        <v>0.1205685</v>
      </c>
      <c r="W1841">
        <v>8.6051989999999991E-3</v>
      </c>
      <c r="X1841">
        <v>0.99266769999999904</v>
      </c>
      <c r="Y1841">
        <v>0.41052379999999999</v>
      </c>
      <c r="Z1841">
        <v>2.902503E-2</v>
      </c>
      <c r="AA1841">
        <v>0.91138790000000003</v>
      </c>
      <c r="AB1841">
        <v>20</v>
      </c>
      <c r="AC1841">
        <v>-27.2928</v>
      </c>
      <c r="AD1841">
        <v>-1.15403803561217</v>
      </c>
      <c r="AE1841">
        <v>-2.9722999999999602</v>
      </c>
      <c r="AF1841">
        <v>11.3392096758769</v>
      </c>
      <c r="AG1841">
        <v>-1.15403803561217</v>
      </c>
      <c r="AH1841">
        <v>24.949894961037799</v>
      </c>
      <c r="AI1841">
        <v>92.411263218193696</v>
      </c>
      <c r="AJ1841">
        <v>65.559188770862093</v>
      </c>
      <c r="AK1841">
        <v>27.430033511243799</v>
      </c>
    </row>
    <row r="1842" spans="1:37" x14ac:dyDescent="0.2">
      <c r="A1842" t="str">
        <f>"20200111155535642"</f>
        <v>20200111155535642</v>
      </c>
      <c r="B1842" t="str">
        <f>"1578729335634448"</f>
        <v>1578729335634448</v>
      </c>
      <c r="C1842" t="s">
        <v>37</v>
      </c>
      <c r="D1842">
        <v>4.9889799999999997</v>
      </c>
      <c r="E1842">
        <v>0.62060509999999902</v>
      </c>
      <c r="F1842" t="s">
        <v>59</v>
      </c>
      <c r="G1842">
        <v>-234.5427</v>
      </c>
      <c r="H1842" s="1">
        <v>8.2247969999999896E-7</v>
      </c>
      <c r="I1842">
        <v>285.94619999999998</v>
      </c>
      <c r="J1842">
        <v>-205.82490000000001</v>
      </c>
      <c r="K1842">
        <v>1.1517679999999999</v>
      </c>
      <c r="L1842">
        <v>288.83589999999998</v>
      </c>
      <c r="M1842">
        <v>-0.86539469999999996</v>
      </c>
      <c r="N1842">
        <v>0</v>
      </c>
      <c r="O1842">
        <v>-0.50028479999999997</v>
      </c>
      <c r="P1842">
        <v>-0.91868519999999898</v>
      </c>
      <c r="Q1842">
        <v>-1.6459809999999998E-2</v>
      </c>
      <c r="R1842">
        <v>-0.39464759999999999</v>
      </c>
      <c r="S1842">
        <v>-3.1334529999999998</v>
      </c>
      <c r="T1842">
        <v>-0.12510750000000001</v>
      </c>
      <c r="U1842">
        <v>-0.323822</v>
      </c>
      <c r="V1842">
        <v>0.1184487</v>
      </c>
      <c r="W1842">
        <v>7.8632649999999995E-3</v>
      </c>
      <c r="X1842">
        <v>0.99292899999999995</v>
      </c>
      <c r="Y1842">
        <v>0.40816149999999901</v>
      </c>
      <c r="Z1842">
        <v>2.7202029999999999E-2</v>
      </c>
      <c r="AA1842">
        <v>0.91250439999999999</v>
      </c>
      <c r="AB1842">
        <v>20</v>
      </c>
      <c r="AC1842">
        <v>-28.717799999999901</v>
      </c>
      <c r="AD1842">
        <v>-1.1517671775203</v>
      </c>
      <c r="AE1842">
        <v>-2.8896999999999999</v>
      </c>
      <c r="AF1842">
        <v>11.8522659858374</v>
      </c>
      <c r="AG1842">
        <v>-1.1517671775203</v>
      </c>
      <c r="AH1842">
        <v>26.266697213665299</v>
      </c>
      <c r="AI1842">
        <v>92.288803373712199</v>
      </c>
      <c r="AJ1842">
        <v>65.713776710906103</v>
      </c>
      <c r="AK1842">
        <v>28.839940345718901</v>
      </c>
    </row>
    <row r="1843" spans="1:37" x14ac:dyDescent="0.2">
      <c r="A1843" t="str">
        <f>"20200111155535664"</f>
        <v>20200111155535664</v>
      </c>
      <c r="B1843" t="str">
        <f>"1578729335653968"</f>
        <v>1578729335653968</v>
      </c>
      <c r="C1843" t="s">
        <v>37</v>
      </c>
      <c r="D1843">
        <v>4.9809729999999997</v>
      </c>
      <c r="E1843">
        <v>0.61953549999999902</v>
      </c>
      <c r="F1843" t="s">
        <v>59</v>
      </c>
      <c r="G1843">
        <v>-234.04</v>
      </c>
      <c r="H1843" s="1">
        <v>5.4759519999999895E-7</v>
      </c>
      <c r="I1843">
        <v>286.11520000000002</v>
      </c>
      <c r="J1843">
        <v>-205.9999</v>
      </c>
      <c r="K1843">
        <v>1.148917</v>
      </c>
      <c r="L1843">
        <v>288.74740000000003</v>
      </c>
      <c r="M1843">
        <v>-0.87045450000000002</v>
      </c>
      <c r="N1843">
        <v>0</v>
      </c>
      <c r="O1843">
        <v>-0.49138749999999998</v>
      </c>
      <c r="P1843">
        <v>-0.92193289999999894</v>
      </c>
      <c r="Q1843">
        <v>-1.675447E-2</v>
      </c>
      <c r="R1843">
        <v>-0.38698759999999999</v>
      </c>
      <c r="S1843">
        <v>-3.1334379999999999</v>
      </c>
      <c r="T1843">
        <v>-0.12791</v>
      </c>
      <c r="U1843">
        <v>-0.30215449999999999</v>
      </c>
      <c r="V1843">
        <v>0.11657439999999999</v>
      </c>
      <c r="W1843">
        <v>8.0897569999999995E-3</v>
      </c>
      <c r="X1843">
        <v>0.99314899999999995</v>
      </c>
      <c r="Y1843">
        <v>0.4050377</v>
      </c>
      <c r="Z1843">
        <v>2.7449790000000002E-2</v>
      </c>
      <c r="AA1843">
        <v>0.91388789999999998</v>
      </c>
      <c r="AB1843">
        <v>20</v>
      </c>
      <c r="AC1843">
        <v>-28.040099999999899</v>
      </c>
      <c r="AD1843">
        <v>-1.1489164524047999</v>
      </c>
      <c r="AE1843">
        <v>-2.6322000000000099</v>
      </c>
      <c r="AF1843">
        <v>11.473120290468801</v>
      </c>
      <c r="AG1843">
        <v>-1.1489164524047999</v>
      </c>
      <c r="AH1843">
        <v>25.669237490335</v>
      </c>
      <c r="AI1843">
        <v>92.339952242516603</v>
      </c>
      <c r="AJ1843">
        <v>65.917270788924398</v>
      </c>
      <c r="AK1843">
        <v>28.140047113489199</v>
      </c>
    </row>
    <row r="1844" spans="1:37" x14ac:dyDescent="0.2">
      <c r="A1844" t="str">
        <f>"20200111155535686"</f>
        <v>20200111155535686</v>
      </c>
      <c r="B1844" t="str">
        <f>"1578729335674464"</f>
        <v>1578729335674464</v>
      </c>
      <c r="C1844" t="s">
        <v>37</v>
      </c>
      <c r="D1844">
        <v>4.9828619999999999</v>
      </c>
      <c r="E1844">
        <v>0.61826680000000001</v>
      </c>
      <c r="F1844" t="s">
        <v>59</v>
      </c>
      <c r="G1844">
        <v>-234.8826</v>
      </c>
      <c r="H1844" s="1">
        <v>9.9526200000000004E-7</v>
      </c>
      <c r="I1844">
        <v>286.13130000000001</v>
      </c>
      <c r="J1844">
        <v>-206.17939999999999</v>
      </c>
      <c r="K1844">
        <v>1.145878</v>
      </c>
      <c r="L1844">
        <v>288.65980000000002</v>
      </c>
      <c r="M1844">
        <v>-0.87540810000000002</v>
      </c>
      <c r="N1844">
        <v>0</v>
      </c>
      <c r="O1844">
        <v>-0.4824811</v>
      </c>
      <c r="P1844">
        <v>-0.92555359999999998</v>
      </c>
      <c r="Q1844">
        <v>-1.599422E-2</v>
      </c>
      <c r="R1844">
        <v>-0.37827949999999999</v>
      </c>
      <c r="S1844">
        <v>-3.1326749999999999</v>
      </c>
      <c r="T1844">
        <v>-0.12461359999999901</v>
      </c>
      <c r="U1844">
        <v>-0.28375240000000002</v>
      </c>
      <c r="V1844">
        <v>0.1158777</v>
      </c>
      <c r="W1844">
        <v>9.0863090000000007E-3</v>
      </c>
      <c r="X1844">
        <v>0.99322189999999999</v>
      </c>
      <c r="Y1844">
        <v>0.40105879999999999</v>
      </c>
      <c r="Z1844">
        <v>2.6374290000000002E-2</v>
      </c>
      <c r="AA1844">
        <v>0.9156725</v>
      </c>
      <c r="AB1844">
        <v>20</v>
      </c>
      <c r="AC1844">
        <v>-28.703199999999999</v>
      </c>
      <c r="AD1844">
        <v>-1.145877004738</v>
      </c>
      <c r="AE1844">
        <v>-2.5285000000000002</v>
      </c>
      <c r="AF1844">
        <v>11.621982497192301</v>
      </c>
      <c r="AG1844">
        <v>-1.145877004738</v>
      </c>
      <c r="AH1844">
        <v>26.316851512448402</v>
      </c>
      <c r="AI1844">
        <v>92.280911935057304</v>
      </c>
      <c r="AJ1844">
        <v>66.172907194622596</v>
      </c>
      <c r="AK1844">
        <v>28.791668670004</v>
      </c>
    </row>
    <row r="1845" spans="1:37" x14ac:dyDescent="0.2">
      <c r="A1845" t="str">
        <f>"20200111155535709"</f>
        <v>20200111155535709</v>
      </c>
      <c r="B1845" t="str">
        <f>"1578729335703744"</f>
        <v>1578729335703744</v>
      </c>
      <c r="C1845" t="s">
        <v>37</v>
      </c>
      <c r="D1845">
        <v>4.9632100000000001</v>
      </c>
      <c r="E1845">
        <v>0.61649219999999905</v>
      </c>
      <c r="F1845" t="s">
        <v>59</v>
      </c>
      <c r="G1845">
        <v>-235.25620000000001</v>
      </c>
      <c r="H1845" s="1">
        <v>1.1905789999999999E-6</v>
      </c>
      <c r="I1845">
        <v>286.21179999999998</v>
      </c>
      <c r="J1845">
        <v>-206.36709999999999</v>
      </c>
      <c r="K1845">
        <v>1.142927</v>
      </c>
      <c r="L1845">
        <v>288.57150000000001</v>
      </c>
      <c r="M1845">
        <v>-0.8804284</v>
      </c>
      <c r="N1845">
        <v>0</v>
      </c>
      <c r="O1845">
        <v>-0.4732286</v>
      </c>
      <c r="P1845">
        <v>-0.92923120000000003</v>
      </c>
      <c r="Q1845">
        <v>-1.523851E-2</v>
      </c>
      <c r="R1845">
        <v>-0.36918429999999902</v>
      </c>
      <c r="S1845">
        <v>-3.1314389999999999</v>
      </c>
      <c r="T1845">
        <v>-0.1234056</v>
      </c>
      <c r="U1845">
        <v>-0.26364140000000003</v>
      </c>
      <c r="V1845">
        <v>0.115221699999999</v>
      </c>
      <c r="W1845">
        <v>1.0193000000000001E-2</v>
      </c>
      <c r="X1845">
        <v>0.99328749999999999</v>
      </c>
      <c r="Y1845">
        <v>0.39723449999999999</v>
      </c>
      <c r="Z1845">
        <v>2.5746660000000001E-2</v>
      </c>
      <c r="AA1845">
        <v>0.9173559</v>
      </c>
      <c r="AB1845">
        <v>20</v>
      </c>
      <c r="AC1845">
        <v>-28.889099999999999</v>
      </c>
      <c r="AD1845">
        <v>-1.142925809421</v>
      </c>
      <c r="AE1845">
        <v>-2.3597000000000299</v>
      </c>
      <c r="AF1845">
        <v>11.5808190530307</v>
      </c>
      <c r="AG1845">
        <v>-1.142925809421</v>
      </c>
      <c r="AH1845">
        <v>26.522187591345499</v>
      </c>
      <c r="AI1845">
        <v>92.261579164671204</v>
      </c>
      <c r="AJ1845">
        <v>66.4116831150737</v>
      </c>
      <c r="AK1845">
        <v>28.962874235396701</v>
      </c>
    </row>
    <row r="1846" spans="1:37" x14ac:dyDescent="0.2">
      <c r="A1846" t="str">
        <f>"20200111155535732"</f>
        <v>20200111155535732</v>
      </c>
      <c r="B1846" t="str">
        <f>"1578729335724241"</f>
        <v>1578729335724241</v>
      </c>
      <c r="C1846" t="s">
        <v>37</v>
      </c>
      <c r="D1846">
        <v>5.0005269999999999</v>
      </c>
      <c r="E1846">
        <v>0.61525929999999995</v>
      </c>
      <c r="F1846" t="s">
        <v>59</v>
      </c>
      <c r="G1846">
        <v>-235.7516</v>
      </c>
      <c r="H1846" s="1">
        <v>1.452029E-6</v>
      </c>
      <c r="I1846">
        <v>286.26139999999998</v>
      </c>
      <c r="J1846">
        <v>-206.5515</v>
      </c>
      <c r="K1846">
        <v>1.1402620000000001</v>
      </c>
      <c r="L1846">
        <v>288.48739999999998</v>
      </c>
      <c r="M1846">
        <v>-0.88542880000000002</v>
      </c>
      <c r="N1846">
        <v>0</v>
      </c>
      <c r="O1846">
        <v>-0.46377410000000002</v>
      </c>
      <c r="P1846">
        <v>-0.93301389999999995</v>
      </c>
      <c r="Q1846">
        <v>-1.449202E-2</v>
      </c>
      <c r="R1846">
        <v>-0.3595486</v>
      </c>
      <c r="S1846">
        <v>-3.1287689999999899</v>
      </c>
      <c r="T1846">
        <v>-0.12169480000000001</v>
      </c>
      <c r="U1846">
        <v>-0.24597169999999999</v>
      </c>
      <c r="V1846">
        <v>0.1149288</v>
      </c>
      <c r="W1846">
        <v>1.138836E-2</v>
      </c>
      <c r="X1846">
        <v>0.99330839999999998</v>
      </c>
      <c r="Y1846">
        <v>0.3925186</v>
      </c>
      <c r="Z1846">
        <v>2.500519E-2</v>
      </c>
      <c r="AA1846">
        <v>0.91940409999999995</v>
      </c>
      <c r="AB1846">
        <v>20</v>
      </c>
      <c r="AC1846">
        <v>-29.2000999999999</v>
      </c>
      <c r="AD1846">
        <v>-1.140260547971</v>
      </c>
      <c r="AE1846">
        <v>-2.2259999999999902</v>
      </c>
      <c r="AF1846">
        <v>11.5591420388401</v>
      </c>
      <c r="AG1846">
        <v>-1.140260547971</v>
      </c>
      <c r="AH1846">
        <v>26.858753969168799</v>
      </c>
      <c r="AI1846">
        <v>92.233171331698699</v>
      </c>
      <c r="AJ1846">
        <v>66.714514085244801</v>
      </c>
      <c r="AK1846">
        <v>29.262717296377001</v>
      </c>
    </row>
    <row r="1847" spans="1:37" x14ac:dyDescent="0.2">
      <c r="A1847" t="str">
        <f>"20200111155535754"</f>
        <v>20200111155535754</v>
      </c>
      <c r="B1847" t="str">
        <f>"1578729335743760"</f>
        <v>1578729335743760</v>
      </c>
      <c r="C1847" t="s">
        <v>37</v>
      </c>
      <c r="D1847">
        <v>4.933541</v>
      </c>
      <c r="E1847">
        <v>0.61428209999999905</v>
      </c>
      <c r="F1847" t="s">
        <v>59</v>
      </c>
      <c r="G1847">
        <v>-236.4365</v>
      </c>
      <c r="H1847" s="1">
        <v>1.8121490000000001E-6</v>
      </c>
      <c r="I1847">
        <v>286.36020000000002</v>
      </c>
      <c r="J1847">
        <v>-206.73320000000001</v>
      </c>
      <c r="K1847">
        <v>1.1377189999999999</v>
      </c>
      <c r="L1847">
        <v>288.40679999999998</v>
      </c>
      <c r="M1847">
        <v>-0.89047719999999897</v>
      </c>
      <c r="N1847">
        <v>0</v>
      </c>
      <c r="O1847">
        <v>-0.45397340000000003</v>
      </c>
      <c r="P1847">
        <v>-0.93680059999999998</v>
      </c>
      <c r="Q1847">
        <v>-1.341474E-2</v>
      </c>
      <c r="R1847">
        <v>-0.34960759999999902</v>
      </c>
      <c r="S1847">
        <v>-3.1277309999999998</v>
      </c>
      <c r="T1847">
        <v>-0.1193386</v>
      </c>
      <c r="U1847">
        <v>-0.22262570000000001</v>
      </c>
      <c r="V1847">
        <v>0.1146015</v>
      </c>
      <c r="W1847">
        <v>1.29661E-2</v>
      </c>
      <c r="X1847">
        <v>0.99332690000000001</v>
      </c>
      <c r="Y1847">
        <v>0.38920529999999998</v>
      </c>
      <c r="Z1847">
        <v>2.4146239999999999E-2</v>
      </c>
      <c r="AA1847">
        <v>0.920834499999999</v>
      </c>
      <c r="AB1847">
        <v>20</v>
      </c>
      <c r="AC1847">
        <v>-29.703299999999899</v>
      </c>
      <c r="AD1847">
        <v>-1.137717187851</v>
      </c>
      <c r="AE1847">
        <v>-2.04659999999995</v>
      </c>
      <c r="AF1847">
        <v>11.650638694885901</v>
      </c>
      <c r="AG1847">
        <v>-1.137717187851</v>
      </c>
      <c r="AH1847">
        <v>27.352405355890799</v>
      </c>
      <c r="AI1847">
        <v>92.191520908162602</v>
      </c>
      <c r="AJ1847">
        <v>66.928630092133702</v>
      </c>
      <c r="AK1847">
        <v>29.7520732244204</v>
      </c>
    </row>
    <row r="1848" spans="1:37" x14ac:dyDescent="0.2">
      <c r="A1848" t="str">
        <f>"20200111155535776"</f>
        <v>20200111155535776</v>
      </c>
      <c r="B1848" t="str">
        <f>"1578729335774016"</f>
        <v>1578729335774016</v>
      </c>
      <c r="C1848" t="s">
        <v>37</v>
      </c>
      <c r="D1848">
        <v>4.9054880000000001</v>
      </c>
      <c r="E1848">
        <v>0.59964150000000005</v>
      </c>
      <c r="F1848" t="s">
        <v>59</v>
      </c>
      <c r="G1848">
        <v>-236.98439999999999</v>
      </c>
      <c r="H1848" s="1">
        <v>2.0975319999999999E-6</v>
      </c>
      <c r="I1848">
        <v>286.5018</v>
      </c>
      <c r="J1848">
        <v>-206.92169999999999</v>
      </c>
      <c r="K1848">
        <v>1.1350309999999999</v>
      </c>
      <c r="L1848">
        <v>288.32560000000001</v>
      </c>
      <c r="M1848">
        <v>-0.89568570000000003</v>
      </c>
      <c r="N1848">
        <v>0</v>
      </c>
      <c r="O1848">
        <v>-0.44357590000000002</v>
      </c>
      <c r="P1848">
        <v>-0.94069899999999995</v>
      </c>
      <c r="Q1848">
        <v>-1.175908E-2</v>
      </c>
      <c r="R1848">
        <v>-0.33903909999999998</v>
      </c>
      <c r="S1848">
        <v>-3.1272129999999998</v>
      </c>
      <c r="T1848">
        <v>-0.1176113</v>
      </c>
      <c r="U1848">
        <v>-0.19692989999999999</v>
      </c>
      <c r="V1848">
        <v>0.114317499999999</v>
      </c>
      <c r="W1848">
        <v>1.5100209999999999E-2</v>
      </c>
      <c r="X1848">
        <v>0.99332949999999998</v>
      </c>
      <c r="Y1848">
        <v>0.3860343</v>
      </c>
      <c r="Z1848">
        <v>2.3403480000000001E-2</v>
      </c>
      <c r="AA1848">
        <v>0.92218750000000005</v>
      </c>
      <c r="AB1848">
        <v>20</v>
      </c>
      <c r="AC1848">
        <v>-30.0627</v>
      </c>
      <c r="AD1848">
        <v>-1.13502890246799</v>
      </c>
      <c r="AE1848">
        <v>-1.8238000000000001</v>
      </c>
      <c r="AF1848">
        <v>11.690716177163001</v>
      </c>
      <c r="AG1848">
        <v>-1.13502890246799</v>
      </c>
      <c r="AH1848">
        <v>27.710074529930999</v>
      </c>
      <c r="AI1848">
        <v>92.161295501061005</v>
      </c>
      <c r="AJ1848">
        <v>67.125407174337695</v>
      </c>
      <c r="AK1848">
        <v>30.096667021428701</v>
      </c>
    </row>
    <row r="1849" spans="1:37" x14ac:dyDescent="0.2">
      <c r="A1849" t="str">
        <f>"20200111155535810"</f>
        <v>20200111155535810</v>
      </c>
      <c r="B1849" t="str">
        <f>"1578729335804272"</f>
        <v>1578729335804272</v>
      </c>
      <c r="C1849" t="s">
        <v>37</v>
      </c>
      <c r="D1849">
        <v>5.0201539999999998</v>
      </c>
      <c r="E1849">
        <v>0.59551339999999997</v>
      </c>
      <c r="F1849" t="s">
        <v>59</v>
      </c>
      <c r="G1849">
        <v>-230.9854</v>
      </c>
      <c r="H1849" s="1">
        <v>-1.081654E-6</v>
      </c>
      <c r="I1849">
        <v>286.2004</v>
      </c>
      <c r="J1849">
        <v>-207.1865</v>
      </c>
      <c r="K1849">
        <v>1.131159</v>
      </c>
      <c r="L1849">
        <v>288.21600000000001</v>
      </c>
      <c r="M1849">
        <v>-0.90257770000000004</v>
      </c>
      <c r="N1849">
        <v>0</v>
      </c>
      <c r="O1849">
        <v>-0.42934719999999998</v>
      </c>
      <c r="P1849">
        <v>-0.94535449999999999</v>
      </c>
      <c r="Q1849">
        <v>-7.1370340000000004E-3</v>
      </c>
      <c r="R1849">
        <v>-0.325966799999999</v>
      </c>
      <c r="S1849">
        <v>-3.0890049999999998</v>
      </c>
      <c r="T1849">
        <v>-0.14570150000000001</v>
      </c>
      <c r="U1849">
        <v>-0.2727966</v>
      </c>
      <c r="V1849">
        <v>0.112593899999999</v>
      </c>
      <c r="W1849">
        <v>2.019632E-2</v>
      </c>
      <c r="X1849">
        <v>0.99343579999999998</v>
      </c>
      <c r="Y1849">
        <v>0.34763459999999902</v>
      </c>
      <c r="Z1849">
        <v>2.7779680000000001E-2</v>
      </c>
      <c r="AA1849">
        <v>0.93721849999999995</v>
      </c>
      <c r="AB1849">
        <v>19</v>
      </c>
      <c r="AC1849">
        <v>-23.7989</v>
      </c>
      <c r="AD1849">
        <v>-1.1311600816539999</v>
      </c>
      <c r="AE1849">
        <v>-2.0156000000000001</v>
      </c>
      <c r="AF1849">
        <v>8.3842130474906291</v>
      </c>
      <c r="AG1849">
        <v>-1.1311600816539999</v>
      </c>
      <c r="AH1849">
        <v>22.307057047903399</v>
      </c>
      <c r="AI1849">
        <v>92.7175965837788</v>
      </c>
      <c r="AJ1849">
        <v>69.401031800904804</v>
      </c>
      <c r="AK1849">
        <v>23.8574798688893</v>
      </c>
    </row>
    <row r="1850" spans="1:37" x14ac:dyDescent="0.2">
      <c r="A1850" t="str">
        <f>"20200111155535831"</f>
        <v>20200111155535831</v>
      </c>
      <c r="B1850" t="str">
        <f>"1578729335823792"</f>
        <v>1578729335823792</v>
      </c>
      <c r="C1850" t="s">
        <v>37</v>
      </c>
      <c r="D1850">
        <v>4.9692819999999998</v>
      </c>
      <c r="E1850">
        <v>0.59518740000000003</v>
      </c>
      <c r="F1850" t="s">
        <v>59</v>
      </c>
      <c r="G1850">
        <v>-234.3151</v>
      </c>
      <c r="H1850" s="1">
        <v>7.0261529999999997E-7</v>
      </c>
      <c r="I1850">
        <v>285.91739999999999</v>
      </c>
      <c r="J1850">
        <v>-207.3716</v>
      </c>
      <c r="K1850">
        <v>1.128574</v>
      </c>
      <c r="L1850">
        <v>288.1422</v>
      </c>
      <c r="M1850">
        <v>-0.90707919999999997</v>
      </c>
      <c r="N1850">
        <v>0</v>
      </c>
      <c r="O1850">
        <v>-0.41974209999999901</v>
      </c>
      <c r="P1850">
        <v>-0.94791229999999904</v>
      </c>
      <c r="Q1850">
        <v>-1.404719E-3</v>
      </c>
      <c r="R1850">
        <v>-0.318528599999999</v>
      </c>
      <c r="S1850">
        <v>-3.0823669999999899</v>
      </c>
      <c r="T1850">
        <v>-0.12852279999999999</v>
      </c>
      <c r="U1850">
        <v>-0.2611694</v>
      </c>
      <c r="V1850">
        <v>0.1100988</v>
      </c>
      <c r="W1850">
        <v>2.6165190000000001E-2</v>
      </c>
      <c r="X1850">
        <v>0.99357619999999902</v>
      </c>
      <c r="Y1850">
        <v>0.34120259999999902</v>
      </c>
      <c r="Z1850">
        <v>2.4069119999999999E-2</v>
      </c>
      <c r="AA1850">
        <v>0.93968159999999901</v>
      </c>
      <c r="AB1850">
        <v>19</v>
      </c>
      <c r="AC1850">
        <v>-26.9435</v>
      </c>
      <c r="AD1850">
        <v>-1.12857329738469</v>
      </c>
      <c r="AE1850">
        <v>-2.2248000000000099</v>
      </c>
      <c r="AF1850">
        <v>9.2798406016023502</v>
      </c>
      <c r="AG1850">
        <v>-1.12857329738469</v>
      </c>
      <c r="AH1850">
        <v>25.342568406936401</v>
      </c>
      <c r="AI1850">
        <v>92.394561743996505</v>
      </c>
      <c r="AJ1850">
        <v>69.888481364106696</v>
      </c>
      <c r="AK1850">
        <v>27.011754714178899</v>
      </c>
    </row>
    <row r="1851" spans="1:37" x14ac:dyDescent="0.2">
      <c r="A1851" t="str">
        <f>"20200111155535854"</f>
        <v>20200111155535854</v>
      </c>
      <c r="B1851" t="str">
        <f>"1578729335844288"</f>
        <v>1578729335844288</v>
      </c>
      <c r="C1851" t="s">
        <v>37</v>
      </c>
      <c r="D1851">
        <v>4.9877479999999998</v>
      </c>
      <c r="E1851">
        <v>0.59625609999999996</v>
      </c>
      <c r="F1851" t="s">
        <v>59</v>
      </c>
      <c r="G1851">
        <v>-237.8776</v>
      </c>
      <c r="H1851" s="1">
        <v>2.604966E-6</v>
      </c>
      <c r="I1851">
        <v>285.76769999999999</v>
      </c>
      <c r="J1851">
        <v>-207.55359999999999</v>
      </c>
      <c r="K1851">
        <v>1.1263000000000001</v>
      </c>
      <c r="L1851">
        <v>288.0718</v>
      </c>
      <c r="M1851">
        <v>-0.91131090000000003</v>
      </c>
      <c r="N1851">
        <v>0</v>
      </c>
      <c r="O1851">
        <v>-0.41046969999999999</v>
      </c>
      <c r="P1851">
        <v>-0.95027850000000003</v>
      </c>
      <c r="Q1851">
        <v>3.5507009999999999E-3</v>
      </c>
      <c r="R1851">
        <v>-0.31138130000000003</v>
      </c>
      <c r="S1851">
        <v>-3.084015</v>
      </c>
      <c r="T1851">
        <v>-0.11409329999999999</v>
      </c>
      <c r="U1851">
        <v>-0.2400513</v>
      </c>
      <c r="V1851">
        <v>0.10763739999999999</v>
      </c>
      <c r="W1851">
        <v>3.1286679999999997E-2</v>
      </c>
      <c r="X1851">
        <v>0.99369779999999996</v>
      </c>
      <c r="Y1851">
        <v>0.33819359999999998</v>
      </c>
      <c r="Z1851">
        <v>2.099935E-2</v>
      </c>
      <c r="AA1851">
        <v>0.94084230000000002</v>
      </c>
      <c r="AB1851">
        <v>19</v>
      </c>
      <c r="AC1851">
        <v>-30.324000000000002</v>
      </c>
      <c r="AD1851">
        <v>-1.1262973950340001</v>
      </c>
      <c r="AE1851">
        <v>-2.3041</v>
      </c>
      <c r="AF1851">
        <v>10.338469120006501</v>
      </c>
      <c r="AG1851">
        <v>-1.1262973950340001</v>
      </c>
      <c r="AH1851">
        <v>28.555875538494298</v>
      </c>
      <c r="AI1851">
        <v>92.123906755680594</v>
      </c>
      <c r="AJ1851">
        <v>70.097540443632596</v>
      </c>
      <c r="AK1851">
        <v>30.390632065446901</v>
      </c>
    </row>
    <row r="1852" spans="1:37" x14ac:dyDescent="0.2">
      <c r="A1852" t="str">
        <f>"20200111155535897"</f>
        <v>20200111155535897</v>
      </c>
      <c r="B1852" t="str">
        <f>"1578729335894065"</f>
        <v>1578729335894065</v>
      </c>
      <c r="C1852" t="s">
        <v>37</v>
      </c>
      <c r="D1852">
        <v>4.9262040000000002</v>
      </c>
      <c r="E1852">
        <v>0.60665959999999997</v>
      </c>
      <c r="F1852" t="s">
        <v>59</v>
      </c>
      <c r="G1852">
        <v>-245.17580000000001</v>
      </c>
      <c r="H1852" s="1">
        <v>1.217491E-6</v>
      </c>
      <c r="I1852">
        <v>285.52749999999997</v>
      </c>
      <c r="J1852">
        <v>-207.91630000000001</v>
      </c>
      <c r="K1852">
        <v>1.122757</v>
      </c>
      <c r="L1852">
        <v>287.93700000000001</v>
      </c>
      <c r="M1852">
        <v>-0.91922510000000002</v>
      </c>
      <c r="N1852">
        <v>0</v>
      </c>
      <c r="O1852">
        <v>-0.39243129999999998</v>
      </c>
      <c r="P1852">
        <v>-0.95405879999999998</v>
      </c>
      <c r="Q1852">
        <v>7.57361199999999E-3</v>
      </c>
      <c r="R1852">
        <v>-0.29952410000000002</v>
      </c>
      <c r="S1852">
        <v>-3.088867</v>
      </c>
      <c r="T1852">
        <v>-9.247184E-2</v>
      </c>
      <c r="U1852">
        <v>-0.20889279999999999</v>
      </c>
      <c r="V1852">
        <v>0.10052709999999999</v>
      </c>
      <c r="W1852">
        <v>3.566254E-2</v>
      </c>
      <c r="X1852">
        <v>0.99429489999999998</v>
      </c>
      <c r="Y1852">
        <v>0.32936969999999999</v>
      </c>
      <c r="Z1852">
        <v>1.6377579999999999E-2</v>
      </c>
      <c r="AA1852">
        <v>0.94405899999999998</v>
      </c>
      <c r="AB1852">
        <v>19</v>
      </c>
      <c r="AC1852">
        <v>-37.259500000000003</v>
      </c>
      <c r="AD1852">
        <v>-1.122755782509</v>
      </c>
      <c r="AE1852">
        <v>-2.4095000000000302</v>
      </c>
      <c r="AF1852">
        <v>12.4020570287392</v>
      </c>
      <c r="AG1852">
        <v>-1.122755782509</v>
      </c>
      <c r="AH1852">
        <v>35.181632513980801</v>
      </c>
      <c r="AI1852">
        <v>91.723955870195994</v>
      </c>
      <c r="AJ1852">
        <v>70.581675845971503</v>
      </c>
      <c r="AK1852">
        <v>37.320488547714</v>
      </c>
    </row>
    <row r="1853" spans="1:37" x14ac:dyDescent="0.2">
      <c r="A1853" t="str">
        <f>"20200111155535922"</f>
        <v>20200111155535922</v>
      </c>
      <c r="B1853" t="str">
        <f>"1578729335914561"</f>
        <v>1578729335914561</v>
      </c>
      <c r="C1853" t="s">
        <v>37</v>
      </c>
      <c r="D1853">
        <v>4.9430389999999997</v>
      </c>
      <c r="E1853">
        <v>0.60448100000000005</v>
      </c>
      <c r="F1853" t="s">
        <v>60</v>
      </c>
      <c r="G1853">
        <v>-551.06200000000001</v>
      </c>
      <c r="H1853">
        <v>0.50158829999999999</v>
      </c>
      <c r="I1853">
        <v>278.3322</v>
      </c>
      <c r="J1853">
        <v>-208.1097</v>
      </c>
      <c r="K1853">
        <v>1.1212580000000001</v>
      </c>
      <c r="L1853">
        <v>287.86759999999998</v>
      </c>
      <c r="M1853">
        <v>-0.9228885</v>
      </c>
      <c r="N1853">
        <v>0</v>
      </c>
      <c r="O1853">
        <v>-0.3837605</v>
      </c>
      <c r="P1853">
        <v>-0.95559039999999995</v>
      </c>
      <c r="Q1853">
        <v>6.6164279999999997E-3</v>
      </c>
      <c r="R1853">
        <v>-0.29462379999999999</v>
      </c>
      <c r="S1853">
        <v>-3.1171259999999998</v>
      </c>
      <c r="T1853">
        <v>-5.6419369999999996E-3</v>
      </c>
      <c r="U1853">
        <v>-8.7249759999999996E-2</v>
      </c>
      <c r="V1853">
        <v>9.6191609999999997E-2</v>
      </c>
      <c r="W1853">
        <v>3.4678010000000002E-2</v>
      </c>
      <c r="X1853">
        <v>0.99475849999999899</v>
      </c>
      <c r="Y1853">
        <v>0.35796699999999998</v>
      </c>
      <c r="Z1853">
        <v>1.003931E-3</v>
      </c>
      <c r="AA1853">
        <v>0.9337337</v>
      </c>
      <c r="AB1853">
        <v>19</v>
      </c>
      <c r="AC1853">
        <v>-342.95229999999998</v>
      </c>
      <c r="AD1853">
        <v>-0.61966969999999999</v>
      </c>
      <c r="AE1853">
        <v>-9.5353999999999797</v>
      </c>
      <c r="AF1853">
        <v>122.872774836194</v>
      </c>
      <c r="AG1853">
        <v>-0.61966969999999999</v>
      </c>
      <c r="AH1853">
        <v>320.32595454503399</v>
      </c>
      <c r="AI1853">
        <v>90.103486170497703</v>
      </c>
      <c r="AJ1853">
        <v>69.013850835942804</v>
      </c>
      <c r="AK1853">
        <v>343.08427527601799</v>
      </c>
    </row>
    <row r="1854" spans="1:37" x14ac:dyDescent="0.2">
      <c r="A1854" t="str">
        <f>"20200111155535943"</f>
        <v>20200111155535943</v>
      </c>
      <c r="B1854" t="str">
        <f>"1578729335934080"</f>
        <v>1578729335934080</v>
      </c>
      <c r="C1854" t="s">
        <v>37</v>
      </c>
      <c r="D1854">
        <v>4.888719</v>
      </c>
      <c r="E1854">
        <v>0.60375990000000002</v>
      </c>
      <c r="F1854" t="s">
        <v>59</v>
      </c>
      <c r="G1854">
        <v>-444.40679999999998</v>
      </c>
      <c r="H1854" s="1">
        <v>9.5916399999999992E-7</v>
      </c>
      <c r="I1854">
        <v>281.16460000000001</v>
      </c>
      <c r="J1854">
        <v>-208.29220000000001</v>
      </c>
      <c r="K1854">
        <v>1.120069</v>
      </c>
      <c r="L1854">
        <v>287.80369999999999</v>
      </c>
      <c r="M1854">
        <v>-0.92601359999999999</v>
      </c>
      <c r="N1854">
        <v>0</v>
      </c>
      <c r="O1854">
        <v>-0.37618859999999998</v>
      </c>
      <c r="P1854">
        <v>-0.95701250000000004</v>
      </c>
      <c r="Q1854">
        <v>4.8414670000000003E-3</v>
      </c>
      <c r="R1854">
        <v>-0.29000789999999999</v>
      </c>
      <c r="S1854">
        <v>-3.1123050000000001</v>
      </c>
      <c r="T1854">
        <v>-1.476824E-2</v>
      </c>
      <c r="U1854">
        <v>-8.8287350000000001E-2</v>
      </c>
      <c r="V1854">
        <v>9.2731220000000003E-2</v>
      </c>
      <c r="W1854">
        <v>3.2762220000000002E-2</v>
      </c>
      <c r="X1854">
        <v>0.99515209999999998</v>
      </c>
      <c r="Y1854">
        <v>0.34994320000000001</v>
      </c>
      <c r="Z1854">
        <v>2.5792050000000002E-3</v>
      </c>
      <c r="AA1854">
        <v>0.93676729999999997</v>
      </c>
      <c r="AB1854">
        <v>19</v>
      </c>
      <c r="AC1854">
        <v>-236.1146</v>
      </c>
      <c r="AD1854">
        <v>-1.120068040836</v>
      </c>
      <c r="AE1854">
        <v>-6.6390999999999796</v>
      </c>
      <c r="AF1854">
        <v>82.714444284626893</v>
      </c>
      <c r="AG1854">
        <v>-1.120068040836</v>
      </c>
      <c r="AH1854">
        <v>221.24645458955399</v>
      </c>
      <c r="AI1854">
        <v>90.271693401257394</v>
      </c>
      <c r="AJ1854">
        <v>69.501412212370596</v>
      </c>
      <c r="AK1854">
        <v>236.20526563601101</v>
      </c>
    </row>
    <row r="1855" spans="1:37" x14ac:dyDescent="0.2">
      <c r="A1855" t="str">
        <f>"20200111155535965"</f>
        <v>20200111155535965</v>
      </c>
      <c r="B1855" t="str">
        <f>"1578729335954576"</f>
        <v>1578729335954576</v>
      </c>
      <c r="C1855" t="s">
        <v>37</v>
      </c>
      <c r="D1855">
        <v>5.0268920000000001</v>
      </c>
      <c r="E1855">
        <v>0.60127079999999999</v>
      </c>
      <c r="F1855" t="s">
        <v>59</v>
      </c>
      <c r="G1855">
        <v>-351.44839999999999</v>
      </c>
      <c r="H1855" s="1">
        <v>-7.6604290000000003E-7</v>
      </c>
      <c r="I1855">
        <v>284.1721</v>
      </c>
      <c r="J1855">
        <v>-208.47399999999999</v>
      </c>
      <c r="K1855">
        <v>1.119137</v>
      </c>
      <c r="L1855">
        <v>287.7414</v>
      </c>
      <c r="M1855">
        <v>-0.92903099999999905</v>
      </c>
      <c r="N1855">
        <v>0</v>
      </c>
      <c r="O1855">
        <v>-0.36870370000000002</v>
      </c>
      <c r="P1855">
        <v>-0.95867630000000004</v>
      </c>
      <c r="Q1855">
        <v>4.9957450000000002E-3</v>
      </c>
      <c r="R1855">
        <v>-0.2844546</v>
      </c>
      <c r="S1855">
        <v>-3.1109770000000001</v>
      </c>
      <c r="T1855">
        <v>-2.4340629999999999E-2</v>
      </c>
      <c r="U1855">
        <v>-7.8918459999999996E-2</v>
      </c>
      <c r="V1855">
        <v>9.0410589999999999E-2</v>
      </c>
      <c r="W1855">
        <v>3.2778420000000003E-2</v>
      </c>
      <c r="X1855">
        <v>0.99536499999999895</v>
      </c>
      <c r="Y1855">
        <v>0.34516950000000002</v>
      </c>
      <c r="Z1855">
        <v>4.1796400000000001E-3</v>
      </c>
      <c r="AA1855">
        <v>0.938531</v>
      </c>
      <c r="AB1855">
        <v>19</v>
      </c>
      <c r="AC1855">
        <v>-142.97439999999901</v>
      </c>
      <c r="AD1855">
        <v>-1.1191377660428901</v>
      </c>
      <c r="AE1855">
        <v>-3.5692999999999899</v>
      </c>
      <c r="AF1855">
        <v>49.4198773860589</v>
      </c>
      <c r="AG1855">
        <v>-1.1191377660428901</v>
      </c>
      <c r="AH1855">
        <v>134.199813592917</v>
      </c>
      <c r="AI1855">
        <v>90.4483635893788</v>
      </c>
      <c r="AJ1855">
        <v>69.783471075531907</v>
      </c>
      <c r="AK1855">
        <v>143.01456820396299</v>
      </c>
    </row>
    <row r="1856" spans="1:37" x14ac:dyDescent="0.2">
      <c r="A1856" t="str">
        <f>"20200111155535987"</f>
        <v>20200111155535987</v>
      </c>
      <c r="B1856" t="str">
        <f>"1578729335984833"</f>
        <v>1578729335984833</v>
      </c>
      <c r="C1856" t="s">
        <v>37</v>
      </c>
      <c r="D1856">
        <v>5.0931309999999996</v>
      </c>
      <c r="E1856">
        <v>0.59901759999999904</v>
      </c>
      <c r="F1856" t="s">
        <v>59</v>
      </c>
      <c r="G1856">
        <v>-320.77159999999998</v>
      </c>
      <c r="H1856" s="1">
        <v>-1.1356049999999999E-6</v>
      </c>
      <c r="I1856">
        <v>284.83150000000001</v>
      </c>
      <c r="J1856">
        <v>-208.65710000000001</v>
      </c>
      <c r="K1856">
        <v>1.1183700000000001</v>
      </c>
      <c r="L1856">
        <v>287.67989999999998</v>
      </c>
      <c r="M1856">
        <v>-0.93206239999999996</v>
      </c>
      <c r="N1856">
        <v>0</v>
      </c>
      <c r="O1856">
        <v>-0.3610042</v>
      </c>
      <c r="P1856">
        <v>-0.96060949999999901</v>
      </c>
      <c r="Q1856">
        <v>6.4304169999999999E-3</v>
      </c>
      <c r="R1856">
        <v>-0.277827299999999</v>
      </c>
      <c r="S1856">
        <v>-3.1056059999999999</v>
      </c>
      <c r="T1856">
        <v>-3.094995E-2</v>
      </c>
      <c r="U1856">
        <v>-8.0474850000000001E-2</v>
      </c>
      <c r="V1856">
        <v>8.9018050000000001E-2</v>
      </c>
      <c r="W1856">
        <v>3.4041809999999999E-2</v>
      </c>
      <c r="X1856">
        <v>0.99544809999999995</v>
      </c>
      <c r="Y1856">
        <v>0.33686270000000001</v>
      </c>
      <c r="Z1856">
        <v>5.2098889999999997E-3</v>
      </c>
      <c r="AA1856">
        <v>0.94153940000000003</v>
      </c>
      <c r="AB1856">
        <v>19</v>
      </c>
      <c r="AC1856">
        <v>-112.114499999999</v>
      </c>
      <c r="AD1856">
        <v>-1.1183711356049999</v>
      </c>
      <c r="AE1856">
        <v>-2.8483999999999599</v>
      </c>
      <c r="AF1856">
        <v>37.832861743163797</v>
      </c>
      <c r="AG1856">
        <v>-1.1183711356049999</v>
      </c>
      <c r="AH1856">
        <v>105.564899138966</v>
      </c>
      <c r="AI1856">
        <v>90.571393725439293</v>
      </c>
      <c r="AJ1856">
        <v>70.283089140063197</v>
      </c>
      <c r="AK1856">
        <v>112.14510293318401</v>
      </c>
    </row>
    <row r="1857" spans="1:37" x14ac:dyDescent="0.2">
      <c r="A1857" t="str">
        <f>"20200111155536010"</f>
        <v>20200111155536010</v>
      </c>
      <c r="B1857" t="str">
        <f>"1578729336004352"</f>
        <v>1578729336004352</v>
      </c>
      <c r="C1857" t="s">
        <v>37</v>
      </c>
      <c r="D1857">
        <v>5.0313299999999996</v>
      </c>
      <c r="E1857">
        <v>0.58766350000000001</v>
      </c>
      <c r="F1857" t="s">
        <v>59</v>
      </c>
      <c r="G1857">
        <v>-322.2321</v>
      </c>
      <c r="H1857" s="1">
        <v>-3.6056050000000001E-7</v>
      </c>
      <c r="I1857">
        <v>284.88130000000001</v>
      </c>
      <c r="J1857">
        <v>-208.84989999999999</v>
      </c>
      <c r="K1857">
        <v>1.117578</v>
      </c>
      <c r="L1857">
        <v>287.61669999999998</v>
      </c>
      <c r="M1857">
        <v>-0.93514779999999997</v>
      </c>
      <c r="N1857">
        <v>0</v>
      </c>
      <c r="O1857">
        <v>-0.35297909999999999</v>
      </c>
      <c r="P1857">
        <v>-0.96277479999999904</v>
      </c>
      <c r="Q1857">
        <v>8.2228779999999994E-3</v>
      </c>
      <c r="R1857">
        <v>-0.27017950000000002</v>
      </c>
      <c r="S1857">
        <v>-3.1011199999999999</v>
      </c>
      <c r="T1857">
        <v>-3.0536649999999999E-2</v>
      </c>
      <c r="U1857">
        <v>-7.6416020000000001E-2</v>
      </c>
      <c r="V1857">
        <v>8.8340520000000006E-2</v>
      </c>
      <c r="W1857">
        <v>3.5509579999999999E-2</v>
      </c>
      <c r="X1857">
        <v>0.99545720000000004</v>
      </c>
      <c r="Y1857">
        <v>0.32995239999999998</v>
      </c>
      <c r="Z1857">
        <v>5.039333E-3</v>
      </c>
      <c r="AA1857">
        <v>0.94398419999999905</v>
      </c>
      <c r="AB1857">
        <v>19</v>
      </c>
      <c r="AC1857">
        <v>-113.3822</v>
      </c>
      <c r="AD1857">
        <v>-1.1175783605605001</v>
      </c>
      <c r="AE1857">
        <v>-2.7353999999999701</v>
      </c>
      <c r="AF1857">
        <v>37.476856187392499</v>
      </c>
      <c r="AG1857">
        <v>-1.1175783605605001</v>
      </c>
      <c r="AH1857">
        <v>107.032674176168</v>
      </c>
      <c r="AI1857">
        <v>90.564621607759506</v>
      </c>
      <c r="AJ1857">
        <v>70.702600331102104</v>
      </c>
      <c r="AK1857">
        <v>113.409686854273</v>
      </c>
    </row>
    <row r="1858" spans="1:37" x14ac:dyDescent="0.2">
      <c r="A1858" t="str">
        <f>"20200111155536033"</f>
        <v>20200111155536033</v>
      </c>
      <c r="B1858" t="str">
        <f>"1578729336024849"</f>
        <v>1578729336024849</v>
      </c>
      <c r="C1858" t="s">
        <v>37</v>
      </c>
      <c r="D1858">
        <v>5.0748930000000003</v>
      </c>
      <c r="E1858">
        <v>0.58672369999999996</v>
      </c>
      <c r="F1858" t="s">
        <v>59</v>
      </c>
      <c r="G1858">
        <v>-265.8809</v>
      </c>
      <c r="H1858" s="1">
        <v>1.592739E-6</v>
      </c>
      <c r="I1858">
        <v>285.01319999999998</v>
      </c>
      <c r="J1858">
        <v>-209.03720000000001</v>
      </c>
      <c r="K1858">
        <v>1.1167739999999999</v>
      </c>
      <c r="L1858">
        <v>287.55680000000001</v>
      </c>
      <c r="M1858">
        <v>-0.93790859999999998</v>
      </c>
      <c r="N1858">
        <v>0</v>
      </c>
      <c r="O1858">
        <v>-0.34563309999999903</v>
      </c>
      <c r="P1858">
        <v>-0.96476919999999899</v>
      </c>
      <c r="Q1858">
        <v>1.155555E-2</v>
      </c>
      <c r="R1858">
        <v>-0.2628452</v>
      </c>
      <c r="S1858">
        <v>-3.0770869999999899</v>
      </c>
      <c r="T1858">
        <v>-6.0298440000000002E-2</v>
      </c>
      <c r="U1858">
        <v>-0.1404724</v>
      </c>
      <c r="V1858">
        <v>8.8099930000000007E-2</v>
      </c>
      <c r="W1858">
        <v>3.835769E-2</v>
      </c>
      <c r="X1858">
        <v>0.99537279999999995</v>
      </c>
      <c r="Y1858">
        <v>0.30251090000000003</v>
      </c>
      <c r="Z1858">
        <v>9.6128840000000004E-3</v>
      </c>
      <c r="AA1858">
        <v>0.95309750000000004</v>
      </c>
      <c r="AB1858">
        <v>19</v>
      </c>
      <c r="AC1858">
        <v>-56.843699999999899</v>
      </c>
      <c r="AD1858">
        <v>-1.1167724072609999</v>
      </c>
      <c r="AE1858">
        <v>-2.5436000000000201</v>
      </c>
      <c r="AF1858">
        <v>17.262222663482401</v>
      </c>
      <c r="AG1858">
        <v>-1.1167724072609999</v>
      </c>
      <c r="AH1858">
        <v>54.195930462362298</v>
      </c>
      <c r="AI1858">
        <v>91.1248175120067</v>
      </c>
      <c r="AJ1858">
        <v>72.332536883421596</v>
      </c>
      <c r="AK1858">
        <v>56.889633419230897</v>
      </c>
    </row>
    <row r="1859" spans="1:37" x14ac:dyDescent="0.2">
      <c r="A1859" t="str">
        <f>"20200111155536055"</f>
        <v>20200111155536055</v>
      </c>
      <c r="B1859" t="str">
        <f>"1578729336044368"</f>
        <v>1578729336044368</v>
      </c>
      <c r="C1859" t="s">
        <v>37</v>
      </c>
      <c r="D1859">
        <v>5.0716199999999896</v>
      </c>
      <c r="E1859">
        <v>0.58495769999999903</v>
      </c>
      <c r="F1859" t="s">
        <v>59</v>
      </c>
      <c r="G1859">
        <v>-276.84059999999999</v>
      </c>
      <c r="H1859" s="1">
        <v>2.0945379999999998E-6</v>
      </c>
      <c r="I1859">
        <v>284.81990000000002</v>
      </c>
      <c r="J1859">
        <v>-209.21690000000001</v>
      </c>
      <c r="K1859">
        <v>1.116028</v>
      </c>
      <c r="L1859">
        <v>287.50069999999999</v>
      </c>
      <c r="M1859">
        <v>-0.94031390000000004</v>
      </c>
      <c r="N1859">
        <v>0</v>
      </c>
      <c r="O1859">
        <v>-0.33909809999999901</v>
      </c>
      <c r="P1859">
        <v>-0.96689669999999905</v>
      </c>
      <c r="Q1859">
        <v>1.461782E-2</v>
      </c>
      <c r="R1859">
        <v>-0.254749</v>
      </c>
      <c r="S1859">
        <v>-3.0763240000000001</v>
      </c>
      <c r="T1859">
        <v>-5.0669310000000002E-2</v>
      </c>
      <c r="U1859">
        <v>-0.12417599999999999</v>
      </c>
      <c r="V1859">
        <v>8.9484449999999993E-2</v>
      </c>
      <c r="W1859">
        <v>4.0800040000000003E-2</v>
      </c>
      <c r="X1859">
        <v>0.99515219999999904</v>
      </c>
      <c r="Y1859">
        <v>0.30093609999999998</v>
      </c>
      <c r="Z1859">
        <v>7.9671410000000005E-3</v>
      </c>
      <c r="AA1859">
        <v>0.95361099999999999</v>
      </c>
      <c r="AB1859">
        <v>19</v>
      </c>
      <c r="AC1859">
        <v>-67.6236999999999</v>
      </c>
      <c r="AD1859">
        <v>-1.1160259054620001</v>
      </c>
      <c r="AE1859">
        <v>-2.6807999999999699</v>
      </c>
      <c r="AF1859">
        <v>20.4131199265254</v>
      </c>
      <c r="AG1859">
        <v>-1.1160259054620001</v>
      </c>
      <c r="AH1859">
        <v>64.505550251807705</v>
      </c>
      <c r="AI1859">
        <v>90.945008441148005</v>
      </c>
      <c r="AJ1859">
        <v>72.439751271150698</v>
      </c>
      <c r="AK1859">
        <v>67.667621446633206</v>
      </c>
    </row>
    <row r="1860" spans="1:37" x14ac:dyDescent="0.2">
      <c r="A1860" t="str">
        <f>"20200111155536077"</f>
        <v>20200111155536077</v>
      </c>
      <c r="B1860" t="str">
        <f>"1578729336074624"</f>
        <v>1578729336074624</v>
      </c>
      <c r="C1860" t="s">
        <v>37</v>
      </c>
      <c r="D1860">
        <v>5.1050440000000004</v>
      </c>
      <c r="E1860">
        <v>0.58577969999999902</v>
      </c>
      <c r="F1860" t="s">
        <v>61</v>
      </c>
      <c r="G1860">
        <v>-295.48880000000003</v>
      </c>
      <c r="H1860" s="1">
        <v>3.2021789999999899E-6</v>
      </c>
      <c r="I1860">
        <v>284.35550000000001</v>
      </c>
      <c r="J1860">
        <v>-209.40099999999899</v>
      </c>
      <c r="K1860">
        <v>1.1153379999999999</v>
      </c>
      <c r="L1860">
        <v>287.44439999999997</v>
      </c>
      <c r="M1860">
        <v>-0.94259729999999997</v>
      </c>
      <c r="N1860">
        <v>0</v>
      </c>
      <c r="O1860">
        <v>-0.33277009999999901</v>
      </c>
      <c r="P1860">
        <v>-0.96893359999999995</v>
      </c>
      <c r="Q1860">
        <v>1.6023059999999999E-2</v>
      </c>
      <c r="R1860">
        <v>-0.24680160000000001</v>
      </c>
      <c r="S1860">
        <v>-3.0737919999999899</v>
      </c>
      <c r="T1860">
        <v>-3.9762970000000002E-2</v>
      </c>
      <c r="U1860">
        <v>-0.11206049999999999</v>
      </c>
      <c r="V1860">
        <v>9.0876239999999997E-2</v>
      </c>
      <c r="W1860">
        <v>4.151469E-2</v>
      </c>
      <c r="X1860">
        <v>0.99499649999999995</v>
      </c>
      <c r="Y1860">
        <v>0.29827179999999998</v>
      </c>
      <c r="Z1860">
        <v>6.16364699999999E-3</v>
      </c>
      <c r="AA1860">
        <v>0.95446109999999995</v>
      </c>
      <c r="AB1860">
        <v>19</v>
      </c>
      <c r="AC1860">
        <v>-86.087800000000001</v>
      </c>
      <c r="AD1860">
        <v>-1.115334797821</v>
      </c>
      <c r="AE1860">
        <v>-3.0888999999999598</v>
      </c>
      <c r="AF1860">
        <v>25.741512392237698</v>
      </c>
      <c r="AG1860">
        <v>-1.115334797821</v>
      </c>
      <c r="AH1860">
        <v>82.192078899691396</v>
      </c>
      <c r="AI1860">
        <v>90.741917159423394</v>
      </c>
      <c r="AJ1860">
        <v>72.610108330244302</v>
      </c>
      <c r="AK1860">
        <v>86.135981249441102</v>
      </c>
    </row>
    <row r="1861" spans="1:37" x14ac:dyDescent="0.2">
      <c r="A1861" t="str">
        <f>"20200111155536100"</f>
        <v>20200111155536100</v>
      </c>
      <c r="B1861" t="str">
        <f>"1578729336095120"</f>
        <v>1578729336095120</v>
      </c>
      <c r="C1861" t="s">
        <v>37</v>
      </c>
      <c r="D1861">
        <v>4.9448470000000002</v>
      </c>
      <c r="E1861">
        <v>0.58534900000000001</v>
      </c>
      <c r="F1861" t="s">
        <v>61</v>
      </c>
      <c r="G1861">
        <v>-297.07319999999999</v>
      </c>
      <c r="H1861" s="1">
        <v>3.4136659999999999E-6</v>
      </c>
      <c r="I1861">
        <v>285.15100000000001</v>
      </c>
      <c r="J1861">
        <v>-209.5857</v>
      </c>
      <c r="K1861">
        <v>1.1147320000000001</v>
      </c>
      <c r="L1861">
        <v>287.38909999999998</v>
      </c>
      <c r="M1861">
        <v>-0.94476019999999905</v>
      </c>
      <c r="N1861">
        <v>0</v>
      </c>
      <c r="O1861">
        <v>-0.32665640000000001</v>
      </c>
      <c r="P1861">
        <v>-0.97065000000000001</v>
      </c>
      <c r="Q1861">
        <v>1.5030740000000001E-2</v>
      </c>
      <c r="R1861">
        <v>-0.24002709999999999</v>
      </c>
      <c r="S1861">
        <v>-3.0763699999999998</v>
      </c>
      <c r="T1861">
        <v>-3.9136530000000003E-2</v>
      </c>
      <c r="U1861">
        <v>-8.0474850000000001E-2</v>
      </c>
      <c r="V1861">
        <v>9.1234300000000004E-2</v>
      </c>
      <c r="W1861">
        <v>3.9817600000000002E-2</v>
      </c>
      <c r="X1861">
        <v>0.9950331</v>
      </c>
      <c r="Y1861">
        <v>0.30189840000000001</v>
      </c>
      <c r="Z1861">
        <v>6.0130729999999999E-3</v>
      </c>
      <c r="AA1861">
        <v>0.95332119999999998</v>
      </c>
      <c r="AB1861">
        <v>19</v>
      </c>
      <c r="AC1861">
        <v>-87.487499999999898</v>
      </c>
      <c r="AD1861">
        <v>-1.114728586334</v>
      </c>
      <c r="AE1861">
        <v>-2.23809999999997</v>
      </c>
      <c r="AF1861">
        <v>26.4691715544324</v>
      </c>
      <c r="AG1861">
        <v>-1.114728586334</v>
      </c>
      <c r="AH1861">
        <v>83.402458417738501</v>
      </c>
      <c r="AI1861">
        <v>90.7298786564549</v>
      </c>
      <c r="AJ1861">
        <v>72.392289749110702</v>
      </c>
      <c r="AK1861">
        <v>87.509026578529401</v>
      </c>
    </row>
    <row r="1862" spans="1:37" x14ac:dyDescent="0.2">
      <c r="A1862" t="str">
        <f>"20200111155536124"</f>
        <v>20200111155536124</v>
      </c>
      <c r="B1862" t="str">
        <f>"1578729336114640"</f>
        <v>1578729336114640</v>
      </c>
      <c r="C1862" t="s">
        <v>37</v>
      </c>
      <c r="D1862">
        <v>4.9842019999999998</v>
      </c>
      <c r="E1862">
        <v>0.58598859999999997</v>
      </c>
      <c r="F1862" t="s">
        <v>61</v>
      </c>
      <c r="G1862">
        <v>-287.96480000000003</v>
      </c>
      <c r="H1862" s="1">
        <v>4.6264899999999998E-6</v>
      </c>
      <c r="I1862">
        <v>285.79570000000001</v>
      </c>
      <c r="J1862">
        <v>-209.7868</v>
      </c>
      <c r="K1862">
        <v>1.1140950000000001</v>
      </c>
      <c r="L1862">
        <v>287.32990000000001</v>
      </c>
      <c r="M1862">
        <v>-0.94699339999999999</v>
      </c>
      <c r="N1862">
        <v>0</v>
      </c>
      <c r="O1862">
        <v>-0.32021169999999999</v>
      </c>
      <c r="P1862">
        <v>-0.97186419999999996</v>
      </c>
      <c r="Q1862">
        <v>1.143781E-2</v>
      </c>
      <c r="R1862">
        <v>-0.2352641</v>
      </c>
      <c r="S1862">
        <v>-3.0759430000000001</v>
      </c>
      <c r="T1862">
        <v>-4.374683E-2</v>
      </c>
      <c r="U1862">
        <v>-6.2530520000000006E-2</v>
      </c>
      <c r="V1862">
        <v>8.9139620000000003E-2</v>
      </c>
      <c r="W1862">
        <v>3.5462870000000001E-2</v>
      </c>
      <c r="X1862">
        <v>0.99538760000000004</v>
      </c>
      <c r="Y1862">
        <v>0.30093700000000001</v>
      </c>
      <c r="Z1862">
        <v>6.629299E-3</v>
      </c>
      <c r="AA1862">
        <v>0.95362099999999905</v>
      </c>
      <c r="AB1862">
        <v>19</v>
      </c>
      <c r="AC1862">
        <v>-78.177999999999997</v>
      </c>
      <c r="AD1862">
        <v>-1.1140903735100001</v>
      </c>
      <c r="AE1862">
        <v>-1.53419999999999</v>
      </c>
      <c r="AF1862">
        <v>23.583724915142898</v>
      </c>
      <c r="AG1862">
        <v>-1.1140903735100001</v>
      </c>
      <c r="AH1862">
        <v>74.535090620093598</v>
      </c>
      <c r="AI1862">
        <v>90.816457615342301</v>
      </c>
      <c r="AJ1862">
        <v>72.442054120366606</v>
      </c>
      <c r="AK1862">
        <v>78.185120144302601</v>
      </c>
    </row>
    <row r="1863" spans="1:37" x14ac:dyDescent="0.2">
      <c r="A1863" t="str">
        <f>"20200111155536143"</f>
        <v>20200111155536143</v>
      </c>
      <c r="B1863" t="str">
        <f>"1578729336134163"</f>
        <v>1578729336134163</v>
      </c>
      <c r="C1863" t="s">
        <v>37</v>
      </c>
      <c r="D1863">
        <v>4.9025439999999998</v>
      </c>
      <c r="E1863">
        <v>0.58583350000000001</v>
      </c>
      <c r="F1863" t="s">
        <v>59</v>
      </c>
      <c r="G1863">
        <v>-274.86290000000002</v>
      </c>
      <c r="H1863" s="1">
        <v>9.7149419999999901E-7</v>
      </c>
      <c r="I1863">
        <v>286.43540000000002</v>
      </c>
      <c r="J1863">
        <v>-209.95359999999999</v>
      </c>
      <c r="K1863">
        <v>1.1135329999999899</v>
      </c>
      <c r="L1863">
        <v>287.28149999999999</v>
      </c>
      <c r="M1863">
        <v>-0.94878750000000001</v>
      </c>
      <c r="N1863">
        <v>0</v>
      </c>
      <c r="O1863">
        <v>-0.31492740000000002</v>
      </c>
      <c r="P1863">
        <v>-0.97246080000000001</v>
      </c>
      <c r="Q1863">
        <v>8.5374730000000003E-3</v>
      </c>
      <c r="R1863">
        <v>-0.23291039999999999</v>
      </c>
      <c r="S1863">
        <v>-3.0772400000000002</v>
      </c>
      <c r="T1863">
        <v>-5.268192E-2</v>
      </c>
      <c r="U1863">
        <v>-4.2297359999999999E-2</v>
      </c>
      <c r="V1863">
        <v>8.5856790000000002E-2</v>
      </c>
      <c r="W1863">
        <v>3.1947240000000002E-2</v>
      </c>
      <c r="X1863">
        <v>0.99579509999999904</v>
      </c>
      <c r="Y1863">
        <v>0.30186259999999998</v>
      </c>
      <c r="Z1863">
        <v>7.9028029999999999E-3</v>
      </c>
      <c r="AA1863">
        <v>0.95331869999999996</v>
      </c>
      <c r="AB1863">
        <v>19</v>
      </c>
      <c r="AC1863">
        <v>-64.909300000000002</v>
      </c>
      <c r="AD1863">
        <v>-1.1135320285057999</v>
      </c>
      <c r="AE1863">
        <v>-0.84609999999997798</v>
      </c>
      <c r="AF1863">
        <v>19.6392896183477</v>
      </c>
      <c r="AG1863">
        <v>-1.1135320285057999</v>
      </c>
      <c r="AH1863">
        <v>61.8526685113318</v>
      </c>
      <c r="AI1863">
        <v>90.983029798205095</v>
      </c>
      <c r="AJ1863">
        <v>72.384458517661599</v>
      </c>
      <c r="AK1863">
        <v>64.905271375016596</v>
      </c>
    </row>
    <row r="1864" spans="1:37" x14ac:dyDescent="0.2">
      <c r="A1864" t="str">
        <f>"20200111155536166"</f>
        <v>20200111155536166</v>
      </c>
      <c r="B1864" t="str">
        <f>"1578729336164417"</f>
        <v>1578729336164417</v>
      </c>
      <c r="C1864" t="s">
        <v>37</v>
      </c>
      <c r="D1864">
        <v>4.9647459999999999</v>
      </c>
      <c r="E1864">
        <v>0.58460559999999995</v>
      </c>
      <c r="F1864" t="s">
        <v>59</v>
      </c>
      <c r="G1864">
        <v>-264.06849999999997</v>
      </c>
      <c r="H1864" s="1">
        <v>6.2828600000000002E-7</v>
      </c>
      <c r="I1864">
        <v>286.64980000000003</v>
      </c>
      <c r="J1864">
        <v>-210.14109999999999</v>
      </c>
      <c r="K1864">
        <v>1.112849</v>
      </c>
      <c r="L1864">
        <v>287.22800000000001</v>
      </c>
      <c r="M1864">
        <v>-0.95073079999999999</v>
      </c>
      <c r="N1864">
        <v>0</v>
      </c>
      <c r="O1864">
        <v>-0.30908740000000001</v>
      </c>
      <c r="P1864">
        <v>-0.97308470000000002</v>
      </c>
      <c r="Q1864">
        <v>9.0036760000000004E-3</v>
      </c>
      <c r="R1864">
        <v>-0.23027329999999899</v>
      </c>
      <c r="S1864">
        <v>-3.0769199999999999</v>
      </c>
      <c r="T1864">
        <v>-6.3314319999999993E-2</v>
      </c>
      <c r="U1864">
        <v>-3.5919189999999997E-2</v>
      </c>
      <c r="V1864">
        <v>8.2341849999999994E-2</v>
      </c>
      <c r="W1864">
        <v>3.171086E-2</v>
      </c>
      <c r="X1864">
        <v>0.99609950000000003</v>
      </c>
      <c r="Y1864">
        <v>0.29792759999999902</v>
      </c>
      <c r="Z1864">
        <v>9.3431690000000001E-3</v>
      </c>
      <c r="AA1864">
        <v>0.95454280000000002</v>
      </c>
      <c r="AB1864">
        <v>19</v>
      </c>
      <c r="AC1864">
        <v>-53.927399999999899</v>
      </c>
      <c r="AD1864">
        <v>-1.1128483717140001</v>
      </c>
      <c r="AE1864">
        <v>-0.57819999999998095</v>
      </c>
      <c r="AF1864">
        <v>16.116348554883501</v>
      </c>
      <c r="AG1864">
        <v>-1.1128483717140001</v>
      </c>
      <c r="AH1864">
        <v>51.4420724050469</v>
      </c>
      <c r="AI1864">
        <v>91.182625895101694</v>
      </c>
      <c r="AJ1864">
        <v>72.604685424275402</v>
      </c>
      <c r="AK1864">
        <v>53.919031292921098</v>
      </c>
    </row>
    <row r="1865" spans="1:37" x14ac:dyDescent="0.2">
      <c r="A1865" t="str">
        <f>"20200111155536188"</f>
        <v>20200111155536188</v>
      </c>
      <c r="B1865" t="str">
        <f>"1578729336183937"</f>
        <v>1578729336183937</v>
      </c>
      <c r="C1865" t="s">
        <v>37</v>
      </c>
      <c r="D1865">
        <v>4.9920260000000001</v>
      </c>
      <c r="E1865">
        <v>0.58381989999999995</v>
      </c>
      <c r="F1865" t="s">
        <v>59</v>
      </c>
      <c r="G1865">
        <v>-262.19690000000003</v>
      </c>
      <c r="H1865" s="1">
        <v>-3.6769869999999999E-7</v>
      </c>
      <c r="I1865">
        <v>286.59449999999998</v>
      </c>
      <c r="J1865">
        <v>-210.3219</v>
      </c>
      <c r="K1865">
        <v>1.11212</v>
      </c>
      <c r="L1865">
        <v>287.1771</v>
      </c>
      <c r="M1865">
        <v>-0.95248840000000001</v>
      </c>
      <c r="N1865">
        <v>0</v>
      </c>
      <c r="O1865">
        <v>-0.30369829999999998</v>
      </c>
      <c r="P1865">
        <v>-0.97341710000000004</v>
      </c>
      <c r="Q1865">
        <v>9.1778150000000006E-3</v>
      </c>
      <c r="R1865">
        <v>-0.228855899999999</v>
      </c>
      <c r="S1865">
        <v>-3.0747070000000001</v>
      </c>
      <c r="T1865">
        <v>-6.5731170000000005E-2</v>
      </c>
      <c r="U1865">
        <v>-3.7414549999999998E-2</v>
      </c>
      <c r="V1865">
        <v>7.8071199999999993E-2</v>
      </c>
      <c r="W1865">
        <v>3.1194220000000002E-2</v>
      </c>
      <c r="X1865">
        <v>0.99645969999999995</v>
      </c>
      <c r="Y1865">
        <v>0.29202990000000001</v>
      </c>
      <c r="Z1865">
        <v>9.5326850000000008E-3</v>
      </c>
      <c r="AA1865">
        <v>0.95636169999999998</v>
      </c>
      <c r="AB1865">
        <v>19</v>
      </c>
      <c r="AC1865">
        <v>-51.875</v>
      </c>
      <c r="AD1865">
        <v>-1.1121203676986999</v>
      </c>
      <c r="AE1865">
        <v>-0.582600000000013</v>
      </c>
      <c r="AF1865">
        <v>15.196499738441901</v>
      </c>
      <c r="AG1865">
        <v>-1.1121203676986999</v>
      </c>
      <c r="AH1865">
        <v>49.577711969398301</v>
      </c>
      <c r="AI1865">
        <v>91.2286321895117</v>
      </c>
      <c r="AJ1865">
        <v>72.958714316882904</v>
      </c>
      <c r="AK1865">
        <v>51.866366174365197</v>
      </c>
    </row>
    <row r="1866" spans="1:37" x14ac:dyDescent="0.2">
      <c r="A1866" t="str">
        <f>"20200111155536233"</f>
        <v>20200111155536233</v>
      </c>
      <c r="B1866" t="str">
        <f>"1578729336223952"</f>
        <v>1578729336223952</v>
      </c>
      <c r="C1866" t="s">
        <v>37</v>
      </c>
      <c r="D1866">
        <v>4.9055939999999998</v>
      </c>
      <c r="E1866">
        <v>0.58286389999999999</v>
      </c>
      <c r="F1866" t="s">
        <v>59</v>
      </c>
      <c r="G1866">
        <v>-262.0727</v>
      </c>
      <c r="H1866" s="1">
        <v>-4.3379169999999999E-7</v>
      </c>
      <c r="I1866">
        <v>286.51729999999998</v>
      </c>
      <c r="J1866">
        <v>-210.6891</v>
      </c>
      <c r="K1866">
        <v>1.1104909999999999</v>
      </c>
      <c r="L1866">
        <v>287.07589999999999</v>
      </c>
      <c r="M1866">
        <v>-0.9555998</v>
      </c>
      <c r="N1866">
        <v>0</v>
      </c>
      <c r="O1866">
        <v>-0.29389910000000002</v>
      </c>
      <c r="P1866">
        <v>-0.97345630000000005</v>
      </c>
      <c r="Q1866">
        <v>3.9714260000000001E-3</v>
      </c>
      <c r="R1866">
        <v>-0.22883829999999999</v>
      </c>
      <c r="S1866">
        <v>-3.073334</v>
      </c>
      <c r="T1866">
        <v>-6.6045640000000003E-2</v>
      </c>
      <c r="U1866">
        <v>-3.9184570000000002E-2</v>
      </c>
      <c r="V1866">
        <v>6.7679530000000002E-2</v>
      </c>
      <c r="W1866">
        <v>2.4525390000000001E-2</v>
      </c>
      <c r="X1866">
        <v>0.9974056</v>
      </c>
      <c r="Y1866">
        <v>0.28162500000000001</v>
      </c>
      <c r="Z1866">
        <v>9.2675710000000005E-3</v>
      </c>
      <c r="AA1866">
        <v>0.95947979999999999</v>
      </c>
      <c r="AB1866">
        <v>19</v>
      </c>
      <c r="AC1866">
        <v>-51.383600000000001</v>
      </c>
      <c r="AD1866">
        <v>-1.11049143379169</v>
      </c>
      <c r="AE1866">
        <v>-0.55860000000001198</v>
      </c>
      <c r="AF1866">
        <v>14.5642899426251</v>
      </c>
      <c r="AG1866">
        <v>-1.11049143379169</v>
      </c>
      <c r="AH1866">
        <v>49.254473762452797</v>
      </c>
      <c r="AI1866">
        <v>91.238576321630802</v>
      </c>
      <c r="AJ1866">
        <v>73.527327565551801</v>
      </c>
      <c r="AK1866">
        <v>51.374652489078002</v>
      </c>
    </row>
    <row r="1867" spans="1:37" x14ac:dyDescent="0.2">
      <c r="A1867" t="str">
        <f>"20200111155536256"</f>
        <v>20200111155536256</v>
      </c>
      <c r="B1867" t="str">
        <f>"1578729336244448"</f>
        <v>1578729336244448</v>
      </c>
      <c r="C1867" t="s">
        <v>37</v>
      </c>
      <c r="D1867">
        <v>4.7880739999999999</v>
      </c>
      <c r="E1867">
        <v>0.58226619999999996</v>
      </c>
      <c r="F1867" t="s">
        <v>59</v>
      </c>
      <c r="G1867">
        <v>-252.52799999999999</v>
      </c>
      <c r="H1867" s="1">
        <v>-1.91512299999999E-7</v>
      </c>
      <c r="I1867">
        <v>286.44150000000002</v>
      </c>
      <c r="J1867">
        <v>-210.87379999999999</v>
      </c>
      <c r="K1867">
        <v>1.1097459999999999</v>
      </c>
      <c r="L1867">
        <v>287.02600000000001</v>
      </c>
      <c r="M1867">
        <v>-0.95696119999999996</v>
      </c>
      <c r="N1867">
        <v>0</v>
      </c>
      <c r="O1867">
        <v>-0.28949749999999902</v>
      </c>
      <c r="P1867">
        <v>-0.97362099999999996</v>
      </c>
      <c r="Q1867">
        <v>2.2149869999999999E-3</v>
      </c>
      <c r="R1867">
        <v>-0.22816049999999999</v>
      </c>
      <c r="S1867">
        <v>-3.0711979999999999</v>
      </c>
      <c r="T1867">
        <v>-8.1516030000000003E-2</v>
      </c>
      <c r="U1867">
        <v>-4.6569819999999998E-2</v>
      </c>
      <c r="V1867">
        <v>6.3723509999999997E-2</v>
      </c>
      <c r="W1867">
        <v>2.2039840000000002E-2</v>
      </c>
      <c r="X1867">
        <v>0.99772419999999995</v>
      </c>
      <c r="Y1867">
        <v>0.27481609999999901</v>
      </c>
      <c r="Z1867">
        <v>1.1241610000000001E-2</v>
      </c>
      <c r="AA1867">
        <v>0.96143109999999998</v>
      </c>
      <c r="AB1867">
        <v>19</v>
      </c>
      <c r="AC1867">
        <v>-41.654200000000003</v>
      </c>
      <c r="AD1867">
        <v>-1.1097461915122999</v>
      </c>
      <c r="AE1867">
        <v>-0.58449999999999103</v>
      </c>
      <c r="AF1867">
        <v>11.4936817240345</v>
      </c>
      <c r="AG1867">
        <v>-1.1097461915122999</v>
      </c>
      <c r="AH1867">
        <v>40.010609149309197</v>
      </c>
      <c r="AI1867">
        <v>91.527038498625799</v>
      </c>
      <c r="AJ1867">
        <v>73.972448927822697</v>
      </c>
      <c r="AK1867">
        <v>41.643548127912602</v>
      </c>
    </row>
    <row r="1868" spans="1:37" x14ac:dyDescent="0.2">
      <c r="A1868" t="str">
        <f>"20200111155536345"</f>
        <v>20200111155536345</v>
      </c>
      <c r="B1868" t="str">
        <f>"1578729336334240"</f>
        <v>1578729336334240</v>
      </c>
      <c r="C1868" t="s">
        <v>37</v>
      </c>
      <c r="D1868">
        <v>4.8696979999999996</v>
      </c>
      <c r="E1868">
        <v>0.58199820000000002</v>
      </c>
      <c r="F1868" t="s">
        <v>59</v>
      </c>
      <c r="G1868">
        <v>-251.14</v>
      </c>
      <c r="H1868" s="1">
        <v>-9.3012490000000001E-7</v>
      </c>
      <c r="I1868">
        <v>286.38720000000001</v>
      </c>
      <c r="J1868">
        <v>-211.60810000000001</v>
      </c>
      <c r="K1868">
        <v>1.107451</v>
      </c>
      <c r="L1868">
        <v>286.83150000000001</v>
      </c>
      <c r="M1868">
        <v>-0.96155179999999996</v>
      </c>
      <c r="N1868">
        <v>0</v>
      </c>
      <c r="O1868">
        <v>-0.27405350000000001</v>
      </c>
      <c r="P1868">
        <v>-0.97612999999999905</v>
      </c>
      <c r="Q1868">
        <v>-1.1351130000000001E-3</v>
      </c>
      <c r="R1868">
        <v>-0.21718409999999999</v>
      </c>
      <c r="S1868">
        <v>-3.0700379999999998</v>
      </c>
      <c r="T1868">
        <v>-8.4610939999999996E-2</v>
      </c>
      <c r="U1868">
        <v>-4.8706050000000001E-2</v>
      </c>
      <c r="V1868">
        <v>5.8765999999999999E-2</v>
      </c>
      <c r="W1868">
        <v>1.6240660000000001E-2</v>
      </c>
      <c r="X1868">
        <v>0.99813969999999896</v>
      </c>
      <c r="Y1868">
        <v>0.25860650000000002</v>
      </c>
      <c r="Z1868">
        <v>1.1037150000000001E-2</v>
      </c>
      <c r="AA1868">
        <v>0.96591970000000005</v>
      </c>
      <c r="AB1868">
        <v>19</v>
      </c>
      <c r="AC1868">
        <v>-39.531899999999901</v>
      </c>
      <c r="AD1868">
        <v>-1.1074519301249</v>
      </c>
      <c r="AE1868">
        <v>-0.44429999999999797</v>
      </c>
      <c r="AF1868">
        <v>10.400105265131799</v>
      </c>
      <c r="AG1868">
        <v>-1.1074519301249</v>
      </c>
      <c r="AH1868">
        <v>38.109792903654203</v>
      </c>
      <c r="AI1868">
        <v>91.605829085702894</v>
      </c>
      <c r="AJ1868">
        <v>74.735750364205899</v>
      </c>
      <c r="AK1868">
        <v>39.5189189434981</v>
      </c>
    </row>
    <row r="1869" spans="1:37" x14ac:dyDescent="0.2">
      <c r="A1869" t="str">
        <f>"20200111155536390"</f>
        <v>20200111155536390</v>
      </c>
      <c r="B1869" t="str">
        <f>"1578729336384017"</f>
        <v>1578729336384017</v>
      </c>
      <c r="C1869" t="s">
        <v>37</v>
      </c>
      <c r="D1869">
        <v>4.8042439999999997</v>
      </c>
      <c r="E1869">
        <v>0.58195869999999905</v>
      </c>
      <c r="F1869" t="s">
        <v>59</v>
      </c>
      <c r="G1869">
        <v>-249.50399999999999</v>
      </c>
      <c r="H1869" s="1">
        <v>3.5207430000000001E-6</v>
      </c>
      <c r="I1869">
        <v>286.63900000000001</v>
      </c>
      <c r="J1869">
        <v>-211.96950000000001</v>
      </c>
      <c r="K1869">
        <v>1.106393</v>
      </c>
      <c r="L1869">
        <v>286.73840000000001</v>
      </c>
      <c r="M1869">
        <v>-0.96346880000000001</v>
      </c>
      <c r="N1869">
        <v>0</v>
      </c>
      <c r="O1869">
        <v>-0.26729720000000001</v>
      </c>
      <c r="P1869">
        <v>-0.97726630000000003</v>
      </c>
      <c r="Q1869">
        <v>-4.4777899999999997E-3</v>
      </c>
      <c r="R1869">
        <v>-0.21196789999999999</v>
      </c>
      <c r="S1869">
        <v>-3.0697939999999999</v>
      </c>
      <c r="T1869">
        <v>-8.9709999999999998E-2</v>
      </c>
      <c r="U1869">
        <v>-1.5594480000000001E-2</v>
      </c>
      <c r="V1869">
        <v>5.7056240000000001E-2</v>
      </c>
      <c r="W1869">
        <v>1.198722E-2</v>
      </c>
      <c r="X1869">
        <v>0.99829899999999905</v>
      </c>
      <c r="Y1869">
        <v>0.26221230000000001</v>
      </c>
      <c r="Z1869">
        <v>1.1567529999999999E-2</v>
      </c>
      <c r="AA1869">
        <v>0.96494089999999999</v>
      </c>
      <c r="AB1869">
        <v>19</v>
      </c>
      <c r="AC1869">
        <v>-37.534500000000001</v>
      </c>
      <c r="AD1869">
        <v>-1.1063894792569999</v>
      </c>
      <c r="AE1869">
        <v>-9.9400000000002806E-2</v>
      </c>
      <c r="AF1869">
        <v>9.9298621309549802</v>
      </c>
      <c r="AG1869">
        <v>-1.1063894792569999</v>
      </c>
      <c r="AH1869">
        <v>36.163536889263199</v>
      </c>
      <c r="AI1869">
        <v>91.689856158535406</v>
      </c>
      <c r="AJ1869">
        <v>74.646008304562102</v>
      </c>
      <c r="AK1869">
        <v>37.518364302840901</v>
      </c>
    </row>
    <row r="1870" spans="1:37" x14ac:dyDescent="0.2">
      <c r="A1870" t="str">
        <f>"20200111155536414"</f>
        <v>20200111155536414</v>
      </c>
      <c r="B1870" t="str">
        <f>"1578729336404513"</f>
        <v>1578729336404513</v>
      </c>
      <c r="C1870" t="s">
        <v>37</v>
      </c>
      <c r="D1870">
        <v>4.9030959999999997</v>
      </c>
      <c r="E1870">
        <v>0.58156479999999999</v>
      </c>
      <c r="F1870" t="s">
        <v>59</v>
      </c>
      <c r="G1870">
        <v>-248.39680000000001</v>
      </c>
      <c r="H1870" s="1">
        <v>2.9315679999999898E-6</v>
      </c>
      <c r="I1870">
        <v>286.74489999999997</v>
      </c>
      <c r="J1870">
        <v>-212.15979999999999</v>
      </c>
      <c r="K1870">
        <v>1.10589</v>
      </c>
      <c r="L1870">
        <v>286.69029999999998</v>
      </c>
      <c r="M1870">
        <v>-0.96443699999999999</v>
      </c>
      <c r="N1870">
        <v>0</v>
      </c>
      <c r="O1870">
        <v>-0.26380870000000001</v>
      </c>
      <c r="P1870">
        <v>-0.97764959999999901</v>
      </c>
      <c r="Q1870">
        <v>-5.6056569999999896E-3</v>
      </c>
      <c r="R1870">
        <v>-0.210166399999999</v>
      </c>
      <c r="S1870">
        <v>-3.0694889999999999</v>
      </c>
      <c r="T1870">
        <v>-9.3228220000000001E-2</v>
      </c>
      <c r="U1870">
        <v>5.4931640000000002E-4</v>
      </c>
      <c r="V1870">
        <v>5.5272370000000001E-2</v>
      </c>
      <c r="W1870">
        <v>1.0456200000000001E-2</v>
      </c>
      <c r="X1870">
        <v>0.99841650000000004</v>
      </c>
      <c r="Y1870">
        <v>0.26377529999999999</v>
      </c>
      <c r="Z1870">
        <v>1.1944389999999999E-2</v>
      </c>
      <c r="AA1870">
        <v>0.96451019999999899</v>
      </c>
      <c r="AB1870">
        <v>19</v>
      </c>
      <c r="AC1870">
        <v>-36.237000000000002</v>
      </c>
      <c r="AD1870">
        <v>-1.1058870684319999</v>
      </c>
      <c r="AE1870">
        <v>5.4599999999993501E-2</v>
      </c>
      <c r="AF1870">
        <v>9.6046286434510204</v>
      </c>
      <c r="AG1870">
        <v>-1.1058870684319999</v>
      </c>
      <c r="AH1870">
        <v>34.906041013502801</v>
      </c>
      <c r="AI1870">
        <v>91.749645054965001</v>
      </c>
      <c r="AJ1870">
        <v>74.615405759628999</v>
      </c>
      <c r="AK1870">
        <v>36.220209508271303</v>
      </c>
    </row>
    <row r="1871" spans="1:37" x14ac:dyDescent="0.2">
      <c r="A1871" t="str">
        <f>"20200111155536436"</f>
        <v>20200111155536436</v>
      </c>
      <c r="B1871" t="str">
        <f>"1578729336424033"</f>
        <v>1578729336424033</v>
      </c>
      <c r="C1871" t="s">
        <v>37</v>
      </c>
      <c r="D1871">
        <v>4.7063360000000003</v>
      </c>
      <c r="E1871">
        <v>0.5811712</v>
      </c>
      <c r="F1871" t="s">
        <v>59</v>
      </c>
      <c r="G1871">
        <v>-248.13679999999999</v>
      </c>
      <c r="H1871" s="1">
        <v>2.79320699999999E-6</v>
      </c>
      <c r="I1871">
        <v>286.73</v>
      </c>
      <c r="J1871">
        <v>-212.34350000000001</v>
      </c>
      <c r="K1871">
        <v>1.1054569999999999</v>
      </c>
      <c r="L1871">
        <v>286.64449999999999</v>
      </c>
      <c r="M1871">
        <v>-0.96535939999999998</v>
      </c>
      <c r="N1871">
        <v>0</v>
      </c>
      <c r="O1871">
        <v>-0.26043480000000002</v>
      </c>
      <c r="P1871">
        <v>-0.97789950000000003</v>
      </c>
      <c r="Q1871">
        <v>-5.5094059999999997E-3</v>
      </c>
      <c r="R1871">
        <v>-0.2090031</v>
      </c>
      <c r="S1871">
        <v>-3.0687709999999999</v>
      </c>
      <c r="T1871">
        <v>-9.4330189999999994E-2</v>
      </c>
      <c r="U1871">
        <v>3.3874509999999901E-3</v>
      </c>
      <c r="V1871">
        <v>5.2966310000000003E-2</v>
      </c>
      <c r="W1871">
        <v>1.021159E-2</v>
      </c>
      <c r="X1871">
        <v>0.99854409999999905</v>
      </c>
      <c r="Y1871">
        <v>0.2612894</v>
      </c>
      <c r="Z1871">
        <v>1.194946E-2</v>
      </c>
      <c r="AA1871">
        <v>0.96518649999999995</v>
      </c>
      <c r="AB1871">
        <v>19</v>
      </c>
      <c r="AC1871">
        <v>-35.793299999999903</v>
      </c>
      <c r="AD1871">
        <v>-1.105454206793</v>
      </c>
      <c r="AE1871">
        <v>8.5500000000024501E-2</v>
      </c>
      <c r="AF1871">
        <v>9.3965953272730491</v>
      </c>
      <c r="AG1871">
        <v>-1.105454206793</v>
      </c>
      <c r="AH1871">
        <v>34.502624042346298</v>
      </c>
      <c r="AI1871">
        <v>91.770664054328194</v>
      </c>
      <c r="AJ1871">
        <v>74.765303282547606</v>
      </c>
      <c r="AK1871">
        <v>35.776376263609201</v>
      </c>
    </row>
    <row r="1872" spans="1:37" x14ac:dyDescent="0.2">
      <c r="A1872" t="str">
        <f>"20200111155536458"</f>
        <v>20200111155536458</v>
      </c>
      <c r="B1872" t="str">
        <f>"1578729336454289"</f>
        <v>1578729336454289</v>
      </c>
      <c r="C1872" t="s">
        <v>37</v>
      </c>
      <c r="D1872">
        <v>4.8612630000000001</v>
      </c>
      <c r="E1872">
        <v>0.58009919999999904</v>
      </c>
      <c r="F1872" t="s">
        <v>59</v>
      </c>
      <c r="G1872">
        <v>-250.00579999999999</v>
      </c>
      <c r="H1872" s="1">
        <v>-1.533708E-6</v>
      </c>
      <c r="I1872">
        <v>286.69659999999999</v>
      </c>
      <c r="J1872">
        <v>-212.5147</v>
      </c>
      <c r="K1872">
        <v>1.105124</v>
      </c>
      <c r="L1872">
        <v>286.60239999999999</v>
      </c>
      <c r="M1872">
        <v>-0.96621060000000003</v>
      </c>
      <c r="N1872">
        <v>0</v>
      </c>
      <c r="O1872">
        <v>-0.25727729999999999</v>
      </c>
      <c r="P1872">
        <v>-0.97815049999999903</v>
      </c>
      <c r="Q1872">
        <v>-4.2507809999999899E-3</v>
      </c>
      <c r="R1872">
        <v>-0.20785500000000001</v>
      </c>
      <c r="S1872">
        <v>-3.0681759999999998</v>
      </c>
      <c r="T1872">
        <v>-9.0056659999999997E-2</v>
      </c>
      <c r="U1872">
        <v>4.2419429999999998E-3</v>
      </c>
      <c r="V1872">
        <v>5.0877899999999997E-2</v>
      </c>
      <c r="W1872">
        <v>1.1190490000000001E-2</v>
      </c>
      <c r="X1872">
        <v>0.99864219999999904</v>
      </c>
      <c r="Y1872">
        <v>0.2584244</v>
      </c>
      <c r="Z1872">
        <v>1.127833E-2</v>
      </c>
      <c r="AA1872">
        <v>0.96596559999999898</v>
      </c>
      <c r="AB1872">
        <v>19</v>
      </c>
      <c r="AC1872">
        <v>-37.491099999999904</v>
      </c>
      <c r="AD1872">
        <v>-1.1051255337079999</v>
      </c>
      <c r="AE1872">
        <v>9.42000000000007E-2</v>
      </c>
      <c r="AF1872">
        <v>9.7293675155978807</v>
      </c>
      <c r="AG1872">
        <v>-1.1051255337079999</v>
      </c>
      <c r="AH1872">
        <v>36.173076113999599</v>
      </c>
      <c r="AI1872">
        <v>91.689880232968704</v>
      </c>
      <c r="AJ1872">
        <v>74.945598673257905</v>
      </c>
      <c r="AK1872">
        <v>37.474969382883202</v>
      </c>
    </row>
    <row r="1873" spans="1:37" x14ac:dyDescent="0.2">
      <c r="A1873" t="str">
        <f>"20200111155536479"</f>
        <v>20200111155536479</v>
      </c>
      <c r="B1873" t="str">
        <f>"1578729336474785"</f>
        <v>1578729336474785</v>
      </c>
      <c r="C1873" t="s">
        <v>37</v>
      </c>
      <c r="D1873">
        <v>4.8057439999999998</v>
      </c>
      <c r="E1873">
        <v>0.57954300000000003</v>
      </c>
      <c r="F1873" t="s">
        <v>59</v>
      </c>
      <c r="G1873">
        <v>-252.12870000000001</v>
      </c>
      <c r="H1873" s="1">
        <v>-4.0402199999999999E-7</v>
      </c>
      <c r="I1873">
        <v>286.59449999999998</v>
      </c>
      <c r="J1873">
        <v>-212.68790000000001</v>
      </c>
      <c r="K1873">
        <v>1.1048420000000001</v>
      </c>
      <c r="L1873">
        <v>286.56029999999998</v>
      </c>
      <c r="M1873">
        <v>-0.96706000000000003</v>
      </c>
      <c r="N1873">
        <v>0</v>
      </c>
      <c r="O1873">
        <v>-0.25408249999999999</v>
      </c>
      <c r="P1873">
        <v>-0.97853760000000001</v>
      </c>
      <c r="Q1873">
        <v>-1.9405710000000001E-3</v>
      </c>
      <c r="R1873">
        <v>-0.2060592</v>
      </c>
      <c r="S1873">
        <v>-3.0665279999999999</v>
      </c>
      <c r="T1873">
        <v>-8.554792E-2</v>
      </c>
      <c r="U1873">
        <v>-6.1035159999999996E-4</v>
      </c>
      <c r="V1873">
        <v>4.9418770000000001E-2</v>
      </c>
      <c r="W1873">
        <v>1.323739E-2</v>
      </c>
      <c r="X1873">
        <v>0.99869039999999998</v>
      </c>
      <c r="Y1873">
        <v>0.25372420000000001</v>
      </c>
      <c r="Z1873">
        <v>1.0566910000000001E-2</v>
      </c>
      <c r="AA1873">
        <v>0.96721889999999999</v>
      </c>
      <c r="AB1873">
        <v>19</v>
      </c>
      <c r="AC1873">
        <v>-39.440800000000003</v>
      </c>
      <c r="AD1873">
        <v>-1.104842404022</v>
      </c>
      <c r="AE1873">
        <v>3.4199999999998398E-2</v>
      </c>
      <c r="AF1873">
        <v>10.0475979168107</v>
      </c>
      <c r="AG1873">
        <v>-1.104842404022</v>
      </c>
      <c r="AH1873">
        <v>38.107547382806899</v>
      </c>
      <c r="AI1873">
        <v>91.605846432815795</v>
      </c>
      <c r="AJ1873">
        <v>75.229307520180896</v>
      </c>
      <c r="AK1873">
        <v>39.425373405568401</v>
      </c>
    </row>
    <row r="1874" spans="1:37" x14ac:dyDescent="0.2">
      <c r="A1874" t="str">
        <f>"20200111155536502"</f>
        <v>20200111155536502</v>
      </c>
      <c r="B1874" t="str">
        <f>"1578729336494304"</f>
        <v>1578729336494304</v>
      </c>
      <c r="C1874" t="s">
        <v>37</v>
      </c>
      <c r="D1874">
        <v>4.8640509999999999</v>
      </c>
      <c r="E1874">
        <v>0.57903830000000001</v>
      </c>
      <c r="F1874" t="s">
        <v>59</v>
      </c>
      <c r="G1874">
        <v>-255.8827</v>
      </c>
      <c r="H1874" s="1">
        <v>1.59371199999999E-6</v>
      </c>
      <c r="I1874">
        <v>286.56889999999999</v>
      </c>
      <c r="J1874">
        <v>-212.8741</v>
      </c>
      <c r="K1874">
        <v>1.1045879999999999</v>
      </c>
      <c r="L1874">
        <v>286.51580000000001</v>
      </c>
      <c r="M1874">
        <v>-0.96795520000000002</v>
      </c>
      <c r="N1874">
        <v>0</v>
      </c>
      <c r="O1874">
        <v>-0.2506681</v>
      </c>
      <c r="P1874">
        <v>-0.97909299999999999</v>
      </c>
      <c r="Q1874">
        <v>-5.8588659999999997E-4</v>
      </c>
      <c r="R1874">
        <v>-0.20341319999999999</v>
      </c>
      <c r="S1874">
        <v>-3.0657809999999999</v>
      </c>
      <c r="T1874">
        <v>-7.8416710000000001E-2</v>
      </c>
      <c r="U1874">
        <v>6.1035159999999996E-4</v>
      </c>
      <c r="V1874">
        <v>4.8597189999999998E-2</v>
      </c>
      <c r="W1874">
        <v>1.430874E-2</v>
      </c>
      <c r="X1874">
        <v>0.99871589999999999</v>
      </c>
      <c r="Y1874">
        <v>0.25072680000000003</v>
      </c>
      <c r="Z1874">
        <v>9.5653279999999997E-3</v>
      </c>
      <c r="AA1874">
        <v>0.9680107</v>
      </c>
      <c r="AB1874">
        <v>19</v>
      </c>
      <c r="AC1874">
        <v>-43.008600000000001</v>
      </c>
      <c r="AD1874">
        <v>-1.104586406288</v>
      </c>
      <c r="AE1874">
        <v>5.30999999999721E-2</v>
      </c>
      <c r="AF1874">
        <v>10.826377626877401</v>
      </c>
      <c r="AG1874">
        <v>-1.104586406288</v>
      </c>
      <c r="AH1874">
        <v>41.594401438992698</v>
      </c>
      <c r="AI1874">
        <v>91.472168340341995</v>
      </c>
      <c r="AJ1874">
        <v>75.410516818687896</v>
      </c>
      <c r="AK1874">
        <v>42.994474002094599</v>
      </c>
    </row>
    <row r="1875" spans="1:37" x14ac:dyDescent="0.2">
      <c r="A1875" t="str">
        <f>"20200111155536523"</f>
        <v>20200111155536523</v>
      </c>
      <c r="B1875" t="str">
        <f>"1578729336514801"</f>
        <v>1578729336514801</v>
      </c>
      <c r="C1875" t="s">
        <v>37</v>
      </c>
      <c r="D1875">
        <v>4.8007089999999897</v>
      </c>
      <c r="E1875">
        <v>0.57860230000000001</v>
      </c>
      <c r="F1875" t="s">
        <v>59</v>
      </c>
      <c r="G1875">
        <v>-258.77760000000001</v>
      </c>
      <c r="H1875" s="1">
        <v>3.1341849999999998E-6</v>
      </c>
      <c r="I1875">
        <v>286.59120000000001</v>
      </c>
      <c r="J1875">
        <v>-213.04499999999999</v>
      </c>
      <c r="K1875">
        <v>1.10439</v>
      </c>
      <c r="L1875">
        <v>286.47550000000001</v>
      </c>
      <c r="M1875">
        <v>-0.96875730000000004</v>
      </c>
      <c r="N1875">
        <v>0</v>
      </c>
      <c r="O1875">
        <v>-0.2475656</v>
      </c>
      <c r="P1875">
        <v>-0.97955040000000004</v>
      </c>
      <c r="Q1875">
        <v>2.935147E-4</v>
      </c>
      <c r="R1875">
        <v>-0.20119919999999999</v>
      </c>
      <c r="S1875">
        <v>-3.0650330000000001</v>
      </c>
      <c r="T1875">
        <v>-7.3754669999999994E-2</v>
      </c>
      <c r="U1875">
        <v>5.0353999999999998E-3</v>
      </c>
      <c r="V1875">
        <v>4.765581E-2</v>
      </c>
      <c r="W1875">
        <v>1.4940490000000001E-2</v>
      </c>
      <c r="X1875">
        <v>0.99875210000000003</v>
      </c>
      <c r="Y1875">
        <v>0.2490417</v>
      </c>
      <c r="Z1875">
        <v>8.9061599999999998E-3</v>
      </c>
      <c r="AA1875">
        <v>0.96845179999999997</v>
      </c>
      <c r="AB1875">
        <v>19</v>
      </c>
      <c r="AC1875">
        <v>-45.732599999999998</v>
      </c>
      <c r="AD1875">
        <v>-1.104386865815</v>
      </c>
      <c r="AE1875">
        <v>0.11570000000000299</v>
      </c>
      <c r="AF1875">
        <v>11.428500313073</v>
      </c>
      <c r="AG1875">
        <v>-1.104386865815</v>
      </c>
      <c r="AH1875">
        <v>44.254223089747498</v>
      </c>
      <c r="AI1875">
        <v>91.384156747493506</v>
      </c>
      <c r="AJ1875">
        <v>75.519927932006297</v>
      </c>
      <c r="AK1875">
        <v>45.719432969279403</v>
      </c>
    </row>
    <row r="1876" spans="1:37" x14ac:dyDescent="0.2">
      <c r="A1876" t="str">
        <f>"20200111155536546"</f>
        <v>20200111155536546</v>
      </c>
      <c r="B1876" t="str">
        <f>"1578729336534323"</f>
        <v>1578729336534323</v>
      </c>
      <c r="C1876" t="s">
        <v>37</v>
      </c>
      <c r="D1876">
        <v>4.789625</v>
      </c>
      <c r="E1876">
        <v>0.57812699999999995</v>
      </c>
      <c r="F1876" t="s">
        <v>59</v>
      </c>
      <c r="G1876">
        <v>-260.57619999999997</v>
      </c>
      <c r="H1876" s="1">
        <v>-1.2301770000000001E-6</v>
      </c>
      <c r="I1876">
        <v>286.60809999999998</v>
      </c>
      <c r="J1876">
        <v>-213.22909999999999</v>
      </c>
      <c r="K1876">
        <v>1.104204</v>
      </c>
      <c r="L1876">
        <v>286.43270000000001</v>
      </c>
      <c r="M1876">
        <v>-0.96959850000000003</v>
      </c>
      <c r="N1876">
        <v>0</v>
      </c>
      <c r="O1876">
        <v>-0.2442656</v>
      </c>
      <c r="P1876">
        <v>-0.97999459999999905</v>
      </c>
      <c r="Q1876">
        <v>1.042234E-4</v>
      </c>
      <c r="R1876">
        <v>-0.19902549999999999</v>
      </c>
      <c r="S1876">
        <v>-3.0644230000000001</v>
      </c>
      <c r="T1876">
        <v>-7.1202039999999994E-2</v>
      </c>
      <c r="U1876">
        <v>8.5449219999999999E-3</v>
      </c>
      <c r="V1876">
        <v>4.6467509999999997E-2</v>
      </c>
      <c r="W1876">
        <v>1.4509950000000001E-2</v>
      </c>
      <c r="X1876">
        <v>0.99881439999999999</v>
      </c>
      <c r="Y1876">
        <v>0.246863099999999</v>
      </c>
      <c r="Z1876">
        <v>8.4997279999999998E-3</v>
      </c>
      <c r="AA1876">
        <v>0.96901309999999996</v>
      </c>
      <c r="AB1876">
        <v>19</v>
      </c>
      <c r="AC1876">
        <v>-47.347099999999898</v>
      </c>
      <c r="AD1876">
        <v>-1.104205230177</v>
      </c>
      <c r="AE1876">
        <v>0.175399999999967</v>
      </c>
      <c r="AF1876">
        <v>11.7302058838024</v>
      </c>
      <c r="AG1876">
        <v>-1.104205230177</v>
      </c>
      <c r="AH1876">
        <v>45.844785560594602</v>
      </c>
      <c r="AI1876">
        <v>91.336698337821204</v>
      </c>
      <c r="AJ1876">
        <v>75.647770598668998</v>
      </c>
      <c r="AK1876">
        <v>47.334568365663202</v>
      </c>
    </row>
    <row r="1877" spans="1:37" x14ac:dyDescent="0.2">
      <c r="A1877" t="str">
        <f>"20200111155536560"</f>
        <v>20200111155536560</v>
      </c>
      <c r="B1877" t="str">
        <f>"1578729336554817"</f>
        <v>1578729336554817</v>
      </c>
      <c r="C1877" t="s">
        <v>37</v>
      </c>
      <c r="D1877">
        <v>4.8071699999999904</v>
      </c>
      <c r="E1877">
        <v>0.57767440000000003</v>
      </c>
      <c r="F1877" t="s">
        <v>59</v>
      </c>
      <c r="G1877">
        <v>-260.16890000000001</v>
      </c>
      <c r="H1877" s="1">
        <v>-1.4469029999999999E-6</v>
      </c>
      <c r="I1877">
        <v>286.61090000000002</v>
      </c>
      <c r="J1877">
        <v>-213.35390000000001</v>
      </c>
      <c r="K1877">
        <v>1.104096</v>
      </c>
      <c r="L1877">
        <v>286.404</v>
      </c>
      <c r="M1877">
        <v>-0.97015529999999905</v>
      </c>
      <c r="N1877">
        <v>0</v>
      </c>
      <c r="O1877">
        <v>-0.24205360000000001</v>
      </c>
      <c r="P1877">
        <v>-0.98027009999999903</v>
      </c>
      <c r="Q1877">
        <v>-5.2797330000000004E-4</v>
      </c>
      <c r="R1877">
        <v>-0.1976619</v>
      </c>
      <c r="S1877">
        <v>-3.063599</v>
      </c>
      <c r="T1877">
        <v>-7.2067619999999999E-2</v>
      </c>
      <c r="U1877">
        <v>1.1627200000000001E-2</v>
      </c>
      <c r="V1877">
        <v>4.5574370000000003E-2</v>
      </c>
      <c r="W1877">
        <v>1.372992E-2</v>
      </c>
      <c r="X1877">
        <v>0.99886659999999905</v>
      </c>
      <c r="Y1877">
        <v>0.2456256</v>
      </c>
      <c r="Z1877">
        <v>8.5401079999999994E-3</v>
      </c>
      <c r="AA1877">
        <v>0.96932719999999895</v>
      </c>
      <c r="AB1877">
        <v>18</v>
      </c>
      <c r="AC1877">
        <v>-46.814999999999998</v>
      </c>
      <c r="AD1877">
        <v>-1.104097446903</v>
      </c>
      <c r="AE1877">
        <v>0.20690000000001799</v>
      </c>
      <c r="AF1877">
        <v>11.5272567587214</v>
      </c>
      <c r="AG1877">
        <v>-1.104097446903</v>
      </c>
      <c r="AH1877">
        <v>45.347252998133399</v>
      </c>
      <c r="AI1877">
        <v>91.351766470919202</v>
      </c>
      <c r="AJ1877">
        <v>75.737512210215996</v>
      </c>
      <c r="AK1877">
        <v>46.802457564004698</v>
      </c>
    </row>
    <row r="1878" spans="1:37" x14ac:dyDescent="0.2">
      <c r="A1878" t="str">
        <f>"20200111155536579"</f>
        <v>20200111155536579</v>
      </c>
      <c r="B1878" t="str">
        <f>"1578729336574337"</f>
        <v>1578729336574337</v>
      </c>
      <c r="C1878" t="s">
        <v>37</v>
      </c>
      <c r="D1878">
        <v>4.3066129999999996</v>
      </c>
      <c r="E1878">
        <v>0.57739940000000001</v>
      </c>
      <c r="F1878" t="s">
        <v>59</v>
      </c>
      <c r="G1878">
        <v>-258.08350000000002</v>
      </c>
      <c r="H1878" s="1">
        <v>2.7648390000000002E-6</v>
      </c>
      <c r="I1878">
        <v>286.58710000000002</v>
      </c>
      <c r="J1878">
        <v>-213.49789999999999</v>
      </c>
      <c r="K1878">
        <v>1.1039889999999899</v>
      </c>
      <c r="L1878">
        <v>286.37119999999999</v>
      </c>
      <c r="M1878">
        <v>-0.97078390000000003</v>
      </c>
      <c r="N1878">
        <v>0</v>
      </c>
      <c r="O1878">
        <v>-0.2395301</v>
      </c>
      <c r="P1878">
        <v>-0.98035280000000002</v>
      </c>
      <c r="Q1878">
        <v>-2.2179919999999998E-3</v>
      </c>
      <c r="R1878">
        <v>-0.1972402</v>
      </c>
      <c r="S1878">
        <v>-3.0628660000000001</v>
      </c>
      <c r="T1878">
        <v>-7.5603009999999998E-2</v>
      </c>
      <c r="U1878">
        <v>1.254272E-2</v>
      </c>
      <c r="V1878">
        <v>4.3397659999999998E-2</v>
      </c>
      <c r="W1878">
        <v>1.1889479999999999E-2</v>
      </c>
      <c r="X1878">
        <v>0.99898709999999902</v>
      </c>
      <c r="Y1878">
        <v>0.2433823</v>
      </c>
      <c r="Z1878">
        <v>8.8725479999999992E-3</v>
      </c>
      <c r="AA1878">
        <v>0.96988989999999997</v>
      </c>
      <c r="AB1878">
        <v>18</v>
      </c>
      <c r="AC1878">
        <v>-44.585599999999999</v>
      </c>
      <c r="AD1878">
        <v>-1.1039862351609999</v>
      </c>
      <c r="AE1878">
        <v>0.21590000000003301</v>
      </c>
      <c r="AF1878">
        <v>10.883623371880899</v>
      </c>
      <c r="AG1878">
        <v>-1.1039862351609999</v>
      </c>
      <c r="AH1878">
        <v>43.209185957593</v>
      </c>
      <c r="AI1878">
        <v>91.419266415873494</v>
      </c>
      <c r="AJ1878">
        <v>75.862304911256402</v>
      </c>
      <c r="AK1878">
        <v>44.572477992885098</v>
      </c>
    </row>
    <row r="1879" spans="1:37" x14ac:dyDescent="0.2">
      <c r="A1879" t="str">
        <f>"20200111155536602"</f>
        <v>20200111155536602</v>
      </c>
      <c r="B1879" t="str">
        <f>"1578729336593857"</f>
        <v>1578729336593857</v>
      </c>
      <c r="C1879" t="s">
        <v>37</v>
      </c>
      <c r="D1879">
        <v>4.1232069999999998</v>
      </c>
      <c r="E1879">
        <v>0.57739940000000001</v>
      </c>
      <c r="F1879" t="s">
        <v>59</v>
      </c>
      <c r="G1879">
        <v>-255.43469999999999</v>
      </c>
      <c r="H1879" s="1">
        <v>1.3552730000000001E-6</v>
      </c>
      <c r="I1879">
        <v>286.5317</v>
      </c>
      <c r="J1879">
        <v>-213.68440000000001</v>
      </c>
      <c r="K1879">
        <v>1.1038699999999999</v>
      </c>
      <c r="L1879">
        <v>286.32929999999999</v>
      </c>
      <c r="M1879">
        <v>-0.97157890000000002</v>
      </c>
      <c r="N1879">
        <v>0</v>
      </c>
      <c r="O1879">
        <v>-0.23629620000000001</v>
      </c>
      <c r="P1879">
        <v>-0.98052950000000005</v>
      </c>
      <c r="Q1879">
        <v>-2.7698919999999999E-3</v>
      </c>
      <c r="R1879">
        <v>-0.19635320000000001</v>
      </c>
      <c r="S1879">
        <v>-3.0622859999999998</v>
      </c>
      <c r="T1879">
        <v>-8.0614809999999995E-2</v>
      </c>
      <c r="U1879">
        <v>1.171875E-2</v>
      </c>
      <c r="V1879">
        <v>4.0970340000000001E-2</v>
      </c>
      <c r="W1879">
        <v>1.1160440000000001E-2</v>
      </c>
      <c r="X1879">
        <v>0.99909799999999904</v>
      </c>
      <c r="Y1879">
        <v>0.23987249999999999</v>
      </c>
      <c r="Z1879">
        <v>9.3328100000000004E-3</v>
      </c>
      <c r="AA1879">
        <v>0.97075959999999994</v>
      </c>
      <c r="AB1879">
        <v>18</v>
      </c>
      <c r="AC1879">
        <v>-41.750299999999903</v>
      </c>
      <c r="AD1879">
        <v>-1.1038686447270001</v>
      </c>
      <c r="AE1879">
        <v>0.20240000000001099</v>
      </c>
      <c r="AF1879">
        <v>10.0560542165427</v>
      </c>
      <c r="AG1879">
        <v>-1.1038686447270001</v>
      </c>
      <c r="AH1879">
        <v>40.491601481166299</v>
      </c>
      <c r="AI1879">
        <v>91.515575246913997</v>
      </c>
      <c r="AJ1879">
        <v>76.052814656201804</v>
      </c>
      <c r="AK1879">
        <v>41.736225786484901</v>
      </c>
    </row>
    <row r="1880" spans="1:37" x14ac:dyDescent="0.2">
      <c r="A1880" t="str">
        <f>"20200111155536624"</f>
        <v>20200111155536624</v>
      </c>
      <c r="B1880" t="str">
        <f>"1578729336614352"</f>
        <v>1578729336614352</v>
      </c>
      <c r="C1880" t="s">
        <v>37</v>
      </c>
      <c r="D1880">
        <v>4.1332529999999998</v>
      </c>
      <c r="E1880">
        <v>0.57739940000000001</v>
      </c>
      <c r="F1880" t="s">
        <v>59</v>
      </c>
      <c r="G1880">
        <v>-255.15</v>
      </c>
      <c r="H1880" s="1">
        <v>1.203801E-6</v>
      </c>
      <c r="I1880">
        <v>286.52730000000003</v>
      </c>
      <c r="J1880">
        <v>-213.86089999999999</v>
      </c>
      <c r="K1880">
        <v>1.103785</v>
      </c>
      <c r="L1880">
        <v>286.2903</v>
      </c>
      <c r="M1880">
        <v>-0.97231569999999901</v>
      </c>
      <c r="N1880">
        <v>0</v>
      </c>
      <c r="O1880">
        <v>-0.23325499999999999</v>
      </c>
      <c r="P1880">
        <v>-0.98074289999999997</v>
      </c>
      <c r="Q1880">
        <v>-2.2288109999999998E-3</v>
      </c>
      <c r="R1880">
        <v>-0.1952911</v>
      </c>
      <c r="S1880">
        <v>-3.0622859999999998</v>
      </c>
      <c r="T1880">
        <v>-8.1521990000000003E-2</v>
      </c>
      <c r="U1880">
        <v>1.461792E-2</v>
      </c>
      <c r="V1880">
        <v>3.8927110000000001E-2</v>
      </c>
      <c r="W1880">
        <v>1.154904E-2</v>
      </c>
      <c r="X1880">
        <v>0.99917529999999999</v>
      </c>
      <c r="Y1880">
        <v>0.23775099999999999</v>
      </c>
      <c r="Z1880">
        <v>9.3304849999999995E-3</v>
      </c>
      <c r="AA1880">
        <v>0.97128130000000001</v>
      </c>
      <c r="AB1880">
        <v>18</v>
      </c>
      <c r="AC1880">
        <v>-41.289099999999998</v>
      </c>
      <c r="AD1880">
        <v>-1.103783796199</v>
      </c>
      <c r="AE1880">
        <v>0.237000000000023</v>
      </c>
      <c r="AF1880">
        <v>9.85524305363829</v>
      </c>
      <c r="AG1880">
        <v>-1.103783796199</v>
      </c>
      <c r="AH1880">
        <v>40.066021318987701</v>
      </c>
      <c r="AI1880">
        <v>91.532395106757704</v>
      </c>
      <c r="AJ1880">
        <v>76.181006473660204</v>
      </c>
      <c r="AK1880">
        <v>41.275055646826402</v>
      </c>
    </row>
    <row r="1881" spans="1:37" x14ac:dyDescent="0.2">
      <c r="A1881" t="str">
        <f>"20200111155536647"</f>
        <v>20200111155536647</v>
      </c>
      <c r="B1881" t="str">
        <f>"1578729336644609"</f>
        <v>1578729336644609</v>
      </c>
      <c r="C1881" t="s">
        <v>37</v>
      </c>
      <c r="D1881">
        <v>5.0249059999999997</v>
      </c>
      <c r="E1881">
        <v>0.57547219999999999</v>
      </c>
      <c r="F1881" t="s">
        <v>59</v>
      </c>
      <c r="G1881">
        <v>-256.27789999999999</v>
      </c>
      <c r="H1881" s="1">
        <v>1.8040039999999999E-6</v>
      </c>
      <c r="I1881">
        <v>286.53800000000001</v>
      </c>
      <c r="J1881">
        <v>-214.04570000000001</v>
      </c>
      <c r="K1881">
        <v>1.1037030000000001</v>
      </c>
      <c r="L1881">
        <v>286.25</v>
      </c>
      <c r="M1881">
        <v>-0.97307489999999996</v>
      </c>
      <c r="N1881">
        <v>0</v>
      </c>
      <c r="O1881">
        <v>-0.230076899999999</v>
      </c>
      <c r="P1881">
        <v>-0.9810818</v>
      </c>
      <c r="Q1881" s="1">
        <v>-9.8470599999999999E-5</v>
      </c>
      <c r="R1881">
        <v>-0.1935933</v>
      </c>
      <c r="S1881">
        <v>-3.062271</v>
      </c>
      <c r="T1881">
        <v>-7.9686880000000002E-2</v>
      </c>
      <c r="U1881">
        <v>1.7883300000000001E-2</v>
      </c>
      <c r="V1881">
        <v>3.7399590000000003E-2</v>
      </c>
      <c r="W1881">
        <v>1.3534910000000001E-2</v>
      </c>
      <c r="X1881">
        <v>0.99920869999999995</v>
      </c>
      <c r="Y1881">
        <v>0.23562129999999901</v>
      </c>
      <c r="Z1881">
        <v>9.0120359999999993E-3</v>
      </c>
      <c r="AA1881">
        <v>0.97180319999999998</v>
      </c>
      <c r="AB1881">
        <v>18</v>
      </c>
      <c r="AC1881">
        <v>-42.232199999999899</v>
      </c>
      <c r="AD1881">
        <v>-1.1037011959959999</v>
      </c>
      <c r="AE1881">
        <v>0.28800000000001003</v>
      </c>
      <c r="AF1881">
        <v>9.9910248908410608</v>
      </c>
      <c r="AG1881">
        <v>-1.1037011959959999</v>
      </c>
      <c r="AH1881">
        <v>41.004722452379603</v>
      </c>
      <c r="AI1881">
        <v>91.498020897909299</v>
      </c>
      <c r="AJ1881">
        <v>76.306395564716993</v>
      </c>
      <c r="AK1881">
        <v>42.218787264630599</v>
      </c>
    </row>
    <row r="1882" spans="1:37" x14ac:dyDescent="0.2">
      <c r="A1882" t="str">
        <f>"20200111155536668"</f>
        <v>20200111155536668</v>
      </c>
      <c r="B1882" t="str">
        <f>"1578729336664128"</f>
        <v>1578729336664128</v>
      </c>
      <c r="C1882" t="s">
        <v>37</v>
      </c>
      <c r="D1882">
        <v>4.8310339999999998</v>
      </c>
      <c r="E1882">
        <v>0.57446390000000003</v>
      </c>
      <c r="F1882" t="s">
        <v>59</v>
      </c>
      <c r="G1882">
        <v>-259.78320000000002</v>
      </c>
      <c r="H1882" s="1">
        <v>3.6693650000000001E-6</v>
      </c>
      <c r="I1882">
        <v>286.37090000000001</v>
      </c>
      <c r="J1882">
        <v>-214.21809999999999</v>
      </c>
      <c r="K1882">
        <v>1.103631</v>
      </c>
      <c r="L1882">
        <v>286.212999999999</v>
      </c>
      <c r="M1882">
        <v>-0.97377579999999997</v>
      </c>
      <c r="N1882">
        <v>0</v>
      </c>
      <c r="O1882">
        <v>-0.227098999999999</v>
      </c>
      <c r="P1882">
        <v>-0.98141449999999997</v>
      </c>
      <c r="Q1882">
        <v>2.9363659999999902E-3</v>
      </c>
      <c r="R1882">
        <v>-0.1918782</v>
      </c>
      <c r="S1882">
        <v>-3.0594329999999998</v>
      </c>
      <c r="T1882">
        <v>-7.3827619999999997E-2</v>
      </c>
      <c r="U1882">
        <v>8.0871580000000005E-3</v>
      </c>
      <c r="V1882">
        <v>3.609967E-2</v>
      </c>
      <c r="W1882">
        <v>1.6450920000000001E-2</v>
      </c>
      <c r="X1882">
        <v>0.99921280000000001</v>
      </c>
      <c r="Y1882">
        <v>0.2295616</v>
      </c>
      <c r="Z1882">
        <v>8.2133780000000003E-3</v>
      </c>
      <c r="AA1882">
        <v>0.97325949999999894</v>
      </c>
      <c r="AB1882">
        <v>18</v>
      </c>
      <c r="AC1882">
        <v>-45.565100000000001</v>
      </c>
      <c r="AD1882">
        <v>-1.103627330635</v>
      </c>
      <c r="AE1882">
        <v>0.15790000000004001</v>
      </c>
      <c r="AF1882">
        <v>10.4963708486231</v>
      </c>
      <c r="AG1882">
        <v>-1.103627330635</v>
      </c>
      <c r="AH1882">
        <v>44.3124770777953</v>
      </c>
      <c r="AI1882">
        <v>91.388288871005798</v>
      </c>
      <c r="AJ1882">
        <v>76.673864295626302</v>
      </c>
      <c r="AK1882">
        <v>45.552029801611297</v>
      </c>
    </row>
    <row r="1883" spans="1:37" x14ac:dyDescent="0.2">
      <c r="A1883" t="str">
        <f>"20200111155536691"</f>
        <v>20200111155536691</v>
      </c>
      <c r="B1883" t="str">
        <f>"1578729336684625"</f>
        <v>1578729336684625</v>
      </c>
      <c r="C1883" t="s">
        <v>37</v>
      </c>
      <c r="D1883">
        <v>4.813231</v>
      </c>
      <c r="E1883">
        <v>0.57356379999999996</v>
      </c>
      <c r="F1883" t="s">
        <v>59</v>
      </c>
      <c r="G1883">
        <v>-264.04300000000001</v>
      </c>
      <c r="H1883" s="1">
        <v>6.1467819999999897E-7</v>
      </c>
      <c r="I1883">
        <v>286.29750000000001</v>
      </c>
      <c r="J1883">
        <v>-214.40799999999999</v>
      </c>
      <c r="K1883">
        <v>1.103559</v>
      </c>
      <c r="L1883">
        <v>286.17290000000003</v>
      </c>
      <c r="M1883">
        <v>-0.97454359999999995</v>
      </c>
      <c r="N1883">
        <v>0</v>
      </c>
      <c r="O1883">
        <v>-0.2237886</v>
      </c>
      <c r="P1883">
        <v>-0.98195069999999995</v>
      </c>
      <c r="Q1883">
        <v>5.8342740000000004E-3</v>
      </c>
      <c r="R1883">
        <v>-0.1890483</v>
      </c>
      <c r="S1883">
        <v>-3.0580289999999999</v>
      </c>
      <c r="T1883">
        <v>-6.7735909999999996E-2</v>
      </c>
      <c r="U1883">
        <v>5.1879880000000001E-3</v>
      </c>
      <c r="V1883">
        <v>3.5593350000000003E-2</v>
      </c>
      <c r="W1883">
        <v>1.9229960000000001E-2</v>
      </c>
      <c r="X1883">
        <v>0.99918130000000005</v>
      </c>
      <c r="Y1883">
        <v>0.22535279999999999</v>
      </c>
      <c r="Z1883">
        <v>7.4206899999999998E-3</v>
      </c>
      <c r="AA1883">
        <v>0.97424889999999997</v>
      </c>
      <c r="AB1883">
        <v>18</v>
      </c>
      <c r="AC1883">
        <v>-49.634999999999998</v>
      </c>
      <c r="AD1883">
        <v>-1.1035583853218001</v>
      </c>
      <c r="AE1883">
        <v>0.124599999999986</v>
      </c>
      <c r="AF1883">
        <v>11.2246567236604</v>
      </c>
      <c r="AG1883">
        <v>-1.1035583853218001</v>
      </c>
      <c r="AH1883">
        <v>48.324134283105501</v>
      </c>
      <c r="AI1883">
        <v>91.274299656135895</v>
      </c>
      <c r="AJ1883">
        <v>76.923308756267502</v>
      </c>
      <c r="AK1883">
        <v>49.622905133470702</v>
      </c>
    </row>
    <row r="1884" spans="1:37" x14ac:dyDescent="0.2">
      <c r="A1884" t="str">
        <f>"20200111155536712"</f>
        <v>20200111155536712</v>
      </c>
      <c r="B1884" t="str">
        <f>"1578729336704147"</f>
        <v>1578729336704147</v>
      </c>
      <c r="C1884" t="s">
        <v>37</v>
      </c>
      <c r="D1884">
        <v>4.8049189999999999</v>
      </c>
      <c r="E1884">
        <v>0.5726793</v>
      </c>
      <c r="F1884" t="s">
        <v>59</v>
      </c>
      <c r="G1884">
        <v>-268.6567</v>
      </c>
      <c r="H1884" s="1">
        <v>3.0699020000000001E-6</v>
      </c>
      <c r="I1884">
        <v>286.291</v>
      </c>
      <c r="J1884">
        <v>-214.58189999999999</v>
      </c>
      <c r="K1884">
        <v>1.1034999999999999</v>
      </c>
      <c r="L1884">
        <v>286.13679999999999</v>
      </c>
      <c r="M1884">
        <v>-0.97524519999999904</v>
      </c>
      <c r="N1884">
        <v>0</v>
      </c>
      <c r="O1884">
        <v>-0.22071660000000001</v>
      </c>
      <c r="P1884">
        <v>-0.98264189999999996</v>
      </c>
      <c r="Q1884">
        <v>8.6426460000000004E-3</v>
      </c>
      <c r="R1884">
        <v>-0.1853117</v>
      </c>
      <c r="S1884">
        <v>-3.0568080000000002</v>
      </c>
      <c r="T1884">
        <v>-6.2183139999999998E-2</v>
      </c>
      <c r="U1884">
        <v>6.6528319999999896E-3</v>
      </c>
      <c r="V1884">
        <v>3.6252739999999999E-2</v>
      </c>
      <c r="W1884">
        <v>2.19382999999999E-2</v>
      </c>
      <c r="X1884">
        <v>0.99910180000000004</v>
      </c>
      <c r="Y1884">
        <v>0.22276750000000001</v>
      </c>
      <c r="Z1884">
        <v>6.7276860000000001E-3</v>
      </c>
      <c r="AA1884">
        <v>0.97484839999999995</v>
      </c>
      <c r="AB1884">
        <v>18</v>
      </c>
      <c r="AC1884">
        <v>-54.074800000000003</v>
      </c>
      <c r="AD1884">
        <v>-1.103496930098</v>
      </c>
      <c r="AE1884">
        <v>0.154200000000003</v>
      </c>
      <c r="AF1884">
        <v>12.081651357476501</v>
      </c>
      <c r="AG1884">
        <v>-1.103496930098</v>
      </c>
      <c r="AH1884">
        <v>52.684984413530998</v>
      </c>
      <c r="AI1884">
        <v>91.169546700028405</v>
      </c>
      <c r="AJ1884">
        <v>77.084316183354503</v>
      </c>
      <c r="AK1884">
        <v>54.063773339014702</v>
      </c>
    </row>
    <row r="1885" spans="1:37" x14ac:dyDescent="0.2">
      <c r="A1885" t="str">
        <f>"20200111155536735"</f>
        <v>20200111155536735</v>
      </c>
      <c r="B1885" t="str">
        <f>"1578729336724640"</f>
        <v>1578729336724640</v>
      </c>
      <c r="C1885" t="s">
        <v>37</v>
      </c>
      <c r="D1885">
        <v>4.8493300000000001</v>
      </c>
      <c r="E1885">
        <v>0.57157999999999998</v>
      </c>
      <c r="F1885" t="s">
        <v>59</v>
      </c>
      <c r="G1885">
        <v>-274.08789999999999</v>
      </c>
      <c r="H1885" s="1">
        <v>5.6271240000000001E-7</v>
      </c>
      <c r="I1885">
        <v>286.35250000000002</v>
      </c>
      <c r="J1885">
        <v>-214.76240000000001</v>
      </c>
      <c r="K1885">
        <v>1.1034459999999999</v>
      </c>
      <c r="L1885">
        <v>286.10000000000002</v>
      </c>
      <c r="M1885">
        <v>-0.97597029999999996</v>
      </c>
      <c r="N1885">
        <v>0</v>
      </c>
      <c r="O1885">
        <v>-0.21749369999999901</v>
      </c>
      <c r="P1885">
        <v>-0.98338939999999997</v>
      </c>
      <c r="Q1885">
        <v>1.1537830000000001E-2</v>
      </c>
      <c r="R1885">
        <v>-0.18114229999999901</v>
      </c>
      <c r="S1885">
        <v>-3.0555880000000002</v>
      </c>
      <c r="T1885">
        <v>-5.6663869999999998E-2</v>
      </c>
      <c r="U1885">
        <v>1.107788E-2</v>
      </c>
      <c r="V1885">
        <v>3.7195880000000001E-2</v>
      </c>
      <c r="W1885">
        <v>2.4740379999999999E-2</v>
      </c>
      <c r="X1885">
        <v>0.99900169999999999</v>
      </c>
      <c r="Y1885">
        <v>0.22097539999999999</v>
      </c>
      <c r="Z1885">
        <v>6.0579800000000001E-3</v>
      </c>
      <c r="AA1885">
        <v>0.97526059999999903</v>
      </c>
      <c r="AB1885">
        <v>18</v>
      </c>
      <c r="AC1885">
        <v>-59.325499999999899</v>
      </c>
      <c r="AD1885">
        <v>-1.1034454372875999</v>
      </c>
      <c r="AE1885">
        <v>0.252499999999997</v>
      </c>
      <c r="AF1885">
        <v>13.1459806722425</v>
      </c>
      <c r="AG1885">
        <v>-1.1034454372875999</v>
      </c>
      <c r="AH1885">
        <v>57.830164949507598</v>
      </c>
      <c r="AI1885">
        <v>91.065928965788501</v>
      </c>
      <c r="AJ1885">
        <v>77.193132486414697</v>
      </c>
      <c r="AK1885">
        <v>59.315785232561097</v>
      </c>
    </row>
    <row r="1886" spans="1:37" x14ac:dyDescent="0.2">
      <c r="A1886" t="str">
        <f>"20200111155536750"</f>
        <v>20200111155536750</v>
      </c>
      <c r="B1886" t="str">
        <f>"1578729336744161"</f>
        <v>1578729336744161</v>
      </c>
      <c r="C1886" t="s">
        <v>37</v>
      </c>
      <c r="D1886">
        <v>4.8551710000000003</v>
      </c>
      <c r="E1886">
        <v>0.57099669999999902</v>
      </c>
      <c r="F1886" t="s">
        <v>61</v>
      </c>
      <c r="G1886">
        <v>-280.1943</v>
      </c>
      <c r="H1886" s="1">
        <v>7.9416879999999994E-6</v>
      </c>
      <c r="I1886">
        <v>286.4282</v>
      </c>
      <c r="J1886">
        <v>-214.88740000000001</v>
      </c>
      <c r="K1886">
        <v>1.1034120000000001</v>
      </c>
      <c r="L1886">
        <v>286.07499999999999</v>
      </c>
      <c r="M1886">
        <v>-0.97647030000000001</v>
      </c>
      <c r="N1886">
        <v>0</v>
      </c>
      <c r="O1886">
        <v>-0.21524070000000001</v>
      </c>
      <c r="P1886">
        <v>-0.98391439999999997</v>
      </c>
      <c r="Q1886">
        <v>1.2811350000000001E-2</v>
      </c>
      <c r="R1886">
        <v>-0.17818110000000001</v>
      </c>
      <c r="S1886">
        <v>-3.0541230000000001</v>
      </c>
      <c r="T1886">
        <v>-5.150449E-2</v>
      </c>
      <c r="U1886">
        <v>1.531982E-2</v>
      </c>
      <c r="V1886">
        <v>3.7899910000000002E-2</v>
      </c>
      <c r="W1886">
        <v>2.5956400000000001E-2</v>
      </c>
      <c r="X1886">
        <v>0.99894439999999995</v>
      </c>
      <c r="Y1886">
        <v>0.22009400000000001</v>
      </c>
      <c r="Z1886">
        <v>5.4644869999999996E-3</v>
      </c>
      <c r="AA1886">
        <v>0.97546339999999998</v>
      </c>
      <c r="AB1886">
        <v>18</v>
      </c>
      <c r="AC1886">
        <v>-65.306899999999899</v>
      </c>
      <c r="AD1886">
        <v>-1.1034040583119999</v>
      </c>
      <c r="AE1886">
        <v>0.353200000000015</v>
      </c>
      <c r="AF1886">
        <v>14.3987580865497</v>
      </c>
      <c r="AG1886">
        <v>-1.1034040583119999</v>
      </c>
      <c r="AH1886">
        <v>63.681690811511402</v>
      </c>
      <c r="AI1886">
        <v>90.968220782787398</v>
      </c>
      <c r="AJ1886">
        <v>77.259361636470501</v>
      </c>
      <c r="AK1886">
        <v>65.298541174851806</v>
      </c>
    </row>
    <row r="1887" spans="1:37" x14ac:dyDescent="0.2">
      <c r="A1887" t="str">
        <f>"20200111155536769"</f>
        <v>20200111155536769</v>
      </c>
      <c r="B1887" t="str">
        <f>"1578729336764656"</f>
        <v>1578729336764656</v>
      </c>
      <c r="C1887" t="s">
        <v>37</v>
      </c>
      <c r="D1887">
        <v>4.8469150000000001</v>
      </c>
      <c r="E1887">
        <v>0.53466000000000002</v>
      </c>
      <c r="F1887" t="s">
        <v>61</v>
      </c>
      <c r="G1887">
        <v>-282.90170000000001</v>
      </c>
      <c r="H1887" s="1">
        <v>6.7230300000000002E-6</v>
      </c>
      <c r="I1887">
        <v>286.51549999999997</v>
      </c>
      <c r="J1887">
        <v>-215.03550000000001</v>
      </c>
      <c r="K1887">
        <v>1.1033770000000001</v>
      </c>
      <c r="L1887">
        <v>286.04559999999998</v>
      </c>
      <c r="M1887">
        <v>-0.977058599999999</v>
      </c>
      <c r="N1887">
        <v>0</v>
      </c>
      <c r="O1887">
        <v>-0.2125581</v>
      </c>
      <c r="P1887">
        <v>-0.98455579999999998</v>
      </c>
      <c r="Q1887">
        <v>1.385106E-2</v>
      </c>
      <c r="R1887">
        <v>-0.17452200000000001</v>
      </c>
      <c r="S1887">
        <v>-3.0532840000000001</v>
      </c>
      <c r="T1887">
        <v>-4.9533840000000003E-2</v>
      </c>
      <c r="U1887">
        <v>1.977539E-2</v>
      </c>
      <c r="V1887">
        <v>3.8871599999999999E-2</v>
      </c>
      <c r="W1887">
        <v>2.6933579999999999E-2</v>
      </c>
      <c r="X1887">
        <v>0.99888120000000002</v>
      </c>
      <c r="Y1887">
        <v>0.2188445</v>
      </c>
      <c r="Z1887">
        <v>5.2040960000000001E-3</v>
      </c>
      <c r="AA1887">
        <v>0.97574590000000005</v>
      </c>
      <c r="AB1887">
        <v>18</v>
      </c>
      <c r="AC1887">
        <v>-67.866199999999907</v>
      </c>
      <c r="AD1887">
        <v>-1.10337027697</v>
      </c>
      <c r="AE1887">
        <v>0.46989999999999499</v>
      </c>
      <c r="AF1887">
        <v>14.882003533069099</v>
      </c>
      <c r="AG1887">
        <v>-1.10337027697</v>
      </c>
      <c r="AH1887">
        <v>66.197688723635906</v>
      </c>
      <c r="AI1887">
        <v>90.931657887725393</v>
      </c>
      <c r="AJ1887">
        <v>77.329895249247301</v>
      </c>
      <c r="AK1887">
        <v>67.858864177628107</v>
      </c>
    </row>
    <row r="1888" spans="1:37" x14ac:dyDescent="0.2">
      <c r="A1888" t="str">
        <f>"20200111155536784"</f>
        <v>20200111155536784</v>
      </c>
      <c r="B1888" t="str">
        <f>"1578729336774417"</f>
        <v>1578729336774417</v>
      </c>
      <c r="C1888" t="s">
        <v>37</v>
      </c>
      <c r="D1888">
        <v>4.7907919999999997</v>
      </c>
      <c r="E1888">
        <v>0.53363819999999995</v>
      </c>
      <c r="F1888" t="s">
        <v>59</v>
      </c>
      <c r="G1888">
        <v>-242.18889999999999</v>
      </c>
      <c r="H1888" s="1">
        <v>-3.7197400000000002E-7</v>
      </c>
      <c r="I1888">
        <v>283.726</v>
      </c>
      <c r="J1888">
        <v>-215.15819999999999</v>
      </c>
      <c r="K1888">
        <v>1.1033520000000001</v>
      </c>
      <c r="L1888">
        <v>286.02159999999998</v>
      </c>
      <c r="M1888">
        <v>-0.97754229999999998</v>
      </c>
      <c r="N1888">
        <v>0</v>
      </c>
      <c r="O1888">
        <v>-0.21032489999999901</v>
      </c>
      <c r="P1888">
        <v>-0.984962</v>
      </c>
      <c r="Q1888">
        <v>1.313287E-2</v>
      </c>
      <c r="R1888">
        <v>-0.17227110000000001</v>
      </c>
      <c r="S1888">
        <v>-3.0032809999999999</v>
      </c>
      <c r="T1888">
        <v>-0.1220382</v>
      </c>
      <c r="U1888">
        <v>-0.25656129999999999</v>
      </c>
      <c r="V1888">
        <v>3.8871299999999998E-2</v>
      </c>
      <c r="W1888">
        <v>2.6172810000000001E-2</v>
      </c>
      <c r="X1888">
        <v>0.99890140000000005</v>
      </c>
      <c r="Y1888">
        <v>0.126094699999999</v>
      </c>
      <c r="Z1888">
        <v>1.101719E-2</v>
      </c>
      <c r="AA1888">
        <v>0.99195699999999998</v>
      </c>
      <c r="AB1888">
        <v>18</v>
      </c>
      <c r="AC1888">
        <v>-27.0307</v>
      </c>
      <c r="AD1888">
        <v>-1.1033523719739999</v>
      </c>
      <c r="AE1888">
        <v>-2.2955999999999701</v>
      </c>
      <c r="AF1888">
        <v>3.4357998695366101</v>
      </c>
      <c r="AG1888">
        <v>-1.1033523719739999</v>
      </c>
      <c r="AH1888">
        <v>26.864382672309802</v>
      </c>
      <c r="AI1888">
        <v>92.332903525100306</v>
      </c>
      <c r="AJ1888">
        <v>82.711765556820794</v>
      </c>
      <c r="AK1888">
        <v>27.1056666319895</v>
      </c>
    </row>
    <row r="1889" spans="1:37" x14ac:dyDescent="0.2">
      <c r="A1889" t="str">
        <f>"20200111155536803"</f>
        <v>20200111155536803</v>
      </c>
      <c r="B1889" t="str">
        <f>"1578729336793936"</f>
        <v>1578729336793936</v>
      </c>
      <c r="C1889" t="s">
        <v>37</v>
      </c>
      <c r="D1889">
        <v>4.911931</v>
      </c>
      <c r="E1889">
        <v>0.53167209999999998</v>
      </c>
      <c r="F1889" t="s">
        <v>59</v>
      </c>
      <c r="G1889">
        <v>-242.2911</v>
      </c>
      <c r="H1889" s="1">
        <v>-3.175768E-7</v>
      </c>
      <c r="I1889">
        <v>283.6961</v>
      </c>
      <c r="J1889">
        <v>-215.31370000000001</v>
      </c>
      <c r="K1889">
        <v>1.103318</v>
      </c>
      <c r="L1889">
        <v>285.99160000000001</v>
      </c>
      <c r="M1889">
        <v>-0.97814889999999999</v>
      </c>
      <c r="N1889">
        <v>0</v>
      </c>
      <c r="O1889">
        <v>-0.20748800000000001</v>
      </c>
      <c r="P1889">
        <v>-0.98526329999999995</v>
      </c>
      <c r="Q1889">
        <v>1.1090289999999999E-2</v>
      </c>
      <c r="R1889">
        <v>-0.17068510000000001</v>
      </c>
      <c r="S1889">
        <v>-3.0024259999999998</v>
      </c>
      <c r="T1889">
        <v>-0.12209299999999999</v>
      </c>
      <c r="U1889">
        <v>-0.2573242</v>
      </c>
      <c r="V1889">
        <v>3.7577899999999997E-2</v>
      </c>
      <c r="W1889">
        <v>2.408778E-2</v>
      </c>
      <c r="X1889">
        <v>0.99900339999999999</v>
      </c>
      <c r="Y1889">
        <v>0.12294629999999999</v>
      </c>
      <c r="Z1889">
        <v>1.084855E-2</v>
      </c>
      <c r="AA1889">
        <v>0.99235399999999996</v>
      </c>
      <c r="AB1889">
        <v>18</v>
      </c>
      <c r="AC1889">
        <v>-26.9773999999999</v>
      </c>
      <c r="AD1889">
        <v>-1.1033183175768</v>
      </c>
      <c r="AE1889">
        <v>-2.2955000000000001</v>
      </c>
      <c r="AF1889">
        <v>3.3468788694180698</v>
      </c>
      <c r="AG1889">
        <v>-1.1033183175768</v>
      </c>
      <c r="AH1889">
        <v>26.8219921197567</v>
      </c>
      <c r="AI1889">
        <v>92.337418105978301</v>
      </c>
      <c r="AJ1889">
        <v>82.887330575260094</v>
      </c>
      <c r="AK1889">
        <v>27.052507661005301</v>
      </c>
    </row>
    <row r="1890" spans="1:37" x14ac:dyDescent="0.2">
      <c r="A1890" t="str">
        <f>"20200111155536825"</f>
        <v>20200111155536825</v>
      </c>
      <c r="B1890" t="str">
        <f>"1578729336814432"</f>
        <v>1578729336814432</v>
      </c>
      <c r="C1890" t="s">
        <v>37</v>
      </c>
      <c r="D1890">
        <v>4.7646879999999996</v>
      </c>
      <c r="E1890">
        <v>0.53031479999999998</v>
      </c>
      <c r="F1890" t="s">
        <v>59</v>
      </c>
      <c r="G1890">
        <v>-241.1524</v>
      </c>
      <c r="H1890" s="1">
        <v>-9.2352790000000002E-7</v>
      </c>
      <c r="I1890">
        <v>283.68700000000001</v>
      </c>
      <c r="J1890">
        <v>-215.49260000000001</v>
      </c>
      <c r="K1890">
        <v>1.1032919999999999</v>
      </c>
      <c r="L1890">
        <v>285.95769999999999</v>
      </c>
      <c r="M1890">
        <v>-0.97883629999999999</v>
      </c>
      <c r="N1890">
        <v>0</v>
      </c>
      <c r="O1890">
        <v>-0.2042244</v>
      </c>
      <c r="P1890">
        <v>-0.98532280000000005</v>
      </c>
      <c r="Q1890">
        <v>7.9504699999999994E-3</v>
      </c>
      <c r="R1890">
        <v>-0.17051769999999999</v>
      </c>
      <c r="S1890">
        <v>-2.9999689999999899</v>
      </c>
      <c r="T1890">
        <v>-0.12809960000000001</v>
      </c>
      <c r="U1890">
        <v>-0.26757809999999999</v>
      </c>
      <c r="V1890">
        <v>3.4407439999999997E-2</v>
      </c>
      <c r="W1890">
        <v>2.0913810000000001E-2</v>
      </c>
      <c r="X1890">
        <v>0.99918899999999999</v>
      </c>
      <c r="Y1890">
        <v>0.1161797</v>
      </c>
      <c r="Z1890">
        <v>1.1108359999999999E-2</v>
      </c>
      <c r="AA1890">
        <v>0.99316610000000005</v>
      </c>
      <c r="AB1890">
        <v>18</v>
      </c>
      <c r="AC1890">
        <v>-25.659799999999901</v>
      </c>
      <c r="AD1890">
        <v>-1.1032929235278901</v>
      </c>
      <c r="AE1890">
        <v>-2.27069999999997</v>
      </c>
      <c r="AF1890">
        <v>3.0124471178060501</v>
      </c>
      <c r="AG1890">
        <v>-1.1032929235278901</v>
      </c>
      <c r="AH1890">
        <v>25.535832641474499</v>
      </c>
      <c r="AI1890">
        <v>92.456948032560405</v>
      </c>
      <c r="AJ1890">
        <v>83.271946637785305</v>
      </c>
      <c r="AK1890">
        <v>25.736566235729299</v>
      </c>
    </row>
    <row r="1891" spans="1:37" x14ac:dyDescent="0.2">
      <c r="A1891" t="str">
        <f>"20200111155536847"</f>
        <v>20200111155536847</v>
      </c>
      <c r="B1891" t="str">
        <f>"1578729336844689"</f>
        <v>1578729336844689</v>
      </c>
      <c r="C1891" t="s">
        <v>37</v>
      </c>
      <c r="D1891">
        <v>4.761323</v>
      </c>
      <c r="E1891">
        <v>0.52903</v>
      </c>
      <c r="F1891" t="s">
        <v>59</v>
      </c>
      <c r="G1891">
        <v>-238.89760000000001</v>
      </c>
      <c r="H1891" s="1">
        <v>3.234181E-6</v>
      </c>
      <c r="I1891">
        <v>283.79000000000002</v>
      </c>
      <c r="J1891">
        <v>-215.6703</v>
      </c>
      <c r="K1891">
        <v>1.103278</v>
      </c>
      <c r="L1891">
        <v>285.92469999999997</v>
      </c>
      <c r="M1891">
        <v>-0.97950700000000002</v>
      </c>
      <c r="N1891">
        <v>0</v>
      </c>
      <c r="O1891">
        <v>-0.20098629999999901</v>
      </c>
      <c r="P1891">
        <v>-0.98542719999999995</v>
      </c>
      <c r="Q1891">
        <v>7.1474390000000002E-3</v>
      </c>
      <c r="R1891">
        <v>-0.16994819999999999</v>
      </c>
      <c r="S1891">
        <v>-2.99778699999999</v>
      </c>
      <c r="T1891">
        <v>-0.14131270000000001</v>
      </c>
      <c r="U1891">
        <v>-0.27764889999999998</v>
      </c>
      <c r="V1891">
        <v>3.1677240000000002E-2</v>
      </c>
      <c r="W1891">
        <v>2.0080480000000001E-2</v>
      </c>
      <c r="X1891">
        <v>0.99929639999999997</v>
      </c>
      <c r="Y1891">
        <v>0.10946789999999899</v>
      </c>
      <c r="Z1891">
        <v>1.1952269999999999E-2</v>
      </c>
      <c r="AA1891">
        <v>0.99391849999999904</v>
      </c>
      <c r="AB1891">
        <v>18</v>
      </c>
      <c r="AC1891">
        <v>-23.2273</v>
      </c>
      <c r="AD1891">
        <v>-1.1032747658190001</v>
      </c>
      <c r="AE1891">
        <v>-2.1346999999999499</v>
      </c>
      <c r="AF1891">
        <v>2.5718813276844701</v>
      </c>
      <c r="AG1891">
        <v>-1.1032747658190001</v>
      </c>
      <c r="AH1891">
        <v>23.130576101516599</v>
      </c>
      <c r="AI1891">
        <v>92.714105301163002</v>
      </c>
      <c r="AJ1891">
        <v>83.655361591770301</v>
      </c>
      <c r="AK1891">
        <v>23.299256201875501</v>
      </c>
    </row>
    <row r="1892" spans="1:37" x14ac:dyDescent="0.2">
      <c r="A1892" t="str">
        <f>"20200111155536871"</f>
        <v>20200111155536871</v>
      </c>
      <c r="B1892" t="str">
        <f>"1578729336864208"</f>
        <v>1578729336864208</v>
      </c>
      <c r="C1892" t="s">
        <v>37</v>
      </c>
      <c r="D1892">
        <v>4.7732570000000001</v>
      </c>
      <c r="E1892">
        <v>0.52839309999999995</v>
      </c>
      <c r="F1892" t="s">
        <v>59</v>
      </c>
      <c r="G1892">
        <v>-237.3022</v>
      </c>
      <c r="H1892" s="1">
        <v>2.38225999999999E-6</v>
      </c>
      <c r="I1892">
        <v>283.85700000000003</v>
      </c>
      <c r="J1892">
        <v>-215.8536</v>
      </c>
      <c r="K1892">
        <v>1.1032660000000001</v>
      </c>
      <c r="L1892">
        <v>285.89120000000003</v>
      </c>
      <c r="M1892">
        <v>-0.98018430000000001</v>
      </c>
      <c r="N1892">
        <v>0</v>
      </c>
      <c r="O1892">
        <v>-0.19765859999999999</v>
      </c>
      <c r="P1892">
        <v>-0.98563650000000003</v>
      </c>
      <c r="Q1892">
        <v>7.4069259999999899E-3</v>
      </c>
      <c r="R1892">
        <v>-0.16871889999999901</v>
      </c>
      <c r="S1892">
        <v>-2.9960779999999998</v>
      </c>
      <c r="T1892">
        <v>-0.1528072</v>
      </c>
      <c r="U1892">
        <v>-0.28637699999999999</v>
      </c>
      <c r="V1892">
        <v>2.9529690000000001E-2</v>
      </c>
      <c r="W1892">
        <v>2.0310740000000001E-2</v>
      </c>
      <c r="X1892">
        <v>0.99935750000000001</v>
      </c>
      <c r="Y1892">
        <v>0.1031228</v>
      </c>
      <c r="Z1892">
        <v>1.260092E-2</v>
      </c>
      <c r="AA1892">
        <v>0.99458880000000005</v>
      </c>
      <c r="AB1892">
        <v>18</v>
      </c>
      <c r="AC1892">
        <v>-21.448599999999999</v>
      </c>
      <c r="AD1892">
        <v>-1.1032636177399999</v>
      </c>
      <c r="AE1892">
        <v>-2.03419999999999</v>
      </c>
      <c r="AF1892">
        <v>2.2399264234277698</v>
      </c>
      <c r="AG1892">
        <v>-1.1032636177399999</v>
      </c>
      <c r="AH1892">
        <v>21.371436589795699</v>
      </c>
      <c r="AI1892">
        <v>92.9391022198526</v>
      </c>
      <c r="AJ1892">
        <v>84.016711465720107</v>
      </c>
      <c r="AK1892">
        <v>21.516801874448198</v>
      </c>
    </row>
    <row r="1893" spans="1:37" x14ac:dyDescent="0.2">
      <c r="A1893" t="str">
        <f>"20200111155536891"</f>
        <v>20200111155536891</v>
      </c>
      <c r="B1893" t="str">
        <f>"1578729336884705"</f>
        <v>1578729336884705</v>
      </c>
      <c r="C1893" t="s">
        <v>37</v>
      </c>
      <c r="D1893">
        <v>4.7422659999999999</v>
      </c>
      <c r="E1893">
        <v>0.52762069999999905</v>
      </c>
      <c r="F1893" t="s">
        <v>59</v>
      </c>
      <c r="G1893">
        <v>-236.81489999999999</v>
      </c>
      <c r="H1893" s="1">
        <v>2.1220479999999998E-6</v>
      </c>
      <c r="I1893">
        <v>283.8775</v>
      </c>
      <c r="J1893">
        <v>-216.03129999999999</v>
      </c>
      <c r="K1893">
        <v>1.103259</v>
      </c>
      <c r="L1893">
        <v>285.85939999999999</v>
      </c>
      <c r="M1893">
        <v>-0.98082749999999996</v>
      </c>
      <c r="N1893">
        <v>0</v>
      </c>
      <c r="O1893">
        <v>-0.19444429999999999</v>
      </c>
      <c r="P1893">
        <v>-0.98610069999999905</v>
      </c>
      <c r="Q1893">
        <v>6.531963E-3</v>
      </c>
      <c r="R1893">
        <v>-0.16602159999999999</v>
      </c>
      <c r="S1893">
        <v>-2.9956360000000002</v>
      </c>
      <c r="T1893">
        <v>-0.15767059999999999</v>
      </c>
      <c r="U1893">
        <v>-0.2877808</v>
      </c>
      <c r="V1893">
        <v>2.8985E-2</v>
      </c>
      <c r="W1893">
        <v>1.94054E-2</v>
      </c>
      <c r="X1893">
        <v>0.99939140000000004</v>
      </c>
      <c r="Y1893">
        <v>9.9370109999999998E-2</v>
      </c>
      <c r="Z1893">
        <v>1.273906E-2</v>
      </c>
      <c r="AA1893">
        <v>0.99496899999999999</v>
      </c>
      <c r="AB1893">
        <v>18</v>
      </c>
      <c r="AC1893">
        <v>-20.7836</v>
      </c>
      <c r="AD1893">
        <v>-1.103256877952</v>
      </c>
      <c r="AE1893">
        <v>-1.98189999999999</v>
      </c>
      <c r="AF1893">
        <v>2.09168673746544</v>
      </c>
      <c r="AG1893">
        <v>-1.103256877952</v>
      </c>
      <c r="AH1893">
        <v>20.714405867477499</v>
      </c>
      <c r="AI1893">
        <v>93.033317482647405</v>
      </c>
      <c r="AJ1893">
        <v>84.233966114401397</v>
      </c>
      <c r="AK1893">
        <v>20.848955359658301</v>
      </c>
    </row>
    <row r="1894" spans="1:37" x14ac:dyDescent="0.2">
      <c r="A1894" t="str">
        <f>"20200111155536914"</f>
        <v>20200111155536914</v>
      </c>
      <c r="B1894" t="str">
        <f>"1578729336904225"</f>
        <v>1578729336904225</v>
      </c>
      <c r="C1894" t="s">
        <v>37</v>
      </c>
      <c r="D1894">
        <v>4.77454</v>
      </c>
      <c r="E1894">
        <v>0.52723809999999904</v>
      </c>
      <c r="F1894" t="s">
        <v>59</v>
      </c>
      <c r="G1894">
        <v>-236.20009999999999</v>
      </c>
      <c r="H1894" s="1">
        <v>1.7923880000000001E-6</v>
      </c>
      <c r="I1894">
        <v>283.93520000000001</v>
      </c>
      <c r="J1894">
        <v>-216.21029999999999</v>
      </c>
      <c r="K1894">
        <v>1.103245</v>
      </c>
      <c r="L1894">
        <v>285.8279</v>
      </c>
      <c r="M1894">
        <v>-0.98146279999999997</v>
      </c>
      <c r="N1894">
        <v>0</v>
      </c>
      <c r="O1894">
        <v>-0.19121369999999999</v>
      </c>
      <c r="P1894">
        <v>-0.986787999999999</v>
      </c>
      <c r="Q1894">
        <v>5.5034569999999998E-3</v>
      </c>
      <c r="R1894">
        <v>-0.1619235</v>
      </c>
      <c r="S1894">
        <v>-2.9952700000000001</v>
      </c>
      <c r="T1894">
        <v>-0.1638443</v>
      </c>
      <c r="U1894">
        <v>-0.28576659999999998</v>
      </c>
      <c r="V1894">
        <v>2.9842629999999998E-2</v>
      </c>
      <c r="W1894">
        <v>1.8344630000000001E-2</v>
      </c>
      <c r="X1894">
        <v>0.99938629999999995</v>
      </c>
      <c r="Y1894">
        <v>9.6721370000000001E-2</v>
      </c>
      <c r="Z1894">
        <v>1.2994250000000001E-2</v>
      </c>
      <c r="AA1894">
        <v>0.99522670000000002</v>
      </c>
      <c r="AB1894">
        <v>18</v>
      </c>
      <c r="AC1894">
        <v>-19.989799999999999</v>
      </c>
      <c r="AD1894">
        <v>-1.103243207612</v>
      </c>
      <c r="AE1894">
        <v>-1.8926999999999901</v>
      </c>
      <c r="AF1894">
        <v>1.95896021029574</v>
      </c>
      <c r="AG1894">
        <v>-1.103243207612</v>
      </c>
      <c r="AH1894">
        <v>19.922690084754699</v>
      </c>
      <c r="AI1894">
        <v>93.154404864305704</v>
      </c>
      <c r="AJ1894">
        <v>84.384266998425005</v>
      </c>
      <c r="AK1894">
        <v>20.049145889385098</v>
      </c>
    </row>
    <row r="1895" spans="1:37" x14ac:dyDescent="0.2">
      <c r="A1895" t="str">
        <f>"20200111155536936"</f>
        <v>20200111155536936</v>
      </c>
      <c r="B1895" t="str">
        <f>"1578729336924305"</f>
        <v>1578729336924305</v>
      </c>
      <c r="C1895" t="s">
        <v>37</v>
      </c>
      <c r="D1895">
        <v>4.6908609999999999</v>
      </c>
      <c r="E1895">
        <v>0.52680939999999998</v>
      </c>
      <c r="F1895" t="s">
        <v>59</v>
      </c>
      <c r="G1895">
        <v>-235.73249999999999</v>
      </c>
      <c r="H1895" s="1">
        <v>1.53947999999999E-6</v>
      </c>
      <c r="I1895">
        <v>284.02789999999999</v>
      </c>
      <c r="J1895">
        <v>-216.386</v>
      </c>
      <c r="K1895">
        <v>1.1032299999999999</v>
      </c>
      <c r="L1895">
        <v>285.79759999999999</v>
      </c>
      <c r="M1895">
        <v>-0.98207469999999997</v>
      </c>
      <c r="N1895">
        <v>0</v>
      </c>
      <c r="O1895">
        <v>-0.1880482</v>
      </c>
      <c r="P1895">
        <v>-0.98754969999999997</v>
      </c>
      <c r="Q1895">
        <v>3.8466679999999902E-3</v>
      </c>
      <c r="R1895">
        <v>-0.1572626</v>
      </c>
      <c r="S1895">
        <v>-2.9957729999999998</v>
      </c>
      <c r="T1895">
        <v>-0.1692977</v>
      </c>
      <c r="U1895">
        <v>-0.27621459999999998</v>
      </c>
      <c r="V1895">
        <v>3.1333609999999998E-2</v>
      </c>
      <c r="W1895">
        <v>1.665641E-2</v>
      </c>
      <c r="X1895">
        <v>0.99937019999999999</v>
      </c>
      <c r="Y1895">
        <v>9.6649970000000002E-2</v>
      </c>
      <c r="Z1895">
        <v>1.3249489999999999E-2</v>
      </c>
      <c r="AA1895">
        <v>0.99523030000000001</v>
      </c>
      <c r="AB1895">
        <v>18</v>
      </c>
      <c r="AC1895">
        <v>-19.346499999999899</v>
      </c>
      <c r="AD1895">
        <v>-1.10322846052</v>
      </c>
      <c r="AE1895">
        <v>-1.7697000000000001</v>
      </c>
      <c r="AF1895">
        <v>1.89414742323667</v>
      </c>
      <c r="AG1895">
        <v>-1.10322846052</v>
      </c>
      <c r="AH1895">
        <v>19.271964205559399</v>
      </c>
      <c r="AI1895">
        <v>93.2606586959986</v>
      </c>
      <c r="AJ1895">
        <v>84.3867055302035</v>
      </c>
      <c r="AK1895">
        <v>19.396224164445499</v>
      </c>
    </row>
    <row r="1896" spans="1:37" x14ac:dyDescent="0.2">
      <c r="A1896" t="str">
        <f>"20200111155536959"</f>
        <v>20200111155536959</v>
      </c>
      <c r="B1896" t="str">
        <f>"1578729336954562"</f>
        <v>1578729336954562</v>
      </c>
      <c r="C1896" t="s">
        <v>37</v>
      </c>
      <c r="D1896">
        <v>4.8121749999999999</v>
      </c>
      <c r="E1896">
        <v>0.52667810000000004</v>
      </c>
      <c r="F1896" t="s">
        <v>59</v>
      </c>
      <c r="G1896">
        <v>-235.22710000000001</v>
      </c>
      <c r="H1896" s="1">
        <v>1.2661700000000001E-6</v>
      </c>
      <c r="I1896">
        <v>284.12830000000002</v>
      </c>
      <c r="J1896">
        <v>-216.57069999999999</v>
      </c>
      <c r="K1896">
        <v>1.1032200000000001</v>
      </c>
      <c r="L1896">
        <v>285.76639999999998</v>
      </c>
      <c r="M1896">
        <v>-0.9827053</v>
      </c>
      <c r="N1896">
        <v>0</v>
      </c>
      <c r="O1896">
        <v>-0.18472569999999999</v>
      </c>
      <c r="P1896">
        <v>-0.98825239999999903</v>
      </c>
      <c r="Q1896">
        <v>2.223488E-3</v>
      </c>
      <c r="R1896">
        <v>-0.15281429999999999</v>
      </c>
      <c r="S1896">
        <v>-2.99624599999999</v>
      </c>
      <c r="T1896">
        <v>-0.1754433</v>
      </c>
      <c r="U1896">
        <v>-0.2654724</v>
      </c>
      <c r="V1896">
        <v>3.2447509999999999E-2</v>
      </c>
      <c r="W1896">
        <v>1.500056E-2</v>
      </c>
      <c r="X1896">
        <v>0.9993609</v>
      </c>
      <c r="Y1896">
        <v>9.6809580000000006E-2</v>
      </c>
      <c r="Z1896">
        <v>1.354465E-2</v>
      </c>
      <c r="AA1896">
        <v>0.99521079999999995</v>
      </c>
      <c r="AB1896">
        <v>18</v>
      </c>
      <c r="AC1896">
        <v>-18.656400000000001</v>
      </c>
      <c r="AD1896">
        <v>-1.1032187338299999</v>
      </c>
      <c r="AE1896">
        <v>-1.6380999999999499</v>
      </c>
      <c r="AF1896">
        <v>1.83034875090614</v>
      </c>
      <c r="AG1896">
        <v>-1.1032187338299999</v>
      </c>
      <c r="AH1896">
        <v>18.573445682132199</v>
      </c>
      <c r="AI1896">
        <v>93.382891595795698</v>
      </c>
      <c r="AJ1896">
        <v>84.371871444458705</v>
      </c>
      <c r="AK1896">
        <v>18.695992956559699</v>
      </c>
    </row>
    <row r="1897" spans="1:37" x14ac:dyDescent="0.2">
      <c r="A1897" t="str">
        <f>"20200111155536981"</f>
        <v>20200111155536981</v>
      </c>
      <c r="B1897" t="str">
        <f>"1578729336974082"</f>
        <v>1578729336974082</v>
      </c>
      <c r="C1897" t="s">
        <v>37</v>
      </c>
      <c r="D1897">
        <v>4.6008509999999996</v>
      </c>
      <c r="E1897">
        <v>0.56673099999999998</v>
      </c>
      <c r="F1897" t="s">
        <v>40</v>
      </c>
      <c r="G1897">
        <v>-217.46539999999999</v>
      </c>
      <c r="H1897">
        <v>1.049245</v>
      </c>
      <c r="I1897">
        <v>285.6909</v>
      </c>
      <c r="J1897">
        <v>-216.75319999999999</v>
      </c>
      <c r="K1897">
        <v>1.1032059999999999</v>
      </c>
      <c r="L1897">
        <v>285.7362</v>
      </c>
      <c r="M1897">
        <v>-0.98331809999999997</v>
      </c>
      <c r="N1897">
        <v>0</v>
      </c>
      <c r="O1897">
        <v>-0.18143889999999999</v>
      </c>
      <c r="P1897">
        <v>-0.98885480000000003</v>
      </c>
      <c r="Q1897">
        <v>1.1305460000000001E-3</v>
      </c>
      <c r="R1897">
        <v>-0.1488787</v>
      </c>
      <c r="S1897">
        <v>-2.9969480000000002</v>
      </c>
      <c r="T1897">
        <v>-0.18086959999999999</v>
      </c>
      <c r="U1897">
        <v>-0.25283810000000001</v>
      </c>
      <c r="V1897">
        <v>3.3080190000000002E-2</v>
      </c>
      <c r="W1897">
        <v>1.3857700000000001E-2</v>
      </c>
      <c r="X1897">
        <v>0.99935659999999904</v>
      </c>
      <c r="Y1897">
        <v>9.7641069999999996E-2</v>
      </c>
      <c r="Z1897">
        <v>1.3793659999999999E-2</v>
      </c>
      <c r="AA1897">
        <v>0.99512610000000001</v>
      </c>
      <c r="AB1897">
        <v>18</v>
      </c>
      <c r="AC1897">
        <v>-0.71219999999999495</v>
      </c>
      <c r="AD1897">
        <v>-5.3960999999999898E-2</v>
      </c>
      <c r="AE1897">
        <v>-4.5299999999997398E-2</v>
      </c>
      <c r="AF1897">
        <v>8.4202058677868799E-2</v>
      </c>
      <c r="AG1897">
        <v>-5.3960999999999898E-2</v>
      </c>
      <c r="AH1897">
        <v>0.70456861290624895</v>
      </c>
      <c r="AI1897">
        <v>94.3487537293082</v>
      </c>
      <c r="AJ1897">
        <v>83.184979645635707</v>
      </c>
      <c r="AK1897">
        <v>0.71163101850553701</v>
      </c>
    </row>
    <row r="1898" spans="1:37" x14ac:dyDescent="0.2">
      <c r="A1898" t="str">
        <f>"20200111155537003"</f>
        <v>20200111155537003</v>
      </c>
      <c r="B1898" t="str">
        <f>"1578729336994581"</f>
        <v>1578729336994581</v>
      </c>
      <c r="C1898" t="s">
        <v>37</v>
      </c>
      <c r="D1898">
        <v>4.7315719999999999</v>
      </c>
      <c r="E1898">
        <v>0.56963859999999999</v>
      </c>
      <c r="F1898" t="s">
        <v>59</v>
      </c>
      <c r="G1898">
        <v>-247.88030000000001</v>
      </c>
      <c r="H1898" s="1">
        <v>2.6567290000000001E-6</v>
      </c>
      <c r="I1898">
        <v>286.52249999999998</v>
      </c>
      <c r="J1898">
        <v>-216.9306</v>
      </c>
      <c r="K1898">
        <v>1.103189</v>
      </c>
      <c r="L1898">
        <v>285.70740000000001</v>
      </c>
      <c r="M1898">
        <v>-0.98390309999999903</v>
      </c>
      <c r="N1898">
        <v>0</v>
      </c>
      <c r="O1898">
        <v>-0.1782445</v>
      </c>
      <c r="P1898">
        <v>-0.98936650000000004</v>
      </c>
      <c r="Q1898">
        <v>1.1217180000000001E-3</v>
      </c>
      <c r="R1898">
        <v>-0.1454415</v>
      </c>
      <c r="S1898">
        <v>-3.0455019999999999</v>
      </c>
      <c r="T1898">
        <v>-0.1079383</v>
      </c>
      <c r="U1898">
        <v>7.6934810000000006E-2</v>
      </c>
      <c r="V1898">
        <v>3.3307120000000003E-2</v>
      </c>
      <c r="W1898">
        <v>1.378475E-2</v>
      </c>
      <c r="X1898">
        <v>0.99935010000000002</v>
      </c>
      <c r="Y1898">
        <v>0.20281299999999999</v>
      </c>
      <c r="Z1898">
        <v>9.8852419999999903E-3</v>
      </c>
      <c r="AA1898">
        <v>0.97916759999999903</v>
      </c>
      <c r="AB1898">
        <v>18</v>
      </c>
      <c r="AC1898">
        <v>-30.9497</v>
      </c>
      <c r="AD1898">
        <v>-1.1031863432709901</v>
      </c>
      <c r="AE1898">
        <v>0.81509999999997196</v>
      </c>
      <c r="AF1898">
        <v>6.3110972254256597</v>
      </c>
      <c r="AG1898">
        <v>-1.1031863432709901</v>
      </c>
      <c r="AH1898">
        <v>30.270265235477201</v>
      </c>
      <c r="AI1898">
        <v>92.043296497043897</v>
      </c>
      <c r="AJ1898">
        <v>78.223018369827301</v>
      </c>
      <c r="AK1898">
        <v>30.9408455883625</v>
      </c>
    </row>
    <row r="1899" spans="1:37" x14ac:dyDescent="0.2">
      <c r="A1899" t="str">
        <f>"20200111155537025"</f>
        <v>20200111155537025</v>
      </c>
      <c r="B1899" t="str">
        <f>"1578729337013961"</f>
        <v>1578729337013961</v>
      </c>
      <c r="C1899" t="s">
        <v>37</v>
      </c>
      <c r="D1899">
        <v>4.5666890000000002</v>
      </c>
      <c r="E1899">
        <v>0.56953750000000003</v>
      </c>
      <c r="F1899" t="s">
        <v>59</v>
      </c>
      <c r="G1899">
        <v>-260.37540000000001</v>
      </c>
      <c r="H1899" s="1">
        <v>-1.337045E-6</v>
      </c>
      <c r="I1899">
        <v>287.29469999999998</v>
      </c>
      <c r="J1899">
        <v>-217.1097</v>
      </c>
      <c r="K1899">
        <v>1.10317</v>
      </c>
      <c r="L1899">
        <v>285.67899999999997</v>
      </c>
      <c r="M1899">
        <v>-0.98448340000000001</v>
      </c>
      <c r="N1899">
        <v>0</v>
      </c>
      <c r="O1899">
        <v>-0.175016899999999</v>
      </c>
      <c r="P1899">
        <v>-0.98978569999999999</v>
      </c>
      <c r="Q1899">
        <v>1.6280820000000001E-3</v>
      </c>
      <c r="R1899">
        <v>-0.14255409999999999</v>
      </c>
      <c r="S1899">
        <v>-3.048721</v>
      </c>
      <c r="T1899">
        <v>-7.7416059999999995E-2</v>
      </c>
      <c r="U1899">
        <v>0.11138919999999999</v>
      </c>
      <c r="V1899">
        <v>3.2946820000000002E-2</v>
      </c>
      <c r="W1899">
        <v>1.4197649999999999E-2</v>
      </c>
      <c r="X1899">
        <v>0.99935629999999998</v>
      </c>
      <c r="Y1899">
        <v>0.2107388</v>
      </c>
      <c r="Z1899">
        <v>7.1029519999999896E-3</v>
      </c>
      <c r="AA1899">
        <v>0.97751659999999996</v>
      </c>
      <c r="AB1899">
        <v>18</v>
      </c>
      <c r="AC1899">
        <v>-43.265700000000002</v>
      </c>
      <c r="AD1899">
        <v>-1.103171337045</v>
      </c>
      <c r="AE1899">
        <v>1.61569999999994</v>
      </c>
      <c r="AF1899">
        <v>9.1576532508757094</v>
      </c>
      <c r="AG1899">
        <v>-1.103171337045</v>
      </c>
      <c r="AH1899">
        <v>42.287552118243298</v>
      </c>
      <c r="AI1899">
        <v>91.4605184159944</v>
      </c>
      <c r="AJ1899">
        <v>77.780894906279002</v>
      </c>
      <c r="AK1899">
        <v>43.281828337251298</v>
      </c>
    </row>
    <row r="1900" spans="1:37" x14ac:dyDescent="0.2">
      <c r="A1900" t="str">
        <f>"20200111155537049"</f>
        <v>20200111155537049</v>
      </c>
      <c r="B1900" t="str">
        <f>"1578729337044217"</f>
        <v>1578729337044217</v>
      </c>
      <c r="C1900" t="s">
        <v>37</v>
      </c>
      <c r="D1900">
        <v>4.7929690000000003</v>
      </c>
      <c r="E1900">
        <v>0.5708898</v>
      </c>
      <c r="F1900" t="s">
        <v>59</v>
      </c>
      <c r="G1900">
        <v>-272.11040000000003</v>
      </c>
      <c r="H1900" s="1">
        <v>-5.5474529999999996E-7</v>
      </c>
      <c r="I1900">
        <v>287.84190000000001</v>
      </c>
      <c r="J1900">
        <v>-217.2971</v>
      </c>
      <c r="K1900">
        <v>1.103137</v>
      </c>
      <c r="L1900">
        <v>285.6499</v>
      </c>
      <c r="M1900">
        <v>-0.98507960000000006</v>
      </c>
      <c r="N1900">
        <v>0</v>
      </c>
      <c r="O1900">
        <v>-0.1716404</v>
      </c>
      <c r="P1900">
        <v>-0.99019599999999997</v>
      </c>
      <c r="Q1900">
        <v>1.553427E-3</v>
      </c>
      <c r="R1900">
        <v>-0.1396773</v>
      </c>
      <c r="S1900">
        <v>-3.0483250000000002</v>
      </c>
      <c r="T1900">
        <v>-6.114149E-2</v>
      </c>
      <c r="U1900">
        <v>0.11987299999999999</v>
      </c>
      <c r="V1900">
        <v>3.2423E-2</v>
      </c>
      <c r="W1900">
        <v>1.39769E-2</v>
      </c>
      <c r="X1900">
        <v>0.999376499999999</v>
      </c>
      <c r="Y1900">
        <v>0.2101555</v>
      </c>
      <c r="Z1900">
        <v>5.5378600000000004E-3</v>
      </c>
      <c r="AA1900">
        <v>0.97765230000000003</v>
      </c>
      <c r="AB1900">
        <v>18</v>
      </c>
      <c r="AC1900">
        <v>-54.813299999999998</v>
      </c>
      <c r="AD1900">
        <v>-1.1031375547453</v>
      </c>
      <c r="AE1900">
        <v>2.1920000000000002</v>
      </c>
      <c r="AF1900">
        <v>11.563707567347</v>
      </c>
      <c r="AG1900">
        <v>-1.1031375547453</v>
      </c>
      <c r="AH1900">
        <v>53.601782048361002</v>
      </c>
      <c r="AI1900">
        <v>91.152487892860194</v>
      </c>
      <c r="AJ1900">
        <v>77.825948595531599</v>
      </c>
      <c r="AK1900">
        <v>54.846032526772703</v>
      </c>
    </row>
    <row r="1901" spans="1:37" x14ac:dyDescent="0.2">
      <c r="A1901" t="str">
        <f>"20200111155537071"</f>
        <v>20200111155537071</v>
      </c>
      <c r="B1901" t="str">
        <f>"1578729337064715"</f>
        <v>1578729337064715</v>
      </c>
      <c r="C1901" t="s">
        <v>37</v>
      </c>
      <c r="D1901">
        <v>4.6399359999999996</v>
      </c>
      <c r="E1901">
        <v>0.57078669999999998</v>
      </c>
      <c r="F1901" t="s">
        <v>61</v>
      </c>
      <c r="G1901">
        <v>-295.50979999999998</v>
      </c>
      <c r="H1901" s="1">
        <v>2.7796850000000001E-6</v>
      </c>
      <c r="I1901">
        <v>289.23079999999999</v>
      </c>
      <c r="J1901">
        <v>-217.4846</v>
      </c>
      <c r="K1901">
        <v>1.103102</v>
      </c>
      <c r="L1901">
        <v>285.62130000000002</v>
      </c>
      <c r="M1901">
        <v>-0.98566450000000005</v>
      </c>
      <c r="N1901">
        <v>0</v>
      </c>
      <c r="O1901">
        <v>-0.16826389999999999</v>
      </c>
      <c r="P1901">
        <v>-0.990631699999999</v>
      </c>
      <c r="Q1901">
        <v>1.823896E-3</v>
      </c>
      <c r="R1901">
        <v>-0.136548</v>
      </c>
      <c r="S1901">
        <v>-3.04946899999999</v>
      </c>
      <c r="T1901">
        <v>-4.3010590000000001E-2</v>
      </c>
      <c r="U1901">
        <v>0.13961789999999999</v>
      </c>
      <c r="V1901">
        <v>3.2155499999999997E-2</v>
      </c>
      <c r="W1901">
        <v>1.4047459999999999E-2</v>
      </c>
      <c r="X1901">
        <v>0.99938419999999895</v>
      </c>
      <c r="Y1901">
        <v>0.213146999999999</v>
      </c>
      <c r="Z1901">
        <v>3.86811599999999E-3</v>
      </c>
      <c r="AA1901">
        <v>0.97701249999999995</v>
      </c>
      <c r="AB1901">
        <v>18</v>
      </c>
      <c r="AC1901">
        <v>-78.025199999999899</v>
      </c>
      <c r="AD1901">
        <v>-1.1030992203150001</v>
      </c>
      <c r="AE1901">
        <v>3.6094999999999602</v>
      </c>
      <c r="AF1901">
        <v>16.684527369642399</v>
      </c>
      <c r="AG1901">
        <v>-1.1030992203150001</v>
      </c>
      <c r="AH1901">
        <v>76.2899334371983</v>
      </c>
      <c r="AI1901">
        <v>90.809274466737307</v>
      </c>
      <c r="AJ1901">
        <v>77.663704823447304</v>
      </c>
      <c r="AK1901">
        <v>78.100859312112306</v>
      </c>
    </row>
    <row r="1902" spans="1:37" x14ac:dyDescent="0.2">
      <c r="A1902" t="str">
        <f>"20200111155537093"</f>
        <v>20200111155537093</v>
      </c>
      <c r="B1902" t="str">
        <f>"1578729337084233"</f>
        <v>1578729337084233</v>
      </c>
      <c r="C1902" t="s">
        <v>37</v>
      </c>
      <c r="D1902">
        <v>5.4456009999999999</v>
      </c>
      <c r="E1902">
        <v>0.57078669999999998</v>
      </c>
      <c r="F1902" t="s">
        <v>61</v>
      </c>
      <c r="G1902">
        <v>-300.38389999999998</v>
      </c>
      <c r="H1902" s="1">
        <v>3.44432099999999E-6</v>
      </c>
      <c r="I1902">
        <v>289.65899999999999</v>
      </c>
      <c r="J1902">
        <v>-217.65729999999999</v>
      </c>
      <c r="K1902">
        <v>1.103067</v>
      </c>
      <c r="L1902">
        <v>285.59559999999999</v>
      </c>
      <c r="M1902">
        <v>-0.98619159999999995</v>
      </c>
      <c r="N1902">
        <v>0</v>
      </c>
      <c r="O1902">
        <v>-0.16516459999999999</v>
      </c>
      <c r="P1902">
        <v>-0.99104989999999904</v>
      </c>
      <c r="Q1902">
        <v>1.3032339999999999E-3</v>
      </c>
      <c r="R1902">
        <v>-0.1334871</v>
      </c>
      <c r="S1902">
        <v>-3.0489039999999998</v>
      </c>
      <c r="T1902">
        <v>-4.0570259999999997E-2</v>
      </c>
      <c r="U1902">
        <v>0.14849849999999901</v>
      </c>
      <c r="V1902">
        <v>3.2097840000000002E-2</v>
      </c>
      <c r="W1902">
        <v>1.3294129999999999E-2</v>
      </c>
      <c r="X1902">
        <v>0.99939630000000002</v>
      </c>
      <c r="Y1902">
        <v>0.21292749999999999</v>
      </c>
      <c r="Z1902">
        <v>3.6069009999999901E-3</v>
      </c>
      <c r="AA1902">
        <v>0.97706130000000002</v>
      </c>
      <c r="AB1902">
        <v>18</v>
      </c>
      <c r="AC1902">
        <v>-82.726599999999905</v>
      </c>
      <c r="AD1902">
        <v>-1.1030635556790001</v>
      </c>
      <c r="AE1902">
        <v>4.0633999999999997</v>
      </c>
      <c r="AF1902">
        <v>17.668959946650599</v>
      </c>
      <c r="AG1902">
        <v>-1.1030635556790001</v>
      </c>
      <c r="AH1902">
        <v>80.904737626269196</v>
      </c>
      <c r="AI1902">
        <v>90.763143251917796</v>
      </c>
      <c r="AJ1902">
        <v>77.680480929279796</v>
      </c>
      <c r="AK1902">
        <v>82.818992176792804</v>
      </c>
    </row>
    <row r="1903" spans="1:37" x14ac:dyDescent="0.2">
      <c r="A1903" t="str">
        <f>"20200111155537115"</f>
        <v>20200111155537115</v>
      </c>
      <c r="B1903" t="str">
        <f>"1578729337104729"</f>
        <v>1578729337104729</v>
      </c>
      <c r="C1903" t="s">
        <v>37</v>
      </c>
      <c r="D1903">
        <v>5.530551</v>
      </c>
      <c r="E1903">
        <v>0.56876549999999904</v>
      </c>
      <c r="F1903" t="s">
        <v>61</v>
      </c>
      <c r="G1903">
        <v>-296.50170000000003</v>
      </c>
      <c r="H1903" s="1">
        <v>2.91052399999999E-6</v>
      </c>
      <c r="I1903">
        <v>289.68110000000001</v>
      </c>
      <c r="J1903">
        <v>-217.8382</v>
      </c>
      <c r="K1903">
        <v>1.10302099999999</v>
      </c>
      <c r="L1903">
        <v>285.5693</v>
      </c>
      <c r="M1903">
        <v>-0.98673040000000001</v>
      </c>
      <c r="N1903">
        <v>0</v>
      </c>
      <c r="O1903">
        <v>-0.16193479999999999</v>
      </c>
      <c r="P1903">
        <v>-0.99145360000000005</v>
      </c>
      <c r="Q1903">
        <v>9.3336679999999998E-4</v>
      </c>
      <c r="R1903">
        <v>-0.13045670000000001</v>
      </c>
      <c r="S1903">
        <v>-3.0484309999999999</v>
      </c>
      <c r="T1903">
        <v>-4.2648789999999999E-2</v>
      </c>
      <c r="U1903">
        <v>0.15795899999999999</v>
      </c>
      <c r="V1903">
        <v>3.1877320000000001E-2</v>
      </c>
      <c r="W1903">
        <v>1.2644259999999999E-2</v>
      </c>
      <c r="X1903">
        <v>0.99941179999999996</v>
      </c>
      <c r="Y1903">
        <v>0.21275659999999999</v>
      </c>
      <c r="Z1903">
        <v>3.7461249999999999E-3</v>
      </c>
      <c r="AA1903">
        <v>0.97709799999999902</v>
      </c>
      <c r="AB1903">
        <v>18</v>
      </c>
      <c r="AC1903">
        <v>-78.663499999999999</v>
      </c>
      <c r="AD1903">
        <v>-1.10301808947599</v>
      </c>
      <c r="AE1903">
        <v>4.1118000000000103</v>
      </c>
      <c r="AF1903">
        <v>16.793481145724702</v>
      </c>
      <c r="AG1903">
        <v>-1.10301808947599</v>
      </c>
      <c r="AH1903">
        <v>76.944132591004106</v>
      </c>
      <c r="AI1903">
        <v>90.802409881308293</v>
      </c>
      <c r="AJ1903">
        <v>77.687953698714196</v>
      </c>
      <c r="AK1903">
        <v>78.763171584691406</v>
      </c>
    </row>
    <row r="1904" spans="1:37" x14ac:dyDescent="0.2">
      <c r="A1904" t="str">
        <f>"20200111155537137"</f>
        <v>20200111155537137</v>
      </c>
      <c r="B1904" t="str">
        <f>"1578729337133963"</f>
        <v>1578729337133963</v>
      </c>
      <c r="C1904" t="s">
        <v>37</v>
      </c>
      <c r="D1904">
        <v>4.6808620000000003</v>
      </c>
      <c r="E1904">
        <v>0.56713069999999999</v>
      </c>
      <c r="F1904" t="s">
        <v>61</v>
      </c>
      <c r="G1904">
        <v>-290.3612</v>
      </c>
      <c r="H1904" s="1">
        <v>1.8716870000000001E-6</v>
      </c>
      <c r="I1904">
        <v>289.17059999999998</v>
      </c>
      <c r="J1904">
        <v>-218.02269999999999</v>
      </c>
      <c r="K1904">
        <v>1.102976</v>
      </c>
      <c r="L1904">
        <v>285.54289999999997</v>
      </c>
      <c r="M1904">
        <v>-0.98726510000000001</v>
      </c>
      <c r="N1904">
        <v>0</v>
      </c>
      <c r="O1904">
        <v>-0.1586658</v>
      </c>
      <c r="P1904">
        <v>-0.99182459999999995</v>
      </c>
      <c r="Q1904">
        <v>7.9504869999999896E-4</v>
      </c>
      <c r="R1904">
        <v>-0.12760750000000001</v>
      </c>
      <c r="S1904">
        <v>-3.0457919999999898</v>
      </c>
      <c r="T1904">
        <v>-4.6324129999999998E-2</v>
      </c>
      <c r="U1904">
        <v>0.15124509999999999</v>
      </c>
      <c r="V1904">
        <v>3.1436289999999999E-2</v>
      </c>
      <c r="W1904">
        <v>1.2196540000000001E-2</v>
      </c>
      <c r="X1904">
        <v>0.99943130000000002</v>
      </c>
      <c r="Y1904">
        <v>0.20740649999999999</v>
      </c>
      <c r="Z1904">
        <v>3.9825939999999999E-3</v>
      </c>
      <c r="AA1904">
        <v>0.97824669999999903</v>
      </c>
      <c r="AB1904">
        <v>18</v>
      </c>
      <c r="AC1904">
        <v>-72.338499999999996</v>
      </c>
      <c r="AD1904">
        <v>-1.1029741283129999</v>
      </c>
      <c r="AE1904">
        <v>3.6276999999999999</v>
      </c>
      <c r="AF1904">
        <v>15.0566558609043</v>
      </c>
      <c r="AG1904">
        <v>-1.1029741283129999</v>
      </c>
      <c r="AH1904">
        <v>70.829962911641502</v>
      </c>
      <c r="AI1904">
        <v>90.872650124966597</v>
      </c>
      <c r="AJ1904">
        <v>77.999007423905994</v>
      </c>
      <c r="AK1904">
        <v>72.421012722178503</v>
      </c>
    </row>
    <row r="1905" spans="1:37" x14ac:dyDescent="0.2">
      <c r="A1905" t="str">
        <f>"20200111155537160"</f>
        <v>20200111155537160</v>
      </c>
      <c r="B1905" t="str">
        <f>"1578729337154459"</f>
        <v>1578729337154459</v>
      </c>
      <c r="C1905" t="s">
        <v>37</v>
      </c>
      <c r="D1905">
        <v>4.7261220000000002</v>
      </c>
      <c r="E1905">
        <v>0.56626080000000001</v>
      </c>
      <c r="F1905" t="s">
        <v>61</v>
      </c>
      <c r="G1905">
        <v>-286.7783</v>
      </c>
      <c r="H1905" s="1">
        <v>4.5187410000000001E-6</v>
      </c>
      <c r="I1905">
        <v>288.86360000000002</v>
      </c>
      <c r="J1905">
        <v>-218.2089</v>
      </c>
      <c r="K1905">
        <v>1.102932</v>
      </c>
      <c r="L1905">
        <v>285.517</v>
      </c>
      <c r="M1905">
        <v>-0.98778809999999995</v>
      </c>
      <c r="N1905">
        <v>0</v>
      </c>
      <c r="O1905">
        <v>-0.15540119999999999</v>
      </c>
      <c r="P1905">
        <v>-0.99220959999999903</v>
      </c>
      <c r="Q1905">
        <v>1.2043679999999999E-3</v>
      </c>
      <c r="R1905">
        <v>-0.1245747</v>
      </c>
      <c r="S1905">
        <v>-3.043701</v>
      </c>
      <c r="T1905">
        <v>-4.8826809999999998E-2</v>
      </c>
      <c r="U1905">
        <v>0.1470032</v>
      </c>
      <c r="V1905">
        <v>3.1186970000000001E-2</v>
      </c>
      <c r="W1905">
        <v>1.2270919999999999E-2</v>
      </c>
      <c r="X1905">
        <v>0.99943819999999906</v>
      </c>
      <c r="Y1905">
        <v>0.2028392</v>
      </c>
      <c r="Z1905">
        <v>4.1121150000000004E-3</v>
      </c>
      <c r="AA1905">
        <v>0.9792035</v>
      </c>
      <c r="AB1905">
        <v>18</v>
      </c>
      <c r="AC1905">
        <v>-68.569400000000002</v>
      </c>
      <c r="AD1905">
        <v>-1.102927481259</v>
      </c>
      <c r="AE1905">
        <v>3.34660000000002</v>
      </c>
      <c r="AF1905">
        <v>13.9587694700692</v>
      </c>
      <c r="AG1905">
        <v>-1.102927481259</v>
      </c>
      <c r="AH1905">
        <v>67.198832923957497</v>
      </c>
      <c r="AI1905">
        <v>90.920655825296393</v>
      </c>
      <c r="AJ1905">
        <v>78.265208538398795</v>
      </c>
      <c r="AK1905">
        <v>68.642165179206103</v>
      </c>
    </row>
    <row r="1906" spans="1:37" x14ac:dyDescent="0.2">
      <c r="A1906" t="str">
        <f>"20200111155537182"</f>
        <v>20200111155537182</v>
      </c>
      <c r="B1906" t="str">
        <f>"1578729337173979"</f>
        <v>1578729337173979</v>
      </c>
      <c r="C1906" t="s">
        <v>37</v>
      </c>
      <c r="D1906">
        <v>4.728936</v>
      </c>
      <c r="E1906">
        <v>0.56530590000000003</v>
      </c>
      <c r="F1906" t="s">
        <v>61</v>
      </c>
      <c r="G1906">
        <v>-286.827</v>
      </c>
      <c r="H1906" s="1">
        <v>4.4926150000000002E-6</v>
      </c>
      <c r="I1906">
        <v>288.88549999999998</v>
      </c>
      <c r="J1906">
        <v>-218.3946</v>
      </c>
      <c r="K1906">
        <v>1.1028849999999999</v>
      </c>
      <c r="L1906">
        <v>285.49160000000001</v>
      </c>
      <c r="M1906">
        <v>-0.98829319999999898</v>
      </c>
      <c r="N1906">
        <v>0</v>
      </c>
      <c r="O1906">
        <v>-0.1521808</v>
      </c>
      <c r="P1906">
        <v>-0.99255759999999904</v>
      </c>
      <c r="Q1906">
        <v>1.3727259999999999E-3</v>
      </c>
      <c r="R1906">
        <v>-0.121768499999999</v>
      </c>
      <c r="S1906">
        <v>-3.0423740000000001</v>
      </c>
      <c r="T1906">
        <v>-4.8901319999999998E-2</v>
      </c>
      <c r="U1906">
        <v>0.14935299999999899</v>
      </c>
      <c r="V1906">
        <v>3.075404E-2</v>
      </c>
      <c r="W1906">
        <v>1.208831E-2</v>
      </c>
      <c r="X1906">
        <v>0.99945390000000001</v>
      </c>
      <c r="Y1906">
        <v>0.20042199999999999</v>
      </c>
      <c r="Z1906">
        <v>4.0493639999999997E-3</v>
      </c>
      <c r="AA1906">
        <v>0.9797013</v>
      </c>
      <c r="AB1906">
        <v>18</v>
      </c>
      <c r="AC1906">
        <v>-68.432400000000001</v>
      </c>
      <c r="AD1906">
        <v>-1.1028805073850001</v>
      </c>
      <c r="AE1906">
        <v>3.3938999999999702</v>
      </c>
      <c r="AF1906">
        <v>13.765508369098001</v>
      </c>
      <c r="AG1906">
        <v>-1.1028805073850001</v>
      </c>
      <c r="AH1906">
        <v>67.1013484262416</v>
      </c>
      <c r="AI1906">
        <v>90.9224245587301</v>
      </c>
      <c r="AJ1906">
        <v>78.406899332267798</v>
      </c>
      <c r="AK1906">
        <v>68.507638455088795</v>
      </c>
    </row>
    <row r="1907" spans="1:37" x14ac:dyDescent="0.2">
      <c r="A1907" t="str">
        <f>"20200111155537204"</f>
        <v>20200111155537204</v>
      </c>
      <c r="B1907" t="str">
        <f>"1578729337194474"</f>
        <v>1578729337194474</v>
      </c>
      <c r="C1907" t="s">
        <v>37</v>
      </c>
      <c r="D1907">
        <v>4.8182179999999999</v>
      </c>
      <c r="E1907">
        <v>0.56458050000000004</v>
      </c>
      <c r="F1907" t="s">
        <v>61</v>
      </c>
      <c r="G1907">
        <v>-284.20420000000001</v>
      </c>
      <c r="H1907" s="1">
        <v>5.6850620000000002E-6</v>
      </c>
      <c r="I1907">
        <v>288.74349999999998</v>
      </c>
      <c r="J1907">
        <v>-218.57490000000001</v>
      </c>
      <c r="K1907">
        <v>1.1028370000000001</v>
      </c>
      <c r="L1907">
        <v>285.4676</v>
      </c>
      <c r="M1907">
        <v>-0.98876869999999994</v>
      </c>
      <c r="N1907">
        <v>0</v>
      </c>
      <c r="O1907">
        <v>-0.1490851</v>
      </c>
      <c r="P1907">
        <v>-0.99282099999999995</v>
      </c>
      <c r="Q1907">
        <v>1.8286260000000001E-3</v>
      </c>
      <c r="R1907">
        <v>-0.119596699999999</v>
      </c>
      <c r="S1907">
        <v>-3.0410159999999999</v>
      </c>
      <c r="T1907">
        <v>-5.096328E-2</v>
      </c>
      <c r="U1907">
        <v>0.1502686</v>
      </c>
      <c r="V1907">
        <v>2.9810360000000001E-2</v>
      </c>
      <c r="W1907">
        <v>1.22056E-2</v>
      </c>
      <c r="X1907">
        <v>0.99948099999999995</v>
      </c>
      <c r="Y1907">
        <v>0.19766520000000001</v>
      </c>
      <c r="Z1907">
        <v>4.1473619999999999E-3</v>
      </c>
      <c r="AA1907">
        <v>0.98026080000000004</v>
      </c>
      <c r="AB1907">
        <v>19</v>
      </c>
      <c r="AC1907">
        <v>-65.629300000000001</v>
      </c>
      <c r="AD1907">
        <v>-1.102831314938</v>
      </c>
      <c r="AE1907">
        <v>3.2758999999999698</v>
      </c>
      <c r="AF1907">
        <v>13.0205075811987</v>
      </c>
      <c r="AG1907">
        <v>-1.102831314938</v>
      </c>
      <c r="AH1907">
        <v>64.389218625164105</v>
      </c>
      <c r="AI1907">
        <v>90.961778603246799</v>
      </c>
      <c r="AJ1907">
        <v>78.568054995863605</v>
      </c>
      <c r="AK1907">
        <v>65.701760476721205</v>
      </c>
    </row>
    <row r="1908" spans="1:37" x14ac:dyDescent="0.2">
      <c r="A1908" t="str">
        <f>"20200111155537227"</f>
        <v>20200111155537227</v>
      </c>
      <c r="B1908" t="str">
        <f>"1578729337224262"</f>
        <v>1578729337224262</v>
      </c>
      <c r="C1908" t="s">
        <v>37</v>
      </c>
      <c r="D1908">
        <v>4.7667219999999997</v>
      </c>
      <c r="E1908">
        <v>0.56366499999999997</v>
      </c>
      <c r="F1908" t="s">
        <v>61</v>
      </c>
      <c r="G1908">
        <v>-283.72030000000001</v>
      </c>
      <c r="H1908" s="1">
        <v>5.9072650000000003E-6</v>
      </c>
      <c r="I1908">
        <v>288.70670000000001</v>
      </c>
      <c r="J1908">
        <v>-218.76679999999999</v>
      </c>
      <c r="K1908">
        <v>1.1027910000000001</v>
      </c>
      <c r="L1908">
        <v>285.4425</v>
      </c>
      <c r="M1908">
        <v>-0.98925980000000002</v>
      </c>
      <c r="N1908">
        <v>0</v>
      </c>
      <c r="O1908">
        <v>-0.1458178</v>
      </c>
      <c r="P1908">
        <v>-0.99305750000000004</v>
      </c>
      <c r="Q1908">
        <v>2.1933600000000001E-3</v>
      </c>
      <c r="R1908">
        <v>-0.1176098</v>
      </c>
      <c r="S1908">
        <v>-3.040009</v>
      </c>
      <c r="T1908">
        <v>-5.1463599999999998E-2</v>
      </c>
      <c r="U1908">
        <v>0.1511536</v>
      </c>
      <c r="V1908">
        <v>2.8507609999999999E-2</v>
      </c>
      <c r="W1908">
        <v>1.220131E-2</v>
      </c>
      <c r="X1908">
        <v>0.99951909999999899</v>
      </c>
      <c r="Y1908">
        <v>0.19472590000000001</v>
      </c>
      <c r="Z1908">
        <v>4.1096509999999998E-3</v>
      </c>
      <c r="AA1908">
        <v>0.98084910000000003</v>
      </c>
      <c r="AB1908">
        <v>19</v>
      </c>
      <c r="AC1908">
        <v>-64.953500000000005</v>
      </c>
      <c r="AD1908">
        <v>-1.102785092735</v>
      </c>
      <c r="AE1908">
        <v>3.26420000000001</v>
      </c>
      <c r="AF1908">
        <v>12.6975165669639</v>
      </c>
      <c r="AG1908">
        <v>-1.102785092735</v>
      </c>
      <c r="AH1908">
        <v>63.764833690830798</v>
      </c>
      <c r="AI1908">
        <v>90.971731894156306</v>
      </c>
      <c r="AJ1908">
        <v>78.737983849195402</v>
      </c>
      <c r="AK1908">
        <v>65.026126115188504</v>
      </c>
    </row>
    <row r="1909" spans="1:37" x14ac:dyDescent="0.2">
      <c r="A1909" t="str">
        <f>"20200111155537249"</f>
        <v>20200111155537249</v>
      </c>
      <c r="B1909" t="str">
        <f>"1578729337243781"</f>
        <v>1578729337243781</v>
      </c>
      <c r="C1909" t="s">
        <v>37</v>
      </c>
      <c r="D1909">
        <v>4.798743</v>
      </c>
      <c r="E1909">
        <v>0.5631524</v>
      </c>
      <c r="F1909" t="s">
        <v>61</v>
      </c>
      <c r="G1909">
        <v>-283.36939999999998</v>
      </c>
      <c r="H1909" s="1">
        <v>6.0789919999999902E-6</v>
      </c>
      <c r="I1909">
        <v>288.62869999999998</v>
      </c>
      <c r="J1909">
        <v>-218.95750000000001</v>
      </c>
      <c r="K1909">
        <v>1.1027370000000001</v>
      </c>
      <c r="L1909">
        <v>285.41829999999999</v>
      </c>
      <c r="M1909">
        <v>-0.98973359999999899</v>
      </c>
      <c r="N1909">
        <v>0</v>
      </c>
      <c r="O1909">
        <v>-0.14259449999999901</v>
      </c>
      <c r="P1909">
        <v>-0.99333359999999904</v>
      </c>
      <c r="Q1909">
        <v>3.2845750000000001E-3</v>
      </c>
      <c r="R1909">
        <v>-0.11523019999999901</v>
      </c>
      <c r="S1909">
        <v>-3.038818</v>
      </c>
      <c r="T1909">
        <v>-5.1873559999999999E-2</v>
      </c>
      <c r="U1909">
        <v>0.149871799999999</v>
      </c>
      <c r="V1909">
        <v>2.764819E-2</v>
      </c>
      <c r="W1909">
        <v>1.289362E-2</v>
      </c>
      <c r="X1909">
        <v>0.99953449999999899</v>
      </c>
      <c r="Y1909">
        <v>0.19113550000000001</v>
      </c>
      <c r="Z1909">
        <v>4.0587469999999997E-3</v>
      </c>
      <c r="AA1909">
        <v>0.98155530000000002</v>
      </c>
      <c r="AB1909">
        <v>19</v>
      </c>
      <c r="AC1909">
        <v>-64.411899999999903</v>
      </c>
      <c r="AD1909">
        <v>-1.1027309210080001</v>
      </c>
      <c r="AE1909">
        <v>3.2103999999999902</v>
      </c>
      <c r="AF1909">
        <v>12.359192356907201</v>
      </c>
      <c r="AG1909">
        <v>-1.1027309210080001</v>
      </c>
      <c r="AH1909">
        <v>63.277317652077301</v>
      </c>
      <c r="AI1909">
        <v>90.9798777999886</v>
      </c>
      <c r="AJ1909">
        <v>78.948245333024005</v>
      </c>
      <c r="AK1909">
        <v>64.482436216702197</v>
      </c>
    </row>
    <row r="1910" spans="1:37" x14ac:dyDescent="0.2">
      <c r="A1910" t="str">
        <f>"20200111155537272"</f>
        <v>20200111155537272</v>
      </c>
      <c r="B1910" t="str">
        <f>"1578729337264277"</f>
        <v>1578729337264277</v>
      </c>
      <c r="C1910" t="s">
        <v>37</v>
      </c>
      <c r="D1910">
        <v>4.6581140000000003</v>
      </c>
      <c r="E1910">
        <v>0.56245059999999902</v>
      </c>
      <c r="F1910" t="s">
        <v>61</v>
      </c>
      <c r="G1910">
        <v>-286.0299</v>
      </c>
      <c r="H1910" s="1">
        <v>4.8642309999999997E-6</v>
      </c>
      <c r="I1910">
        <v>288.7978</v>
      </c>
      <c r="J1910">
        <v>-219.1516</v>
      </c>
      <c r="K1910">
        <v>1.102671</v>
      </c>
      <c r="L1910">
        <v>285.39420000000001</v>
      </c>
      <c r="M1910">
        <v>-0.99020219999999903</v>
      </c>
      <c r="N1910">
        <v>0</v>
      </c>
      <c r="O1910">
        <v>-0.13933319999999999</v>
      </c>
      <c r="P1910">
        <v>-0.9936507</v>
      </c>
      <c r="Q1910">
        <v>5.0763520000000001E-3</v>
      </c>
      <c r="R1910">
        <v>-0.1123958</v>
      </c>
      <c r="S1910">
        <v>-3.0380549999999999</v>
      </c>
      <c r="T1910">
        <v>-4.9948449999999998E-2</v>
      </c>
      <c r="U1910">
        <v>0.1530762</v>
      </c>
      <c r="V1910">
        <v>2.7210850000000002E-2</v>
      </c>
      <c r="W1910">
        <v>1.4235319999999999E-2</v>
      </c>
      <c r="X1910">
        <v>0.99952830000000004</v>
      </c>
      <c r="Y1910">
        <v>0.1889499</v>
      </c>
      <c r="Z1910">
        <v>3.8378259999999999E-3</v>
      </c>
      <c r="AA1910">
        <v>0.9819793</v>
      </c>
      <c r="AB1910">
        <v>19</v>
      </c>
      <c r="AC1910">
        <v>-66.878299999999996</v>
      </c>
      <c r="AD1910">
        <v>-1.102666135769</v>
      </c>
      <c r="AE1910">
        <v>3.40359999999998</v>
      </c>
      <c r="AF1910">
        <v>12.685724918253101</v>
      </c>
      <c r="AG1910">
        <v>-1.102666135769</v>
      </c>
      <c r="AH1910">
        <v>65.733805082268006</v>
      </c>
      <c r="AI1910">
        <v>90.943622356709994</v>
      </c>
      <c r="AJ1910">
        <v>79.076982034573703</v>
      </c>
      <c r="AK1910">
        <v>66.955781079023794</v>
      </c>
    </row>
    <row r="1911" spans="1:37" x14ac:dyDescent="0.2">
      <c r="A1911" t="str">
        <f>"20200111155537294"</f>
        <v>20200111155537294</v>
      </c>
      <c r="B1911" t="str">
        <f>"1578729337284773"</f>
        <v>1578729337284773</v>
      </c>
      <c r="C1911" t="s">
        <v>37</v>
      </c>
      <c r="D1911">
        <v>4.8880839999999903</v>
      </c>
      <c r="E1911">
        <v>0.56176369999999998</v>
      </c>
      <c r="F1911" t="s">
        <v>61</v>
      </c>
      <c r="G1911">
        <v>-292.75900000000001</v>
      </c>
      <c r="H1911" s="1">
        <v>2.296088E-6</v>
      </c>
      <c r="I1911">
        <v>289.18110000000001</v>
      </c>
      <c r="J1911">
        <v>-219.33629999999999</v>
      </c>
      <c r="K1911">
        <v>1.1026069999999999</v>
      </c>
      <c r="L1911">
        <v>285.37180000000001</v>
      </c>
      <c r="M1911">
        <v>-0.9906353</v>
      </c>
      <c r="N1911">
        <v>0</v>
      </c>
      <c r="O1911">
        <v>-0.13625090000000001</v>
      </c>
      <c r="P1911">
        <v>-0.99394819999999995</v>
      </c>
      <c r="Q1911">
        <v>6.880939E-3</v>
      </c>
      <c r="R1911">
        <v>-0.10963639999999999</v>
      </c>
      <c r="S1911">
        <v>-3.037048</v>
      </c>
      <c r="T1911">
        <v>-4.5496229999999999E-2</v>
      </c>
      <c r="U1911">
        <v>0.15625</v>
      </c>
      <c r="V1911">
        <v>2.6879030000000002E-2</v>
      </c>
      <c r="W1911">
        <v>1.5579849999999999E-2</v>
      </c>
      <c r="X1911">
        <v>0.99951730000000005</v>
      </c>
      <c r="Y1911">
        <v>0.18694089999999999</v>
      </c>
      <c r="Z1911">
        <v>3.4359439999999998E-3</v>
      </c>
      <c r="AA1911">
        <v>0.98236509999999999</v>
      </c>
      <c r="AB1911">
        <v>19</v>
      </c>
      <c r="AC1911">
        <v>-73.422700000000006</v>
      </c>
      <c r="AD1911">
        <v>-1.1026047039119999</v>
      </c>
      <c r="AE1911">
        <v>3.8092999999999999</v>
      </c>
      <c r="AF1911">
        <v>13.7749710397964</v>
      </c>
      <c r="AG1911">
        <v>-1.1026047039119999</v>
      </c>
      <c r="AH1911">
        <v>72.202653416756405</v>
      </c>
      <c r="AI1911">
        <v>90.859396349273894</v>
      </c>
      <c r="AJ1911">
        <v>79.198791554828304</v>
      </c>
      <c r="AK1911">
        <v>73.513187420357198</v>
      </c>
    </row>
    <row r="1912" spans="1:37" x14ac:dyDescent="0.2">
      <c r="A1912" t="str">
        <f>"20200111155537315"</f>
        <v>20200111155537315</v>
      </c>
      <c r="B1912" t="str">
        <f>"1578729337304293"</f>
        <v>1578729337304293</v>
      </c>
      <c r="C1912" t="s">
        <v>37</v>
      </c>
      <c r="D1912">
        <v>4.8078560000000001</v>
      </c>
      <c r="E1912">
        <v>0.56123500000000004</v>
      </c>
      <c r="F1912" t="s">
        <v>61</v>
      </c>
      <c r="G1912">
        <v>-301.56079999999997</v>
      </c>
      <c r="H1912" s="1">
        <v>3.2277419999999999E-6</v>
      </c>
      <c r="I1912">
        <v>289.68110000000001</v>
      </c>
      <c r="J1912">
        <v>-219.51499999999999</v>
      </c>
      <c r="K1912">
        <v>1.1025370000000001</v>
      </c>
      <c r="L1912">
        <v>285.35070000000002</v>
      </c>
      <c r="M1912">
        <v>-0.99104139999999996</v>
      </c>
      <c r="N1912">
        <v>0</v>
      </c>
      <c r="O1912">
        <v>-0.13329479999999999</v>
      </c>
      <c r="P1912">
        <v>-0.99433850000000001</v>
      </c>
      <c r="Q1912">
        <v>7.7559919999999997E-3</v>
      </c>
      <c r="R1912">
        <v>-0.1059759</v>
      </c>
      <c r="S1912">
        <v>-3.0361020000000001</v>
      </c>
      <c r="T1912">
        <v>-4.0713190000000003E-2</v>
      </c>
      <c r="U1912">
        <v>0.1591187</v>
      </c>
      <c r="V1912">
        <v>2.7577730000000002E-2</v>
      </c>
      <c r="W1912">
        <v>1.5991310000000002E-2</v>
      </c>
      <c r="X1912">
        <v>0.99949179999999904</v>
      </c>
      <c r="Y1912">
        <v>0.18495819999999999</v>
      </c>
      <c r="Z1912">
        <v>3.0229670000000001E-3</v>
      </c>
      <c r="AA1912">
        <v>0.98274169999999905</v>
      </c>
      <c r="AB1912">
        <v>19</v>
      </c>
      <c r="AC1912">
        <v>-82.0457999999999</v>
      </c>
      <c r="AD1912">
        <v>-1.102533772258</v>
      </c>
      <c r="AE1912">
        <v>4.3303999999999903</v>
      </c>
      <c r="AF1912">
        <v>15.225671095604699</v>
      </c>
      <c r="AG1912">
        <v>-1.102533772258</v>
      </c>
      <c r="AH1912">
        <v>80.7218315983623</v>
      </c>
      <c r="AI1912">
        <v>90.768964383902599</v>
      </c>
      <c r="AJ1912">
        <v>79.318420817880195</v>
      </c>
      <c r="AK1912">
        <v>82.152606395809897</v>
      </c>
    </row>
    <row r="1913" spans="1:37" x14ac:dyDescent="0.2">
      <c r="A1913" t="str">
        <f>"20200111155537339"</f>
        <v>20200111155537339</v>
      </c>
      <c r="B1913" t="str">
        <f>"1578729337334549"</f>
        <v>1578729337334549</v>
      </c>
      <c r="C1913" t="s">
        <v>37</v>
      </c>
      <c r="D1913">
        <v>4.6919170000000001</v>
      </c>
      <c r="E1913">
        <v>0.56065240000000005</v>
      </c>
      <c r="F1913" t="s">
        <v>61</v>
      </c>
      <c r="G1913">
        <v>-305.63580000000002</v>
      </c>
      <c r="H1913" s="1">
        <v>2.37016099999999E-6</v>
      </c>
      <c r="I1913">
        <v>290.06229999999999</v>
      </c>
      <c r="J1913">
        <v>-219.72280000000001</v>
      </c>
      <c r="K1913">
        <v>1.102465</v>
      </c>
      <c r="L1913">
        <v>285.32670000000002</v>
      </c>
      <c r="M1913">
        <v>-0.9914982</v>
      </c>
      <c r="N1913">
        <v>0</v>
      </c>
      <c r="O1913">
        <v>-0.1298868</v>
      </c>
      <c r="P1913">
        <v>-0.99470000000000003</v>
      </c>
      <c r="Q1913">
        <v>8.0967090000000005E-3</v>
      </c>
      <c r="R1913">
        <v>-0.10250289999999999</v>
      </c>
      <c r="S1913">
        <v>-3.0350799999999998</v>
      </c>
      <c r="T1913">
        <v>-3.8855670000000002E-2</v>
      </c>
      <c r="U1913">
        <v>0.1660461</v>
      </c>
      <c r="V1913">
        <v>2.7630209999999999E-2</v>
      </c>
      <c r="W1913">
        <v>1.5788679999999999E-2</v>
      </c>
      <c r="X1913">
        <v>0.99949349999999904</v>
      </c>
      <c r="Y1913">
        <v>0.18383559999999999</v>
      </c>
      <c r="Z1913">
        <v>2.83534E-3</v>
      </c>
      <c r="AA1913">
        <v>0.98295290000000002</v>
      </c>
      <c r="AB1913">
        <v>19</v>
      </c>
      <c r="AC1913">
        <v>-85.912999999999997</v>
      </c>
      <c r="AD1913">
        <v>-1.1024626298389999</v>
      </c>
      <c r="AE1913">
        <v>4.7355999999999696</v>
      </c>
      <c r="AF1913">
        <v>15.8521825853956</v>
      </c>
      <c r="AG1913">
        <v>-1.1024626298389999</v>
      </c>
      <c r="AH1913">
        <v>84.556179752957405</v>
      </c>
      <c r="AI1913">
        <v>90.734203388290894</v>
      </c>
      <c r="AJ1913">
        <v>79.381720107399104</v>
      </c>
      <c r="AK1913">
        <v>86.036356565032193</v>
      </c>
    </row>
    <row r="1914" spans="1:37" x14ac:dyDescent="0.2">
      <c r="A1914" t="str">
        <f>"20200111155537352"</f>
        <v>20200111155537352</v>
      </c>
      <c r="B1914" t="str">
        <f>"1578729337344309"</f>
        <v>1578729337344309</v>
      </c>
      <c r="C1914" t="s">
        <v>37</v>
      </c>
      <c r="D1914">
        <v>4.8283629999999897</v>
      </c>
      <c r="E1914">
        <v>0.56035970000000002</v>
      </c>
      <c r="F1914" t="s">
        <v>61</v>
      </c>
      <c r="G1914">
        <v>-304.98430000000002</v>
      </c>
      <c r="H1914" s="1">
        <v>2.4514450000000001E-6</v>
      </c>
      <c r="I1914">
        <v>290.1592</v>
      </c>
      <c r="J1914">
        <v>-219.8467</v>
      </c>
      <c r="K1914">
        <v>1.1024259999999999</v>
      </c>
      <c r="L1914">
        <v>285.31270000000001</v>
      </c>
      <c r="M1914">
        <v>-0.99176160000000002</v>
      </c>
      <c r="N1914">
        <v>0</v>
      </c>
      <c r="O1914">
        <v>-0.127879399999999</v>
      </c>
      <c r="P1914">
        <v>-0.99492729999999996</v>
      </c>
      <c r="Q1914">
        <v>8.4660669999999903E-3</v>
      </c>
      <c r="R1914">
        <v>-0.10023989999999899</v>
      </c>
      <c r="S1914">
        <v>-3.0340419999999999</v>
      </c>
      <c r="T1914">
        <v>-3.9231299999999997E-2</v>
      </c>
      <c r="U1914">
        <v>0.1719666</v>
      </c>
      <c r="V1914">
        <v>2.7879979999999999E-2</v>
      </c>
      <c r="W1914">
        <v>1.5833969999999999E-2</v>
      </c>
      <c r="X1914">
        <v>0.99948590000000004</v>
      </c>
      <c r="Y1914">
        <v>0.18377569999999999</v>
      </c>
      <c r="Z1914">
        <v>2.8374149999999998E-3</v>
      </c>
      <c r="AA1914">
        <v>0.98296410000000001</v>
      </c>
      <c r="AB1914">
        <v>19</v>
      </c>
      <c r="AC1914">
        <v>-85.137600000000006</v>
      </c>
      <c r="AD1914">
        <v>-1.102423548555</v>
      </c>
      <c r="AE1914">
        <v>4.84649999999999</v>
      </c>
      <c r="AF1914">
        <v>15.6917330556648</v>
      </c>
      <c r="AG1914">
        <v>-1.102423548555</v>
      </c>
      <c r="AH1914">
        <v>83.804766830854405</v>
      </c>
      <c r="AI1914">
        <v>90.740790758915495</v>
      </c>
      <c r="AJ1914">
        <v>79.394651484655995</v>
      </c>
      <c r="AK1914">
        <v>85.268310453207206</v>
      </c>
    </row>
    <row r="1915" spans="1:37" x14ac:dyDescent="0.2">
      <c r="A1915" t="str">
        <f>"20200111155537371"</f>
        <v>20200111155537371</v>
      </c>
      <c r="B1915" t="str">
        <f>"1578729337363830"</f>
        <v>1578729337363830</v>
      </c>
      <c r="C1915" t="s">
        <v>37</v>
      </c>
      <c r="D1915">
        <v>4.6821449999999896</v>
      </c>
      <c r="E1915">
        <v>0.55975909999999995</v>
      </c>
      <c r="F1915" t="s">
        <v>61</v>
      </c>
      <c r="G1915">
        <v>-306.51429999999999</v>
      </c>
      <c r="H1915" s="1">
        <v>2.109902E-6</v>
      </c>
      <c r="I1915">
        <v>290.35770000000002</v>
      </c>
      <c r="J1915">
        <v>-220.01419999999999</v>
      </c>
      <c r="K1915">
        <v>1.102366</v>
      </c>
      <c r="L1915">
        <v>285.29419999999999</v>
      </c>
      <c r="M1915">
        <v>-0.99210830000000005</v>
      </c>
      <c r="N1915">
        <v>0</v>
      </c>
      <c r="O1915">
        <v>-0.12518550000000001</v>
      </c>
      <c r="P1915">
        <v>-0.99525699999999995</v>
      </c>
      <c r="Q1915">
        <v>9.4655969999999992E-3</v>
      </c>
      <c r="R1915">
        <v>-9.6819619999999995E-2</v>
      </c>
      <c r="S1915">
        <v>-3.033401</v>
      </c>
      <c r="T1915">
        <v>-3.8585309999999998E-2</v>
      </c>
      <c r="U1915">
        <v>0.1765747</v>
      </c>
      <c r="V1915">
        <v>2.860184E-2</v>
      </c>
      <c r="W1915">
        <v>1.6403239999999999E-2</v>
      </c>
      <c r="X1915">
        <v>0.99945629999999996</v>
      </c>
      <c r="Y1915">
        <v>0.18260679999999899</v>
      </c>
      <c r="Z1915">
        <v>2.7496779999999898E-3</v>
      </c>
      <c r="AA1915">
        <v>0.98318220000000001</v>
      </c>
      <c r="AB1915">
        <v>19</v>
      </c>
      <c r="AC1915">
        <v>-86.500100000000003</v>
      </c>
      <c r="AD1915">
        <v>-1.102363890098</v>
      </c>
      <c r="AE1915">
        <v>5.0635000000000296</v>
      </c>
      <c r="AF1915">
        <v>15.8499272579053</v>
      </c>
      <c r="AG1915">
        <v>-1.102363890098</v>
      </c>
      <c r="AH1915">
        <v>85.171922109505999</v>
      </c>
      <c r="AI1915">
        <v>90.729012607349105</v>
      </c>
      <c r="AJ1915">
        <v>79.458223119117307</v>
      </c>
      <c r="AK1915">
        <v>86.6411664052074</v>
      </c>
    </row>
    <row r="1916" spans="1:37" x14ac:dyDescent="0.2">
      <c r="A1916" t="str">
        <f>"20200111155537388"</f>
        <v>20200111155537388</v>
      </c>
      <c r="B1916" t="str">
        <f>"1578729337384325"</f>
        <v>1578729337384325</v>
      </c>
      <c r="C1916" t="s">
        <v>37</v>
      </c>
      <c r="D1916">
        <v>4.697832</v>
      </c>
      <c r="E1916">
        <v>0.55901460000000003</v>
      </c>
      <c r="F1916" t="s">
        <v>61</v>
      </c>
      <c r="G1916">
        <v>-307.0924</v>
      </c>
      <c r="H1916" s="1">
        <v>1.9499959999999999E-6</v>
      </c>
      <c r="I1916">
        <v>290.51990000000001</v>
      </c>
      <c r="J1916">
        <v>-220.15209999999999</v>
      </c>
      <c r="K1916">
        <v>1.1023229999999999</v>
      </c>
      <c r="L1916">
        <v>285.27929999999998</v>
      </c>
      <c r="M1916">
        <v>-0.99238530000000003</v>
      </c>
      <c r="N1916">
        <v>0</v>
      </c>
      <c r="O1916">
        <v>-0.1229898</v>
      </c>
      <c r="P1916">
        <v>-0.99546129999999999</v>
      </c>
      <c r="Q1916">
        <v>9.9046569999999903E-3</v>
      </c>
      <c r="R1916">
        <v>-9.4652819999999999E-2</v>
      </c>
      <c r="S1916">
        <v>-3.0323639999999998</v>
      </c>
      <c r="T1916">
        <v>-3.8388129999999999E-2</v>
      </c>
      <c r="U1916">
        <v>0.18197629999999901</v>
      </c>
      <c r="V1916">
        <v>2.8565839999999999E-2</v>
      </c>
      <c r="W1916">
        <v>1.6497649999999999E-2</v>
      </c>
      <c r="X1916">
        <v>0.99945569999999895</v>
      </c>
      <c r="Y1916">
        <v>0.1821961</v>
      </c>
      <c r="Z1916">
        <v>2.7062029999999999E-3</v>
      </c>
      <c r="AA1916">
        <v>0.98325849999999904</v>
      </c>
      <c r="AB1916">
        <v>20</v>
      </c>
      <c r="AC1916">
        <v>-86.940299999999993</v>
      </c>
      <c r="AD1916">
        <v>-1.1023210500039999</v>
      </c>
      <c r="AE1916">
        <v>5.2406000000000201</v>
      </c>
      <c r="AF1916">
        <v>15.8912761255808</v>
      </c>
      <c r="AG1916">
        <v>-1.1023210500039999</v>
      </c>
      <c r="AH1916">
        <v>85.621944359657704</v>
      </c>
      <c r="AI1916">
        <v>90.725217705563907</v>
      </c>
      <c r="AJ1916">
        <v>79.485646990530498</v>
      </c>
      <c r="AK1916">
        <v>87.091131147350794</v>
      </c>
    </row>
    <row r="1917" spans="1:37" x14ac:dyDescent="0.2">
      <c r="A1917" t="str">
        <f>"20200111155537405"</f>
        <v>20200111155537405</v>
      </c>
      <c r="B1917" t="str">
        <f>"1578729337394085"</f>
        <v>1578729337394085</v>
      </c>
      <c r="C1917" t="s">
        <v>37</v>
      </c>
      <c r="D1917">
        <v>4.7339219999999997</v>
      </c>
      <c r="E1917">
        <v>0.55862939999999905</v>
      </c>
      <c r="F1917" t="s">
        <v>61</v>
      </c>
      <c r="G1917">
        <v>-303.08229999999998</v>
      </c>
      <c r="H1917" s="1">
        <v>2.748438E-6</v>
      </c>
      <c r="I1917">
        <v>290.27350000000001</v>
      </c>
      <c r="J1917">
        <v>-220.3167</v>
      </c>
      <c r="K1917">
        <v>1.1022730000000001</v>
      </c>
      <c r="L1917">
        <v>285.26179999999999</v>
      </c>
      <c r="M1917">
        <v>-0.99270609999999904</v>
      </c>
      <c r="N1917">
        <v>0</v>
      </c>
      <c r="O1917">
        <v>-0.1203964</v>
      </c>
      <c r="P1917">
        <v>-0.99573389999999995</v>
      </c>
      <c r="Q1917">
        <v>1.070423E-2</v>
      </c>
      <c r="R1917">
        <v>-9.1650629999999997E-2</v>
      </c>
      <c r="S1917">
        <v>-3.0314179999999999</v>
      </c>
      <c r="T1917">
        <v>-4.0294049999999998E-2</v>
      </c>
      <c r="U1917">
        <v>0.1825562</v>
      </c>
      <c r="V1917">
        <v>2.8968339999999999E-2</v>
      </c>
      <c r="W1917">
        <v>1.688812E-2</v>
      </c>
      <c r="X1917">
        <v>0.99943760000000004</v>
      </c>
      <c r="Y1917">
        <v>0.17982979999999901</v>
      </c>
      <c r="Z1917">
        <v>2.791399E-3</v>
      </c>
      <c r="AA1917">
        <v>0.98369379999999995</v>
      </c>
      <c r="AB1917">
        <v>20</v>
      </c>
      <c r="AC1917">
        <v>-82.765599999999907</v>
      </c>
      <c r="AD1917">
        <v>-1.102270251562</v>
      </c>
      <c r="AE1917">
        <v>5.01170000000001</v>
      </c>
      <c r="AF1917">
        <v>14.937479306564599</v>
      </c>
      <c r="AG1917">
        <v>-1.102270251562</v>
      </c>
      <c r="AH1917">
        <v>81.545717464470997</v>
      </c>
      <c r="AI1917">
        <v>90.761758404986907</v>
      </c>
      <c r="AJ1917">
        <v>79.619686421446701</v>
      </c>
      <c r="AK1917">
        <v>82.909874710656993</v>
      </c>
    </row>
    <row r="1918" spans="1:37" x14ac:dyDescent="0.2">
      <c r="A1918" t="str">
        <f>"20200111155537429"</f>
        <v>20200111155537429</v>
      </c>
      <c r="B1918" t="str">
        <f>"1578729337423872"</f>
        <v>1578729337423872</v>
      </c>
      <c r="C1918" t="s">
        <v>37</v>
      </c>
      <c r="D1918">
        <v>4.6866009999999996</v>
      </c>
      <c r="E1918">
        <v>0.53383729999999996</v>
      </c>
      <c r="F1918" t="s">
        <v>61</v>
      </c>
      <c r="G1918">
        <v>-304.26330000000002</v>
      </c>
      <c r="H1918" s="1">
        <v>2.4647540000000001E-6</v>
      </c>
      <c r="I1918">
        <v>290.48340000000002</v>
      </c>
      <c r="J1918">
        <v>-220.5205</v>
      </c>
      <c r="K1918">
        <v>1.102214</v>
      </c>
      <c r="L1918">
        <v>285.2407</v>
      </c>
      <c r="M1918">
        <v>-0.99308779999999997</v>
      </c>
      <c r="N1918">
        <v>0</v>
      </c>
      <c r="O1918">
        <v>-0.1172308</v>
      </c>
      <c r="P1918">
        <v>-0.99603090000000005</v>
      </c>
      <c r="Q1918">
        <v>1.122181E-2</v>
      </c>
      <c r="R1918">
        <v>-8.8297959999999995E-2</v>
      </c>
      <c r="S1918">
        <v>-3.030624</v>
      </c>
      <c r="T1918">
        <v>-3.9793969999999998E-2</v>
      </c>
      <c r="U1918">
        <v>0.18850710000000001</v>
      </c>
      <c r="V1918">
        <v>2.914574E-2</v>
      </c>
      <c r="W1918">
        <v>1.6903850000000002E-2</v>
      </c>
      <c r="X1918">
        <v>0.99943219999999999</v>
      </c>
      <c r="Y1918">
        <v>0.17863389999999901</v>
      </c>
      <c r="Z1918">
        <v>2.7081329999999902E-3</v>
      </c>
      <c r="AA1918">
        <v>0.98391189999999995</v>
      </c>
      <c r="AB1918">
        <v>20</v>
      </c>
      <c r="AC1918">
        <v>-83.742800000000003</v>
      </c>
      <c r="AD1918">
        <v>-1.102211535246</v>
      </c>
      <c r="AE1918">
        <v>5.2427000000000099</v>
      </c>
      <c r="AF1918">
        <v>15.0213568975648</v>
      </c>
      <c r="AG1918">
        <v>-1.102211535246</v>
      </c>
      <c r="AH1918">
        <v>82.536489992685503</v>
      </c>
      <c r="AI1918">
        <v>90.752732451455898</v>
      </c>
      <c r="AJ1918">
        <v>79.685260814009197</v>
      </c>
      <c r="AK1918">
        <v>83.899512594681596</v>
      </c>
    </row>
    <row r="1919" spans="1:37" x14ac:dyDescent="0.2">
      <c r="A1919" t="str">
        <f>"20200111155537451"</f>
        <v>20200111155537451</v>
      </c>
      <c r="B1919" t="str">
        <f>"1578729337444369"</f>
        <v>1578729337444369</v>
      </c>
      <c r="C1919" t="s">
        <v>37</v>
      </c>
      <c r="D1919">
        <v>4.8275319999999997</v>
      </c>
      <c r="E1919">
        <v>0.53168909999999903</v>
      </c>
      <c r="F1919" t="s">
        <v>59</v>
      </c>
      <c r="G1919">
        <v>-244.67740000000001</v>
      </c>
      <c r="H1919" s="1">
        <v>9.5226389999999999E-7</v>
      </c>
      <c r="I1919">
        <v>285.22989999999999</v>
      </c>
      <c r="J1919">
        <v>-220.726</v>
      </c>
      <c r="K1919">
        <v>1.1021590000000001</v>
      </c>
      <c r="L1919">
        <v>285.22000000000003</v>
      </c>
      <c r="M1919">
        <v>-0.99345550000000005</v>
      </c>
      <c r="N1919">
        <v>0</v>
      </c>
      <c r="O1919">
        <v>-0.114097</v>
      </c>
      <c r="P1919">
        <v>-0.99631979999999998</v>
      </c>
      <c r="Q1919">
        <v>1.1997829999999999E-2</v>
      </c>
      <c r="R1919">
        <v>-8.4870470000000003E-2</v>
      </c>
      <c r="S1919">
        <v>-3.013382</v>
      </c>
      <c r="T1919">
        <v>-0.1374928</v>
      </c>
      <c r="U1919">
        <v>-1.34277299999999E-3</v>
      </c>
      <c r="V1919">
        <v>2.9431059999999998E-2</v>
      </c>
      <c r="W1919">
        <v>1.718658E-2</v>
      </c>
      <c r="X1919">
        <v>0.99941899999999995</v>
      </c>
      <c r="Y1919">
        <v>0.1134196</v>
      </c>
      <c r="Z1919">
        <v>7.7809359999999996E-3</v>
      </c>
      <c r="AA1919">
        <v>0.99351669999999903</v>
      </c>
      <c r="AB1919">
        <v>20</v>
      </c>
      <c r="AC1919">
        <v>-23.9514</v>
      </c>
      <c r="AD1919">
        <v>-1.1021580477360999</v>
      </c>
      <c r="AE1919">
        <v>9.8999999999591602E-3</v>
      </c>
      <c r="AF1919">
        <v>2.7368612168606301</v>
      </c>
      <c r="AG1919">
        <v>-1.1021580477360999</v>
      </c>
      <c r="AH1919">
        <v>23.743576835717601</v>
      </c>
      <c r="AI1919">
        <v>92.640259789907404</v>
      </c>
      <c r="AJ1919">
        <v>83.424681121155601</v>
      </c>
      <c r="AK1919">
        <v>23.926190725566201</v>
      </c>
    </row>
    <row r="1920" spans="1:37" x14ac:dyDescent="0.2">
      <c r="A1920" t="str">
        <f>"20200111155537473"</f>
        <v>20200111155537473</v>
      </c>
      <c r="B1920" t="str">
        <f>"1578729337463888"</f>
        <v>1578729337463888</v>
      </c>
      <c r="C1920" t="s">
        <v>37</v>
      </c>
      <c r="D1920">
        <v>4.7308250000000003</v>
      </c>
      <c r="E1920">
        <v>0.53164040000000001</v>
      </c>
      <c r="F1920" t="s">
        <v>59</v>
      </c>
      <c r="G1920">
        <v>-247.28229999999999</v>
      </c>
      <c r="H1920" s="1">
        <v>2.3384770000000001E-6</v>
      </c>
      <c r="I1920">
        <v>285.14870000000002</v>
      </c>
      <c r="J1920">
        <v>-220.92959999999999</v>
      </c>
      <c r="K1920">
        <v>1.102112</v>
      </c>
      <c r="L1920">
        <v>285.2</v>
      </c>
      <c r="M1920">
        <v>-0.99380199999999996</v>
      </c>
      <c r="N1920">
        <v>0</v>
      </c>
      <c r="O1920">
        <v>-0.111059199999999</v>
      </c>
      <c r="P1920">
        <v>-0.99659200000000003</v>
      </c>
      <c r="Q1920">
        <v>1.273791E-2</v>
      </c>
      <c r="R1920">
        <v>-8.149961E-2</v>
      </c>
      <c r="S1920">
        <v>-3.0119020000000001</v>
      </c>
      <c r="T1920">
        <v>-0.1250021</v>
      </c>
      <c r="U1920">
        <v>-8.0871580000000005E-3</v>
      </c>
      <c r="V1920">
        <v>2.975585E-2</v>
      </c>
      <c r="W1920">
        <v>1.7456900000000001E-2</v>
      </c>
      <c r="X1920">
        <v>0.99940469999999904</v>
      </c>
      <c r="Y1920">
        <v>0.1082032</v>
      </c>
      <c r="Z1920">
        <v>6.8443949999999996E-3</v>
      </c>
      <c r="AA1920">
        <v>0.99410520000000002</v>
      </c>
      <c r="AB1920">
        <v>20</v>
      </c>
      <c r="AC1920">
        <v>-26.352699999999999</v>
      </c>
      <c r="AD1920">
        <v>-1.1021096615229999</v>
      </c>
      <c r="AE1920">
        <v>-5.1299999999969197E-2</v>
      </c>
      <c r="AF1920">
        <v>2.8707404231113798</v>
      </c>
      <c r="AG1920">
        <v>-1.1021096615229999</v>
      </c>
      <c r="AH1920">
        <v>26.1496337550434</v>
      </c>
      <c r="AI1920">
        <v>92.398979521861804</v>
      </c>
      <c r="AJ1920">
        <v>83.735083374354701</v>
      </c>
      <c r="AK1920">
        <v>26.329814693723399</v>
      </c>
    </row>
    <row r="1921" spans="1:37" x14ac:dyDescent="0.2">
      <c r="A1921" t="str">
        <f>"20200111155537495"</f>
        <v>20200111155537495</v>
      </c>
      <c r="B1921" t="str">
        <f>"1578729337484384"</f>
        <v>1578729337484384</v>
      </c>
      <c r="C1921" t="s">
        <v>37</v>
      </c>
      <c r="D1921">
        <v>4.7934749999999999</v>
      </c>
      <c r="E1921">
        <v>0.53087299999999904</v>
      </c>
      <c r="F1921" t="s">
        <v>59</v>
      </c>
      <c r="G1921">
        <v>-247.56059999999999</v>
      </c>
      <c r="H1921" s="1">
        <v>2.4865900000000002E-6</v>
      </c>
      <c r="I1921">
        <v>285.21409999999997</v>
      </c>
      <c r="J1921">
        <v>-221.12799999999999</v>
      </c>
      <c r="K1921">
        <v>1.102071</v>
      </c>
      <c r="L1921">
        <v>285.18110000000001</v>
      </c>
      <c r="M1921">
        <v>-0.99412279999999997</v>
      </c>
      <c r="N1921">
        <v>0</v>
      </c>
      <c r="O1921">
        <v>-0.108169</v>
      </c>
      <c r="P1921">
        <v>-0.99684259999999902</v>
      </c>
      <c r="Q1921">
        <v>1.296625E-2</v>
      </c>
      <c r="R1921">
        <v>-7.8337039999999997E-2</v>
      </c>
      <c r="S1921">
        <v>-3.0119929999999999</v>
      </c>
      <c r="T1921">
        <v>-0.12464939999999999</v>
      </c>
      <c r="U1921">
        <v>1.586914E-3</v>
      </c>
      <c r="V1921">
        <v>3.0018949999999999E-2</v>
      </c>
      <c r="W1921">
        <v>1.7244260000000001E-2</v>
      </c>
      <c r="X1921">
        <v>0.99940059999999997</v>
      </c>
      <c r="Y1921">
        <v>0.1085086</v>
      </c>
      <c r="Z1921">
        <v>6.7123929999999997E-3</v>
      </c>
      <c r="AA1921">
        <v>0.99407289999999904</v>
      </c>
      <c r="AB1921">
        <v>20</v>
      </c>
      <c r="AC1921">
        <v>-26.432600000000001</v>
      </c>
      <c r="AD1921">
        <v>-1.1020685134099999</v>
      </c>
      <c r="AE1921">
        <v>3.2999999999958597E-2</v>
      </c>
      <c r="AF1921">
        <v>2.8870032908307501</v>
      </c>
      <c r="AG1921">
        <v>-1.1020685134099999</v>
      </c>
      <c r="AH1921">
        <v>26.228340646166799</v>
      </c>
      <c r="AI1921">
        <v>92.391624355750807</v>
      </c>
      <c r="AJ1921">
        <v>83.718631222043498</v>
      </c>
      <c r="AK1921">
        <v>26.409755698621701</v>
      </c>
    </row>
    <row r="1922" spans="1:37" x14ac:dyDescent="0.2">
      <c r="A1922" t="str">
        <f>"20200111155537509"</f>
        <v>20200111155537509</v>
      </c>
      <c r="B1922" t="str">
        <f>"1578729337503905"</f>
        <v>1578729337503905</v>
      </c>
      <c r="C1922" t="s">
        <v>37</v>
      </c>
      <c r="D1922">
        <v>4.8965449999999997</v>
      </c>
      <c r="E1922">
        <v>0.53011209999999997</v>
      </c>
      <c r="F1922" t="s">
        <v>59</v>
      </c>
      <c r="G1922">
        <v>-247.6362</v>
      </c>
      <c r="H1922" s="1">
        <v>2.5268090000000001E-6</v>
      </c>
      <c r="I1922">
        <v>285.22460000000001</v>
      </c>
      <c r="J1922">
        <v>-221.2662</v>
      </c>
      <c r="K1922">
        <v>1.1020459999999901</v>
      </c>
      <c r="L1922">
        <v>285.16820000000001</v>
      </c>
      <c r="M1922">
        <v>-0.99433570000000004</v>
      </c>
      <c r="N1922">
        <v>0</v>
      </c>
      <c r="O1922">
        <v>-0.106205199999999</v>
      </c>
      <c r="P1922">
        <v>-0.99700319999999998</v>
      </c>
      <c r="Q1922">
        <v>1.308513E-2</v>
      </c>
      <c r="R1922">
        <v>-7.6246399999999895E-2</v>
      </c>
      <c r="S1922">
        <v>-3.011536</v>
      </c>
      <c r="T1922">
        <v>-0.12520339999999999</v>
      </c>
      <c r="U1922">
        <v>4.9438479999999998E-3</v>
      </c>
      <c r="V1922">
        <v>3.0139340000000001E-2</v>
      </c>
      <c r="W1922">
        <v>1.7065960000000002E-2</v>
      </c>
      <c r="X1922">
        <v>0.99939999999999996</v>
      </c>
      <c r="Y1922">
        <v>0.1076539</v>
      </c>
      <c r="Z1922">
        <v>6.6442699999999999E-3</v>
      </c>
      <c r="AA1922">
        <v>0.99416629999999995</v>
      </c>
      <c r="AB1922">
        <v>21</v>
      </c>
      <c r="AC1922">
        <v>-26.37</v>
      </c>
      <c r="AD1922">
        <v>-1.1020434731909901</v>
      </c>
      <c r="AE1922">
        <v>5.6399999999996397E-2</v>
      </c>
      <c r="AF1922">
        <v>2.8517552322948898</v>
      </c>
      <c r="AG1922">
        <v>-1.1020434731909901</v>
      </c>
      <c r="AH1922">
        <v>26.169159751583202</v>
      </c>
      <c r="AI1922">
        <v>92.397256772863898</v>
      </c>
      <c r="AJ1922">
        <v>83.7807966581031</v>
      </c>
      <c r="AK1922">
        <v>26.347142726026402</v>
      </c>
    </row>
    <row r="1923" spans="1:37" x14ac:dyDescent="0.2">
      <c r="A1923" t="str">
        <f>"20200111155537528"</f>
        <v>20200111155537528</v>
      </c>
      <c r="B1923" t="str">
        <f>"1578729337523933"</f>
        <v>1578729337523933</v>
      </c>
      <c r="C1923" t="s">
        <v>37</v>
      </c>
      <c r="D1923">
        <v>4.7123679999999997</v>
      </c>
      <c r="E1923">
        <v>0.52977819999999998</v>
      </c>
      <c r="F1923" t="s">
        <v>59</v>
      </c>
      <c r="G1923">
        <v>-247.98269999999999</v>
      </c>
      <c r="H1923" s="1">
        <v>2.7111799999999998E-6</v>
      </c>
      <c r="I1923">
        <v>285.21429999999998</v>
      </c>
      <c r="J1923">
        <v>-221.44390000000001</v>
      </c>
      <c r="K1923">
        <v>1.1020190000000001</v>
      </c>
      <c r="L1923">
        <v>285.15199999999999</v>
      </c>
      <c r="M1923">
        <v>-0.99459819999999999</v>
      </c>
      <c r="N1923">
        <v>0</v>
      </c>
      <c r="O1923">
        <v>-0.1037343</v>
      </c>
      <c r="P1923">
        <v>-0.99720810000000004</v>
      </c>
      <c r="Q1923">
        <v>1.3016700000000001E-2</v>
      </c>
      <c r="R1923">
        <v>-7.3531920000000001E-2</v>
      </c>
      <c r="S1923">
        <v>-3.011063</v>
      </c>
      <c r="T1923">
        <v>-0.12420539999999899</v>
      </c>
      <c r="U1923">
        <v>5.1879880000000001E-3</v>
      </c>
      <c r="V1923">
        <v>3.037459E-2</v>
      </c>
      <c r="W1923">
        <v>1.6625899999999999E-2</v>
      </c>
      <c r="X1923">
        <v>0.99940030000000002</v>
      </c>
      <c r="Y1923">
        <v>0.10527110000000001</v>
      </c>
      <c r="Z1923">
        <v>6.4417980000000003E-3</v>
      </c>
      <c r="AA1923">
        <v>0.99442269999999899</v>
      </c>
      <c r="AB1923">
        <v>21</v>
      </c>
      <c r="AC1923">
        <v>-26.538799999999899</v>
      </c>
      <c r="AD1923">
        <v>-1.10201628882</v>
      </c>
      <c r="AE1923">
        <v>6.2299999999993298E-2</v>
      </c>
      <c r="AF1923">
        <v>2.8101210003994899</v>
      </c>
      <c r="AG1923">
        <v>-1.10201628882</v>
      </c>
      <c r="AH1923">
        <v>26.3437353962996</v>
      </c>
      <c r="AI1923">
        <v>92.381914033529398</v>
      </c>
      <c r="AJ1923">
        <v>83.911208289279102</v>
      </c>
      <c r="AK1923">
        <v>26.516101043855599</v>
      </c>
    </row>
    <row r="1924" spans="1:37" x14ac:dyDescent="0.2">
      <c r="A1924" t="str">
        <f>"20200111155537542"</f>
        <v>20200111155537542</v>
      </c>
      <c r="B1924" t="str">
        <f>"1578729337534669"</f>
        <v>1578729337534669</v>
      </c>
      <c r="C1924" t="s">
        <v>37</v>
      </c>
      <c r="D1924">
        <v>4.7495830000000003</v>
      </c>
      <c r="E1924">
        <v>0.5297134</v>
      </c>
      <c r="F1924" t="s">
        <v>59</v>
      </c>
      <c r="G1924">
        <v>-247.9879</v>
      </c>
      <c r="H1924" s="1">
        <v>2.713962E-6</v>
      </c>
      <c r="I1924">
        <v>285.24700000000001</v>
      </c>
      <c r="J1924">
        <v>-221.5795</v>
      </c>
      <c r="K1924">
        <v>1.102001</v>
      </c>
      <c r="L1924">
        <v>285.13979999999998</v>
      </c>
      <c r="M1924">
        <v>-0.99478999999999995</v>
      </c>
      <c r="N1924">
        <v>0</v>
      </c>
      <c r="O1924">
        <v>-0.1018877</v>
      </c>
      <c r="P1924">
        <v>-0.99732880000000002</v>
      </c>
      <c r="Q1924">
        <v>1.292974E-2</v>
      </c>
      <c r="R1924">
        <v>-7.1892429999999993E-2</v>
      </c>
      <c r="S1924">
        <v>-3.010834</v>
      </c>
      <c r="T1924">
        <v>-0.12499979999999999</v>
      </c>
      <c r="U1924">
        <v>1.077271E-2</v>
      </c>
      <c r="V1924">
        <v>3.016021E-2</v>
      </c>
      <c r="W1924">
        <v>1.6267360000000002E-2</v>
      </c>
      <c r="X1924">
        <v>0.99941270000000004</v>
      </c>
      <c r="Y1924">
        <v>0.1052688</v>
      </c>
      <c r="Z1924">
        <v>6.4071579999999996E-3</v>
      </c>
      <c r="AA1924">
        <v>0.99442319999999995</v>
      </c>
      <c r="AB1924">
        <v>21</v>
      </c>
      <c r="AC1924">
        <v>-26.4084</v>
      </c>
      <c r="AD1924">
        <v>-1.101998286038</v>
      </c>
      <c r="AE1924">
        <v>0.107200000000034</v>
      </c>
      <c r="AF1924">
        <v>2.7924865404992998</v>
      </c>
      <c r="AG1924">
        <v>-1.101998286038</v>
      </c>
      <c r="AH1924">
        <v>26.214397380822898</v>
      </c>
      <c r="AI1924">
        <v>92.3936502490198</v>
      </c>
      <c r="AJ1924">
        <v>83.919502180296405</v>
      </c>
      <c r="AK1924">
        <v>26.385734997172101</v>
      </c>
    </row>
    <row r="1925" spans="1:37" x14ac:dyDescent="0.2">
      <c r="A1925" t="str">
        <f>"20200111155537562"</f>
        <v>20200111155537562</v>
      </c>
      <c r="B1925" t="str">
        <f>"1578729337554189"</f>
        <v>1578729337554189</v>
      </c>
      <c r="C1925" t="s">
        <v>37</v>
      </c>
      <c r="D1925">
        <v>4.7656429999999999</v>
      </c>
      <c r="E1925">
        <v>0.52945559999999903</v>
      </c>
      <c r="F1925" t="s">
        <v>59</v>
      </c>
      <c r="G1925">
        <v>-247.74340000000001</v>
      </c>
      <c r="H1925" s="1">
        <v>2.5838429999999999E-6</v>
      </c>
      <c r="I1925">
        <v>285.2722</v>
      </c>
      <c r="J1925">
        <v>-221.7732</v>
      </c>
      <c r="K1925">
        <v>1.1019749999999999</v>
      </c>
      <c r="L1925">
        <v>285.12290000000002</v>
      </c>
      <c r="M1925">
        <v>-0.99505100000000002</v>
      </c>
      <c r="N1925">
        <v>0</v>
      </c>
      <c r="O1925">
        <v>-9.9318299999999998E-2</v>
      </c>
      <c r="P1925">
        <v>-0.9974267</v>
      </c>
      <c r="Q1925">
        <v>1.2728389999999999E-2</v>
      </c>
      <c r="R1925">
        <v>-7.0556629999999995E-2</v>
      </c>
      <c r="S1925">
        <v>-3.0107879999999998</v>
      </c>
      <c r="T1925">
        <v>-0.12681190000000001</v>
      </c>
      <c r="U1925">
        <v>1.522827E-2</v>
      </c>
      <c r="V1925">
        <v>2.891517E-2</v>
      </c>
      <c r="W1925">
        <v>1.570334E-2</v>
      </c>
      <c r="X1925">
        <v>0.99945849999999903</v>
      </c>
      <c r="Y1925">
        <v>0.1041701</v>
      </c>
      <c r="Z1925">
        <v>6.3692139999999998E-3</v>
      </c>
      <c r="AA1925">
        <v>0.99453910000000001</v>
      </c>
      <c r="AB1925">
        <v>21</v>
      </c>
      <c r="AC1925">
        <v>-25.970199999999998</v>
      </c>
      <c r="AD1925">
        <v>-1.1019724161569999</v>
      </c>
      <c r="AE1925">
        <v>0.149299999999982</v>
      </c>
      <c r="AF1925">
        <v>2.7229874751238801</v>
      </c>
      <c r="AG1925">
        <v>-1.1019724161569999</v>
      </c>
      <c r="AH1925">
        <v>25.780550316898299</v>
      </c>
      <c r="AI1925">
        <v>92.434056896336898</v>
      </c>
      <c r="AJ1925">
        <v>83.970672752367605</v>
      </c>
      <c r="AK1925">
        <v>25.947365543302801</v>
      </c>
    </row>
    <row r="1926" spans="1:37" x14ac:dyDescent="0.2">
      <c r="A1926" t="str">
        <f>"20200111155537585"</f>
        <v>20200111155537585</v>
      </c>
      <c r="B1926" t="str">
        <f>"1578729337574684"</f>
        <v>1578729337574684</v>
      </c>
      <c r="C1926" t="s">
        <v>37</v>
      </c>
      <c r="D1926">
        <v>4.7532449999999997</v>
      </c>
      <c r="E1926">
        <v>0.52913500000000002</v>
      </c>
      <c r="F1926" t="s">
        <v>59</v>
      </c>
      <c r="G1926">
        <v>-247.7097</v>
      </c>
      <c r="H1926" s="1">
        <v>2.5659249999999999E-6</v>
      </c>
      <c r="I1926">
        <v>285.27199999999999</v>
      </c>
      <c r="J1926">
        <v>-221.988</v>
      </c>
      <c r="K1926">
        <v>1.101945</v>
      </c>
      <c r="L1926">
        <v>285.10449999999997</v>
      </c>
      <c r="M1926">
        <v>-0.99532430000000005</v>
      </c>
      <c r="N1926">
        <v>0</v>
      </c>
      <c r="O1926">
        <v>-9.655271E-2</v>
      </c>
      <c r="P1926">
        <v>-0.9974731</v>
      </c>
      <c r="Q1926">
        <v>1.3270489999999999E-2</v>
      </c>
      <c r="R1926">
        <v>-6.9796289999999997E-2</v>
      </c>
      <c r="S1926">
        <v>-3.0106199999999999</v>
      </c>
      <c r="T1926">
        <v>-0.12791349999999899</v>
      </c>
      <c r="U1926">
        <v>1.7303470000000001E-2</v>
      </c>
      <c r="V1926">
        <v>2.6898640000000001E-2</v>
      </c>
      <c r="W1926">
        <v>1.5879270000000001E-2</v>
      </c>
      <c r="X1926">
        <v>0.99951199999999996</v>
      </c>
      <c r="Y1926">
        <v>0.102092999999999</v>
      </c>
      <c r="Z1926">
        <v>6.2637259999999998E-3</v>
      </c>
      <c r="AA1926">
        <v>0.994755099999999</v>
      </c>
      <c r="AB1926">
        <v>21</v>
      </c>
      <c r="AC1926">
        <v>-25.721699999999998</v>
      </c>
      <c r="AD1926">
        <v>-1.1019424340749999</v>
      </c>
      <c r="AE1926">
        <v>0.167500000000018</v>
      </c>
      <c r="AF1926">
        <v>2.64537111399284</v>
      </c>
      <c r="AG1926">
        <v>-1.1019424340749999</v>
      </c>
      <c r="AH1926">
        <v>25.538481431195098</v>
      </c>
      <c r="AI1926">
        <v>92.4575509713993</v>
      </c>
      <c r="AJ1926">
        <v>84.086180330698994</v>
      </c>
      <c r="AK1926">
        <v>25.698760656309101</v>
      </c>
    </row>
    <row r="1927" spans="1:37" x14ac:dyDescent="0.2">
      <c r="A1927" t="str">
        <f>"20200111155537600"</f>
        <v>20200111155537600</v>
      </c>
      <c r="B1927" t="str">
        <f>"1578729337594205"</f>
        <v>1578729337594205</v>
      </c>
      <c r="C1927" t="s">
        <v>37</v>
      </c>
      <c r="D1927">
        <v>4.853478</v>
      </c>
      <c r="E1927">
        <v>0.52854979999999996</v>
      </c>
      <c r="F1927" t="s">
        <v>59</v>
      </c>
      <c r="G1927">
        <v>-248.34360000000001</v>
      </c>
      <c r="H1927" s="1">
        <v>2.903269E-6</v>
      </c>
      <c r="I1927">
        <v>285.25490000000002</v>
      </c>
      <c r="J1927">
        <v>-222.13990000000001</v>
      </c>
      <c r="K1927">
        <v>1.1019219999999901</v>
      </c>
      <c r="L1927">
        <v>285.09179999999998</v>
      </c>
      <c r="M1927">
        <v>-0.99550899999999998</v>
      </c>
      <c r="N1927">
        <v>0</v>
      </c>
      <c r="O1927">
        <v>-9.4635979999999995E-2</v>
      </c>
      <c r="P1927">
        <v>-0.99754399999999999</v>
      </c>
      <c r="Q1927">
        <v>1.336911E-2</v>
      </c>
      <c r="R1927">
        <v>-6.8759529999999999E-2</v>
      </c>
      <c r="S1927">
        <v>-3.0104829999999998</v>
      </c>
      <c r="T1927">
        <v>-0.1258696</v>
      </c>
      <c r="U1927">
        <v>1.7181399999999999E-2</v>
      </c>
      <c r="V1927">
        <v>2.6012009999999999E-2</v>
      </c>
      <c r="W1927">
        <v>1.573623E-2</v>
      </c>
      <c r="X1927">
        <v>0.99953780000000003</v>
      </c>
      <c r="Y1927">
        <v>0.1001462</v>
      </c>
      <c r="Z1927">
        <v>6.0434900000000003E-3</v>
      </c>
      <c r="AA1927">
        <v>0.99495440000000002</v>
      </c>
      <c r="AB1927">
        <v>22</v>
      </c>
      <c r="AC1927">
        <v>-26.203700000000001</v>
      </c>
      <c r="AD1927">
        <v>-1.10191909673099</v>
      </c>
      <c r="AE1927">
        <v>0.16310000000004199</v>
      </c>
      <c r="AF1927">
        <v>2.6375241424836999</v>
      </c>
      <c r="AG1927">
        <v>-1.10191909673099</v>
      </c>
      <c r="AH1927">
        <v>26.024640948907599</v>
      </c>
      <c r="AI1927">
        <v>92.412192155416093</v>
      </c>
      <c r="AJ1927">
        <v>84.212993232429596</v>
      </c>
      <c r="AK1927">
        <v>26.181151537269798</v>
      </c>
    </row>
    <row r="1928" spans="1:37" x14ac:dyDescent="0.2">
      <c r="A1928" t="str">
        <f>"20200111155537616"</f>
        <v>20200111155537616</v>
      </c>
      <c r="B1928" t="str">
        <f>"1578729337614701"</f>
        <v>1578729337614701</v>
      </c>
      <c r="C1928" t="s">
        <v>37</v>
      </c>
      <c r="D1928">
        <v>4.7497850000000001</v>
      </c>
      <c r="E1928">
        <v>0.52853689999999998</v>
      </c>
      <c r="F1928" t="s">
        <v>59</v>
      </c>
      <c r="G1928">
        <v>-249.04230000000001</v>
      </c>
      <c r="H1928" s="1">
        <v>3.275053E-6</v>
      </c>
      <c r="I1928">
        <v>285.23419999999999</v>
      </c>
      <c r="J1928">
        <v>-222.31010000000001</v>
      </c>
      <c r="K1928">
        <v>1.1018969999999999</v>
      </c>
      <c r="L1928">
        <v>285.0779</v>
      </c>
      <c r="M1928">
        <v>-0.99570749999999997</v>
      </c>
      <c r="N1928">
        <v>0</v>
      </c>
      <c r="O1928">
        <v>-9.2531649999999993E-2</v>
      </c>
      <c r="P1928">
        <v>-0.99754940000000003</v>
      </c>
      <c r="Q1928">
        <v>1.3180890000000001E-2</v>
      </c>
      <c r="R1928">
        <v>-6.8716399999999997E-2</v>
      </c>
      <c r="S1928">
        <v>-3.0101469999999999</v>
      </c>
      <c r="T1928">
        <v>-0.123295499999999</v>
      </c>
      <c r="U1928">
        <v>1.5930179999999999E-2</v>
      </c>
      <c r="V1928">
        <v>2.3941009999999999E-2</v>
      </c>
      <c r="W1928">
        <v>1.5304750000000001E-2</v>
      </c>
      <c r="X1928">
        <v>0.99959619999999905</v>
      </c>
      <c r="Y1928">
        <v>9.7640660000000004E-2</v>
      </c>
      <c r="Z1928">
        <v>5.7834710000000001E-3</v>
      </c>
      <c r="AA1928">
        <v>0.99520489999999995</v>
      </c>
      <c r="AB1928">
        <v>22</v>
      </c>
      <c r="AC1928">
        <v>-26.732199999999999</v>
      </c>
      <c r="AD1928">
        <v>-1.101893724947</v>
      </c>
      <c r="AE1928">
        <v>0.156299999999987</v>
      </c>
      <c r="AF1928">
        <v>2.6247500615488</v>
      </c>
      <c r="AG1928">
        <v>-1.101893724947</v>
      </c>
      <c r="AH1928">
        <v>26.557926664960899</v>
      </c>
      <c r="AI1928">
        <v>92.364345008875802</v>
      </c>
      <c r="AJ1928">
        <v>84.355722403786899</v>
      </c>
      <c r="AK1928">
        <v>26.710053377110999</v>
      </c>
    </row>
    <row r="1929" spans="1:37" x14ac:dyDescent="0.2">
      <c r="A1929" t="str">
        <f>"20200111155537632"</f>
        <v>20200111155537632</v>
      </c>
      <c r="B1929" t="str">
        <f>"1578729337624461"</f>
        <v>1578729337624461</v>
      </c>
      <c r="C1929" t="s">
        <v>37</v>
      </c>
      <c r="D1929">
        <v>4.7845019999999998</v>
      </c>
      <c r="E1929">
        <v>0.52841229999999995</v>
      </c>
      <c r="F1929" t="s">
        <v>59</v>
      </c>
      <c r="G1929">
        <v>-248.9948</v>
      </c>
      <c r="H1929" s="1">
        <v>3.2497739999999999E-6</v>
      </c>
      <c r="I1929">
        <v>285.21960000000001</v>
      </c>
      <c r="J1929">
        <v>-222.45519999999999</v>
      </c>
      <c r="K1929">
        <v>1.1018669999999999</v>
      </c>
      <c r="L1929">
        <v>285.06630000000001</v>
      </c>
      <c r="M1929">
        <v>-0.99587019999999904</v>
      </c>
      <c r="N1929">
        <v>0</v>
      </c>
      <c r="O1929">
        <v>-9.0765509999999994E-2</v>
      </c>
      <c r="P1929">
        <v>-0.99759949999999997</v>
      </c>
      <c r="Q1929">
        <v>1.3284509999999999E-2</v>
      </c>
      <c r="R1929">
        <v>-6.7963499999999996E-2</v>
      </c>
      <c r="S1929">
        <v>-3.0101169999999899</v>
      </c>
      <c r="T1929">
        <v>-0.12429709999999999</v>
      </c>
      <c r="U1929">
        <v>1.5991209999999999E-2</v>
      </c>
      <c r="V1929">
        <v>2.2922040000000001E-2</v>
      </c>
      <c r="W1929">
        <v>1.5219399999999999E-2</v>
      </c>
      <c r="X1929">
        <v>0.99962139999999999</v>
      </c>
      <c r="Y1929">
        <v>9.5895980000000006E-2</v>
      </c>
      <c r="Z1929">
        <v>5.7217930000000002E-3</v>
      </c>
      <c r="AA1929">
        <v>0.99537489999999995</v>
      </c>
      <c r="AB1929">
        <v>22</v>
      </c>
      <c r="AC1929">
        <v>-26.5396</v>
      </c>
      <c r="AD1929">
        <v>-1.101863750226</v>
      </c>
      <c r="AE1929">
        <v>0.15330000000000099</v>
      </c>
      <c r="AF1929">
        <v>2.55714490973237</v>
      </c>
      <c r="AG1929">
        <v>-1.101863750226</v>
      </c>
      <c r="AH1929">
        <v>26.3706832530913</v>
      </c>
      <c r="AI1929">
        <v>92.381478383926193</v>
      </c>
      <c r="AJ1929">
        <v>84.4613888439862</v>
      </c>
      <c r="AK1929">
        <v>26.5172779343639</v>
      </c>
    </row>
    <row r="1930" spans="1:37" x14ac:dyDescent="0.2">
      <c r="A1930" t="str">
        <f>"20200111155537651"</f>
        <v>20200111155537651</v>
      </c>
      <c r="B1930" t="str">
        <f>"1578729337643981"</f>
        <v>1578729337643981</v>
      </c>
      <c r="C1930" t="s">
        <v>37</v>
      </c>
      <c r="D1930">
        <v>4.8702399999999999</v>
      </c>
      <c r="E1930">
        <v>0.52817609999999904</v>
      </c>
      <c r="F1930" t="s">
        <v>59</v>
      </c>
      <c r="G1930">
        <v>-249.11009999999999</v>
      </c>
      <c r="H1930" s="1">
        <v>3.3111660000000001E-6</v>
      </c>
      <c r="I1930">
        <v>285.21929999999998</v>
      </c>
      <c r="J1930">
        <v>-222.6474</v>
      </c>
      <c r="K1930">
        <v>1.1018330000000001</v>
      </c>
      <c r="L1930">
        <v>285.0514</v>
      </c>
      <c r="M1930">
        <v>-0.99607900000000005</v>
      </c>
      <c r="N1930">
        <v>0</v>
      </c>
      <c r="O1930">
        <v>-8.8451299999999997E-2</v>
      </c>
      <c r="P1930">
        <v>-0.99764339999999996</v>
      </c>
      <c r="Q1930">
        <v>1.3052060000000001E-2</v>
      </c>
      <c r="R1930">
        <v>-6.7359649999999993E-2</v>
      </c>
      <c r="S1930">
        <v>-3.01004</v>
      </c>
      <c r="T1930">
        <v>-0.12442930000000001</v>
      </c>
      <c r="U1930">
        <v>1.7272949999999999E-2</v>
      </c>
      <c r="V1930">
        <v>2.1202950000000002E-2</v>
      </c>
      <c r="W1930">
        <v>1.475978E-2</v>
      </c>
      <c r="X1930">
        <v>0.99966619999999995</v>
      </c>
      <c r="Y1930">
        <v>9.4010140000000006E-2</v>
      </c>
      <c r="Z1930">
        <v>5.5937199999999999E-3</v>
      </c>
      <c r="AA1930">
        <v>0.99555550000000004</v>
      </c>
      <c r="AB1930">
        <v>22</v>
      </c>
      <c r="AC1930">
        <v>-26.462699999999899</v>
      </c>
      <c r="AD1930">
        <v>-1.101829688834</v>
      </c>
      <c r="AE1930">
        <v>0.16789999999997399</v>
      </c>
      <c r="AF1930">
        <v>2.5035655103199899</v>
      </c>
      <c r="AG1930">
        <v>-1.101829688834</v>
      </c>
      <c r="AH1930">
        <v>26.298537666254099</v>
      </c>
      <c r="AI1930">
        <v>92.388332546109098</v>
      </c>
      <c r="AJ1930">
        <v>84.561950398755698</v>
      </c>
      <c r="AK1930">
        <v>26.4404037849472</v>
      </c>
    </row>
    <row r="1931" spans="1:37" x14ac:dyDescent="0.2">
      <c r="A1931" t="str">
        <f>"20200111155537664"</f>
        <v>20200111155537664</v>
      </c>
      <c r="B1931" t="str">
        <f>"1578729337654717"</f>
        <v>1578729337654717</v>
      </c>
      <c r="C1931" t="s">
        <v>37</v>
      </c>
      <c r="D1931">
        <v>4.790006</v>
      </c>
      <c r="E1931">
        <v>0.52807590000000004</v>
      </c>
      <c r="F1931" t="s">
        <v>59</v>
      </c>
      <c r="G1931">
        <v>-249.0215</v>
      </c>
      <c r="H1931" s="1">
        <v>3.2639830000000002E-6</v>
      </c>
      <c r="I1931">
        <v>285.2011</v>
      </c>
      <c r="J1931">
        <v>-222.7791</v>
      </c>
      <c r="K1931">
        <v>1.1018129999999999</v>
      </c>
      <c r="L1931">
        <v>285.04140000000001</v>
      </c>
      <c r="M1931">
        <v>-0.99621740000000003</v>
      </c>
      <c r="N1931">
        <v>0</v>
      </c>
      <c r="O1931">
        <v>-8.6879949999999997E-2</v>
      </c>
      <c r="P1931">
        <v>-0.99768899999999905</v>
      </c>
      <c r="Q1931">
        <v>1.31700999999999E-2</v>
      </c>
      <c r="R1931">
        <v>-6.6657910000000001E-2</v>
      </c>
      <c r="S1931">
        <v>-3.009903</v>
      </c>
      <c r="T1931">
        <v>-0.12574479999999999</v>
      </c>
      <c r="U1931">
        <v>1.7089839999999999E-2</v>
      </c>
      <c r="V1931">
        <v>2.0329369999999999E-2</v>
      </c>
      <c r="W1931">
        <v>1.4738329999999999E-2</v>
      </c>
      <c r="X1931">
        <v>0.99968469999999998</v>
      </c>
      <c r="Y1931">
        <v>9.2378740000000001E-2</v>
      </c>
      <c r="Z1931">
        <v>5.5535640000000004E-3</v>
      </c>
      <c r="AA1931">
        <v>0.995708499999999</v>
      </c>
      <c r="AB1931">
        <v>22</v>
      </c>
      <c r="AC1931">
        <v>-26.2424</v>
      </c>
      <c r="AD1931">
        <v>-1.1018097360169901</v>
      </c>
      <c r="AE1931">
        <v>0.15969999999998599</v>
      </c>
      <c r="AF1931">
        <v>2.4347458507694402</v>
      </c>
      <c r="AG1931">
        <v>-1.1018097360169901</v>
      </c>
      <c r="AH1931">
        <v>26.083318613475399</v>
      </c>
      <c r="AI1931">
        <v>92.408388998435896</v>
      </c>
      <c r="AJ1931">
        <v>84.667181762351305</v>
      </c>
      <c r="AK1931">
        <v>26.219868076409</v>
      </c>
    </row>
    <row r="1932" spans="1:37" x14ac:dyDescent="0.2">
      <c r="A1932" t="str">
        <f>"20200111155537685"</f>
        <v>20200111155537685</v>
      </c>
      <c r="B1932" t="str">
        <f>"1578729337674237"</f>
        <v>1578729337674237</v>
      </c>
      <c r="C1932" t="s">
        <v>37</v>
      </c>
      <c r="D1932">
        <v>4.8165709999999997</v>
      </c>
      <c r="E1932">
        <v>0.52791060000000001</v>
      </c>
      <c r="F1932" t="s">
        <v>59</v>
      </c>
      <c r="G1932">
        <v>-249.1217</v>
      </c>
      <c r="H1932" s="1">
        <v>3.3173259999999999E-6</v>
      </c>
      <c r="I1932">
        <v>285.20139999999998</v>
      </c>
      <c r="J1932">
        <v>-222.99250000000001</v>
      </c>
      <c r="K1932">
        <v>1.1017790000000001</v>
      </c>
      <c r="L1932">
        <v>285.02550000000002</v>
      </c>
      <c r="M1932">
        <v>-0.99643499999999996</v>
      </c>
      <c r="N1932">
        <v>0</v>
      </c>
      <c r="O1932">
        <v>-8.4351670000000004E-2</v>
      </c>
      <c r="P1932">
        <v>-0.99780630000000003</v>
      </c>
      <c r="Q1932">
        <v>1.299E-2</v>
      </c>
      <c r="R1932">
        <v>-6.4915730000000005E-2</v>
      </c>
      <c r="S1932">
        <v>-3.009827</v>
      </c>
      <c r="T1932">
        <v>-0.12588940000000001</v>
      </c>
      <c r="U1932">
        <v>1.8280029999999999E-2</v>
      </c>
      <c r="V1932">
        <v>1.953744E-2</v>
      </c>
      <c r="W1932">
        <v>1.4363580000000001E-2</v>
      </c>
      <c r="X1932">
        <v>0.99970599999999998</v>
      </c>
      <c r="Y1932">
        <v>9.0249369999999995E-2</v>
      </c>
      <c r="Z1932">
        <v>5.4101599999999998E-3</v>
      </c>
      <c r="AA1932">
        <v>0.99590449999999997</v>
      </c>
      <c r="AB1932">
        <v>22</v>
      </c>
      <c r="AC1932">
        <v>-26.129200000000001</v>
      </c>
      <c r="AD1932">
        <v>-1.1017756826739999</v>
      </c>
      <c r="AE1932">
        <v>0.17589999999995501</v>
      </c>
      <c r="AF1932">
        <v>2.3750943050656401</v>
      </c>
      <c r="AG1932">
        <v>-1.1017756826739999</v>
      </c>
      <c r="AH1932">
        <v>25.975057278157902</v>
      </c>
      <c r="AI1932">
        <v>92.418762476555699</v>
      </c>
      <c r="AJ1932">
        <v>84.775545064173201</v>
      </c>
      <c r="AK1932">
        <v>26.1066769853322</v>
      </c>
    </row>
    <row r="1933" spans="1:37" x14ac:dyDescent="0.2">
      <c r="A1933" t="str">
        <f>"20200111155537707"</f>
        <v>20200111155537707</v>
      </c>
      <c r="B1933" t="str">
        <f>"1578729337694733"</f>
        <v>1578729337694733</v>
      </c>
      <c r="C1933" t="s">
        <v>37</v>
      </c>
      <c r="D1933">
        <v>4.9010999999999996</v>
      </c>
      <c r="E1933">
        <v>0.54402119999999998</v>
      </c>
      <c r="F1933" t="s">
        <v>59</v>
      </c>
      <c r="G1933">
        <v>-249.1756</v>
      </c>
      <c r="H1933" s="1">
        <v>3.3460210000000002E-6</v>
      </c>
      <c r="I1933">
        <v>285.21800000000002</v>
      </c>
      <c r="J1933">
        <v>-223.2089</v>
      </c>
      <c r="K1933">
        <v>1.101742</v>
      </c>
      <c r="L1933">
        <v>285.01</v>
      </c>
      <c r="M1933">
        <v>-0.99664769999999903</v>
      </c>
      <c r="N1933">
        <v>0</v>
      </c>
      <c r="O1933">
        <v>-8.180337E-2</v>
      </c>
      <c r="P1933">
        <v>-0.99792839999999905</v>
      </c>
      <c r="Q1933">
        <v>1.260472E-2</v>
      </c>
      <c r="R1933">
        <v>-6.3089779999999998E-2</v>
      </c>
      <c r="S1933">
        <v>-3.009674</v>
      </c>
      <c r="T1933">
        <v>-0.12664589999999901</v>
      </c>
      <c r="U1933">
        <v>2.2125240000000001E-2</v>
      </c>
      <c r="V1933">
        <v>1.8809570000000001E-2</v>
      </c>
      <c r="W1933">
        <v>1.3825759999999999E-2</v>
      </c>
      <c r="X1933">
        <v>0.99972749999999999</v>
      </c>
      <c r="Y1933">
        <v>8.8976730000000004E-2</v>
      </c>
      <c r="Z1933">
        <v>5.3092540000000002E-3</v>
      </c>
      <c r="AA1933">
        <v>0.99601949999999995</v>
      </c>
      <c r="AB1933">
        <v>23</v>
      </c>
      <c r="AC1933">
        <v>-25.966699999999999</v>
      </c>
      <c r="AD1933">
        <v>-1.1017386539789999</v>
      </c>
      <c r="AE1933">
        <v>0.208000000000026</v>
      </c>
      <c r="AF1933">
        <v>2.3272787940372299</v>
      </c>
      <c r="AG1933">
        <v>-1.1017386539789999</v>
      </c>
      <c r="AH1933">
        <v>25.8161854174244</v>
      </c>
      <c r="AI1933">
        <v>92.433830168248505</v>
      </c>
      <c r="AJ1933">
        <v>84.8488210260372</v>
      </c>
      <c r="AK1933">
        <v>25.944276520143799</v>
      </c>
    </row>
    <row r="1934" spans="1:37" x14ac:dyDescent="0.2">
      <c r="A1934" t="str">
        <f>"20200111155537723"</f>
        <v>20200111155537723</v>
      </c>
      <c r="B1934" t="str">
        <f>"1578729337714253"</f>
        <v>1578729337714253</v>
      </c>
      <c r="C1934" t="s">
        <v>37</v>
      </c>
      <c r="D1934">
        <v>4.9501929999999996</v>
      </c>
      <c r="E1934">
        <v>0.54819849999999903</v>
      </c>
      <c r="F1934" t="s">
        <v>59</v>
      </c>
      <c r="G1934">
        <v>-245.73390000000001</v>
      </c>
      <c r="H1934" s="1">
        <v>1.514536E-6</v>
      </c>
      <c r="I1934">
        <v>286.16849999999999</v>
      </c>
      <c r="J1934">
        <v>-223.3751</v>
      </c>
      <c r="K1934">
        <v>1.101718</v>
      </c>
      <c r="L1934">
        <v>284.9984</v>
      </c>
      <c r="M1934">
        <v>-0.99680619999999998</v>
      </c>
      <c r="N1934">
        <v>0</v>
      </c>
      <c r="O1934">
        <v>-7.9851859999999997E-2</v>
      </c>
      <c r="P1934">
        <v>-0.99801629999999997</v>
      </c>
      <c r="Q1934">
        <v>1.170535E-2</v>
      </c>
      <c r="R1934">
        <v>-6.1860970000000001E-2</v>
      </c>
      <c r="S1934">
        <v>-3.0179290000000001</v>
      </c>
      <c r="T1934">
        <v>-0.14761250000000001</v>
      </c>
      <c r="U1934">
        <v>0.1552124</v>
      </c>
      <c r="V1934">
        <v>1.808061E-2</v>
      </c>
      <c r="W1934">
        <v>1.2840219999999999E-2</v>
      </c>
      <c r="X1934">
        <v>0.99975409999999998</v>
      </c>
      <c r="Y1934">
        <v>0.13069359999999999</v>
      </c>
      <c r="Z1934">
        <v>7.0918980000000001E-3</v>
      </c>
      <c r="AA1934">
        <v>0.99139739999999998</v>
      </c>
      <c r="AB1934">
        <v>23</v>
      </c>
      <c r="AC1934">
        <v>-22.358799999999999</v>
      </c>
      <c r="AD1934">
        <v>-1.101716485464</v>
      </c>
      <c r="AE1934">
        <v>1.1700999999999899</v>
      </c>
      <c r="AF1934">
        <v>2.9446263684514502</v>
      </c>
      <c r="AG1934">
        <v>-1.101716485464</v>
      </c>
      <c r="AH1934">
        <v>22.140358558337301</v>
      </c>
      <c r="AI1934">
        <v>92.823894993053401</v>
      </c>
      <c r="AJ1934">
        <v>82.424227514116097</v>
      </c>
      <c r="AK1934">
        <v>22.362470363442899</v>
      </c>
    </row>
    <row r="1935" spans="1:37" x14ac:dyDescent="0.2">
      <c r="A1935" t="str">
        <f>"20200111155537740"</f>
        <v>20200111155537740</v>
      </c>
      <c r="B1935" t="str">
        <f>"1578729337734749"</f>
        <v>1578729337734749</v>
      </c>
      <c r="C1935" t="s">
        <v>37</v>
      </c>
      <c r="D1935">
        <v>4.9357730000000002</v>
      </c>
      <c r="E1935">
        <v>0.5490022</v>
      </c>
      <c r="F1935" t="s">
        <v>59</v>
      </c>
      <c r="G1935">
        <v>-247.12739999999999</v>
      </c>
      <c r="H1935" s="1">
        <v>2.256051E-6</v>
      </c>
      <c r="I1935">
        <v>286.51029999999997</v>
      </c>
      <c r="J1935">
        <v>-223.56229999999999</v>
      </c>
      <c r="K1935">
        <v>1.1016950000000001</v>
      </c>
      <c r="L1935">
        <v>284.98570000000001</v>
      </c>
      <c r="M1935">
        <v>-0.99697950000000002</v>
      </c>
      <c r="N1935">
        <v>0</v>
      </c>
      <c r="O1935">
        <v>-7.7656680000000006E-2</v>
      </c>
      <c r="P1935">
        <v>-0.99802060000000004</v>
      </c>
      <c r="Q1935">
        <v>1.0948670000000001E-2</v>
      </c>
      <c r="R1935">
        <v>-6.1927179999999998E-2</v>
      </c>
      <c r="S1935">
        <v>-3.0195159999999999</v>
      </c>
      <c r="T1935">
        <v>-0.14005599999999899</v>
      </c>
      <c r="U1935">
        <v>0.1921997</v>
      </c>
      <c r="V1935">
        <v>1.5811019999999999E-2</v>
      </c>
      <c r="W1935">
        <v>1.202871E-2</v>
      </c>
      <c r="X1935">
        <v>0.99980259999999999</v>
      </c>
      <c r="Y1935">
        <v>0.1405981</v>
      </c>
      <c r="Z1935">
        <v>6.8516139999999998E-3</v>
      </c>
      <c r="AA1935">
        <v>0.99004300000000001</v>
      </c>
      <c r="AB1935">
        <v>23</v>
      </c>
      <c r="AC1935">
        <v>-23.565100000000001</v>
      </c>
      <c r="AD1935">
        <v>-1.1016927439490001</v>
      </c>
      <c r="AE1935">
        <v>1.52459999999996</v>
      </c>
      <c r="AF1935">
        <v>3.3427090126121501</v>
      </c>
      <c r="AG1935">
        <v>-1.1016927439490001</v>
      </c>
      <c r="AH1935">
        <v>23.324774127357198</v>
      </c>
      <c r="AI1935">
        <v>92.676916852313397</v>
      </c>
      <c r="AJ1935">
        <v>81.844385625368105</v>
      </c>
      <c r="AK1935">
        <v>23.588821898036802</v>
      </c>
    </row>
    <row r="1936" spans="1:37" x14ac:dyDescent="0.2">
      <c r="A1936" t="str">
        <f>"20200111155537755"</f>
        <v>20200111155537755</v>
      </c>
      <c r="B1936" t="str">
        <f>"1578729337744509"</f>
        <v>1578729337744509</v>
      </c>
      <c r="C1936" t="s">
        <v>37</v>
      </c>
      <c r="D1936">
        <v>4.849952</v>
      </c>
      <c r="E1936">
        <v>0.54887019999999997</v>
      </c>
      <c r="F1936" t="s">
        <v>59</v>
      </c>
      <c r="G1936">
        <v>-246.61179999999999</v>
      </c>
      <c r="H1936" s="1">
        <v>1.9816900000000002E-6</v>
      </c>
      <c r="I1936">
        <v>286.49770000000001</v>
      </c>
      <c r="J1936">
        <v>-223.7099</v>
      </c>
      <c r="K1936">
        <v>1.1016779999999999</v>
      </c>
      <c r="L1936">
        <v>284.976</v>
      </c>
      <c r="M1936">
        <v>-0.99711289999999997</v>
      </c>
      <c r="N1936">
        <v>0</v>
      </c>
      <c r="O1936">
        <v>-7.5926579999999994E-2</v>
      </c>
      <c r="P1936">
        <v>-0.99812109999999998</v>
      </c>
      <c r="Q1936">
        <v>1.055445E-2</v>
      </c>
      <c r="R1936">
        <v>-6.0358189999999999E-2</v>
      </c>
      <c r="S1936">
        <v>-3.019806</v>
      </c>
      <c r="T1936">
        <v>-0.1443372</v>
      </c>
      <c r="U1936">
        <v>0.1980896</v>
      </c>
      <c r="V1936">
        <v>1.5647210000000002E-2</v>
      </c>
      <c r="W1936">
        <v>1.162056E-2</v>
      </c>
      <c r="X1936">
        <v>0.99980999999999998</v>
      </c>
      <c r="Y1936">
        <v>0.1407844</v>
      </c>
      <c r="Z1936">
        <v>6.9817339999999999E-3</v>
      </c>
      <c r="AA1936">
        <v>0.990015599999999</v>
      </c>
      <c r="AB1936">
        <v>23</v>
      </c>
      <c r="AC1936">
        <v>-22.901899999999898</v>
      </c>
      <c r="AD1936">
        <v>-1.1016760183100001</v>
      </c>
      <c r="AE1936">
        <v>1.5217000000000001</v>
      </c>
      <c r="AF1936">
        <v>3.24868685847099</v>
      </c>
      <c r="AG1936">
        <v>-1.1016760183100001</v>
      </c>
      <c r="AH1936">
        <v>22.668030590097501</v>
      </c>
      <c r="AI1936">
        <v>92.754311965257102</v>
      </c>
      <c r="AJ1936">
        <v>81.844145963071696</v>
      </c>
      <c r="AK1936">
        <v>22.926126301390699</v>
      </c>
    </row>
    <row r="1937" spans="1:37" x14ac:dyDescent="0.2">
      <c r="A1937" t="str">
        <f>"20200111155537773"</f>
        <v>20200111155537773</v>
      </c>
      <c r="B1937" t="str">
        <f>"1578729337764028"</f>
        <v>1578729337764028</v>
      </c>
      <c r="C1937" t="s">
        <v>37</v>
      </c>
      <c r="D1937">
        <v>4.8920190000000003</v>
      </c>
      <c r="E1937">
        <v>0.54898519999999995</v>
      </c>
      <c r="F1937" t="s">
        <v>59</v>
      </c>
      <c r="G1937">
        <v>-246.4811</v>
      </c>
      <c r="H1937" s="1">
        <v>1.91210999999999E-6</v>
      </c>
      <c r="I1937">
        <v>286.49889999999999</v>
      </c>
      <c r="J1937">
        <v>-223.90710000000001</v>
      </c>
      <c r="K1937">
        <v>1.1016589999999999</v>
      </c>
      <c r="L1937">
        <v>284.96350000000001</v>
      </c>
      <c r="M1937">
        <v>-0.99728600000000001</v>
      </c>
      <c r="N1937">
        <v>0</v>
      </c>
      <c r="O1937">
        <v>-7.3616829999999994E-2</v>
      </c>
      <c r="P1937">
        <v>-0.99819550000000001</v>
      </c>
      <c r="Q1937">
        <v>9.6566410000000005E-3</v>
      </c>
      <c r="R1937">
        <v>-5.926824E-2</v>
      </c>
      <c r="S1937">
        <v>-3.0194239999999999</v>
      </c>
      <c r="T1937">
        <v>-0.14608099999999999</v>
      </c>
      <c r="U1937">
        <v>0.2019348</v>
      </c>
      <c r="V1937">
        <v>1.4421140000000001E-2</v>
      </c>
      <c r="W1937">
        <v>1.0766599999999999E-2</v>
      </c>
      <c r="X1937">
        <v>0.99983809999999995</v>
      </c>
      <c r="Y1937">
        <v>0.1397526</v>
      </c>
      <c r="Z1937">
        <v>6.9302440000000003E-3</v>
      </c>
      <c r="AA1937">
        <v>0.99016219999999999</v>
      </c>
      <c r="AB1937">
        <v>23</v>
      </c>
      <c r="AC1937">
        <v>-22.573999999999899</v>
      </c>
      <c r="AD1937">
        <v>-1.1016570878899901</v>
      </c>
      <c r="AE1937">
        <v>1.5353999999999799</v>
      </c>
      <c r="AF1937">
        <v>3.1855093599614701</v>
      </c>
      <c r="AG1937">
        <v>-1.1016570878899901</v>
      </c>
      <c r="AH1937">
        <v>22.346739513400301</v>
      </c>
      <c r="AI1937">
        <v>92.7941014989797</v>
      </c>
      <c r="AJ1937">
        <v>81.887190547215098</v>
      </c>
      <c r="AK1937">
        <v>22.599510727037199</v>
      </c>
    </row>
    <row r="1938" spans="1:37" x14ac:dyDescent="0.2">
      <c r="A1938" t="str">
        <f>"20200111155537795"</f>
        <v>20200111155537795</v>
      </c>
      <c r="B1938" t="str">
        <f>"1578729337784525"</f>
        <v>1578729337784525</v>
      </c>
      <c r="C1938" t="s">
        <v>37</v>
      </c>
      <c r="D1938">
        <v>4.9452879999999997</v>
      </c>
      <c r="E1938">
        <v>0.54925559999999995</v>
      </c>
      <c r="F1938" t="s">
        <v>59</v>
      </c>
      <c r="G1938">
        <v>-246.30439999999999</v>
      </c>
      <c r="H1938" s="1">
        <v>1.8180940000000001E-6</v>
      </c>
      <c r="I1938">
        <v>286.4914</v>
      </c>
      <c r="J1938">
        <v>-224.13589999999999</v>
      </c>
      <c r="K1938">
        <v>1.101656</v>
      </c>
      <c r="L1938">
        <v>284.94959999999998</v>
      </c>
      <c r="M1938">
        <v>-0.99747969999999897</v>
      </c>
      <c r="N1938">
        <v>0</v>
      </c>
      <c r="O1938">
        <v>-7.0940840000000005E-2</v>
      </c>
      <c r="P1938">
        <v>-0.99833099999999997</v>
      </c>
      <c r="Q1938">
        <v>8.0950369999999994E-3</v>
      </c>
      <c r="R1938">
        <v>-5.7181759999999998E-2</v>
      </c>
      <c r="S1938">
        <v>-3.0190890000000001</v>
      </c>
      <c r="T1938">
        <v>-0.1485001</v>
      </c>
      <c r="U1938">
        <v>0.20596309999999901</v>
      </c>
      <c r="V1938">
        <v>1.382445E-2</v>
      </c>
      <c r="W1938">
        <v>9.3714450000000008E-3</v>
      </c>
      <c r="X1938">
        <v>0.99986049999999904</v>
      </c>
      <c r="Y1938">
        <v>0.13841489999999901</v>
      </c>
      <c r="Z1938">
        <v>6.8812489999999999E-3</v>
      </c>
      <c r="AA1938">
        <v>0.99035039999999996</v>
      </c>
      <c r="AB1938">
        <v>23</v>
      </c>
      <c r="AC1938">
        <v>-22.168499999999899</v>
      </c>
      <c r="AD1938">
        <v>-1.101654181906</v>
      </c>
      <c r="AE1938">
        <v>1.54180000000002</v>
      </c>
      <c r="AF1938">
        <v>3.1029427847171198</v>
      </c>
      <c r="AG1938">
        <v>-1.101654181906</v>
      </c>
      <c r="AH1938">
        <v>21.949326199853001</v>
      </c>
      <c r="AI1938">
        <v>92.845068142470595</v>
      </c>
      <c r="AJ1938">
        <v>81.9535034765521</v>
      </c>
      <c r="AK1938">
        <v>22.194927719848401</v>
      </c>
    </row>
    <row r="1939" spans="1:37" x14ac:dyDescent="0.2">
      <c r="A1939" t="str">
        <f>"20200111155537809"</f>
        <v>20200111155537809</v>
      </c>
      <c r="B1939" t="str">
        <f>"1578729337804046"</f>
        <v>1578729337804046</v>
      </c>
      <c r="C1939" t="s">
        <v>37</v>
      </c>
      <c r="D1939">
        <v>4.9641979999999997</v>
      </c>
      <c r="E1939">
        <v>0.54963240000000002</v>
      </c>
      <c r="F1939" t="s">
        <v>59</v>
      </c>
      <c r="G1939">
        <v>-245.9888</v>
      </c>
      <c r="H1939" s="1">
        <v>1.6501469999999999E-6</v>
      </c>
      <c r="I1939">
        <v>286.50099999999998</v>
      </c>
      <c r="J1939">
        <v>-224.28980000000001</v>
      </c>
      <c r="K1939">
        <v>1.101674</v>
      </c>
      <c r="L1939">
        <v>284.94060000000002</v>
      </c>
      <c r="M1939">
        <v>-0.99760559999999998</v>
      </c>
      <c r="N1939">
        <v>0</v>
      </c>
      <c r="O1939">
        <v>-6.9143910000000003E-2</v>
      </c>
      <c r="P1939">
        <v>-0.99842439999999999</v>
      </c>
      <c r="Q1939">
        <v>7.21267E-3</v>
      </c>
      <c r="R1939">
        <v>-5.5651850000000003E-2</v>
      </c>
      <c r="S1939">
        <v>-3.0185089999999999</v>
      </c>
      <c r="T1939">
        <v>-0.15217020000000001</v>
      </c>
      <c r="U1939">
        <v>0.2142944</v>
      </c>
      <c r="V1939">
        <v>1.3553920000000001E-2</v>
      </c>
      <c r="W1939">
        <v>8.7043789999999999E-3</v>
      </c>
      <c r="X1939">
        <v>0.99987019999999904</v>
      </c>
      <c r="Y1939">
        <v>0.13935249999999999</v>
      </c>
      <c r="Z1939">
        <v>6.9850909999999997E-3</v>
      </c>
      <c r="AA1939">
        <v>0.99021819999999905</v>
      </c>
      <c r="AB1939">
        <v>23</v>
      </c>
      <c r="AC1939">
        <v>-21.698999999999899</v>
      </c>
      <c r="AD1939">
        <v>-1.1016723498530001</v>
      </c>
      <c r="AE1939">
        <v>1.56039999999995</v>
      </c>
      <c r="AF1939">
        <v>3.0492014576167801</v>
      </c>
      <c r="AG1939">
        <v>-1.1016723498530001</v>
      </c>
      <c r="AH1939">
        <v>21.484081571368701</v>
      </c>
      <c r="AI1939">
        <v>92.906396716704606</v>
      </c>
      <c r="AJ1939">
        <v>81.922052845764199</v>
      </c>
      <c r="AK1939">
        <v>21.7273346837753</v>
      </c>
    </row>
    <row r="1940" spans="1:37" x14ac:dyDescent="0.2">
      <c r="A1940" t="str">
        <f>"20200111155537824"</f>
        <v>20200111155537824</v>
      </c>
      <c r="B1940" t="str">
        <f>"1578729337813805"</f>
        <v>1578729337813805</v>
      </c>
      <c r="C1940" t="s">
        <v>37</v>
      </c>
      <c r="D1940">
        <v>4.9170889999999998</v>
      </c>
      <c r="E1940">
        <v>0.54958830000000003</v>
      </c>
      <c r="F1940" t="s">
        <v>59</v>
      </c>
      <c r="G1940">
        <v>-245.7799</v>
      </c>
      <c r="H1940" s="1">
        <v>1.5389779999999901E-6</v>
      </c>
      <c r="I1940">
        <v>286.52199999999999</v>
      </c>
      <c r="J1940">
        <v>-224.4453</v>
      </c>
      <c r="K1940">
        <v>1.1017059999999901</v>
      </c>
      <c r="L1940">
        <v>284.93169999999998</v>
      </c>
      <c r="M1940">
        <v>-0.99772939999999999</v>
      </c>
      <c r="N1940">
        <v>0</v>
      </c>
      <c r="O1940">
        <v>-6.732602E-2</v>
      </c>
      <c r="P1940">
        <v>-0.99852730000000001</v>
      </c>
      <c r="Q1940">
        <v>5.9205899999999999E-3</v>
      </c>
      <c r="R1940">
        <v>-5.3927559999999999E-2</v>
      </c>
      <c r="S1940">
        <v>-3.01821899999999</v>
      </c>
      <c r="T1940">
        <v>-0.15472639999999999</v>
      </c>
      <c r="U1940">
        <v>0.2221069</v>
      </c>
      <c r="V1940">
        <v>1.3455470000000001E-2</v>
      </c>
      <c r="W1940">
        <v>7.6906559999999997E-3</v>
      </c>
      <c r="X1940">
        <v>0.99987990000000004</v>
      </c>
      <c r="Y1940">
        <v>0.14009720000000001</v>
      </c>
      <c r="Z1940">
        <v>7.0284669999999896E-3</v>
      </c>
      <c r="AA1940">
        <v>0.99011280000000002</v>
      </c>
      <c r="AB1940">
        <v>24</v>
      </c>
      <c r="AC1940">
        <v>-21.334599999999899</v>
      </c>
      <c r="AD1940">
        <v>-1.1017044610219999</v>
      </c>
      <c r="AE1940">
        <v>1.59030000000001</v>
      </c>
      <c r="AF1940">
        <v>3.01507205934301</v>
      </c>
      <c r="AG1940">
        <v>-1.1017044610219999</v>
      </c>
      <c r="AH1940">
        <v>21.123107452701898</v>
      </c>
      <c r="AI1940">
        <v>92.955729676142695</v>
      </c>
      <c r="AJ1940">
        <v>81.8765824348732</v>
      </c>
      <c r="AK1940">
        <v>21.365628488318698</v>
      </c>
    </row>
    <row r="1941" spans="1:37" x14ac:dyDescent="0.2">
      <c r="A1941" t="str">
        <f>"20200111155537843"</f>
        <v>20200111155537843</v>
      </c>
      <c r="B1941" t="str">
        <f>"1578729337834300"</f>
        <v>1578729337834300</v>
      </c>
      <c r="C1941" t="s">
        <v>37</v>
      </c>
      <c r="D1941">
        <v>5.0027710000000001</v>
      </c>
      <c r="E1941">
        <v>0.54946269999999997</v>
      </c>
      <c r="F1941" t="s">
        <v>59</v>
      </c>
      <c r="G1941">
        <v>-245.3853</v>
      </c>
      <c r="H1941" s="1">
        <v>1.3290239999999999E-6</v>
      </c>
      <c r="I1941">
        <v>286.50450000000001</v>
      </c>
      <c r="J1941">
        <v>-224.64230000000001</v>
      </c>
      <c r="K1941">
        <v>1.101761</v>
      </c>
      <c r="L1941">
        <v>284.92099999999999</v>
      </c>
      <c r="M1941">
        <v>-0.99788149999999998</v>
      </c>
      <c r="N1941">
        <v>0</v>
      </c>
      <c r="O1941">
        <v>-6.5018619999999999E-2</v>
      </c>
      <c r="P1941">
        <v>-0.99865649999999995</v>
      </c>
      <c r="Q1941">
        <v>2.9533129999999999E-3</v>
      </c>
      <c r="R1941">
        <v>-5.1736629999999999E-2</v>
      </c>
      <c r="S1941">
        <v>-3.0176090000000002</v>
      </c>
      <c r="T1941">
        <v>-0.15876309999999999</v>
      </c>
      <c r="U1941">
        <v>0.2266541</v>
      </c>
      <c r="V1941">
        <v>1.3327240000000001E-2</v>
      </c>
      <c r="W1941">
        <v>5.1615640000000004E-3</v>
      </c>
      <c r="X1941">
        <v>0.99989779999999995</v>
      </c>
      <c r="Y1941">
        <v>0.139295899999999</v>
      </c>
      <c r="Z1941">
        <v>7.0705550000000001E-3</v>
      </c>
      <c r="AA1941">
        <v>0.99022559999999904</v>
      </c>
      <c r="AB1941">
        <v>24</v>
      </c>
      <c r="AC1941">
        <v>-20.742999999999899</v>
      </c>
      <c r="AD1941">
        <v>-1.101759670976</v>
      </c>
      <c r="AE1941">
        <v>1.5835000000000099</v>
      </c>
      <c r="AF1941">
        <v>2.9206421312467299</v>
      </c>
      <c r="AG1941">
        <v>-1.101759670976</v>
      </c>
      <c r="AH1941">
        <v>20.538544206596001</v>
      </c>
      <c r="AI1941">
        <v>93.040078144478798</v>
      </c>
      <c r="AJ1941">
        <v>81.906632323969305</v>
      </c>
      <c r="AK1941">
        <v>20.774403071032001</v>
      </c>
    </row>
    <row r="1942" spans="1:37" x14ac:dyDescent="0.2">
      <c r="A1942" t="str">
        <f>"20200111155537863"</f>
        <v>20200111155537863</v>
      </c>
      <c r="B1942" t="str">
        <f>"1578729337853821"</f>
        <v>1578729337853821</v>
      </c>
      <c r="C1942" t="s">
        <v>37</v>
      </c>
      <c r="D1942">
        <v>4.9621440000000003</v>
      </c>
      <c r="E1942">
        <v>0.54924200000000001</v>
      </c>
      <c r="F1942" t="s">
        <v>40</v>
      </c>
      <c r="G1942">
        <v>-225.55670000000001</v>
      </c>
      <c r="H1942">
        <v>1.0508139999999999</v>
      </c>
      <c r="I1942">
        <v>284.99169999999998</v>
      </c>
      <c r="J1942">
        <v>-224.8578</v>
      </c>
      <c r="K1942">
        <v>1.1018330000000001</v>
      </c>
      <c r="L1942">
        <v>284.90980000000002</v>
      </c>
      <c r="M1942">
        <v>-0.99804199999999998</v>
      </c>
      <c r="N1942">
        <v>0</v>
      </c>
      <c r="O1942">
        <v>-6.2484419999999999E-2</v>
      </c>
      <c r="P1942">
        <v>-0.99880100000000005</v>
      </c>
      <c r="Q1942">
        <v>1.037769E-3</v>
      </c>
      <c r="R1942">
        <v>-4.8945389999999998E-2</v>
      </c>
      <c r="S1942">
        <v>-3.0166019999999998</v>
      </c>
      <c r="T1942">
        <v>-0.16808619999999999</v>
      </c>
      <c r="U1942">
        <v>0.23260500000000001</v>
      </c>
      <c r="V1942">
        <v>1.357707E-2</v>
      </c>
      <c r="W1942">
        <v>3.7820890000000002E-3</v>
      </c>
      <c r="X1942">
        <v>0.99990069999999998</v>
      </c>
      <c r="Y1942">
        <v>0.13871900000000001</v>
      </c>
      <c r="Z1942">
        <v>7.3302530000000001E-3</v>
      </c>
      <c r="AA1942">
        <v>0.99030459999999998</v>
      </c>
      <c r="AB1942">
        <v>24</v>
      </c>
      <c r="AC1942">
        <v>-0.69890000000000896</v>
      </c>
      <c r="AD1942">
        <v>-5.1019000000000099E-2</v>
      </c>
      <c r="AE1942">
        <v>8.1899999999961795E-2</v>
      </c>
      <c r="AF1942">
        <v>0.124754699914228</v>
      </c>
      <c r="AG1942">
        <v>-5.1019000000000099E-2</v>
      </c>
      <c r="AH1942">
        <v>0.68879602979045895</v>
      </c>
      <c r="AI1942">
        <v>94.168575333124906</v>
      </c>
      <c r="AJ1942">
        <v>79.733884043912099</v>
      </c>
      <c r="AK1942">
        <v>0.70185941909102301</v>
      </c>
    </row>
    <row r="1943" spans="1:37" x14ac:dyDescent="0.2">
      <c r="A1943" t="str">
        <f>"20200111155537879"</f>
        <v>20200111155537879</v>
      </c>
      <c r="B1943" t="str">
        <f>"1578729337874317"</f>
        <v>1578729337874317</v>
      </c>
      <c r="C1943" t="s">
        <v>37</v>
      </c>
      <c r="D1943">
        <v>4.9945539999999999</v>
      </c>
      <c r="E1943">
        <v>0.54899069999999905</v>
      </c>
      <c r="F1943" t="s">
        <v>40</v>
      </c>
      <c r="G1943">
        <v>-225.76050000000001</v>
      </c>
      <c r="H1943">
        <v>1.049968</v>
      </c>
      <c r="I1943">
        <v>284.98140000000001</v>
      </c>
      <c r="J1943">
        <v>-225.0308</v>
      </c>
      <c r="K1943">
        <v>1.101899</v>
      </c>
      <c r="L1943">
        <v>284.90109999999999</v>
      </c>
      <c r="M1943">
        <v>-0.99816609999999995</v>
      </c>
      <c r="N1943">
        <v>0</v>
      </c>
      <c r="O1943">
        <v>-6.0447019999999997E-2</v>
      </c>
      <c r="P1943">
        <v>-0.99890919999999905</v>
      </c>
      <c r="Q1943">
        <v>1.6505830000000001E-4</v>
      </c>
      <c r="R1943">
        <v>-4.6694649999999997E-2</v>
      </c>
      <c r="S1943">
        <v>-3.0155029999999998</v>
      </c>
      <c r="T1943">
        <v>-0.17325650000000001</v>
      </c>
      <c r="U1943">
        <v>0.2393188</v>
      </c>
      <c r="V1943">
        <v>1.378719E-2</v>
      </c>
      <c r="W1943">
        <v>3.355322E-3</v>
      </c>
      <c r="X1943">
        <v>0.99989930000000005</v>
      </c>
      <c r="Y1943">
        <v>0.1389003</v>
      </c>
      <c r="Z1943">
        <v>7.4459569999999996E-3</v>
      </c>
      <c r="AA1943">
        <v>0.9902784</v>
      </c>
      <c r="AB1943">
        <v>24</v>
      </c>
      <c r="AC1943">
        <v>-0.72970000000000801</v>
      </c>
      <c r="AD1943">
        <v>-5.1930999999999901E-2</v>
      </c>
      <c r="AE1943">
        <v>8.0300000000022395E-2</v>
      </c>
      <c r="AF1943">
        <v>0.12364284971454299</v>
      </c>
      <c r="AG1943">
        <v>-5.1930999999999901E-2</v>
      </c>
      <c r="AH1943">
        <v>0.71990915146383405</v>
      </c>
      <c r="AI1943">
        <v>94.066576115659004</v>
      </c>
      <c r="AJ1943">
        <v>80.254651272645802</v>
      </c>
      <c r="AK1943">
        <v>0.73229336294132197</v>
      </c>
    </row>
    <row r="1944" spans="1:37" x14ac:dyDescent="0.2">
      <c r="A1944" t="str">
        <f>"20200111155537895"</f>
        <v>20200111155537895</v>
      </c>
      <c r="B1944" t="str">
        <f>"1578729337884076"</f>
        <v>1578729337884076</v>
      </c>
      <c r="C1944" t="s">
        <v>37</v>
      </c>
      <c r="D1944">
        <v>5.2442099999999998</v>
      </c>
      <c r="E1944">
        <v>0.54899069999999905</v>
      </c>
      <c r="F1944" t="s">
        <v>40</v>
      </c>
      <c r="G1944">
        <v>-225.97370000000001</v>
      </c>
      <c r="H1944">
        <v>1.047334</v>
      </c>
      <c r="I1944">
        <v>284.9776</v>
      </c>
      <c r="J1944">
        <v>-225.21019999999999</v>
      </c>
      <c r="K1944">
        <v>1.1019649999999901</v>
      </c>
      <c r="L1944">
        <v>284.89260000000002</v>
      </c>
      <c r="M1944">
        <v>-0.9982896</v>
      </c>
      <c r="N1944">
        <v>0</v>
      </c>
      <c r="O1944">
        <v>-5.8344E-2</v>
      </c>
      <c r="P1944">
        <v>-0.99900449999999996</v>
      </c>
      <c r="Q1944">
        <v>-1.011407E-3</v>
      </c>
      <c r="R1944">
        <v>-4.4599590000000001E-2</v>
      </c>
      <c r="S1944">
        <v>-3.0147089999999999</v>
      </c>
      <c r="T1944">
        <v>-0.17447560000000001</v>
      </c>
      <c r="U1944">
        <v>0.24420169999999999</v>
      </c>
      <c r="V1944">
        <v>1.377479E-2</v>
      </c>
      <c r="W1944">
        <v>2.6558049999999998E-3</v>
      </c>
      <c r="X1944">
        <v>0.99990159999999995</v>
      </c>
      <c r="Y1944">
        <v>0.13842789999999999</v>
      </c>
      <c r="Z1944">
        <v>7.3647599999999997E-3</v>
      </c>
      <c r="AA1944">
        <v>0.99034509999999898</v>
      </c>
      <c r="AB1944">
        <v>24</v>
      </c>
      <c r="AC1944">
        <v>-0.76350000000002105</v>
      </c>
      <c r="AD1944">
        <v>-5.4630999999999798E-2</v>
      </c>
      <c r="AE1944">
        <v>8.4999999999979495E-2</v>
      </c>
      <c r="AF1944">
        <v>0.128750040905072</v>
      </c>
      <c r="AG1944">
        <v>-5.4630999999999798E-2</v>
      </c>
      <c r="AH1944">
        <v>0.75342986510045795</v>
      </c>
      <c r="AI1944">
        <v>94.088187382339399</v>
      </c>
      <c r="AJ1944">
        <v>80.302666218357402</v>
      </c>
      <c r="AK1944">
        <v>0.76630129898059796</v>
      </c>
    </row>
    <row r="1945" spans="1:37" x14ac:dyDescent="0.2">
      <c r="A1945" t="str">
        <f>"20200111155537910"</f>
        <v>20200111155537910</v>
      </c>
      <c r="B1945" t="str">
        <f>"1578729337904573"</f>
        <v>1578729337904573</v>
      </c>
      <c r="C1945" t="s">
        <v>37</v>
      </c>
      <c r="D1945">
        <v>5.0075659999999997</v>
      </c>
      <c r="E1945">
        <v>0.54448529999999995</v>
      </c>
      <c r="F1945" t="s">
        <v>59</v>
      </c>
      <c r="G1945">
        <v>-243.89400000000001</v>
      </c>
      <c r="H1945" s="1">
        <v>5.354289E-7</v>
      </c>
      <c r="I1945">
        <v>286.44690000000003</v>
      </c>
      <c r="J1945">
        <v>-225.35900000000001</v>
      </c>
      <c r="K1945">
        <v>1.1020270000000001</v>
      </c>
      <c r="L1945">
        <v>284.88580000000002</v>
      </c>
      <c r="M1945">
        <v>-0.99838749999999998</v>
      </c>
      <c r="N1945">
        <v>0</v>
      </c>
      <c r="O1945">
        <v>-5.6616859999999998E-2</v>
      </c>
      <c r="P1945">
        <v>-0.99906689999999998</v>
      </c>
      <c r="Q1945">
        <v>-2.0452809999999999E-3</v>
      </c>
      <c r="R1945">
        <v>-4.3143210000000001E-2</v>
      </c>
      <c r="S1945">
        <v>-3.0140380000000002</v>
      </c>
      <c r="T1945">
        <v>-0.17776639999999999</v>
      </c>
      <c r="U1945">
        <v>0.25073240000000002</v>
      </c>
      <c r="V1945">
        <v>1.349961E-2</v>
      </c>
      <c r="W1945">
        <v>2.0335349999999999E-3</v>
      </c>
      <c r="X1945">
        <v>0.99990679999999998</v>
      </c>
      <c r="Y1945">
        <v>0.13885359999999999</v>
      </c>
      <c r="Z1945">
        <v>7.4154119999999997E-3</v>
      </c>
      <c r="AA1945">
        <v>0.99028519999999898</v>
      </c>
      <c r="AB1945">
        <v>24</v>
      </c>
      <c r="AC1945">
        <v>-18.535</v>
      </c>
      <c r="AD1945">
        <v>-1.1020264645711</v>
      </c>
      <c r="AE1945">
        <v>1.5611000000000099</v>
      </c>
      <c r="AF1945">
        <v>2.5988757915358001</v>
      </c>
      <c r="AG1945">
        <v>-1.1020264645711</v>
      </c>
      <c r="AH1945">
        <v>18.352463254585398</v>
      </c>
      <c r="AI1945">
        <v>93.402498588384304</v>
      </c>
      <c r="AJ1945">
        <v>81.939987332928993</v>
      </c>
      <c r="AK1945">
        <v>18.568293546240401</v>
      </c>
    </row>
    <row r="1946" spans="1:37" x14ac:dyDescent="0.2">
      <c r="A1946" t="str">
        <f>"20200111155537923"</f>
        <v>20200111155537923</v>
      </c>
      <c r="B1946" t="str">
        <f>"1578729337914332"</f>
        <v>1578729337914332</v>
      </c>
      <c r="C1946" t="s">
        <v>37</v>
      </c>
      <c r="D1946">
        <v>5.0231219999999999</v>
      </c>
      <c r="E1946">
        <v>0.544682</v>
      </c>
      <c r="F1946" t="s">
        <v>59</v>
      </c>
      <c r="G1946">
        <v>-246.03360000000001</v>
      </c>
      <c r="H1946" s="1">
        <v>1.6739739999999999E-6</v>
      </c>
      <c r="I1946">
        <v>286.39530000000002</v>
      </c>
      <c r="J1946">
        <v>-225.5061</v>
      </c>
      <c r="K1946">
        <v>1.1020909999999999</v>
      </c>
      <c r="L1946">
        <v>284.8793</v>
      </c>
      <c r="M1946">
        <v>-0.99848009999999998</v>
      </c>
      <c r="N1946">
        <v>0</v>
      </c>
      <c r="O1946">
        <v>-5.4924849999999997E-2</v>
      </c>
      <c r="P1946">
        <v>-0.99913220000000003</v>
      </c>
      <c r="Q1946">
        <v>-2.7201270000000001E-3</v>
      </c>
      <c r="R1946">
        <v>-4.1563059999999999E-2</v>
      </c>
      <c r="S1946">
        <v>-3.0119929999999999</v>
      </c>
      <c r="T1946">
        <v>-0.16054930000000001</v>
      </c>
      <c r="U1946">
        <v>0.21990970000000001</v>
      </c>
      <c r="V1946">
        <v>1.338543E-2</v>
      </c>
      <c r="W1946">
        <v>1.7750889999999899E-3</v>
      </c>
      <c r="X1946">
        <v>0.99990889999999999</v>
      </c>
      <c r="Y1946">
        <v>0.1272298</v>
      </c>
      <c r="Z1946">
        <v>6.3061000000000002E-3</v>
      </c>
      <c r="AA1946">
        <v>0.99185319999999899</v>
      </c>
      <c r="AB1946">
        <v>24</v>
      </c>
      <c r="AC1946">
        <v>-20.5275</v>
      </c>
      <c r="AD1946">
        <v>-1.1020893260259901</v>
      </c>
      <c r="AE1946">
        <v>1.51600000000001</v>
      </c>
      <c r="AF1946">
        <v>2.6336429344933801</v>
      </c>
      <c r="AG1946">
        <v>-1.1020893260259901</v>
      </c>
      <c r="AH1946">
        <v>20.354892328103901</v>
      </c>
      <c r="AI1946">
        <v>93.073608990859498</v>
      </c>
      <c r="AJ1946">
        <v>82.627672149202994</v>
      </c>
      <c r="AK1946">
        <v>20.554131401683001</v>
      </c>
    </row>
    <row r="1947" spans="1:37" x14ac:dyDescent="0.2">
      <c r="A1947" t="str">
        <f>"20200111155537942"</f>
        <v>20200111155537942</v>
      </c>
      <c r="B1947" t="str">
        <f>"1578729337933853"</f>
        <v>1578729337933853</v>
      </c>
      <c r="C1947" t="s">
        <v>37</v>
      </c>
      <c r="D1947">
        <v>4.9920770000000001</v>
      </c>
      <c r="E1947">
        <v>0.54475890000000005</v>
      </c>
      <c r="F1947" t="s">
        <v>40</v>
      </c>
      <c r="G1947">
        <v>-226.40710000000001</v>
      </c>
      <c r="H1947">
        <v>1.052878</v>
      </c>
      <c r="I1947">
        <v>284.947</v>
      </c>
      <c r="J1947">
        <v>-225.70660000000001</v>
      </c>
      <c r="K1947">
        <v>1.1021939999999999</v>
      </c>
      <c r="L1947">
        <v>284.87079999999997</v>
      </c>
      <c r="M1947">
        <v>-0.99859940000000003</v>
      </c>
      <c r="N1947">
        <v>0</v>
      </c>
      <c r="O1947">
        <v>-5.2660419999999999E-2</v>
      </c>
      <c r="P1947">
        <v>-0.99919259999999999</v>
      </c>
      <c r="Q1947">
        <v>-3.867662E-3</v>
      </c>
      <c r="R1947">
        <v>-3.9992659999999999E-2</v>
      </c>
      <c r="S1947">
        <v>-3.011536</v>
      </c>
      <c r="T1947">
        <v>-0.1645095</v>
      </c>
      <c r="U1947">
        <v>0.22604369999999999</v>
      </c>
      <c r="V1947">
        <v>1.268684E-2</v>
      </c>
      <c r="W1947">
        <v>1.2124219999999999E-3</v>
      </c>
      <c r="X1947">
        <v>0.9999188</v>
      </c>
      <c r="Y1947">
        <v>0.12699169999999901</v>
      </c>
      <c r="Z1947">
        <v>6.332051E-3</v>
      </c>
      <c r="AA1947">
        <v>0.99188359999999998</v>
      </c>
      <c r="AB1947">
        <v>24</v>
      </c>
      <c r="AC1947">
        <v>-0.70050000000000501</v>
      </c>
      <c r="AD1947">
        <v>-4.9316000000000103E-2</v>
      </c>
      <c r="AE1947">
        <v>7.6200000000028398E-2</v>
      </c>
      <c r="AF1947">
        <v>0.11243263858550701</v>
      </c>
      <c r="AG1947">
        <v>-4.9316000000000103E-2</v>
      </c>
      <c r="AH1947">
        <v>0.69212496233868503</v>
      </c>
      <c r="AI1947">
        <v>94.023050805404594</v>
      </c>
      <c r="AJ1947">
        <v>80.773151791224095</v>
      </c>
      <c r="AK1947">
        <v>0.70292967611819202</v>
      </c>
    </row>
    <row r="1948" spans="1:37" x14ac:dyDescent="0.2">
      <c r="A1948" t="str">
        <f>"20200111155537955"</f>
        <v>20200111155537955</v>
      </c>
      <c r="B1948" t="str">
        <f>"1578729337944588"</f>
        <v>1578729337944588</v>
      </c>
      <c r="C1948" t="s">
        <v>37</v>
      </c>
      <c r="D1948">
        <v>5.0815659999999996</v>
      </c>
      <c r="E1948">
        <v>0.54497609999999996</v>
      </c>
      <c r="F1948" t="s">
        <v>40</v>
      </c>
      <c r="G1948">
        <v>-226.6189</v>
      </c>
      <c r="H1948">
        <v>1.051164</v>
      </c>
      <c r="I1948">
        <v>284.94099999999997</v>
      </c>
      <c r="J1948">
        <v>-225.8546</v>
      </c>
      <c r="K1948">
        <v>1.102266</v>
      </c>
      <c r="L1948">
        <v>284.86470000000003</v>
      </c>
      <c r="M1948">
        <v>-0.99868210000000002</v>
      </c>
      <c r="N1948">
        <v>0</v>
      </c>
      <c r="O1948">
        <v>-5.1021120000000003E-2</v>
      </c>
      <c r="P1948">
        <v>-0.99923490000000004</v>
      </c>
      <c r="Q1948">
        <v>-4.2884819999999997E-3</v>
      </c>
      <c r="R1948">
        <v>-3.8874909999999999E-2</v>
      </c>
      <c r="S1948">
        <v>-3.0110169999999998</v>
      </c>
      <c r="T1948">
        <v>-0.16840459999999999</v>
      </c>
      <c r="U1948">
        <v>0.231597899999999</v>
      </c>
      <c r="V1948">
        <v>1.216397E-2</v>
      </c>
      <c r="W1948">
        <v>1.2219589999999999E-3</v>
      </c>
      <c r="X1948">
        <v>0.99992530000000002</v>
      </c>
      <c r="Y1948">
        <v>0.12718499999999999</v>
      </c>
      <c r="Z1948">
        <v>6.3963630000000004E-3</v>
      </c>
      <c r="AA1948">
        <v>0.99185840000000003</v>
      </c>
      <c r="AB1948">
        <v>24</v>
      </c>
      <c r="AC1948">
        <v>-0.76429999999999099</v>
      </c>
      <c r="AD1948">
        <v>-5.1101999999999898E-2</v>
      </c>
      <c r="AE1948">
        <v>7.6299999999946494E-2</v>
      </c>
      <c r="AF1948">
        <v>0.114689017983025</v>
      </c>
      <c r="AG1948">
        <v>-5.1101999999999898E-2</v>
      </c>
      <c r="AH1948">
        <v>0.75606497972573905</v>
      </c>
      <c r="AI1948">
        <v>93.823104405350193</v>
      </c>
      <c r="AJ1948">
        <v>81.374446124975904</v>
      </c>
      <c r="AK1948">
        <v>0.76641975367131099</v>
      </c>
    </row>
    <row r="1949" spans="1:37" x14ac:dyDescent="0.2">
      <c r="A1949" t="str">
        <f>"20200111155537975"</f>
        <v>20200111155537975</v>
      </c>
      <c r="B1949" t="str">
        <f>"1578729337964109"</f>
        <v>1578729337964109</v>
      </c>
      <c r="C1949" t="s">
        <v>37</v>
      </c>
      <c r="D1949">
        <v>5.0219120000000004</v>
      </c>
      <c r="E1949">
        <v>0.545382699999999</v>
      </c>
      <c r="F1949" t="s">
        <v>59</v>
      </c>
      <c r="G1949">
        <v>-245.43090000000001</v>
      </c>
      <c r="H1949" s="1">
        <v>1.3532630000000001E-6</v>
      </c>
      <c r="I1949">
        <v>286.40300000000002</v>
      </c>
      <c r="J1949">
        <v>-226.06299999999999</v>
      </c>
      <c r="K1949">
        <v>1.1023620000000001</v>
      </c>
      <c r="L1949">
        <v>284.85669999999999</v>
      </c>
      <c r="M1949">
        <v>-0.99879169999999995</v>
      </c>
      <c r="N1949">
        <v>0</v>
      </c>
      <c r="O1949">
        <v>-4.8763630000000002E-2</v>
      </c>
      <c r="P1949">
        <v>-0.99927600000000005</v>
      </c>
      <c r="Q1949">
        <v>-5.0054239999999996E-3</v>
      </c>
      <c r="R1949">
        <v>-3.7714350000000001E-2</v>
      </c>
      <c r="S1949">
        <v>-3.0107879999999998</v>
      </c>
      <c r="T1949">
        <v>-0.16952579999999901</v>
      </c>
      <c r="U1949">
        <v>0.23657229999999899</v>
      </c>
      <c r="V1949">
        <v>1.1064289999999999E-2</v>
      </c>
      <c r="W1949">
        <v>1.085583E-3</v>
      </c>
      <c r="X1949">
        <v>0.9999382</v>
      </c>
      <c r="Y1949">
        <v>0.12657869999999999</v>
      </c>
      <c r="Z1949">
        <v>6.2951429999999996E-3</v>
      </c>
      <c r="AA1949">
        <v>0.99193659999999995</v>
      </c>
      <c r="AB1949">
        <v>24</v>
      </c>
      <c r="AC1949">
        <v>-19.367899999999999</v>
      </c>
      <c r="AD1949">
        <v>-1.102360646737</v>
      </c>
      <c r="AE1949">
        <v>1.54630000000003</v>
      </c>
      <c r="AF1949">
        <v>2.4809408865529701</v>
      </c>
      <c r="AG1949">
        <v>-1.102360646737</v>
      </c>
      <c r="AH1949">
        <v>19.207623837636401</v>
      </c>
      <c r="AI1949">
        <v>93.257702860620796</v>
      </c>
      <c r="AJ1949">
        <v>82.640174524780505</v>
      </c>
      <c r="AK1949">
        <v>19.3985329385029</v>
      </c>
    </row>
    <row r="1950" spans="1:37" x14ac:dyDescent="0.2">
      <c r="A1950" t="str">
        <f>"20200111155537989"</f>
        <v>20200111155537989</v>
      </c>
      <c r="B1950" t="str">
        <f>"1578729337984605"</f>
        <v>1578729337984605</v>
      </c>
      <c r="C1950" t="s">
        <v>37</v>
      </c>
      <c r="D1950">
        <v>4.995825</v>
      </c>
      <c r="E1950">
        <v>0.545018</v>
      </c>
      <c r="F1950" t="s">
        <v>59</v>
      </c>
      <c r="G1950">
        <v>-245.6808</v>
      </c>
      <c r="H1950" s="1">
        <v>1.4862419999999999E-6</v>
      </c>
      <c r="I1950">
        <v>286.44380000000001</v>
      </c>
      <c r="J1950">
        <v>-226.22030000000001</v>
      </c>
      <c r="K1950">
        <v>1.102433</v>
      </c>
      <c r="L1950">
        <v>284.85090000000002</v>
      </c>
      <c r="M1950">
        <v>-0.99886830000000004</v>
      </c>
      <c r="N1950">
        <v>0</v>
      </c>
      <c r="O1950">
        <v>-4.7111029999999998E-2</v>
      </c>
      <c r="P1950">
        <v>-0.99931329999999996</v>
      </c>
      <c r="Q1950">
        <v>-5.0335099999999997E-3</v>
      </c>
      <c r="R1950">
        <v>-3.6706629999999997E-2</v>
      </c>
      <c r="S1950">
        <v>-3.010513</v>
      </c>
      <c r="T1950">
        <v>-0.16916679999999901</v>
      </c>
      <c r="U1950">
        <v>0.24356079999999899</v>
      </c>
      <c r="V1950">
        <v>1.041978E-2</v>
      </c>
      <c r="W1950">
        <v>1.4646679999999999E-3</v>
      </c>
      <c r="X1950">
        <v>0.99994459999999996</v>
      </c>
      <c r="Y1950">
        <v>0.1272356</v>
      </c>
      <c r="Z1950">
        <v>6.2076340000000001E-3</v>
      </c>
      <c r="AA1950">
        <v>0.99185309999999904</v>
      </c>
      <c r="AB1950">
        <v>24</v>
      </c>
      <c r="AC1950">
        <v>-19.4605</v>
      </c>
      <c r="AD1950">
        <v>-1.1024315137580001</v>
      </c>
      <c r="AE1950">
        <v>1.59289999999998</v>
      </c>
      <c r="AF1950">
        <v>2.4999854923435998</v>
      </c>
      <c r="AG1950">
        <v>-1.1024315137580001</v>
      </c>
      <c r="AH1950">
        <v>19.302314020489</v>
      </c>
      <c r="AI1950">
        <v>93.241818595227798</v>
      </c>
      <c r="AJ1950">
        <v>82.620281053555004</v>
      </c>
      <c r="AK1950">
        <v>19.494732859160301</v>
      </c>
    </row>
    <row r="1951" spans="1:37" x14ac:dyDescent="0.2">
      <c r="A1951" t="str">
        <f>"20200111155538009"</f>
        <v>20200111155538009</v>
      </c>
      <c r="B1951" t="str">
        <f>"1578729338004126"</f>
        <v>1578729338004126</v>
      </c>
      <c r="C1951" t="s">
        <v>37</v>
      </c>
      <c r="D1951">
        <v>4.9442839999999997</v>
      </c>
      <c r="E1951">
        <v>0.54516200000000004</v>
      </c>
      <c r="F1951" t="s">
        <v>59</v>
      </c>
      <c r="G1951">
        <v>-246.15010000000001</v>
      </c>
      <c r="H1951" s="1">
        <v>1.735961E-6</v>
      </c>
      <c r="I1951">
        <v>286.46589999999998</v>
      </c>
      <c r="J1951">
        <v>-226.4204</v>
      </c>
      <c r="K1951">
        <v>1.102528</v>
      </c>
      <c r="L1951">
        <v>284.84379999999999</v>
      </c>
      <c r="M1951">
        <v>-0.99895940000000005</v>
      </c>
      <c r="N1951">
        <v>0</v>
      </c>
      <c r="O1951">
        <v>-4.5070329999999999E-2</v>
      </c>
      <c r="P1951">
        <v>-0.9993533</v>
      </c>
      <c r="Q1951">
        <v>-4.4353919999999998E-3</v>
      </c>
      <c r="R1951">
        <v>-3.5686490000000001E-2</v>
      </c>
      <c r="S1951">
        <v>-3.0101779999999998</v>
      </c>
      <c r="T1951">
        <v>-0.16651079999999999</v>
      </c>
      <c r="U1951">
        <v>0.243927</v>
      </c>
      <c r="V1951">
        <v>9.4021609999999992E-3</v>
      </c>
      <c r="W1951">
        <v>2.542795E-3</v>
      </c>
      <c r="X1951">
        <v>0.99995259999999997</v>
      </c>
      <c r="Y1951">
        <v>0.125352399999999</v>
      </c>
      <c r="Z1951">
        <v>5.9463889999999998E-3</v>
      </c>
      <c r="AA1951">
        <v>0.99209449999999999</v>
      </c>
      <c r="AB1951">
        <v>24</v>
      </c>
      <c r="AC1951">
        <v>-19.729700000000001</v>
      </c>
      <c r="AD1951">
        <v>-1.1025262640389999</v>
      </c>
      <c r="AE1951">
        <v>1.6220999999999799</v>
      </c>
      <c r="AF1951">
        <v>2.5019368866032501</v>
      </c>
      <c r="AG1951">
        <v>-1.1025262640389999</v>
      </c>
      <c r="AH1951">
        <v>19.5758197435858</v>
      </c>
      <c r="AI1951">
        <v>93.197584427882504</v>
      </c>
      <c r="AJ1951">
        <v>82.716654721073397</v>
      </c>
      <c r="AK1951">
        <v>19.7658283656619</v>
      </c>
    </row>
    <row r="1952" spans="1:37" x14ac:dyDescent="0.2">
      <c r="A1952" t="str">
        <f>"20200111155538022"</f>
        <v>20200111155538022</v>
      </c>
      <c r="B1952" t="str">
        <f>"1578729338014861"</f>
        <v>1578729338014861</v>
      </c>
      <c r="C1952" t="s">
        <v>37</v>
      </c>
      <c r="D1952">
        <v>4.9631730000000003</v>
      </c>
      <c r="E1952">
        <v>0.54534950000000004</v>
      </c>
      <c r="F1952" t="s">
        <v>59</v>
      </c>
      <c r="G1952">
        <v>-246.87520000000001</v>
      </c>
      <c r="H1952" s="1">
        <v>2.1218210000000001E-6</v>
      </c>
      <c r="I1952">
        <v>286.5308</v>
      </c>
      <c r="J1952">
        <v>-226.57429999999999</v>
      </c>
      <c r="K1952">
        <v>1.102595</v>
      </c>
      <c r="L1952">
        <v>284.83859999999999</v>
      </c>
      <c r="M1952">
        <v>-0.99902420000000003</v>
      </c>
      <c r="N1952">
        <v>0</v>
      </c>
      <c r="O1952">
        <v>-4.3551220000000002E-2</v>
      </c>
      <c r="P1952">
        <v>-0.99939179999999905</v>
      </c>
      <c r="Q1952">
        <v>-4.2028639999999997E-3</v>
      </c>
      <c r="R1952">
        <v>-3.4620919999999999E-2</v>
      </c>
      <c r="S1952">
        <v>-3.0101009999999899</v>
      </c>
      <c r="T1952">
        <v>-0.1622469</v>
      </c>
      <c r="U1952">
        <v>0.2482605</v>
      </c>
      <c r="V1952">
        <v>8.9499100000000002E-3</v>
      </c>
      <c r="W1952">
        <v>3.111183E-3</v>
      </c>
      <c r="X1952">
        <v>0.99995509999999999</v>
      </c>
      <c r="Y1952">
        <v>0.12528010000000001</v>
      </c>
      <c r="Z1952">
        <v>5.7105300000000001E-3</v>
      </c>
      <c r="AA1952">
        <v>0.99210489999999996</v>
      </c>
      <c r="AB1952">
        <v>24</v>
      </c>
      <c r="AC1952">
        <v>-20.300899999999999</v>
      </c>
      <c r="AD1952">
        <v>-1.102592878179</v>
      </c>
      <c r="AE1952">
        <v>1.6922000000000099</v>
      </c>
      <c r="AF1952">
        <v>2.5672264787936898</v>
      </c>
      <c r="AG1952">
        <v>-1.102592878179</v>
      </c>
      <c r="AH1952">
        <v>20.1489118917581</v>
      </c>
      <c r="AI1952">
        <v>93.107157927665597</v>
      </c>
      <c r="AJ1952">
        <v>82.738915719944501</v>
      </c>
      <c r="AK1952">
        <v>20.341706252678499</v>
      </c>
    </row>
    <row r="1953" spans="1:37" x14ac:dyDescent="0.2">
      <c r="A1953" t="str">
        <f>"20200111155538042"</f>
        <v>20200111155538042</v>
      </c>
      <c r="B1953" t="str">
        <f>"1578729338034382"</f>
        <v>1578729338034382</v>
      </c>
      <c r="C1953" t="s">
        <v>37</v>
      </c>
      <c r="D1953">
        <v>5.1541600000000001</v>
      </c>
      <c r="E1953">
        <v>0.54482569999999997</v>
      </c>
      <c r="F1953" t="s">
        <v>59</v>
      </c>
      <c r="G1953">
        <v>-247.30510000000001</v>
      </c>
      <c r="H1953" s="1">
        <v>2.3506489999999999E-6</v>
      </c>
      <c r="I1953">
        <v>286.5804</v>
      </c>
      <c r="J1953">
        <v>-226.78110000000001</v>
      </c>
      <c r="K1953">
        <v>1.1026799999999899</v>
      </c>
      <c r="L1953">
        <v>284.83190000000002</v>
      </c>
      <c r="M1953">
        <v>-0.99910509999999997</v>
      </c>
      <c r="N1953">
        <v>0</v>
      </c>
      <c r="O1953">
        <v>-4.1584799999999998E-2</v>
      </c>
      <c r="P1953">
        <v>-0.99943549999999903</v>
      </c>
      <c r="Q1953">
        <v>-3.9941079999999997E-3</v>
      </c>
      <c r="R1953">
        <v>-3.3366220000000002E-2</v>
      </c>
      <c r="S1953">
        <v>-3.0099179999999999</v>
      </c>
      <c r="T1953">
        <v>-0.1600858</v>
      </c>
      <c r="U1953">
        <v>0.25289919999999999</v>
      </c>
      <c r="V1953">
        <v>8.2392969999999996E-3</v>
      </c>
      <c r="W1953">
        <v>3.7181929999999998E-3</v>
      </c>
      <c r="X1953">
        <v>0.99995919999999905</v>
      </c>
      <c r="Y1953">
        <v>0.12486069999999901</v>
      </c>
      <c r="Z1953">
        <v>5.5191009999999898E-3</v>
      </c>
      <c r="AA1953">
        <v>0.99215889999999995</v>
      </c>
      <c r="AB1953">
        <v>24</v>
      </c>
      <c r="AC1953">
        <v>-20.524000000000001</v>
      </c>
      <c r="AD1953">
        <v>-1.102677649351</v>
      </c>
      <c r="AE1953">
        <v>1.74849999999997</v>
      </c>
      <c r="AF1953">
        <v>2.5930683472995502</v>
      </c>
      <c r="AG1953">
        <v>-1.102677649351</v>
      </c>
      <c r="AH1953">
        <v>20.375142753846699</v>
      </c>
      <c r="AI1953">
        <v>93.073016825405205</v>
      </c>
      <c r="AJ1953">
        <v>82.747169663007497</v>
      </c>
      <c r="AK1953">
        <v>20.569062781074301</v>
      </c>
    </row>
    <row r="1954" spans="1:37" x14ac:dyDescent="0.2">
      <c r="A1954" t="str">
        <f>"20200111155538056"</f>
        <v>20200111155538056</v>
      </c>
      <c r="B1954" t="str">
        <f>"1578729338053901"</f>
        <v>1578729338053901</v>
      </c>
      <c r="C1954" t="s">
        <v>37</v>
      </c>
      <c r="D1954">
        <v>5.1356190000000002</v>
      </c>
      <c r="E1954">
        <v>0.54437930000000001</v>
      </c>
      <c r="F1954" t="s">
        <v>59</v>
      </c>
      <c r="G1954">
        <v>-247.74950000000001</v>
      </c>
      <c r="H1954" s="1">
        <v>2.5871199999999999E-6</v>
      </c>
      <c r="I1954">
        <v>286.59309999999999</v>
      </c>
      <c r="J1954">
        <v>-226.94309999999999</v>
      </c>
      <c r="K1954">
        <v>1.1027420000000001</v>
      </c>
      <c r="L1954">
        <v>284.82679999999999</v>
      </c>
      <c r="M1954">
        <v>-0.99916360000000004</v>
      </c>
      <c r="N1954">
        <v>0</v>
      </c>
      <c r="O1954">
        <v>-4.0097550000000003E-2</v>
      </c>
      <c r="P1954">
        <v>-0.99946170000000001</v>
      </c>
      <c r="Q1954">
        <v>-4.4091720000000003E-3</v>
      </c>
      <c r="R1954">
        <v>-3.2515710000000003E-2</v>
      </c>
      <c r="S1954">
        <v>-3.009506</v>
      </c>
      <c r="T1954">
        <v>-0.15826229999999999</v>
      </c>
      <c r="U1954">
        <v>0.25277709999999998</v>
      </c>
      <c r="V1954">
        <v>7.6006310000000001E-3</v>
      </c>
      <c r="W1954">
        <v>3.5784809999999901E-3</v>
      </c>
      <c r="X1954">
        <v>0.99996469999999904</v>
      </c>
      <c r="Y1954">
        <v>0.1233645</v>
      </c>
      <c r="Z1954">
        <v>5.3397929999999998E-3</v>
      </c>
      <c r="AA1954">
        <v>0.99234709999999904</v>
      </c>
      <c r="AB1954">
        <v>24</v>
      </c>
      <c r="AC1954">
        <v>-20.8064</v>
      </c>
      <c r="AD1954">
        <v>-1.1027394128800001</v>
      </c>
      <c r="AE1954">
        <v>1.7663</v>
      </c>
      <c r="AF1954">
        <v>2.5919631472071099</v>
      </c>
      <c r="AG1954">
        <v>-1.1027394128800001</v>
      </c>
      <c r="AH1954">
        <v>20.661217093106401</v>
      </c>
      <c r="AI1954">
        <v>93.031400440295499</v>
      </c>
      <c r="AJ1954">
        <v>82.849561865451193</v>
      </c>
      <c r="AK1954">
        <v>20.852342768563702</v>
      </c>
    </row>
    <row r="1955" spans="1:37" x14ac:dyDescent="0.2">
      <c r="A1955" t="str">
        <f>"20200111155538075"</f>
        <v>20200111155538075</v>
      </c>
      <c r="B1955" t="str">
        <f>"1578729338064166"</f>
        <v>1578729338064166</v>
      </c>
      <c r="C1955" t="s">
        <v>37</v>
      </c>
      <c r="D1955">
        <v>5.1799289999999996</v>
      </c>
      <c r="E1955">
        <v>0.5440083</v>
      </c>
      <c r="F1955" t="s">
        <v>59</v>
      </c>
      <c r="G1955">
        <v>-247.83699999999999</v>
      </c>
      <c r="H1955" s="1">
        <v>2.6336480000000001E-6</v>
      </c>
      <c r="I1955">
        <v>286.57400000000001</v>
      </c>
      <c r="J1955">
        <v>-227.14500000000001</v>
      </c>
      <c r="K1955">
        <v>1.1028100000000001</v>
      </c>
      <c r="L1955">
        <v>284.82080000000002</v>
      </c>
      <c r="M1955">
        <v>-0.99923109999999904</v>
      </c>
      <c r="N1955">
        <v>0</v>
      </c>
      <c r="O1955">
        <v>-3.8317240000000002E-2</v>
      </c>
      <c r="P1955">
        <v>-0.99948869999999901</v>
      </c>
      <c r="Q1955">
        <v>-4.8790400000000003E-3</v>
      </c>
      <c r="R1955">
        <v>-3.1601310000000001E-2</v>
      </c>
      <c r="S1955">
        <v>-3.0090939999999899</v>
      </c>
      <c r="T1955">
        <v>-0.15881439999999999</v>
      </c>
      <c r="U1955">
        <v>0.25161739999999999</v>
      </c>
      <c r="V1955">
        <v>6.7324749999999999E-3</v>
      </c>
      <c r="W1955">
        <v>3.4001449999999998E-3</v>
      </c>
      <c r="X1955">
        <v>0.99997159999999996</v>
      </c>
      <c r="Y1955">
        <v>0.12123159999999999</v>
      </c>
      <c r="Z1955">
        <v>5.2093069999999998E-3</v>
      </c>
      <c r="AA1955">
        <v>0.99261060000000001</v>
      </c>
      <c r="AB1955">
        <v>24</v>
      </c>
      <c r="AC1955">
        <v>-20.692</v>
      </c>
      <c r="AD1955">
        <v>-1.1028073663519999</v>
      </c>
      <c r="AE1955">
        <v>1.7531999999999901</v>
      </c>
      <c r="AF1955">
        <v>2.53764329807853</v>
      </c>
      <c r="AG1955">
        <v>-1.1028073663519999</v>
      </c>
      <c r="AH1955">
        <v>20.551662313130599</v>
      </c>
      <c r="AI1955">
        <v>93.048453194448498</v>
      </c>
      <c r="AJ1955">
        <v>82.960957976706396</v>
      </c>
      <c r="AK1955">
        <v>20.737083725261801</v>
      </c>
    </row>
    <row r="1956" spans="1:37" x14ac:dyDescent="0.2">
      <c r="A1956" t="str">
        <f>"20200111155538090"</f>
        <v>20200111155538090</v>
      </c>
      <c r="B1956" t="str">
        <f>"1578729338084664"</f>
        <v>1578729338084664</v>
      </c>
      <c r="C1956" t="s">
        <v>37</v>
      </c>
      <c r="D1956">
        <v>4.9959989999999896</v>
      </c>
      <c r="E1956">
        <v>0.54411909999999997</v>
      </c>
      <c r="F1956" t="s">
        <v>59</v>
      </c>
      <c r="G1956">
        <v>-247.91890000000001</v>
      </c>
      <c r="H1956" s="1">
        <v>2.6772299999999999E-6</v>
      </c>
      <c r="I1956">
        <v>286.5591</v>
      </c>
      <c r="J1956">
        <v>-227.30860000000001</v>
      </c>
      <c r="K1956">
        <v>1.102859</v>
      </c>
      <c r="L1956">
        <v>284.81610000000001</v>
      </c>
      <c r="M1956">
        <v>-0.99928159999999899</v>
      </c>
      <c r="N1956">
        <v>0</v>
      </c>
      <c r="O1956">
        <v>-3.6937579999999998E-2</v>
      </c>
      <c r="P1956">
        <v>-0.99951829999999997</v>
      </c>
      <c r="Q1956">
        <v>-4.7074020000000003E-3</v>
      </c>
      <c r="R1956">
        <v>-3.067781E-2</v>
      </c>
      <c r="S1956">
        <v>-3.0087429999999999</v>
      </c>
      <c r="T1956">
        <v>-0.1597227</v>
      </c>
      <c r="U1956">
        <v>0.25176999999999999</v>
      </c>
      <c r="V1956">
        <v>6.2764329999999997E-3</v>
      </c>
      <c r="W1956">
        <v>3.7558629999999999E-3</v>
      </c>
      <c r="X1956">
        <v>0.99997320000000001</v>
      </c>
      <c r="Y1956">
        <v>0.1199219</v>
      </c>
      <c r="Z1956">
        <v>5.1318969999999998E-3</v>
      </c>
      <c r="AA1956">
        <v>0.99277009999999899</v>
      </c>
      <c r="AB1956">
        <v>24</v>
      </c>
      <c r="AC1956">
        <v>-20.610299999999899</v>
      </c>
      <c r="AD1956">
        <v>-1.1028563227699999</v>
      </c>
      <c r="AE1956">
        <v>1.7429999999999899</v>
      </c>
      <c r="AF1956">
        <v>2.4960362337782098</v>
      </c>
      <c r="AG1956">
        <v>-1.1028563227699999</v>
      </c>
      <c r="AH1956">
        <v>20.473643265941899</v>
      </c>
      <c r="AI1956">
        <v>93.0607601336242</v>
      </c>
      <c r="AJ1956">
        <v>83.049109374057906</v>
      </c>
      <c r="AK1956">
        <v>20.654698195085199</v>
      </c>
    </row>
    <row r="1957" spans="1:37" x14ac:dyDescent="0.2">
      <c r="A1957" t="str">
        <f>"20200111155538109"</f>
        <v>20200111155538109</v>
      </c>
      <c r="B1957" t="str">
        <f>"1578729338104184"</f>
        <v>1578729338104184</v>
      </c>
      <c r="C1957" t="s">
        <v>37</v>
      </c>
      <c r="D1957">
        <v>4.9943479999999996</v>
      </c>
      <c r="E1957">
        <v>0.54401429999999995</v>
      </c>
      <c r="F1957" t="s">
        <v>59</v>
      </c>
      <c r="G1957">
        <v>-248.27440000000001</v>
      </c>
      <c r="H1957" s="1">
        <v>2.8664179999999999E-6</v>
      </c>
      <c r="I1957">
        <v>286.59530000000001</v>
      </c>
      <c r="J1957">
        <v>-227.50380000000001</v>
      </c>
      <c r="K1957">
        <v>1.1029040000000001</v>
      </c>
      <c r="L1957">
        <v>284.81079999999997</v>
      </c>
      <c r="M1957">
        <v>-0.99933749999999999</v>
      </c>
      <c r="N1957">
        <v>0</v>
      </c>
      <c r="O1957">
        <v>-3.5356609999999997E-2</v>
      </c>
      <c r="P1957">
        <v>-0.99954140000000002</v>
      </c>
      <c r="Q1957">
        <v>-4.0049279999999996E-3</v>
      </c>
      <c r="R1957">
        <v>-3.002326E-2</v>
      </c>
      <c r="S1957">
        <v>-3.0085449999999998</v>
      </c>
      <c r="T1957">
        <v>-0.15825799999999901</v>
      </c>
      <c r="U1957">
        <v>0.25531009999999998</v>
      </c>
      <c r="V1957">
        <v>5.3517319999999997E-3</v>
      </c>
      <c r="W1957">
        <v>4.6146399999999997E-3</v>
      </c>
      <c r="X1957">
        <v>0.99997499999999995</v>
      </c>
      <c r="Y1957">
        <v>0.119523399999999</v>
      </c>
      <c r="Z1957">
        <v>4.9915569999999998E-3</v>
      </c>
      <c r="AA1957">
        <v>0.9928188</v>
      </c>
      <c r="AB1957">
        <v>24</v>
      </c>
      <c r="AC1957">
        <v>-20.770600000000002</v>
      </c>
      <c r="AD1957">
        <v>-1.102901133582</v>
      </c>
      <c r="AE1957">
        <v>1.78450000000003</v>
      </c>
      <c r="AF1957">
        <v>2.51076225346032</v>
      </c>
      <c r="AG1957">
        <v>-1.102901133582</v>
      </c>
      <c r="AH1957">
        <v>20.6367568003635</v>
      </c>
      <c r="AI1957">
        <v>93.036827356180396</v>
      </c>
      <c r="AJ1957">
        <v>83.063225914868696</v>
      </c>
      <c r="AK1957">
        <v>20.818166327541999</v>
      </c>
    </row>
    <row r="1958" spans="1:37" x14ac:dyDescent="0.2">
      <c r="A1958" t="str">
        <f>"20200111155538125"</f>
        <v>20200111155538125</v>
      </c>
      <c r="B1958" t="str">
        <f>"1578729338113944"</f>
        <v>1578729338113944</v>
      </c>
      <c r="C1958" t="s">
        <v>37</v>
      </c>
      <c r="D1958">
        <v>5.0322430000000002</v>
      </c>
      <c r="E1958">
        <v>0.54408800000000002</v>
      </c>
      <c r="F1958" t="s">
        <v>59</v>
      </c>
      <c r="G1958">
        <v>-248.47229999999999</v>
      </c>
      <c r="H1958" s="1">
        <v>2.971736E-6</v>
      </c>
      <c r="I1958">
        <v>286.59789999999998</v>
      </c>
      <c r="J1958">
        <v>-227.68559999999999</v>
      </c>
      <c r="K1958">
        <v>1.1029359999999999</v>
      </c>
      <c r="L1958">
        <v>284.80590000000001</v>
      </c>
      <c r="M1958">
        <v>-0.99938579999999999</v>
      </c>
      <c r="N1958">
        <v>0</v>
      </c>
      <c r="O1958">
        <v>-3.3946619999999997E-2</v>
      </c>
      <c r="P1958">
        <v>-0.9995716</v>
      </c>
      <c r="Q1958">
        <v>-3.6535489999999999E-3</v>
      </c>
      <c r="R1958">
        <v>-2.9044879999999999E-2</v>
      </c>
      <c r="S1958">
        <v>-3.0084379999999999</v>
      </c>
      <c r="T1958">
        <v>-0.1582384</v>
      </c>
      <c r="U1958">
        <v>0.25640869999999999</v>
      </c>
      <c r="V1958">
        <v>4.9202859999999899E-3</v>
      </c>
      <c r="W1958">
        <v>5.0461719999999998E-3</v>
      </c>
      <c r="X1958">
        <v>0.99997510000000001</v>
      </c>
      <c r="Y1958">
        <v>0.11848889999999999</v>
      </c>
      <c r="Z1958">
        <v>4.8899039999999996E-3</v>
      </c>
      <c r="AA1958">
        <v>0.99294329999999997</v>
      </c>
      <c r="AB1958">
        <v>24</v>
      </c>
      <c r="AC1958">
        <v>-20.7867</v>
      </c>
      <c r="AD1958">
        <v>-1.102933028264</v>
      </c>
      <c r="AE1958">
        <v>1.7919999999999701</v>
      </c>
      <c r="AF1958">
        <v>2.4896744832292099</v>
      </c>
      <c r="AG1958">
        <v>-1.102933028264</v>
      </c>
      <c r="AH1958">
        <v>20.656159367988199</v>
      </c>
      <c r="AI1958">
        <v>93.034478050592696</v>
      </c>
      <c r="AJ1958">
        <v>83.127326694829094</v>
      </c>
      <c r="AK1958">
        <v>20.834871253094001</v>
      </c>
    </row>
    <row r="1959" spans="1:37" x14ac:dyDescent="0.2">
      <c r="A1959" t="str">
        <f>"20200111155538178"</f>
        <v>20200111155538178</v>
      </c>
      <c r="B1959" t="str">
        <f>"1578729338174455"</f>
        <v>1578729338174455</v>
      </c>
      <c r="C1959" t="s">
        <v>37</v>
      </c>
      <c r="D1959">
        <v>5.0661050000000003</v>
      </c>
      <c r="E1959">
        <v>0.54399160000000002</v>
      </c>
      <c r="F1959" t="s">
        <v>59</v>
      </c>
      <c r="G1959">
        <v>-248.77799999999999</v>
      </c>
      <c r="H1959" s="1">
        <v>3.1344419999999999E-6</v>
      </c>
      <c r="I1959">
        <v>286.6277</v>
      </c>
      <c r="J1959">
        <v>-228.25980000000001</v>
      </c>
      <c r="K1959">
        <v>1.10297</v>
      </c>
      <c r="L1959">
        <v>284.7919</v>
      </c>
      <c r="M1959">
        <v>-0.99951859999999904</v>
      </c>
      <c r="N1959">
        <v>0</v>
      </c>
      <c r="O1959">
        <v>-2.9805760000000001E-2</v>
      </c>
      <c r="P1959">
        <v>-0.99964929999999996</v>
      </c>
      <c r="Q1959">
        <v>-2.5996370000000001E-3</v>
      </c>
      <c r="R1959">
        <v>-2.6361409999999998E-2</v>
      </c>
      <c r="S1959">
        <v>-3.0082550000000001</v>
      </c>
      <c r="T1959">
        <v>-0.15730279999999999</v>
      </c>
      <c r="U1959">
        <v>0.25982670000000002</v>
      </c>
      <c r="V1959">
        <v>3.4625490000000001E-3</v>
      </c>
      <c r="W1959">
        <v>6.0227199999999996E-3</v>
      </c>
      <c r="X1959">
        <v>0.99997590000000003</v>
      </c>
      <c r="Y1959">
        <v>0.11551169999999999</v>
      </c>
      <c r="Z1959">
        <v>4.5674050000000001E-3</v>
      </c>
      <c r="AA1959">
        <v>0.99329559999999995</v>
      </c>
      <c r="AB1959">
        <v>24</v>
      </c>
      <c r="AC1959">
        <v>-20.518199999999901</v>
      </c>
      <c r="AD1959">
        <v>-1.1029668655580001</v>
      </c>
      <c r="AE1959">
        <v>1.8358000000000001</v>
      </c>
      <c r="AF1959">
        <v>2.4395739923794801</v>
      </c>
      <c r="AG1959">
        <v>-1.1029668655580001</v>
      </c>
      <c r="AH1959">
        <v>20.395894741821401</v>
      </c>
      <c r="AI1959">
        <v>93.073553712904101</v>
      </c>
      <c r="AJ1959">
        <v>83.179197528758706</v>
      </c>
      <c r="AK1959">
        <v>20.570867251778001</v>
      </c>
    </row>
    <row r="1960" spans="1:37" x14ac:dyDescent="0.2">
      <c r="A1960" t="str">
        <f>"20200111155538210"</f>
        <v>20200111155538210</v>
      </c>
      <c r="B1960" t="str">
        <f>"1578729338204711"</f>
        <v>1578729338204711</v>
      </c>
      <c r="C1960" t="s">
        <v>37</v>
      </c>
      <c r="D1960">
        <v>5.0416099999999897</v>
      </c>
      <c r="E1960">
        <v>0.5439484</v>
      </c>
      <c r="F1960" t="s">
        <v>59</v>
      </c>
      <c r="G1960">
        <v>-249.8245</v>
      </c>
      <c r="H1960" s="1">
        <v>3.691317E-6</v>
      </c>
      <c r="I1960">
        <v>286.7079</v>
      </c>
      <c r="J1960">
        <v>-228.60140000000001</v>
      </c>
      <c r="K1960">
        <v>1.1029519999999999</v>
      </c>
      <c r="L1960">
        <v>284.78440000000001</v>
      </c>
      <c r="M1960">
        <v>-0.99958599999999997</v>
      </c>
      <c r="N1960">
        <v>0</v>
      </c>
      <c r="O1960">
        <v>-2.7528859999999999E-2</v>
      </c>
      <c r="P1960">
        <v>-0.99969609999999998</v>
      </c>
      <c r="Q1960">
        <v>-1.716955E-3</v>
      </c>
      <c r="R1960">
        <v>-2.4599050000000001E-2</v>
      </c>
      <c r="S1960">
        <v>-3.0077210000000001</v>
      </c>
      <c r="T1960">
        <v>-0.15383569999999999</v>
      </c>
      <c r="U1960">
        <v>0.26724239999999999</v>
      </c>
      <c r="V1960">
        <v>2.948347E-3</v>
      </c>
      <c r="W1960">
        <v>6.6511779999999998E-3</v>
      </c>
      <c r="X1960">
        <v>0.99997349999999996</v>
      </c>
      <c r="Y1960">
        <v>0.1157059</v>
      </c>
      <c r="Z1960">
        <v>4.3559459999999899E-3</v>
      </c>
      <c r="AA1960">
        <v>0.99327399999999999</v>
      </c>
      <c r="AB1960">
        <v>24</v>
      </c>
      <c r="AC1960">
        <v>-21.223099999999899</v>
      </c>
      <c r="AD1960">
        <v>-1.1029483086830001</v>
      </c>
      <c r="AE1960">
        <v>1.92349999999998</v>
      </c>
      <c r="AF1960">
        <v>2.5003412481968699</v>
      </c>
      <c r="AG1960">
        <v>-1.1029483086830001</v>
      </c>
      <c r="AH1960">
        <v>21.105564929378399</v>
      </c>
      <c r="AI1960">
        <v>92.970742229083598</v>
      </c>
      <c r="AJ1960">
        <v>83.243754065327806</v>
      </c>
      <c r="AK1960">
        <v>21.281754446409501</v>
      </c>
    </row>
    <row r="1961" spans="1:37" x14ac:dyDescent="0.2">
      <c r="A1961" t="str">
        <f>"20200111155538224"</f>
        <v>20200111155538224</v>
      </c>
      <c r="B1961" t="str">
        <f>"1578729338214471"</f>
        <v>1578729338214471</v>
      </c>
      <c r="C1961" t="s">
        <v>37</v>
      </c>
      <c r="D1961">
        <v>5.0345420000000001</v>
      </c>
      <c r="E1961">
        <v>0.54400669999999995</v>
      </c>
      <c r="F1961" t="s">
        <v>59</v>
      </c>
      <c r="G1961">
        <v>-250.494</v>
      </c>
      <c r="H1961" s="1">
        <v>-1.2739270000000001E-6</v>
      </c>
      <c r="I1961">
        <v>286.76670000000001</v>
      </c>
      <c r="J1961">
        <v>-228.76259999999999</v>
      </c>
      <c r="K1961">
        <v>1.102935</v>
      </c>
      <c r="L1961">
        <v>284.78109999999998</v>
      </c>
      <c r="M1961">
        <v>-0.99961549999999999</v>
      </c>
      <c r="N1961">
        <v>0</v>
      </c>
      <c r="O1961">
        <v>-2.648607E-2</v>
      </c>
      <c r="P1961">
        <v>-0.99972499999999997</v>
      </c>
      <c r="Q1961">
        <v>-1.2178200000000001E-3</v>
      </c>
      <c r="R1961">
        <v>-2.3421460000000002E-2</v>
      </c>
      <c r="S1961">
        <v>-3.0073699999999999</v>
      </c>
      <c r="T1961">
        <v>-0.15151199999999901</v>
      </c>
      <c r="U1961">
        <v>0.2723083</v>
      </c>
      <c r="V1961">
        <v>3.0836700000000002E-3</v>
      </c>
      <c r="W1961">
        <v>6.993539E-3</v>
      </c>
      <c r="X1961">
        <v>0.99997080000000005</v>
      </c>
      <c r="Y1961">
        <v>0.116345699999999</v>
      </c>
      <c r="Z1961">
        <v>4.2540770000000002E-3</v>
      </c>
      <c r="AA1961">
        <v>0.99319959999999996</v>
      </c>
      <c r="AB1961">
        <v>24</v>
      </c>
      <c r="AC1961">
        <v>-21.731400000000001</v>
      </c>
      <c r="AD1961">
        <v>-1.1029362739270001</v>
      </c>
      <c r="AE1961">
        <v>1.98560000000003</v>
      </c>
      <c r="AF1961">
        <v>2.5539778626106702</v>
      </c>
      <c r="AG1961">
        <v>-1.1029362739270001</v>
      </c>
      <c r="AH1961">
        <v>21.615964112026401</v>
      </c>
      <c r="AI1961">
        <v>92.900793042467896</v>
      </c>
      <c r="AJ1961">
        <v>83.261606686764495</v>
      </c>
      <c r="AK1961">
        <v>21.794246393015399</v>
      </c>
    </row>
    <row r="1962" spans="1:37" x14ac:dyDescent="0.2">
      <c r="A1962" t="str">
        <f>"20200111155538242"</f>
        <v>20200111155538242</v>
      </c>
      <c r="B1962" t="str">
        <f>"1578729338234967"</f>
        <v>1578729338234967</v>
      </c>
      <c r="C1962" t="s">
        <v>37</v>
      </c>
      <c r="D1962">
        <v>5.0455990000000002</v>
      </c>
      <c r="E1962">
        <v>0.54401669999999902</v>
      </c>
      <c r="F1962" t="s">
        <v>59</v>
      </c>
      <c r="G1962">
        <v>-250.96080000000001</v>
      </c>
      <c r="H1962" s="1">
        <v>-1.0254909999999999E-6</v>
      </c>
      <c r="I1962">
        <v>286.820999999999</v>
      </c>
      <c r="J1962">
        <v>-228.97130000000001</v>
      </c>
      <c r="K1962">
        <v>1.1029139999999999</v>
      </c>
      <c r="L1962">
        <v>284.77690000000001</v>
      </c>
      <c r="M1962">
        <v>-0.99965130000000002</v>
      </c>
      <c r="N1962">
        <v>0</v>
      </c>
      <c r="O1962">
        <v>-2.516736E-2</v>
      </c>
      <c r="P1962">
        <v>-0.99975380000000003</v>
      </c>
      <c r="Q1962">
        <v>-2.4128609999999999E-4</v>
      </c>
      <c r="R1962">
        <v>-2.2190319999999999E-2</v>
      </c>
      <c r="S1962">
        <v>-3.0071110000000001</v>
      </c>
      <c r="T1962">
        <v>-0.14941079999999901</v>
      </c>
      <c r="U1962">
        <v>0.27633669999999999</v>
      </c>
      <c r="V1962">
        <v>2.9975449999999999E-3</v>
      </c>
      <c r="W1962">
        <v>7.7440599999999997E-3</v>
      </c>
      <c r="X1962">
        <v>0.99996549999999995</v>
      </c>
      <c r="Y1962">
        <v>0.11636920000000001</v>
      </c>
      <c r="Z1962">
        <v>4.1304740000000003E-3</v>
      </c>
      <c r="AA1962">
        <v>0.99319740000000001</v>
      </c>
      <c r="AB1962">
        <v>25</v>
      </c>
      <c r="AC1962">
        <v>-21.9894999999999</v>
      </c>
      <c r="AD1962">
        <v>-1.1029150254909901</v>
      </c>
      <c r="AE1962">
        <v>2.0440999999999501</v>
      </c>
      <c r="AF1962">
        <v>2.5904270078992599</v>
      </c>
      <c r="AG1962">
        <v>-1.1029150254909901</v>
      </c>
      <c r="AH1962">
        <v>21.8765255785002</v>
      </c>
      <c r="AI1962">
        <v>92.866159426516205</v>
      </c>
      <c r="AJ1962">
        <v>83.246979153658998</v>
      </c>
      <c r="AK1962">
        <v>22.056951399127701</v>
      </c>
    </row>
    <row r="1963" spans="1:37" x14ac:dyDescent="0.2">
      <c r="A1963" t="str">
        <f>"20200111155538256"</f>
        <v>20200111155538256</v>
      </c>
      <c r="B1963" t="str">
        <f>"1578729338254487"</f>
        <v>1578729338254487</v>
      </c>
      <c r="C1963" t="s">
        <v>37</v>
      </c>
      <c r="D1963">
        <v>5.0957660000000002</v>
      </c>
      <c r="E1963">
        <v>0.54397099999999998</v>
      </c>
      <c r="F1963" t="s">
        <v>59</v>
      </c>
      <c r="G1963">
        <v>-251.69159999999999</v>
      </c>
      <c r="H1963" s="1">
        <v>-6.3662629999999998E-7</v>
      </c>
      <c r="I1963">
        <v>286.89420000000001</v>
      </c>
      <c r="J1963">
        <v>-229.12860000000001</v>
      </c>
      <c r="K1963">
        <v>1.1028929999999999</v>
      </c>
      <c r="L1963">
        <v>284.774</v>
      </c>
      <c r="M1963">
        <v>-0.99967689999999998</v>
      </c>
      <c r="N1963">
        <v>0</v>
      </c>
      <c r="O1963">
        <v>-2.4193030000000001E-2</v>
      </c>
      <c r="P1963">
        <v>-0.99977609999999995</v>
      </c>
      <c r="Q1963">
        <v>4.345579E-4</v>
      </c>
      <c r="R1963">
        <v>-2.1159879999999999E-2</v>
      </c>
      <c r="S1963">
        <v>-3.0069270000000001</v>
      </c>
      <c r="T1963">
        <v>-0.14596619999999999</v>
      </c>
      <c r="U1963">
        <v>0.28021239999999997</v>
      </c>
      <c r="V1963">
        <v>3.054508E-3</v>
      </c>
      <c r="W1963">
        <v>8.2418609999999996E-3</v>
      </c>
      <c r="X1963">
        <v>0.9999614</v>
      </c>
      <c r="Y1963">
        <v>0.1166846</v>
      </c>
      <c r="Z1963">
        <v>3.9958210000000001E-3</v>
      </c>
      <c r="AA1963">
        <v>0.99316099999999996</v>
      </c>
      <c r="AB1963">
        <v>25</v>
      </c>
      <c r="AC1963">
        <v>-22.562999999999899</v>
      </c>
      <c r="AD1963">
        <v>-1.1028936366263</v>
      </c>
      <c r="AE1963">
        <v>2.1202000000000099</v>
      </c>
      <c r="AF1963">
        <v>2.6591653460866902</v>
      </c>
      <c r="AG1963">
        <v>-1.1028936366263</v>
      </c>
      <c r="AH1963">
        <v>22.451924713419999</v>
      </c>
      <c r="AI1963">
        <v>92.792760313949401</v>
      </c>
      <c r="AJ1963">
        <v>83.245457593916996</v>
      </c>
      <c r="AK1963">
        <v>22.635734095642199</v>
      </c>
    </row>
    <row r="1964" spans="1:37" x14ac:dyDescent="0.2">
      <c r="A1964" t="str">
        <f>"20200111155538276"</f>
        <v>20200111155538276</v>
      </c>
      <c r="B1964" t="str">
        <f>"1578729338264247"</f>
        <v>1578729338264247</v>
      </c>
      <c r="C1964" t="s">
        <v>37</v>
      </c>
      <c r="D1964">
        <v>5.1682420000000002</v>
      </c>
      <c r="E1964">
        <v>0.54397099999999998</v>
      </c>
      <c r="F1964" t="s">
        <v>59</v>
      </c>
      <c r="G1964">
        <v>-252.1695</v>
      </c>
      <c r="H1964" s="1">
        <v>-3.8229639999999999E-7</v>
      </c>
      <c r="I1964">
        <v>286.9409</v>
      </c>
      <c r="J1964">
        <v>-229.34559999999999</v>
      </c>
      <c r="K1964">
        <v>1.1028719999999901</v>
      </c>
      <c r="L1964">
        <v>284.77019999999999</v>
      </c>
      <c r="M1964">
        <v>-0.99970979999999998</v>
      </c>
      <c r="N1964">
        <v>0</v>
      </c>
      <c r="O1964">
        <v>-2.28732E-2</v>
      </c>
      <c r="P1964">
        <v>-0.99979819999999997</v>
      </c>
      <c r="Q1964">
        <v>7.0384419999999998E-4</v>
      </c>
      <c r="R1964">
        <v>-2.0082829999999999E-2</v>
      </c>
      <c r="S1964">
        <v>-3.0067140000000001</v>
      </c>
      <c r="T1964">
        <v>-0.14392189999999999</v>
      </c>
      <c r="U1964">
        <v>0.28277590000000002</v>
      </c>
      <c r="V1964">
        <v>2.8113220000000002E-3</v>
      </c>
      <c r="W1964">
        <v>8.2680870000000004E-3</v>
      </c>
      <c r="X1964">
        <v>0.99996189999999996</v>
      </c>
      <c r="Y1964">
        <v>0.11622589999999999</v>
      </c>
      <c r="Z1964">
        <v>3.86607099999999E-3</v>
      </c>
      <c r="AA1964">
        <v>0.99321530000000002</v>
      </c>
      <c r="AB1964">
        <v>25</v>
      </c>
      <c r="AC1964">
        <v>-22.823899999999998</v>
      </c>
      <c r="AD1964">
        <v>-1.1028723822963999</v>
      </c>
      <c r="AE1964">
        <v>2.1707000000000098</v>
      </c>
      <c r="AF1964">
        <v>2.6859872705413901</v>
      </c>
      <c r="AG1964">
        <v>-1.1028723822963999</v>
      </c>
      <c r="AH1964">
        <v>22.715712289219699</v>
      </c>
      <c r="AI1964">
        <v>92.760389152395305</v>
      </c>
      <c r="AJ1964">
        <v>83.256453663112197</v>
      </c>
      <c r="AK1964">
        <v>22.9005336163974</v>
      </c>
    </row>
    <row r="1965" spans="1:37" x14ac:dyDescent="0.2">
      <c r="A1965" t="str">
        <f>"20200111155538292"</f>
        <v>20200111155538292</v>
      </c>
      <c r="B1965" t="str">
        <f>"1578729338284743"</f>
        <v>1578729338284743</v>
      </c>
      <c r="C1965" t="s">
        <v>37</v>
      </c>
      <c r="D1965">
        <v>5.1110410000000002</v>
      </c>
      <c r="E1965">
        <v>0.54384089999999996</v>
      </c>
      <c r="F1965" t="s">
        <v>59</v>
      </c>
      <c r="G1965">
        <v>-252.5454</v>
      </c>
      <c r="H1965" s="1">
        <v>-1.82268E-7</v>
      </c>
      <c r="I1965">
        <v>286.97840000000002</v>
      </c>
      <c r="J1965">
        <v>-229.51769999999999</v>
      </c>
      <c r="K1965">
        <v>1.1028610000000001</v>
      </c>
      <c r="L1965">
        <v>284.76740000000001</v>
      </c>
      <c r="M1965">
        <v>-0.99973419999999902</v>
      </c>
      <c r="N1965">
        <v>0</v>
      </c>
      <c r="O1965">
        <v>-2.1847479999999999E-2</v>
      </c>
      <c r="P1965">
        <v>-0.99981900000000001</v>
      </c>
      <c r="Q1965">
        <v>1.119398E-3</v>
      </c>
      <c r="R1965">
        <v>-1.9012709999999999E-2</v>
      </c>
      <c r="S1965">
        <v>-3.0064540000000002</v>
      </c>
      <c r="T1965">
        <v>-0.1429213</v>
      </c>
      <c r="U1965">
        <v>0.28616329999999901</v>
      </c>
      <c r="V1965">
        <v>2.8561099999999998E-3</v>
      </c>
      <c r="W1965">
        <v>8.497437E-3</v>
      </c>
      <c r="X1965">
        <v>0.99995979999999995</v>
      </c>
      <c r="Y1965">
        <v>0.11632719999999901</v>
      </c>
      <c r="Z1965">
        <v>3.7931100000000001E-3</v>
      </c>
      <c r="AA1965">
        <v>0.99320370000000002</v>
      </c>
      <c r="AB1965">
        <v>25</v>
      </c>
      <c r="AC1965">
        <v>-23.027699999999999</v>
      </c>
      <c r="AD1965">
        <v>-1.1028611822679999</v>
      </c>
      <c r="AE1965">
        <v>2.2110000000000101</v>
      </c>
      <c r="AF1965">
        <v>2.7074297321576202</v>
      </c>
      <c r="AG1965">
        <v>-1.1028611822679999</v>
      </c>
      <c r="AH1965">
        <v>22.921801304113</v>
      </c>
      <c r="AI1965">
        <v>92.735621376384998</v>
      </c>
      <c r="AJ1965">
        <v>83.263667405156795</v>
      </c>
      <c r="AK1965">
        <v>23.107476140140498</v>
      </c>
    </row>
    <row r="1966" spans="1:37" x14ac:dyDescent="0.2">
      <c r="A1966" t="str">
        <f>"20200111155538310"</f>
        <v>20200111155538310</v>
      </c>
      <c r="B1966" t="str">
        <f>"1578729338304263"</f>
        <v>1578729338304263</v>
      </c>
      <c r="C1966" t="s">
        <v>37</v>
      </c>
      <c r="D1966">
        <v>5.1962890000000002</v>
      </c>
      <c r="E1966">
        <v>0.54379219999999995</v>
      </c>
      <c r="F1966" t="s">
        <v>59</v>
      </c>
      <c r="G1966">
        <v>-252.87540000000001</v>
      </c>
      <c r="H1966" s="1">
        <v>-6.6291219999999903E-9</v>
      </c>
      <c r="I1966">
        <v>287.00670000000002</v>
      </c>
      <c r="J1966">
        <v>-229.71809999999999</v>
      </c>
      <c r="K1966">
        <v>1.102849</v>
      </c>
      <c r="L1966">
        <v>284.76429999999999</v>
      </c>
      <c r="M1966">
        <v>-0.9997606</v>
      </c>
      <c r="N1966">
        <v>0</v>
      </c>
      <c r="O1966">
        <v>-2.0671160000000001E-2</v>
      </c>
      <c r="P1966">
        <v>-0.99983230000000001</v>
      </c>
      <c r="Q1966">
        <v>2.037222E-3</v>
      </c>
      <c r="R1966">
        <v>-1.8208950000000002E-2</v>
      </c>
      <c r="S1966">
        <v>-3.0061800000000001</v>
      </c>
      <c r="T1966">
        <v>-0.14194029999999999</v>
      </c>
      <c r="U1966">
        <v>0.28820800000000002</v>
      </c>
      <c r="V1966">
        <v>2.4847559999999999E-3</v>
      </c>
      <c r="W1966">
        <v>9.2098049999999997E-3</v>
      </c>
      <c r="X1966">
        <v>0.99995449999999997</v>
      </c>
      <c r="Y1966">
        <v>0.1158404</v>
      </c>
      <c r="Z1966">
        <v>3.7004629999999902E-3</v>
      </c>
      <c r="AA1966">
        <v>0.9932609</v>
      </c>
      <c r="AB1966">
        <v>25</v>
      </c>
      <c r="AC1966">
        <v>-23.157299999999999</v>
      </c>
      <c r="AD1966">
        <v>-1.1028490066291201</v>
      </c>
      <c r="AE1966">
        <v>2.2424000000000301</v>
      </c>
      <c r="AF1966">
        <v>2.7145218766167201</v>
      </c>
      <c r="AG1966">
        <v>-1.1028490066291201</v>
      </c>
      <c r="AH1966">
        <v>23.054194728679999</v>
      </c>
      <c r="AI1966">
        <v>92.720022281436599</v>
      </c>
      <c r="AJ1966">
        <v>83.284614231077896</v>
      </c>
      <c r="AK1966">
        <v>23.239638541465101</v>
      </c>
    </row>
    <row r="1967" spans="1:37" x14ac:dyDescent="0.2">
      <c r="A1967" t="str">
        <f>"20200111155538324"</f>
        <v>20200111155538324</v>
      </c>
      <c r="B1967" t="str">
        <f>"1578729338315000"</f>
        <v>1578729338315000</v>
      </c>
      <c r="C1967" t="s">
        <v>37</v>
      </c>
      <c r="D1967">
        <v>5.1636600000000001</v>
      </c>
      <c r="E1967">
        <v>0.52208719999999997</v>
      </c>
      <c r="F1967" t="s">
        <v>59</v>
      </c>
      <c r="G1967">
        <v>-253.41419999999999</v>
      </c>
      <c r="H1967" s="1">
        <v>2.8006780000000001E-7</v>
      </c>
      <c r="I1967">
        <v>287.05410000000001</v>
      </c>
      <c r="J1967">
        <v>-229.8784</v>
      </c>
      <c r="K1967">
        <v>1.1028439999999999</v>
      </c>
      <c r="L1967">
        <v>284.76190000000003</v>
      </c>
      <c r="M1967">
        <v>-0.99978049999999996</v>
      </c>
      <c r="N1967">
        <v>0</v>
      </c>
      <c r="O1967">
        <v>-1.9743030000000002E-2</v>
      </c>
      <c r="P1967">
        <v>-0.99984249999999997</v>
      </c>
      <c r="Q1967">
        <v>2.5459279999999998E-3</v>
      </c>
      <c r="R1967">
        <v>-1.7564960000000001E-2</v>
      </c>
      <c r="S1967">
        <v>-3.0060880000000001</v>
      </c>
      <c r="T1967">
        <v>-0.13990739999999999</v>
      </c>
      <c r="U1967">
        <v>0.2904968</v>
      </c>
      <c r="V1967">
        <v>2.2011719999999999E-3</v>
      </c>
      <c r="W1967">
        <v>9.5626500000000007E-3</v>
      </c>
      <c r="X1967">
        <v>0.99995179999999995</v>
      </c>
      <c r="Y1967">
        <v>0.115676</v>
      </c>
      <c r="Z1967">
        <v>3.6005939999999999E-3</v>
      </c>
      <c r="AA1967">
        <v>0.99328050000000001</v>
      </c>
      <c r="AB1967">
        <v>25</v>
      </c>
      <c r="AC1967">
        <v>-23.535799999999899</v>
      </c>
      <c r="AD1967">
        <v>-1.1028437199322001</v>
      </c>
      <c r="AE1967">
        <v>2.2921999999999798</v>
      </c>
      <c r="AF1967">
        <v>2.75045024983427</v>
      </c>
      <c r="AG1967">
        <v>-1.1028437199322001</v>
      </c>
      <c r="AH1967">
        <v>23.434983907187899</v>
      </c>
      <c r="AI1967">
        <v>92.675995049756693</v>
      </c>
      <c r="AJ1967">
        <v>83.306095756963799</v>
      </c>
      <c r="AK1967">
        <v>23.6215941794275</v>
      </c>
    </row>
    <row r="1968" spans="1:37" x14ac:dyDescent="0.2">
      <c r="A1968" t="str">
        <f>"20200111155538343"</f>
        <v>20200111155538343</v>
      </c>
      <c r="B1968" t="str">
        <f>"1578729338334518"</f>
        <v>1578729338334518</v>
      </c>
      <c r="C1968" t="s">
        <v>37</v>
      </c>
      <c r="D1968">
        <v>5.3310029999999999</v>
      </c>
      <c r="E1968">
        <v>0.50847730000000002</v>
      </c>
      <c r="F1968" t="s">
        <v>59</v>
      </c>
      <c r="G1968">
        <v>-277.4273</v>
      </c>
      <c r="H1968" s="1">
        <v>2.3253859999999998E-6</v>
      </c>
      <c r="I1968">
        <v>286.68130000000002</v>
      </c>
      <c r="J1968">
        <v>-230.0976</v>
      </c>
      <c r="K1968">
        <v>1.102835</v>
      </c>
      <c r="L1968">
        <v>284.75889999999998</v>
      </c>
      <c r="M1968">
        <v>-0.99980579999999997</v>
      </c>
      <c r="N1968">
        <v>0</v>
      </c>
      <c r="O1968">
        <v>-1.849367E-2</v>
      </c>
      <c r="P1968">
        <v>-0.99985550000000001</v>
      </c>
      <c r="Q1968">
        <v>2.9619759999999998E-3</v>
      </c>
      <c r="R1968">
        <v>-1.6755570000000001E-2</v>
      </c>
      <c r="S1968">
        <v>-3.002777</v>
      </c>
      <c r="T1968">
        <v>-6.9646E-2</v>
      </c>
      <c r="U1968">
        <v>0.1212158</v>
      </c>
      <c r="V1968">
        <v>1.7615689999999999E-3</v>
      </c>
      <c r="W1968">
        <v>9.781507E-3</v>
      </c>
      <c r="X1968">
        <v>0.99995059999999902</v>
      </c>
      <c r="Y1968">
        <v>5.8786449999999997E-2</v>
      </c>
      <c r="Z1968">
        <v>1.110113E-3</v>
      </c>
      <c r="AA1968">
        <v>0.99826999999999999</v>
      </c>
      <c r="AB1968">
        <v>25</v>
      </c>
      <c r="AC1968">
        <v>-47.329700000000003</v>
      </c>
      <c r="AD1968">
        <v>-1.102832674614</v>
      </c>
      <c r="AE1968">
        <v>1.9224000000000301</v>
      </c>
      <c r="AF1968">
        <v>2.79587585593762</v>
      </c>
      <c r="AG1968">
        <v>-1.102832674614</v>
      </c>
      <c r="AH1968">
        <v>47.2604348115417</v>
      </c>
      <c r="AI1968">
        <v>91.334434828442497</v>
      </c>
      <c r="AJ1968">
        <v>86.614390027213901</v>
      </c>
      <c r="AK1968">
        <v>47.355906287241503</v>
      </c>
    </row>
    <row r="1969" spans="1:37" x14ac:dyDescent="0.2">
      <c r="A1969" t="str">
        <f>"20200111155538364"</f>
        <v>20200111155538364</v>
      </c>
      <c r="B1969" t="str">
        <f>"1578729338354039"</f>
        <v>1578729338354039</v>
      </c>
      <c r="C1969" t="s">
        <v>37</v>
      </c>
      <c r="D1969">
        <v>5.148301</v>
      </c>
      <c r="E1969">
        <v>0.50510749999999904</v>
      </c>
      <c r="F1969" t="s">
        <v>59</v>
      </c>
      <c r="G1969">
        <v>-279.40429999999998</v>
      </c>
      <c r="H1969" s="1">
        <v>3.45072799999999E-6</v>
      </c>
      <c r="I1969">
        <v>285.00459999999998</v>
      </c>
      <c r="J1969">
        <v>-230.33920000000001</v>
      </c>
      <c r="K1969">
        <v>1.1028249999999999</v>
      </c>
      <c r="L1969">
        <v>284.7559</v>
      </c>
      <c r="M1969">
        <v>-0.99983109999999997</v>
      </c>
      <c r="N1969">
        <v>0</v>
      </c>
      <c r="O1969">
        <v>-1.7139769999999999E-2</v>
      </c>
      <c r="P1969">
        <v>-0.99986699999999995</v>
      </c>
      <c r="Q1969">
        <v>2.7043319999999998E-3</v>
      </c>
      <c r="R1969">
        <v>-1.6090409999999999E-2</v>
      </c>
      <c r="S1969">
        <v>-3.0008849999999998</v>
      </c>
      <c r="T1969">
        <v>-6.7120079999999999E-2</v>
      </c>
      <c r="U1969">
        <v>1.4953610000000001E-2</v>
      </c>
      <c r="V1969">
        <v>1.071565E-3</v>
      </c>
      <c r="W1969">
        <v>9.3280559999999995E-3</v>
      </c>
      <c r="X1969">
        <v>0.99995590000000001</v>
      </c>
      <c r="Y1969">
        <v>2.2112400000000001E-2</v>
      </c>
      <c r="Z1969">
        <v>6.305684E-4</v>
      </c>
      <c r="AA1969">
        <v>0.99975530000000001</v>
      </c>
      <c r="AB1969">
        <v>25</v>
      </c>
      <c r="AC1969">
        <v>-49.065099999999902</v>
      </c>
      <c r="AD1969">
        <v>-1.1028215492719999</v>
      </c>
      <c r="AE1969">
        <v>0.24869999999998499</v>
      </c>
      <c r="AF1969">
        <v>1.0890962963973601</v>
      </c>
      <c r="AG1969">
        <v>-1.1028215492719999</v>
      </c>
      <c r="AH1969">
        <v>49.028860584694897</v>
      </c>
      <c r="AI1969">
        <v>91.288236982743101</v>
      </c>
      <c r="AJ1969">
        <v>88.727476836426007</v>
      </c>
      <c r="AK1969">
        <v>49.053353772660799</v>
      </c>
    </row>
    <row r="1970" spans="1:37" x14ac:dyDescent="0.2">
      <c r="A1970" t="str">
        <f>"20200111155538390"</f>
        <v>20200111155538390</v>
      </c>
      <c r="B1970" t="str">
        <f>"1578729338384296"</f>
        <v>1578729338384296</v>
      </c>
      <c r="C1970" t="s">
        <v>37</v>
      </c>
      <c r="D1970">
        <v>5.1597999999999997</v>
      </c>
      <c r="E1970">
        <v>0.50266889999999997</v>
      </c>
      <c r="F1970" t="s">
        <v>59</v>
      </c>
      <c r="G1970">
        <v>-276.5591</v>
      </c>
      <c r="H1970" s="1">
        <v>1.9541399999999999E-6</v>
      </c>
      <c r="I1970">
        <v>284.60539999999997</v>
      </c>
      <c r="J1970">
        <v>-230.62099999999899</v>
      </c>
      <c r="K1970">
        <v>1.1028260000000001</v>
      </c>
      <c r="L1970">
        <v>284.7527</v>
      </c>
      <c r="M1970">
        <v>-0.99985780000000002</v>
      </c>
      <c r="N1970">
        <v>0</v>
      </c>
      <c r="O1970">
        <v>-1.558943E-2</v>
      </c>
      <c r="P1970">
        <v>-0.99988069999999896</v>
      </c>
      <c r="Q1970">
        <v>2.8613620000000001E-3</v>
      </c>
      <c r="R1970">
        <v>-1.51753999999999E-2</v>
      </c>
      <c r="S1970">
        <v>-3.0004430000000002</v>
      </c>
      <c r="T1970">
        <v>-7.1591500000000002E-2</v>
      </c>
      <c r="U1970">
        <v>-9.765625E-3</v>
      </c>
      <c r="V1970">
        <v>4.3555239999999999E-4</v>
      </c>
      <c r="W1970">
        <v>9.2851419999999997E-3</v>
      </c>
      <c r="X1970">
        <v>0.99995679999999998</v>
      </c>
      <c r="Y1970">
        <v>1.232741E-2</v>
      </c>
      <c r="Z1970">
        <v>5.1895529999999997E-4</v>
      </c>
      <c r="AA1970">
        <v>0.99992389999999998</v>
      </c>
      <c r="AB1970">
        <v>25</v>
      </c>
      <c r="AC1970">
        <v>-45.938099999999999</v>
      </c>
      <c r="AD1970">
        <v>-1.10282404586</v>
      </c>
      <c r="AE1970">
        <v>-0.14730000000002899</v>
      </c>
      <c r="AF1970">
        <v>0.56855383431587403</v>
      </c>
      <c r="AG1970">
        <v>-1.10282404586</v>
      </c>
      <c r="AH1970">
        <v>45.908355828316097</v>
      </c>
      <c r="AI1970">
        <v>91.376005948881996</v>
      </c>
      <c r="AJ1970">
        <v>89.290454444650294</v>
      </c>
      <c r="AK1970">
        <v>45.925119588281099</v>
      </c>
    </row>
    <row r="1971" spans="1:37" x14ac:dyDescent="0.2">
      <c r="A1971" t="str">
        <f>"20200111155538404"</f>
        <v>20200111155538404</v>
      </c>
      <c r="B1971" t="str">
        <f>"1578729338395031"</f>
        <v>1578729338395031</v>
      </c>
      <c r="C1971" t="s">
        <v>37</v>
      </c>
      <c r="D1971">
        <v>5.1635099999999996</v>
      </c>
      <c r="E1971">
        <v>0.50223930000000006</v>
      </c>
      <c r="F1971" t="s">
        <v>59</v>
      </c>
      <c r="G1971">
        <v>-274.20440000000002</v>
      </c>
      <c r="H1971" s="1">
        <v>7.1137369999999902E-7</v>
      </c>
      <c r="I1971">
        <v>284.36919999999998</v>
      </c>
      <c r="J1971">
        <v>-230.7961</v>
      </c>
      <c r="K1971">
        <v>1.102827</v>
      </c>
      <c r="L1971">
        <v>284.75099999999998</v>
      </c>
      <c r="M1971">
        <v>-0.99987289999999995</v>
      </c>
      <c r="N1971">
        <v>0</v>
      </c>
      <c r="O1971">
        <v>-1.4641039999999999E-2</v>
      </c>
      <c r="P1971">
        <v>-0.99989280000000003</v>
      </c>
      <c r="Q1971">
        <v>3.0140240000000001E-3</v>
      </c>
      <c r="R1971">
        <v>-1.433573E-2</v>
      </c>
      <c r="S1971">
        <v>-3.0001370000000001</v>
      </c>
      <c r="T1971">
        <v>-7.5914860000000001E-2</v>
      </c>
      <c r="U1971">
        <v>-2.6397710000000001E-2</v>
      </c>
      <c r="V1971">
        <v>3.2712689999999999E-4</v>
      </c>
      <c r="W1971">
        <v>9.3304400000000006E-3</v>
      </c>
      <c r="X1971">
        <v>0.99995639999999997</v>
      </c>
      <c r="Y1971">
        <v>5.8366599999999996E-3</v>
      </c>
      <c r="Z1971">
        <v>4.4423040000000002E-4</v>
      </c>
      <c r="AA1971">
        <v>0.99998290000000001</v>
      </c>
      <c r="AB1971">
        <v>25</v>
      </c>
      <c r="AC1971">
        <v>-43.408299999999997</v>
      </c>
      <c r="AD1971">
        <v>-1.1028262886263001</v>
      </c>
      <c r="AE1971">
        <v>-0.38179999999999797</v>
      </c>
      <c r="AF1971">
        <v>0.25363254028347398</v>
      </c>
      <c r="AG1971">
        <v>-1.1028262886263001</v>
      </c>
      <c r="AH1971">
        <v>43.381238477980702</v>
      </c>
      <c r="AI1971">
        <v>91.456219514108199</v>
      </c>
      <c r="AJ1971">
        <v>89.665018587828598</v>
      </c>
      <c r="AK1971">
        <v>43.395995289563402</v>
      </c>
    </row>
    <row r="1972" spans="1:37" x14ac:dyDescent="0.2">
      <c r="A1972" t="str">
        <f>"20200111155538423"</f>
        <v>20200111155538423</v>
      </c>
      <c r="B1972" t="str">
        <f>"1578729338414551"</f>
        <v>1578729338414551</v>
      </c>
      <c r="C1972" t="s">
        <v>37</v>
      </c>
      <c r="D1972">
        <v>5.1591719999999999</v>
      </c>
      <c r="E1972">
        <v>0.50154750000000003</v>
      </c>
      <c r="F1972" t="s">
        <v>59</v>
      </c>
      <c r="G1972">
        <v>-274.19299999999998</v>
      </c>
      <c r="H1972" s="1">
        <v>7.0599849999999995E-7</v>
      </c>
      <c r="I1972">
        <v>284.35410000000002</v>
      </c>
      <c r="J1972">
        <v>-231.00489999999999</v>
      </c>
      <c r="K1972">
        <v>1.10283</v>
      </c>
      <c r="L1972">
        <v>284.74900000000002</v>
      </c>
      <c r="M1972">
        <v>-0.99988940000000004</v>
      </c>
      <c r="N1972">
        <v>0</v>
      </c>
      <c r="O1972">
        <v>-1.3526720000000001E-2</v>
      </c>
      <c r="P1972">
        <v>-0.9999036</v>
      </c>
      <c r="Q1972">
        <v>2.9872059999999901E-3</v>
      </c>
      <c r="R1972">
        <v>-1.356211E-2</v>
      </c>
      <c r="S1972">
        <v>-3.0001530000000001</v>
      </c>
      <c r="T1972">
        <v>-7.6241489999999995E-2</v>
      </c>
      <c r="U1972">
        <v>-2.7435299999999999E-2</v>
      </c>
      <c r="V1972" s="1">
        <v>-1.4293950000000001E-5</v>
      </c>
      <c r="W1972">
        <v>9.1945459999999996E-3</v>
      </c>
      <c r="X1972">
        <v>0.99995769999999995</v>
      </c>
      <c r="Y1972">
        <v>4.3772209999999997E-3</v>
      </c>
      <c r="Z1972">
        <v>3.9928709999999999E-4</v>
      </c>
      <c r="AA1972">
        <v>0.9999903</v>
      </c>
      <c r="AB1972">
        <v>26</v>
      </c>
      <c r="AC1972">
        <v>-43.188099999999899</v>
      </c>
      <c r="AD1972">
        <v>-1.1028292940015001</v>
      </c>
      <c r="AE1972">
        <v>-0.39490000000000602</v>
      </c>
      <c r="AF1972">
        <v>0.18921725896355401</v>
      </c>
      <c r="AG1972">
        <v>-1.1028292940015001</v>
      </c>
      <c r="AH1972">
        <v>43.161348872043803</v>
      </c>
      <c r="AI1972">
        <v>91.463650076901502</v>
      </c>
      <c r="AJ1972">
        <v>89.748819692146895</v>
      </c>
      <c r="AK1972">
        <v>43.175850565762801</v>
      </c>
    </row>
    <row r="1973" spans="1:37" x14ac:dyDescent="0.2">
      <c r="A1973" t="str">
        <f>"20200111155538444"</f>
        <v>20200111155538444</v>
      </c>
      <c r="B1973" t="str">
        <f>"1578729338434070"</f>
        <v>1578729338434070</v>
      </c>
      <c r="C1973" t="s">
        <v>37</v>
      </c>
      <c r="D1973">
        <v>5.4201129999999997</v>
      </c>
      <c r="E1973">
        <v>0.50187440000000005</v>
      </c>
      <c r="F1973" t="s">
        <v>59</v>
      </c>
      <c r="G1973">
        <v>-274.95420000000001</v>
      </c>
      <c r="H1973" s="1">
        <v>1.1132889999999999E-6</v>
      </c>
      <c r="I1973">
        <v>284.30239999999998</v>
      </c>
      <c r="J1973">
        <v>-231.2535</v>
      </c>
      <c r="K1973">
        <v>1.102841</v>
      </c>
      <c r="L1973">
        <v>284.74709999999999</v>
      </c>
      <c r="M1973">
        <v>-0.99990669999999904</v>
      </c>
      <c r="N1973">
        <v>0</v>
      </c>
      <c r="O1973">
        <v>-1.2228859999999999E-2</v>
      </c>
      <c r="P1973">
        <v>-0.99990939999999995</v>
      </c>
      <c r="Q1973">
        <v>2.9739709999999902E-3</v>
      </c>
      <c r="R1973">
        <v>-1.313398E-2</v>
      </c>
      <c r="S1973">
        <v>-3.0001220000000002</v>
      </c>
      <c r="T1973">
        <v>-7.5282810000000006E-2</v>
      </c>
      <c r="U1973">
        <v>-3.048706E-2</v>
      </c>
      <c r="V1973">
        <v>-8.8479849999999996E-4</v>
      </c>
      <c r="W1973">
        <v>9.0801119999999996E-3</v>
      </c>
      <c r="X1973">
        <v>0.99995840000000003</v>
      </c>
      <c r="Y1973">
        <v>2.0633050000000001E-3</v>
      </c>
      <c r="Z1973">
        <v>3.3268369999999998E-4</v>
      </c>
      <c r="AA1973">
        <v>0.99999780000000005</v>
      </c>
      <c r="AB1973">
        <v>26</v>
      </c>
      <c r="AC1973">
        <v>-43.700699999999998</v>
      </c>
      <c r="AD1973">
        <v>-1.1028398867110001</v>
      </c>
      <c r="AE1973">
        <v>-0.44470000000001098</v>
      </c>
      <c r="AF1973">
        <v>8.9695776946415798E-2</v>
      </c>
      <c r="AG1973">
        <v>-1.1028398867110001</v>
      </c>
      <c r="AH1973">
        <v>43.675058135973103</v>
      </c>
      <c r="AI1973">
        <v>91.446466605434594</v>
      </c>
      <c r="AJ1973">
        <v>89.882331416297404</v>
      </c>
      <c r="AK1973">
        <v>43.689071909675</v>
      </c>
    </row>
    <row r="1974" spans="1:37" x14ac:dyDescent="0.2">
      <c r="A1974" t="str">
        <f>"20200111155538459"</f>
        <v>20200111155538459</v>
      </c>
      <c r="B1974" t="str">
        <f>"1578729338454567"</f>
        <v>1578729338454567</v>
      </c>
      <c r="C1974" t="s">
        <v>37</v>
      </c>
      <c r="D1974">
        <v>5.3186900000000001</v>
      </c>
      <c r="E1974">
        <v>0.5014923</v>
      </c>
      <c r="F1974" t="s">
        <v>59</v>
      </c>
      <c r="G1974">
        <v>-276.10419999999999</v>
      </c>
      <c r="H1974" s="1">
        <v>1.723306E-6</v>
      </c>
      <c r="I1974">
        <v>284.34739999999999</v>
      </c>
      <c r="J1974">
        <v>-231.4222</v>
      </c>
      <c r="K1974">
        <v>1.1028519999999999</v>
      </c>
      <c r="L1974">
        <v>284.74590000000001</v>
      </c>
      <c r="M1974">
        <v>-0.99991730000000001</v>
      </c>
      <c r="N1974">
        <v>0</v>
      </c>
      <c r="O1974">
        <v>-1.1362499999999999E-2</v>
      </c>
      <c r="P1974">
        <v>-0.99991359999999996</v>
      </c>
      <c r="Q1974">
        <v>3.09669E-3</v>
      </c>
      <c r="R1974">
        <v>-1.278141E-2</v>
      </c>
      <c r="S1974">
        <v>-3.0001370000000001</v>
      </c>
      <c r="T1974">
        <v>-7.3770760000000005E-2</v>
      </c>
      <c r="U1974">
        <v>-2.6733400000000001E-2</v>
      </c>
      <c r="V1974">
        <v>-1.398807E-3</v>
      </c>
      <c r="W1974">
        <v>9.1468650000000006E-3</v>
      </c>
      <c r="X1974">
        <v>0.99995719999999999</v>
      </c>
      <c r="Y1974">
        <v>2.4482850000000001E-3</v>
      </c>
      <c r="Z1974">
        <v>3.0943870000000001E-4</v>
      </c>
      <c r="AA1974">
        <v>0.99999699999999903</v>
      </c>
      <c r="AB1974">
        <v>26</v>
      </c>
      <c r="AC1974">
        <v>-44.681999999999903</v>
      </c>
      <c r="AD1974">
        <v>-1.102850276694</v>
      </c>
      <c r="AE1974">
        <v>-0.39850000000001201</v>
      </c>
      <c r="AF1974">
        <v>0.109167661967883</v>
      </c>
      <c r="AG1974">
        <v>-1.102850276694</v>
      </c>
      <c r="AH1974">
        <v>44.656440432900702</v>
      </c>
      <c r="AI1974">
        <v>91.414703797229393</v>
      </c>
      <c r="AJ1974">
        <v>89.859934339379393</v>
      </c>
      <c r="AK1974">
        <v>44.670189930740499</v>
      </c>
    </row>
    <row r="1975" spans="1:37" x14ac:dyDescent="0.2">
      <c r="A1975" t="str">
        <f>"20200111155538477"</f>
        <v>20200111155538477</v>
      </c>
      <c r="B1975" t="str">
        <f>"1578729338474087"</f>
        <v>1578729338474087</v>
      </c>
      <c r="C1975" t="s">
        <v>37</v>
      </c>
      <c r="D1975">
        <v>5.162998</v>
      </c>
      <c r="E1975">
        <v>0.50065609999999905</v>
      </c>
      <c r="F1975" t="s">
        <v>59</v>
      </c>
      <c r="G1975">
        <v>-276.28530000000001</v>
      </c>
      <c r="H1975" s="1">
        <v>1.8209260000000001E-6</v>
      </c>
      <c r="I1975">
        <v>284.31959999999998</v>
      </c>
      <c r="J1975">
        <v>-231.63849999999999</v>
      </c>
      <c r="K1975">
        <v>1.1028719999999901</v>
      </c>
      <c r="L1975">
        <v>284.74459999999999</v>
      </c>
      <c r="M1975">
        <v>-0.99992939999999997</v>
      </c>
      <c r="N1975">
        <v>0</v>
      </c>
      <c r="O1975">
        <v>-1.0275619999999999E-2</v>
      </c>
      <c r="P1975">
        <v>-0.99991430000000003</v>
      </c>
      <c r="Q1975">
        <v>3.646767E-3</v>
      </c>
      <c r="R1975">
        <v>-1.258745E-2</v>
      </c>
      <c r="S1975">
        <v>-3.0001370000000001</v>
      </c>
      <c r="T1975">
        <v>-7.3750969999999999E-2</v>
      </c>
      <c r="U1975">
        <v>-2.8503420000000002E-2</v>
      </c>
      <c r="V1975">
        <v>-2.2909189999999898E-3</v>
      </c>
      <c r="W1975">
        <v>9.6408459999999998E-3</v>
      </c>
      <c r="X1975">
        <v>0.99995089999999998</v>
      </c>
      <c r="Y1975">
        <v>7.7222779999999995E-4</v>
      </c>
      <c r="Z1975">
        <v>2.6204510000000001E-4</v>
      </c>
      <c r="AA1975">
        <v>0.99999959999999899</v>
      </c>
      <c r="AB1975">
        <v>26</v>
      </c>
      <c r="AC1975">
        <v>-44.646799999999999</v>
      </c>
      <c r="AD1975">
        <v>-1.1028701790739901</v>
      </c>
      <c r="AE1975">
        <v>-0.42500000000001098</v>
      </c>
      <c r="AF1975">
        <v>3.3783545190380099E-2</v>
      </c>
      <c r="AG1975">
        <v>-1.1028701790739901</v>
      </c>
      <c r="AH1975">
        <v>44.621584611216697</v>
      </c>
      <c r="AI1975">
        <v>91.415837796012198</v>
      </c>
      <c r="AJ1975">
        <v>89.956620675769003</v>
      </c>
      <c r="AK1975">
        <v>44.6352246233375</v>
      </c>
    </row>
    <row r="1976" spans="1:37" x14ac:dyDescent="0.2">
      <c r="A1976" t="str">
        <f>"20200111155538490"</f>
        <v>20200111155538490</v>
      </c>
      <c r="B1976" t="str">
        <f>"1578729338484823"</f>
        <v>1578729338484823</v>
      </c>
      <c r="C1976" t="s">
        <v>37</v>
      </c>
      <c r="D1976">
        <v>5.1689829999999999</v>
      </c>
      <c r="E1976">
        <v>0.50044769999999905</v>
      </c>
      <c r="F1976" t="s">
        <v>59</v>
      </c>
      <c r="G1976">
        <v>-277.54399999999998</v>
      </c>
      <c r="H1976" s="1">
        <v>2.4952240000000001E-6</v>
      </c>
      <c r="I1976">
        <v>284.21690000000001</v>
      </c>
      <c r="J1976">
        <v>-231.79679999999999</v>
      </c>
      <c r="K1976">
        <v>1.102886</v>
      </c>
      <c r="L1976">
        <v>284.74369999999999</v>
      </c>
      <c r="M1976">
        <v>-0.99993719999999997</v>
      </c>
      <c r="N1976">
        <v>0</v>
      </c>
      <c r="O1976">
        <v>-9.4981240000000001E-3</v>
      </c>
      <c r="P1976">
        <v>-0.99991739999999996</v>
      </c>
      <c r="Q1976">
        <v>3.6931889999999999E-3</v>
      </c>
      <c r="R1976">
        <v>-1.2317949999999999E-2</v>
      </c>
      <c r="S1976">
        <v>-3.000076</v>
      </c>
      <c r="T1976">
        <v>-7.2076080000000001E-2</v>
      </c>
      <c r="U1976">
        <v>-3.4484859999999999E-2</v>
      </c>
      <c r="V1976">
        <v>-2.7987250000000002E-3</v>
      </c>
      <c r="W1976">
        <v>9.6561040000000004E-3</v>
      </c>
      <c r="X1976">
        <v>0.99994950000000005</v>
      </c>
      <c r="Y1976">
        <v>-1.9978829999999898E-3</v>
      </c>
      <c r="Z1976">
        <v>2.0415289999999999E-4</v>
      </c>
      <c r="AA1976">
        <v>0.99999799999999905</v>
      </c>
      <c r="AB1976">
        <v>26</v>
      </c>
      <c r="AC1976">
        <v>-45.747199999999999</v>
      </c>
      <c r="AD1976">
        <v>-1.1028835047759999</v>
      </c>
      <c r="AE1976">
        <v>-0.52679999999997995</v>
      </c>
      <c r="AF1976">
        <v>-9.2202389311856994E-2</v>
      </c>
      <c r="AG1976">
        <v>-1.1028835047759999</v>
      </c>
      <c r="AH1976">
        <v>45.723568754856998</v>
      </c>
      <c r="AI1976">
        <v>91.381742344365705</v>
      </c>
      <c r="AJ1976">
        <v>90.1155378014424</v>
      </c>
      <c r="AK1976">
        <v>45.736960906752898</v>
      </c>
    </row>
    <row r="1977" spans="1:37" x14ac:dyDescent="0.2">
      <c r="A1977" t="str">
        <f>"20200111155538505"</f>
        <v>20200111155538505</v>
      </c>
      <c r="B1977" t="str">
        <f>"1578729338494583"</f>
        <v>1578729338494583</v>
      </c>
      <c r="C1977" t="s">
        <v>37</v>
      </c>
      <c r="D1977">
        <v>5.2934269999999897</v>
      </c>
      <c r="E1977">
        <v>0.50034089999999998</v>
      </c>
      <c r="F1977" t="s">
        <v>59</v>
      </c>
      <c r="G1977">
        <v>-276.9101</v>
      </c>
      <c r="H1977" s="1">
        <v>2.158119E-6</v>
      </c>
      <c r="I1977">
        <v>284.21190000000001</v>
      </c>
      <c r="J1977">
        <v>-231.9615</v>
      </c>
      <c r="K1977">
        <v>1.102903</v>
      </c>
      <c r="L1977">
        <v>284.74299999999999</v>
      </c>
      <c r="M1977">
        <v>-0.99994459999999996</v>
      </c>
      <c r="N1977">
        <v>0</v>
      </c>
      <c r="O1977">
        <v>-8.7021670000000002E-3</v>
      </c>
      <c r="P1977">
        <v>-0.99991980000000003</v>
      </c>
      <c r="Q1977">
        <v>3.8780830000000001E-3</v>
      </c>
      <c r="R1977">
        <v>-1.207604E-2</v>
      </c>
      <c r="S1977">
        <v>-3.000092</v>
      </c>
      <c r="T1977">
        <v>-7.3343039999999998E-2</v>
      </c>
      <c r="U1977">
        <v>-3.5369869999999998E-2</v>
      </c>
      <c r="V1977">
        <v>-3.3527769999999999E-3</v>
      </c>
      <c r="W1977">
        <v>9.8148850000000006E-3</v>
      </c>
      <c r="X1977">
        <v>0.99994620000000001</v>
      </c>
      <c r="Y1977">
        <v>-3.088295E-3</v>
      </c>
      <c r="Z1977">
        <v>1.749585E-4</v>
      </c>
      <c r="AA1977">
        <v>0.99999519999999997</v>
      </c>
      <c r="AB1977">
        <v>26</v>
      </c>
      <c r="AC1977">
        <v>-44.948599999999999</v>
      </c>
      <c r="AD1977">
        <v>-1.102900841881</v>
      </c>
      <c r="AE1977">
        <v>-0.53109999999998003</v>
      </c>
      <c r="AF1977">
        <v>-0.139838627306027</v>
      </c>
      <c r="AG1977">
        <v>-1.102900841881</v>
      </c>
      <c r="AH1977">
        <v>44.924476276854698</v>
      </c>
      <c r="AI1977">
        <v>91.406328397857607</v>
      </c>
      <c r="AJ1977">
        <v>90.178346815467407</v>
      </c>
      <c r="AK1977">
        <v>44.9382299813687</v>
      </c>
    </row>
    <row r="1978" spans="1:37" x14ac:dyDescent="0.2">
      <c r="A1978" t="str">
        <f>"20200111155538521"</f>
        <v>20200111155538521</v>
      </c>
      <c r="B1978" t="str">
        <f>"1578729338514103"</f>
        <v>1578729338514103</v>
      </c>
      <c r="C1978" t="s">
        <v>37</v>
      </c>
      <c r="D1978">
        <v>5.171189</v>
      </c>
      <c r="E1978">
        <v>0.50010889999999997</v>
      </c>
      <c r="F1978" t="s">
        <v>59</v>
      </c>
      <c r="G1978">
        <v>-276.92340000000002</v>
      </c>
      <c r="H1978" s="1">
        <v>2.1651919999999998E-6</v>
      </c>
      <c r="I1978">
        <v>284.21109999999999</v>
      </c>
      <c r="J1978">
        <v>-232.1617</v>
      </c>
      <c r="K1978">
        <v>1.1029370000000001</v>
      </c>
      <c r="L1978">
        <v>284.74220000000003</v>
      </c>
      <c r="M1978">
        <v>-0.99995259999999997</v>
      </c>
      <c r="N1978">
        <v>0</v>
      </c>
      <c r="O1978">
        <v>-7.7578259999999998E-3</v>
      </c>
      <c r="P1978">
        <v>-0.999911199999999</v>
      </c>
      <c r="Q1978">
        <v>5.482855E-3</v>
      </c>
      <c r="R1978">
        <v>-1.215778E-2</v>
      </c>
      <c r="S1978">
        <v>-3.0001069999999999</v>
      </c>
      <c r="T1978">
        <v>-7.3591710000000005E-2</v>
      </c>
      <c r="U1978">
        <v>-3.549194E-2</v>
      </c>
      <c r="V1978">
        <v>-4.3759380000000002E-3</v>
      </c>
      <c r="W1978">
        <v>1.139885E-2</v>
      </c>
      <c r="X1978">
        <v>0.99992539999999996</v>
      </c>
      <c r="Y1978">
        <v>-4.0727350000000001E-3</v>
      </c>
      <c r="Z1978">
        <v>1.4031929999999999E-4</v>
      </c>
      <c r="AA1978">
        <v>0.99999169999999904</v>
      </c>
      <c r="AB1978">
        <v>26</v>
      </c>
      <c r="AC1978">
        <v>-44.761699999999998</v>
      </c>
      <c r="AD1978">
        <v>-1.1029348348079999</v>
      </c>
      <c r="AE1978">
        <v>-0.53110000000003699</v>
      </c>
      <c r="AF1978">
        <v>-0.18371300403764501</v>
      </c>
      <c r="AG1978">
        <v>-1.1029348348079999</v>
      </c>
      <c r="AH1978">
        <v>44.737315372195901</v>
      </c>
      <c r="AI1978">
        <v>91.4122479138682</v>
      </c>
      <c r="AJ1978">
        <v>90.235282795107906</v>
      </c>
      <c r="AK1978">
        <v>44.751286042179899</v>
      </c>
    </row>
    <row r="1979" spans="1:37" x14ac:dyDescent="0.2">
      <c r="A1979" t="str">
        <f>"20200111155538544"</f>
        <v>20200111155538544</v>
      </c>
      <c r="B1979" t="str">
        <f>"1578729338534599"</f>
        <v>1578729338534599</v>
      </c>
      <c r="C1979" t="s">
        <v>37</v>
      </c>
      <c r="D1979">
        <v>5.2476099999999999</v>
      </c>
      <c r="E1979">
        <v>0.49963729999999901</v>
      </c>
      <c r="F1979" t="s">
        <v>59</v>
      </c>
      <c r="G1979">
        <v>-279.11669999999998</v>
      </c>
      <c r="H1979" s="1">
        <v>3.334937E-6</v>
      </c>
      <c r="I1979">
        <v>284.15289999999999</v>
      </c>
      <c r="J1979">
        <v>-232.42840000000001</v>
      </c>
      <c r="K1979">
        <v>1.1029739999999999</v>
      </c>
      <c r="L1979">
        <v>284.74149999999997</v>
      </c>
      <c r="M1979">
        <v>-0.99996130000000005</v>
      </c>
      <c r="N1979">
        <v>0</v>
      </c>
      <c r="O1979">
        <v>-6.5417440000000004E-3</v>
      </c>
      <c r="P1979">
        <v>-0.999911199999999</v>
      </c>
      <c r="Q1979">
        <v>5.3491290000000002E-3</v>
      </c>
      <c r="R1979">
        <v>-1.2214330000000001E-2</v>
      </c>
      <c r="S1979">
        <v>-3.0002140000000002</v>
      </c>
      <c r="T1979">
        <v>-7.0472480000000004E-2</v>
      </c>
      <c r="U1979">
        <v>-3.7658690000000002E-2</v>
      </c>
      <c r="V1979">
        <v>-5.6494809999999996E-3</v>
      </c>
      <c r="W1979">
        <v>1.1255329999999999E-2</v>
      </c>
      <c r="X1979">
        <v>0.9999207</v>
      </c>
      <c r="Y1979">
        <v>-6.0095529999999999E-3</v>
      </c>
      <c r="Z1979" s="1">
        <v>8.3065940000000003E-5</v>
      </c>
      <c r="AA1979">
        <v>0.99998189999999998</v>
      </c>
      <c r="AB1979">
        <v>26</v>
      </c>
      <c r="AC1979">
        <v>-46.688299999999899</v>
      </c>
      <c r="AD1979">
        <v>-1.10297066506299</v>
      </c>
      <c r="AE1979">
        <v>-0.58859999999998502</v>
      </c>
      <c r="AF1979">
        <v>-0.283001296215939</v>
      </c>
      <c r="AG1979">
        <v>-1.10297066506299</v>
      </c>
      <c r="AH1979">
        <v>46.665111845591703</v>
      </c>
      <c r="AI1979">
        <v>91.353958790273197</v>
      </c>
      <c r="AJ1979">
        <v>90.347466885832503</v>
      </c>
      <c r="AK1979">
        <v>46.679002748379702</v>
      </c>
    </row>
    <row r="1980" spans="1:37" x14ac:dyDescent="0.2">
      <c r="A1980" t="str">
        <f>"20200111155538559"</f>
        <v>20200111155538559</v>
      </c>
      <c r="B1980" t="str">
        <f>"1578729338554120"</f>
        <v>1578729338554120</v>
      </c>
      <c r="C1980" t="s">
        <v>37</v>
      </c>
      <c r="D1980">
        <v>5.1804790000000001</v>
      </c>
      <c r="E1980">
        <v>0.499332</v>
      </c>
      <c r="F1980" t="s">
        <v>59</v>
      </c>
      <c r="G1980">
        <v>-278.69290000000001</v>
      </c>
      <c r="H1980" s="1">
        <v>3.1117419999999899E-6</v>
      </c>
      <c r="I1980">
        <v>284.09960000000001</v>
      </c>
      <c r="J1980">
        <v>-232.60890000000001</v>
      </c>
      <c r="K1980">
        <v>1.1029959999999901</v>
      </c>
      <c r="L1980">
        <v>284.74110000000002</v>
      </c>
      <c r="M1980">
        <v>-0.99996629999999997</v>
      </c>
      <c r="N1980">
        <v>0</v>
      </c>
      <c r="O1980">
        <v>-5.7401350000000004E-3</v>
      </c>
      <c r="P1980">
        <v>-0.99991369999999902</v>
      </c>
      <c r="Q1980">
        <v>5.6014309999999996E-3</v>
      </c>
      <c r="R1980">
        <v>-1.18988999999999E-2</v>
      </c>
      <c r="S1980">
        <v>-3.0001370000000001</v>
      </c>
      <c r="T1980">
        <v>-7.1524859999999996E-2</v>
      </c>
      <c r="U1980">
        <v>-4.162598E-2</v>
      </c>
      <c r="V1980">
        <v>-6.1353219999999899E-3</v>
      </c>
      <c r="W1980">
        <v>1.1507079999999999E-2</v>
      </c>
      <c r="X1980">
        <v>0.99991489999999905</v>
      </c>
      <c r="Y1980">
        <v>-8.1327659999999996E-3</v>
      </c>
      <c r="Z1980" s="1">
        <v>3.9895979999999997E-5</v>
      </c>
      <c r="AA1980">
        <v>0.99996689999999999</v>
      </c>
      <c r="AB1980">
        <v>26</v>
      </c>
      <c r="AC1980">
        <v>-46.084000000000003</v>
      </c>
      <c r="AD1980">
        <v>-1.10299288825799</v>
      </c>
      <c r="AE1980">
        <v>-0.64150000000000695</v>
      </c>
      <c r="AF1980">
        <v>-0.37674071700673101</v>
      </c>
      <c r="AG1980">
        <v>-1.10299288825799</v>
      </c>
      <c r="AH1980">
        <v>46.060542190201197</v>
      </c>
      <c r="AI1980">
        <v>91.371730466304498</v>
      </c>
      <c r="AJ1980">
        <v>90.468626088341097</v>
      </c>
      <c r="AK1980">
        <v>46.075287017388199</v>
      </c>
    </row>
    <row r="1981" spans="1:37" x14ac:dyDescent="0.2">
      <c r="A1981" t="str">
        <f>"20200111155538577"</f>
        <v>20200111155538577</v>
      </c>
      <c r="B1981" t="str">
        <f>"1578729338574615"</f>
        <v>1578729338574615</v>
      </c>
      <c r="C1981" t="s">
        <v>37</v>
      </c>
      <c r="D1981">
        <v>5.1384790000000002</v>
      </c>
      <c r="E1981">
        <v>0.49915619999999999</v>
      </c>
      <c r="F1981" t="s">
        <v>59</v>
      </c>
      <c r="G1981">
        <v>-278.03789999999998</v>
      </c>
      <c r="H1981" s="1">
        <v>2.7636460000000001E-6</v>
      </c>
      <c r="I1981">
        <v>284.08859999999999</v>
      </c>
      <c r="J1981">
        <v>-232.8228</v>
      </c>
      <c r="K1981">
        <v>1.103024</v>
      </c>
      <c r="L1981">
        <v>284.74079999999998</v>
      </c>
      <c r="M1981">
        <v>-0.999971099999999</v>
      </c>
      <c r="N1981">
        <v>0</v>
      </c>
      <c r="O1981">
        <v>-4.8176750000000004E-3</v>
      </c>
      <c r="P1981">
        <v>-0.99990239999999997</v>
      </c>
      <c r="Q1981">
        <v>6.2656959999999899E-3</v>
      </c>
      <c r="R1981">
        <v>-1.2489419999999999E-2</v>
      </c>
      <c r="S1981">
        <v>-3.0001370000000001</v>
      </c>
      <c r="T1981">
        <v>-7.2841879999999998E-2</v>
      </c>
      <c r="U1981">
        <v>-4.3090820000000002E-2</v>
      </c>
      <c r="V1981">
        <v>-7.648129E-3</v>
      </c>
      <c r="W1981">
        <v>1.218033E-2</v>
      </c>
      <c r="X1981">
        <v>0.99989660000000002</v>
      </c>
      <c r="Y1981">
        <v>-9.5426509999999992E-3</v>
      </c>
      <c r="Z1981" s="1">
        <v>1.1257939999999999E-6</v>
      </c>
      <c r="AA1981">
        <v>0.99995449999999997</v>
      </c>
      <c r="AB1981">
        <v>26</v>
      </c>
      <c r="AC1981">
        <v>-45.2150999999999</v>
      </c>
      <c r="AD1981">
        <v>-1.103021236354</v>
      </c>
      <c r="AE1981">
        <v>-0.65219999999999301</v>
      </c>
      <c r="AF1981">
        <v>-0.43409872177931202</v>
      </c>
      <c r="AG1981">
        <v>-1.103021236354</v>
      </c>
      <c r="AH1981">
        <v>45.190829262477102</v>
      </c>
      <c r="AI1981">
        <v>91.398137697222197</v>
      </c>
      <c r="AJ1981">
        <v>90.550360772079301</v>
      </c>
      <c r="AK1981">
        <v>45.206372858021403</v>
      </c>
    </row>
    <row r="1982" spans="1:37" x14ac:dyDescent="0.2">
      <c r="A1982" t="str">
        <f>"20200111155538592"</f>
        <v>20200111155538592</v>
      </c>
      <c r="B1982" t="str">
        <f>"1578729338584376"</f>
        <v>1578729338584376</v>
      </c>
      <c r="C1982" t="s">
        <v>37</v>
      </c>
      <c r="D1982">
        <v>5.1992180000000001</v>
      </c>
      <c r="E1982">
        <v>0.49903979999999998</v>
      </c>
      <c r="F1982" t="s">
        <v>59</v>
      </c>
      <c r="G1982">
        <v>-278.04880000000003</v>
      </c>
      <c r="H1982" s="1">
        <v>2.77151799999999E-6</v>
      </c>
      <c r="I1982">
        <v>284.04160000000002</v>
      </c>
      <c r="J1982">
        <v>-232.9864</v>
      </c>
      <c r="K1982">
        <v>1.10304</v>
      </c>
      <c r="L1982">
        <v>284.74079999999998</v>
      </c>
      <c r="M1982">
        <v>-0.99997409999999998</v>
      </c>
      <c r="N1982">
        <v>0</v>
      </c>
      <c r="O1982">
        <v>-4.134937E-3</v>
      </c>
      <c r="P1982">
        <v>-0.99990069999999998</v>
      </c>
      <c r="Q1982">
        <v>6.6316730000000003E-3</v>
      </c>
      <c r="R1982">
        <v>-1.2446779999999999E-2</v>
      </c>
      <c r="S1982">
        <v>-3.0001829999999998</v>
      </c>
      <c r="T1982">
        <v>-7.3171730000000004E-2</v>
      </c>
      <c r="U1982">
        <v>-4.6386719999999999E-2</v>
      </c>
      <c r="V1982">
        <v>-8.28746E-3</v>
      </c>
      <c r="W1982">
        <v>1.2559860000000001E-2</v>
      </c>
      <c r="X1982">
        <v>0.99988679999999996</v>
      </c>
      <c r="Y1982">
        <v>-1.132267E-2</v>
      </c>
      <c r="Z1982" s="1">
        <v>-3.721894E-5</v>
      </c>
      <c r="AA1982">
        <v>0.99993589999999999</v>
      </c>
      <c r="AB1982">
        <v>26</v>
      </c>
      <c r="AC1982">
        <v>-45.062399999999997</v>
      </c>
      <c r="AD1982">
        <v>-1.103037228482</v>
      </c>
      <c r="AE1982">
        <v>-0.69919999999996196</v>
      </c>
      <c r="AF1982">
        <v>-0.51255357031111604</v>
      </c>
      <c r="AG1982">
        <v>-1.103037228482</v>
      </c>
      <c r="AH1982">
        <v>45.037926969766303</v>
      </c>
      <c r="AI1982">
        <v>91.402876656986393</v>
      </c>
      <c r="AJ1982">
        <v>90.652025761253398</v>
      </c>
      <c r="AK1982">
        <v>45.054347936951203</v>
      </c>
    </row>
    <row r="1983" spans="1:37" x14ac:dyDescent="0.2">
      <c r="A1983" t="str">
        <f>"20200111155538605"</f>
        <v>20200111155538605</v>
      </c>
      <c r="B1983" t="str">
        <f>"1578729338594135"</f>
        <v>1578729338594135</v>
      </c>
      <c r="C1983" t="s">
        <v>37</v>
      </c>
      <c r="D1983">
        <v>5.1986929999999996</v>
      </c>
      <c r="E1983">
        <v>0.4989519</v>
      </c>
      <c r="F1983" t="s">
        <v>59</v>
      </c>
      <c r="G1983">
        <v>-278.27839999999998</v>
      </c>
      <c r="H1983" s="1">
        <v>2.8942449999999999E-6</v>
      </c>
      <c r="I1983">
        <v>284.029</v>
      </c>
      <c r="J1983">
        <v>-233.1583</v>
      </c>
      <c r="K1983">
        <v>1.103064</v>
      </c>
      <c r="L1983">
        <v>284.74079999999998</v>
      </c>
      <c r="M1983">
        <v>-0.99997659999999999</v>
      </c>
      <c r="N1983">
        <v>0</v>
      </c>
      <c r="O1983">
        <v>-3.4350639999999998E-3</v>
      </c>
      <c r="P1983">
        <v>-0.99989680000000003</v>
      </c>
      <c r="Q1983">
        <v>6.9318929999999997E-3</v>
      </c>
      <c r="R1983">
        <v>-1.259206E-2</v>
      </c>
      <c r="S1983">
        <v>-3.0001980000000001</v>
      </c>
      <c r="T1983">
        <v>-7.3066469999999994E-2</v>
      </c>
      <c r="U1983">
        <v>-4.7149660000000003E-2</v>
      </c>
      <c r="V1983">
        <v>-9.1322809999999904E-3</v>
      </c>
      <c r="W1983">
        <v>1.288313E-2</v>
      </c>
      <c r="X1983">
        <v>0.99987530000000002</v>
      </c>
      <c r="Y1983">
        <v>-1.227616E-2</v>
      </c>
      <c r="Z1983" s="1">
        <v>-6.5814319999999999E-5</v>
      </c>
      <c r="AA1983">
        <v>0.999924699999999</v>
      </c>
      <c r="AB1983">
        <v>27</v>
      </c>
      <c r="AC1983">
        <v>-45.120099999999901</v>
      </c>
      <c r="AD1983">
        <v>-1.1030611057549999</v>
      </c>
      <c r="AE1983">
        <v>-0.711799999999982</v>
      </c>
      <c r="AF1983">
        <v>-0.55647015585233695</v>
      </c>
      <c r="AG1983">
        <v>-1.1030611057549999</v>
      </c>
      <c r="AH1983">
        <v>45.095333638327503</v>
      </c>
      <c r="AI1983">
        <v>91.401105881078706</v>
      </c>
      <c r="AJ1983">
        <v>90.7069860806685</v>
      </c>
      <c r="AK1983">
        <v>45.112254640944897</v>
      </c>
    </row>
    <row r="1984" spans="1:37" x14ac:dyDescent="0.2">
      <c r="A1984" t="str">
        <f>"20200111155538622"</f>
        <v>20200111155538622</v>
      </c>
      <c r="B1984" t="str">
        <f>"1578729338614631"</f>
        <v>1578729338614631</v>
      </c>
      <c r="C1984" t="s">
        <v>37</v>
      </c>
      <c r="D1984">
        <v>5.1514350000000002</v>
      </c>
      <c r="E1984">
        <v>0.49896069999999998</v>
      </c>
      <c r="F1984" t="s">
        <v>59</v>
      </c>
      <c r="G1984">
        <v>-278.64069999999998</v>
      </c>
      <c r="H1984" s="1">
        <v>3.0877449999999999E-6</v>
      </c>
      <c r="I1984">
        <v>284.01260000000002</v>
      </c>
      <c r="J1984">
        <v>-233.34799999999899</v>
      </c>
      <c r="K1984">
        <v>1.103092</v>
      </c>
      <c r="L1984">
        <v>284.74090000000001</v>
      </c>
      <c r="M1984">
        <v>-0.99997860000000005</v>
      </c>
      <c r="N1984">
        <v>0</v>
      </c>
      <c r="O1984">
        <v>-2.6870819999999999E-3</v>
      </c>
      <c r="P1984">
        <v>-0.9998918</v>
      </c>
      <c r="Q1984">
        <v>7.5247780000000002E-3</v>
      </c>
      <c r="R1984">
        <v>-1.2646009999999999E-2</v>
      </c>
      <c r="S1984">
        <v>-3.0002140000000002</v>
      </c>
      <c r="T1984">
        <v>-7.2762610000000005E-2</v>
      </c>
      <c r="U1984">
        <v>-4.8034670000000002E-2</v>
      </c>
      <c r="V1984">
        <v>-9.9336579999999997E-3</v>
      </c>
      <c r="W1984">
        <v>1.351393E-2</v>
      </c>
      <c r="X1984">
        <v>0.99985930000000001</v>
      </c>
      <c r="Y1984">
        <v>-1.3318399999999999E-2</v>
      </c>
      <c r="Z1984" s="1">
        <v>-9.6312609999999997E-5</v>
      </c>
      <c r="AA1984">
        <v>0.99991129999999995</v>
      </c>
      <c r="AB1984">
        <v>27</v>
      </c>
      <c r="AC1984">
        <v>-45.292700000000004</v>
      </c>
      <c r="AD1984">
        <v>-1.1030889122550001</v>
      </c>
      <c r="AE1984">
        <v>-0.72829999999998996</v>
      </c>
      <c r="AF1984">
        <v>-0.60623051380123905</v>
      </c>
      <c r="AG1984">
        <v>-1.1030889122550001</v>
      </c>
      <c r="AH1984">
        <v>45.2676499436608</v>
      </c>
      <c r="AI1984">
        <v>91.395790815713099</v>
      </c>
      <c r="AJ1984">
        <v>90.767266990586407</v>
      </c>
      <c r="AK1984">
        <v>45.285146041566598</v>
      </c>
    </row>
    <row r="1985" spans="1:37" x14ac:dyDescent="0.2">
      <c r="A1985" t="str">
        <f>"20200111155538635"</f>
        <v>20200111155538635</v>
      </c>
      <c r="B1985" t="str">
        <f>"1578729338624391"</f>
        <v>1578729338624391</v>
      </c>
      <c r="C1985" t="s">
        <v>37</v>
      </c>
      <c r="D1985">
        <v>5.1309909999999999</v>
      </c>
      <c r="E1985">
        <v>0.49889990000000001</v>
      </c>
      <c r="F1985" t="s">
        <v>59</v>
      </c>
      <c r="G1985">
        <v>-279.16739999999999</v>
      </c>
      <c r="H1985" s="1">
        <v>3.36835199999999E-6</v>
      </c>
      <c r="I1985">
        <v>284.005</v>
      </c>
      <c r="J1985">
        <v>-233.51779999999999</v>
      </c>
      <c r="K1985">
        <v>1.1031219999999999</v>
      </c>
      <c r="L1985">
        <v>284.74110000000002</v>
      </c>
      <c r="M1985">
        <v>-0.99997969999999903</v>
      </c>
      <c r="N1985">
        <v>0</v>
      </c>
      <c r="O1985">
        <v>-2.0427190000000001E-3</v>
      </c>
      <c r="P1985">
        <v>-0.9998939</v>
      </c>
      <c r="Q1985">
        <v>7.6467990000000001E-3</v>
      </c>
      <c r="R1985">
        <v>-1.239021E-2</v>
      </c>
      <c r="S1985">
        <v>-3.0002749999999998</v>
      </c>
      <c r="T1985">
        <v>-7.2230699999999995E-2</v>
      </c>
      <c r="U1985">
        <v>-4.8187260000000003E-2</v>
      </c>
      <c r="V1985">
        <v>-1.03222E-2</v>
      </c>
      <c r="W1985">
        <v>1.3684150000000001E-2</v>
      </c>
      <c r="X1985">
        <v>0.99985309999999905</v>
      </c>
      <c r="Y1985">
        <v>-1.401289E-2</v>
      </c>
      <c r="Z1985">
        <v>-1.194745E-4</v>
      </c>
      <c r="AA1985">
        <v>0.99990179999999995</v>
      </c>
      <c r="AB1985">
        <v>27</v>
      </c>
      <c r="AC1985">
        <v>-45.6495999999999</v>
      </c>
      <c r="AD1985">
        <v>-1.1031186316479999</v>
      </c>
      <c r="AE1985">
        <v>-0.73610000000002096</v>
      </c>
      <c r="AF1985">
        <v>-0.64247239072286799</v>
      </c>
      <c r="AG1985">
        <v>-1.1031186316479999</v>
      </c>
      <c r="AH1985">
        <v>45.624373318478597</v>
      </c>
      <c r="AI1985">
        <v>91.3849059945492</v>
      </c>
      <c r="AJ1985">
        <v>90.806773241858494</v>
      </c>
      <c r="AK1985">
        <v>45.642229154503703</v>
      </c>
    </row>
    <row r="1986" spans="1:37" x14ac:dyDescent="0.2">
      <c r="A1986" t="str">
        <f>"20200111155538656"</f>
        <v>20200111155538656</v>
      </c>
      <c r="B1986" t="str">
        <f>"1578729338644890"</f>
        <v>1578729338644890</v>
      </c>
      <c r="C1986" t="s">
        <v>37</v>
      </c>
      <c r="D1986">
        <v>5.1193010000000001</v>
      </c>
      <c r="E1986">
        <v>0.49876389999999998</v>
      </c>
      <c r="F1986" t="s">
        <v>59</v>
      </c>
      <c r="G1986">
        <v>-279.0324</v>
      </c>
      <c r="H1986" s="1">
        <v>3.296089E-6</v>
      </c>
      <c r="I1986">
        <v>284.01519999999999</v>
      </c>
      <c r="J1986">
        <v>-233.7645</v>
      </c>
      <c r="K1986">
        <v>1.103172</v>
      </c>
      <c r="L1986">
        <v>284.74160000000001</v>
      </c>
      <c r="M1986">
        <v>-0.9999808</v>
      </c>
      <c r="N1986">
        <v>0</v>
      </c>
      <c r="O1986">
        <v>-1.144118E-3</v>
      </c>
      <c r="P1986">
        <v>-0.99989709999999998</v>
      </c>
      <c r="Q1986">
        <v>7.4909979999999996E-3</v>
      </c>
      <c r="R1986">
        <v>-1.223782E-2</v>
      </c>
      <c r="S1986">
        <v>-3.0002749999999998</v>
      </c>
      <c r="T1986">
        <v>-7.2716359999999994E-2</v>
      </c>
      <c r="U1986">
        <v>-4.7851560000000001E-2</v>
      </c>
      <c r="V1986">
        <v>-1.107025E-2</v>
      </c>
      <c r="W1986">
        <v>1.361978E-2</v>
      </c>
      <c r="X1986">
        <v>0.99984599999999901</v>
      </c>
      <c r="Y1986">
        <v>-1.479902E-2</v>
      </c>
      <c r="Z1986">
        <v>-1.5157690000000001E-4</v>
      </c>
      <c r="AA1986">
        <v>0.99989050000000002</v>
      </c>
      <c r="AB1986">
        <v>27</v>
      </c>
      <c r="AC1986">
        <v>-45.267899999999997</v>
      </c>
      <c r="AD1986">
        <v>-1.1031687039110001</v>
      </c>
      <c r="AE1986">
        <v>-0.72640000000001204</v>
      </c>
      <c r="AF1986">
        <v>-0.67420644604703495</v>
      </c>
      <c r="AG1986">
        <v>-1.1031687039110001</v>
      </c>
      <c r="AH1986">
        <v>45.241839889987602</v>
      </c>
      <c r="AI1986">
        <v>91.396657946886094</v>
      </c>
      <c r="AJ1986">
        <v>90.853774399794602</v>
      </c>
      <c r="AK1986">
        <v>45.2603094571</v>
      </c>
    </row>
    <row r="1987" spans="1:37" x14ac:dyDescent="0.2">
      <c r="A1987" t="str">
        <f>"20200111155538669"</f>
        <v>20200111155538669</v>
      </c>
      <c r="B1987" t="str">
        <f>"1578729338664409"</f>
        <v>1578729338664409</v>
      </c>
      <c r="C1987" t="s">
        <v>37</v>
      </c>
      <c r="D1987">
        <v>5.1058529999999998</v>
      </c>
      <c r="E1987">
        <v>0.49860729999999998</v>
      </c>
      <c r="F1987" t="s">
        <v>59</v>
      </c>
      <c r="G1987">
        <v>-277.71940000000001</v>
      </c>
      <c r="H1987" s="1">
        <v>2.5967620000000001E-6</v>
      </c>
      <c r="I1987">
        <v>284.02890000000002</v>
      </c>
      <c r="J1987">
        <v>-233.92250000000001</v>
      </c>
      <c r="K1987">
        <v>1.1032109999999999</v>
      </c>
      <c r="L1987">
        <v>284.74200000000002</v>
      </c>
      <c r="M1987">
        <v>-0.9999806</v>
      </c>
      <c r="N1987">
        <v>0</v>
      </c>
      <c r="O1987">
        <v>-5.9868360000000002E-4</v>
      </c>
      <c r="P1987">
        <v>-0.9999034</v>
      </c>
      <c r="Q1987">
        <v>7.155298E-3</v>
      </c>
      <c r="R1987">
        <v>-1.192065E-2</v>
      </c>
      <c r="S1987">
        <v>-3.0002589999999998</v>
      </c>
      <c r="T1987">
        <v>-7.5299859999999996E-2</v>
      </c>
      <c r="U1987">
        <v>-4.8645019999999997E-2</v>
      </c>
      <c r="V1987">
        <v>-1.1299139999999999E-2</v>
      </c>
      <c r="W1987">
        <v>1.336851E-2</v>
      </c>
      <c r="X1987">
        <v>0.99984680000000004</v>
      </c>
      <c r="Y1987">
        <v>-1.560813E-2</v>
      </c>
      <c r="Z1987">
        <v>-1.80798499999999E-4</v>
      </c>
      <c r="AA1987">
        <v>0.99987819999999905</v>
      </c>
      <c r="AB1987">
        <v>27</v>
      </c>
      <c r="AC1987">
        <v>-43.796900000000001</v>
      </c>
      <c r="AD1987">
        <v>-1.1032084032380001</v>
      </c>
      <c r="AE1987">
        <v>-0.71309999999999696</v>
      </c>
      <c r="AF1987">
        <v>-0.68644345277029595</v>
      </c>
      <c r="AG1987">
        <v>-1.1032084032380001</v>
      </c>
      <c r="AH1987">
        <v>43.769554865751203</v>
      </c>
      <c r="AI1987">
        <v>91.443652745796399</v>
      </c>
      <c r="AJ1987">
        <v>90.8985032803607</v>
      </c>
      <c r="AK1987">
        <v>43.7888365515782</v>
      </c>
    </row>
    <row r="1988" spans="1:37" x14ac:dyDescent="0.2">
      <c r="A1988" t="str">
        <f>"20200111155538689"</f>
        <v>20200111155538689</v>
      </c>
      <c r="B1988" t="str">
        <f>"1578729338684903"</f>
        <v>1578729338684903</v>
      </c>
      <c r="C1988" t="s">
        <v>37</v>
      </c>
      <c r="D1988">
        <v>5.0696199999999996</v>
      </c>
      <c r="E1988">
        <v>0.49877299999999902</v>
      </c>
      <c r="F1988" t="s">
        <v>59</v>
      </c>
      <c r="G1988">
        <v>-276.20339999999999</v>
      </c>
      <c r="H1988" s="1">
        <v>1.789048E-6</v>
      </c>
      <c r="I1988">
        <v>284.05090000000001</v>
      </c>
      <c r="J1988">
        <v>-234.16050000000001</v>
      </c>
      <c r="K1988">
        <v>1.1032759999999999</v>
      </c>
      <c r="L1988">
        <v>284.74270000000001</v>
      </c>
      <c r="M1988">
        <v>-0.99997990000000003</v>
      </c>
      <c r="N1988">
        <v>0</v>
      </c>
      <c r="O1988">
        <v>1.871136E-4</v>
      </c>
      <c r="P1988">
        <v>-0.99989810000000001</v>
      </c>
      <c r="Q1988">
        <v>7.5863980000000003E-3</v>
      </c>
      <c r="R1988">
        <v>-1.210402E-2</v>
      </c>
      <c r="S1988">
        <v>-3.0002749999999998</v>
      </c>
      <c r="T1988">
        <v>-7.8284380000000001E-2</v>
      </c>
      <c r="U1988">
        <v>-4.9041750000000002E-2</v>
      </c>
      <c r="V1988">
        <v>-1.2268299999999999E-2</v>
      </c>
      <c r="W1988">
        <v>1.396117E-2</v>
      </c>
      <c r="X1988">
        <v>0.99982729999999997</v>
      </c>
      <c r="Y1988">
        <v>-1.6524980000000002E-2</v>
      </c>
      <c r="Z1988">
        <v>-2.204184E-4</v>
      </c>
      <c r="AA1988">
        <v>0.99986339999999996</v>
      </c>
      <c r="AB1988">
        <v>27</v>
      </c>
      <c r="AC1988">
        <v>-42.042899999999896</v>
      </c>
      <c r="AD1988">
        <v>-1.103274210952</v>
      </c>
      <c r="AE1988">
        <v>-0.69179999999999997</v>
      </c>
      <c r="AF1988">
        <v>-0.69918559920371603</v>
      </c>
      <c r="AG1988">
        <v>-1.103274210952</v>
      </c>
      <c r="AH1988">
        <v>42.013845941518099</v>
      </c>
      <c r="AI1988">
        <v>91.504020518535697</v>
      </c>
      <c r="AJ1988">
        <v>90.953416318296604</v>
      </c>
      <c r="AK1988">
        <v>42.034144755000099</v>
      </c>
    </row>
    <row r="1989" spans="1:37" x14ac:dyDescent="0.2">
      <c r="A1989" t="str">
        <f>"20200111155538712"</f>
        <v>20200111155538712</v>
      </c>
      <c r="B1989" t="str">
        <f>"1578729338704423"</f>
        <v>1578729338704423</v>
      </c>
      <c r="C1989" t="s">
        <v>37</v>
      </c>
      <c r="D1989">
        <v>5.0485749999999996</v>
      </c>
      <c r="E1989">
        <v>0.53922999999999999</v>
      </c>
      <c r="F1989" t="s">
        <v>59</v>
      </c>
      <c r="G1989">
        <v>-275.8569</v>
      </c>
      <c r="H1989" s="1">
        <v>1.6037289999999999E-6</v>
      </c>
      <c r="I1989">
        <v>284.07299999999998</v>
      </c>
      <c r="J1989">
        <v>-234.43190000000001</v>
      </c>
      <c r="K1989">
        <v>1.1033569999999999</v>
      </c>
      <c r="L1989">
        <v>284.74369999999999</v>
      </c>
      <c r="M1989">
        <v>-0.99997789999999998</v>
      </c>
      <c r="N1989">
        <v>0</v>
      </c>
      <c r="O1989">
        <v>1.023089E-3</v>
      </c>
      <c r="P1989">
        <v>-0.99990780000000001</v>
      </c>
      <c r="Q1989">
        <v>7.0438339999999997E-3</v>
      </c>
      <c r="R1989">
        <v>-1.163171E-2</v>
      </c>
      <c r="S1989">
        <v>-3.000305</v>
      </c>
      <c r="T1989">
        <v>-7.9387070000000004E-2</v>
      </c>
      <c r="U1989">
        <v>-4.8187260000000003E-2</v>
      </c>
      <c r="V1989">
        <v>-1.263354E-2</v>
      </c>
      <c r="W1989">
        <v>1.364744E-2</v>
      </c>
      <c r="X1989">
        <v>0.99982700000000002</v>
      </c>
      <c r="Y1989">
        <v>-1.707535E-2</v>
      </c>
      <c r="Z1989">
        <v>-2.52914799999999E-4</v>
      </c>
      <c r="AA1989">
        <v>0.99985409999999997</v>
      </c>
      <c r="AB1989">
        <v>27</v>
      </c>
      <c r="AC1989">
        <v>-41.424999999999898</v>
      </c>
      <c r="AD1989">
        <v>-1.1033553962710001</v>
      </c>
      <c r="AE1989">
        <v>-0.67070000000000995</v>
      </c>
      <c r="AF1989">
        <v>-0.71257663885080402</v>
      </c>
      <c r="AG1989">
        <v>-1.1033553962710001</v>
      </c>
      <c r="AH1989">
        <v>41.394933259757799</v>
      </c>
      <c r="AI1989">
        <v>91.526594683589494</v>
      </c>
      <c r="AJ1989">
        <v>90.986198037627304</v>
      </c>
      <c r="AK1989">
        <v>41.415765816612897</v>
      </c>
    </row>
    <row r="1990" spans="1:37" x14ac:dyDescent="0.2">
      <c r="A1990" t="str">
        <f>"20200111155538725"</f>
        <v>20200111155538725</v>
      </c>
      <c r="B1990" t="str">
        <f>"1578729338714184"</f>
        <v>1578729338714184</v>
      </c>
      <c r="C1990" t="s">
        <v>37</v>
      </c>
      <c r="D1990">
        <v>5.1011249999999997</v>
      </c>
      <c r="E1990">
        <v>0.54328409999999905</v>
      </c>
      <c r="F1990" t="s">
        <v>59</v>
      </c>
      <c r="G1990">
        <v>-254.58269999999999</v>
      </c>
      <c r="H1990" s="1">
        <v>9.0191779999999998E-7</v>
      </c>
      <c r="I1990">
        <v>286.58159999999998</v>
      </c>
      <c r="J1990">
        <v>-234.59979999999999</v>
      </c>
      <c r="K1990">
        <v>1.1034109999999999</v>
      </c>
      <c r="L1990">
        <v>284.74430000000001</v>
      </c>
      <c r="M1990">
        <v>-0.99997619999999898</v>
      </c>
      <c r="N1990">
        <v>0</v>
      </c>
      <c r="O1990">
        <v>1.5061919999999999E-3</v>
      </c>
      <c r="P1990">
        <v>-0.99991469999999905</v>
      </c>
      <c r="Q1990">
        <v>6.2867779999999998E-3</v>
      </c>
      <c r="R1990">
        <v>-1.14447E-2</v>
      </c>
      <c r="S1990">
        <v>-3.004623</v>
      </c>
      <c r="T1990">
        <v>-0.16451779999999999</v>
      </c>
      <c r="U1990">
        <v>0.27404790000000001</v>
      </c>
      <c r="V1990">
        <v>-1.293209E-2</v>
      </c>
      <c r="W1990">
        <v>1.3052869999999999E-2</v>
      </c>
      <c r="X1990">
        <v>0.99983120000000003</v>
      </c>
      <c r="Y1990">
        <v>8.9201320000000001E-2</v>
      </c>
      <c r="Z1990">
        <v>2.3529929999999998E-3</v>
      </c>
      <c r="AA1990">
        <v>0.99601079999999997</v>
      </c>
      <c r="AB1990">
        <v>27</v>
      </c>
      <c r="AC1990">
        <v>-19.982900000000001</v>
      </c>
      <c r="AD1990">
        <v>-1.1034100980821999</v>
      </c>
      <c r="AE1990">
        <v>1.83729999999997</v>
      </c>
      <c r="AF1990">
        <v>1.80175166658584</v>
      </c>
      <c r="AG1990">
        <v>-1.1034100980821999</v>
      </c>
      <c r="AH1990">
        <v>19.925401522234299</v>
      </c>
      <c r="AI1990">
        <v>93.156780808432003</v>
      </c>
      <c r="AJ1990">
        <v>84.833089198977106</v>
      </c>
      <c r="AK1990">
        <v>20.0371018047733</v>
      </c>
    </row>
    <row r="1991" spans="1:37" x14ac:dyDescent="0.2">
      <c r="A1991" t="str">
        <f>"20200111155538739"</f>
        <v>20200111155538739</v>
      </c>
      <c r="B1991" t="str">
        <f>"1578729338734679"</f>
        <v>1578729338734679</v>
      </c>
      <c r="C1991" t="s">
        <v>37</v>
      </c>
      <c r="D1991">
        <v>5.220796</v>
      </c>
      <c r="E1991">
        <v>0.5470043</v>
      </c>
      <c r="F1991" t="s">
        <v>59</v>
      </c>
      <c r="G1991">
        <v>-256.59820000000002</v>
      </c>
      <c r="H1991" s="1">
        <v>1.9744659999999998E-6</v>
      </c>
      <c r="I1991">
        <v>286.99489999999997</v>
      </c>
      <c r="J1991">
        <v>-234.76240000000001</v>
      </c>
      <c r="K1991">
        <v>1.1034619999999999</v>
      </c>
      <c r="L1991">
        <v>284.74509999999998</v>
      </c>
      <c r="M1991">
        <v>-0.99997420000000004</v>
      </c>
      <c r="N1991">
        <v>0</v>
      </c>
      <c r="O1991">
        <v>1.955161E-3</v>
      </c>
      <c r="P1991">
        <v>-0.9999228</v>
      </c>
      <c r="Q1991">
        <v>5.6085309999999999E-3</v>
      </c>
      <c r="R1991">
        <v>-1.1098790000000001E-2</v>
      </c>
      <c r="S1991">
        <v>-3.004715</v>
      </c>
      <c r="T1991">
        <v>-0.15071189999999901</v>
      </c>
      <c r="U1991">
        <v>0.307403599999999</v>
      </c>
      <c r="V1991">
        <v>-1.3036590000000001E-2</v>
      </c>
      <c r="W1991">
        <v>1.254222E-2</v>
      </c>
      <c r="X1991">
        <v>0.99983639999999996</v>
      </c>
      <c r="Y1991">
        <v>9.9708969999999994E-2</v>
      </c>
      <c r="Z1991">
        <v>2.3948089999999999E-3</v>
      </c>
      <c r="AA1991">
        <v>0.99501379999999995</v>
      </c>
      <c r="AB1991">
        <v>27</v>
      </c>
      <c r="AC1991">
        <v>-21.835799999999999</v>
      </c>
      <c r="AD1991">
        <v>-1.1034600255339999</v>
      </c>
      <c r="AE1991">
        <v>2.2497999999999898</v>
      </c>
      <c r="AF1991">
        <v>2.2015390947247302</v>
      </c>
      <c r="AG1991">
        <v>-1.1034600255339999</v>
      </c>
      <c r="AH1991">
        <v>21.7851081865211</v>
      </c>
      <c r="AI1991">
        <v>92.885000459251103</v>
      </c>
      <c r="AJ1991">
        <v>84.229447451836805</v>
      </c>
      <c r="AK1991">
        <v>21.923853153859199</v>
      </c>
    </row>
    <row r="1992" spans="1:37" x14ac:dyDescent="0.2">
      <c r="A1992" t="str">
        <f>"20200111155538756"</f>
        <v>20200111155538756</v>
      </c>
      <c r="B1992" t="str">
        <f>"1578729338744439"</f>
        <v>1578729338744439</v>
      </c>
      <c r="C1992" t="s">
        <v>37</v>
      </c>
      <c r="D1992">
        <v>4.898288</v>
      </c>
      <c r="E1992">
        <v>0.54822469999999901</v>
      </c>
      <c r="F1992" t="s">
        <v>59</v>
      </c>
      <c r="G1992">
        <v>-257.76580000000001</v>
      </c>
      <c r="H1992" s="1">
        <v>2.5958039999999999E-6</v>
      </c>
      <c r="I1992">
        <v>287.33460000000002</v>
      </c>
      <c r="J1992">
        <v>-234.9768</v>
      </c>
      <c r="K1992">
        <v>1.1035379999999999</v>
      </c>
      <c r="L1992">
        <v>284.74610000000001</v>
      </c>
      <c r="M1992">
        <v>-0.99997130000000001</v>
      </c>
      <c r="N1992">
        <v>0</v>
      </c>
      <c r="O1992">
        <v>2.496786E-3</v>
      </c>
      <c r="P1992">
        <v>-0.9999285</v>
      </c>
      <c r="Q1992">
        <v>4.3502890000000002E-3</v>
      </c>
      <c r="R1992">
        <v>-1.115527E-2</v>
      </c>
      <c r="S1992">
        <v>-3.0047759999999899</v>
      </c>
      <c r="T1992">
        <v>-0.14413679999999901</v>
      </c>
      <c r="U1992">
        <v>0.33825679999999902</v>
      </c>
      <c r="V1992">
        <v>-1.363699E-2</v>
      </c>
      <c r="W1992">
        <v>1.1529019999999999E-2</v>
      </c>
      <c r="X1992">
        <v>0.99984059999999897</v>
      </c>
      <c r="Y1992">
        <v>0.10926369999999901</v>
      </c>
      <c r="Z1992">
        <v>2.4915879999999999E-3</v>
      </c>
      <c r="AA1992">
        <v>0.9940097</v>
      </c>
      <c r="AB1992">
        <v>27</v>
      </c>
      <c r="AC1992">
        <v>-22.789000000000001</v>
      </c>
      <c r="AD1992">
        <v>-1.1035354041959999</v>
      </c>
      <c r="AE1992">
        <v>2.58850000000001</v>
      </c>
      <c r="AF1992">
        <v>2.52574407178771</v>
      </c>
      <c r="AG1992">
        <v>-1.1035354041959999</v>
      </c>
      <c r="AH1992">
        <v>22.7427421599334</v>
      </c>
      <c r="AI1992">
        <v>92.761009382774603</v>
      </c>
      <c r="AJ1992">
        <v>83.662862450469206</v>
      </c>
      <c r="AK1992">
        <v>22.9091574366605</v>
      </c>
    </row>
    <row r="1993" spans="1:37" x14ac:dyDescent="0.2">
      <c r="A1993" t="str">
        <f>"20200111155538770"</f>
        <v>20200111155538770</v>
      </c>
      <c r="B1993" t="str">
        <f>"1578729338763959"</f>
        <v>1578729338763959</v>
      </c>
      <c r="C1993" t="s">
        <v>37</v>
      </c>
      <c r="D1993">
        <v>5.079307</v>
      </c>
      <c r="E1993">
        <v>0.54959329999999995</v>
      </c>
      <c r="F1993" t="s">
        <v>59</v>
      </c>
      <c r="G1993">
        <v>-257.6395</v>
      </c>
      <c r="H1993" s="1">
        <v>2.5285789999999999E-6</v>
      </c>
      <c r="I1993">
        <v>287.37079999999997</v>
      </c>
      <c r="J1993">
        <v>-235.14609999999999</v>
      </c>
      <c r="K1993">
        <v>1.1035979999999901</v>
      </c>
      <c r="L1993">
        <v>284.74689999999998</v>
      </c>
      <c r="M1993">
        <v>-0.99996879999999999</v>
      </c>
      <c r="N1993">
        <v>0</v>
      </c>
      <c r="O1993">
        <v>2.8887359999999998E-3</v>
      </c>
      <c r="P1993">
        <v>-0.99993069999999895</v>
      </c>
      <c r="Q1993">
        <v>4.0135689999999998E-3</v>
      </c>
      <c r="R1993">
        <v>-1.107988E-2</v>
      </c>
      <c r="S1993">
        <v>-3.004715</v>
      </c>
      <c r="T1993">
        <v>-0.146311</v>
      </c>
      <c r="U1993">
        <v>0.34799190000000002</v>
      </c>
      <c r="V1993">
        <v>-1.3954060000000001E-2</v>
      </c>
      <c r="W1993">
        <v>1.139694E-2</v>
      </c>
      <c r="X1993">
        <v>0.99983770000000005</v>
      </c>
      <c r="Y1993">
        <v>0.1120486</v>
      </c>
      <c r="Z1993">
        <v>2.5772450000000001E-3</v>
      </c>
      <c r="AA1993">
        <v>0.99369940000000001</v>
      </c>
      <c r="AB1993">
        <v>27</v>
      </c>
      <c r="AC1993">
        <v>-22.493400000000001</v>
      </c>
      <c r="AD1993">
        <v>-1.1035954714209999</v>
      </c>
      <c r="AE1993">
        <v>2.6238999999999901</v>
      </c>
      <c r="AF1993">
        <v>2.5528471226415999</v>
      </c>
      <c r="AG1993">
        <v>-1.1035954714209999</v>
      </c>
      <c r="AH1993">
        <v>22.447576043702998</v>
      </c>
      <c r="AI1993">
        <v>92.796582153279303</v>
      </c>
      <c r="AJ1993">
        <v>83.511921337055995</v>
      </c>
      <c r="AK1993">
        <v>22.619209129276602</v>
      </c>
    </row>
    <row r="1994" spans="1:37" x14ac:dyDescent="0.2">
      <c r="A1994" t="str">
        <f>"20200111155538785"</f>
        <v>20200111155538785</v>
      </c>
      <c r="B1994" t="str">
        <f>"1578729338774695"</f>
        <v>1578729338774695</v>
      </c>
      <c r="C1994" t="s">
        <v>37</v>
      </c>
      <c r="D1994">
        <v>5.028899</v>
      </c>
      <c r="E1994">
        <v>0.54971309999999995</v>
      </c>
      <c r="F1994" t="s">
        <v>59</v>
      </c>
      <c r="G1994">
        <v>-258.48880000000003</v>
      </c>
      <c r="H1994" s="1">
        <v>2.9805079999999999E-6</v>
      </c>
      <c r="I1994">
        <v>287.5369</v>
      </c>
      <c r="J1994">
        <v>-235.3169</v>
      </c>
      <c r="K1994">
        <v>1.1036619999999999</v>
      </c>
      <c r="L1994">
        <v>284.74790000000002</v>
      </c>
      <c r="M1994">
        <v>-0.99996600000000002</v>
      </c>
      <c r="N1994">
        <v>0</v>
      </c>
      <c r="O1994">
        <v>3.255913E-3</v>
      </c>
      <c r="P1994">
        <v>-0.99993259999999995</v>
      </c>
      <c r="Q1994">
        <v>3.5621139999999999E-3</v>
      </c>
      <c r="R1994">
        <v>-1.105743E-2</v>
      </c>
      <c r="S1994">
        <v>-3.0047759999999899</v>
      </c>
      <c r="T1994">
        <v>-0.1420602</v>
      </c>
      <c r="U1994">
        <v>0.35913089999999998</v>
      </c>
      <c r="V1994">
        <v>-1.4300220000000001E-2</v>
      </c>
      <c r="W1994">
        <v>1.116235E-2</v>
      </c>
      <c r="X1994">
        <v>0.99983539999999904</v>
      </c>
      <c r="Y1994">
        <v>0.1153184</v>
      </c>
      <c r="Z1994">
        <v>2.561551E-3</v>
      </c>
      <c r="AA1994">
        <v>0.99332529999999997</v>
      </c>
      <c r="AB1994">
        <v>27</v>
      </c>
      <c r="AC1994">
        <v>-23.171900000000001</v>
      </c>
      <c r="AD1994">
        <v>-1.103659019492</v>
      </c>
      <c r="AE1994">
        <v>2.7889999999999802</v>
      </c>
      <c r="AF1994">
        <v>2.7074830334005999</v>
      </c>
      <c r="AG1994">
        <v>-1.103659019492</v>
      </c>
      <c r="AH1994">
        <v>23.129138046569299</v>
      </c>
      <c r="AI1994">
        <v>92.713425532756204</v>
      </c>
      <c r="AJ1994">
        <v>83.323376132768104</v>
      </c>
      <c r="AK1994">
        <v>23.313205579343101</v>
      </c>
    </row>
    <row r="1995" spans="1:37" x14ac:dyDescent="0.2">
      <c r="A1995" t="str">
        <f>"20200111155538803"</f>
        <v>20200111155538803</v>
      </c>
      <c r="B1995" t="str">
        <f>"1578729338794215"</f>
        <v>1578729338794215</v>
      </c>
      <c r="C1995" t="s">
        <v>37</v>
      </c>
      <c r="D1995">
        <v>4.8756620000000002</v>
      </c>
      <c r="E1995">
        <v>0.55058419999999997</v>
      </c>
      <c r="F1995" t="s">
        <v>59</v>
      </c>
      <c r="G1995">
        <v>-258.94349999999997</v>
      </c>
      <c r="H1995" s="1">
        <v>3.2225180000000001E-6</v>
      </c>
      <c r="I1995">
        <v>287.58069999999998</v>
      </c>
      <c r="J1995">
        <v>-235.52459999999999</v>
      </c>
      <c r="K1995">
        <v>1.103747</v>
      </c>
      <c r="L1995">
        <v>284.74900000000002</v>
      </c>
      <c r="M1995">
        <v>-0.99996240000000003</v>
      </c>
      <c r="N1995">
        <v>0</v>
      </c>
      <c r="O1995">
        <v>3.6556399999999999E-3</v>
      </c>
      <c r="P1995">
        <v>-0.99993460000000001</v>
      </c>
      <c r="Q1995">
        <v>2.3510530000000001E-3</v>
      </c>
      <c r="R1995">
        <v>-1.1192489999999999E-2</v>
      </c>
      <c r="S1995">
        <v>-3.0046689999999998</v>
      </c>
      <c r="T1995">
        <v>-0.14035529999999999</v>
      </c>
      <c r="U1995">
        <v>0.36025999999999903</v>
      </c>
      <c r="V1995">
        <v>-1.48372E-2</v>
      </c>
      <c r="W1995">
        <v>1.022876E-2</v>
      </c>
      <c r="X1995">
        <v>0.99983759999999999</v>
      </c>
      <c r="Y1995">
        <v>0.11529689999999999</v>
      </c>
      <c r="Z1995">
        <v>2.5117830000000001E-3</v>
      </c>
      <c r="AA1995">
        <v>0.99332790000000004</v>
      </c>
      <c r="AB1995">
        <v>27</v>
      </c>
      <c r="AC1995">
        <v>-23.418899999999901</v>
      </c>
      <c r="AD1995">
        <v>-1.103743777482</v>
      </c>
      <c r="AE1995">
        <v>2.8316999999999499</v>
      </c>
      <c r="AF1995">
        <v>2.7400686048367602</v>
      </c>
      <c r="AG1995">
        <v>-1.103743777482</v>
      </c>
      <c r="AH1995">
        <v>23.3779148651839</v>
      </c>
      <c r="AI1995">
        <v>92.684752968253704</v>
      </c>
      <c r="AJ1995">
        <v>83.315001517626897</v>
      </c>
      <c r="AK1995">
        <v>23.5638097456529</v>
      </c>
    </row>
    <row r="1996" spans="1:37" x14ac:dyDescent="0.2">
      <c r="A1996" t="str">
        <f>"20200111155538824"</f>
        <v>20200111155538824</v>
      </c>
      <c r="B1996" t="str">
        <f>"1578729338814711"</f>
        <v>1578729338814711</v>
      </c>
      <c r="C1996" t="s">
        <v>37</v>
      </c>
      <c r="D1996">
        <v>4.8222430000000003</v>
      </c>
      <c r="E1996">
        <v>0.55086480000000004</v>
      </c>
      <c r="F1996" t="s">
        <v>59</v>
      </c>
      <c r="G1996">
        <v>-258.92200000000003</v>
      </c>
      <c r="H1996" s="1">
        <v>3.2110539999999899E-6</v>
      </c>
      <c r="I1996">
        <v>287.6062</v>
      </c>
      <c r="J1996">
        <v>-235.7988</v>
      </c>
      <c r="K1996">
        <v>1.1038669999999999</v>
      </c>
      <c r="L1996">
        <v>284.75049999999999</v>
      </c>
      <c r="M1996">
        <v>-0.99995780000000001</v>
      </c>
      <c r="N1996">
        <v>0</v>
      </c>
      <c r="O1996">
        <v>4.0934190000000001E-3</v>
      </c>
      <c r="P1996">
        <v>-0.99993359999999998</v>
      </c>
      <c r="Q1996">
        <v>1.5669550000000001E-3</v>
      </c>
      <c r="R1996">
        <v>-1.14301E-2</v>
      </c>
      <c r="S1996">
        <v>-3.0046390000000001</v>
      </c>
      <c r="T1996">
        <v>-0.14174010000000001</v>
      </c>
      <c r="U1996">
        <v>0.36691279999999998</v>
      </c>
      <c r="V1996">
        <v>-1.5514740000000001E-2</v>
      </c>
      <c r="W1996">
        <v>9.8239429999999999E-3</v>
      </c>
      <c r="X1996">
        <v>0.99983140000000004</v>
      </c>
      <c r="Y1996">
        <v>0.1170269</v>
      </c>
      <c r="Z1996">
        <v>2.5562969999999999E-3</v>
      </c>
      <c r="AA1996">
        <v>0.99312540000000005</v>
      </c>
      <c r="AB1996">
        <v>27</v>
      </c>
      <c r="AC1996">
        <v>-23.123200000000001</v>
      </c>
      <c r="AD1996">
        <v>-1.1038637889459999</v>
      </c>
      <c r="AE1996">
        <v>2.8557000000000099</v>
      </c>
      <c r="AF1996">
        <v>2.75483610349908</v>
      </c>
      <c r="AG1996">
        <v>-1.1038637889459999</v>
      </c>
      <c r="AH1996">
        <v>23.082881739762701</v>
      </c>
      <c r="AI1996">
        <v>92.7186350724037</v>
      </c>
      <c r="AJ1996">
        <v>83.194201991474003</v>
      </c>
      <c r="AK1996">
        <v>23.2728826455503</v>
      </c>
    </row>
    <row r="1997" spans="1:37" x14ac:dyDescent="0.2">
      <c r="A1997" t="str">
        <f>"20200111155538847"</f>
        <v>20200111155538847</v>
      </c>
      <c r="B1997" t="str">
        <f>"1578729338844498"</f>
        <v>1578729338844498</v>
      </c>
      <c r="C1997" t="s">
        <v>37</v>
      </c>
      <c r="D1997">
        <v>4.9764589999999904</v>
      </c>
      <c r="E1997">
        <v>0.55110619999999999</v>
      </c>
      <c r="F1997" t="s">
        <v>59</v>
      </c>
      <c r="G1997">
        <v>-258.72739999999999</v>
      </c>
      <c r="H1997" s="1">
        <v>3.10750099999999E-6</v>
      </c>
      <c r="I1997">
        <v>287.56279999999998</v>
      </c>
      <c r="J1997">
        <v>-236.07130000000001</v>
      </c>
      <c r="K1997">
        <v>1.103988</v>
      </c>
      <c r="L1997">
        <v>284.75209999999998</v>
      </c>
      <c r="M1997">
        <v>-0.99995319999999899</v>
      </c>
      <c r="N1997">
        <v>0</v>
      </c>
      <c r="O1997">
        <v>4.4371799999999998E-3</v>
      </c>
      <c r="P1997">
        <v>-0.99992879999999995</v>
      </c>
      <c r="Q1997">
        <v>9.5856279999999999E-4</v>
      </c>
      <c r="R1997">
        <v>-1.190594E-2</v>
      </c>
      <c r="S1997">
        <v>-3.0046539999999999</v>
      </c>
      <c r="T1997">
        <v>-0.14465459999999999</v>
      </c>
      <c r="U1997">
        <v>0.36853029999999998</v>
      </c>
      <c r="V1997">
        <v>-1.6336219999999999E-2</v>
      </c>
      <c r="W1997">
        <v>9.5874440000000005E-3</v>
      </c>
      <c r="X1997">
        <v>0.99982059999999995</v>
      </c>
      <c r="Y1997">
        <v>0.11720659999999999</v>
      </c>
      <c r="Z1997">
        <v>2.5965350000000001E-3</v>
      </c>
      <c r="AA1997">
        <v>0.99310419999999999</v>
      </c>
      <c r="AB1997">
        <v>27</v>
      </c>
      <c r="AC1997">
        <v>-22.656099999999899</v>
      </c>
      <c r="AD1997">
        <v>-1.1039848924989999</v>
      </c>
      <c r="AE1997">
        <v>2.81069999999999</v>
      </c>
      <c r="AF1997">
        <v>2.70381675662111</v>
      </c>
      <c r="AG1997">
        <v>-1.1039848924989999</v>
      </c>
      <c r="AH1997">
        <v>22.615464506890198</v>
      </c>
      <c r="AI1997">
        <v>92.774972184583604</v>
      </c>
      <c r="AJ1997">
        <v>83.182300403046597</v>
      </c>
      <c r="AK1997">
        <v>22.803259472247799</v>
      </c>
    </row>
    <row r="1998" spans="1:37" x14ac:dyDescent="0.2">
      <c r="A1998" t="str">
        <f>"20200111155538868"</f>
        <v>20200111155538868</v>
      </c>
      <c r="B1998" t="str">
        <f>"1578729338864018"</f>
        <v>1578729338864018</v>
      </c>
      <c r="C1998" t="s">
        <v>37</v>
      </c>
      <c r="D1998">
        <v>4.7694109999999998</v>
      </c>
      <c r="E1998">
        <v>0.55179959999999995</v>
      </c>
      <c r="F1998" t="s">
        <v>59</v>
      </c>
      <c r="G1998">
        <v>-259.4862</v>
      </c>
      <c r="H1998" s="1">
        <v>3.5113179999999998E-6</v>
      </c>
      <c r="I1998">
        <v>287.62819999999999</v>
      </c>
      <c r="J1998">
        <v>-236.33539999999999</v>
      </c>
      <c r="K1998">
        <v>1.104098</v>
      </c>
      <c r="L1998">
        <v>284.75360000000001</v>
      </c>
      <c r="M1998">
        <v>-0.99994889999999903</v>
      </c>
      <c r="N1998">
        <v>0</v>
      </c>
      <c r="O1998">
        <v>4.67896799999999E-3</v>
      </c>
      <c r="P1998">
        <v>-0.99992109999999901</v>
      </c>
      <c r="Q1998">
        <v>6.0808839999999895E-4</v>
      </c>
      <c r="R1998">
        <v>-1.256232E-2</v>
      </c>
      <c r="S1998">
        <v>-3.0047609999999998</v>
      </c>
      <c r="T1998">
        <v>-0.14167060000000001</v>
      </c>
      <c r="U1998">
        <v>0.36907960000000001</v>
      </c>
      <c r="V1998">
        <v>-1.723537E-2</v>
      </c>
      <c r="W1998">
        <v>9.5841069999999997E-3</v>
      </c>
      <c r="X1998">
        <v>0.99980550000000001</v>
      </c>
      <c r="Y1998">
        <v>0.11714669999999899</v>
      </c>
      <c r="Z1998">
        <v>2.530156E-3</v>
      </c>
      <c r="AA1998">
        <v>0.99311139999999998</v>
      </c>
      <c r="AB1998">
        <v>27</v>
      </c>
      <c r="AC1998">
        <v>-23.1508</v>
      </c>
      <c r="AD1998">
        <v>-1.1040944886820001</v>
      </c>
      <c r="AE1998">
        <v>2.8745999999999801</v>
      </c>
      <c r="AF1998">
        <v>2.7600599698920401</v>
      </c>
      <c r="AG1998">
        <v>-1.1040944886820001</v>
      </c>
      <c r="AH1998">
        <v>23.112227341806001</v>
      </c>
      <c r="AI1998">
        <v>92.715731220031202</v>
      </c>
      <c r="AJ1998">
        <v>83.189994066769799</v>
      </c>
      <c r="AK1998">
        <v>23.302618058421299</v>
      </c>
    </row>
    <row r="1999" spans="1:37" x14ac:dyDescent="0.2">
      <c r="A1999" t="str">
        <f>"20200111155538882"</f>
        <v>20200111155538882</v>
      </c>
      <c r="B1999" t="str">
        <f>"1578729338874754"</f>
        <v>1578729338874754</v>
      </c>
      <c r="C1999" t="s">
        <v>37</v>
      </c>
      <c r="D1999">
        <v>4.7683239999999998</v>
      </c>
      <c r="E1999">
        <v>0.55212969999999995</v>
      </c>
      <c r="F1999" t="s">
        <v>59</v>
      </c>
      <c r="G1999">
        <v>-259.9384</v>
      </c>
      <c r="H1999" s="1">
        <v>3.7519419999999999E-6</v>
      </c>
      <c r="I1999">
        <v>287.68009999999998</v>
      </c>
      <c r="J1999">
        <v>-236.50190000000001</v>
      </c>
      <c r="K1999">
        <v>1.1041700000000001</v>
      </c>
      <c r="L1999">
        <v>284.75459999999998</v>
      </c>
      <c r="M1999">
        <v>-0.99994649999999996</v>
      </c>
      <c r="N1999">
        <v>0</v>
      </c>
      <c r="O1999">
        <v>4.7867769999999999E-3</v>
      </c>
      <c r="P1999">
        <v>-0.99991730000000001</v>
      </c>
      <c r="Q1999">
        <v>2.6327000000000002E-4</v>
      </c>
      <c r="R1999">
        <v>-1.287955E-2</v>
      </c>
      <c r="S1999">
        <v>-3.0050050000000001</v>
      </c>
      <c r="T1999">
        <v>-0.14056729999999901</v>
      </c>
      <c r="U1999">
        <v>0.37258909999999901</v>
      </c>
      <c r="V1999">
        <v>-1.76616E-2</v>
      </c>
      <c r="W1999">
        <v>9.4510749999999998E-3</v>
      </c>
      <c r="X1999">
        <v>0.9997994</v>
      </c>
      <c r="Y1999">
        <v>0.11817319999999901</v>
      </c>
      <c r="Z1999">
        <v>2.5289750000000001E-3</v>
      </c>
      <c r="AA1999">
        <v>0.99298980000000003</v>
      </c>
      <c r="AB1999">
        <v>27</v>
      </c>
      <c r="AC1999">
        <v>-23.436499999999899</v>
      </c>
      <c r="AD1999">
        <v>-1.1041662480579999</v>
      </c>
      <c r="AE1999">
        <v>2.9254999999999902</v>
      </c>
      <c r="AF1999">
        <v>2.8071412068487902</v>
      </c>
      <c r="AG1999">
        <v>-1.1041662480579999</v>
      </c>
      <c r="AH1999">
        <v>23.399094965556699</v>
      </c>
      <c r="AI1999">
        <v>92.682486762537806</v>
      </c>
      <c r="AJ1999">
        <v>83.159037454896804</v>
      </c>
      <c r="AK1999">
        <v>23.5927291779836</v>
      </c>
    </row>
    <row r="2000" spans="1:37" x14ac:dyDescent="0.2">
      <c r="A2000" t="str">
        <f>"20200111155538903"</f>
        <v>20200111155538903</v>
      </c>
      <c r="B2000" t="str">
        <f>"1578729338894274"</f>
        <v>1578729338894274</v>
      </c>
      <c r="C2000" t="s">
        <v>37</v>
      </c>
      <c r="D2000">
        <v>4.7165650000000001</v>
      </c>
      <c r="E2000">
        <v>0.55280369999999901</v>
      </c>
      <c r="F2000" t="s">
        <v>59</v>
      </c>
      <c r="G2000">
        <v>-260.15879999999999</v>
      </c>
      <c r="H2000" s="1">
        <v>-1.4522860000000001E-6</v>
      </c>
      <c r="I2000">
        <v>287.70190000000002</v>
      </c>
      <c r="J2000">
        <v>-236.74340000000001</v>
      </c>
      <c r="K2000">
        <v>1.104268</v>
      </c>
      <c r="L2000">
        <v>284.7559</v>
      </c>
      <c r="M2000">
        <v>-0.99994329999999998</v>
      </c>
      <c r="N2000">
        <v>0</v>
      </c>
      <c r="O2000">
        <v>4.8742020000000002E-3</v>
      </c>
      <c r="P2000">
        <v>-0.99990480000000004</v>
      </c>
      <c r="Q2000">
        <v>1.18523E-3</v>
      </c>
      <c r="R2000">
        <v>-1.3752210000000001E-2</v>
      </c>
      <c r="S2000">
        <v>-3.005112</v>
      </c>
      <c r="T2000">
        <v>-0.14026179999999999</v>
      </c>
      <c r="U2000">
        <v>0.37438959999999999</v>
      </c>
      <c r="V2000">
        <v>-1.8622949999999999E-2</v>
      </c>
      <c r="W2000">
        <v>1.066456E-2</v>
      </c>
      <c r="X2000">
        <v>0.99976969999999998</v>
      </c>
      <c r="Y2000">
        <v>0.1186681</v>
      </c>
      <c r="Z2000">
        <v>2.5307389999999902E-3</v>
      </c>
      <c r="AA2000">
        <v>0.9929308</v>
      </c>
      <c r="AB2000">
        <v>27</v>
      </c>
      <c r="AC2000">
        <v>-23.415399999999899</v>
      </c>
      <c r="AD2000">
        <v>-1.1042694522859999</v>
      </c>
      <c r="AE2000">
        <v>2.9460000000000202</v>
      </c>
      <c r="AF2000">
        <v>2.8256420199370398</v>
      </c>
      <c r="AG2000">
        <v>-1.1042694522859999</v>
      </c>
      <c r="AH2000">
        <v>23.3782972931564</v>
      </c>
      <c r="AI2000">
        <v>92.684834434293506</v>
      </c>
      <c r="AJ2000">
        <v>83.108316037363494</v>
      </c>
      <c r="AK2000">
        <v>23.5743175548156</v>
      </c>
    </row>
    <row r="2001" spans="1:37" x14ac:dyDescent="0.2">
      <c r="A2001" t="str">
        <f>"20200111155538918"</f>
        <v>20200111155538918</v>
      </c>
      <c r="B2001" t="str">
        <f>"1578729338914770"</f>
        <v>1578729338914770</v>
      </c>
      <c r="C2001" t="s">
        <v>37</v>
      </c>
      <c r="D2001">
        <v>4.7135879999999997</v>
      </c>
      <c r="E2001">
        <v>0.55345829999999996</v>
      </c>
      <c r="F2001" t="s">
        <v>59</v>
      </c>
      <c r="G2001">
        <v>-261.42610000000002</v>
      </c>
      <c r="H2001" s="1">
        <v>-7.7787750000000001E-7</v>
      </c>
      <c r="I2001">
        <v>287.85250000000002</v>
      </c>
      <c r="J2001">
        <v>-236.9332</v>
      </c>
      <c r="K2001">
        <v>1.104336</v>
      </c>
      <c r="L2001">
        <v>284.75689999999997</v>
      </c>
      <c r="M2001">
        <v>-0.99994119999999997</v>
      </c>
      <c r="N2001">
        <v>0</v>
      </c>
      <c r="O2001">
        <v>4.8986439999999997E-3</v>
      </c>
      <c r="P2001">
        <v>-0.99989899999999998</v>
      </c>
      <c r="Q2001">
        <v>1.3272570000000001E-3</v>
      </c>
      <c r="R2001">
        <v>-1.416216E-2</v>
      </c>
      <c r="S2001">
        <v>-3.005646</v>
      </c>
      <c r="T2001">
        <v>-0.13446830000000001</v>
      </c>
      <c r="U2001">
        <v>0.3770752</v>
      </c>
      <c r="V2001">
        <v>-1.9058599999999998E-2</v>
      </c>
      <c r="W2001">
        <v>1.102408E-2</v>
      </c>
      <c r="X2001">
        <v>0.99975759999999902</v>
      </c>
      <c r="Y2001">
        <v>0.11950470000000001</v>
      </c>
      <c r="Z2001">
        <v>2.4432960000000002E-3</v>
      </c>
      <c r="AA2001">
        <v>0.99283060000000001</v>
      </c>
      <c r="AB2001">
        <v>27</v>
      </c>
      <c r="AC2001">
        <v>-24.492899999999999</v>
      </c>
      <c r="AD2001">
        <v>-1.1043367778775</v>
      </c>
      <c r="AE2001">
        <v>3.0956000000000401</v>
      </c>
      <c r="AF2001">
        <v>2.9696331004175098</v>
      </c>
      <c r="AG2001">
        <v>-1.1043367778775</v>
      </c>
      <c r="AH2001">
        <v>24.458829714389701</v>
      </c>
      <c r="AI2001">
        <v>92.566375853099302</v>
      </c>
      <c r="AJ2001">
        <v>83.077399808559903</v>
      </c>
      <c r="AK2001">
        <v>24.663183725293401</v>
      </c>
    </row>
    <row r="2002" spans="1:37" x14ac:dyDescent="0.2">
      <c r="A2002" t="str">
        <f>"20200111155538935"</f>
        <v>20200111155538935</v>
      </c>
      <c r="B2002" t="str">
        <f>"1578729338924063"</f>
        <v>1578729338924063</v>
      </c>
      <c r="C2002" t="s">
        <v>37</v>
      </c>
      <c r="D2002">
        <v>4.7401609999999996</v>
      </c>
      <c r="E2002">
        <v>0.55347270000000004</v>
      </c>
      <c r="F2002" t="s">
        <v>59</v>
      </c>
      <c r="G2002">
        <v>-262.18400000000003</v>
      </c>
      <c r="H2002" s="1">
        <v>-3.745686E-7</v>
      </c>
      <c r="I2002">
        <v>287.95940000000002</v>
      </c>
      <c r="J2002">
        <v>-237.14760000000001</v>
      </c>
      <c r="K2002">
        <v>1.1044</v>
      </c>
      <c r="L2002">
        <v>284.75799999999998</v>
      </c>
      <c r="M2002">
        <v>-0.99993899999999902</v>
      </c>
      <c r="N2002">
        <v>0</v>
      </c>
      <c r="O2002">
        <v>4.86798599999999E-3</v>
      </c>
      <c r="P2002">
        <v>-0.999892</v>
      </c>
      <c r="Q2002">
        <v>-1.122907E-3</v>
      </c>
      <c r="R2002">
        <v>-1.4668820000000001E-2</v>
      </c>
      <c r="S2002">
        <v>-3.0058750000000001</v>
      </c>
      <c r="T2002">
        <v>-0.13146099999999999</v>
      </c>
      <c r="U2002">
        <v>0.3812256</v>
      </c>
      <c r="V2002">
        <v>-1.9536230000000002E-2</v>
      </c>
      <c r="W2002">
        <v>8.8016489999999999E-3</v>
      </c>
      <c r="X2002">
        <v>0.99977039999999995</v>
      </c>
      <c r="Y2002">
        <v>0.12087879999999999</v>
      </c>
      <c r="Z2002">
        <v>2.4195689999999999E-3</v>
      </c>
      <c r="AA2002">
        <v>0.99266430000000005</v>
      </c>
      <c r="AB2002">
        <v>27</v>
      </c>
      <c r="AC2002">
        <v>-25.0364</v>
      </c>
      <c r="AD2002">
        <v>-1.1044003745686</v>
      </c>
      <c r="AE2002">
        <v>3.2014000000000302</v>
      </c>
      <c r="AF2002">
        <v>3.07359469093812</v>
      </c>
      <c r="AG2002">
        <v>-1.1044003745686</v>
      </c>
      <c r="AH2002">
        <v>25.003817506452201</v>
      </c>
      <c r="AI2002">
        <v>92.510199245246795</v>
      </c>
      <c r="AJ2002">
        <v>82.992072118861103</v>
      </c>
      <c r="AK2002">
        <v>25.216216496680801</v>
      </c>
    </row>
    <row r="2003" spans="1:37" x14ac:dyDescent="0.2">
      <c r="A2003" t="str">
        <f>"20200111155538958"</f>
        <v>20200111155538958</v>
      </c>
      <c r="B2003" t="str">
        <f>"1578729338954320"</f>
        <v>1578729338954320</v>
      </c>
      <c r="C2003" t="s">
        <v>37</v>
      </c>
      <c r="D2003">
        <v>4.8679550000000003</v>
      </c>
      <c r="E2003">
        <v>0.55359409999999998</v>
      </c>
      <c r="F2003" t="s">
        <v>59</v>
      </c>
      <c r="G2003">
        <v>-260.99630000000002</v>
      </c>
      <c r="H2003" s="1">
        <v>-1.00659E-6</v>
      </c>
      <c r="I2003">
        <v>287.77190000000002</v>
      </c>
      <c r="J2003">
        <v>-237.42089999999999</v>
      </c>
      <c r="K2003">
        <v>1.104481</v>
      </c>
      <c r="L2003">
        <v>284.7593</v>
      </c>
      <c r="M2003">
        <v>-0.99993679999999996</v>
      </c>
      <c r="N2003">
        <v>0</v>
      </c>
      <c r="O2003">
        <v>4.7405269999999996E-3</v>
      </c>
      <c r="P2003">
        <v>-0.99988279999999996</v>
      </c>
      <c r="Q2003">
        <v>-3.3470489999999999E-3</v>
      </c>
      <c r="R2003">
        <v>-1.493973E-2</v>
      </c>
      <c r="S2003">
        <v>-3.005722</v>
      </c>
      <c r="T2003">
        <v>-0.13919100000000001</v>
      </c>
      <c r="U2003">
        <v>0.37985229999999998</v>
      </c>
      <c r="V2003">
        <v>-1.96805E-2</v>
      </c>
      <c r="W2003">
        <v>6.8476300000000004E-3</v>
      </c>
      <c r="X2003">
        <v>0.99978289999999903</v>
      </c>
      <c r="Y2003">
        <v>0.1205522</v>
      </c>
      <c r="Z2003">
        <v>2.5602429999999998E-3</v>
      </c>
      <c r="AA2003">
        <v>0.99270369999999997</v>
      </c>
      <c r="AB2003">
        <v>27</v>
      </c>
      <c r="AC2003">
        <v>-23.575399999999998</v>
      </c>
      <c r="AD2003">
        <v>-1.1044820065899901</v>
      </c>
      <c r="AE2003">
        <v>3.0126000000000199</v>
      </c>
      <c r="AF2003">
        <v>2.8945495720049998</v>
      </c>
      <c r="AG2003">
        <v>-1.1044820065899901</v>
      </c>
      <c r="AH2003">
        <v>23.538584201263699</v>
      </c>
      <c r="AI2003">
        <v>92.666417765025798</v>
      </c>
      <c r="AJ2003">
        <v>82.989509485859202</v>
      </c>
      <c r="AK2003">
        <v>23.741593121095701</v>
      </c>
    </row>
    <row r="2004" spans="1:37" x14ac:dyDescent="0.2">
      <c r="A2004" t="str">
        <f>"20200111155538980"</f>
        <v>20200111155538980</v>
      </c>
      <c r="B2004" t="str">
        <f>"1578729338974815"</f>
        <v>1578729338974815</v>
      </c>
      <c r="C2004" t="s">
        <v>37</v>
      </c>
      <c r="D2004">
        <v>4.9044080000000001</v>
      </c>
      <c r="E2004">
        <v>0.55336240000000003</v>
      </c>
      <c r="F2004" t="s">
        <v>59</v>
      </c>
      <c r="G2004">
        <v>-260.30520000000001</v>
      </c>
      <c r="H2004" s="1">
        <v>-1.3743600000000001E-6</v>
      </c>
      <c r="I2004">
        <v>287.65289999999999</v>
      </c>
      <c r="J2004">
        <v>-237.68690000000001</v>
      </c>
      <c r="K2004">
        <v>1.1045750000000001</v>
      </c>
      <c r="L2004">
        <v>284.76029999999997</v>
      </c>
      <c r="M2004">
        <v>-0.99993529999999997</v>
      </c>
      <c r="N2004">
        <v>0</v>
      </c>
      <c r="O2004">
        <v>4.504409E-3</v>
      </c>
      <c r="P2004">
        <v>-0.99987530000000002</v>
      </c>
      <c r="Q2004">
        <v>-2.5579499999999998E-3</v>
      </c>
      <c r="R2004">
        <v>-1.558146E-2</v>
      </c>
      <c r="S2004">
        <v>-3.00553899999999</v>
      </c>
      <c r="T2004">
        <v>-0.14505850000000001</v>
      </c>
      <c r="U2004">
        <v>0.38003540000000002</v>
      </c>
      <c r="V2004">
        <v>-2.008795E-2</v>
      </c>
      <c r="W2004">
        <v>7.8790000000000006E-3</v>
      </c>
      <c r="X2004">
        <v>0.99976719999999897</v>
      </c>
      <c r="Y2004">
        <v>0.12084249999999901</v>
      </c>
      <c r="Z2004">
        <v>2.6865119999999998E-3</v>
      </c>
      <c r="AA2004">
        <v>0.99266799999999999</v>
      </c>
      <c r="AB2004">
        <v>27</v>
      </c>
      <c r="AC2004">
        <v>-22.618300000000001</v>
      </c>
      <c r="AD2004">
        <v>-1.1045763743599999</v>
      </c>
      <c r="AE2004">
        <v>2.8926000000000101</v>
      </c>
      <c r="AF2004">
        <v>2.7841499287169502</v>
      </c>
      <c r="AG2004">
        <v>-1.1045763743599999</v>
      </c>
      <c r="AH2004">
        <v>22.5781204492779</v>
      </c>
      <c r="AI2004">
        <v>92.779793952684003</v>
      </c>
      <c r="AJ2004">
        <v>82.970238849015601</v>
      </c>
      <c r="AK2004">
        <v>22.7759325344643</v>
      </c>
    </row>
    <row r="2005" spans="1:37" x14ac:dyDescent="0.2">
      <c r="A2005" t="str">
        <f>"20200111155538994"</f>
        <v>20200111155538994</v>
      </c>
      <c r="B2005" t="str">
        <f>"1578729338984575"</f>
        <v>1578729338984575</v>
      </c>
      <c r="C2005" t="s">
        <v>37</v>
      </c>
      <c r="D2005">
        <v>4.8409699999999898</v>
      </c>
      <c r="E2005">
        <v>0.5217965</v>
      </c>
      <c r="F2005" t="s">
        <v>59</v>
      </c>
      <c r="G2005">
        <v>-260.9393</v>
      </c>
      <c r="H2005" s="1">
        <v>-1.036923E-6</v>
      </c>
      <c r="I2005">
        <v>287.67090000000002</v>
      </c>
      <c r="J2005">
        <v>-237.86099999999999</v>
      </c>
      <c r="K2005">
        <v>1.1046389999999999</v>
      </c>
      <c r="L2005">
        <v>284.76089999999999</v>
      </c>
      <c r="M2005">
        <v>-0.99993460000000001</v>
      </c>
      <c r="N2005">
        <v>0</v>
      </c>
      <c r="O2005">
        <v>4.2949399999999997E-3</v>
      </c>
      <c r="P2005">
        <v>-0.99987039999999905</v>
      </c>
      <c r="Q2005">
        <v>-2.434921E-3</v>
      </c>
      <c r="R2005">
        <v>-1.591439E-2</v>
      </c>
      <c r="S2005">
        <v>-3.0058750000000001</v>
      </c>
      <c r="T2005">
        <v>-0.14279029999999901</v>
      </c>
      <c r="U2005">
        <v>0.37625120000000001</v>
      </c>
      <c r="V2005">
        <v>-2.0212810000000001E-2</v>
      </c>
      <c r="W2005">
        <v>8.1493580000000006E-3</v>
      </c>
      <c r="X2005">
        <v>0.9997625</v>
      </c>
      <c r="Y2005">
        <v>0.1198114</v>
      </c>
      <c r="Z2005">
        <v>2.6299890000000001E-3</v>
      </c>
      <c r="AA2005">
        <v>0.99279319999999904</v>
      </c>
      <c r="AB2005">
        <v>27</v>
      </c>
      <c r="AC2005">
        <v>-23.078299999999999</v>
      </c>
      <c r="AD2005">
        <v>-1.1046400369229901</v>
      </c>
      <c r="AE2005">
        <v>2.9100000000000201</v>
      </c>
      <c r="AF2005">
        <v>2.8045229409536199</v>
      </c>
      <c r="AG2005">
        <v>-1.1046400369229901</v>
      </c>
      <c r="AH2005">
        <v>23.038629593328299</v>
      </c>
      <c r="AI2005">
        <v>92.724990255972401</v>
      </c>
      <c r="AJ2005">
        <v>83.059457174734405</v>
      </c>
      <c r="AK2005">
        <v>23.2349743291464</v>
      </c>
    </row>
    <row r="2006" spans="1:37" x14ac:dyDescent="0.2">
      <c r="A2006" t="str">
        <f>"20200111155539013"</f>
        <v>20200111155539013</v>
      </c>
      <c r="B2006" t="str">
        <f>"1578729339004095"</f>
        <v>1578729339004095</v>
      </c>
      <c r="C2006" t="s">
        <v>37</v>
      </c>
      <c r="D2006">
        <v>4.8672589999999998</v>
      </c>
      <c r="E2006">
        <v>0.51564989999999999</v>
      </c>
      <c r="F2006" t="s">
        <v>59</v>
      </c>
      <c r="G2006">
        <v>-268.51280000000003</v>
      </c>
      <c r="H2006" s="1">
        <v>2.99329099999999E-6</v>
      </c>
      <c r="I2006">
        <v>286.02910000000003</v>
      </c>
      <c r="J2006">
        <v>-238.09309999999999</v>
      </c>
      <c r="K2006">
        <v>1.104714</v>
      </c>
      <c r="L2006">
        <v>284.76159999999999</v>
      </c>
      <c r="M2006">
        <v>-0.99993410000000005</v>
      </c>
      <c r="N2006">
        <v>0</v>
      </c>
      <c r="O2006">
        <v>3.9660939999999999E-3</v>
      </c>
      <c r="P2006">
        <v>-0.99986659999999905</v>
      </c>
      <c r="Q2006">
        <v>-3.3989770000000001E-3</v>
      </c>
      <c r="R2006">
        <v>-1.5985079999999999E-2</v>
      </c>
      <c r="S2006">
        <v>-3.0021209999999998</v>
      </c>
      <c r="T2006">
        <v>-0.1081911</v>
      </c>
      <c r="U2006">
        <v>0.1242065</v>
      </c>
      <c r="V2006">
        <v>-1.9955500000000001E-2</v>
      </c>
      <c r="W2006">
        <v>7.3664169999999897E-3</v>
      </c>
      <c r="X2006">
        <v>0.99977369999999899</v>
      </c>
      <c r="Y2006">
        <v>3.7352669999999998E-2</v>
      </c>
      <c r="Z2006">
        <v>5.2972769999999896E-4</v>
      </c>
      <c r="AA2006">
        <v>0.99930200000000002</v>
      </c>
      <c r="AB2006">
        <v>27</v>
      </c>
      <c r="AC2006">
        <v>-30.419699999999999</v>
      </c>
      <c r="AD2006">
        <v>-1.104711006709</v>
      </c>
      <c r="AE2006">
        <v>1.26750000000004</v>
      </c>
      <c r="AF2006">
        <v>1.14532776801591</v>
      </c>
      <c r="AG2006">
        <v>-1.104711006709</v>
      </c>
      <c r="AH2006">
        <v>30.384485637306501</v>
      </c>
      <c r="AI2006">
        <v>92.080751052424603</v>
      </c>
      <c r="AJ2006">
        <v>87.841286698322804</v>
      </c>
      <c r="AK2006">
        <v>30.4261257728981</v>
      </c>
    </row>
    <row r="2007" spans="1:37" x14ac:dyDescent="0.2">
      <c r="A2007" t="str">
        <f>"20200111155539028"</f>
        <v>20200111155539028</v>
      </c>
      <c r="B2007" t="str">
        <f>"1578729339024124"</f>
        <v>1578729339024124</v>
      </c>
      <c r="C2007" t="s">
        <v>37</v>
      </c>
      <c r="D2007">
        <v>4.8798050000000002</v>
      </c>
      <c r="E2007">
        <v>0.51297799999999905</v>
      </c>
      <c r="F2007" t="s">
        <v>59</v>
      </c>
      <c r="G2007">
        <v>-274.43490000000003</v>
      </c>
      <c r="H2007" s="1">
        <v>7.7709279999999997E-7</v>
      </c>
      <c r="I2007">
        <v>285.67250000000001</v>
      </c>
      <c r="J2007">
        <v>-238.2705</v>
      </c>
      <c r="K2007">
        <v>1.1047610000000001</v>
      </c>
      <c r="L2007">
        <v>284.762</v>
      </c>
      <c r="M2007">
        <v>-0.99993379999999998</v>
      </c>
      <c r="N2007">
        <v>0</v>
      </c>
      <c r="O2007">
        <v>3.6712009999999998E-3</v>
      </c>
      <c r="P2007">
        <v>-0.99985919999999895</v>
      </c>
      <c r="Q2007">
        <v>-4.4433060000000002E-3</v>
      </c>
      <c r="R2007">
        <v>-1.6197650000000001E-2</v>
      </c>
      <c r="S2007">
        <v>-3.0012970000000001</v>
      </c>
      <c r="T2007">
        <v>-9.1233019999999998E-2</v>
      </c>
      <c r="U2007">
        <v>7.5225829999999994E-2</v>
      </c>
      <c r="V2007">
        <v>-1.9873160000000001E-2</v>
      </c>
      <c r="W2007">
        <v>6.4499580000000004E-3</v>
      </c>
      <c r="X2007">
        <v>0.999781699999999</v>
      </c>
      <c r="Y2007">
        <v>2.137797E-2</v>
      </c>
      <c r="Z2007">
        <v>2.1323770000000001E-4</v>
      </c>
      <c r="AA2007">
        <v>0.99977139999999998</v>
      </c>
      <c r="AB2007">
        <v>27</v>
      </c>
      <c r="AC2007">
        <v>-36.164400000000001</v>
      </c>
      <c r="AD2007">
        <v>-1.1047602229072</v>
      </c>
      <c r="AE2007">
        <v>0.91050000000001297</v>
      </c>
      <c r="AF2007">
        <v>0.77699455719869603</v>
      </c>
      <c r="AG2007">
        <v>-1.1047602229072</v>
      </c>
      <c r="AH2007">
        <v>36.133800481695403</v>
      </c>
      <c r="AI2007">
        <v>91.750819721200102</v>
      </c>
      <c r="AJ2007">
        <v>88.768143718615804</v>
      </c>
      <c r="AK2007">
        <v>36.159034181556898</v>
      </c>
    </row>
    <row r="2008" spans="1:37" x14ac:dyDescent="0.2">
      <c r="A2008" t="str">
        <f>"20200111155539046"</f>
        <v>20200111155539046</v>
      </c>
      <c r="B2008" t="str">
        <f>"1578729339044620"</f>
        <v>1578729339044620</v>
      </c>
      <c r="C2008" t="s">
        <v>37</v>
      </c>
      <c r="D2008">
        <v>4.9129180000000003</v>
      </c>
      <c r="E2008">
        <v>0.51198310000000002</v>
      </c>
      <c r="F2008" t="s">
        <v>59</v>
      </c>
      <c r="G2008">
        <v>-276.10300000000001</v>
      </c>
      <c r="H2008" s="1">
        <v>1.674958E-6</v>
      </c>
      <c r="I2008">
        <v>285.43880000000001</v>
      </c>
      <c r="J2008">
        <v>-238.4906</v>
      </c>
      <c r="K2008">
        <v>1.104814</v>
      </c>
      <c r="L2008">
        <v>284.76240000000001</v>
      </c>
      <c r="M2008">
        <v>-0.99993339999999997</v>
      </c>
      <c r="N2008">
        <v>0</v>
      </c>
      <c r="O2008">
        <v>3.25998E-3</v>
      </c>
      <c r="P2008">
        <v>-0.99984629999999997</v>
      </c>
      <c r="Q2008">
        <v>-6.2837769999999999E-3</v>
      </c>
      <c r="R2008">
        <v>-1.6371170000000001E-2</v>
      </c>
      <c r="S2008">
        <v>-3.0009160000000001</v>
      </c>
      <c r="T2008">
        <v>-8.7630749999999993E-2</v>
      </c>
      <c r="U2008">
        <v>5.368042E-2</v>
      </c>
      <c r="V2008">
        <v>-1.963498E-2</v>
      </c>
      <c r="W2008">
        <v>4.7605499999999997E-3</v>
      </c>
      <c r="X2008">
        <v>0.99979589999999996</v>
      </c>
      <c r="Y2008">
        <v>1.4620559999999999E-2</v>
      </c>
      <c r="Z2008">
        <v>1.182345E-4</v>
      </c>
      <c r="AA2008">
        <v>0.99989309999999998</v>
      </c>
      <c r="AB2008">
        <v>27</v>
      </c>
      <c r="AC2008">
        <v>-37.612400000000001</v>
      </c>
      <c r="AD2008">
        <v>-1.1048123250419899</v>
      </c>
      <c r="AE2008">
        <v>0.676400000000001</v>
      </c>
      <c r="AF2008">
        <v>0.55329598380896206</v>
      </c>
      <c r="AG2008">
        <v>-1.1048123250419899</v>
      </c>
      <c r="AH2008">
        <v>37.5819896830887</v>
      </c>
      <c r="AI2008">
        <v>91.683678941260595</v>
      </c>
      <c r="AJ2008">
        <v>89.156531230975503</v>
      </c>
      <c r="AK2008">
        <v>37.602296409382397</v>
      </c>
    </row>
    <row r="2009" spans="1:37" x14ac:dyDescent="0.2">
      <c r="A2009" t="str">
        <f>"20200111155539060"</f>
        <v>20200111155539060</v>
      </c>
      <c r="B2009" t="str">
        <f>"1578729339054379"</f>
        <v>1578729339054379</v>
      </c>
      <c r="C2009" t="s">
        <v>37</v>
      </c>
      <c r="D2009">
        <v>4.9146580000000002</v>
      </c>
      <c r="E2009">
        <v>0.5120614</v>
      </c>
      <c r="F2009" t="s">
        <v>59</v>
      </c>
      <c r="G2009">
        <v>-274.27670000000001</v>
      </c>
      <c r="H2009" s="1">
        <v>7.0912519999999995E-7</v>
      </c>
      <c r="I2009">
        <v>285.3014</v>
      </c>
      <c r="J2009">
        <v>-238.65170000000001</v>
      </c>
      <c r="K2009">
        <v>1.1048450000000001</v>
      </c>
      <c r="L2009">
        <v>284.76260000000002</v>
      </c>
      <c r="M2009">
        <v>-0.99993349999999903</v>
      </c>
      <c r="N2009">
        <v>0</v>
      </c>
      <c r="O2009">
        <v>2.9324770000000002E-3</v>
      </c>
      <c r="P2009">
        <v>-0.99982859999999996</v>
      </c>
      <c r="Q2009">
        <v>-7.3010610000000002E-3</v>
      </c>
      <c r="R2009">
        <v>-1.7020420000000001E-2</v>
      </c>
      <c r="S2009">
        <v>-3.000626</v>
      </c>
      <c r="T2009">
        <v>-9.2637300000000006E-2</v>
      </c>
      <c r="U2009">
        <v>4.5196529999999999E-2</v>
      </c>
      <c r="V2009">
        <v>-1.9956370000000001E-2</v>
      </c>
      <c r="W2009">
        <v>3.8497990000000001E-3</v>
      </c>
      <c r="X2009">
        <v>0.99979340000000005</v>
      </c>
      <c r="Y2009">
        <v>1.212389E-2</v>
      </c>
      <c r="Z2009" s="1">
        <v>9.658154E-5</v>
      </c>
      <c r="AA2009">
        <v>0.99992649999999905</v>
      </c>
      <c r="AB2009">
        <v>27</v>
      </c>
      <c r="AC2009">
        <v>-35.625</v>
      </c>
      <c r="AD2009">
        <v>-1.1048442908748</v>
      </c>
      <c r="AE2009">
        <v>0.53879999999997996</v>
      </c>
      <c r="AF2009">
        <v>0.43390445029499802</v>
      </c>
      <c r="AG2009">
        <v>-1.1048442908748</v>
      </c>
      <c r="AH2009">
        <v>35.5922015679485</v>
      </c>
      <c r="AI2009">
        <v>91.777858411445806</v>
      </c>
      <c r="AJ2009">
        <v>89.301541879504398</v>
      </c>
      <c r="AK2009">
        <v>35.611989082786998</v>
      </c>
    </row>
    <row r="2010" spans="1:37" x14ac:dyDescent="0.2">
      <c r="A2010" t="str">
        <f>"20200111155539072"</f>
        <v>20200111155539072</v>
      </c>
      <c r="B2010" t="str">
        <f>"1578729339064140"</f>
        <v>1578729339064140</v>
      </c>
      <c r="C2010" t="s">
        <v>37</v>
      </c>
      <c r="D2010">
        <v>4.8075939999999999</v>
      </c>
      <c r="E2010">
        <v>0.51186369999999903</v>
      </c>
      <c r="F2010" t="s">
        <v>59</v>
      </c>
      <c r="G2010">
        <v>-273.6551</v>
      </c>
      <c r="H2010" s="1">
        <v>3.7950550000000002E-7</v>
      </c>
      <c r="I2010">
        <v>285.2749</v>
      </c>
      <c r="J2010">
        <v>-238.81799999999899</v>
      </c>
      <c r="K2010">
        <v>1.104876</v>
      </c>
      <c r="L2010">
        <v>284.7627</v>
      </c>
      <c r="M2010">
        <v>-0.99993319999999997</v>
      </c>
      <c r="N2010">
        <v>0</v>
      </c>
      <c r="O2010">
        <v>2.5661429999999999E-3</v>
      </c>
      <c r="P2010">
        <v>-0.99980869999999999</v>
      </c>
      <c r="Q2010">
        <v>-8.5089980000000003E-3</v>
      </c>
      <c r="R2010">
        <v>-1.7621439999999999E-2</v>
      </c>
      <c r="S2010">
        <v>-3.0005799999999998</v>
      </c>
      <c r="T2010">
        <v>-9.471011E-2</v>
      </c>
      <c r="U2010">
        <v>4.3914790000000002E-2</v>
      </c>
      <c r="V2010">
        <v>-2.0190050000000001E-2</v>
      </c>
      <c r="W2010">
        <v>2.7478350000000001E-3</v>
      </c>
      <c r="X2010">
        <v>0.99979240000000003</v>
      </c>
      <c r="Y2010">
        <v>1.206306E-2</v>
      </c>
      <c r="Z2010">
        <v>1.0934349999999999E-4</v>
      </c>
      <c r="AA2010">
        <v>0.99992719999999902</v>
      </c>
      <c r="AB2010">
        <v>27</v>
      </c>
      <c r="AC2010">
        <v>-34.8371</v>
      </c>
      <c r="AD2010">
        <v>-1.1048756204945001</v>
      </c>
      <c r="AE2010">
        <v>0.51220000000000698</v>
      </c>
      <c r="AF2010">
        <v>0.42237089601169803</v>
      </c>
      <c r="AG2010">
        <v>-1.1048756204945001</v>
      </c>
      <c r="AH2010">
        <v>34.803299639978199</v>
      </c>
      <c r="AI2010">
        <v>91.818183911572405</v>
      </c>
      <c r="AJ2010">
        <v>89.304695761187304</v>
      </c>
      <c r="AK2010">
        <v>34.823394624026299</v>
      </c>
    </row>
    <row r="2011" spans="1:37" x14ac:dyDescent="0.2">
      <c r="A2011" t="str">
        <f>"20200111155539091"</f>
        <v>20200111155539091</v>
      </c>
      <c r="B2011" t="str">
        <f>"1578729339084635"</f>
        <v>1578729339084635</v>
      </c>
      <c r="C2011" t="s">
        <v>37</v>
      </c>
      <c r="D2011">
        <v>4.8410690000000001</v>
      </c>
      <c r="E2011">
        <v>0.51191399999999998</v>
      </c>
      <c r="F2011" t="s">
        <v>59</v>
      </c>
      <c r="G2011">
        <v>-272.64269999999999</v>
      </c>
      <c r="H2011" s="1">
        <v>-1.5686669999999999E-7</v>
      </c>
      <c r="I2011">
        <v>285.22019999999998</v>
      </c>
      <c r="J2011">
        <v>-239.03579999999999</v>
      </c>
      <c r="K2011">
        <v>1.1049199999999999</v>
      </c>
      <c r="L2011">
        <v>284.7627</v>
      </c>
      <c r="M2011">
        <v>-0.99993279999999995</v>
      </c>
      <c r="N2011">
        <v>0</v>
      </c>
      <c r="O2011">
        <v>2.0690259999999999E-3</v>
      </c>
      <c r="P2011">
        <v>-0.99978979999999995</v>
      </c>
      <c r="Q2011">
        <v>-8.4130219999999992E-3</v>
      </c>
      <c r="R2011">
        <v>-1.8704950000000001E-2</v>
      </c>
      <c r="S2011">
        <v>-3.0004580000000001</v>
      </c>
      <c r="T2011">
        <v>-9.8009349999999995E-2</v>
      </c>
      <c r="U2011">
        <v>4.058838E-2</v>
      </c>
      <c r="V2011">
        <v>-2.0776889999999999E-2</v>
      </c>
      <c r="W2011">
        <v>2.9786229999999901E-3</v>
      </c>
      <c r="X2011">
        <v>0.99977969999999905</v>
      </c>
      <c r="Y2011">
        <v>1.1452159999999999E-2</v>
      </c>
      <c r="Z2011">
        <v>1.19415499999999E-4</v>
      </c>
      <c r="AA2011">
        <v>0.9999344</v>
      </c>
      <c r="AB2011">
        <v>27</v>
      </c>
      <c r="AC2011">
        <v>-33.606900000000003</v>
      </c>
      <c r="AD2011">
        <v>-1.1049201568667</v>
      </c>
      <c r="AE2011">
        <v>0.45749999999998098</v>
      </c>
      <c r="AF2011">
        <v>0.387542111305196</v>
      </c>
      <c r="AG2011">
        <v>-1.1049201568667</v>
      </c>
      <c r="AH2011">
        <v>33.5714923775855</v>
      </c>
      <c r="AI2011">
        <v>91.884938682789596</v>
      </c>
      <c r="AJ2011">
        <v>89.338619181033096</v>
      </c>
      <c r="AK2011">
        <v>33.591905839046497</v>
      </c>
    </row>
    <row r="2012" spans="1:37" x14ac:dyDescent="0.2">
      <c r="A2012" t="str">
        <f>"20200111155539114"</f>
        <v>20200111155539114</v>
      </c>
      <c r="B2012" t="str">
        <f>"1578729339104156"</f>
        <v>1578729339104156</v>
      </c>
      <c r="C2012" t="s">
        <v>37</v>
      </c>
      <c r="D2012">
        <v>4.8554810000000002</v>
      </c>
      <c r="E2012">
        <v>0.51191750000000003</v>
      </c>
      <c r="F2012" t="s">
        <v>59</v>
      </c>
      <c r="G2012">
        <v>-273.64359999999999</v>
      </c>
      <c r="H2012" s="1">
        <v>3.7680599999999999E-7</v>
      </c>
      <c r="I2012">
        <v>285.19560000000001</v>
      </c>
      <c r="J2012">
        <v>-239.3057</v>
      </c>
      <c r="K2012">
        <v>1.1049709999999999</v>
      </c>
      <c r="L2012">
        <v>284.76260000000002</v>
      </c>
      <c r="M2012">
        <v>-0.99993189999999998</v>
      </c>
      <c r="N2012">
        <v>0</v>
      </c>
      <c r="O2012">
        <v>1.4354700000000001E-3</v>
      </c>
      <c r="P2012">
        <v>-0.99977139999999998</v>
      </c>
      <c r="Q2012">
        <v>-7.2494889999999996E-3</v>
      </c>
      <c r="R2012">
        <v>-2.0122330000000001E-2</v>
      </c>
      <c r="S2012">
        <v>-3.000534</v>
      </c>
      <c r="T2012">
        <v>-9.5797779999999999E-2</v>
      </c>
      <c r="U2012">
        <v>3.753662E-2</v>
      </c>
      <c r="V2012">
        <v>-2.1562439999999999E-2</v>
      </c>
      <c r="W2012">
        <v>4.299453E-3</v>
      </c>
      <c r="X2012">
        <v>0.99975820000000004</v>
      </c>
      <c r="Y2012">
        <v>1.1068629999999999E-2</v>
      </c>
      <c r="Z2012">
        <v>1.30822E-4</v>
      </c>
      <c r="AA2012">
        <v>0.99993869999999896</v>
      </c>
      <c r="AB2012">
        <v>27</v>
      </c>
      <c r="AC2012">
        <v>-34.337899999999898</v>
      </c>
      <c r="AD2012">
        <v>-1.104970623194</v>
      </c>
      <c r="AE2012">
        <v>0.432999999999992</v>
      </c>
      <c r="AF2012">
        <v>0.38330836608872099</v>
      </c>
      <c r="AG2012">
        <v>-1.104970623194</v>
      </c>
      <c r="AH2012">
        <v>34.302970819818597</v>
      </c>
      <c r="AI2012">
        <v>91.844864160530605</v>
      </c>
      <c r="AJ2012">
        <v>89.359791962751004</v>
      </c>
      <c r="AK2012">
        <v>34.322903321935897</v>
      </c>
    </row>
    <row r="2013" spans="1:37" x14ac:dyDescent="0.2">
      <c r="A2013" t="str">
        <f>"20200111155539135"</f>
        <v>20200111155539135</v>
      </c>
      <c r="B2013" t="str">
        <f>"1578729339124183"</f>
        <v>1578729339124183</v>
      </c>
      <c r="C2013" t="s">
        <v>37</v>
      </c>
      <c r="D2013">
        <v>5.0876419999999998</v>
      </c>
      <c r="E2013">
        <v>0.51175209999999904</v>
      </c>
      <c r="F2013" t="s">
        <v>59</v>
      </c>
      <c r="G2013">
        <v>-275.92540000000002</v>
      </c>
      <c r="H2013" s="1">
        <v>1.5921909999999999E-6</v>
      </c>
      <c r="I2013">
        <v>285.17110000000002</v>
      </c>
      <c r="J2013">
        <v>-239.56819999999999</v>
      </c>
      <c r="K2013">
        <v>1.1050009999999999</v>
      </c>
      <c r="L2013">
        <v>284.76220000000001</v>
      </c>
      <c r="M2013">
        <v>-0.99993099999999902</v>
      </c>
      <c r="N2013">
        <v>0</v>
      </c>
      <c r="O2013">
        <v>8.1225479999999896E-4</v>
      </c>
      <c r="P2013">
        <v>-0.99977859999999996</v>
      </c>
      <c r="Q2013">
        <v>-2.6434979999999898E-3</v>
      </c>
      <c r="R2013">
        <v>-2.0879109999999999E-2</v>
      </c>
      <c r="S2013">
        <v>-3.0006870000000001</v>
      </c>
      <c r="T2013">
        <v>-9.0543150000000003E-2</v>
      </c>
      <c r="U2013">
        <v>3.3477779999999999E-2</v>
      </c>
      <c r="V2013">
        <v>-2.1701910000000001E-2</v>
      </c>
      <c r="W2013">
        <v>9.0486430000000003E-3</v>
      </c>
      <c r="X2013">
        <v>0.99972359999999905</v>
      </c>
      <c r="Y2013">
        <v>1.033941E-2</v>
      </c>
      <c r="Z2013">
        <v>1.3144679999999999E-4</v>
      </c>
      <c r="AA2013">
        <v>0.99994649999999996</v>
      </c>
      <c r="AB2013">
        <v>27</v>
      </c>
      <c r="AC2013">
        <v>-36.357199999999999</v>
      </c>
      <c r="AD2013">
        <v>-1.104999407809</v>
      </c>
      <c r="AE2013">
        <v>0.40890000000001597</v>
      </c>
      <c r="AF2013">
        <v>0.37901646368764502</v>
      </c>
      <c r="AG2013">
        <v>-1.104999407809</v>
      </c>
      <c r="AH2013">
        <v>36.323971000878899</v>
      </c>
      <c r="AI2013">
        <v>91.742343650958901</v>
      </c>
      <c r="AJ2013">
        <v>89.402178366666604</v>
      </c>
      <c r="AK2013">
        <v>36.342750947660697</v>
      </c>
    </row>
    <row r="2014" spans="1:37" x14ac:dyDescent="0.2">
      <c r="A2014" t="str">
        <f>"20200111155539159"</f>
        <v>20200111155539159</v>
      </c>
      <c r="B2014" t="str">
        <f>"1578729339154439"</f>
        <v>1578729339154439</v>
      </c>
      <c r="C2014" t="s">
        <v>37</v>
      </c>
      <c r="D2014">
        <v>4.9268609999999997</v>
      </c>
      <c r="E2014">
        <v>0.51150280000000004</v>
      </c>
      <c r="F2014" t="s">
        <v>61</v>
      </c>
      <c r="G2014">
        <v>-284.517</v>
      </c>
      <c r="H2014" s="1">
        <v>6.2768230000000002E-6</v>
      </c>
      <c r="I2014">
        <v>285.20830000000001</v>
      </c>
      <c r="J2014">
        <v>-239.84829999999999</v>
      </c>
      <c r="K2014">
        <v>1.1050149999999901</v>
      </c>
      <c r="L2014">
        <v>284.76170000000002</v>
      </c>
      <c r="M2014">
        <v>-0.99992969999999903</v>
      </c>
      <c r="N2014">
        <v>0</v>
      </c>
      <c r="O2014">
        <v>1.4835259999999999E-4</v>
      </c>
      <c r="P2014">
        <v>-0.99975480000000005</v>
      </c>
      <c r="Q2014">
        <v>-4.7670569999999999E-3</v>
      </c>
      <c r="R2014">
        <v>-2.162526E-2</v>
      </c>
      <c r="S2014">
        <v>-3.0010680000000001</v>
      </c>
      <c r="T2014">
        <v>-7.3776480000000005E-2</v>
      </c>
      <c r="U2014">
        <v>2.9785160000000001E-2</v>
      </c>
      <c r="V2014">
        <v>-2.1781390000000001E-2</v>
      </c>
      <c r="W2014">
        <v>7.0674469999999897E-3</v>
      </c>
      <c r="X2014">
        <v>0.99973780000000001</v>
      </c>
      <c r="Y2014">
        <v>9.7730999999999998E-3</v>
      </c>
      <c r="Z2014">
        <v>1.164603E-4</v>
      </c>
      <c r="AA2014">
        <v>0.99995230000000002</v>
      </c>
      <c r="AB2014">
        <v>27</v>
      </c>
      <c r="AC2014">
        <v>-44.668700000000001</v>
      </c>
      <c r="AD2014">
        <v>-1.1050087231769901</v>
      </c>
      <c r="AE2014">
        <v>0.44659999999998901</v>
      </c>
      <c r="AF2014">
        <v>0.43970375618306301</v>
      </c>
      <c r="AG2014">
        <v>-1.1050087231769901</v>
      </c>
      <c r="AH2014">
        <v>44.641449606263798</v>
      </c>
      <c r="AI2014">
        <v>91.4178827462501</v>
      </c>
      <c r="AJ2014">
        <v>89.435673459964207</v>
      </c>
      <c r="AK2014">
        <v>44.657288393050599</v>
      </c>
    </row>
    <row r="2015" spans="1:37" x14ac:dyDescent="0.2">
      <c r="A2015" t="str">
        <f>"20200111155539180"</f>
        <v>20200111155539180</v>
      </c>
      <c r="B2015" t="str">
        <f>"1578729339173960"</f>
        <v>1578729339173960</v>
      </c>
      <c r="C2015" t="s">
        <v>37</v>
      </c>
      <c r="D2015">
        <v>5.066675</v>
      </c>
      <c r="E2015">
        <v>0.51173749999999996</v>
      </c>
      <c r="F2015" t="s">
        <v>61</v>
      </c>
      <c r="G2015">
        <v>-281.82780000000002</v>
      </c>
      <c r="H2015" s="1">
        <v>7.4878219999999999E-6</v>
      </c>
      <c r="I2015">
        <v>285.11900000000003</v>
      </c>
      <c r="J2015">
        <v>-240.11330000000001</v>
      </c>
      <c r="K2015">
        <v>1.1050279999999999</v>
      </c>
      <c r="L2015">
        <v>284.760999999999</v>
      </c>
      <c r="M2015">
        <v>-0.99992800000000004</v>
      </c>
      <c r="N2015">
        <v>0</v>
      </c>
      <c r="O2015">
        <v>-4.7195849999999998E-4</v>
      </c>
      <c r="P2015">
        <v>-0.99974979999999902</v>
      </c>
      <c r="Q2015">
        <v>-4.4890479999999998E-3</v>
      </c>
      <c r="R2015">
        <v>-2.1917030000000001E-2</v>
      </c>
      <c r="S2015">
        <v>-3.0009000000000001</v>
      </c>
      <c r="T2015">
        <v>-7.8991290000000006E-2</v>
      </c>
      <c r="U2015">
        <v>2.554321E-2</v>
      </c>
      <c r="V2015">
        <v>-2.1453340000000001E-2</v>
      </c>
      <c r="W2015">
        <v>7.477516E-3</v>
      </c>
      <c r="X2015">
        <v>0.99974189999999996</v>
      </c>
      <c r="Y2015">
        <v>8.9802430000000006E-3</v>
      </c>
      <c r="Z2015">
        <v>1.3059040000000001E-4</v>
      </c>
      <c r="AA2015">
        <v>0.99995959999999995</v>
      </c>
      <c r="AB2015">
        <v>27</v>
      </c>
      <c r="AC2015">
        <v>-41.714500000000001</v>
      </c>
      <c r="AD2015">
        <v>-1.1050205121779999</v>
      </c>
      <c r="AE2015">
        <v>0.35800000000005999</v>
      </c>
      <c r="AF2015">
        <v>0.37742406020407399</v>
      </c>
      <c r="AG2015">
        <v>-1.1050205121779999</v>
      </c>
      <c r="AH2015">
        <v>41.685077097647202</v>
      </c>
      <c r="AI2015">
        <v>91.518423349036695</v>
      </c>
      <c r="AJ2015">
        <v>89.481248054441593</v>
      </c>
      <c r="AK2015">
        <v>41.701428895067203</v>
      </c>
    </row>
    <row r="2016" spans="1:37" x14ac:dyDescent="0.2">
      <c r="A2016" t="str">
        <f>"20200111155539203"</f>
        <v>20200111155539203</v>
      </c>
      <c r="B2016" t="str">
        <f>"1578729339194454"</f>
        <v>1578729339194454</v>
      </c>
      <c r="C2016" t="s">
        <v>37</v>
      </c>
      <c r="D2016">
        <v>5.1391720000000003</v>
      </c>
      <c r="E2016">
        <v>0.51198980000000005</v>
      </c>
      <c r="F2016" t="s">
        <v>61</v>
      </c>
      <c r="G2016">
        <v>-283.1001</v>
      </c>
      <c r="H2016" s="1">
        <v>6.9189940000000004E-6</v>
      </c>
      <c r="I2016">
        <v>285.14139999999998</v>
      </c>
      <c r="J2016">
        <v>-240.38210000000001</v>
      </c>
      <c r="K2016">
        <v>1.105038</v>
      </c>
      <c r="L2016">
        <v>284.7602</v>
      </c>
      <c r="M2016">
        <v>-0.99992590000000003</v>
      </c>
      <c r="N2016">
        <v>0</v>
      </c>
      <c r="O2016">
        <v>-1.092654E-3</v>
      </c>
      <c r="P2016">
        <v>-0.99977109999999902</v>
      </c>
      <c r="Q2016">
        <v>-3.9585150000000001E-3</v>
      </c>
      <c r="R2016">
        <v>-2.1021109999999999E-2</v>
      </c>
      <c r="S2016">
        <v>-3.0009769999999998</v>
      </c>
      <c r="T2016">
        <v>-7.7143310000000007E-2</v>
      </c>
      <c r="U2016">
        <v>2.6550290000000001E-2</v>
      </c>
      <c r="V2016">
        <v>-1.9937750000000001E-2</v>
      </c>
      <c r="W2016">
        <v>8.1407760000000006E-3</v>
      </c>
      <c r="X2016">
        <v>0.99976810000000005</v>
      </c>
      <c r="Y2016">
        <v>9.935915E-3</v>
      </c>
      <c r="Z2016">
        <v>1.5576779999999999E-4</v>
      </c>
      <c r="AA2016">
        <v>0.99995059999999902</v>
      </c>
      <c r="AB2016">
        <v>27</v>
      </c>
      <c r="AC2016">
        <v>-42.717999999999897</v>
      </c>
      <c r="AD2016">
        <v>-1.105031081006</v>
      </c>
      <c r="AE2016">
        <v>0.381199999999978</v>
      </c>
      <c r="AF2016">
        <v>0.42759309349923202</v>
      </c>
      <c r="AG2016">
        <v>-1.105031081006</v>
      </c>
      <c r="AH2016">
        <v>42.688994637161898</v>
      </c>
      <c r="AI2016">
        <v>91.482731280533699</v>
      </c>
      <c r="AJ2016">
        <v>89.426117655642201</v>
      </c>
      <c r="AK2016">
        <v>42.705435165506003</v>
      </c>
    </row>
    <row r="2017" spans="1:37" x14ac:dyDescent="0.2">
      <c r="A2017" t="str">
        <f>"20200111155539225"</f>
        <v>20200111155539225</v>
      </c>
      <c r="B2017" t="str">
        <f>"1578729339213974"</f>
        <v>1578729339213974</v>
      </c>
      <c r="C2017" t="s">
        <v>37</v>
      </c>
      <c r="D2017">
        <v>4.9624800000000002</v>
      </c>
      <c r="E2017">
        <v>0.51209320000000003</v>
      </c>
      <c r="F2017" t="s">
        <v>61</v>
      </c>
      <c r="G2017">
        <v>-284.8005</v>
      </c>
      <c r="H2017" s="1">
        <v>6.1477490000000003E-6</v>
      </c>
      <c r="I2017">
        <v>285.22449999999998</v>
      </c>
      <c r="J2017">
        <v>-240.6473</v>
      </c>
      <c r="K2017">
        <v>1.1050420000000001</v>
      </c>
      <c r="L2017">
        <v>284.75920000000002</v>
      </c>
      <c r="M2017">
        <v>-0.99992349999999997</v>
      </c>
      <c r="N2017">
        <v>0</v>
      </c>
      <c r="O2017">
        <v>-1.6969470000000001E-3</v>
      </c>
      <c r="P2017">
        <v>-0.99978909999999999</v>
      </c>
      <c r="Q2017">
        <v>-5.675088E-3</v>
      </c>
      <c r="R2017">
        <v>-1.974677E-2</v>
      </c>
      <c r="S2017">
        <v>-3.00105299999999</v>
      </c>
      <c r="T2017">
        <v>-7.4659589999999998E-2</v>
      </c>
      <c r="U2017">
        <v>3.1372070000000002E-2</v>
      </c>
      <c r="V2017">
        <v>-1.8057230000000001E-2</v>
      </c>
      <c r="W2017">
        <v>6.562488E-3</v>
      </c>
      <c r="X2017">
        <v>0.99981540000000002</v>
      </c>
      <c r="Y2017">
        <v>1.21458E-2</v>
      </c>
      <c r="Z2017">
        <v>1.9326479999999901E-4</v>
      </c>
      <c r="AA2017">
        <v>0.99992619999999899</v>
      </c>
      <c r="AB2017">
        <v>27</v>
      </c>
      <c r="AC2017">
        <v>-44.153199999999998</v>
      </c>
      <c r="AD2017">
        <v>-1.105035852251</v>
      </c>
      <c r="AE2017">
        <v>0.46529999999995603</v>
      </c>
      <c r="AF2017">
        <v>0.53989246169992899</v>
      </c>
      <c r="AG2017">
        <v>-1.105035852251</v>
      </c>
      <c r="AH2017">
        <v>44.124711606951202</v>
      </c>
      <c r="AI2017">
        <v>91.434477893581402</v>
      </c>
      <c r="AJ2017">
        <v>89.298986559437694</v>
      </c>
      <c r="AK2017">
        <v>44.141848199883697</v>
      </c>
    </row>
    <row r="2018" spans="1:37" x14ac:dyDescent="0.2">
      <c r="A2018" t="str">
        <f>"20200111155539248"</f>
        <v>20200111155539248</v>
      </c>
      <c r="B2018" t="str">
        <f>"1578729339244592"</f>
        <v>1578729339244592</v>
      </c>
      <c r="C2018" t="s">
        <v>37</v>
      </c>
      <c r="D2018">
        <v>5.0010890000000003</v>
      </c>
      <c r="E2018">
        <v>0.51215429999999995</v>
      </c>
      <c r="F2018" t="s">
        <v>61</v>
      </c>
      <c r="G2018">
        <v>-282.6361</v>
      </c>
      <c r="H2018" s="1">
        <v>7.0998500000000003E-6</v>
      </c>
      <c r="I2018">
        <v>285.26179999999999</v>
      </c>
      <c r="J2018">
        <v>-240.92060000000001</v>
      </c>
      <c r="K2018">
        <v>1.105059</v>
      </c>
      <c r="L2018">
        <v>284.75810000000001</v>
      </c>
      <c r="M2018">
        <v>-0.99992019999999904</v>
      </c>
      <c r="N2018">
        <v>0</v>
      </c>
      <c r="O2018">
        <v>-2.31372E-3</v>
      </c>
      <c r="P2018">
        <v>-0.99979869999999904</v>
      </c>
      <c r="Q2018">
        <v>-4.4817870000000001E-3</v>
      </c>
      <c r="R2018">
        <v>-1.9568640000000002E-2</v>
      </c>
      <c r="S2018">
        <v>-3.0009000000000001</v>
      </c>
      <c r="T2018">
        <v>-7.8975799999999999E-2</v>
      </c>
      <c r="U2018">
        <v>3.5919189999999997E-2</v>
      </c>
      <c r="V2018">
        <v>-1.7263270000000001E-2</v>
      </c>
      <c r="W2018">
        <v>7.9214379999999994E-3</v>
      </c>
      <c r="X2018">
        <v>0.99981960000000003</v>
      </c>
      <c r="Y2018">
        <v>1.4276570000000001E-2</v>
      </c>
      <c r="Z2018">
        <v>2.4870479999999998E-4</v>
      </c>
      <c r="AA2018">
        <v>0.99989810000000001</v>
      </c>
      <c r="AB2018">
        <v>27</v>
      </c>
      <c r="AC2018">
        <v>-41.715499999999899</v>
      </c>
      <c r="AD2018">
        <v>-1.1050519001500001</v>
      </c>
      <c r="AE2018">
        <v>0.50369999999998005</v>
      </c>
      <c r="AF2018">
        <v>0.59980324360424497</v>
      </c>
      <c r="AG2018">
        <v>-1.1050519001500001</v>
      </c>
      <c r="AH2018">
        <v>41.684975453526903</v>
      </c>
      <c r="AI2018">
        <v>91.518375268569898</v>
      </c>
      <c r="AJ2018">
        <v>89.175630486317999</v>
      </c>
      <c r="AK2018">
        <v>41.703933653723901</v>
      </c>
    </row>
    <row r="2019" spans="1:37" x14ac:dyDescent="0.2">
      <c r="A2019" t="str">
        <f>"20200111155539269"</f>
        <v>20200111155539269</v>
      </c>
      <c r="B2019" t="str">
        <f>"1578729339264112"</f>
        <v>1578729339264112</v>
      </c>
      <c r="C2019" t="s">
        <v>37</v>
      </c>
      <c r="D2019">
        <v>4.9874980000000004</v>
      </c>
      <c r="E2019">
        <v>0.51211240000000002</v>
      </c>
      <c r="F2019" t="s">
        <v>61</v>
      </c>
      <c r="G2019">
        <v>-284.99599999999998</v>
      </c>
      <c r="H2019" s="1">
        <v>6.0449189999999998E-6</v>
      </c>
      <c r="I2019">
        <v>285.30259999999998</v>
      </c>
      <c r="J2019">
        <v>-241.1875</v>
      </c>
      <c r="K2019">
        <v>1.105091</v>
      </c>
      <c r="L2019">
        <v>284.7568</v>
      </c>
      <c r="M2019">
        <v>-0.99991659999999905</v>
      </c>
      <c r="N2019">
        <v>0</v>
      </c>
      <c r="O2019">
        <v>-2.9144759999999901E-3</v>
      </c>
      <c r="P2019">
        <v>-0.99980840000000004</v>
      </c>
      <c r="Q2019">
        <v>-2.7551780000000001E-3</v>
      </c>
      <c r="R2019">
        <v>-1.938546E-2</v>
      </c>
      <c r="S2019">
        <v>-3.0009919999999899</v>
      </c>
      <c r="T2019">
        <v>-7.5240489999999993E-2</v>
      </c>
      <c r="U2019">
        <v>3.7078859999999998E-2</v>
      </c>
      <c r="V2019">
        <v>-1.6481119999999998E-2</v>
      </c>
      <c r="W2019">
        <v>9.8201290000000004E-3</v>
      </c>
      <c r="X2019">
        <v>0.99981589999999998</v>
      </c>
      <c r="Y2019">
        <v>1.526332E-2</v>
      </c>
      <c r="Z2019">
        <v>2.6436580000000002E-4</v>
      </c>
      <c r="AA2019">
        <v>0.99988349999999904</v>
      </c>
      <c r="AB2019">
        <v>27</v>
      </c>
      <c r="AC2019">
        <v>-43.808499999999903</v>
      </c>
      <c r="AD2019">
        <v>-1.105084955081</v>
      </c>
      <c r="AE2019">
        <v>0.54579999999998496</v>
      </c>
      <c r="AF2019">
        <v>0.67305839726350103</v>
      </c>
      <c r="AG2019">
        <v>-1.105084955081</v>
      </c>
      <c r="AH2019">
        <v>43.778870082168297</v>
      </c>
      <c r="AI2019">
        <v>91.4458067140786</v>
      </c>
      <c r="AJ2019">
        <v>89.119201395824106</v>
      </c>
      <c r="AK2019">
        <v>43.797987237262902</v>
      </c>
    </row>
    <row r="2020" spans="1:37" x14ac:dyDescent="0.2">
      <c r="A2020" t="str">
        <f>"20200111155539291"</f>
        <v>20200111155539291</v>
      </c>
      <c r="B2020" t="str">
        <f>"1578729339284607"</f>
        <v>1578729339284607</v>
      </c>
      <c r="C2020" t="s">
        <v>37</v>
      </c>
      <c r="D2020">
        <v>5.0988030000000002</v>
      </c>
      <c r="E2020">
        <v>0.51225589999999999</v>
      </c>
      <c r="F2020" t="s">
        <v>61</v>
      </c>
      <c r="G2020">
        <v>-288.42410000000001</v>
      </c>
      <c r="H2020" s="1">
        <v>4.5163189999999997E-6</v>
      </c>
      <c r="I2020">
        <v>285.3433</v>
      </c>
      <c r="J2020">
        <v>-241.4503</v>
      </c>
      <c r="K2020">
        <v>1.1051120000000001</v>
      </c>
      <c r="L2020">
        <v>284.75540000000001</v>
      </c>
      <c r="M2020">
        <v>-0.99991269999999999</v>
      </c>
      <c r="N2020">
        <v>0</v>
      </c>
      <c r="O2020">
        <v>-3.5059059999999901E-3</v>
      </c>
      <c r="P2020">
        <v>-0.99979839999999998</v>
      </c>
      <c r="Q2020">
        <v>-2.5586850000000002E-3</v>
      </c>
      <c r="R2020">
        <v>-1.9924310000000001E-2</v>
      </c>
      <c r="S2020">
        <v>-3.0011139999999998</v>
      </c>
      <c r="T2020">
        <v>-7.0210220000000004E-2</v>
      </c>
      <c r="U2020">
        <v>3.7261959999999997E-2</v>
      </c>
      <c r="V2020">
        <v>-1.642909E-2</v>
      </c>
      <c r="W2020">
        <v>1.017583E-2</v>
      </c>
      <c r="X2020">
        <v>0.99981330000000002</v>
      </c>
      <c r="Y2020">
        <v>1.5915619999999998E-2</v>
      </c>
      <c r="Z2020">
        <v>2.6815049999999999E-4</v>
      </c>
      <c r="AA2020">
        <v>0.99987329999999996</v>
      </c>
      <c r="AB2020">
        <v>27</v>
      </c>
      <c r="AC2020">
        <v>-46.973799999999997</v>
      </c>
      <c r="AD2020">
        <v>-1.105107483681</v>
      </c>
      <c r="AE2020">
        <v>0.58789999999998999</v>
      </c>
      <c r="AF2020">
        <v>0.75217923271322995</v>
      </c>
      <c r="AG2020">
        <v>-1.105107483681</v>
      </c>
      <c r="AH2020">
        <v>46.945470922673302</v>
      </c>
      <c r="AI2020">
        <v>91.348334147685904</v>
      </c>
      <c r="AJ2020">
        <v>89.082062501396805</v>
      </c>
      <c r="AK2020">
        <v>46.964500170875603</v>
      </c>
    </row>
    <row r="2021" spans="1:37" x14ac:dyDescent="0.2">
      <c r="A2021" t="str">
        <f>"20200111155539314"</f>
        <v>20200111155539314</v>
      </c>
      <c r="B2021" t="str">
        <f>"1578729339304127"</f>
        <v>1578729339304127</v>
      </c>
      <c r="C2021" t="s">
        <v>37</v>
      </c>
      <c r="D2021">
        <v>5.054989</v>
      </c>
      <c r="E2021">
        <v>0.51218240000000004</v>
      </c>
      <c r="F2021" t="s">
        <v>61</v>
      </c>
      <c r="G2021">
        <v>-289.06389999999999</v>
      </c>
      <c r="H2021" s="1">
        <v>4.2341109999999999E-6</v>
      </c>
      <c r="I2021">
        <v>285.33589999999998</v>
      </c>
      <c r="J2021">
        <v>-241.7174</v>
      </c>
      <c r="K2021">
        <v>1.105119</v>
      </c>
      <c r="L2021">
        <v>284.75380000000001</v>
      </c>
      <c r="M2021">
        <v>-0.99990840000000003</v>
      </c>
      <c r="N2021">
        <v>0</v>
      </c>
      <c r="O2021">
        <v>-4.1034959999999999E-3</v>
      </c>
      <c r="P2021">
        <v>-0.99975119999999895</v>
      </c>
      <c r="Q2021">
        <v>-4.529066E-3</v>
      </c>
      <c r="R2021">
        <v>-2.1848579999999999E-2</v>
      </c>
      <c r="S2021">
        <v>-3.001144</v>
      </c>
      <c r="T2021">
        <v>-6.9656369999999995E-2</v>
      </c>
      <c r="U2021">
        <v>3.6590579999999998E-2</v>
      </c>
      <c r="V2021">
        <v>-1.7754260000000001E-2</v>
      </c>
      <c r="W2021">
        <v>8.3496230000000005E-3</v>
      </c>
      <c r="X2021">
        <v>0.99980749999999996</v>
      </c>
      <c r="Y2021">
        <v>1.628924E-2</v>
      </c>
      <c r="Z2021">
        <v>2.8423750000000002E-4</v>
      </c>
      <c r="AA2021">
        <v>0.99986730000000001</v>
      </c>
      <c r="AB2021">
        <v>27</v>
      </c>
      <c r="AC2021">
        <v>-47.346499999999899</v>
      </c>
      <c r="AD2021">
        <v>-1.1051147658889999</v>
      </c>
      <c r="AE2021">
        <v>0.58209999999996798</v>
      </c>
      <c r="AF2021">
        <v>0.77597474468036298</v>
      </c>
      <c r="AG2021">
        <v>-1.1051147658889999</v>
      </c>
      <c r="AH2021">
        <v>47.317937432652499</v>
      </c>
      <c r="AI2021">
        <v>91.337725158065695</v>
      </c>
      <c r="AJ2021">
        <v>89.060481175958799</v>
      </c>
      <c r="AK2021">
        <v>47.337201209308802</v>
      </c>
    </row>
    <row r="2022" spans="1:37" x14ac:dyDescent="0.2">
      <c r="A2022" t="str">
        <f>"20200111155539337"</f>
        <v>20200111155539337</v>
      </c>
      <c r="B2022" t="str">
        <f>"1578729339334384"</f>
        <v>1578729339334384</v>
      </c>
      <c r="C2022" t="s">
        <v>37</v>
      </c>
      <c r="D2022">
        <v>5.1630549999999999</v>
      </c>
      <c r="E2022">
        <v>0.51228260000000003</v>
      </c>
      <c r="F2022" t="s">
        <v>61</v>
      </c>
      <c r="G2022">
        <v>-285.74340000000001</v>
      </c>
      <c r="H2022" s="1">
        <v>5.735141E-6</v>
      </c>
      <c r="I2022">
        <v>285.1979</v>
      </c>
      <c r="J2022">
        <v>-241.98400000000001</v>
      </c>
      <c r="K2022">
        <v>1.1051229999999901</v>
      </c>
      <c r="L2022">
        <v>284.75200000000001</v>
      </c>
      <c r="M2022">
        <v>-0.99990400000000002</v>
      </c>
      <c r="N2022">
        <v>0</v>
      </c>
      <c r="O2022">
        <v>-4.6919350000000004E-3</v>
      </c>
      <c r="P2022">
        <v>-0.99969699999999995</v>
      </c>
      <c r="Q2022">
        <v>-7.8615839999999996E-3</v>
      </c>
      <c r="R2022">
        <v>-2.3324879999999999E-2</v>
      </c>
      <c r="S2022">
        <v>-3.00105299999999</v>
      </c>
      <c r="T2022">
        <v>-7.5330620000000001E-2</v>
      </c>
      <c r="U2022">
        <v>3.0273439999999999E-2</v>
      </c>
      <c r="V2022">
        <v>-1.8638539999999999E-2</v>
      </c>
      <c r="W2022">
        <v>5.1482139999999999E-3</v>
      </c>
      <c r="X2022">
        <v>0.99981299999999995</v>
      </c>
      <c r="Y2022">
        <v>1.477295E-2</v>
      </c>
      <c r="Z2022">
        <v>3.0313989999999999E-4</v>
      </c>
      <c r="AA2022">
        <v>0.99989079999999997</v>
      </c>
      <c r="AB2022">
        <v>27</v>
      </c>
      <c r="AC2022">
        <v>-43.759399999999999</v>
      </c>
      <c r="AD2022">
        <v>-1.10511726485899</v>
      </c>
      <c r="AE2022">
        <v>0.44589999999999402</v>
      </c>
      <c r="AF2022">
        <v>0.65081376731038898</v>
      </c>
      <c r="AG2022">
        <v>-1.10511726485899</v>
      </c>
      <c r="AH2022">
        <v>43.7289391912607</v>
      </c>
      <c r="AI2022">
        <v>91.447509923576405</v>
      </c>
      <c r="AJ2022">
        <v>89.147335151569195</v>
      </c>
      <c r="AK2022">
        <v>43.747742404857703</v>
      </c>
    </row>
    <row r="2023" spans="1:37" x14ac:dyDescent="0.2">
      <c r="A2023" t="str">
        <f>"20200111155539359"</f>
        <v>20200111155539359</v>
      </c>
      <c r="B2023" t="str">
        <f>"1578729339354880"</f>
        <v>1578729339354880</v>
      </c>
      <c r="C2023" t="s">
        <v>37</v>
      </c>
      <c r="D2023">
        <v>5.1623729999999997</v>
      </c>
      <c r="E2023">
        <v>0.51223169999999996</v>
      </c>
      <c r="F2023" t="s">
        <v>61</v>
      </c>
      <c r="G2023">
        <v>-280.52379999999999</v>
      </c>
      <c r="H2023" s="1">
        <v>8.0717949999999992E-6</v>
      </c>
      <c r="I2023">
        <v>285.09140000000002</v>
      </c>
      <c r="J2023">
        <v>-242.2602</v>
      </c>
      <c r="K2023">
        <v>1.105113</v>
      </c>
      <c r="L2023">
        <v>284.75</v>
      </c>
      <c r="M2023">
        <v>-0.999899599999999</v>
      </c>
      <c r="N2023">
        <v>0</v>
      </c>
      <c r="O2023">
        <v>-5.2894429999999996E-3</v>
      </c>
      <c r="P2023">
        <v>-0.99965389999999998</v>
      </c>
      <c r="Q2023">
        <v>-1.042003E-2</v>
      </c>
      <c r="R2023">
        <v>-2.4165499999999999E-2</v>
      </c>
      <c r="S2023">
        <v>-3.000839</v>
      </c>
      <c r="T2023">
        <v>-8.6047890000000002E-2</v>
      </c>
      <c r="U2023">
        <v>2.6428219999999999E-2</v>
      </c>
      <c r="V2023">
        <v>-1.8879480000000001E-2</v>
      </c>
      <c r="W2023">
        <v>2.7144550000000002E-3</v>
      </c>
      <c r="X2023">
        <v>0.99981810000000004</v>
      </c>
      <c r="Y2023">
        <v>1.408821E-2</v>
      </c>
      <c r="Z2023">
        <v>3.5359360000000002E-4</v>
      </c>
      <c r="AA2023">
        <v>0.99990069999999998</v>
      </c>
      <c r="AB2023">
        <v>27</v>
      </c>
      <c r="AC2023">
        <v>-38.263599999999997</v>
      </c>
      <c r="AD2023">
        <v>-1.1051049282050001</v>
      </c>
      <c r="AE2023">
        <v>0.34140000000002102</v>
      </c>
      <c r="AF2023">
        <v>0.54335265227878105</v>
      </c>
      <c r="AG2023">
        <v>-1.1051049282050001</v>
      </c>
      <c r="AH2023">
        <v>38.229372809988</v>
      </c>
      <c r="AI2023">
        <v>91.655633527872297</v>
      </c>
      <c r="AJ2023">
        <v>89.185712047211695</v>
      </c>
      <c r="AK2023">
        <v>38.249201749214798</v>
      </c>
    </row>
    <row r="2024" spans="1:37" x14ac:dyDescent="0.2">
      <c r="A2024" t="str">
        <f>"20200111155539383"</f>
        <v>20200111155539383</v>
      </c>
      <c r="B2024" t="str">
        <f>"1578729339374400"</f>
        <v>1578729339374400</v>
      </c>
      <c r="C2024" t="s">
        <v>37</v>
      </c>
      <c r="D2024">
        <v>5.0585199999999997</v>
      </c>
      <c r="E2024">
        <v>0.51227100000000003</v>
      </c>
      <c r="F2024" t="s">
        <v>59</v>
      </c>
      <c r="G2024">
        <v>-277.47669999999999</v>
      </c>
      <c r="H2024" s="1">
        <v>2.4239589999999999E-6</v>
      </c>
      <c r="I2024">
        <v>285.02760000000001</v>
      </c>
      <c r="J2024">
        <v>-242.5334</v>
      </c>
      <c r="K2024">
        <v>1.105108</v>
      </c>
      <c r="L2024">
        <v>284.74790000000002</v>
      </c>
      <c r="M2024">
        <v>-0.99989490000000003</v>
      </c>
      <c r="N2024">
        <v>0</v>
      </c>
      <c r="O2024">
        <v>-5.8662569999999997E-3</v>
      </c>
      <c r="P2024">
        <v>-0.99960759999999904</v>
      </c>
      <c r="Q2024">
        <v>-1.2913539999999999E-2</v>
      </c>
      <c r="R2024">
        <v>-2.4856329999999999E-2</v>
      </c>
      <c r="S2024">
        <v>-3.0006409999999999</v>
      </c>
      <c r="T2024">
        <v>-9.4161510000000004E-2</v>
      </c>
      <c r="U2024">
        <v>2.3651120000000001E-2</v>
      </c>
      <c r="V2024">
        <v>-1.8992060000000002E-2</v>
      </c>
      <c r="W2024">
        <v>3.3027330000000001E-4</v>
      </c>
      <c r="X2024">
        <v>0.99981960000000003</v>
      </c>
      <c r="Y2024">
        <v>1.373858E-2</v>
      </c>
      <c r="Z2024">
        <v>3.9955939999999999E-4</v>
      </c>
      <c r="AA2024">
        <v>0.9999055</v>
      </c>
      <c r="AB2024">
        <v>27</v>
      </c>
      <c r="AC2024">
        <v>-34.943299999999901</v>
      </c>
      <c r="AD2024">
        <v>-1.105105576041</v>
      </c>
      <c r="AE2024">
        <v>0.27969999999999101</v>
      </c>
      <c r="AF2024">
        <v>0.48421530974370203</v>
      </c>
      <c r="AG2024">
        <v>-1.105105576041</v>
      </c>
      <c r="AH2024">
        <v>34.906147383777999</v>
      </c>
      <c r="AI2024">
        <v>91.813166531552199</v>
      </c>
      <c r="AJ2024">
        <v>89.205248463472799</v>
      </c>
      <c r="AK2024">
        <v>34.926993113899997</v>
      </c>
    </row>
    <row r="2025" spans="1:37" x14ac:dyDescent="0.2">
      <c r="A2025" t="str">
        <f>"20200111155539404"</f>
        <v>20200111155539404</v>
      </c>
      <c r="B2025" t="str">
        <f>"1578729339393920"</f>
        <v>1578729339393920</v>
      </c>
      <c r="C2025" t="s">
        <v>37</v>
      </c>
      <c r="D2025">
        <v>5.1928219999999996</v>
      </c>
      <c r="E2025">
        <v>0.51238980000000001</v>
      </c>
      <c r="F2025" t="s">
        <v>59</v>
      </c>
      <c r="G2025">
        <v>-275.0641</v>
      </c>
      <c r="H2025" s="1">
        <v>1.141929E-6</v>
      </c>
      <c r="I2025">
        <v>284.98509999999999</v>
      </c>
      <c r="J2025">
        <v>-242.79400000000001</v>
      </c>
      <c r="K2025">
        <v>1.1050930000000001</v>
      </c>
      <c r="L2025">
        <v>284.7457</v>
      </c>
      <c r="M2025">
        <v>-0.99989039999999996</v>
      </c>
      <c r="N2025">
        <v>0</v>
      </c>
      <c r="O2025">
        <v>-6.4048849999999999E-3</v>
      </c>
      <c r="P2025">
        <v>-0.999552</v>
      </c>
      <c r="Q2025">
        <v>-1.573869E-2</v>
      </c>
      <c r="R2025">
        <v>-2.545569E-2</v>
      </c>
      <c r="S2025">
        <v>-3.0004119999999999</v>
      </c>
      <c r="T2025">
        <v>-0.1019279</v>
      </c>
      <c r="U2025">
        <v>2.18810999999999E-2</v>
      </c>
      <c r="V2025">
        <v>-1.9050649999999999E-2</v>
      </c>
      <c r="W2025">
        <v>-2.4031819999999998E-3</v>
      </c>
      <c r="X2025">
        <v>0.99981559999999903</v>
      </c>
      <c r="Y2025">
        <v>1.368605E-2</v>
      </c>
      <c r="Z2025">
        <v>4.4993250000000001E-4</v>
      </c>
      <c r="AA2025">
        <v>0.99990619999999997</v>
      </c>
      <c r="AB2025">
        <v>27</v>
      </c>
      <c r="AC2025">
        <v>-32.2700999999999</v>
      </c>
      <c r="AD2025">
        <v>-1.1050918580710001</v>
      </c>
      <c r="AE2025">
        <v>0.23939999999998901</v>
      </c>
      <c r="AF2025">
        <v>0.44557727195774099</v>
      </c>
      <c r="AG2025">
        <v>-1.1050918580710001</v>
      </c>
      <c r="AH2025">
        <v>32.2301095372719</v>
      </c>
      <c r="AI2025">
        <v>91.963575748270102</v>
      </c>
      <c r="AJ2025">
        <v>89.207943404166002</v>
      </c>
      <c r="AK2025">
        <v>32.252127494238302</v>
      </c>
    </row>
    <row r="2026" spans="1:37" x14ac:dyDescent="0.2">
      <c r="A2026" t="str">
        <f>"20200111155539427"</f>
        <v>20200111155539427</v>
      </c>
      <c r="B2026" t="str">
        <f>"1578729339424195"</f>
        <v>1578729339424195</v>
      </c>
      <c r="C2026" t="s">
        <v>37</v>
      </c>
      <c r="D2026">
        <v>5.1352869999999999</v>
      </c>
      <c r="E2026">
        <v>0.51227460000000002</v>
      </c>
      <c r="F2026" t="s">
        <v>59</v>
      </c>
      <c r="G2026">
        <v>-272.82350000000002</v>
      </c>
      <c r="H2026" s="1">
        <v>-4.9063190000000002E-8</v>
      </c>
      <c r="I2026">
        <v>284.95499999999998</v>
      </c>
      <c r="J2026">
        <v>-243.05879999999999</v>
      </c>
      <c r="K2026">
        <v>1.105091</v>
      </c>
      <c r="L2026">
        <v>284.74349999999998</v>
      </c>
      <c r="M2026">
        <v>-0.99988569999999999</v>
      </c>
      <c r="N2026">
        <v>0</v>
      </c>
      <c r="O2026">
        <v>-6.9329150000000004E-3</v>
      </c>
      <c r="P2026">
        <v>-0.99953740000000002</v>
      </c>
      <c r="Q2026">
        <v>-1.620392E-2</v>
      </c>
      <c r="R2026">
        <v>-2.5740300000000001E-2</v>
      </c>
      <c r="S2026">
        <v>-3.0001679999999999</v>
      </c>
      <c r="T2026">
        <v>-0.11040699999999901</v>
      </c>
      <c r="U2026">
        <v>2.0904539999999999E-2</v>
      </c>
      <c r="V2026">
        <v>-1.8806529999999998E-2</v>
      </c>
      <c r="W2026">
        <v>-2.7857559999999999E-3</v>
      </c>
      <c r="X2026">
        <v>0.99981929999999997</v>
      </c>
      <c r="Y2026">
        <v>1.388673E-2</v>
      </c>
      <c r="Z2026">
        <v>5.1049500000000002E-4</v>
      </c>
      <c r="AA2026">
        <v>0.9999034</v>
      </c>
      <c r="AB2026">
        <v>27</v>
      </c>
      <c r="AC2026">
        <v>-29.764700000000001</v>
      </c>
      <c r="AD2026">
        <v>-1.10509104906319</v>
      </c>
      <c r="AE2026">
        <v>0.21149999999999999</v>
      </c>
      <c r="AF2026">
        <v>0.41729448630509602</v>
      </c>
      <c r="AG2026">
        <v>-1.10509104906319</v>
      </c>
      <c r="AH2026">
        <v>29.7215502943621</v>
      </c>
      <c r="AI2026">
        <v>92.129150992235296</v>
      </c>
      <c r="AJ2026">
        <v>89.195612550778094</v>
      </c>
      <c r="AK2026">
        <v>29.745014923770199</v>
      </c>
    </row>
    <row r="2027" spans="1:37" x14ac:dyDescent="0.2">
      <c r="A2027" t="str">
        <f>"20200111155539448"</f>
        <v>20200111155539448</v>
      </c>
      <c r="B2027" t="str">
        <f>"1578729339444691"</f>
        <v>1578729339444691</v>
      </c>
      <c r="C2027" t="s">
        <v>37</v>
      </c>
      <c r="D2027">
        <v>5.182105</v>
      </c>
      <c r="E2027">
        <v>0.51208050000000005</v>
      </c>
      <c r="F2027" t="s">
        <v>59</v>
      </c>
      <c r="G2027">
        <v>-273.24290000000002</v>
      </c>
      <c r="H2027" s="1">
        <v>1.748984E-7</v>
      </c>
      <c r="I2027">
        <v>284.93689999999998</v>
      </c>
      <c r="J2027">
        <v>-243.321</v>
      </c>
      <c r="K2027">
        <v>1.105091</v>
      </c>
      <c r="L2027">
        <v>284.74110000000002</v>
      </c>
      <c r="M2027">
        <v>-0.99988120000000003</v>
      </c>
      <c r="N2027">
        <v>0</v>
      </c>
      <c r="O2027">
        <v>-7.4300659999999999E-3</v>
      </c>
      <c r="P2027">
        <v>-0.99957549999999995</v>
      </c>
      <c r="Q2027">
        <v>-1.319157E-2</v>
      </c>
      <c r="R2027">
        <v>-2.598462E-2</v>
      </c>
      <c r="S2027">
        <v>-3.0001069999999999</v>
      </c>
      <c r="T2027">
        <v>-0.10983900000000001</v>
      </c>
      <c r="U2027">
        <v>1.9226070000000001E-2</v>
      </c>
      <c r="V2027">
        <v>-1.8556309999999999E-2</v>
      </c>
      <c r="W2027">
        <v>2.9880199999999998E-4</v>
      </c>
      <c r="X2027">
        <v>0.99982769999999999</v>
      </c>
      <c r="Y2027">
        <v>1.38245E-2</v>
      </c>
      <c r="Z2027">
        <v>5.249397E-4</v>
      </c>
      <c r="AA2027">
        <v>0.99990429999999997</v>
      </c>
      <c r="AB2027">
        <v>27</v>
      </c>
      <c r="AC2027">
        <v>-29.921900000000001</v>
      </c>
      <c r="AD2027">
        <v>-1.1050908251016001</v>
      </c>
      <c r="AE2027">
        <v>0.195799999999962</v>
      </c>
      <c r="AF2027">
        <v>0.41756702113780803</v>
      </c>
      <c r="AG2027">
        <v>-1.1050908251016001</v>
      </c>
      <c r="AH2027">
        <v>29.878865634026301</v>
      </c>
      <c r="AI2027">
        <v>92.1179525181754</v>
      </c>
      <c r="AJ2027">
        <v>89.199324670968807</v>
      </c>
      <c r="AK2027">
        <v>29.902210612679902</v>
      </c>
    </row>
    <row r="2028" spans="1:37" x14ac:dyDescent="0.2">
      <c r="A2028" t="str">
        <f>"20200111155539471"</f>
        <v>20200111155539471</v>
      </c>
      <c r="B2028" t="str">
        <f>"1578729339464210"</f>
        <v>1578729339464210</v>
      </c>
      <c r="C2028" t="s">
        <v>37</v>
      </c>
      <c r="D2028">
        <v>5.0385819999999999</v>
      </c>
      <c r="E2028">
        <v>0.51203370000000004</v>
      </c>
      <c r="F2028" t="s">
        <v>59</v>
      </c>
      <c r="G2028">
        <v>-276.71039999999999</v>
      </c>
      <c r="H2028" s="1">
        <v>2.0203949999999998E-6</v>
      </c>
      <c r="I2028">
        <v>284.93060000000003</v>
      </c>
      <c r="J2028">
        <v>-243.58789999999999</v>
      </c>
      <c r="K2028">
        <v>1.105102</v>
      </c>
      <c r="L2028">
        <v>284.73849999999999</v>
      </c>
      <c r="M2028">
        <v>-0.99987669999999995</v>
      </c>
      <c r="N2028">
        <v>0</v>
      </c>
      <c r="O2028">
        <v>-7.9044449999999995E-3</v>
      </c>
      <c r="P2028">
        <v>-0.99957220000000002</v>
      </c>
      <c r="Q2028">
        <v>-1.0460769999999999E-2</v>
      </c>
      <c r="R2028">
        <v>-2.7320669999999998E-2</v>
      </c>
      <c r="S2028">
        <v>-3.0004270000000002</v>
      </c>
      <c r="T2028">
        <v>-9.9305149999999995E-2</v>
      </c>
      <c r="U2028">
        <v>1.7028809999999998E-2</v>
      </c>
      <c r="V2028">
        <v>-1.9420570000000002E-2</v>
      </c>
      <c r="W2028">
        <v>3.0930630000000001E-3</v>
      </c>
      <c r="X2028">
        <v>0.99980659999999899</v>
      </c>
      <c r="Y2028">
        <v>1.3568480000000001E-2</v>
      </c>
      <c r="Z2028">
        <v>4.86038E-4</v>
      </c>
      <c r="AA2028">
        <v>0.99990789999999996</v>
      </c>
      <c r="AB2028">
        <v>27</v>
      </c>
      <c r="AC2028">
        <v>-33.122500000000002</v>
      </c>
      <c r="AD2028">
        <v>-1.1050999796050001</v>
      </c>
      <c r="AE2028">
        <v>0.19210000000003899</v>
      </c>
      <c r="AF2028">
        <v>0.45342836051726398</v>
      </c>
      <c r="AG2028">
        <v>-1.1050999796050001</v>
      </c>
      <c r="AH2028">
        <v>33.083120946953997</v>
      </c>
      <c r="AI2028">
        <v>91.913002432894899</v>
      </c>
      <c r="AJ2028">
        <v>89.214768616663903</v>
      </c>
      <c r="AK2028">
        <v>33.104678443292997</v>
      </c>
    </row>
    <row r="2029" spans="1:37" x14ac:dyDescent="0.2">
      <c r="A2029" t="str">
        <f>"20200111155539493"</f>
        <v>20200111155539493</v>
      </c>
      <c r="B2029" t="str">
        <f>"1578729339484709"</f>
        <v>1578729339484709</v>
      </c>
      <c r="C2029" t="s">
        <v>37</v>
      </c>
      <c r="D2029">
        <v>5.0007539999999997</v>
      </c>
      <c r="E2029">
        <v>0.51195840000000004</v>
      </c>
      <c r="F2029" t="s">
        <v>61</v>
      </c>
      <c r="G2029">
        <v>-280.55669999999998</v>
      </c>
      <c r="H2029" s="1">
        <v>8.0984560000000001E-6</v>
      </c>
      <c r="I2029">
        <v>284.89190000000002</v>
      </c>
      <c r="J2029">
        <v>-243.84710000000001</v>
      </c>
      <c r="K2029">
        <v>1.1051070000000001</v>
      </c>
      <c r="L2029">
        <v>284.73599999999999</v>
      </c>
      <c r="M2029">
        <v>-0.9998726</v>
      </c>
      <c r="N2029">
        <v>0</v>
      </c>
      <c r="O2029">
        <v>-8.329576E-3</v>
      </c>
      <c r="P2029">
        <v>-0.99959430000000005</v>
      </c>
      <c r="Q2029">
        <v>-4.2569870000000003E-3</v>
      </c>
      <c r="R2029">
        <v>-2.816517E-2</v>
      </c>
      <c r="S2029">
        <v>-3.0007169999999999</v>
      </c>
      <c r="T2029">
        <v>-8.9699269999999998E-2</v>
      </c>
      <c r="U2029">
        <v>1.2451169999999999E-2</v>
      </c>
      <c r="V2029">
        <v>-1.9844090000000002E-2</v>
      </c>
      <c r="W2029">
        <v>9.3504669999999995E-3</v>
      </c>
      <c r="X2029">
        <v>0.99975939999999996</v>
      </c>
      <c r="Y2029">
        <v>1.2470200000000001E-2</v>
      </c>
      <c r="Z2029">
        <v>4.3529909999999997E-4</v>
      </c>
      <c r="AA2029">
        <v>0.99992219999999998</v>
      </c>
      <c r="AB2029">
        <v>27</v>
      </c>
      <c r="AC2029">
        <v>-36.709599999999902</v>
      </c>
      <c r="AD2029">
        <v>-1.105098901544</v>
      </c>
      <c r="AE2029">
        <v>0.15590000000003101</v>
      </c>
      <c r="AF2029">
        <v>0.46128032042660999</v>
      </c>
      <c r="AG2029">
        <v>-1.105098901544</v>
      </c>
      <c r="AH2029">
        <v>36.673792910224698</v>
      </c>
      <c r="AI2029">
        <v>91.725846733946199</v>
      </c>
      <c r="AJ2029">
        <v>89.279375820737101</v>
      </c>
      <c r="AK2029">
        <v>36.693338762481901</v>
      </c>
    </row>
    <row r="2030" spans="1:37" x14ac:dyDescent="0.2">
      <c r="A2030" t="str">
        <f>"20200111155539514"</f>
        <v>20200111155539514</v>
      </c>
      <c r="B2030" t="str">
        <f>"1578729339504227"</f>
        <v>1578729339504227</v>
      </c>
      <c r="C2030" t="s">
        <v>37</v>
      </c>
      <c r="D2030">
        <v>5.0108009999999998</v>
      </c>
      <c r="E2030">
        <v>0.51191540000000002</v>
      </c>
      <c r="F2030" t="s">
        <v>61</v>
      </c>
      <c r="G2030">
        <v>-291.31880000000001</v>
      </c>
      <c r="H2030" s="1">
        <v>2.4161850000000001E-6</v>
      </c>
      <c r="I2030">
        <v>284.88510000000002</v>
      </c>
      <c r="J2030">
        <v>-244.10470000000001</v>
      </c>
      <c r="K2030">
        <v>1.105097</v>
      </c>
      <c r="L2030">
        <v>284.73340000000002</v>
      </c>
      <c r="M2030">
        <v>-0.9998688</v>
      </c>
      <c r="N2030">
        <v>0</v>
      </c>
      <c r="O2030">
        <v>-8.7111789999999995E-3</v>
      </c>
      <c r="P2030">
        <v>-0.99958959999999997</v>
      </c>
      <c r="Q2030">
        <v>-1.674462E-3</v>
      </c>
      <c r="R2030">
        <v>-2.8604620000000001E-2</v>
      </c>
      <c r="S2030">
        <v>-3.0011749999999999</v>
      </c>
      <c r="T2030">
        <v>-6.9865109999999994E-2</v>
      </c>
      <c r="U2030">
        <v>9.4299320000000002E-3</v>
      </c>
      <c r="V2030">
        <v>-1.9903609999999999E-2</v>
      </c>
      <c r="W2030">
        <v>1.19796E-2</v>
      </c>
      <c r="X2030">
        <v>0.99973009999999995</v>
      </c>
      <c r="Y2030">
        <v>1.1848320000000001E-2</v>
      </c>
      <c r="Z2030">
        <v>3.4067050000000001E-4</v>
      </c>
      <c r="AA2030">
        <v>0.99992969999999903</v>
      </c>
      <c r="AB2030">
        <v>27</v>
      </c>
      <c r="AC2030">
        <v>-47.214100000000002</v>
      </c>
      <c r="AD2030">
        <v>-1.1050945838149999</v>
      </c>
      <c r="AE2030">
        <v>0.151700000000005</v>
      </c>
      <c r="AF2030">
        <v>0.56271480148916797</v>
      </c>
      <c r="AG2030">
        <v>-1.1050945838149999</v>
      </c>
      <c r="AH2030">
        <v>47.185136868706799</v>
      </c>
      <c r="AI2030">
        <v>91.341549208179103</v>
      </c>
      <c r="AJ2030">
        <v>89.316741308849302</v>
      </c>
      <c r="AK2030">
        <v>47.201430309955498</v>
      </c>
    </row>
    <row r="2031" spans="1:37" x14ac:dyDescent="0.2">
      <c r="A2031" t="str">
        <f>"20200111155539539"</f>
        <v>20200111155539539</v>
      </c>
      <c r="B2031" t="str">
        <f>"1578729339534483"</f>
        <v>1578729339534483</v>
      </c>
      <c r="C2031" t="s">
        <v>37</v>
      </c>
      <c r="D2031">
        <v>4.9086489999999996</v>
      </c>
      <c r="E2031">
        <v>0.51207760000000002</v>
      </c>
      <c r="F2031" t="s">
        <v>61</v>
      </c>
      <c r="G2031">
        <v>-298.67970000000003</v>
      </c>
      <c r="H2031" s="1">
        <v>3.7226350000000001E-6</v>
      </c>
      <c r="I2031">
        <v>284.87650000000002</v>
      </c>
      <c r="J2031">
        <v>-244.38570000000001</v>
      </c>
      <c r="K2031">
        <v>1.105059</v>
      </c>
      <c r="L2031">
        <v>284.73039999999997</v>
      </c>
      <c r="M2031">
        <v>-0.9998648</v>
      </c>
      <c r="N2031">
        <v>0</v>
      </c>
      <c r="O2031">
        <v>-9.0771280000000003E-3</v>
      </c>
      <c r="P2031">
        <v>-0.99957999999999902</v>
      </c>
      <c r="Q2031">
        <v>-5.0177379999999999E-3</v>
      </c>
      <c r="R2031">
        <v>-2.854056E-2</v>
      </c>
      <c r="S2031">
        <v>-3.0013429999999999</v>
      </c>
      <c r="T2031">
        <v>-6.0774450000000001E-2</v>
      </c>
      <c r="U2031">
        <v>7.8735349999999992E-3</v>
      </c>
      <c r="V2031">
        <v>-1.9469980000000001E-2</v>
      </c>
      <c r="W2031">
        <v>8.6819659999999993E-3</v>
      </c>
      <c r="X2031">
        <v>0.99977269999999896</v>
      </c>
      <c r="Y2031">
        <v>1.169691E-2</v>
      </c>
      <c r="Z2031">
        <v>3.022139E-4</v>
      </c>
      <c r="AA2031">
        <v>0.99993149999999997</v>
      </c>
      <c r="AB2031">
        <v>27</v>
      </c>
      <c r="AC2031">
        <v>-54.293999999999997</v>
      </c>
      <c r="AD2031">
        <v>-1.105055277365</v>
      </c>
      <c r="AE2031">
        <v>0.146100000000046</v>
      </c>
      <c r="AF2031">
        <v>0.63870931275686704</v>
      </c>
      <c r="AG2031">
        <v>-1.105055277365</v>
      </c>
      <c r="AH2031">
        <v>54.267956051706399</v>
      </c>
      <c r="AI2031">
        <v>91.166468688543702</v>
      </c>
      <c r="AJ2031">
        <v>89.325685708423094</v>
      </c>
      <c r="AK2031">
        <v>54.282963725115202</v>
      </c>
    </row>
    <row r="2032" spans="1:37" x14ac:dyDescent="0.2">
      <c r="A2032" t="str">
        <f>"20200111155539560"</f>
        <v>20200111155539560</v>
      </c>
      <c r="B2032" t="str">
        <f>"1578729339554003"</f>
        <v>1578729339554003</v>
      </c>
      <c r="C2032" t="s">
        <v>37</v>
      </c>
      <c r="D2032">
        <v>4.9585169999999996</v>
      </c>
      <c r="E2032">
        <v>0.51209179999999999</v>
      </c>
      <c r="F2032" t="s">
        <v>61</v>
      </c>
      <c r="G2032">
        <v>-291.16919999999999</v>
      </c>
      <c r="H2032" s="1">
        <v>2.390814E-6</v>
      </c>
      <c r="I2032">
        <v>284.87169999999998</v>
      </c>
      <c r="J2032">
        <v>-244.64490000000001</v>
      </c>
      <c r="K2032">
        <v>1.1050219999999999</v>
      </c>
      <c r="L2032">
        <v>284.7278</v>
      </c>
      <c r="M2032">
        <v>-0.99986180000000002</v>
      </c>
      <c r="N2032">
        <v>0</v>
      </c>
      <c r="O2032">
        <v>-9.3572910000000002E-3</v>
      </c>
      <c r="P2032">
        <v>-0.99958279999999999</v>
      </c>
      <c r="Q2032">
        <v>-7.056316E-3</v>
      </c>
      <c r="R2032">
        <v>-2.8011399999999999E-2</v>
      </c>
      <c r="S2032">
        <v>-3.0011290000000002</v>
      </c>
      <c r="T2032">
        <v>-7.0888640000000003E-2</v>
      </c>
      <c r="U2032">
        <v>9.0637210000000003E-3</v>
      </c>
      <c r="V2032">
        <v>-1.8658870000000001E-2</v>
      </c>
      <c r="W2032">
        <v>6.6788350000000002E-3</v>
      </c>
      <c r="X2032">
        <v>0.99980360000000001</v>
      </c>
      <c r="Y2032">
        <v>1.2372029999999999E-2</v>
      </c>
      <c r="Z2032">
        <v>3.6711029999999899E-4</v>
      </c>
      <c r="AA2032">
        <v>0.99992340000000002</v>
      </c>
      <c r="AB2032">
        <v>26</v>
      </c>
      <c r="AC2032">
        <v>-46.524299999999897</v>
      </c>
      <c r="AD2032">
        <v>-1.1050196091859901</v>
      </c>
      <c r="AE2032">
        <v>0.14389999999997299</v>
      </c>
      <c r="AF2032">
        <v>0.57894961878664997</v>
      </c>
      <c r="AG2032">
        <v>-1.1050196091859901</v>
      </c>
      <c r="AH2032">
        <v>46.4946872590995</v>
      </c>
      <c r="AI2032">
        <v>91.3613628103368</v>
      </c>
      <c r="AJ2032">
        <v>89.286592567822396</v>
      </c>
      <c r="AK2032">
        <v>46.511420041955802</v>
      </c>
    </row>
    <row r="2033" spans="1:37" x14ac:dyDescent="0.2">
      <c r="A2033" t="str">
        <f>"20200111155539584"</f>
        <v>20200111155539584</v>
      </c>
      <c r="B2033" t="str">
        <f>"1578729339574498"</f>
        <v>1578729339574498</v>
      </c>
      <c r="C2033" t="s">
        <v>37</v>
      </c>
      <c r="D2033">
        <v>4.8858290000000002</v>
      </c>
      <c r="E2033">
        <v>0.52985709999999997</v>
      </c>
      <c r="F2033" t="s">
        <v>61</v>
      </c>
      <c r="G2033">
        <v>-287.58080000000001</v>
      </c>
      <c r="H2033" s="1">
        <v>4.9854279999999997E-6</v>
      </c>
      <c r="I2033">
        <v>284.88279999999997</v>
      </c>
      <c r="J2033">
        <v>-244.9109</v>
      </c>
      <c r="K2033">
        <v>1.1050009999999999</v>
      </c>
      <c r="L2033">
        <v>284.72500000000002</v>
      </c>
      <c r="M2033">
        <v>-0.99985900000000005</v>
      </c>
      <c r="N2033">
        <v>0</v>
      </c>
      <c r="O2033">
        <v>-9.5987239999999995E-3</v>
      </c>
      <c r="P2033">
        <v>-0.99961690000000003</v>
      </c>
      <c r="Q2033">
        <v>-5.2296249999999999E-3</v>
      </c>
      <c r="R2033">
        <v>-2.71799E-2</v>
      </c>
      <c r="S2033">
        <v>-3.0009919999999899</v>
      </c>
      <c r="T2033">
        <v>-7.7234860000000002E-2</v>
      </c>
      <c r="U2033">
        <v>1.083374E-2</v>
      </c>
      <c r="V2033">
        <v>-1.7585940000000001E-2</v>
      </c>
      <c r="W2033">
        <v>8.5370129999999995E-3</v>
      </c>
      <c r="X2033">
        <v>0.9998089</v>
      </c>
      <c r="Y2033">
        <v>1.3201879999999999E-2</v>
      </c>
      <c r="Z2033">
        <v>4.1687309999999998E-4</v>
      </c>
      <c r="AA2033">
        <v>0.99991269999999999</v>
      </c>
      <c r="AB2033">
        <v>26</v>
      </c>
      <c r="AC2033">
        <v>-42.669899999999998</v>
      </c>
      <c r="AD2033">
        <v>-1.1049960145719999</v>
      </c>
      <c r="AE2033">
        <v>0.15779999999995101</v>
      </c>
      <c r="AF2033">
        <v>0.56702794911411503</v>
      </c>
      <c r="AG2033">
        <v>-1.1049960145719999</v>
      </c>
      <c r="AH2033">
        <v>42.637825555078997</v>
      </c>
      <c r="AI2033">
        <v>91.484406037584506</v>
      </c>
      <c r="AJ2033">
        <v>89.238085130187201</v>
      </c>
      <c r="AK2033">
        <v>42.655910551207803</v>
      </c>
    </row>
    <row r="2034" spans="1:37" x14ac:dyDescent="0.2">
      <c r="A2034" t="str">
        <f>"20200111155539597"</f>
        <v>20200111155539597</v>
      </c>
      <c r="B2034" t="str">
        <f>"1578729339594019"</f>
        <v>1578729339594019</v>
      </c>
      <c r="C2034" t="s">
        <v>37</v>
      </c>
      <c r="D2034">
        <v>4.8173269999999997</v>
      </c>
      <c r="E2034">
        <v>0.56669599999999998</v>
      </c>
      <c r="F2034" t="s">
        <v>61</v>
      </c>
      <c r="G2034">
        <v>-301.53140000000002</v>
      </c>
      <c r="H2034" s="1">
        <v>3.4274899999999999E-6</v>
      </c>
      <c r="I2034">
        <v>287.65289999999999</v>
      </c>
      <c r="J2034">
        <v>-245.0856</v>
      </c>
      <c r="K2034">
        <v>1.1049899999999999</v>
      </c>
      <c r="L2034">
        <v>284.72309999999999</v>
      </c>
      <c r="M2034">
        <v>-0.99985749999999995</v>
      </c>
      <c r="N2034">
        <v>0</v>
      </c>
      <c r="O2034">
        <v>-9.7352979999999999E-3</v>
      </c>
      <c r="P2034">
        <v>-0.99963400000000002</v>
      </c>
      <c r="Q2034">
        <v>-3.0171679999999898E-3</v>
      </c>
      <c r="R2034">
        <v>-2.6891620000000001E-2</v>
      </c>
      <c r="S2034">
        <v>-3.0050659999999998</v>
      </c>
      <c r="T2034">
        <v>-5.8646440000000001E-2</v>
      </c>
      <c r="U2034">
        <v>0.15539549999999999</v>
      </c>
      <c r="V2034">
        <v>-1.7161269999999999E-2</v>
      </c>
      <c r="W2034">
        <v>1.0767550000000001E-2</v>
      </c>
      <c r="X2034">
        <v>0.99979479999999998</v>
      </c>
      <c r="Y2034">
        <v>6.1349460000000001E-2</v>
      </c>
      <c r="Z2034">
        <v>7.8806280000000002E-4</v>
      </c>
      <c r="AA2034">
        <v>0.998116</v>
      </c>
      <c r="AB2034">
        <v>26</v>
      </c>
      <c r="AC2034">
        <v>-56.445799999999998</v>
      </c>
      <c r="AD2034">
        <v>-1.1049865725100001</v>
      </c>
      <c r="AE2034">
        <v>2.9298000000000002</v>
      </c>
      <c r="AF2034">
        <v>3.4779008562561802</v>
      </c>
      <c r="AG2034">
        <v>-1.1049865725100001</v>
      </c>
      <c r="AH2034">
        <v>56.393046379108497</v>
      </c>
      <c r="AI2034">
        <v>91.120403258695703</v>
      </c>
      <c r="AJ2034">
        <v>86.470895109549005</v>
      </c>
      <c r="AK2034">
        <v>56.510994236587699</v>
      </c>
    </row>
    <row r="2035" spans="1:37" x14ac:dyDescent="0.2">
      <c r="A2035" t="str">
        <f>"20200111155539616"</f>
        <v>20200111155539616</v>
      </c>
      <c r="B2035" t="str">
        <f>"1578729339604755"</f>
        <v>1578729339604755</v>
      </c>
      <c r="C2035" t="s">
        <v>37</v>
      </c>
      <c r="D2035">
        <v>4.9287510000000001</v>
      </c>
      <c r="E2035">
        <v>0.56700249999999996</v>
      </c>
      <c r="F2035" t="s">
        <v>62</v>
      </c>
      <c r="G2035">
        <v>-440.87310000000002</v>
      </c>
      <c r="H2035">
        <v>6.0893839999999999</v>
      </c>
      <c r="I2035">
        <v>314.1979</v>
      </c>
      <c r="J2035">
        <v>-245.29900000000001</v>
      </c>
      <c r="K2035">
        <v>1.1049719999999901</v>
      </c>
      <c r="L2035">
        <v>284.72089999999997</v>
      </c>
      <c r="M2035">
        <v>-0.99985590000000002</v>
      </c>
      <c r="N2035">
        <v>0</v>
      </c>
      <c r="O2035">
        <v>-9.8693310000000003E-3</v>
      </c>
      <c r="P2035">
        <v>-0.99964900000000001</v>
      </c>
      <c r="Q2035">
        <v>-1.904904E-3</v>
      </c>
      <c r="R2035">
        <v>-2.6421190000000001E-2</v>
      </c>
      <c r="S2035">
        <v>-3.01355</v>
      </c>
      <c r="T2035">
        <v>7.6719640000000006E-2</v>
      </c>
      <c r="U2035">
        <v>0.45367429999999997</v>
      </c>
      <c r="V2035">
        <v>-1.6556069999999999E-2</v>
      </c>
      <c r="W2035">
        <v>1.189949E-2</v>
      </c>
      <c r="X2035">
        <v>0.99979209999999996</v>
      </c>
      <c r="Y2035">
        <v>0.15856700000000001</v>
      </c>
      <c r="Z2035">
        <v>-2.2566650000000001E-3</v>
      </c>
      <c r="AA2035">
        <v>0.98734560000000005</v>
      </c>
      <c r="AB2035">
        <v>26</v>
      </c>
      <c r="AC2035">
        <v>-195.57409999999999</v>
      </c>
      <c r="AD2035">
        <v>4.9844119999999998</v>
      </c>
      <c r="AE2035">
        <v>29.477</v>
      </c>
      <c r="AF2035">
        <v>31.386000172470499</v>
      </c>
      <c r="AG2035">
        <v>4.9844119999999998</v>
      </c>
      <c r="AH2035">
        <v>195.14968532838699</v>
      </c>
      <c r="AI2035">
        <v>88.555454350037394</v>
      </c>
      <c r="AJ2035">
        <v>80.8633387968694</v>
      </c>
      <c r="AK2035">
        <v>197.720320284943</v>
      </c>
    </row>
    <row r="2036" spans="1:37" x14ac:dyDescent="0.2">
      <c r="A2036" t="str">
        <f>"20200111155539639"</f>
        <v>20200111155539639</v>
      </c>
      <c r="B2036" t="str">
        <f>"1578729339634034"</f>
        <v>1578729339634034</v>
      </c>
      <c r="C2036" t="s">
        <v>37</v>
      </c>
      <c r="D2036">
        <v>4.9087860000000001</v>
      </c>
      <c r="E2036">
        <v>0.56451049999999903</v>
      </c>
      <c r="F2036" t="s">
        <v>63</v>
      </c>
      <c r="G2036">
        <v>-358.62020000000001</v>
      </c>
      <c r="H2036">
        <v>2.6945860000000001</v>
      </c>
      <c r="I2036">
        <v>301.88839999999999</v>
      </c>
      <c r="J2036">
        <v>-245.57079999999999</v>
      </c>
      <c r="K2036">
        <v>1.104932</v>
      </c>
      <c r="L2036">
        <v>284.71809999999999</v>
      </c>
      <c r="M2036">
        <v>-0.99985440000000003</v>
      </c>
      <c r="N2036">
        <v>0</v>
      </c>
      <c r="O2036">
        <v>-1.000088E-2</v>
      </c>
      <c r="P2036">
        <v>-0.99966599999999906</v>
      </c>
      <c r="Q2036">
        <v>-4.0745269999999997E-3</v>
      </c>
      <c r="R2036">
        <v>-2.552192E-2</v>
      </c>
      <c r="S2036">
        <v>-3.0131990000000002</v>
      </c>
      <c r="T2036">
        <v>4.2269830000000001E-2</v>
      </c>
      <c r="U2036">
        <v>0.4564819</v>
      </c>
      <c r="V2036">
        <v>-1.5523810000000001E-2</v>
      </c>
      <c r="W2036">
        <v>9.7514690000000005E-3</v>
      </c>
      <c r="X2036">
        <v>0.99983199999999905</v>
      </c>
      <c r="Y2036">
        <v>0.15965019999999999</v>
      </c>
      <c r="Z2036">
        <v>-1.2529279999999999E-3</v>
      </c>
      <c r="AA2036">
        <v>0.98717279999999996</v>
      </c>
      <c r="AB2036">
        <v>26</v>
      </c>
      <c r="AC2036">
        <v>-113.04940000000001</v>
      </c>
      <c r="AD2036">
        <v>1.5896539999999999</v>
      </c>
      <c r="AE2036">
        <v>17.170299999999902</v>
      </c>
      <c r="AF2036">
        <v>18.296606528663101</v>
      </c>
      <c r="AG2036">
        <v>1.5896539999999999</v>
      </c>
      <c r="AH2036">
        <v>112.850200252842</v>
      </c>
      <c r="AI2036">
        <v>89.203362835037794</v>
      </c>
      <c r="AJ2036">
        <v>80.790668303700699</v>
      </c>
      <c r="AK2036">
        <v>114.33486129528001</v>
      </c>
    </row>
    <row r="2037" spans="1:37" x14ac:dyDescent="0.2">
      <c r="A2037" t="str">
        <f>"20200111155539652"</f>
        <v>20200111155539652</v>
      </c>
      <c r="B2037" t="str">
        <f>"1578729339644771"</f>
        <v>1578729339644771</v>
      </c>
      <c r="C2037" t="s">
        <v>37</v>
      </c>
      <c r="D2037">
        <v>4.9419829999999996</v>
      </c>
      <c r="E2037">
        <v>0.56479080000000004</v>
      </c>
      <c r="F2037" t="s">
        <v>39</v>
      </c>
      <c r="G2037">
        <v>-336.2998</v>
      </c>
      <c r="H2037">
        <v>-0.05</v>
      </c>
      <c r="I2037">
        <v>297.89210000000003</v>
      </c>
      <c r="J2037">
        <v>-245.7286</v>
      </c>
      <c r="K2037">
        <v>1.1049180000000001</v>
      </c>
      <c r="L2037">
        <v>284.71640000000002</v>
      </c>
      <c r="M2037">
        <v>-0.99985369999999996</v>
      </c>
      <c r="N2037">
        <v>0</v>
      </c>
      <c r="O2037">
        <v>-1.0056580000000001E-2</v>
      </c>
      <c r="P2037">
        <v>-0.99968429999999997</v>
      </c>
      <c r="Q2037">
        <v>-4.7878219999999997E-3</v>
      </c>
      <c r="R2037">
        <v>-2.4673540000000001E-2</v>
      </c>
      <c r="S2037">
        <v>-3.0119929999999999</v>
      </c>
      <c r="T2037">
        <v>-3.8341050000000002E-2</v>
      </c>
      <c r="U2037">
        <v>0.4373474</v>
      </c>
      <c r="V2037">
        <v>-1.461901E-2</v>
      </c>
      <c r="W2037">
        <v>9.0486419999999904E-3</v>
      </c>
      <c r="X2037">
        <v>0.99985219999999897</v>
      </c>
      <c r="Y2037">
        <v>0.15362799999999999</v>
      </c>
      <c r="Z2037">
        <v>1.1000369999999899E-3</v>
      </c>
      <c r="AA2037">
        <v>0.98812809999999995</v>
      </c>
      <c r="AB2037">
        <v>26</v>
      </c>
      <c r="AC2037">
        <v>-90.571200000000005</v>
      </c>
      <c r="AD2037">
        <v>-1.1549179999999999</v>
      </c>
      <c r="AE2037">
        <v>13.175700000000001</v>
      </c>
      <c r="AF2037">
        <v>14.0837147509119</v>
      </c>
      <c r="AG2037">
        <v>-1.1549179999999999</v>
      </c>
      <c r="AH2037">
        <v>90.419706284634302</v>
      </c>
      <c r="AI2037">
        <v>90.723073292412096</v>
      </c>
      <c r="AJ2037">
        <v>81.1467850548363</v>
      </c>
      <c r="AK2037">
        <v>91.5172559759705</v>
      </c>
    </row>
    <row r="2038" spans="1:37" x14ac:dyDescent="0.2">
      <c r="A2038" t="str">
        <f>"20200111155539672"</f>
        <v>20200111155539672</v>
      </c>
      <c r="B2038" t="str">
        <f>"1578729339664290"</f>
        <v>1578729339664290</v>
      </c>
      <c r="C2038" t="s">
        <v>37</v>
      </c>
      <c r="D2038">
        <v>4.7853659999999998</v>
      </c>
      <c r="E2038">
        <v>0.56449249999999995</v>
      </c>
      <c r="F2038" t="s">
        <v>61</v>
      </c>
      <c r="G2038">
        <v>-312.38909999999998</v>
      </c>
      <c r="H2038">
        <v>7.9999829999999994E-2</v>
      </c>
      <c r="I2038">
        <v>294.49400000000003</v>
      </c>
      <c r="J2038">
        <v>-245.95570000000001</v>
      </c>
      <c r="K2038">
        <v>1.104905</v>
      </c>
      <c r="L2038">
        <v>284.71409999999997</v>
      </c>
      <c r="M2038">
        <v>-0.99985279999999999</v>
      </c>
      <c r="N2038">
        <v>0</v>
      </c>
      <c r="O2038">
        <v>-1.0125459999999999E-2</v>
      </c>
      <c r="P2038">
        <v>-0.99972439999999996</v>
      </c>
      <c r="Q2038">
        <v>-3.2798209999999901E-3</v>
      </c>
      <c r="R2038">
        <v>-2.325004E-2</v>
      </c>
      <c r="S2038">
        <v>-3.0116419999999899</v>
      </c>
      <c r="T2038">
        <v>-4.6304579999999998E-2</v>
      </c>
      <c r="U2038">
        <v>0.44174189999999902</v>
      </c>
      <c r="V2038">
        <v>-1.312604E-2</v>
      </c>
      <c r="W2038">
        <v>1.057111E-2</v>
      </c>
      <c r="X2038">
        <v>0.99985800000000002</v>
      </c>
      <c r="Y2038">
        <v>0.155117899999999</v>
      </c>
      <c r="Z2038">
        <v>1.3409539999999899E-3</v>
      </c>
      <c r="AA2038">
        <v>0.98789509999999903</v>
      </c>
      <c r="AB2038">
        <v>26</v>
      </c>
      <c r="AC2038">
        <v>-66.433399999999907</v>
      </c>
      <c r="AD2038">
        <v>-1.02490517</v>
      </c>
      <c r="AE2038">
        <v>9.7799000000000493</v>
      </c>
      <c r="AF2038">
        <v>10.449697449020499</v>
      </c>
      <c r="AG2038">
        <v>-1.02490517</v>
      </c>
      <c r="AH2038">
        <v>66.315509313272003</v>
      </c>
      <c r="AI2038">
        <v>90.874644458627699</v>
      </c>
      <c r="AJ2038">
        <v>81.045222032538007</v>
      </c>
      <c r="AK2038">
        <v>67.1415920489098</v>
      </c>
    </row>
    <row r="2039" spans="1:37" x14ac:dyDescent="0.2">
      <c r="A2039" t="str">
        <f>"20200111155539686"</f>
        <v>20200111155539686</v>
      </c>
      <c r="B2039" t="str">
        <f>"1578729339674051"</f>
        <v>1578729339674051</v>
      </c>
      <c r="C2039" t="s">
        <v>37</v>
      </c>
      <c r="D2039">
        <v>5.0948149999999996</v>
      </c>
      <c r="E2039">
        <v>0.56409449999999906</v>
      </c>
      <c r="F2039" t="s">
        <v>61</v>
      </c>
      <c r="G2039">
        <v>-301.64319999999998</v>
      </c>
      <c r="H2039" s="1">
        <v>2.0714709999999998E-6</v>
      </c>
      <c r="I2039">
        <v>292.91070000000002</v>
      </c>
      <c r="J2039">
        <v>-246.1199</v>
      </c>
      <c r="K2039">
        <v>1.104895</v>
      </c>
      <c r="L2039">
        <v>284.71230000000003</v>
      </c>
      <c r="M2039">
        <v>-0.99985219999999897</v>
      </c>
      <c r="N2039">
        <v>0</v>
      </c>
      <c r="O2039">
        <v>-1.016741E-2</v>
      </c>
      <c r="P2039">
        <v>-0.99974219999999903</v>
      </c>
      <c r="Q2039">
        <v>-2.4628279999999998E-3</v>
      </c>
      <c r="R2039">
        <v>-2.2575870000000001E-2</v>
      </c>
      <c r="S2039">
        <v>-3.0109249999999999</v>
      </c>
      <c r="T2039">
        <v>-5.9740189999999999E-2</v>
      </c>
      <c r="U2039">
        <v>0.44317629999999902</v>
      </c>
      <c r="V2039">
        <v>-1.240982E-2</v>
      </c>
      <c r="W2039">
        <v>1.1396460000000001E-2</v>
      </c>
      <c r="X2039">
        <v>0.99985800000000002</v>
      </c>
      <c r="Y2039">
        <v>0.155641</v>
      </c>
      <c r="Z2039">
        <v>1.7363120000000001E-3</v>
      </c>
      <c r="AA2039">
        <v>0.98781219999999903</v>
      </c>
      <c r="AB2039">
        <v>26</v>
      </c>
      <c r="AC2039">
        <v>-55.5232999999999</v>
      </c>
      <c r="AD2039">
        <v>-1.1048929285289999</v>
      </c>
      <c r="AE2039">
        <v>8.1983999999999906</v>
      </c>
      <c r="AF2039">
        <v>8.7591639871005391</v>
      </c>
      <c r="AG2039">
        <v>-1.1048929285289999</v>
      </c>
      <c r="AH2039">
        <v>55.415588903580598</v>
      </c>
      <c r="AI2039">
        <v>91.128226250740795</v>
      </c>
      <c r="AJ2039">
        <v>81.017957522006</v>
      </c>
      <c r="AK2039">
        <v>56.114447655368402</v>
      </c>
    </row>
    <row r="2040" spans="1:37" x14ac:dyDescent="0.2">
      <c r="A2040" t="str">
        <f>"20200111155539700"</f>
        <v>20200111155539700</v>
      </c>
      <c r="B2040" t="str">
        <f>"1578729339694546"</f>
        <v>1578729339694546</v>
      </c>
      <c r="C2040" t="s">
        <v>37</v>
      </c>
      <c r="D2040">
        <v>4.888827</v>
      </c>
      <c r="E2040">
        <v>0.56424469999999904</v>
      </c>
      <c r="F2040" t="s">
        <v>61</v>
      </c>
      <c r="G2040">
        <v>-301.23239999999998</v>
      </c>
      <c r="H2040" s="1">
        <v>2.1826929999999999E-6</v>
      </c>
      <c r="I2040">
        <v>292.80220000000003</v>
      </c>
      <c r="J2040">
        <v>-246.28620000000001</v>
      </c>
      <c r="K2040">
        <v>1.1048830000000001</v>
      </c>
      <c r="L2040">
        <v>284.7106</v>
      </c>
      <c r="M2040">
        <v>-0.99985170000000001</v>
      </c>
      <c r="N2040">
        <v>0</v>
      </c>
      <c r="O2040">
        <v>-1.0206059999999999E-2</v>
      </c>
      <c r="P2040">
        <v>-0.99976169999999998</v>
      </c>
      <c r="Q2040">
        <v>-3.2737220000000002E-3</v>
      </c>
      <c r="R2040">
        <v>-2.1586109999999999E-2</v>
      </c>
      <c r="S2040">
        <v>-3.0106199999999999</v>
      </c>
      <c r="T2040">
        <v>-6.0356859999999998E-2</v>
      </c>
      <c r="U2040">
        <v>0.44192500000000001</v>
      </c>
      <c r="V2040">
        <v>-1.138104E-2</v>
      </c>
      <c r="W2040">
        <v>1.059352E-2</v>
      </c>
      <c r="X2040">
        <v>0.99987909999999902</v>
      </c>
      <c r="Y2040">
        <v>0.15529109999999999</v>
      </c>
      <c r="Z2040">
        <v>1.7517429999999901E-3</v>
      </c>
      <c r="AA2040">
        <v>0.98786719999999895</v>
      </c>
      <c r="AB2040">
        <v>26</v>
      </c>
      <c r="AC2040">
        <v>-54.946199999999898</v>
      </c>
      <c r="AD2040">
        <v>-1.1048808173069999</v>
      </c>
      <c r="AE2040">
        <v>8.0916000000000192</v>
      </c>
      <c r="AF2040">
        <v>8.6485938417698893</v>
      </c>
      <c r="AG2040">
        <v>-1.1048808173069999</v>
      </c>
      <c r="AH2040">
        <v>54.839042979981798</v>
      </c>
      <c r="AI2040">
        <v>91.140134400369305</v>
      </c>
      <c r="AJ2040">
        <v>81.037773875283406</v>
      </c>
      <c r="AK2040">
        <v>55.527827006111501</v>
      </c>
    </row>
    <row r="2041" spans="1:37" x14ac:dyDescent="0.2">
      <c r="A2041" t="str">
        <f>"20200111155539716"</f>
        <v>20200111155539716</v>
      </c>
      <c r="B2041" t="str">
        <f>"1578729339704307"</f>
        <v>1578729339704307</v>
      </c>
      <c r="C2041" t="s">
        <v>37</v>
      </c>
      <c r="D2041">
        <v>5.172885</v>
      </c>
      <c r="E2041">
        <v>0.56369999999999998</v>
      </c>
      <c r="F2041" t="s">
        <v>61</v>
      </c>
      <c r="G2041">
        <v>-293.30799999999999</v>
      </c>
      <c r="H2041" s="1">
        <v>1.9927559999999998E-6</v>
      </c>
      <c r="I2041">
        <v>291.6755</v>
      </c>
      <c r="J2041">
        <v>-246.47540000000001</v>
      </c>
      <c r="K2041">
        <v>1.104857</v>
      </c>
      <c r="L2041">
        <v>284.70859999999999</v>
      </c>
      <c r="M2041">
        <v>-0.9998513</v>
      </c>
      <c r="N2041">
        <v>0</v>
      </c>
      <c r="O2041">
        <v>-1.0244649999999999E-2</v>
      </c>
      <c r="P2041">
        <v>-0.99977380000000005</v>
      </c>
      <c r="Q2041">
        <v>-6.9548049999999997E-3</v>
      </c>
      <c r="R2041">
        <v>-2.0101629999999999E-2</v>
      </c>
      <c r="S2041">
        <v>-3.0101009999999899</v>
      </c>
      <c r="T2041">
        <v>-7.0729020000000004E-2</v>
      </c>
      <c r="U2041">
        <v>0.44586179999999997</v>
      </c>
      <c r="V2041">
        <v>-9.8575620000000003E-3</v>
      </c>
      <c r="W2041">
        <v>6.9205849999999999E-3</v>
      </c>
      <c r="X2041">
        <v>0.99992749999999997</v>
      </c>
      <c r="Y2041">
        <v>0.15660550000000001</v>
      </c>
      <c r="Z2041">
        <v>2.069113E-3</v>
      </c>
      <c r="AA2041">
        <v>0.98765910000000001</v>
      </c>
      <c r="AB2041">
        <v>26</v>
      </c>
      <c r="AC2041">
        <v>-46.8325999999999</v>
      </c>
      <c r="AD2041">
        <v>-1.104855007244</v>
      </c>
      <c r="AE2041">
        <v>6.9669000000000096</v>
      </c>
      <c r="AF2041">
        <v>7.4423116535229399</v>
      </c>
      <c r="AG2041">
        <v>-1.104855007244</v>
      </c>
      <c r="AH2041">
        <v>46.733314659542899</v>
      </c>
      <c r="AI2041">
        <v>91.337470130744904</v>
      </c>
      <c r="AJ2041">
        <v>80.951589771441405</v>
      </c>
      <c r="AK2041">
        <v>47.335096983137603</v>
      </c>
    </row>
    <row r="2042" spans="1:37" x14ac:dyDescent="0.2">
      <c r="A2042" t="str">
        <f>"20200111155539730"</f>
        <v>20200111155539730</v>
      </c>
      <c r="B2042" t="str">
        <f>"1578729339724803"</f>
        <v>1578729339724803</v>
      </c>
      <c r="C2042" t="s">
        <v>37</v>
      </c>
      <c r="D2042">
        <v>4.9293500000000003</v>
      </c>
      <c r="E2042">
        <v>0.56285180000000001</v>
      </c>
      <c r="F2042" t="s">
        <v>61</v>
      </c>
      <c r="G2042">
        <v>-281.07429999999999</v>
      </c>
      <c r="H2042">
        <v>7.9999719999999996E-2</v>
      </c>
      <c r="I2042">
        <v>289.83330000000001</v>
      </c>
      <c r="J2042">
        <v>-246.63489999999999</v>
      </c>
      <c r="K2042">
        <v>1.104846</v>
      </c>
      <c r="L2042">
        <v>284.70690000000002</v>
      </c>
      <c r="M2042">
        <v>-0.99985089999999999</v>
      </c>
      <c r="N2042">
        <v>0</v>
      </c>
      <c r="O2042">
        <v>-1.027601E-2</v>
      </c>
      <c r="P2042">
        <v>-0.99977519999999998</v>
      </c>
      <c r="Q2042">
        <v>-9.1397869999999999E-3</v>
      </c>
      <c r="R2042">
        <v>-1.9144660000000001E-2</v>
      </c>
      <c r="S2042">
        <v>-3.0090180000000002</v>
      </c>
      <c r="T2042">
        <v>-8.9130520000000005E-2</v>
      </c>
      <c r="U2042">
        <v>0.44567869999999998</v>
      </c>
      <c r="V2042">
        <v>-8.8692590000000009E-3</v>
      </c>
      <c r="W2042">
        <v>4.74099999999999E-3</v>
      </c>
      <c r="X2042">
        <v>0.99994950000000005</v>
      </c>
      <c r="Y2042">
        <v>0.15660260000000001</v>
      </c>
      <c r="Z2042">
        <v>2.6090470000000002E-3</v>
      </c>
      <c r="AA2042">
        <v>0.98765829999999999</v>
      </c>
      <c r="AB2042">
        <v>26</v>
      </c>
      <c r="AC2042">
        <v>-34.439399999999999</v>
      </c>
      <c r="AD2042">
        <v>-1.02484628</v>
      </c>
      <c r="AE2042">
        <v>5.1263999999999896</v>
      </c>
      <c r="AF2042">
        <v>5.4753194858093304</v>
      </c>
      <c r="AG2042">
        <v>-1.02484628</v>
      </c>
      <c r="AH2042">
        <v>34.3551340076176</v>
      </c>
      <c r="AI2042">
        <v>91.687397682824098</v>
      </c>
      <c r="AJ2042">
        <v>80.944691279619903</v>
      </c>
      <c r="AK2042">
        <v>34.803802465401297</v>
      </c>
    </row>
    <row r="2043" spans="1:37" x14ac:dyDescent="0.2">
      <c r="A2043" t="str">
        <f>"20200111155539744"</f>
        <v>20200111155539744</v>
      </c>
      <c r="B2043" t="str">
        <f>"1578729339734563"</f>
        <v>1578729339734563</v>
      </c>
      <c r="C2043" t="s">
        <v>37</v>
      </c>
      <c r="D2043">
        <v>4.981668</v>
      </c>
      <c r="E2043">
        <v>0.56952150000000001</v>
      </c>
      <c r="F2043" t="s">
        <v>59</v>
      </c>
      <c r="G2043">
        <v>-279.2276</v>
      </c>
      <c r="H2043" s="1">
        <v>3.16060299999999E-6</v>
      </c>
      <c r="I2043">
        <v>289.4914</v>
      </c>
      <c r="J2043">
        <v>-246.80279999999999</v>
      </c>
      <c r="K2043">
        <v>1.1048389999999999</v>
      </c>
      <c r="L2043">
        <v>284.70519999999999</v>
      </c>
      <c r="M2043">
        <v>-0.99985049999999998</v>
      </c>
      <c r="N2043">
        <v>0</v>
      </c>
      <c r="O2043">
        <v>-1.030906E-2</v>
      </c>
      <c r="P2043">
        <v>-0.99977070000000001</v>
      </c>
      <c r="Q2043">
        <v>-1.126774E-2</v>
      </c>
      <c r="R2043">
        <v>-1.8221270000000001E-2</v>
      </c>
      <c r="S2043">
        <v>-3.008194</v>
      </c>
      <c r="T2043">
        <v>-0.1019732</v>
      </c>
      <c r="U2043">
        <v>0.44158940000000002</v>
      </c>
      <c r="V2043">
        <v>-7.9128289999999997E-3</v>
      </c>
      <c r="W2043">
        <v>2.6181350000000002E-3</v>
      </c>
      <c r="X2043">
        <v>0.99996529999999995</v>
      </c>
      <c r="Y2043">
        <v>0.1553388</v>
      </c>
      <c r="Z2043">
        <v>2.9656959999999999E-3</v>
      </c>
      <c r="AA2043">
        <v>0.98785679999999998</v>
      </c>
      <c r="AB2043">
        <v>26</v>
      </c>
      <c r="AC2043">
        <v>-32.424799999999998</v>
      </c>
      <c r="AD2043">
        <v>-1.1048358393969999</v>
      </c>
      <c r="AE2043">
        <v>4.7862</v>
      </c>
      <c r="AF2043">
        <v>5.1144356759966998</v>
      </c>
      <c r="AG2043">
        <v>-1.1048358393969999</v>
      </c>
      <c r="AH2043">
        <v>32.336987234849602</v>
      </c>
      <c r="AI2043">
        <v>91.932818115531205</v>
      </c>
      <c r="AJ2043">
        <v>81.012514498591699</v>
      </c>
      <c r="AK2043">
        <v>32.757577107331201</v>
      </c>
    </row>
    <row r="2044" spans="1:37" x14ac:dyDescent="0.2">
      <c r="A2044" t="str">
        <f>"20200111155539761"</f>
        <v>20200111155539761</v>
      </c>
      <c r="B2044" t="str">
        <f>"1578729339754082"</f>
        <v>1578729339754082</v>
      </c>
      <c r="C2044" t="s">
        <v>37</v>
      </c>
      <c r="D2044">
        <v>4.8128919999999997</v>
      </c>
      <c r="E2044">
        <v>0.5672199</v>
      </c>
      <c r="F2044" t="s">
        <v>62</v>
      </c>
      <c r="G2044">
        <v>-439.93689999999998</v>
      </c>
      <c r="H2044">
        <v>9.3562410000000007</v>
      </c>
      <c r="I2044">
        <v>317.09969999999998</v>
      </c>
      <c r="J2044">
        <v>-247.00790000000001</v>
      </c>
      <c r="K2044">
        <v>1.1048389999999999</v>
      </c>
      <c r="L2044">
        <v>284.70299999999997</v>
      </c>
      <c r="M2044">
        <v>-0.99985000000000002</v>
      </c>
      <c r="N2044">
        <v>0</v>
      </c>
      <c r="O2044">
        <v>-1.035048E-2</v>
      </c>
      <c r="P2044">
        <v>-0.99974819999999998</v>
      </c>
      <c r="Q2044">
        <v>-1.43909E-2</v>
      </c>
      <c r="R2044">
        <v>-1.7227260000000001E-2</v>
      </c>
      <c r="S2044">
        <v>-3.01135299999999</v>
      </c>
      <c r="T2044">
        <v>0.1286563</v>
      </c>
      <c r="U2044">
        <v>0.5050964</v>
      </c>
      <c r="V2044">
        <v>-6.8771930000000002E-3</v>
      </c>
      <c r="W2044">
        <v>-4.998375E-4</v>
      </c>
      <c r="X2044">
        <v>0.99997619999999898</v>
      </c>
      <c r="Y2044">
        <v>0.175455</v>
      </c>
      <c r="Z2044">
        <v>-4.15946799999999E-3</v>
      </c>
      <c r="AA2044">
        <v>0.98447870000000004</v>
      </c>
      <c r="AB2044">
        <v>26</v>
      </c>
      <c r="AC2044">
        <v>-192.929</v>
      </c>
      <c r="AD2044">
        <v>8.2514020000000006</v>
      </c>
      <c r="AE2044">
        <v>32.396700000000003</v>
      </c>
      <c r="AF2044">
        <v>34.3309886148838</v>
      </c>
      <c r="AG2044">
        <v>8.2514020000000006</v>
      </c>
      <c r="AH2044">
        <v>192.24130586958299</v>
      </c>
      <c r="AI2044">
        <v>87.580484947309898</v>
      </c>
      <c r="AJ2044">
        <v>79.874697540782805</v>
      </c>
      <c r="AK2044">
        <v>195.45695714576999</v>
      </c>
    </row>
    <row r="2045" spans="1:37" x14ac:dyDescent="0.2">
      <c r="A2045" t="str">
        <f>"20200111155539776"</f>
        <v>20200111155539776</v>
      </c>
      <c r="B2045" t="str">
        <f>"1578729339764819"</f>
        <v>1578729339764819</v>
      </c>
      <c r="C2045" t="s">
        <v>37</v>
      </c>
      <c r="D2045">
        <v>4.7080129999999896</v>
      </c>
      <c r="E2045">
        <v>0.5673629</v>
      </c>
      <c r="F2045" t="s">
        <v>62</v>
      </c>
      <c r="G2045">
        <v>-440.8741</v>
      </c>
      <c r="H2045">
        <v>8.9982009999999999</v>
      </c>
      <c r="I2045">
        <v>316.23829999999998</v>
      </c>
      <c r="J2045">
        <v>-247.17420000000001</v>
      </c>
      <c r="K2045">
        <v>1.1048439999999999</v>
      </c>
      <c r="L2045">
        <v>284.7013</v>
      </c>
      <c r="M2045">
        <v>-0.99984949999999995</v>
      </c>
      <c r="N2045">
        <v>0</v>
      </c>
      <c r="O2045">
        <v>-1.038594E-2</v>
      </c>
      <c r="P2045">
        <v>-0.99977000000000005</v>
      </c>
      <c r="Q2045">
        <v>-1.3844789999999999E-2</v>
      </c>
      <c r="R2045">
        <v>-1.6384470000000002E-2</v>
      </c>
      <c r="S2045">
        <v>-3.0109560000000002</v>
      </c>
      <c r="T2045">
        <v>0.1225928</v>
      </c>
      <c r="U2045">
        <v>0.48977659999999901</v>
      </c>
      <c r="V2045">
        <v>-5.9988769999999997E-3</v>
      </c>
      <c r="W2045" s="1">
        <v>5.0187050000000003E-5</v>
      </c>
      <c r="X2045">
        <v>0.99998199999999904</v>
      </c>
      <c r="Y2045">
        <v>0.1706519</v>
      </c>
      <c r="Z2045">
        <v>-3.8700739999999998E-3</v>
      </c>
      <c r="AA2045">
        <v>0.98532379999999997</v>
      </c>
      <c r="AB2045">
        <v>26</v>
      </c>
      <c r="AC2045">
        <v>-193.69990000000001</v>
      </c>
      <c r="AD2045">
        <v>7.893357</v>
      </c>
      <c r="AE2045">
        <v>31.5369999999999</v>
      </c>
      <c r="AF2045">
        <v>33.493066262286199</v>
      </c>
      <c r="AG2045">
        <v>7.893357</v>
      </c>
      <c r="AH2045">
        <v>193.049578338749</v>
      </c>
      <c r="AI2045">
        <v>87.693035224569797</v>
      </c>
      <c r="AJ2045">
        <v>80.157463905630095</v>
      </c>
      <c r="AK2045">
        <v>196.092402374871</v>
      </c>
    </row>
    <row r="2046" spans="1:37" x14ac:dyDescent="0.2">
      <c r="A2046" t="str">
        <f>"20200111155539795"</f>
        <v>20200111155539795</v>
      </c>
      <c r="B2046" t="str">
        <f>"1578729339784338"</f>
        <v>1578729339784338</v>
      </c>
      <c r="C2046" t="s">
        <v>37</v>
      </c>
      <c r="D2046">
        <v>4.822641</v>
      </c>
      <c r="E2046">
        <v>0.56617700000000004</v>
      </c>
      <c r="F2046" t="s">
        <v>62</v>
      </c>
      <c r="G2046">
        <v>-440.87310000000002</v>
      </c>
      <c r="H2046">
        <v>5.9812389999999898</v>
      </c>
      <c r="I2046">
        <v>316.35890000000001</v>
      </c>
      <c r="J2046">
        <v>-247.38720000000001</v>
      </c>
      <c r="K2046">
        <v>1.1048639999999901</v>
      </c>
      <c r="L2046">
        <v>284.69900000000001</v>
      </c>
      <c r="M2046">
        <v>-0.99984899999999999</v>
      </c>
      <c r="N2046">
        <v>0</v>
      </c>
      <c r="O2046">
        <v>-1.043548E-2</v>
      </c>
      <c r="P2046">
        <v>-0.99981149999999996</v>
      </c>
      <c r="Q2046">
        <v>-1.1765589999999999E-2</v>
      </c>
      <c r="R2046">
        <v>-1.54532E-2</v>
      </c>
      <c r="S2046">
        <v>-3.0097959999999899</v>
      </c>
      <c r="T2046">
        <v>7.577217E-2</v>
      </c>
      <c r="U2046">
        <v>0.49191279999999998</v>
      </c>
      <c r="V2046">
        <v>-5.0180270000000004E-3</v>
      </c>
      <c r="W2046">
        <v>2.1336699999999998E-3</v>
      </c>
      <c r="X2046">
        <v>0.99998519999999902</v>
      </c>
      <c r="Y2046">
        <v>0.17153209999999999</v>
      </c>
      <c r="Z2046">
        <v>-2.4056329999999999E-3</v>
      </c>
      <c r="AA2046">
        <v>0.98517559999999904</v>
      </c>
      <c r="AB2046">
        <v>26</v>
      </c>
      <c r="AC2046">
        <v>-193.48589999999999</v>
      </c>
      <c r="AD2046">
        <v>4.8763750000000003</v>
      </c>
      <c r="AE2046">
        <v>31.6599</v>
      </c>
      <c r="AF2046">
        <v>33.656668419728</v>
      </c>
      <c r="AG2046">
        <v>4.8763750000000003</v>
      </c>
      <c r="AH2046">
        <v>193.02553578544101</v>
      </c>
      <c r="AI2046">
        <v>88.574353608648195</v>
      </c>
      <c r="AJ2046">
        <v>80.109126006066006</v>
      </c>
      <c r="AK2046">
        <v>195.99848935007901</v>
      </c>
    </row>
    <row r="2047" spans="1:37" x14ac:dyDescent="0.2">
      <c r="A2047" t="str">
        <f>"20200111155539808"</f>
        <v>20200111155539808</v>
      </c>
      <c r="B2047" t="str">
        <f>"1578729339804835"</f>
        <v>1578729339804835</v>
      </c>
      <c r="C2047" t="s">
        <v>37</v>
      </c>
      <c r="D2047">
        <v>4.7959110000000003</v>
      </c>
      <c r="E2047">
        <v>0.56460679999999996</v>
      </c>
      <c r="F2047" t="s">
        <v>63</v>
      </c>
      <c r="G2047">
        <v>-354.32240000000002</v>
      </c>
      <c r="H2047">
        <v>2.089842</v>
      </c>
      <c r="I2047">
        <v>301.88839999999999</v>
      </c>
      <c r="J2047">
        <v>-247.55289999999999</v>
      </c>
      <c r="K2047">
        <v>1.1048750000000001</v>
      </c>
      <c r="L2047">
        <v>284.69729999999998</v>
      </c>
      <c r="M2047">
        <v>-0.99984850000000003</v>
      </c>
      <c r="N2047">
        <v>0</v>
      </c>
      <c r="O2047">
        <v>-1.0476890000000001E-2</v>
      </c>
      <c r="P2047">
        <v>-0.99982789999999999</v>
      </c>
      <c r="Q2047">
        <v>-1.059058E-2</v>
      </c>
      <c r="R2047">
        <v>-1.524355E-2</v>
      </c>
      <c r="S2047">
        <v>-3.008362</v>
      </c>
      <c r="T2047">
        <v>2.7712230000000001E-2</v>
      </c>
      <c r="U2047">
        <v>0.483581499999999</v>
      </c>
      <c r="V2047">
        <v>-4.7667229999999996E-3</v>
      </c>
      <c r="W2047">
        <v>3.3114540000000001E-3</v>
      </c>
      <c r="X2047">
        <v>0.99998310000000001</v>
      </c>
      <c r="Y2047">
        <v>0.1690374</v>
      </c>
      <c r="Z2047">
        <v>-8.6950320000000005E-4</v>
      </c>
      <c r="AA2047">
        <v>0.98560919999999896</v>
      </c>
      <c r="AB2047">
        <v>26</v>
      </c>
      <c r="AC2047">
        <v>-106.76949999999999</v>
      </c>
      <c r="AD2047">
        <v>0.98496700000000004</v>
      </c>
      <c r="AE2047">
        <v>17.191099999999999</v>
      </c>
      <c r="AF2047">
        <v>18.3073580312772</v>
      </c>
      <c r="AG2047">
        <v>0.98496700000000004</v>
      </c>
      <c r="AH2047">
        <v>106.57467153503001</v>
      </c>
      <c r="AI2047">
        <v>89.478128733851506</v>
      </c>
      <c r="AJ2047">
        <v>80.252882449697793</v>
      </c>
      <c r="AK2047">
        <v>108.140141163566</v>
      </c>
    </row>
    <row r="2048" spans="1:37" x14ac:dyDescent="0.2">
      <c r="A2048" t="str">
        <f>"20200111155539828"</f>
        <v>20200111155539828</v>
      </c>
      <c r="B2048" t="str">
        <f>"1578729339823972"</f>
        <v>1578729339823972</v>
      </c>
      <c r="C2048" t="s">
        <v>37</v>
      </c>
      <c r="D2048">
        <v>5.0544659999999997</v>
      </c>
      <c r="E2048">
        <v>0.5651351</v>
      </c>
      <c r="F2048" t="s">
        <v>63</v>
      </c>
      <c r="G2048">
        <v>-357.4135</v>
      </c>
      <c r="H2048">
        <v>1.0107930000000001</v>
      </c>
      <c r="I2048">
        <v>301.88839999999999</v>
      </c>
      <c r="J2048">
        <v>-247.77869999999999</v>
      </c>
      <c r="K2048">
        <v>1.1048879999999901</v>
      </c>
      <c r="L2048">
        <v>284.69479999999999</v>
      </c>
      <c r="M2048">
        <v>-0.99984779999999995</v>
      </c>
      <c r="N2048">
        <v>0</v>
      </c>
      <c r="O2048">
        <v>-1.0535599999999999E-2</v>
      </c>
      <c r="P2048">
        <v>-0.99985970000000002</v>
      </c>
      <c r="Q2048">
        <v>-6.9623380000000002E-3</v>
      </c>
      <c r="R2048">
        <v>-1.5245160000000001E-2</v>
      </c>
      <c r="S2048">
        <v>-3.00766</v>
      </c>
      <c r="T2048">
        <v>-2.5734899999999999E-3</v>
      </c>
      <c r="U2048">
        <v>0.47064209999999901</v>
      </c>
      <c r="V2048">
        <v>-4.7094149999999998E-3</v>
      </c>
      <c r="W2048">
        <v>6.9429950000000004E-3</v>
      </c>
      <c r="X2048">
        <v>0.99996479999999999</v>
      </c>
      <c r="Y2048">
        <v>0.16500109999999901</v>
      </c>
      <c r="Z2048" s="1">
        <v>7.9127059999999994E-5</v>
      </c>
      <c r="AA2048">
        <v>0.98629339999999999</v>
      </c>
      <c r="AB2048">
        <v>26</v>
      </c>
      <c r="AC2048">
        <v>-109.6348</v>
      </c>
      <c r="AD2048">
        <v>-9.4094999999999804E-2</v>
      </c>
      <c r="AE2048">
        <v>17.1936</v>
      </c>
      <c r="AF2048">
        <v>18.347812460630902</v>
      </c>
      <c r="AG2048">
        <v>-9.4094999999999804E-2</v>
      </c>
      <c r="AH2048">
        <v>109.44747289083701</v>
      </c>
      <c r="AI2048">
        <v>90.048580833638397</v>
      </c>
      <c r="AJ2048">
        <v>80.483406316680998</v>
      </c>
      <c r="AK2048">
        <v>110.97477370172901</v>
      </c>
    </row>
    <row r="2049" spans="1:37" x14ac:dyDescent="0.2">
      <c r="A2049" t="str">
        <f>"20200111155539843"</f>
        <v>20200111155539843</v>
      </c>
      <c r="B2049" t="str">
        <f>"1578729339834708"</f>
        <v>1578729339834708</v>
      </c>
      <c r="C2049" t="s">
        <v>37</v>
      </c>
      <c r="D2049">
        <v>4.6487360000000004</v>
      </c>
      <c r="E2049">
        <v>0.56524249999999998</v>
      </c>
      <c r="F2049" t="s">
        <v>63</v>
      </c>
      <c r="G2049">
        <v>-356.79020000000003</v>
      </c>
      <c r="H2049">
        <v>0.83715419999999996</v>
      </c>
      <c r="I2049">
        <v>301.88839999999999</v>
      </c>
      <c r="J2049">
        <v>-247.94970000000001</v>
      </c>
      <c r="K2049">
        <v>1.1048990000000001</v>
      </c>
      <c r="L2049">
        <v>284.69299999999998</v>
      </c>
      <c r="M2049">
        <v>-0.99984740000000005</v>
      </c>
      <c r="N2049">
        <v>0</v>
      </c>
      <c r="O2049">
        <v>-1.0581770000000001E-2</v>
      </c>
      <c r="P2049">
        <v>-0.99986309999999901</v>
      </c>
      <c r="Q2049">
        <v>-5.3603929999999998E-3</v>
      </c>
      <c r="R2049">
        <v>-1.565764E-2</v>
      </c>
      <c r="S2049">
        <v>-3.0075989999999999</v>
      </c>
      <c r="T2049">
        <v>-7.3845389999999999E-3</v>
      </c>
      <c r="U2049">
        <v>0.47436519999999999</v>
      </c>
      <c r="V2049">
        <v>-5.0765039999999999E-3</v>
      </c>
      <c r="W2049">
        <v>8.5465509999999995E-3</v>
      </c>
      <c r="X2049">
        <v>0.99995059999999902</v>
      </c>
      <c r="Y2049">
        <v>0.16624069999999999</v>
      </c>
      <c r="Z2049">
        <v>2.28660099999999E-4</v>
      </c>
      <c r="AA2049">
        <v>0.986085199999999</v>
      </c>
      <c r="AB2049">
        <v>26</v>
      </c>
      <c r="AC2049">
        <v>-108.84050000000001</v>
      </c>
      <c r="AD2049">
        <v>-0.26774480000000001</v>
      </c>
      <c r="AE2049">
        <v>17.195399999999999</v>
      </c>
      <c r="AF2049">
        <v>18.346165163777599</v>
      </c>
      <c r="AG2049">
        <v>-0.26774480000000001</v>
      </c>
      <c r="AH2049">
        <v>108.651788167094</v>
      </c>
      <c r="AI2049">
        <v>90.139219930654093</v>
      </c>
      <c r="AJ2049">
        <v>80.415846917984993</v>
      </c>
      <c r="AK2049">
        <v>110.190129028882</v>
      </c>
    </row>
    <row r="2050" spans="1:37" x14ac:dyDescent="0.2">
      <c r="A2050" t="str">
        <f>"20200111155539856"</f>
        <v>20200111155539856</v>
      </c>
      <c r="B2050" t="str">
        <f>"1578729339844468"</f>
        <v>1578729339844468</v>
      </c>
      <c r="C2050" t="s">
        <v>37</v>
      </c>
      <c r="D2050">
        <v>5.02616</v>
      </c>
      <c r="E2050">
        <v>0.56567040000000002</v>
      </c>
      <c r="F2050" t="s">
        <v>63</v>
      </c>
      <c r="G2050">
        <v>-357.0992</v>
      </c>
      <c r="H2050">
        <v>0.81984500000000005</v>
      </c>
      <c r="I2050">
        <v>301.88839999999999</v>
      </c>
      <c r="J2050">
        <v>-248.09819999999999</v>
      </c>
      <c r="K2050">
        <v>1.104908</v>
      </c>
      <c r="L2050">
        <v>284.69130000000001</v>
      </c>
      <c r="M2050">
        <v>-0.99984689999999998</v>
      </c>
      <c r="N2050">
        <v>0</v>
      </c>
      <c r="O2050">
        <v>-1.062245E-2</v>
      </c>
      <c r="P2050">
        <v>-0.99986749999999902</v>
      </c>
      <c r="Q2050">
        <v>-3.8993700000000001E-3</v>
      </c>
      <c r="R2050">
        <v>-1.5811349999999998E-2</v>
      </c>
      <c r="S2050">
        <v>-3.0077820000000002</v>
      </c>
      <c r="T2050">
        <v>-7.8529120000000001E-3</v>
      </c>
      <c r="U2050">
        <v>0.4738464</v>
      </c>
      <c r="V2050">
        <v>-5.1894380000000002E-3</v>
      </c>
      <c r="W2050">
        <v>1.0008950000000001E-2</v>
      </c>
      <c r="X2050">
        <v>0.99993650000000001</v>
      </c>
      <c r="Y2050">
        <v>0.16610549999999999</v>
      </c>
      <c r="Z2050">
        <v>2.43081899999999E-4</v>
      </c>
      <c r="AA2050">
        <v>0.98610789999999904</v>
      </c>
      <c r="AB2050">
        <v>26</v>
      </c>
      <c r="AC2050">
        <v>-109.001</v>
      </c>
      <c r="AD2050">
        <v>-0.28506300000000001</v>
      </c>
      <c r="AE2050">
        <v>17.197099999999899</v>
      </c>
      <c r="AF2050">
        <v>18.353976691820499</v>
      </c>
      <c r="AG2050">
        <v>-0.28506300000000001</v>
      </c>
      <c r="AH2050">
        <v>108.81142986288199</v>
      </c>
      <c r="AI2050">
        <v>90.148011686565496</v>
      </c>
      <c r="AJ2050">
        <v>80.4256484510001</v>
      </c>
      <c r="AK2050">
        <v>110.34888757990601</v>
      </c>
    </row>
    <row r="2051" spans="1:37" x14ac:dyDescent="0.2">
      <c r="A2051" t="str">
        <f>"20200111155539872"</f>
        <v>20200111155539872</v>
      </c>
      <c r="B2051" t="str">
        <f>"1578729339863988"</f>
        <v>1578729339863988</v>
      </c>
      <c r="C2051" t="s">
        <v>37</v>
      </c>
      <c r="D2051">
        <v>4.8022479999999996</v>
      </c>
      <c r="E2051">
        <v>0.56600980000000001</v>
      </c>
      <c r="F2051" t="s">
        <v>63</v>
      </c>
      <c r="G2051">
        <v>-356.64010000000002</v>
      </c>
      <c r="H2051">
        <v>0.83642749999999999</v>
      </c>
      <c r="I2051">
        <v>301.88839999999999</v>
      </c>
      <c r="J2051">
        <v>-248.29480000000001</v>
      </c>
      <c r="K2051">
        <v>1.1049309999999899</v>
      </c>
      <c r="L2051">
        <v>284.68920000000003</v>
      </c>
      <c r="M2051">
        <v>-0.99984619999999902</v>
      </c>
      <c r="N2051">
        <v>0</v>
      </c>
      <c r="O2051">
        <v>-1.067649E-2</v>
      </c>
      <c r="P2051">
        <v>-0.9998783</v>
      </c>
      <c r="Q2051">
        <v>-1.5393270000000001E-4</v>
      </c>
      <c r="R2051">
        <v>-1.5595370000000001E-2</v>
      </c>
      <c r="S2051">
        <v>-3.0079039999999999</v>
      </c>
      <c r="T2051">
        <v>-7.4379440000000002E-3</v>
      </c>
      <c r="U2051">
        <v>0.4765625</v>
      </c>
      <c r="V2051">
        <v>-4.9193459999999998E-3</v>
      </c>
      <c r="W2051">
        <v>1.375519E-2</v>
      </c>
      <c r="X2051">
        <v>0.99989329999999998</v>
      </c>
      <c r="Y2051">
        <v>0.16702139999999999</v>
      </c>
      <c r="Z2051">
        <v>2.3146979999999999E-4</v>
      </c>
      <c r="AA2051">
        <v>0.98595330000000003</v>
      </c>
      <c r="AB2051">
        <v>26</v>
      </c>
      <c r="AC2051">
        <v>-108.34529999999999</v>
      </c>
      <c r="AD2051">
        <v>-0.26850349999999901</v>
      </c>
      <c r="AE2051">
        <v>17.199199999999902</v>
      </c>
      <c r="AF2051">
        <v>18.354969073359399</v>
      </c>
      <c r="AG2051">
        <v>-0.26850349999999901</v>
      </c>
      <c r="AH2051">
        <v>108.154830849493</v>
      </c>
      <c r="AI2051">
        <v>90.140236154586404</v>
      </c>
      <c r="AJ2051">
        <v>80.368097970334802</v>
      </c>
      <c r="AK2051">
        <v>109.701615393284</v>
      </c>
    </row>
    <row r="2052" spans="1:37" x14ac:dyDescent="0.2">
      <c r="A2052" t="str">
        <f>"20200111155539886"</f>
        <v>20200111155539886</v>
      </c>
      <c r="B2052" t="str">
        <f>"1578729339874724"</f>
        <v>1578729339874724</v>
      </c>
      <c r="C2052" t="s">
        <v>37</v>
      </c>
      <c r="D2052">
        <v>4.7724659999999997</v>
      </c>
      <c r="E2052">
        <v>0.56605559999999999</v>
      </c>
      <c r="F2052" t="s">
        <v>63</v>
      </c>
      <c r="G2052">
        <v>-356.12299999999999</v>
      </c>
      <c r="H2052">
        <v>0.91266229999999904</v>
      </c>
      <c r="I2052">
        <v>301.88839999999999</v>
      </c>
      <c r="J2052">
        <v>-248.44560000000001</v>
      </c>
      <c r="K2052">
        <v>1.1049359999999999</v>
      </c>
      <c r="L2052">
        <v>284.68759999999997</v>
      </c>
      <c r="M2052">
        <v>-0.99984589999999995</v>
      </c>
      <c r="N2052">
        <v>0</v>
      </c>
      <c r="O2052">
        <v>-1.0718470000000001E-2</v>
      </c>
      <c r="P2052">
        <v>-0.99988060000000001</v>
      </c>
      <c r="Q2052">
        <v>2.106091E-3</v>
      </c>
      <c r="R2052">
        <v>-1.5312620000000001E-2</v>
      </c>
      <c r="S2052">
        <v>-3.0078429999999998</v>
      </c>
      <c r="T2052">
        <v>-5.3610799999999998E-3</v>
      </c>
      <c r="U2052">
        <v>0.47976679999999999</v>
      </c>
      <c r="V2052">
        <v>-4.5949770000000001E-3</v>
      </c>
      <c r="W2052">
        <v>1.6016099999999998E-2</v>
      </c>
      <c r="X2052">
        <v>0.99986119999999901</v>
      </c>
      <c r="Y2052">
        <v>0.1680905</v>
      </c>
      <c r="Z2052">
        <v>1.678483E-4</v>
      </c>
      <c r="AA2052">
        <v>0.98577150000000002</v>
      </c>
      <c r="AB2052">
        <v>26</v>
      </c>
      <c r="AC2052">
        <v>-107.67740000000001</v>
      </c>
      <c r="AD2052">
        <v>-0.19227369999999999</v>
      </c>
      <c r="AE2052">
        <v>17.200800000000001</v>
      </c>
      <c r="AF2052">
        <v>18.354003192087699</v>
      </c>
      <c r="AG2052">
        <v>-0.19227369999999999</v>
      </c>
      <c r="AH2052">
        <v>107.486495059696</v>
      </c>
      <c r="AI2052">
        <v>90.101029264878207</v>
      </c>
      <c r="AJ2052">
        <v>80.309840674558501</v>
      </c>
      <c r="AK2052">
        <v>109.042436796731</v>
      </c>
    </row>
    <row r="2053" spans="1:37" x14ac:dyDescent="0.2">
      <c r="A2053" t="str">
        <f>"20200111155539900"</f>
        <v>20200111155539900</v>
      </c>
      <c r="B2053" t="str">
        <f>"1578729339894244"</f>
        <v>1578729339894244</v>
      </c>
      <c r="C2053" t="s">
        <v>37</v>
      </c>
      <c r="D2053">
        <v>4.9380100000000002</v>
      </c>
      <c r="E2053">
        <v>0.56576949999999904</v>
      </c>
      <c r="F2053" t="s">
        <v>63</v>
      </c>
      <c r="G2053">
        <v>-356.07499999999999</v>
      </c>
      <c r="H2053">
        <v>0.96206829999999999</v>
      </c>
      <c r="I2053">
        <v>301.88839999999999</v>
      </c>
      <c r="J2053">
        <v>-248.6078</v>
      </c>
      <c r="K2053">
        <v>1.1049420000000001</v>
      </c>
      <c r="L2053">
        <v>284.68579999999997</v>
      </c>
      <c r="M2053">
        <v>-0.9998454</v>
      </c>
      <c r="N2053">
        <v>0</v>
      </c>
      <c r="O2053">
        <v>-1.076331E-2</v>
      </c>
      <c r="P2053">
        <v>-0.99987809999999899</v>
      </c>
      <c r="Q2053">
        <v>3.4330039999999999E-3</v>
      </c>
      <c r="R2053">
        <v>-1.5243960000000001E-2</v>
      </c>
      <c r="S2053">
        <v>-3.007736</v>
      </c>
      <c r="T2053">
        <v>-3.9902929999999998E-3</v>
      </c>
      <c r="U2053">
        <v>0.48068240000000001</v>
      </c>
      <c r="V2053">
        <v>-4.4814049999999999E-3</v>
      </c>
      <c r="W2053">
        <v>1.7343910000000001E-2</v>
      </c>
      <c r="X2053">
        <v>0.99983949999999999</v>
      </c>
      <c r="Y2053">
        <v>0.1684329</v>
      </c>
      <c r="Z2053">
        <v>1.25217E-4</v>
      </c>
      <c r="AA2053">
        <v>0.98571309999999901</v>
      </c>
      <c r="AB2053">
        <v>26</v>
      </c>
      <c r="AC2053">
        <v>-107.46720000000001</v>
      </c>
      <c r="AD2053">
        <v>-0.14287369999999999</v>
      </c>
      <c r="AE2053">
        <v>17.2026</v>
      </c>
      <c r="AF2053">
        <v>18.358386306246</v>
      </c>
      <c r="AG2053">
        <v>-0.14287369999999999</v>
      </c>
      <c r="AH2053">
        <v>107.27561395372101</v>
      </c>
      <c r="AI2053">
        <v>90.075215186121596</v>
      </c>
      <c r="AJ2053">
        <v>80.288879662606604</v>
      </c>
      <c r="AK2053">
        <v>108.835233770187</v>
      </c>
    </row>
    <row r="2054" spans="1:37" x14ac:dyDescent="0.2">
      <c r="A2054" t="str">
        <f>"20200111155539917"</f>
        <v>20200111155539917</v>
      </c>
      <c r="B2054" t="str">
        <f>"1578729339914740"</f>
        <v>1578729339914740</v>
      </c>
      <c r="C2054" t="s">
        <v>37</v>
      </c>
      <c r="D2054">
        <v>4.8442299999999996</v>
      </c>
      <c r="E2054">
        <v>0.56543900000000002</v>
      </c>
      <c r="F2054" t="s">
        <v>63</v>
      </c>
      <c r="G2054">
        <v>-356.74849999999998</v>
      </c>
      <c r="H2054">
        <v>0.83912439999999999</v>
      </c>
      <c r="I2054">
        <v>301.88839999999999</v>
      </c>
      <c r="J2054">
        <v>-248.8177</v>
      </c>
      <c r="K2054">
        <v>1.1049439999999999</v>
      </c>
      <c r="L2054">
        <v>284.68349999999998</v>
      </c>
      <c r="M2054">
        <v>-0.99984470000000003</v>
      </c>
      <c r="N2054">
        <v>0</v>
      </c>
      <c r="O2054">
        <v>-1.082115E-2</v>
      </c>
      <c r="P2054">
        <v>-0.99987939999999997</v>
      </c>
      <c r="Q2054">
        <v>3.2028029999999902E-3</v>
      </c>
      <c r="R2054">
        <v>-1.5199280000000001E-2</v>
      </c>
      <c r="S2054">
        <v>-3.0077060000000002</v>
      </c>
      <c r="T2054">
        <v>-7.3909759999999996E-3</v>
      </c>
      <c r="U2054">
        <v>0.47845459999999901</v>
      </c>
      <c r="V2054">
        <v>-4.3789190000000002E-3</v>
      </c>
      <c r="W2054">
        <v>1.7113630000000001E-2</v>
      </c>
      <c r="X2054">
        <v>0.99984399999999996</v>
      </c>
      <c r="Y2054">
        <v>0.16777899999999901</v>
      </c>
      <c r="Z2054">
        <v>2.3129039999999999E-4</v>
      </c>
      <c r="AA2054">
        <v>0.98582459999999905</v>
      </c>
      <c r="AB2054">
        <v>26</v>
      </c>
      <c r="AC2054">
        <v>-107.930799999999</v>
      </c>
      <c r="AD2054">
        <v>-0.26581959999999999</v>
      </c>
      <c r="AE2054">
        <v>17.204899999999999</v>
      </c>
      <c r="AF2054">
        <v>18.371832153003901</v>
      </c>
      <c r="AG2054">
        <v>-0.26581959999999999</v>
      </c>
      <c r="AH2054">
        <v>107.737647260028</v>
      </c>
      <c r="AI2054">
        <v>90.139353238272705</v>
      </c>
      <c r="AJ2054">
        <v>80.322789097471599</v>
      </c>
      <c r="AK2054">
        <v>109.29316316149</v>
      </c>
    </row>
    <row r="2055" spans="1:37" x14ac:dyDescent="0.2">
      <c r="A2055" t="str">
        <f>"20200111155539941"</f>
        <v>20200111155539941</v>
      </c>
      <c r="B2055" t="str">
        <f>"1578729339934479"</f>
        <v>1578729339934479</v>
      </c>
      <c r="C2055" t="s">
        <v>37</v>
      </c>
      <c r="D2055">
        <v>5.0267549999999996</v>
      </c>
      <c r="E2055">
        <v>0.56527680000000002</v>
      </c>
      <c r="F2055" t="s">
        <v>63</v>
      </c>
      <c r="G2055">
        <v>-357.63040000000001</v>
      </c>
      <c r="H2055">
        <v>0.50680519999999996</v>
      </c>
      <c r="I2055">
        <v>301.88839999999999</v>
      </c>
      <c r="J2055">
        <v>-249.0813</v>
      </c>
      <c r="K2055">
        <v>1.1049389999999999</v>
      </c>
      <c r="L2055">
        <v>284.68049999999999</v>
      </c>
      <c r="M2055">
        <v>-0.99984399999999996</v>
      </c>
      <c r="N2055">
        <v>0</v>
      </c>
      <c r="O2055">
        <v>-1.0893399999999999E-2</v>
      </c>
      <c r="P2055">
        <v>-0.99989519999999998</v>
      </c>
      <c r="Q2055">
        <v>9.0831149999999895E-4</v>
      </c>
      <c r="R2055">
        <v>-1.4462350000000001E-2</v>
      </c>
      <c r="S2055">
        <v>-3.00766</v>
      </c>
      <c r="T2055">
        <v>-1.653075E-2</v>
      </c>
      <c r="U2055">
        <v>0.47555540000000002</v>
      </c>
      <c r="V2055">
        <v>-3.5695050000000002E-3</v>
      </c>
      <c r="W2055">
        <v>1.4819860000000001E-2</v>
      </c>
      <c r="X2055">
        <v>0.99988379999999999</v>
      </c>
      <c r="Y2055">
        <v>0.1669235</v>
      </c>
      <c r="Z2055">
        <v>5.1540880000000002E-4</v>
      </c>
      <c r="AA2055">
        <v>0.98596969999999995</v>
      </c>
      <c r="AB2055">
        <v>26</v>
      </c>
      <c r="AC2055">
        <v>-108.5491</v>
      </c>
      <c r="AD2055">
        <v>-0.59813379999999905</v>
      </c>
      <c r="AE2055">
        <v>17.207899999999899</v>
      </c>
      <c r="AF2055">
        <v>18.3889171936775</v>
      </c>
      <c r="AG2055">
        <v>-0.59813379999999905</v>
      </c>
      <c r="AH2055">
        <v>108.351978114692</v>
      </c>
      <c r="AI2055">
        <v>90.311827003358701</v>
      </c>
      <c r="AJ2055">
        <v>80.367845995049194</v>
      </c>
      <c r="AK2055">
        <v>109.902962657816</v>
      </c>
    </row>
    <row r="2056" spans="1:37" x14ac:dyDescent="0.2">
      <c r="A2056" t="str">
        <f>"20200111155539954"</f>
        <v>20200111155539954</v>
      </c>
      <c r="B2056" t="str">
        <f>"1578729339944240"</f>
        <v>1578729339944240</v>
      </c>
      <c r="C2056" t="s">
        <v>37</v>
      </c>
      <c r="D2056">
        <v>4.9188799999999997</v>
      </c>
      <c r="E2056">
        <v>0.56516719999999998</v>
      </c>
      <c r="F2056" t="s">
        <v>63</v>
      </c>
      <c r="G2056">
        <v>-357.70909999999998</v>
      </c>
      <c r="H2056">
        <v>0.20674490000000001</v>
      </c>
      <c r="I2056">
        <v>301.88839999999999</v>
      </c>
      <c r="J2056">
        <v>-249.23679999999999</v>
      </c>
      <c r="K2056">
        <v>1.104938</v>
      </c>
      <c r="L2056">
        <v>284.67880000000002</v>
      </c>
      <c r="M2056">
        <v>-0.9998435</v>
      </c>
      <c r="N2056">
        <v>0</v>
      </c>
      <c r="O2056">
        <v>-1.0936070000000001E-2</v>
      </c>
      <c r="P2056">
        <v>-0.99990689999999904</v>
      </c>
      <c r="Q2056">
        <v>-2.1960400000000001E-4</v>
      </c>
      <c r="R2056">
        <v>-1.365356E-2</v>
      </c>
      <c r="S2056">
        <v>-3.0072329999999998</v>
      </c>
      <c r="T2056">
        <v>-2.4863240000000002E-2</v>
      </c>
      <c r="U2056">
        <v>0.47637940000000001</v>
      </c>
      <c r="V2056">
        <v>-2.7180159999999902E-3</v>
      </c>
      <c r="W2056">
        <v>1.369273E-2</v>
      </c>
      <c r="X2056">
        <v>0.99990249999999903</v>
      </c>
      <c r="Y2056">
        <v>0.16724739999999999</v>
      </c>
      <c r="Z2056">
        <v>7.7697240000000004E-4</v>
      </c>
      <c r="AA2056">
        <v>0.98591459999999997</v>
      </c>
      <c r="AB2056">
        <v>26</v>
      </c>
      <c r="AC2056">
        <v>-108.4723</v>
      </c>
      <c r="AD2056">
        <v>-0.89819309999999997</v>
      </c>
      <c r="AE2056">
        <v>17.209599999999899</v>
      </c>
      <c r="AF2056">
        <v>18.393715839883601</v>
      </c>
      <c r="AG2056">
        <v>-0.89819309999999997</v>
      </c>
      <c r="AH2056">
        <v>108.27034717417899</v>
      </c>
      <c r="AI2056">
        <v>90.468591776179096</v>
      </c>
      <c r="AJ2056">
        <v>80.358251808306207</v>
      </c>
      <c r="AK2056">
        <v>109.825332280219</v>
      </c>
    </row>
    <row r="2057" spans="1:37" x14ac:dyDescent="0.2">
      <c r="A2057" t="str">
        <f>"20200111155539974"</f>
        <v>20200111155539974</v>
      </c>
      <c r="B2057" t="str">
        <f>"1578729339964735"</f>
        <v>1578729339964735</v>
      </c>
      <c r="C2057" t="s">
        <v>37</v>
      </c>
      <c r="D2057">
        <v>4.951238</v>
      </c>
      <c r="E2057">
        <v>0.56510749999999998</v>
      </c>
      <c r="F2057" t="s">
        <v>39</v>
      </c>
      <c r="G2057">
        <v>-355.32499999999999</v>
      </c>
      <c r="H2057">
        <v>-0.05</v>
      </c>
      <c r="I2057">
        <v>301.53739999999999</v>
      </c>
      <c r="J2057">
        <v>-249.45760000000001</v>
      </c>
      <c r="K2057">
        <v>1.1049359999999999</v>
      </c>
      <c r="L2057">
        <v>284.67630000000003</v>
      </c>
      <c r="M2057">
        <v>-0.99984289999999998</v>
      </c>
      <c r="N2057">
        <v>0</v>
      </c>
      <c r="O2057">
        <v>-1.099639E-2</v>
      </c>
      <c r="P2057">
        <v>-0.99991919999999901</v>
      </c>
      <c r="Q2057" s="1">
        <v>3.7202610000000003E-5</v>
      </c>
      <c r="R2057">
        <v>-1.2738289999999999E-2</v>
      </c>
      <c r="S2057">
        <v>-3.0067900000000001</v>
      </c>
      <c r="T2057">
        <v>-3.2733680000000001E-2</v>
      </c>
      <c r="U2057">
        <v>0.47781369999999901</v>
      </c>
      <c r="V2057">
        <v>-1.7420179999999999E-3</v>
      </c>
      <c r="W2057">
        <v>1.394924E-2</v>
      </c>
      <c r="X2057">
        <v>0.99990119999999905</v>
      </c>
      <c r="Y2057">
        <v>0.1677836</v>
      </c>
      <c r="Z2057">
        <v>1.0265739999999999E-3</v>
      </c>
      <c r="AA2057">
        <v>0.98582329999999996</v>
      </c>
      <c r="AB2057">
        <v>26</v>
      </c>
      <c r="AC2057">
        <v>-105.86739999999899</v>
      </c>
      <c r="AD2057">
        <v>-1.154936</v>
      </c>
      <c r="AE2057">
        <v>16.861099999999901</v>
      </c>
      <c r="AF2057">
        <v>18.022260261724998</v>
      </c>
      <c r="AG2057">
        <v>-1.154936</v>
      </c>
      <c r="AH2057">
        <v>105.66330451528501</v>
      </c>
      <c r="AI2057">
        <v>90.617323065970396</v>
      </c>
      <c r="AJ2057">
        <v>80.320600839156796</v>
      </c>
      <c r="AK2057">
        <v>107.19547407981101</v>
      </c>
    </row>
    <row r="2058" spans="1:37" x14ac:dyDescent="0.2">
      <c r="A2058" t="str">
        <f>"20200111155539994"</f>
        <v>20200111155539994</v>
      </c>
      <c r="B2058" t="str">
        <f>"1578729339984255"</f>
        <v>1578729339984255</v>
      </c>
      <c r="C2058" t="s">
        <v>37</v>
      </c>
      <c r="D2058">
        <v>4.8697679999999997</v>
      </c>
      <c r="E2058">
        <v>0.56513740000000001</v>
      </c>
      <c r="F2058" t="s">
        <v>39</v>
      </c>
      <c r="G2058">
        <v>-338.73439999999999</v>
      </c>
      <c r="H2058">
        <v>-0.05</v>
      </c>
      <c r="I2058">
        <v>298.92790000000002</v>
      </c>
      <c r="J2058">
        <v>-249.70419999999999</v>
      </c>
      <c r="K2058">
        <v>1.1049359999999999</v>
      </c>
      <c r="L2058">
        <v>284.67349999999999</v>
      </c>
      <c r="M2058">
        <v>-0.99984219999999902</v>
      </c>
      <c r="N2058">
        <v>0</v>
      </c>
      <c r="O2058">
        <v>-1.106385E-2</v>
      </c>
      <c r="P2058">
        <v>-0.99992169999999903</v>
      </c>
      <c r="Q2058">
        <v>-1.7694569999999999E-4</v>
      </c>
      <c r="R2058">
        <v>-1.2523960000000001E-2</v>
      </c>
      <c r="S2058">
        <v>-3.0063629999999999</v>
      </c>
      <c r="T2058">
        <v>-3.8892030000000001E-2</v>
      </c>
      <c r="U2058">
        <v>0.4799194</v>
      </c>
      <c r="V2058">
        <v>-1.4602389999999999E-3</v>
      </c>
      <c r="W2058">
        <v>1.3734690000000001E-2</v>
      </c>
      <c r="X2058">
        <v>0.99990460000000003</v>
      </c>
      <c r="Y2058">
        <v>0.16854089999999999</v>
      </c>
      <c r="Z2058">
        <v>1.225533E-3</v>
      </c>
      <c r="AA2058">
        <v>0.98569390000000001</v>
      </c>
      <c r="AB2058">
        <v>26</v>
      </c>
      <c r="AC2058">
        <v>-89.030199999999994</v>
      </c>
      <c r="AD2058">
        <v>-1.154936</v>
      </c>
      <c r="AE2058">
        <v>14.2544</v>
      </c>
      <c r="AF2058">
        <v>15.2361393960322</v>
      </c>
      <c r="AG2058">
        <v>-1.154936</v>
      </c>
      <c r="AH2058">
        <v>88.852447292181296</v>
      </c>
      <c r="AI2058">
        <v>90.733997204301403</v>
      </c>
      <c r="AJ2058">
        <v>80.269733267703401</v>
      </c>
      <c r="AK2058">
        <v>90.156703636885894</v>
      </c>
    </row>
    <row r="2059" spans="1:37" x14ac:dyDescent="0.2">
      <c r="A2059" t="str">
        <f>"20200111155540008"</f>
        <v>20200111155540008</v>
      </c>
      <c r="B2059" t="str">
        <f>"1578729340004753"</f>
        <v>1578729340004753</v>
      </c>
      <c r="C2059" t="s">
        <v>37</v>
      </c>
      <c r="D2059">
        <v>4.973274</v>
      </c>
      <c r="E2059">
        <v>0.56538949999999999</v>
      </c>
      <c r="F2059" t="s">
        <v>39</v>
      </c>
      <c r="G2059">
        <v>-326.25259999999997</v>
      </c>
      <c r="H2059">
        <v>-0.05</v>
      </c>
      <c r="I2059">
        <v>296.90690000000001</v>
      </c>
      <c r="J2059">
        <v>-249.85339999999999</v>
      </c>
      <c r="K2059">
        <v>1.10493</v>
      </c>
      <c r="L2059">
        <v>284.67180000000002</v>
      </c>
      <c r="M2059">
        <v>-0.99984150000000005</v>
      </c>
      <c r="N2059">
        <v>0</v>
      </c>
      <c r="O2059">
        <v>-1.1104259999999999E-2</v>
      </c>
      <c r="P2059">
        <v>-0.999919</v>
      </c>
      <c r="Q2059">
        <v>-6.1292569999999997E-4</v>
      </c>
      <c r="R2059">
        <v>-1.2719279999999999E-2</v>
      </c>
      <c r="S2059">
        <v>-3.006256</v>
      </c>
      <c r="T2059">
        <v>-4.5357349999999998E-2</v>
      </c>
      <c r="U2059">
        <v>0.48043819999999998</v>
      </c>
      <c r="V2059">
        <v>-1.6152060000000001E-3</v>
      </c>
      <c r="W2059">
        <v>1.329842E-2</v>
      </c>
      <c r="X2059">
        <v>0.99991030000000003</v>
      </c>
      <c r="Y2059">
        <v>0.168746799999999</v>
      </c>
      <c r="Z2059">
        <v>1.431421E-3</v>
      </c>
      <c r="AA2059">
        <v>0.98565840000000005</v>
      </c>
      <c r="AB2059">
        <v>26</v>
      </c>
      <c r="AC2059">
        <v>-76.399199999999894</v>
      </c>
      <c r="AD2059">
        <v>-1.15493</v>
      </c>
      <c r="AE2059">
        <v>12.2350999999999</v>
      </c>
      <c r="AF2059">
        <v>13.079869918755801</v>
      </c>
      <c r="AG2059">
        <v>-1.15493</v>
      </c>
      <c r="AH2059">
        <v>76.241626427302194</v>
      </c>
      <c r="AI2059">
        <v>90.855371950172596</v>
      </c>
      <c r="AJ2059">
        <v>80.265211052637895</v>
      </c>
      <c r="AK2059">
        <v>77.364090253015803</v>
      </c>
    </row>
    <row r="2060" spans="1:37" x14ac:dyDescent="0.2">
      <c r="A2060" t="str">
        <f>"20200111155540021"</f>
        <v>20200111155540021</v>
      </c>
      <c r="B2060" t="str">
        <f>"1578729340014512"</f>
        <v>1578729340014512</v>
      </c>
      <c r="C2060" t="s">
        <v>37</v>
      </c>
      <c r="D2060">
        <v>5.0051160000000001</v>
      </c>
      <c r="E2060">
        <v>0.565465</v>
      </c>
      <c r="F2060" t="s">
        <v>61</v>
      </c>
      <c r="G2060">
        <v>-311.53789999999998</v>
      </c>
      <c r="H2060">
        <v>7.9999920000000002E-2</v>
      </c>
      <c r="I2060">
        <v>294.55880000000002</v>
      </c>
      <c r="J2060">
        <v>-250.00890000000001</v>
      </c>
      <c r="K2060">
        <v>1.1049260000000001</v>
      </c>
      <c r="L2060">
        <v>284.67</v>
      </c>
      <c r="M2060">
        <v>-0.99984110000000004</v>
      </c>
      <c r="N2060">
        <v>0</v>
      </c>
      <c r="O2060">
        <v>-1.114645E-2</v>
      </c>
      <c r="P2060">
        <v>-0.99991319999999995</v>
      </c>
      <c r="Q2060">
        <v>-1.611499E-3</v>
      </c>
      <c r="R2060">
        <v>-1.307264E-2</v>
      </c>
      <c r="S2060">
        <v>-3.0063629999999999</v>
      </c>
      <c r="T2060">
        <v>-4.9952749999999997E-2</v>
      </c>
      <c r="U2060">
        <v>0.48187259999999998</v>
      </c>
      <c r="V2060">
        <v>-1.9265770000000001E-3</v>
      </c>
      <c r="W2060">
        <v>1.2299050000000001E-2</v>
      </c>
      <c r="X2060">
        <v>0.99992250000000005</v>
      </c>
      <c r="Y2060">
        <v>0.169237</v>
      </c>
      <c r="Z2060">
        <v>1.581058E-3</v>
      </c>
      <c r="AA2060">
        <v>0.98557410000000001</v>
      </c>
      <c r="AB2060">
        <v>26</v>
      </c>
      <c r="AC2060">
        <v>-61.528999999999897</v>
      </c>
      <c r="AD2060">
        <v>-1.02492608</v>
      </c>
      <c r="AE2060">
        <v>9.8887999999999998</v>
      </c>
      <c r="AF2060">
        <v>10.5712224483671</v>
      </c>
      <c r="AG2060">
        <v>-1.02492608</v>
      </c>
      <c r="AH2060">
        <v>61.398333589487699</v>
      </c>
      <c r="AI2060">
        <v>90.942488078537806</v>
      </c>
      <c r="AJ2060">
        <v>80.2309126627175</v>
      </c>
      <c r="AK2060">
        <v>62.310164380206302</v>
      </c>
    </row>
    <row r="2061" spans="1:37" x14ac:dyDescent="0.2">
      <c r="A2061" t="str">
        <f>"20200111155540041"</f>
        <v>20200111155540041</v>
      </c>
      <c r="B2061" t="str">
        <f>"1578729340034538"</f>
        <v>1578729340034538</v>
      </c>
      <c r="C2061" t="s">
        <v>37</v>
      </c>
      <c r="D2061">
        <v>5.0300070000000003</v>
      </c>
      <c r="E2061">
        <v>0.56536569999999997</v>
      </c>
      <c r="F2061" t="s">
        <v>61</v>
      </c>
      <c r="G2061">
        <v>-309.957999999999</v>
      </c>
      <c r="H2061">
        <v>1.5796229999999901E-3</v>
      </c>
      <c r="I2061">
        <v>294.27069999999998</v>
      </c>
      <c r="J2061">
        <v>-250.22989999999999</v>
      </c>
      <c r="K2061">
        <v>1.1049180000000001</v>
      </c>
      <c r="L2061">
        <v>284.66750000000002</v>
      </c>
      <c r="M2061">
        <v>-0.99984050000000002</v>
      </c>
      <c r="N2061">
        <v>0</v>
      </c>
      <c r="O2061">
        <v>-1.1206280000000001E-2</v>
      </c>
      <c r="P2061">
        <v>-0.99989649999999997</v>
      </c>
      <c r="Q2061">
        <v>-3.8691070000000001E-3</v>
      </c>
      <c r="R2061">
        <v>-1.3862930000000001E-2</v>
      </c>
      <c r="S2061">
        <v>-3.0064700000000002</v>
      </c>
      <c r="T2061">
        <v>-5.5333260000000002E-2</v>
      </c>
      <c r="U2061">
        <v>0.48147579999999901</v>
      </c>
      <c r="V2061">
        <v>-2.6566250000000001E-3</v>
      </c>
      <c r="W2061">
        <v>1.004089E-2</v>
      </c>
      <c r="X2061">
        <v>0.99994609999999995</v>
      </c>
      <c r="Y2061">
        <v>0.16915829999999901</v>
      </c>
      <c r="Z2061">
        <v>1.7516610000000001E-3</v>
      </c>
      <c r="AA2061">
        <v>0.9855874</v>
      </c>
      <c r="AB2061">
        <v>26</v>
      </c>
      <c r="AC2061">
        <v>-59.728099999999898</v>
      </c>
      <c r="AD2061">
        <v>-1.103338377</v>
      </c>
      <c r="AE2061">
        <v>9.6031999999999496</v>
      </c>
      <c r="AF2061">
        <v>10.268575670350099</v>
      </c>
      <c r="AG2061">
        <v>-1.103338377</v>
      </c>
      <c r="AH2061">
        <v>59.596897878099902</v>
      </c>
      <c r="AI2061">
        <v>91.045217829977204</v>
      </c>
      <c r="AJ2061">
        <v>80.223896570515095</v>
      </c>
      <c r="AK2061">
        <v>60.485132376184303</v>
      </c>
    </row>
    <row r="2062" spans="1:37" x14ac:dyDescent="0.2">
      <c r="A2062" t="str">
        <f>"20200111155540056"</f>
        <v>20200111155540056</v>
      </c>
      <c r="B2062" t="str">
        <f>"1578729340044300"</f>
        <v>1578729340044300</v>
      </c>
      <c r="C2062" t="s">
        <v>37</v>
      </c>
      <c r="D2062">
        <v>5.1540169999999996</v>
      </c>
      <c r="E2062">
        <v>0.56522819999999996</v>
      </c>
      <c r="F2062" t="s">
        <v>61</v>
      </c>
      <c r="G2062">
        <v>-300.3655</v>
      </c>
      <c r="H2062" s="1">
        <v>2.39488E-6</v>
      </c>
      <c r="I2062">
        <v>292.63690000000003</v>
      </c>
      <c r="J2062">
        <v>-250.40559999999999</v>
      </c>
      <c r="K2062">
        <v>1.1049149999999901</v>
      </c>
      <c r="L2062">
        <v>284.66550000000001</v>
      </c>
      <c r="M2062">
        <v>-0.999839899999999</v>
      </c>
      <c r="N2062">
        <v>0</v>
      </c>
      <c r="O2062">
        <v>-1.125336E-2</v>
      </c>
      <c r="P2062">
        <v>-0.99988909999999998</v>
      </c>
      <c r="Q2062">
        <v>-4.6125179999999899E-3</v>
      </c>
      <c r="R2062">
        <v>-1.4154369999999999E-2</v>
      </c>
      <c r="S2062">
        <v>-3.0066830000000002</v>
      </c>
      <c r="T2062">
        <v>-6.6262959999999996E-2</v>
      </c>
      <c r="U2062">
        <v>0.47793580000000002</v>
      </c>
      <c r="V2062">
        <v>-2.9012500000000002E-3</v>
      </c>
      <c r="W2062">
        <v>9.297062E-3</v>
      </c>
      <c r="X2062">
        <v>0.99995259999999997</v>
      </c>
      <c r="Y2062">
        <v>0.16804929999999901</v>
      </c>
      <c r="Z2062">
        <v>2.086517E-3</v>
      </c>
      <c r="AA2062">
        <v>0.9857764</v>
      </c>
      <c r="AB2062">
        <v>26</v>
      </c>
      <c r="AC2062">
        <v>-49.959899999999998</v>
      </c>
      <c r="AD2062">
        <v>-1.10491260511999</v>
      </c>
      <c r="AE2062">
        <v>7.9714000000000098</v>
      </c>
      <c r="AF2062">
        <v>8.5290981385538593</v>
      </c>
      <c r="AG2062">
        <v>-1.10491260511999</v>
      </c>
      <c r="AH2062">
        <v>49.843248218673502</v>
      </c>
      <c r="AI2062">
        <v>91.251722434672104</v>
      </c>
      <c r="AJ2062">
        <v>80.289685099903906</v>
      </c>
      <c r="AK2062">
        <v>50.579795767779999</v>
      </c>
    </row>
    <row r="2063" spans="1:37" x14ac:dyDescent="0.2">
      <c r="A2063" t="str">
        <f>"20200111155540074"</f>
        <v>20200111155540074</v>
      </c>
      <c r="B2063" t="str">
        <f>"1578729340064795"</f>
        <v>1578729340064795</v>
      </c>
      <c r="C2063" t="s">
        <v>37</v>
      </c>
      <c r="D2063">
        <v>4.9564089999999998</v>
      </c>
      <c r="E2063">
        <v>0.56538129999999998</v>
      </c>
      <c r="F2063" t="s">
        <v>61</v>
      </c>
      <c r="G2063">
        <v>-298.28280000000001</v>
      </c>
      <c r="H2063" s="1">
        <v>2.4575019999999998E-6</v>
      </c>
      <c r="I2063">
        <v>292.2441</v>
      </c>
      <c r="J2063">
        <v>-250.61179999999999</v>
      </c>
      <c r="K2063">
        <v>1.104914</v>
      </c>
      <c r="L2063">
        <v>284.66309999999999</v>
      </c>
      <c r="M2063">
        <v>-0.99983929999999999</v>
      </c>
      <c r="N2063">
        <v>0</v>
      </c>
      <c r="O2063">
        <v>-1.13083E-2</v>
      </c>
      <c r="P2063">
        <v>-0.99986640000000004</v>
      </c>
      <c r="Q2063">
        <v>-4.923569E-3</v>
      </c>
      <c r="R2063">
        <v>-1.5588940000000001E-2</v>
      </c>
      <c r="S2063">
        <v>-3.0067599999999999</v>
      </c>
      <c r="T2063">
        <v>-6.9390179999999996E-2</v>
      </c>
      <c r="U2063">
        <v>0.47595209999999999</v>
      </c>
      <c r="V2063">
        <v>-4.28068299999999E-3</v>
      </c>
      <c r="W2063">
        <v>8.9847460000000001E-3</v>
      </c>
      <c r="X2063">
        <v>0.99995049999999996</v>
      </c>
      <c r="Y2063">
        <v>0.1674612</v>
      </c>
      <c r="Z2063">
        <v>2.179538E-3</v>
      </c>
      <c r="AA2063">
        <v>0.98587630000000004</v>
      </c>
      <c r="AB2063">
        <v>26</v>
      </c>
      <c r="AC2063">
        <v>-47.670999999999999</v>
      </c>
      <c r="AD2063">
        <v>-1.1049115424980001</v>
      </c>
      <c r="AE2063">
        <v>7.5810000000000102</v>
      </c>
      <c r="AF2063">
        <v>8.11539314367106</v>
      </c>
      <c r="AG2063">
        <v>-1.1049115424980001</v>
      </c>
      <c r="AH2063">
        <v>47.557296545909999</v>
      </c>
      <c r="AI2063">
        <v>91.311970754969806</v>
      </c>
      <c r="AJ2063">
        <v>80.316066194861705</v>
      </c>
      <c r="AK2063">
        <v>48.257402438887098</v>
      </c>
    </row>
    <row r="2064" spans="1:37" x14ac:dyDescent="0.2">
      <c r="A2064" t="str">
        <f>"20200111155540097"</f>
        <v>20200111155540097</v>
      </c>
      <c r="B2064" t="str">
        <f>"1578729340084314"</f>
        <v>1578729340084314</v>
      </c>
      <c r="C2064" t="s">
        <v>37</v>
      </c>
      <c r="D2064">
        <v>4.9625870000000001</v>
      </c>
      <c r="E2064">
        <v>0.56530509999999901</v>
      </c>
      <c r="F2064" t="s">
        <v>61</v>
      </c>
      <c r="G2064">
        <v>-296.57819999999998</v>
      </c>
      <c r="H2064" s="1">
        <v>2.431127E-6</v>
      </c>
      <c r="I2064">
        <v>291.89109999999999</v>
      </c>
      <c r="J2064">
        <v>-250.8604</v>
      </c>
      <c r="K2064">
        <v>1.1049180000000001</v>
      </c>
      <c r="L2064">
        <v>284.66019999999997</v>
      </c>
      <c r="M2064">
        <v>-0.99983860000000002</v>
      </c>
      <c r="N2064">
        <v>0</v>
      </c>
      <c r="O2064">
        <v>-1.137444E-2</v>
      </c>
      <c r="P2064">
        <v>-0.99984589999999995</v>
      </c>
      <c r="Q2064">
        <v>-4.3270100000000001E-3</v>
      </c>
      <c r="R2064">
        <v>-1.701068E-2</v>
      </c>
      <c r="S2064">
        <v>-3.0074160000000001</v>
      </c>
      <c r="T2064">
        <v>-7.2290300000000002E-2</v>
      </c>
      <c r="U2064">
        <v>0.4729004</v>
      </c>
      <c r="V2064">
        <v>-5.6367049999999997E-3</v>
      </c>
      <c r="W2064">
        <v>9.5798129999999995E-3</v>
      </c>
      <c r="X2064">
        <v>0.9999382</v>
      </c>
      <c r="Y2064">
        <v>0.166513299999999</v>
      </c>
      <c r="Z2064">
        <v>2.2605529999999898E-3</v>
      </c>
      <c r="AA2064">
        <v>0.98603660000000004</v>
      </c>
      <c r="AB2064">
        <v>26</v>
      </c>
      <c r="AC2064">
        <v>-45.717799999999897</v>
      </c>
      <c r="AD2064">
        <v>-1.1049155688729999</v>
      </c>
      <c r="AE2064">
        <v>7.2309000000000099</v>
      </c>
      <c r="AF2064">
        <v>7.7460827307915503</v>
      </c>
      <c r="AG2064">
        <v>-1.1049155688729999</v>
      </c>
      <c r="AH2064">
        <v>45.606597797156702</v>
      </c>
      <c r="AI2064">
        <v>91.368251614278805</v>
      </c>
      <c r="AJ2064">
        <v>80.360549514696601</v>
      </c>
      <c r="AK2064">
        <v>46.272933759577299</v>
      </c>
    </row>
    <row r="2065" spans="1:37" x14ac:dyDescent="0.2">
      <c r="A2065" t="str">
        <f>"20200111155540109"</f>
        <v>20200111155540109</v>
      </c>
      <c r="B2065" t="str">
        <f>"1578729340104811"</f>
        <v>1578729340104811</v>
      </c>
      <c r="C2065" t="s">
        <v>37</v>
      </c>
      <c r="D2065">
        <v>5.14499</v>
      </c>
      <c r="E2065">
        <v>0.56570880000000001</v>
      </c>
      <c r="F2065" t="s">
        <v>61</v>
      </c>
      <c r="G2065">
        <v>-296.50540000000001</v>
      </c>
      <c r="H2065" s="1">
        <v>2.4708440000000001E-6</v>
      </c>
      <c r="I2065">
        <v>291.7604</v>
      </c>
      <c r="J2065">
        <v>-251.01580000000001</v>
      </c>
      <c r="K2065">
        <v>1.1049209999999901</v>
      </c>
      <c r="L2065">
        <v>284.65839999999997</v>
      </c>
      <c r="M2065">
        <v>-0.99983820000000001</v>
      </c>
      <c r="N2065">
        <v>0</v>
      </c>
      <c r="O2065">
        <v>-1.141579E-2</v>
      </c>
      <c r="P2065">
        <v>-0.99983639999999996</v>
      </c>
      <c r="Q2065">
        <v>-3.7265200000000001E-3</v>
      </c>
      <c r="R2065">
        <v>-1.7698869999999998E-2</v>
      </c>
      <c r="S2065">
        <v>-3.0081180000000001</v>
      </c>
      <c r="T2065">
        <v>-7.2816610000000004E-2</v>
      </c>
      <c r="U2065">
        <v>0.46792600000000001</v>
      </c>
      <c r="V2065">
        <v>-6.2836940000000003E-3</v>
      </c>
      <c r="W2065">
        <v>1.017917E-2</v>
      </c>
      <c r="X2065">
        <v>0.9999285</v>
      </c>
      <c r="Y2065">
        <v>0.16492670000000001</v>
      </c>
      <c r="Z2065">
        <v>2.2586780000000001E-3</v>
      </c>
      <c r="AA2065">
        <v>0.98630329999999999</v>
      </c>
      <c r="AB2065">
        <v>26</v>
      </c>
      <c r="AC2065">
        <v>-45.489600000000003</v>
      </c>
      <c r="AD2065">
        <v>-1.10491852915599</v>
      </c>
      <c r="AE2065">
        <v>7.1020000000000296</v>
      </c>
      <c r="AF2065">
        <v>7.6165003848479804</v>
      </c>
      <c r="AG2065">
        <v>-1.10491852915599</v>
      </c>
      <c r="AH2065">
        <v>45.379416610598803</v>
      </c>
      <c r="AI2065">
        <v>91.375555062834493</v>
      </c>
      <c r="AJ2065">
        <v>80.472256706933095</v>
      </c>
      <c r="AK2065">
        <v>46.027419816743503</v>
      </c>
    </row>
    <row r="2066" spans="1:37" x14ac:dyDescent="0.2">
      <c r="A2066" t="str">
        <f>"20200111155540123"</f>
        <v>20200111155540123</v>
      </c>
      <c r="B2066" t="str">
        <f>"1578729340114571"</f>
        <v>1578729340114571</v>
      </c>
      <c r="C2066" t="s">
        <v>37</v>
      </c>
      <c r="D2066">
        <v>5.1230440000000002</v>
      </c>
      <c r="E2066">
        <v>0.56572709999999904</v>
      </c>
      <c r="F2066" t="s">
        <v>61</v>
      </c>
      <c r="G2066">
        <v>-297.59390000000002</v>
      </c>
      <c r="H2066" s="1">
        <v>2.5113769999999998E-6</v>
      </c>
      <c r="I2066">
        <v>291.91890000000001</v>
      </c>
      <c r="J2066">
        <v>-251.18029999999999</v>
      </c>
      <c r="K2066">
        <v>1.104922</v>
      </c>
      <c r="L2066">
        <v>284.65640000000002</v>
      </c>
      <c r="M2066">
        <v>-0.99983759999999999</v>
      </c>
      <c r="N2066">
        <v>0</v>
      </c>
      <c r="O2066">
        <v>-1.145929E-2</v>
      </c>
      <c r="P2066">
        <v>-0.99982780000000004</v>
      </c>
      <c r="Q2066">
        <v>-3.1069719999999999E-3</v>
      </c>
      <c r="R2066">
        <v>-1.829484E-2</v>
      </c>
      <c r="S2066">
        <v>-3.0085139999999999</v>
      </c>
      <c r="T2066">
        <v>-7.13675E-2</v>
      </c>
      <c r="U2066">
        <v>0.46896359999999898</v>
      </c>
      <c r="V2066">
        <v>-6.8357879999999998E-3</v>
      </c>
      <c r="W2066">
        <v>1.0797589999999999E-2</v>
      </c>
      <c r="X2066">
        <v>0.99991830000000004</v>
      </c>
      <c r="Y2066">
        <v>0.16528380000000001</v>
      </c>
      <c r="Z2066">
        <v>2.2186319999999999E-3</v>
      </c>
      <c r="AA2066">
        <v>0.98624349999999905</v>
      </c>
      <c r="AB2066">
        <v>26</v>
      </c>
      <c r="AC2066">
        <v>-46.413600000000002</v>
      </c>
      <c r="AD2066">
        <v>-1.104919488623</v>
      </c>
      <c r="AE2066">
        <v>7.2624999999999797</v>
      </c>
      <c r="AF2066">
        <v>7.7896323500287599</v>
      </c>
      <c r="AG2066">
        <v>-1.104919488623</v>
      </c>
      <c r="AH2066">
        <v>46.301707630019898</v>
      </c>
      <c r="AI2066">
        <v>91.348079342910694</v>
      </c>
      <c r="AJ2066">
        <v>80.450192128506401</v>
      </c>
      <c r="AK2066">
        <v>46.965384579292</v>
      </c>
    </row>
    <row r="2067" spans="1:37" x14ac:dyDescent="0.2">
      <c r="A2067" t="str">
        <f>"20200111155540141"</f>
        <v>20200111155540141</v>
      </c>
      <c r="B2067" t="str">
        <f>"1578729340134598"</f>
        <v>1578729340134598</v>
      </c>
      <c r="C2067" t="s">
        <v>37</v>
      </c>
      <c r="D2067">
        <v>5.1862599999999999</v>
      </c>
      <c r="E2067">
        <v>0.5660927</v>
      </c>
      <c r="F2067" t="s">
        <v>61</v>
      </c>
      <c r="G2067">
        <v>-298.36309999999997</v>
      </c>
      <c r="H2067" s="1">
        <v>2.5565590000000001E-6</v>
      </c>
      <c r="I2067">
        <v>291.98410000000001</v>
      </c>
      <c r="J2067">
        <v>-251.3777</v>
      </c>
      <c r="K2067">
        <v>1.1049260000000001</v>
      </c>
      <c r="L2067">
        <v>284.65410000000003</v>
      </c>
      <c r="M2067">
        <v>-0.99983699999999998</v>
      </c>
      <c r="N2067">
        <v>0</v>
      </c>
      <c r="O2067">
        <v>-1.1511840000000001E-2</v>
      </c>
      <c r="P2067">
        <v>-0.99980530000000001</v>
      </c>
      <c r="Q2067">
        <v>-2.6744999999999998E-3</v>
      </c>
      <c r="R2067">
        <v>-1.9554579999999998E-2</v>
      </c>
      <c r="S2067">
        <v>-3.0088499999999998</v>
      </c>
      <c r="T2067">
        <v>-7.0460800000000004E-2</v>
      </c>
      <c r="U2067">
        <v>0.46728520000000001</v>
      </c>
      <c r="V2067">
        <v>-8.0434749999999996E-3</v>
      </c>
      <c r="W2067">
        <v>1.1228149999999999E-2</v>
      </c>
      <c r="X2067">
        <v>0.99990460000000003</v>
      </c>
      <c r="Y2067">
        <v>0.16478309999999999</v>
      </c>
      <c r="Z2067">
        <v>2.1857000000000001E-3</v>
      </c>
      <c r="AA2067">
        <v>0.98632739999999997</v>
      </c>
      <c r="AB2067">
        <v>26</v>
      </c>
      <c r="AC2067">
        <v>-46.985399999999899</v>
      </c>
      <c r="AD2067">
        <v>-1.104923443441</v>
      </c>
      <c r="AE2067">
        <v>7.3299999999999796</v>
      </c>
      <c r="AF2067">
        <v>7.8662081380261197</v>
      </c>
      <c r="AG2067">
        <v>-1.104923443441</v>
      </c>
      <c r="AH2067">
        <v>46.872590572457199</v>
      </c>
      <c r="AI2067">
        <v>91.331761527031702</v>
      </c>
      <c r="AJ2067">
        <v>80.473335255428097</v>
      </c>
      <c r="AK2067">
        <v>47.5409069461219</v>
      </c>
    </row>
    <row r="2068" spans="1:37" x14ac:dyDescent="0.2">
      <c r="A2068" t="str">
        <f>"20200111155540163"</f>
        <v>20200111155540163</v>
      </c>
      <c r="B2068" t="str">
        <f>"1578729340154117"</f>
        <v>1578729340154117</v>
      </c>
      <c r="C2068" t="s">
        <v>37</v>
      </c>
      <c r="D2068">
        <v>5.2842849999999997</v>
      </c>
      <c r="E2068">
        <v>0.56637590000000004</v>
      </c>
      <c r="F2068" t="s">
        <v>61</v>
      </c>
      <c r="G2068">
        <v>-298.61590000000001</v>
      </c>
      <c r="H2068" s="1">
        <v>2.5823970000000002E-6</v>
      </c>
      <c r="I2068">
        <v>291.9744</v>
      </c>
      <c r="J2068">
        <v>-251.63380000000001</v>
      </c>
      <c r="K2068">
        <v>1.1049329999999999</v>
      </c>
      <c r="L2068">
        <v>284.65109999999999</v>
      </c>
      <c r="M2068">
        <v>-0.99983630000000001</v>
      </c>
      <c r="N2068">
        <v>0</v>
      </c>
      <c r="O2068">
        <v>-1.1579290000000001E-2</v>
      </c>
      <c r="P2068">
        <v>-0.99980530000000001</v>
      </c>
      <c r="Q2068">
        <v>-2.0240079999999999E-3</v>
      </c>
      <c r="R2068">
        <v>-1.9628960000000001E-2</v>
      </c>
      <c r="S2068">
        <v>-3.009506</v>
      </c>
      <c r="T2068">
        <v>-7.0393799999999895E-2</v>
      </c>
      <c r="U2068">
        <v>0.4663696</v>
      </c>
      <c r="V2068">
        <v>-8.0505650000000008E-3</v>
      </c>
      <c r="W2068">
        <v>1.1876609999999999E-2</v>
      </c>
      <c r="X2068">
        <v>0.99989709999999998</v>
      </c>
      <c r="Y2068">
        <v>0.16452420000000001</v>
      </c>
      <c r="Z2068">
        <v>2.1817619999999999E-3</v>
      </c>
      <c r="AA2068">
        <v>0.98637059999999999</v>
      </c>
      <c r="AB2068">
        <v>25</v>
      </c>
      <c r="AC2068">
        <v>-46.982100000000003</v>
      </c>
      <c r="AD2068">
        <v>-1.1049304176029999</v>
      </c>
      <c r="AE2068">
        <v>7.3233000000000104</v>
      </c>
      <c r="AF2068">
        <v>7.86263520004659</v>
      </c>
      <c r="AG2068">
        <v>-1.1049304176029999</v>
      </c>
      <c r="AH2068">
        <v>46.868834473214797</v>
      </c>
      <c r="AI2068">
        <v>91.331890261917394</v>
      </c>
      <c r="AJ2068">
        <v>80.476833979143706</v>
      </c>
      <c r="AK2068">
        <v>47.536612714773497</v>
      </c>
    </row>
    <row r="2069" spans="1:37" x14ac:dyDescent="0.2">
      <c r="A2069" t="str">
        <f>"20200111155540186"</f>
        <v>20200111155540186</v>
      </c>
      <c r="B2069" t="str">
        <f>"1578729340174614"</f>
        <v>1578729340174614</v>
      </c>
      <c r="C2069" t="s">
        <v>37</v>
      </c>
      <c r="D2069">
        <v>4.9962039999999996</v>
      </c>
      <c r="E2069">
        <v>0.56667449999999997</v>
      </c>
      <c r="F2069" t="s">
        <v>61</v>
      </c>
      <c r="G2069">
        <v>-302.21199999999999</v>
      </c>
      <c r="H2069" s="1">
        <v>2.1063909999999998E-6</v>
      </c>
      <c r="I2069">
        <v>292.5265</v>
      </c>
      <c r="J2069">
        <v>-251.88159999999999</v>
      </c>
      <c r="K2069">
        <v>1.10493</v>
      </c>
      <c r="L2069">
        <v>284.6481</v>
      </c>
      <c r="M2069">
        <v>-0.99983569999999999</v>
      </c>
      <c r="N2069">
        <v>0</v>
      </c>
      <c r="O2069">
        <v>-1.1644359999999999E-2</v>
      </c>
      <c r="P2069">
        <v>-0.9998068</v>
      </c>
      <c r="Q2069">
        <v>-1.8095489999999999E-3</v>
      </c>
      <c r="R2069">
        <v>-1.9583529999999998E-2</v>
      </c>
      <c r="S2069">
        <v>-3.009674</v>
      </c>
      <c r="T2069">
        <v>-6.5749290000000002E-2</v>
      </c>
      <c r="U2069">
        <v>0.46862789999999999</v>
      </c>
      <c r="V2069">
        <v>-7.9399309999999904E-3</v>
      </c>
      <c r="W2069">
        <v>1.208878E-2</v>
      </c>
      <c r="X2069">
        <v>0.99989539999999999</v>
      </c>
      <c r="Y2069">
        <v>0.1653085</v>
      </c>
      <c r="Z2069">
        <v>2.0475459999999999E-3</v>
      </c>
      <c r="AA2069">
        <v>0.9862398</v>
      </c>
      <c r="AB2069">
        <v>25</v>
      </c>
      <c r="AC2069">
        <v>-50.330399999999997</v>
      </c>
      <c r="AD2069">
        <v>-1.1049278936089999</v>
      </c>
      <c r="AE2069">
        <v>7.8783999999999903</v>
      </c>
      <c r="AF2069">
        <v>8.4600077810287608</v>
      </c>
      <c r="AG2069">
        <v>-1.1049278936089999</v>
      </c>
      <c r="AH2069">
        <v>50.211618273822403</v>
      </c>
      <c r="AI2069">
        <v>91.243099016749994</v>
      </c>
      <c r="AJ2069">
        <v>80.436226110764295</v>
      </c>
      <c r="AK2069">
        <v>50.931318527809502</v>
      </c>
    </row>
    <row r="2070" spans="1:37" x14ac:dyDescent="0.2">
      <c r="A2070" t="str">
        <f>"20200111155540201"</f>
        <v>20200111155540201</v>
      </c>
      <c r="B2070" t="str">
        <f>"1578729340194133"</f>
        <v>1578729340194133</v>
      </c>
      <c r="C2070" t="s">
        <v>37</v>
      </c>
      <c r="D2070">
        <v>5.0730919999999999</v>
      </c>
      <c r="E2070">
        <v>0.56707079999999999</v>
      </c>
      <c r="F2070" t="s">
        <v>61</v>
      </c>
      <c r="G2070">
        <v>-304.7466</v>
      </c>
      <c r="H2070" s="1">
        <v>1.640884E-6</v>
      </c>
      <c r="I2070">
        <v>292.92349999999999</v>
      </c>
      <c r="J2070">
        <v>-252.06110000000001</v>
      </c>
      <c r="K2070">
        <v>1.1049290000000001</v>
      </c>
      <c r="L2070">
        <v>284.64599999999899</v>
      </c>
      <c r="M2070">
        <v>-0.99983509999999998</v>
      </c>
      <c r="N2070">
        <v>0</v>
      </c>
      <c r="O2070">
        <v>-1.1691679999999999E-2</v>
      </c>
      <c r="P2070">
        <v>-0.99980979999999997</v>
      </c>
      <c r="Q2070">
        <v>-2.6949809999999999E-3</v>
      </c>
      <c r="R2070">
        <v>-1.9310959999999999E-2</v>
      </c>
      <c r="S2070">
        <v>-3.009674</v>
      </c>
      <c r="T2070">
        <v>-6.2904950000000001E-2</v>
      </c>
      <c r="U2070">
        <v>0.4711304</v>
      </c>
      <c r="V2070">
        <v>-7.6200840000000001E-3</v>
      </c>
      <c r="W2070">
        <v>1.1201930000000001E-2</v>
      </c>
      <c r="X2070">
        <v>0.99990820000000002</v>
      </c>
      <c r="Y2070">
        <v>0.1661589</v>
      </c>
      <c r="Z2070">
        <v>1.9686790000000001E-3</v>
      </c>
      <c r="AA2070">
        <v>0.986096999999999</v>
      </c>
      <c r="AB2070">
        <v>25</v>
      </c>
      <c r="AC2070">
        <v>-52.685499999999898</v>
      </c>
      <c r="AD2070">
        <v>-1.104927359116</v>
      </c>
      <c r="AE2070">
        <v>8.2775000000000301</v>
      </c>
      <c r="AF2070">
        <v>8.8891600648609206</v>
      </c>
      <c r="AG2070">
        <v>-1.104927359116</v>
      </c>
      <c r="AH2070">
        <v>52.562549330468897</v>
      </c>
      <c r="AI2070">
        <v>91.187392942225202</v>
      </c>
      <c r="AJ2070">
        <v>80.401197184300301</v>
      </c>
      <c r="AK2070">
        <v>53.320349054048997</v>
      </c>
    </row>
    <row r="2071" spans="1:37" x14ac:dyDescent="0.2">
      <c r="A2071" t="str">
        <f>"20200111155540220"</f>
        <v>20200111155540220</v>
      </c>
      <c r="B2071" t="str">
        <f>"1578729340214630"</f>
        <v>1578729340214630</v>
      </c>
      <c r="C2071" t="s">
        <v>37</v>
      </c>
      <c r="D2071">
        <v>5.0668049999999996</v>
      </c>
      <c r="E2071">
        <v>0.56729370000000001</v>
      </c>
      <c r="F2071" t="s">
        <v>61</v>
      </c>
      <c r="G2071">
        <v>-302.06119999999999</v>
      </c>
      <c r="H2071" s="1">
        <v>2.1284950000000001E-6</v>
      </c>
      <c r="I2071">
        <v>292.53960000000001</v>
      </c>
      <c r="J2071">
        <v>-252.26589999999999</v>
      </c>
      <c r="K2071">
        <v>1.1049260000000001</v>
      </c>
      <c r="L2071">
        <v>284.64350000000002</v>
      </c>
      <c r="M2071">
        <v>-0.99983449999999996</v>
      </c>
      <c r="N2071">
        <v>0</v>
      </c>
      <c r="O2071">
        <v>-1.174566E-2</v>
      </c>
      <c r="P2071">
        <v>-0.99981489999999995</v>
      </c>
      <c r="Q2071">
        <v>-3.4826100000000001E-3</v>
      </c>
      <c r="R2071">
        <v>-1.89176E-2</v>
      </c>
      <c r="S2071">
        <v>-3.0095669999999899</v>
      </c>
      <c r="T2071">
        <v>-6.6506979999999993E-2</v>
      </c>
      <c r="U2071">
        <v>0.4751282</v>
      </c>
      <c r="V2071">
        <v>-7.1724369999999898E-3</v>
      </c>
      <c r="W2071">
        <v>1.041281E-2</v>
      </c>
      <c r="X2071">
        <v>0.99992009999999898</v>
      </c>
      <c r="Y2071">
        <v>0.1674908</v>
      </c>
      <c r="Z2071">
        <v>2.0970529999999898E-3</v>
      </c>
      <c r="AA2071">
        <v>0.98587139999999995</v>
      </c>
      <c r="AB2071">
        <v>25</v>
      </c>
      <c r="AC2071">
        <v>-49.795299999999997</v>
      </c>
      <c r="AD2071">
        <v>-1.104923871505</v>
      </c>
      <c r="AE2071">
        <v>7.8960999999999899</v>
      </c>
      <c r="AF2071">
        <v>8.4764191846431007</v>
      </c>
      <c r="AG2071">
        <v>-1.104923871505</v>
      </c>
      <c r="AH2071">
        <v>49.675251982748399</v>
      </c>
      <c r="AI2071">
        <v>91.256067503754494</v>
      </c>
      <c r="AJ2071">
        <v>80.316504973765007</v>
      </c>
      <c r="AK2071">
        <v>50.405368746842399</v>
      </c>
    </row>
    <row r="2072" spans="1:37" x14ac:dyDescent="0.2">
      <c r="A2072" t="str">
        <f>"20200111155540242"</f>
        <v>20200111155540242</v>
      </c>
      <c r="B2072" t="str">
        <f>"1578729340234658"</f>
        <v>1578729340234658</v>
      </c>
      <c r="C2072" t="s">
        <v>37</v>
      </c>
      <c r="D2072">
        <v>5.0415529999999897</v>
      </c>
      <c r="E2072">
        <v>0.56761519999999899</v>
      </c>
      <c r="F2072" t="s">
        <v>61</v>
      </c>
      <c r="G2072">
        <v>-299.66570000000002</v>
      </c>
      <c r="H2072" s="1">
        <v>2.6051849999999999E-6</v>
      </c>
      <c r="I2072">
        <v>292.17329999999998</v>
      </c>
      <c r="J2072">
        <v>-252.5187</v>
      </c>
      <c r="K2072">
        <v>1.104924</v>
      </c>
      <c r="L2072">
        <v>284.6404</v>
      </c>
      <c r="M2072">
        <v>-0.99983369999999905</v>
      </c>
      <c r="N2072">
        <v>0</v>
      </c>
      <c r="O2072">
        <v>-1.18123999999999E-2</v>
      </c>
      <c r="P2072">
        <v>-0.99982499999999996</v>
      </c>
      <c r="Q2072">
        <v>-3.515219E-3</v>
      </c>
      <c r="R2072">
        <v>-1.837987E-2</v>
      </c>
      <c r="S2072">
        <v>-3.0093540000000001</v>
      </c>
      <c r="T2072">
        <v>-7.0150260000000006E-2</v>
      </c>
      <c r="U2072">
        <v>0.47805789999999998</v>
      </c>
      <c r="V2072">
        <v>-6.56785599999999E-3</v>
      </c>
      <c r="W2072">
        <v>1.0378E-2</v>
      </c>
      <c r="X2072">
        <v>0.99992459999999905</v>
      </c>
      <c r="Y2072">
        <v>0.1684985</v>
      </c>
      <c r="Z2072">
        <v>2.2251049999999998E-3</v>
      </c>
      <c r="AA2072">
        <v>0.9856994</v>
      </c>
      <c r="AB2072">
        <v>25</v>
      </c>
      <c r="AC2072">
        <v>-47.146999999999998</v>
      </c>
      <c r="AD2072">
        <v>-1.1049213948150001</v>
      </c>
      <c r="AE2072">
        <v>7.5328999999999802</v>
      </c>
      <c r="AF2072">
        <v>8.0850173193287596</v>
      </c>
      <c r="AG2072">
        <v>-1.1049213948150001</v>
      </c>
      <c r="AH2072">
        <v>47.029532677794997</v>
      </c>
      <c r="AI2072">
        <v>91.326420208728607</v>
      </c>
      <c r="AJ2072">
        <v>80.245425670952002</v>
      </c>
      <c r="AK2072">
        <v>47.732224966309197</v>
      </c>
    </row>
    <row r="2073" spans="1:37" x14ac:dyDescent="0.2">
      <c r="A2073" t="str">
        <f>"20200111155540263"</f>
        <v>20200111155540263</v>
      </c>
      <c r="B2073" t="str">
        <f>"1578729340254177"</f>
        <v>1578729340254177</v>
      </c>
      <c r="C2073" t="s">
        <v>37</v>
      </c>
      <c r="D2073">
        <v>5.0014609999999999</v>
      </c>
      <c r="E2073">
        <v>0.56786769999999998</v>
      </c>
      <c r="F2073" t="s">
        <v>61</v>
      </c>
      <c r="G2073">
        <v>-299.20030000000003</v>
      </c>
      <c r="H2073" s="1">
        <v>2.582727E-6</v>
      </c>
      <c r="I2073">
        <v>292.12009999999998</v>
      </c>
      <c r="J2073">
        <v>-252.76249999999999</v>
      </c>
      <c r="K2073">
        <v>1.104919</v>
      </c>
      <c r="L2073">
        <v>284.63749999999999</v>
      </c>
      <c r="M2073">
        <v>-0.99983310000000003</v>
      </c>
      <c r="N2073">
        <v>0</v>
      </c>
      <c r="O2073">
        <v>-1.187711E-2</v>
      </c>
      <c r="P2073">
        <v>-0.99982359999999904</v>
      </c>
      <c r="Q2073">
        <v>-4.052015E-3</v>
      </c>
      <c r="R2073">
        <v>-1.8350140000000001E-2</v>
      </c>
      <c r="S2073">
        <v>-3.0091549999999998</v>
      </c>
      <c r="T2073">
        <v>-7.1224570000000001E-2</v>
      </c>
      <c r="U2073">
        <v>0.4821472</v>
      </c>
      <c r="V2073">
        <v>-6.4734850000000002E-3</v>
      </c>
      <c r="W2073">
        <v>9.8392010000000005E-3</v>
      </c>
      <c r="X2073">
        <v>0.9999306</v>
      </c>
      <c r="Y2073">
        <v>0.16987669999999999</v>
      </c>
      <c r="Z2073">
        <v>2.2768060000000001E-3</v>
      </c>
      <c r="AA2073">
        <v>0.98546270000000002</v>
      </c>
      <c r="AB2073">
        <v>25</v>
      </c>
      <c r="AC2073">
        <v>-46.437800000000003</v>
      </c>
      <c r="AD2073">
        <v>-1.1049164172729999</v>
      </c>
      <c r="AE2073">
        <v>7.4825999999999899</v>
      </c>
      <c r="AF2073">
        <v>8.0292415641427901</v>
      </c>
      <c r="AG2073">
        <v>-1.1049164172729999</v>
      </c>
      <c r="AH2073">
        <v>46.320084093498799</v>
      </c>
      <c r="AI2073">
        <v>91.346400032278396</v>
      </c>
      <c r="AJ2073">
        <v>80.165923278010496</v>
      </c>
      <c r="AK2073">
        <v>47.023821099665199</v>
      </c>
    </row>
    <row r="2074" spans="1:37" x14ac:dyDescent="0.2">
      <c r="A2074" t="str">
        <f>"20200111155540277"</f>
        <v>20200111155540277</v>
      </c>
      <c r="B2074" t="str">
        <f>"1578729340274674"</f>
        <v>1578729340274674</v>
      </c>
      <c r="C2074" t="s">
        <v>37</v>
      </c>
      <c r="D2074">
        <v>5.1224179999999997</v>
      </c>
      <c r="E2074">
        <v>0.5682353</v>
      </c>
      <c r="F2074" t="s">
        <v>61</v>
      </c>
      <c r="G2074">
        <v>-298.16930000000002</v>
      </c>
      <c r="H2074" s="1">
        <v>2.552763E-6</v>
      </c>
      <c r="I2074">
        <v>291.94619999999998</v>
      </c>
      <c r="J2074">
        <v>-252.92349999999999</v>
      </c>
      <c r="K2074">
        <v>1.1049180000000001</v>
      </c>
      <c r="L2074">
        <v>284.63560000000001</v>
      </c>
      <c r="M2074">
        <v>-0.99983250000000001</v>
      </c>
      <c r="N2074">
        <v>0</v>
      </c>
      <c r="O2074">
        <v>-1.191965E-2</v>
      </c>
      <c r="P2074">
        <v>-0.99982359999999904</v>
      </c>
      <c r="Q2074">
        <v>-4.3213499999999998E-3</v>
      </c>
      <c r="R2074">
        <v>-1.827587E-2</v>
      </c>
      <c r="S2074">
        <v>-3.009109</v>
      </c>
      <c r="T2074">
        <v>-7.3222759999999998E-2</v>
      </c>
      <c r="U2074">
        <v>0.48434449999999901</v>
      </c>
      <c r="V2074">
        <v>-6.3566849999999999E-3</v>
      </c>
      <c r="W2074">
        <v>9.5678949999999999E-3</v>
      </c>
      <c r="X2074">
        <v>0.99993399999999999</v>
      </c>
      <c r="Y2074">
        <v>0.1706194</v>
      </c>
      <c r="Z2074">
        <v>2.3505700000000002E-3</v>
      </c>
      <c r="AA2074">
        <v>0.98533419999999905</v>
      </c>
      <c r="AB2074">
        <v>25</v>
      </c>
      <c r="AC2074">
        <v>-45.245800000000003</v>
      </c>
      <c r="AD2074">
        <v>-1.104915447237</v>
      </c>
      <c r="AE2074">
        <v>7.31059999999996</v>
      </c>
      <c r="AF2074">
        <v>7.8448873909863597</v>
      </c>
      <c r="AG2074">
        <v>-1.104915447237</v>
      </c>
      <c r="AH2074">
        <v>45.1292087506068</v>
      </c>
      <c r="AI2074">
        <v>91.381800337310494</v>
      </c>
      <c r="AJ2074">
        <v>80.138716543728194</v>
      </c>
      <c r="AK2074">
        <v>45.819303560602499</v>
      </c>
    </row>
    <row r="2075" spans="1:37" x14ac:dyDescent="0.2">
      <c r="A2075" t="str">
        <f>"20200111155540290"</f>
        <v>20200111155540290</v>
      </c>
      <c r="B2075" t="str">
        <f>"1578729340284434"</f>
        <v>1578729340284434</v>
      </c>
      <c r="C2075" t="s">
        <v>37</v>
      </c>
      <c r="D2075">
        <v>5.1177219999999997</v>
      </c>
      <c r="E2075">
        <v>0.56835139999999995</v>
      </c>
      <c r="F2075" t="s">
        <v>61</v>
      </c>
      <c r="G2075">
        <v>-297.66930000000002</v>
      </c>
      <c r="H2075" s="1">
        <v>2.5310119999999999E-6</v>
      </c>
      <c r="I2075">
        <v>291.88229999999999</v>
      </c>
      <c r="J2075">
        <v>-253.06700000000001</v>
      </c>
      <c r="K2075">
        <v>1.104916</v>
      </c>
      <c r="L2075">
        <v>284.63380000000001</v>
      </c>
      <c r="M2075">
        <v>-0.99983199999999905</v>
      </c>
      <c r="N2075">
        <v>0</v>
      </c>
      <c r="O2075">
        <v>-1.195767E-2</v>
      </c>
      <c r="P2075">
        <v>-0.99982420000000005</v>
      </c>
      <c r="Q2075">
        <v>-4.4105239999999999E-3</v>
      </c>
      <c r="R2075">
        <v>-1.8226550000000001E-2</v>
      </c>
      <c r="S2075">
        <v>-3.009125</v>
      </c>
      <c r="T2075">
        <v>-7.4304819999999994E-2</v>
      </c>
      <c r="U2075">
        <v>0.48733519999999902</v>
      </c>
      <c r="V2075">
        <v>-6.2694329999999996E-3</v>
      </c>
      <c r="W2075">
        <v>9.4777750000000008E-3</v>
      </c>
      <c r="X2075">
        <v>0.99993539999999903</v>
      </c>
      <c r="Y2075">
        <v>0.1716085</v>
      </c>
      <c r="Z2075">
        <v>2.3981620000000001E-3</v>
      </c>
      <c r="AA2075">
        <v>0.98516229999999905</v>
      </c>
      <c r="AB2075">
        <v>25</v>
      </c>
      <c r="AC2075">
        <v>-44.6023</v>
      </c>
      <c r="AD2075">
        <v>-1.104913468988</v>
      </c>
      <c r="AE2075">
        <v>7.2484999999999697</v>
      </c>
      <c r="AF2075">
        <v>7.7767231006815596</v>
      </c>
      <c r="AG2075">
        <v>-1.104913468988</v>
      </c>
      <c r="AH2075">
        <v>44.485829382327502</v>
      </c>
      <c r="AI2075">
        <v>91.401541572334395</v>
      </c>
      <c r="AJ2075">
        <v>80.084123502668604</v>
      </c>
      <c r="AK2075">
        <v>45.173966748473397</v>
      </c>
    </row>
    <row r="2076" spans="1:37" x14ac:dyDescent="0.2">
      <c r="A2076" t="str">
        <f>"20200111155540308"</f>
        <v>20200111155540308</v>
      </c>
      <c r="B2076" t="str">
        <f>"1578729340303955"</f>
        <v>1578729340303955</v>
      </c>
      <c r="C2076" t="s">
        <v>37</v>
      </c>
      <c r="D2076">
        <v>5.0579710000000002</v>
      </c>
      <c r="E2076">
        <v>0.56861830000000002</v>
      </c>
      <c r="F2076" t="s">
        <v>61</v>
      </c>
      <c r="G2076">
        <v>-297.64069999999998</v>
      </c>
      <c r="H2076" s="1">
        <v>2.5332019999999998E-6</v>
      </c>
      <c r="I2076">
        <v>291.8689</v>
      </c>
      <c r="J2076">
        <v>-253.26730000000001</v>
      </c>
      <c r="K2076">
        <v>1.1049180000000001</v>
      </c>
      <c r="L2076">
        <v>284.63130000000001</v>
      </c>
      <c r="M2076">
        <v>-0.99983159999999904</v>
      </c>
      <c r="N2076">
        <v>0</v>
      </c>
      <c r="O2076">
        <v>-1.2010699999999999E-2</v>
      </c>
      <c r="P2076">
        <v>-0.99983060000000001</v>
      </c>
      <c r="Q2076">
        <v>-4.2609550000000003E-3</v>
      </c>
      <c r="R2076">
        <v>-1.7913680000000001E-2</v>
      </c>
      <c r="S2076">
        <v>-3.009125</v>
      </c>
      <c r="T2076">
        <v>-7.4591400000000002E-2</v>
      </c>
      <c r="U2076">
        <v>0.48843379999999997</v>
      </c>
      <c r="V2076">
        <v>-5.9032379999999999E-3</v>
      </c>
      <c r="W2076">
        <v>9.6255890000000004E-3</v>
      </c>
      <c r="X2076">
        <v>0.99993619999999905</v>
      </c>
      <c r="Y2076">
        <v>0.17201069999999999</v>
      </c>
      <c r="Z2076">
        <v>2.4135960000000001E-3</v>
      </c>
      <c r="AA2076">
        <v>0.98509210000000003</v>
      </c>
      <c r="AB2076">
        <v>25</v>
      </c>
      <c r="AC2076">
        <v>-44.373399999999897</v>
      </c>
      <c r="AD2076">
        <v>-1.1049154667979999</v>
      </c>
      <c r="AE2076">
        <v>7.23759999999998</v>
      </c>
      <c r="AF2076">
        <v>7.7653947418196303</v>
      </c>
      <c r="AG2076">
        <v>-1.1049154667979999</v>
      </c>
      <c r="AH2076">
        <v>44.256532395646403</v>
      </c>
      <c r="AI2076">
        <v>91.408647235003201</v>
      </c>
      <c r="AJ2076">
        <v>80.048003287968598</v>
      </c>
      <c r="AK2076">
        <v>44.946221791958799</v>
      </c>
    </row>
    <row r="2077" spans="1:37" x14ac:dyDescent="0.2">
      <c r="A2077" t="str">
        <f>"20200111155540331"</f>
        <v>20200111155540331</v>
      </c>
      <c r="B2077" t="str">
        <f>"1578729340324450"</f>
        <v>1578729340324450</v>
      </c>
      <c r="C2077" t="s">
        <v>37</v>
      </c>
      <c r="D2077">
        <v>5.0640299999999998</v>
      </c>
      <c r="E2077">
        <v>0.56884840000000003</v>
      </c>
      <c r="F2077" t="s">
        <v>61</v>
      </c>
      <c r="G2077">
        <v>-297.73579999999998</v>
      </c>
      <c r="H2077" s="1">
        <v>2.5324920000000001E-6</v>
      </c>
      <c r="I2077">
        <v>291.89479999999998</v>
      </c>
      <c r="J2077">
        <v>-253.52590000000001</v>
      </c>
      <c r="K2077">
        <v>1.104922</v>
      </c>
      <c r="L2077">
        <v>284.62810000000002</v>
      </c>
      <c r="M2077">
        <v>-0.99983069999999896</v>
      </c>
      <c r="N2077">
        <v>0</v>
      </c>
      <c r="O2077">
        <v>-1.20790999999999E-2</v>
      </c>
      <c r="P2077">
        <v>-0.99982739999999903</v>
      </c>
      <c r="Q2077">
        <v>-3.3100690000000001E-3</v>
      </c>
      <c r="R2077">
        <v>-1.8283879999999999E-2</v>
      </c>
      <c r="S2077">
        <v>-3.0089869999999999</v>
      </c>
      <c r="T2077">
        <v>-7.4764849999999994E-2</v>
      </c>
      <c r="U2077">
        <v>0.49148559999999902</v>
      </c>
      <c r="V2077">
        <v>-6.2054739999999999E-3</v>
      </c>
      <c r="W2077">
        <v>1.057349E-2</v>
      </c>
      <c r="X2077">
        <v>0.99992479999999995</v>
      </c>
      <c r="Y2077">
        <v>0.17305770000000001</v>
      </c>
      <c r="Z2077">
        <v>2.4337299999999998E-3</v>
      </c>
      <c r="AA2077">
        <v>0.98490869999999997</v>
      </c>
      <c r="AB2077">
        <v>25</v>
      </c>
      <c r="AC2077">
        <v>-44.209899999999898</v>
      </c>
      <c r="AD2077">
        <v>-1.1049194675080001</v>
      </c>
      <c r="AE2077">
        <v>7.2666999999999504</v>
      </c>
      <c r="AF2077">
        <v>7.7954958091495996</v>
      </c>
      <c r="AG2077">
        <v>-1.1049194675080001</v>
      </c>
      <c r="AH2077">
        <v>44.092073705750401</v>
      </c>
      <c r="AI2077">
        <v>91.413581519604193</v>
      </c>
      <c r="AJ2077">
        <v>79.973695698963297</v>
      </c>
      <c r="AK2077">
        <v>44.789525177361199</v>
      </c>
    </row>
    <row r="2078" spans="1:37" x14ac:dyDescent="0.2">
      <c r="A2078" t="str">
        <f>"20200111155540344"</f>
        <v>20200111155540344</v>
      </c>
      <c r="B2078" t="str">
        <f>"1578729340334210"</f>
        <v>1578729340334210</v>
      </c>
      <c r="C2078" t="s">
        <v>37</v>
      </c>
      <c r="D2078">
        <v>5.1223409999999996</v>
      </c>
      <c r="E2078">
        <v>0.56895410000000002</v>
      </c>
      <c r="F2078" t="s">
        <v>61</v>
      </c>
      <c r="G2078">
        <v>-299.15589999999997</v>
      </c>
      <c r="H2078" s="1">
        <v>2.588851E-6</v>
      </c>
      <c r="I2078">
        <v>292.09160000000003</v>
      </c>
      <c r="J2078">
        <v>-253.67750000000001</v>
      </c>
      <c r="K2078">
        <v>1.1049229999999901</v>
      </c>
      <c r="L2078">
        <v>284.62630000000001</v>
      </c>
      <c r="M2078">
        <v>-0.9998302</v>
      </c>
      <c r="N2078">
        <v>0</v>
      </c>
      <c r="O2078">
        <v>-1.211926E-2</v>
      </c>
      <c r="P2078">
        <v>-0.99982919999999997</v>
      </c>
      <c r="Q2078">
        <v>-2.9403620000000002E-3</v>
      </c>
      <c r="R2078">
        <v>-1.8249029999999999E-2</v>
      </c>
      <c r="S2078">
        <v>-3.0093079999999999</v>
      </c>
      <c r="T2078">
        <v>-7.2869779999999995E-2</v>
      </c>
      <c r="U2078">
        <v>0.49221799999999999</v>
      </c>
      <c r="V2078">
        <v>-6.1301150000000002E-3</v>
      </c>
      <c r="W2078">
        <v>1.0941589999999999E-2</v>
      </c>
      <c r="X2078">
        <v>0.99992130000000001</v>
      </c>
      <c r="Y2078">
        <v>0.17331679999999999</v>
      </c>
      <c r="Z2078">
        <v>2.3758469999999999E-3</v>
      </c>
      <c r="AA2078">
        <v>0.9848633</v>
      </c>
      <c r="AB2078">
        <v>25</v>
      </c>
      <c r="AC2078">
        <v>-45.478399999999901</v>
      </c>
      <c r="AD2078">
        <v>-1.1049204111489901</v>
      </c>
      <c r="AE2078">
        <v>7.4653000000000098</v>
      </c>
      <c r="AF2078">
        <v>8.0113645005031593</v>
      </c>
      <c r="AG2078">
        <v>-1.1049204111489901</v>
      </c>
      <c r="AH2078">
        <v>45.358505429739701</v>
      </c>
      <c r="AI2078">
        <v>91.374171860102294</v>
      </c>
      <c r="AJ2078">
        <v>79.983540338667794</v>
      </c>
      <c r="AK2078">
        <v>46.073819302230902</v>
      </c>
    </row>
    <row r="2079" spans="1:37" x14ac:dyDescent="0.2">
      <c r="A2079" t="str">
        <f>"20200111155540359"</f>
        <v>20200111155540359</v>
      </c>
      <c r="B2079" t="str">
        <f>"1578729340354706"</f>
        <v>1578729340354706</v>
      </c>
      <c r="C2079" t="s">
        <v>37</v>
      </c>
      <c r="D2079">
        <v>5.1332009999999997</v>
      </c>
      <c r="E2079">
        <v>0.56915509999999903</v>
      </c>
      <c r="F2079" t="s">
        <v>61</v>
      </c>
      <c r="G2079">
        <v>-299.70780000000002</v>
      </c>
      <c r="H2079" s="1">
        <v>2.6100430000000001E-6</v>
      </c>
      <c r="I2079">
        <v>292.17009999999999</v>
      </c>
      <c r="J2079">
        <v>-253.83930000000001</v>
      </c>
      <c r="K2079">
        <v>1.1049249999999999</v>
      </c>
      <c r="L2079">
        <v>284.62430000000001</v>
      </c>
      <c r="M2079">
        <v>-0.99982979999999999</v>
      </c>
      <c r="N2079">
        <v>0</v>
      </c>
      <c r="O2079">
        <v>-1.216216E-2</v>
      </c>
      <c r="P2079">
        <v>-0.99982389999999999</v>
      </c>
      <c r="Q2079">
        <v>-3.1133390000000001E-3</v>
      </c>
      <c r="R2079">
        <v>-1.850897E-2</v>
      </c>
      <c r="S2079">
        <v>-3.0093079999999999</v>
      </c>
      <c r="T2079">
        <v>-7.2236060000000005E-2</v>
      </c>
      <c r="U2079">
        <v>0.49319459999999998</v>
      </c>
      <c r="V2079">
        <v>-6.3470710000000001E-3</v>
      </c>
      <c r="W2079">
        <v>1.076708E-2</v>
      </c>
      <c r="X2079">
        <v>0.99992190000000003</v>
      </c>
      <c r="Y2079">
        <v>0.17367109999999999</v>
      </c>
      <c r="Z2079">
        <v>2.3603769999999999E-3</v>
      </c>
      <c r="AA2079">
        <v>0.98480089999999998</v>
      </c>
      <c r="AB2079">
        <v>25</v>
      </c>
      <c r="AC2079">
        <v>-45.868499999999997</v>
      </c>
      <c r="AD2079">
        <v>-1.104922389957</v>
      </c>
      <c r="AE2079">
        <v>7.5457999999999803</v>
      </c>
      <c r="AF2079">
        <v>8.0985799365950104</v>
      </c>
      <c r="AG2079">
        <v>-1.104922389957</v>
      </c>
      <c r="AH2079">
        <v>45.747478112574299</v>
      </c>
      <c r="AI2079">
        <v>91.3624001775854</v>
      </c>
      <c r="AJ2079">
        <v>79.961055973859899</v>
      </c>
      <c r="AK2079">
        <v>46.471922750599703</v>
      </c>
    </row>
    <row r="2080" spans="1:37" x14ac:dyDescent="0.2">
      <c r="A2080" t="str">
        <f>"20200111155540375"</f>
        <v>20200111155540375</v>
      </c>
      <c r="B2080" t="str">
        <f>"1578729340364466"</f>
        <v>1578729340364466</v>
      </c>
      <c r="C2080" t="s">
        <v>37</v>
      </c>
      <c r="D2080">
        <v>5.0129910000000004</v>
      </c>
      <c r="E2080">
        <v>0.56930559999999997</v>
      </c>
      <c r="F2080" t="s">
        <v>61</v>
      </c>
      <c r="G2080">
        <v>-298.90120000000002</v>
      </c>
      <c r="H2080" s="1">
        <v>2.5912009999999899E-6</v>
      </c>
      <c r="I2080">
        <v>292.02109999999999</v>
      </c>
      <c r="J2080">
        <v>-254.017</v>
      </c>
      <c r="K2080">
        <v>1.10493</v>
      </c>
      <c r="L2080">
        <v>284.62200000000001</v>
      </c>
      <c r="M2080">
        <v>-0.99982919999999997</v>
      </c>
      <c r="N2080">
        <v>0</v>
      </c>
      <c r="O2080">
        <v>-1.220923E-2</v>
      </c>
      <c r="P2080">
        <v>-0.99982269999999895</v>
      </c>
      <c r="Q2080">
        <v>-3.4251720000000002E-3</v>
      </c>
      <c r="R2080">
        <v>-1.8516649999999999E-2</v>
      </c>
      <c r="S2080">
        <v>-3.0094150000000002</v>
      </c>
      <c r="T2080">
        <v>-7.3791270000000006E-2</v>
      </c>
      <c r="U2080">
        <v>0.49398799999999998</v>
      </c>
      <c r="V2080">
        <v>-6.3075179999999998E-3</v>
      </c>
      <c r="W2080">
        <v>1.045334E-2</v>
      </c>
      <c r="X2080">
        <v>0.99992549999999902</v>
      </c>
      <c r="Y2080">
        <v>0.17396239999999999</v>
      </c>
      <c r="Z2080">
        <v>2.4157390000000001E-3</v>
      </c>
      <c r="AA2080">
        <v>0.98474930000000005</v>
      </c>
      <c r="AB2080">
        <v>25</v>
      </c>
      <c r="AC2080">
        <v>-44.8842</v>
      </c>
      <c r="AD2080">
        <v>-1.104927408799</v>
      </c>
      <c r="AE2080">
        <v>7.3990999999999696</v>
      </c>
      <c r="AF2080">
        <v>7.9419171153841503</v>
      </c>
      <c r="AG2080">
        <v>-1.104927408799</v>
      </c>
      <c r="AH2080">
        <v>44.7640980360068</v>
      </c>
      <c r="AI2080">
        <v>91.3922310489654</v>
      </c>
      <c r="AJ2080">
        <v>79.939434638730702</v>
      </c>
      <c r="AK2080">
        <v>45.476580621497597</v>
      </c>
    </row>
    <row r="2081" spans="1:37" x14ac:dyDescent="0.2">
      <c r="A2081" t="str">
        <f>"20200111155540388"</f>
        <v>20200111155540388</v>
      </c>
      <c r="B2081" t="str">
        <f>"1578729340383986"</f>
        <v>1578729340383986</v>
      </c>
      <c r="C2081" t="s">
        <v>37</v>
      </c>
      <c r="D2081">
        <v>5.0216449999999897</v>
      </c>
      <c r="E2081">
        <v>0.56964669999999995</v>
      </c>
      <c r="F2081" t="s">
        <v>61</v>
      </c>
      <c r="G2081">
        <v>-298.39080000000001</v>
      </c>
      <c r="H2081" s="1">
        <v>2.58188899999999E-6</v>
      </c>
      <c r="I2081">
        <v>291.91930000000002</v>
      </c>
      <c r="J2081">
        <v>-254.17189999999999</v>
      </c>
      <c r="K2081">
        <v>1.1049309999999899</v>
      </c>
      <c r="L2081">
        <v>284.62009999999998</v>
      </c>
      <c r="M2081">
        <v>-0.99982879999999996</v>
      </c>
      <c r="N2081">
        <v>0</v>
      </c>
      <c r="O2081">
        <v>-1.225011E-2</v>
      </c>
      <c r="P2081">
        <v>-0.99982019999999905</v>
      </c>
      <c r="Q2081">
        <v>-3.4382859999999901E-3</v>
      </c>
      <c r="R2081">
        <v>-1.8651890000000001E-2</v>
      </c>
      <c r="S2081">
        <v>-3.00943</v>
      </c>
      <c r="T2081">
        <v>-7.4936150000000007E-2</v>
      </c>
      <c r="U2081">
        <v>0.4949036</v>
      </c>
      <c r="V2081">
        <v>-6.4019250000000002E-3</v>
      </c>
      <c r="W2081">
        <v>1.043903E-2</v>
      </c>
      <c r="X2081">
        <v>0.99992499999999995</v>
      </c>
      <c r="Y2081">
        <v>0.1742918</v>
      </c>
      <c r="Z2081">
        <v>2.4582189999999898E-3</v>
      </c>
      <c r="AA2081">
        <v>0.98469099999999998</v>
      </c>
      <c r="AB2081">
        <v>25</v>
      </c>
      <c r="AC2081">
        <v>-44.218899999999998</v>
      </c>
      <c r="AD2081">
        <v>-1.104928418111</v>
      </c>
      <c r="AE2081">
        <v>7.2992000000000399</v>
      </c>
      <c r="AF2081">
        <v>7.8356280026640004</v>
      </c>
      <c r="AG2081">
        <v>-1.104928418111</v>
      </c>
      <c r="AH2081">
        <v>44.0993521771628</v>
      </c>
      <c r="AI2081">
        <v>91.413145914969206</v>
      </c>
      <c r="AJ2081">
        <v>79.924763316301394</v>
      </c>
      <c r="AK2081">
        <v>44.803691761402</v>
      </c>
    </row>
    <row r="2082" spans="1:37" x14ac:dyDescent="0.2">
      <c r="A2082" t="str">
        <f>"20200111155540409"</f>
        <v>20200111155540409</v>
      </c>
      <c r="B2082" t="str">
        <f>"1578729340404482"</f>
        <v>1578729340404482</v>
      </c>
      <c r="C2082" t="s">
        <v>37</v>
      </c>
      <c r="D2082">
        <v>5.0683600000000002</v>
      </c>
      <c r="E2082">
        <v>0.56990109999999905</v>
      </c>
      <c r="F2082" t="s">
        <v>61</v>
      </c>
      <c r="G2082">
        <v>-298.40960000000001</v>
      </c>
      <c r="H2082" s="1">
        <v>2.5789319999999899E-6</v>
      </c>
      <c r="I2082">
        <v>291.93239999999997</v>
      </c>
      <c r="J2082">
        <v>-254.40270000000001</v>
      </c>
      <c r="K2082">
        <v>1.104938</v>
      </c>
      <c r="L2082">
        <v>284.61720000000003</v>
      </c>
      <c r="M2082">
        <v>-0.999828099999999</v>
      </c>
      <c r="N2082">
        <v>0</v>
      </c>
      <c r="O2082">
        <v>-1.231148E-2</v>
      </c>
      <c r="P2082">
        <v>-0.9998243</v>
      </c>
      <c r="Q2082">
        <v>-2.85645E-3</v>
      </c>
      <c r="R2082">
        <v>-1.8538619999999999E-2</v>
      </c>
      <c r="S2082">
        <v>-3.0095519999999998</v>
      </c>
      <c r="T2082">
        <v>-7.5169799999999995E-2</v>
      </c>
      <c r="U2082">
        <v>0.49746699999999999</v>
      </c>
      <c r="V2082">
        <v>-6.227855E-3</v>
      </c>
      <c r="W2082">
        <v>1.101835E-2</v>
      </c>
      <c r="X2082">
        <v>0.99991989999999997</v>
      </c>
      <c r="Y2082">
        <v>0.1751616</v>
      </c>
      <c r="Z2082">
        <v>2.4779260000000001E-3</v>
      </c>
      <c r="AA2082">
        <v>0.98453659999999998</v>
      </c>
      <c r="AB2082">
        <v>25</v>
      </c>
      <c r="AC2082">
        <v>-44.006900000000002</v>
      </c>
      <c r="AD2082">
        <v>-1.104935421068</v>
      </c>
      <c r="AE2082">
        <v>7.3151999999999404</v>
      </c>
      <c r="AF2082">
        <v>7.8516708436086198</v>
      </c>
      <c r="AG2082">
        <v>-1.104935421068</v>
      </c>
      <c r="AH2082">
        <v>43.886571341795502</v>
      </c>
      <c r="AI2082">
        <v>91.419702716139497</v>
      </c>
      <c r="AJ2082">
        <v>79.856625880828901</v>
      </c>
      <c r="AK2082">
        <v>44.5970936436402</v>
      </c>
    </row>
    <row r="2083" spans="1:37" x14ac:dyDescent="0.2">
      <c r="A2083" t="str">
        <f>"20200111155540424"</f>
        <v>20200111155540424</v>
      </c>
      <c r="B2083" t="str">
        <f>"1578729340414243"</f>
        <v>1578729340414243</v>
      </c>
      <c r="C2083" t="s">
        <v>37</v>
      </c>
      <c r="D2083">
        <v>5.1491680000000004</v>
      </c>
      <c r="E2083">
        <v>0.57007640000000004</v>
      </c>
      <c r="F2083" t="s">
        <v>61</v>
      </c>
      <c r="G2083">
        <v>-299.25020000000001</v>
      </c>
      <c r="H2083" s="1">
        <v>2.6063809999999998E-6</v>
      </c>
      <c r="I2083">
        <v>292.06569999999999</v>
      </c>
      <c r="J2083">
        <v>-254.56950000000001</v>
      </c>
      <c r="K2083">
        <v>1.104938</v>
      </c>
      <c r="L2083">
        <v>284.61509999999998</v>
      </c>
      <c r="M2083">
        <v>-0.99982760000000004</v>
      </c>
      <c r="N2083">
        <v>0</v>
      </c>
      <c r="O2083">
        <v>-1.235557E-2</v>
      </c>
      <c r="P2083">
        <v>-0.99982329999999997</v>
      </c>
      <c r="Q2083">
        <v>-2.4679020000000001E-3</v>
      </c>
      <c r="R2083">
        <v>-1.864913E-2</v>
      </c>
      <c r="S2083">
        <v>-3.0095830000000001</v>
      </c>
      <c r="T2083">
        <v>-7.4149010000000001E-2</v>
      </c>
      <c r="U2083">
        <v>0.4998474</v>
      </c>
      <c r="V2083">
        <v>-6.2941009999999999E-3</v>
      </c>
      <c r="W2083">
        <v>1.140505E-2</v>
      </c>
      <c r="X2083">
        <v>0.99991509999999995</v>
      </c>
      <c r="Y2083">
        <v>0.1759626</v>
      </c>
      <c r="Z2083">
        <v>2.454983E-3</v>
      </c>
      <c r="AA2083">
        <v>0.98439379999999999</v>
      </c>
      <c r="AB2083">
        <v>25</v>
      </c>
      <c r="AC2083">
        <v>-44.680700000000002</v>
      </c>
      <c r="AD2083">
        <v>-1.1049353936190001</v>
      </c>
      <c r="AE2083">
        <v>7.4505999999999997</v>
      </c>
      <c r="AF2083">
        <v>7.9973812128942097</v>
      </c>
      <c r="AG2083">
        <v>-1.1049353936190001</v>
      </c>
      <c r="AH2083">
        <v>44.558710705234397</v>
      </c>
      <c r="AI2083">
        <v>91.398157302906199</v>
      </c>
      <c r="AJ2083">
        <v>79.824907834665694</v>
      </c>
      <c r="AK2083">
        <v>45.284188059423002</v>
      </c>
    </row>
    <row r="2084" spans="1:37" x14ac:dyDescent="0.2">
      <c r="A2084" t="str">
        <f>"20200111155540444"</f>
        <v>20200111155540444</v>
      </c>
      <c r="B2084" t="str">
        <f>"1578729340434738"</f>
        <v>1578729340434738</v>
      </c>
      <c r="C2084" t="s">
        <v>37</v>
      </c>
      <c r="D2084">
        <v>5.0697619999999999</v>
      </c>
      <c r="E2084">
        <v>0.57024900000000001</v>
      </c>
      <c r="F2084" t="s">
        <v>61</v>
      </c>
      <c r="G2084">
        <v>-300.16379999999998</v>
      </c>
      <c r="H2084" s="1">
        <v>2.5848319999999998E-6</v>
      </c>
      <c r="I2084">
        <v>292.20069999999998</v>
      </c>
      <c r="J2084">
        <v>-254.78659999999999</v>
      </c>
      <c r="K2084">
        <v>1.1049309999999899</v>
      </c>
      <c r="L2084">
        <v>284.6123</v>
      </c>
      <c r="M2084">
        <v>-0.99982680000000002</v>
      </c>
      <c r="N2084">
        <v>0</v>
      </c>
      <c r="O2084">
        <v>-1.241313E-2</v>
      </c>
      <c r="P2084">
        <v>-0.99982709999999997</v>
      </c>
      <c r="Q2084">
        <v>-3.0617679999999999E-3</v>
      </c>
      <c r="R2084">
        <v>-1.8346319999999999E-2</v>
      </c>
      <c r="S2084">
        <v>-3.0097049999999999</v>
      </c>
      <c r="T2084">
        <v>-7.2937370000000001E-2</v>
      </c>
      <c r="U2084">
        <v>0.50073239999999997</v>
      </c>
      <c r="V2084">
        <v>-5.9336819999999896E-3</v>
      </c>
      <c r="W2084">
        <v>1.0809040000000001E-2</v>
      </c>
      <c r="X2084">
        <v>0.99992399999999904</v>
      </c>
      <c r="Y2084">
        <v>0.17629619999999999</v>
      </c>
      <c r="Z2084">
        <v>2.4201229999999902E-3</v>
      </c>
      <c r="AA2084">
        <v>0.98433419999999905</v>
      </c>
      <c r="AB2084">
        <v>25</v>
      </c>
      <c r="AC2084">
        <v>-45.377199999999903</v>
      </c>
      <c r="AD2084">
        <v>-1.1049284151680001</v>
      </c>
      <c r="AE2084">
        <v>7.5883999999999698</v>
      </c>
      <c r="AF2084">
        <v>8.1464437272642005</v>
      </c>
      <c r="AG2084">
        <v>-1.1049284151680001</v>
      </c>
      <c r="AH2084">
        <v>45.253396848240499</v>
      </c>
      <c r="AI2084">
        <v>91.376564693051094</v>
      </c>
      <c r="AJ2084">
        <v>79.795005575890102</v>
      </c>
      <c r="AK2084">
        <v>45.9940793853782</v>
      </c>
    </row>
    <row r="2085" spans="1:37" x14ac:dyDescent="0.2">
      <c r="A2085" t="str">
        <f>"20200111155540458"</f>
        <v>20200111155540458</v>
      </c>
      <c r="B2085" t="str">
        <f>"1578729340454258"</f>
        <v>1578729340454258</v>
      </c>
      <c r="C2085" t="s">
        <v>37</v>
      </c>
      <c r="D2085">
        <v>5.2218159999999996</v>
      </c>
      <c r="E2085">
        <v>0.57032569999999905</v>
      </c>
      <c r="F2085" t="s">
        <v>61</v>
      </c>
      <c r="G2085">
        <v>-298.39400000000001</v>
      </c>
      <c r="H2085" s="1">
        <v>2.5886539999999999E-6</v>
      </c>
      <c r="I2085">
        <v>291.90100000000001</v>
      </c>
      <c r="J2085">
        <v>-254.9479</v>
      </c>
      <c r="K2085">
        <v>1.1049260000000001</v>
      </c>
      <c r="L2085">
        <v>284.6103</v>
      </c>
      <c r="M2085">
        <v>-0.99982629999999995</v>
      </c>
      <c r="N2085">
        <v>0</v>
      </c>
      <c r="O2085">
        <v>-1.245579E-2</v>
      </c>
      <c r="P2085">
        <v>-0.9998224</v>
      </c>
      <c r="Q2085">
        <v>-3.7666279999999902E-3</v>
      </c>
      <c r="R2085">
        <v>-1.8471720000000001E-2</v>
      </c>
      <c r="S2085">
        <v>-3.0095209999999999</v>
      </c>
      <c r="T2085">
        <v>-7.625556E-2</v>
      </c>
      <c r="U2085">
        <v>0.50302119999999995</v>
      </c>
      <c r="V2085">
        <v>-6.0162130000000003E-3</v>
      </c>
      <c r="W2085">
        <v>1.0102399999999999E-2</v>
      </c>
      <c r="X2085">
        <v>0.99993089999999996</v>
      </c>
      <c r="Y2085">
        <v>0.177070899999999</v>
      </c>
      <c r="Z2085">
        <v>2.5410049999999998E-3</v>
      </c>
      <c r="AA2085">
        <v>0.98419480000000004</v>
      </c>
      <c r="AB2085">
        <v>25</v>
      </c>
      <c r="AC2085">
        <v>-43.446100000000001</v>
      </c>
      <c r="AD2085">
        <v>-1.104923411346</v>
      </c>
      <c r="AE2085">
        <v>7.29070000000001</v>
      </c>
      <c r="AF2085">
        <v>7.8264184233742604</v>
      </c>
      <c r="AG2085">
        <v>-1.104923411346</v>
      </c>
      <c r="AH2085">
        <v>43.324654377943403</v>
      </c>
      <c r="AI2085">
        <v>91.437657919175507</v>
      </c>
      <c r="AJ2085">
        <v>79.760187916846405</v>
      </c>
      <c r="AK2085">
        <v>44.039747479418203</v>
      </c>
    </row>
    <row r="2086" spans="1:37" x14ac:dyDescent="0.2">
      <c r="A2086" t="str">
        <f>"20200111155540475"</f>
        <v>20200111155540475</v>
      </c>
      <c r="B2086" t="str">
        <f>"1578729340464018"</f>
        <v>1578729340464018</v>
      </c>
      <c r="C2086" t="s">
        <v>37</v>
      </c>
      <c r="D2086">
        <v>5.1291880000000001</v>
      </c>
      <c r="E2086">
        <v>0.57040259999999998</v>
      </c>
      <c r="F2086" t="s">
        <v>61</v>
      </c>
      <c r="G2086">
        <v>-296.19889999999998</v>
      </c>
      <c r="H2086" s="1">
        <v>2.5328839999999999E-6</v>
      </c>
      <c r="I2086">
        <v>291.50810000000001</v>
      </c>
      <c r="J2086">
        <v>-255.14089999999999</v>
      </c>
      <c r="K2086">
        <v>1.1049229999999901</v>
      </c>
      <c r="L2086">
        <v>284.6078</v>
      </c>
      <c r="M2086">
        <v>-0.99982569999999904</v>
      </c>
      <c r="N2086">
        <v>0</v>
      </c>
      <c r="O2086">
        <v>-1.250715E-2</v>
      </c>
      <c r="P2086">
        <v>-0.9998186</v>
      </c>
      <c r="Q2086">
        <v>-5.5752880000000003E-3</v>
      </c>
      <c r="R2086">
        <v>-1.8226030000000001E-2</v>
      </c>
      <c r="S2086">
        <v>-3.0095209999999999</v>
      </c>
      <c r="T2086">
        <v>-8.0610989999999993E-2</v>
      </c>
      <c r="U2086">
        <v>0.50323490000000004</v>
      </c>
      <c r="V2086">
        <v>-5.7192600000000003E-3</v>
      </c>
      <c r="W2086">
        <v>8.291929E-3</v>
      </c>
      <c r="X2086">
        <v>0.99994930000000004</v>
      </c>
      <c r="Y2086">
        <v>0.17718239999999999</v>
      </c>
      <c r="Z2086">
        <v>2.6889219999999998E-3</v>
      </c>
      <c r="AA2086">
        <v>0.9841744</v>
      </c>
      <c r="AB2086">
        <v>25</v>
      </c>
      <c r="AC2086">
        <v>-41.0579999999999</v>
      </c>
      <c r="AD2086">
        <v>-1.10492046711599</v>
      </c>
      <c r="AE2086">
        <v>6.9003000000000103</v>
      </c>
      <c r="AF2086">
        <v>7.4081103994266302</v>
      </c>
      <c r="AG2086">
        <v>-1.10492046711599</v>
      </c>
      <c r="AH2086">
        <v>40.939641951378</v>
      </c>
      <c r="AI2086">
        <v>91.5212874242808</v>
      </c>
      <c r="AJ2086">
        <v>79.743200874436099</v>
      </c>
      <c r="AK2086">
        <v>41.619169045474401</v>
      </c>
    </row>
    <row r="2087" spans="1:37" x14ac:dyDescent="0.2">
      <c r="A2087" t="str">
        <f>"20200111155540489"</f>
        <v>20200111155540489</v>
      </c>
      <c r="B2087" t="str">
        <f>"1578729340484513"</f>
        <v>1578729340484513</v>
      </c>
      <c r="C2087" t="s">
        <v>37</v>
      </c>
      <c r="D2087">
        <v>5.1051320000000002</v>
      </c>
      <c r="E2087">
        <v>0.57054209999999905</v>
      </c>
      <c r="F2087" t="s">
        <v>61</v>
      </c>
      <c r="G2087">
        <v>-293.40050000000002</v>
      </c>
      <c r="H2087" s="1">
        <v>2.1238170000000002E-6</v>
      </c>
      <c r="I2087">
        <v>291.02460000000002</v>
      </c>
      <c r="J2087">
        <v>-255.29150000000001</v>
      </c>
      <c r="K2087">
        <v>1.104924</v>
      </c>
      <c r="L2087">
        <v>284.60590000000002</v>
      </c>
      <c r="M2087">
        <v>-0.99982519999999997</v>
      </c>
      <c r="N2087">
        <v>0</v>
      </c>
      <c r="O2087">
        <v>-1.254719E-2</v>
      </c>
      <c r="P2087">
        <v>-0.99982469999999901</v>
      </c>
      <c r="Q2087">
        <v>-5.2885349999999996E-3</v>
      </c>
      <c r="R2087">
        <v>-1.7961789999999998E-2</v>
      </c>
      <c r="S2087">
        <v>-3.0092469999999998</v>
      </c>
      <c r="T2087">
        <v>-8.6905720000000006E-2</v>
      </c>
      <c r="U2087">
        <v>0.50469969999999997</v>
      </c>
      <c r="V2087">
        <v>-5.415039E-3</v>
      </c>
      <c r="W2087">
        <v>8.5770669999999903E-3</v>
      </c>
      <c r="X2087">
        <v>0.99994859999999897</v>
      </c>
      <c r="Y2087">
        <v>0.1776914</v>
      </c>
      <c r="Z2087">
        <v>2.9074029999999998E-3</v>
      </c>
      <c r="AA2087">
        <v>0.98408200000000001</v>
      </c>
      <c r="AB2087">
        <v>25</v>
      </c>
      <c r="AC2087">
        <v>-38.109000000000002</v>
      </c>
      <c r="AD2087">
        <v>-1.104921876183</v>
      </c>
      <c r="AE2087">
        <v>6.4187000000000003</v>
      </c>
      <c r="AF2087">
        <v>6.8907686024596604</v>
      </c>
      <c r="AG2087">
        <v>-1.104921876183</v>
      </c>
      <c r="AH2087">
        <v>37.994396754469697</v>
      </c>
      <c r="AI2087">
        <v>91.639036445474503</v>
      </c>
      <c r="AJ2087">
        <v>79.720414386396101</v>
      </c>
      <c r="AK2087">
        <v>38.630010730275103</v>
      </c>
    </row>
    <row r="2088" spans="1:37" x14ac:dyDescent="0.2">
      <c r="A2088" t="str">
        <f>"20200111155540502"</f>
        <v>20200111155540502</v>
      </c>
      <c r="B2088" t="str">
        <f>"1578729340494274"</f>
        <v>1578729340494274</v>
      </c>
      <c r="C2088" t="s">
        <v>37</v>
      </c>
      <c r="D2088">
        <v>5.1161209999999997</v>
      </c>
      <c r="E2088">
        <v>0.57060269999999902</v>
      </c>
      <c r="F2088" t="s">
        <v>61</v>
      </c>
      <c r="G2088">
        <v>-293.16609999999997</v>
      </c>
      <c r="H2088" s="1">
        <v>2.0899239999999999E-6</v>
      </c>
      <c r="I2088">
        <v>290.98090000000002</v>
      </c>
      <c r="J2088">
        <v>-255.44049999999999</v>
      </c>
      <c r="K2088">
        <v>1.1049260000000001</v>
      </c>
      <c r="L2088">
        <v>284.60399999999998</v>
      </c>
      <c r="M2088">
        <v>-0.99982479999999996</v>
      </c>
      <c r="N2088">
        <v>0</v>
      </c>
      <c r="O2088">
        <v>-1.258687E-2</v>
      </c>
      <c r="P2088">
        <v>-0.99983359999999899</v>
      </c>
      <c r="Q2088">
        <v>-4.4187799999999998E-3</v>
      </c>
      <c r="R2088">
        <v>-1.7705559999999999E-2</v>
      </c>
      <c r="S2088">
        <v>-3.0091549999999998</v>
      </c>
      <c r="T2088">
        <v>-8.7786669999999997E-2</v>
      </c>
      <c r="U2088">
        <v>0.50650019999999996</v>
      </c>
      <c r="V2088">
        <v>-5.1188989999999997E-3</v>
      </c>
      <c r="W2088">
        <v>9.4448769999999904E-3</v>
      </c>
      <c r="X2088">
        <v>0.99994229999999995</v>
      </c>
      <c r="Y2088">
        <v>0.1783062</v>
      </c>
      <c r="Z2088">
        <v>2.946859E-3</v>
      </c>
      <c r="AA2088">
        <v>0.98397060000000003</v>
      </c>
      <c r="AB2088">
        <v>25</v>
      </c>
      <c r="AC2088">
        <v>-37.725599999999901</v>
      </c>
      <c r="AD2088">
        <v>-1.104923910076</v>
      </c>
      <c r="AE2088">
        <v>6.3768999999999698</v>
      </c>
      <c r="AF2088">
        <v>6.8455784388346697</v>
      </c>
      <c r="AG2088">
        <v>-1.104923910076</v>
      </c>
      <c r="AH2088">
        <v>37.610971035653002</v>
      </c>
      <c r="AI2088">
        <v>91.6555510114203</v>
      </c>
      <c r="AJ2088">
        <v>79.684506951851802</v>
      </c>
      <c r="AK2088">
        <v>38.244842047706598</v>
      </c>
    </row>
    <row r="2089" spans="1:37" x14ac:dyDescent="0.2">
      <c r="A2089" t="str">
        <f>"20200111155540520"</f>
        <v>20200111155540520</v>
      </c>
      <c r="B2089" t="str">
        <f>"1578729340514770"</f>
        <v>1578729340514770</v>
      </c>
      <c r="C2089" t="s">
        <v>37</v>
      </c>
      <c r="D2089">
        <v>5.1176719999999998</v>
      </c>
      <c r="E2089">
        <v>0.57073989999999997</v>
      </c>
      <c r="F2089" t="s">
        <v>61</v>
      </c>
      <c r="G2089">
        <v>-293.98790000000002</v>
      </c>
      <c r="H2089" s="1">
        <v>2.2137270000000002E-6</v>
      </c>
      <c r="I2089">
        <v>291.10570000000001</v>
      </c>
      <c r="J2089">
        <v>-255.64099999999999</v>
      </c>
      <c r="K2089">
        <v>1.104932</v>
      </c>
      <c r="L2089">
        <v>284.60140000000001</v>
      </c>
      <c r="M2089">
        <v>-0.99982420000000005</v>
      </c>
      <c r="N2089">
        <v>0</v>
      </c>
      <c r="O2089">
        <v>-1.264038E-2</v>
      </c>
      <c r="P2089">
        <v>-0.99984309999999998</v>
      </c>
      <c r="Q2089">
        <v>-2.721598E-3</v>
      </c>
      <c r="R2089">
        <v>-1.751024E-2</v>
      </c>
      <c r="S2089">
        <v>-3.0090939999999899</v>
      </c>
      <c r="T2089">
        <v>-8.6252570000000001E-2</v>
      </c>
      <c r="U2089">
        <v>0.50753779999999904</v>
      </c>
      <c r="V2089">
        <v>-4.869918E-3</v>
      </c>
      <c r="W2089">
        <v>1.114042E-2</v>
      </c>
      <c r="X2089">
        <v>0.99992610000000004</v>
      </c>
      <c r="Y2089">
        <v>0.17869450000000001</v>
      </c>
      <c r="Z2089">
        <v>2.902408E-3</v>
      </c>
      <c r="AA2089">
        <v>0.98390029999999995</v>
      </c>
      <c r="AB2089">
        <v>25</v>
      </c>
      <c r="AC2089">
        <v>-38.346899999999998</v>
      </c>
      <c r="AD2089">
        <v>-1.1049297862730001</v>
      </c>
      <c r="AE2089">
        <v>6.5042999999999997</v>
      </c>
      <c r="AF2089">
        <v>6.9829107008123197</v>
      </c>
      <c r="AG2089">
        <v>-1.1049297862730001</v>
      </c>
      <c r="AH2089">
        <v>38.2307576336569</v>
      </c>
      <c r="AI2089">
        <v>91.628550638857504</v>
      </c>
      <c r="AJ2089">
        <v>79.648934626282895</v>
      </c>
      <c r="AK2089">
        <v>38.878949843476001</v>
      </c>
    </row>
    <row r="2090" spans="1:37" x14ac:dyDescent="0.2">
      <c r="A2090" t="str">
        <f>"20200111155540533"</f>
        <v>20200111155540533</v>
      </c>
      <c r="B2090" t="str">
        <f>"1578729340524529"</f>
        <v>1578729340524529</v>
      </c>
      <c r="C2090" t="s">
        <v>37</v>
      </c>
      <c r="D2090">
        <v>5.2224570000000003</v>
      </c>
      <c r="E2090">
        <v>0.57082529999999998</v>
      </c>
      <c r="F2090" t="s">
        <v>61</v>
      </c>
      <c r="G2090">
        <v>-295.71910000000003</v>
      </c>
      <c r="H2090" s="1">
        <v>2.472045E-6</v>
      </c>
      <c r="I2090">
        <v>291.38260000000002</v>
      </c>
      <c r="J2090">
        <v>-255.7936</v>
      </c>
      <c r="K2090">
        <v>1.104935</v>
      </c>
      <c r="L2090">
        <v>284.5994</v>
      </c>
      <c r="M2090">
        <v>-0.99982349999999998</v>
      </c>
      <c r="N2090">
        <v>0</v>
      </c>
      <c r="O2090">
        <v>-1.268089E-2</v>
      </c>
      <c r="P2090">
        <v>-0.99984130000000004</v>
      </c>
      <c r="Q2090">
        <v>-2.0069089999999999E-3</v>
      </c>
      <c r="R2090">
        <v>-1.7693899999999999E-2</v>
      </c>
      <c r="S2090">
        <v>-3.0091860000000001</v>
      </c>
      <c r="T2090">
        <v>-8.2961439999999997E-2</v>
      </c>
      <c r="U2090">
        <v>0.50915529999999998</v>
      </c>
      <c r="V2090">
        <v>-5.013394E-3</v>
      </c>
      <c r="W2090">
        <v>1.185372E-2</v>
      </c>
      <c r="X2090">
        <v>0.9999171</v>
      </c>
      <c r="Y2090">
        <v>0.1792492</v>
      </c>
      <c r="Z2090">
        <v>2.8001969999999999E-3</v>
      </c>
      <c r="AA2090">
        <v>0.98379969999999894</v>
      </c>
      <c r="AB2090">
        <v>25</v>
      </c>
      <c r="AC2090">
        <v>-39.9255</v>
      </c>
      <c r="AD2090">
        <v>-1.104932527955</v>
      </c>
      <c r="AE2090">
        <v>6.7832000000000203</v>
      </c>
      <c r="AF2090">
        <v>7.2835720458075404</v>
      </c>
      <c r="AG2090">
        <v>-1.104932527955</v>
      </c>
      <c r="AH2090">
        <v>39.806631391712202</v>
      </c>
      <c r="AI2090">
        <v>91.564026677576194</v>
      </c>
      <c r="AJ2090">
        <v>79.631071333656294</v>
      </c>
      <c r="AK2090">
        <v>40.482578974090202</v>
      </c>
    </row>
    <row r="2091" spans="1:37" x14ac:dyDescent="0.2">
      <c r="A2091" t="str">
        <f>"20200111155540555"</f>
        <v>20200111155540555</v>
      </c>
      <c r="B2091" t="str">
        <f>"1578729340544050"</f>
        <v>1578729340544050</v>
      </c>
      <c r="C2091" t="s">
        <v>37</v>
      </c>
      <c r="D2091">
        <v>5.111008</v>
      </c>
      <c r="E2091">
        <v>0.57100150000000005</v>
      </c>
      <c r="F2091" t="s">
        <v>61</v>
      </c>
      <c r="G2091">
        <v>-296.43459999999999</v>
      </c>
      <c r="H2091" s="1">
        <v>2.56481299999999E-6</v>
      </c>
      <c r="I2091">
        <v>291.4769</v>
      </c>
      <c r="J2091">
        <v>-256.02089999999998</v>
      </c>
      <c r="K2091">
        <v>1.104938</v>
      </c>
      <c r="L2091">
        <v>284.59649999999999</v>
      </c>
      <c r="M2091">
        <v>-0.99982269999999895</v>
      </c>
      <c r="N2091">
        <v>0</v>
      </c>
      <c r="O2091">
        <v>-1.274143E-2</v>
      </c>
      <c r="P2091">
        <v>-0.99983500000000003</v>
      </c>
      <c r="Q2091">
        <v>-1.4847179999999899E-3</v>
      </c>
      <c r="R2091">
        <v>-1.810954E-2</v>
      </c>
      <c r="S2091">
        <v>-3.0093079999999999</v>
      </c>
      <c r="T2091">
        <v>-8.1815959999999993E-2</v>
      </c>
      <c r="U2091">
        <v>0.5092468</v>
      </c>
      <c r="V2091">
        <v>-5.3685750000000004E-3</v>
      </c>
      <c r="W2091">
        <v>1.2373429999999999E-2</v>
      </c>
      <c r="X2091">
        <v>0.99990900000000005</v>
      </c>
      <c r="Y2091">
        <v>0.1793332</v>
      </c>
      <c r="Z2091">
        <v>2.7641979999999998E-3</v>
      </c>
      <c r="AA2091">
        <v>0.98378449999999995</v>
      </c>
      <c r="AB2091">
        <v>25</v>
      </c>
      <c r="AC2091">
        <v>-40.413699999999999</v>
      </c>
      <c r="AD2091">
        <v>-1.104935435187</v>
      </c>
      <c r="AE2091">
        <v>6.8803999999999998</v>
      </c>
      <c r="AF2091">
        <v>7.3894511114731802</v>
      </c>
      <c r="AG2091">
        <v>-1.104935435187</v>
      </c>
      <c r="AH2091">
        <v>40.2934728914733</v>
      </c>
      <c r="AI2091">
        <v>91.545028655902996</v>
      </c>
      <c r="AJ2091">
        <v>79.607958225161696</v>
      </c>
      <c r="AK2091">
        <v>40.980346847003098</v>
      </c>
    </row>
    <row r="2092" spans="1:37" x14ac:dyDescent="0.2">
      <c r="A2092" t="str">
        <f>"20200111155540568"</f>
        <v>20200111155540568</v>
      </c>
      <c r="B2092" t="str">
        <f>"1578729340565052"</f>
        <v>1578729340565052</v>
      </c>
      <c r="C2092" t="s">
        <v>37</v>
      </c>
      <c r="D2092">
        <v>5.1206050000000003</v>
      </c>
      <c r="E2092">
        <v>0.57113029999999998</v>
      </c>
      <c r="F2092" t="s">
        <v>61</v>
      </c>
      <c r="G2092">
        <v>-296.50799999999998</v>
      </c>
      <c r="H2092" s="1">
        <v>2.5813880000000001E-6</v>
      </c>
      <c r="I2092">
        <v>291.44839999999999</v>
      </c>
      <c r="J2092">
        <v>-256.1816</v>
      </c>
      <c r="K2092">
        <v>1.10494</v>
      </c>
      <c r="L2092">
        <v>284.59440000000001</v>
      </c>
      <c r="M2092">
        <v>-0.9998224</v>
      </c>
      <c r="N2092">
        <v>0</v>
      </c>
      <c r="O2092">
        <v>-1.278433E-2</v>
      </c>
      <c r="P2092">
        <v>-0.9998283</v>
      </c>
      <c r="Q2092">
        <v>-1.3806859999999999E-3</v>
      </c>
      <c r="R2092">
        <v>-1.8484299999999999E-2</v>
      </c>
      <c r="S2092">
        <v>-3.0096129999999999</v>
      </c>
      <c r="T2092">
        <v>-8.2135440000000004E-2</v>
      </c>
      <c r="U2092">
        <v>0.50933839999999997</v>
      </c>
      <c r="V2092">
        <v>-5.7004159999999998E-3</v>
      </c>
      <c r="W2092">
        <v>1.2475470000000001E-2</v>
      </c>
      <c r="X2092">
        <v>0.99990590000000001</v>
      </c>
      <c r="Y2092">
        <v>0.17938750000000001</v>
      </c>
      <c r="Z2092">
        <v>2.776602E-3</v>
      </c>
      <c r="AA2092">
        <v>0.98377459999999906</v>
      </c>
      <c r="AB2092">
        <v>25</v>
      </c>
      <c r="AC2092">
        <v>-40.3263999999999</v>
      </c>
      <c r="AD2092">
        <v>-1.104937418612</v>
      </c>
      <c r="AE2092">
        <v>6.8539999999999797</v>
      </c>
      <c r="AF2092">
        <v>7.3636621297662899</v>
      </c>
      <c r="AG2092">
        <v>-1.104937418612</v>
      </c>
      <c r="AH2092">
        <v>40.206134227862101</v>
      </c>
      <c r="AI2092">
        <v>91.548452721380698</v>
      </c>
      <c r="AJ2092">
        <v>79.621431122313794</v>
      </c>
      <c r="AK2092">
        <v>40.889823137417302</v>
      </c>
    </row>
    <row r="2093" spans="1:37" x14ac:dyDescent="0.2">
      <c r="A2093" t="str">
        <f>"20200111155540582"</f>
        <v>20200111155540582</v>
      </c>
      <c r="B2093" t="str">
        <f>"1578729340574813"</f>
        <v>1578729340574813</v>
      </c>
      <c r="C2093" t="s">
        <v>37</v>
      </c>
      <c r="D2093">
        <v>5.0735299999999999</v>
      </c>
      <c r="E2093">
        <v>0.57121309999999903</v>
      </c>
      <c r="F2093" t="s">
        <v>61</v>
      </c>
      <c r="G2093">
        <v>-295.86349999999999</v>
      </c>
      <c r="H2093" s="1">
        <v>2.5109570000000001E-6</v>
      </c>
      <c r="I2093">
        <v>291.30709999999999</v>
      </c>
      <c r="J2093">
        <v>-256.32499999999999</v>
      </c>
      <c r="K2093">
        <v>1.1049420000000001</v>
      </c>
      <c r="L2093">
        <v>284.59249999999997</v>
      </c>
      <c r="M2093">
        <v>-0.99982199999999999</v>
      </c>
      <c r="N2093">
        <v>0</v>
      </c>
      <c r="O2093">
        <v>-1.2822470000000001E-2</v>
      </c>
      <c r="P2093">
        <v>-0.99982739999999903</v>
      </c>
      <c r="Q2093">
        <v>-1.048822E-3</v>
      </c>
      <c r="R2093">
        <v>-1.855559E-2</v>
      </c>
      <c r="S2093">
        <v>-3.009827</v>
      </c>
      <c r="T2093">
        <v>-8.3808300000000002E-2</v>
      </c>
      <c r="U2093">
        <v>0.50915529999999998</v>
      </c>
      <c r="V2093">
        <v>-5.7337680000000002E-3</v>
      </c>
      <c r="W2093">
        <v>1.280589E-2</v>
      </c>
      <c r="X2093">
        <v>0.999901499999999</v>
      </c>
      <c r="Y2093">
        <v>0.1793525</v>
      </c>
      <c r="Z2093">
        <v>2.8335190000000001E-3</v>
      </c>
      <c r="AA2093">
        <v>0.98378080000000001</v>
      </c>
      <c r="AB2093">
        <v>25</v>
      </c>
      <c r="AC2093">
        <v>-39.538499999999999</v>
      </c>
      <c r="AD2093">
        <v>-1.104939489043</v>
      </c>
      <c r="AE2093">
        <v>6.7146000000000097</v>
      </c>
      <c r="AF2093">
        <v>7.2156004406973802</v>
      </c>
      <c r="AG2093">
        <v>-1.104939489043</v>
      </c>
      <c r="AH2093">
        <v>39.419220446369501</v>
      </c>
      <c r="AI2093">
        <v>91.579379415997295</v>
      </c>
      <c r="AJ2093">
        <v>79.626972451514504</v>
      </c>
      <c r="AK2093">
        <v>40.089409095092897</v>
      </c>
    </row>
    <row r="2094" spans="1:37" x14ac:dyDescent="0.2">
      <c r="A2094" t="str">
        <f>"20200111155540598"</f>
        <v>20200111155540598</v>
      </c>
      <c r="B2094" t="str">
        <f>"1578729340594332"</f>
        <v>1578729340594332</v>
      </c>
      <c r="C2094" t="s">
        <v>37</v>
      </c>
      <c r="D2094">
        <v>5.0533659999999996</v>
      </c>
      <c r="E2094">
        <v>0.57145349999999995</v>
      </c>
      <c r="F2094" t="s">
        <v>61</v>
      </c>
      <c r="G2094">
        <v>-296.09410000000003</v>
      </c>
      <c r="H2094" s="1">
        <v>2.5491739999999998E-6</v>
      </c>
      <c r="I2094">
        <v>291.32229999999998</v>
      </c>
      <c r="J2094">
        <v>-256.50959999999998</v>
      </c>
      <c r="K2094">
        <v>1.1049500000000001</v>
      </c>
      <c r="L2094">
        <v>284.59010000000001</v>
      </c>
      <c r="M2094">
        <v>-0.99982119999999997</v>
      </c>
      <c r="N2094">
        <v>0</v>
      </c>
      <c r="O2094">
        <v>-1.287144E-2</v>
      </c>
      <c r="P2094">
        <v>-0.99981739999999997</v>
      </c>
      <c r="Q2094">
        <v>-2.6602860000000001E-4</v>
      </c>
      <c r="R2094">
        <v>-1.911212E-2</v>
      </c>
      <c r="S2094">
        <v>-3.0098880000000001</v>
      </c>
      <c r="T2094">
        <v>-8.3626270000000003E-2</v>
      </c>
      <c r="U2094">
        <v>0.50933839999999997</v>
      </c>
      <c r="V2094">
        <v>-6.2414849999999997E-3</v>
      </c>
      <c r="W2094">
        <v>1.35864E-2</v>
      </c>
      <c r="X2094">
        <v>0.9998882</v>
      </c>
      <c r="Y2094">
        <v>0.1794559</v>
      </c>
      <c r="Z2094">
        <v>2.8300729999999998E-3</v>
      </c>
      <c r="AA2094">
        <v>0.98376200000000003</v>
      </c>
      <c r="AB2094">
        <v>25</v>
      </c>
      <c r="AC2094">
        <v>-39.584499999999998</v>
      </c>
      <c r="AD2094">
        <v>-1.104947450826</v>
      </c>
      <c r="AE2094">
        <v>6.7321999999999704</v>
      </c>
      <c r="AF2094">
        <v>7.2357212258716199</v>
      </c>
      <c r="AG2094">
        <v>-1.104947450826</v>
      </c>
      <c r="AH2094">
        <v>39.4646734252321</v>
      </c>
      <c r="AI2094">
        <v>91.577489097209195</v>
      </c>
      <c r="AJ2094">
        <v>79.610396198821704</v>
      </c>
      <c r="AK2094">
        <v>40.137725634218903</v>
      </c>
    </row>
    <row r="2095" spans="1:37" x14ac:dyDescent="0.2">
      <c r="A2095" t="str">
        <f>"20200111155540611"</f>
        <v>20200111155540611</v>
      </c>
      <c r="B2095" t="str">
        <f>"1578729340605068"</f>
        <v>1578729340605068</v>
      </c>
      <c r="C2095" t="s">
        <v>37</v>
      </c>
      <c r="D2095">
        <v>5.1231070000000001</v>
      </c>
      <c r="E2095">
        <v>0.57151370000000001</v>
      </c>
      <c r="F2095" t="s">
        <v>61</v>
      </c>
      <c r="G2095">
        <v>-296.74759999999998</v>
      </c>
      <c r="H2095" s="1">
        <v>2.61833599999999E-6</v>
      </c>
      <c r="I2095">
        <v>291.404</v>
      </c>
      <c r="J2095">
        <v>-256.65960000000001</v>
      </c>
      <c r="K2095">
        <v>1.1049519999999999</v>
      </c>
      <c r="L2095">
        <v>284.5881</v>
      </c>
      <c r="M2095">
        <v>-0.99982070000000001</v>
      </c>
      <c r="N2095">
        <v>0</v>
      </c>
      <c r="O2095">
        <v>-1.291113E-2</v>
      </c>
      <c r="P2095">
        <v>-0.99981980000000004</v>
      </c>
      <c r="Q2095">
        <v>3.4970980000000002E-4</v>
      </c>
      <c r="R2095">
        <v>-1.8991170000000002E-2</v>
      </c>
      <c r="S2095">
        <v>-3.0103149999999999</v>
      </c>
      <c r="T2095">
        <v>-8.2664249999999995E-2</v>
      </c>
      <c r="U2095">
        <v>0.50976560000000004</v>
      </c>
      <c r="V2095">
        <v>-6.0802790000000001E-3</v>
      </c>
      <c r="W2095">
        <v>1.420051E-2</v>
      </c>
      <c r="X2095">
        <v>0.99988069999999896</v>
      </c>
      <c r="Y2095">
        <v>0.179609299999999</v>
      </c>
      <c r="Z2095">
        <v>2.8002790000000001E-3</v>
      </c>
      <c r="AA2095">
        <v>0.98373409999999994</v>
      </c>
      <c r="AB2095">
        <v>25</v>
      </c>
      <c r="AC2095">
        <v>-40.087999999999901</v>
      </c>
      <c r="AD2095">
        <v>-1.1049493816639999</v>
      </c>
      <c r="AE2095">
        <v>6.8158999999999903</v>
      </c>
      <c r="AF2095">
        <v>7.3275523000012797</v>
      </c>
      <c r="AG2095">
        <v>-1.1049493816639999</v>
      </c>
      <c r="AH2095">
        <v>39.967137621540097</v>
      </c>
      <c r="AI2095">
        <v>91.557671594767996</v>
      </c>
      <c r="AJ2095">
        <v>79.610804133923295</v>
      </c>
      <c r="AK2095">
        <v>40.648321312256201</v>
      </c>
    </row>
    <row r="2096" spans="1:37" x14ac:dyDescent="0.2">
      <c r="A2096" t="str">
        <f>"20200111155540624"</f>
        <v>20200111155540624</v>
      </c>
      <c r="B2096" t="str">
        <f>"1578729340614828"</f>
        <v>1578729340614828</v>
      </c>
      <c r="C2096" t="s">
        <v>37</v>
      </c>
      <c r="D2096">
        <v>5.2433489999999896</v>
      </c>
      <c r="E2096">
        <v>0.57151370000000001</v>
      </c>
      <c r="F2096" t="s">
        <v>61</v>
      </c>
      <c r="G2096">
        <v>-297.37099999999998</v>
      </c>
      <c r="H2096" s="1">
        <v>2.6425499999999998E-6</v>
      </c>
      <c r="I2096">
        <v>291.49189999999999</v>
      </c>
      <c r="J2096">
        <v>-256.79489999999998</v>
      </c>
      <c r="K2096">
        <v>1.104954</v>
      </c>
      <c r="L2096">
        <v>284.58629999999999</v>
      </c>
      <c r="M2096">
        <v>-0.9998203</v>
      </c>
      <c r="N2096">
        <v>0</v>
      </c>
      <c r="O2096">
        <v>-1.2947119999999999E-2</v>
      </c>
      <c r="P2096">
        <v>-0.99982090000000001</v>
      </c>
      <c r="Q2096">
        <v>6.6565910000000001E-4</v>
      </c>
      <c r="R2096">
        <v>-1.8914719999999999E-2</v>
      </c>
      <c r="S2096">
        <v>-3.0102229999999999</v>
      </c>
      <c r="T2096">
        <v>-8.1700560000000005E-2</v>
      </c>
      <c r="U2096">
        <v>0.51046749999999996</v>
      </c>
      <c r="V2096">
        <v>-5.9682090000000004E-3</v>
      </c>
      <c r="W2096">
        <v>1.4515190000000001E-2</v>
      </c>
      <c r="X2096">
        <v>0.99987689999999996</v>
      </c>
      <c r="Y2096">
        <v>0.17987410000000001</v>
      </c>
      <c r="Z2096">
        <v>2.772212E-3</v>
      </c>
      <c r="AA2096">
        <v>0.9836857</v>
      </c>
      <c r="AB2096">
        <v>25</v>
      </c>
      <c r="AC2096">
        <v>-40.576099999999997</v>
      </c>
      <c r="AD2096">
        <v>-1.1049513574500001</v>
      </c>
      <c r="AE2096">
        <v>6.90559999999999</v>
      </c>
      <c r="AF2096">
        <v>7.4250639552095699</v>
      </c>
      <c r="AG2096">
        <v>-1.1049513574500001</v>
      </c>
      <c r="AH2096">
        <v>40.454127477707701</v>
      </c>
      <c r="AI2096">
        <v>91.538876532816403</v>
      </c>
      <c r="AJ2096">
        <v>79.599531155224199</v>
      </c>
      <c r="AK2096">
        <v>41.144731402986601</v>
      </c>
    </row>
    <row r="2097" spans="1:37" x14ac:dyDescent="0.2">
      <c r="A2097" t="str">
        <f>"20200111155540645"</f>
        <v>20200111155540645</v>
      </c>
      <c r="B2097" t="str">
        <f>"1578729340634347"</f>
        <v>1578729340634347</v>
      </c>
      <c r="C2097" t="s">
        <v>37</v>
      </c>
      <c r="D2097">
        <v>5.2667830000000002</v>
      </c>
      <c r="E2097">
        <v>0.53818739999999998</v>
      </c>
      <c r="F2097" t="s">
        <v>61</v>
      </c>
      <c r="G2097">
        <v>-297.98669999999998</v>
      </c>
      <c r="H2097" s="1">
        <v>2.6669299999999998E-6</v>
      </c>
      <c r="I2097">
        <v>291.57740000000001</v>
      </c>
      <c r="J2097">
        <v>-257.01389999999998</v>
      </c>
      <c r="K2097">
        <v>1.104954</v>
      </c>
      <c r="L2097">
        <v>284.58339999999998</v>
      </c>
      <c r="M2097">
        <v>-0.99981960000000003</v>
      </c>
      <c r="N2097">
        <v>0</v>
      </c>
      <c r="O2097">
        <v>-1.300491E-2</v>
      </c>
      <c r="P2097">
        <v>-0.99982700000000002</v>
      </c>
      <c r="Q2097">
        <v>1.5122479999999899E-3</v>
      </c>
      <c r="R2097">
        <v>-1.853807E-2</v>
      </c>
      <c r="S2097">
        <v>-3.0102229999999999</v>
      </c>
      <c r="T2097">
        <v>-8.0747840000000001E-2</v>
      </c>
      <c r="U2097">
        <v>0.51089479999999998</v>
      </c>
      <c r="V2097">
        <v>-5.5337930000000004E-3</v>
      </c>
      <c r="W2097">
        <v>1.536005E-2</v>
      </c>
      <c r="X2097">
        <v>0.9998667</v>
      </c>
      <c r="Y2097">
        <v>0.18006820000000001</v>
      </c>
      <c r="Z2097">
        <v>2.7439879999999902E-3</v>
      </c>
      <c r="AA2097">
        <v>0.98365029999999998</v>
      </c>
      <c r="AB2097">
        <v>25</v>
      </c>
      <c r="AC2097">
        <v>-40.972799999999999</v>
      </c>
      <c r="AD2097">
        <v>-1.10495133307</v>
      </c>
      <c r="AE2097">
        <v>6.9940000000000202</v>
      </c>
      <c r="AF2097">
        <v>7.5209921457938496</v>
      </c>
      <c r="AG2097">
        <v>-1.10495133307</v>
      </c>
      <c r="AH2097">
        <v>40.849501882332802</v>
      </c>
      <c r="AI2097">
        <v>91.523834180668999</v>
      </c>
      <c r="AJ2097">
        <v>79.567837210306493</v>
      </c>
      <c r="AK2097">
        <v>41.550788733070497</v>
      </c>
    </row>
    <row r="2098" spans="1:37" x14ac:dyDescent="0.2">
      <c r="A2098" t="str">
        <f>"20200111155540657"</f>
        <v>20200111155540657</v>
      </c>
      <c r="B2098" t="str">
        <f>"1578729340654844"</f>
        <v>1578729340654844</v>
      </c>
      <c r="C2098" t="s">
        <v>37</v>
      </c>
      <c r="D2098">
        <v>5.3233059999999996</v>
      </c>
      <c r="E2098">
        <v>0.53405179999999997</v>
      </c>
      <c r="F2098" t="s">
        <v>61</v>
      </c>
      <c r="G2098">
        <v>-288.42189999999999</v>
      </c>
      <c r="H2098" s="1">
        <v>4.145148E-6</v>
      </c>
      <c r="I2098">
        <v>287.14420000000001</v>
      </c>
      <c r="J2098">
        <v>-257.16359999999997</v>
      </c>
      <c r="K2098">
        <v>1.104951</v>
      </c>
      <c r="L2098">
        <v>284.58150000000001</v>
      </c>
      <c r="M2098">
        <v>-0.99981919999999902</v>
      </c>
      <c r="N2098">
        <v>0</v>
      </c>
      <c r="O2098">
        <v>-1.304484E-2</v>
      </c>
      <c r="P2098">
        <v>-0.99983099999999903</v>
      </c>
      <c r="Q2098">
        <v>2.0277260000000001E-3</v>
      </c>
      <c r="R2098">
        <v>-1.8290509999999999E-2</v>
      </c>
      <c r="S2098">
        <v>-3.0052189999999999</v>
      </c>
      <c r="T2098">
        <v>-0.10572529999999999</v>
      </c>
      <c r="U2098">
        <v>0.24502559999999901</v>
      </c>
      <c r="V2098">
        <v>-5.2462559999999899E-3</v>
      </c>
      <c r="W2098">
        <v>1.5874019999999999E-2</v>
      </c>
      <c r="X2098">
        <v>0.99986019999999898</v>
      </c>
      <c r="Y2098">
        <v>9.4193830000000006E-2</v>
      </c>
      <c r="Z2098">
        <v>2.1117610000000002E-3</v>
      </c>
      <c r="AA2098">
        <v>0.99555159999999998</v>
      </c>
      <c r="AB2098">
        <v>25</v>
      </c>
      <c r="AC2098">
        <v>-31.258299999999998</v>
      </c>
      <c r="AD2098">
        <v>-1.1049468548520001</v>
      </c>
      <c r="AE2098">
        <v>2.5627</v>
      </c>
      <c r="AF2098">
        <v>2.9665983046244899</v>
      </c>
      <c r="AG2098">
        <v>-1.1049468548520001</v>
      </c>
      <c r="AH2098">
        <v>31.183501539186</v>
      </c>
      <c r="AI2098">
        <v>92.020238678815403</v>
      </c>
      <c r="AJ2098">
        <v>84.565602179543504</v>
      </c>
      <c r="AK2098">
        <v>31.3437773935667</v>
      </c>
    </row>
    <row r="2099" spans="1:37" x14ac:dyDescent="0.2">
      <c r="A2099" t="str">
        <f>"20200111155540670"</f>
        <v>20200111155540670</v>
      </c>
      <c r="B2099" t="str">
        <f>"1578729340664605"</f>
        <v>1578729340664605</v>
      </c>
      <c r="C2099" t="s">
        <v>37</v>
      </c>
      <c r="D2099">
        <v>5.2157150000000003</v>
      </c>
      <c r="E2099">
        <v>0.53303750000000005</v>
      </c>
      <c r="F2099" t="s">
        <v>61</v>
      </c>
      <c r="G2099">
        <v>-283.62630000000001</v>
      </c>
      <c r="H2099" s="1">
        <v>6.4159900000000002E-6</v>
      </c>
      <c r="I2099">
        <v>286.44650000000001</v>
      </c>
      <c r="J2099">
        <v>-257.3048</v>
      </c>
      <c r="K2099">
        <v>1.1049519999999999</v>
      </c>
      <c r="L2099">
        <v>284.57960000000003</v>
      </c>
      <c r="M2099">
        <v>-0.99981869999999995</v>
      </c>
      <c r="N2099">
        <v>0</v>
      </c>
      <c r="O2099">
        <v>-1.3082140000000001E-2</v>
      </c>
      <c r="P2099">
        <v>-0.99983599999999995</v>
      </c>
      <c r="Q2099">
        <v>2.3373550000000002E-3</v>
      </c>
      <c r="R2099">
        <v>-1.7965599999999901E-2</v>
      </c>
      <c r="S2099">
        <v>-3.0046689999999998</v>
      </c>
      <c r="T2099">
        <v>-0.1254596</v>
      </c>
      <c r="U2099">
        <v>0.21176149999999999</v>
      </c>
      <c r="V2099">
        <v>-4.8843630000000001E-3</v>
      </c>
      <c r="W2099">
        <v>1.6181540000000001E-2</v>
      </c>
      <c r="X2099">
        <v>0.99985709999999905</v>
      </c>
      <c r="Y2099">
        <v>8.326451E-2</v>
      </c>
      <c r="Z2099">
        <v>2.2808759999999998E-3</v>
      </c>
      <c r="AA2099">
        <v>0.99652489999999905</v>
      </c>
      <c r="AB2099">
        <v>25</v>
      </c>
      <c r="AC2099">
        <v>-26.3215</v>
      </c>
      <c r="AD2099">
        <v>-1.10494558401</v>
      </c>
      <c r="AE2099">
        <v>1.86689999999998</v>
      </c>
      <c r="AF2099">
        <v>2.20724453568539</v>
      </c>
      <c r="AG2099">
        <v>-1.10494558401</v>
      </c>
      <c r="AH2099">
        <v>26.2487970611488</v>
      </c>
      <c r="AI2099">
        <v>92.401980850199394</v>
      </c>
      <c r="AJ2099">
        <v>85.193342632008907</v>
      </c>
      <c r="AK2099">
        <v>26.364600894785202</v>
      </c>
    </row>
    <row r="2100" spans="1:37" x14ac:dyDescent="0.2">
      <c r="A2100" t="str">
        <f>"20200111155540689"</f>
        <v>20200111155540689</v>
      </c>
      <c r="B2100" t="str">
        <f>"1578729340685100"</f>
        <v>1578729340685100</v>
      </c>
      <c r="C2100" t="s">
        <v>37</v>
      </c>
      <c r="D2100">
        <v>5.2692329999999998</v>
      </c>
      <c r="E2100">
        <v>0.53176480000000004</v>
      </c>
      <c r="F2100" t="s">
        <v>61</v>
      </c>
      <c r="G2100">
        <v>-282.35840000000002</v>
      </c>
      <c r="H2100" s="1">
        <v>7.0117369999999997E-6</v>
      </c>
      <c r="I2100">
        <v>286.28429999999997</v>
      </c>
      <c r="J2100">
        <v>-257.50029999999998</v>
      </c>
      <c r="K2100">
        <v>1.1049519999999999</v>
      </c>
      <c r="L2100">
        <v>284.577</v>
      </c>
      <c r="M2100">
        <v>-0.99981790000000004</v>
      </c>
      <c r="N2100">
        <v>0</v>
      </c>
      <c r="O2100">
        <v>-1.3133850000000001E-2</v>
      </c>
      <c r="P2100">
        <v>-0.99983849999999996</v>
      </c>
      <c r="Q2100">
        <v>2.9705819999999998E-3</v>
      </c>
      <c r="R2100">
        <v>-1.7721049999999999E-2</v>
      </c>
      <c r="S2100">
        <v>-3.004486</v>
      </c>
      <c r="T2100">
        <v>-0.1325076</v>
      </c>
      <c r="U2100">
        <v>0.20443729999999999</v>
      </c>
      <c r="V2100">
        <v>-4.5872880000000001E-3</v>
      </c>
      <c r="W2100">
        <v>1.6813270000000002E-2</v>
      </c>
      <c r="X2100">
        <v>0.99984810000000002</v>
      </c>
      <c r="Y2100">
        <v>8.0894980000000005E-2</v>
      </c>
      <c r="Z2100">
        <v>2.3593469999999999E-3</v>
      </c>
      <c r="AA2100">
        <v>0.99671980000000004</v>
      </c>
      <c r="AB2100">
        <v>25</v>
      </c>
      <c r="AC2100">
        <v>-24.8581</v>
      </c>
      <c r="AD2100">
        <v>-1.104944988263</v>
      </c>
      <c r="AE2100">
        <v>1.7072999999999701</v>
      </c>
      <c r="AF2100">
        <v>2.0296751353292399</v>
      </c>
      <c r="AG2100">
        <v>-1.104944988263</v>
      </c>
      <c r="AH2100">
        <v>24.7847897892613</v>
      </c>
      <c r="AI2100">
        <v>92.544140523049094</v>
      </c>
      <c r="AJ2100">
        <v>85.318382818794007</v>
      </c>
      <c r="AK2100">
        <v>24.892293776989099</v>
      </c>
    </row>
    <row r="2101" spans="1:37" x14ac:dyDescent="0.2">
      <c r="A2101" t="str">
        <f>"20200111155540702"</f>
        <v>20200111155540702</v>
      </c>
      <c r="B2101" t="str">
        <f>"1578729340694861"</f>
        <v>1578729340694861</v>
      </c>
      <c r="C2101" t="s">
        <v>37</v>
      </c>
      <c r="D2101">
        <v>5.2405019999999896</v>
      </c>
      <c r="E2101">
        <v>0.53146789999999999</v>
      </c>
      <c r="F2101" t="s">
        <v>61</v>
      </c>
      <c r="G2101">
        <v>-281.88159999999999</v>
      </c>
      <c r="H2101" s="1">
        <v>7.2495849999999998E-6</v>
      </c>
      <c r="I2101">
        <v>286.15649999999999</v>
      </c>
      <c r="J2101">
        <v>-257.65120000000002</v>
      </c>
      <c r="K2101">
        <v>1.1049530000000001</v>
      </c>
      <c r="L2101">
        <v>284.57490000000001</v>
      </c>
      <c r="M2101">
        <v>-0.99981739999999997</v>
      </c>
      <c r="N2101">
        <v>0</v>
      </c>
      <c r="O2101">
        <v>-1.3174129999999999E-2</v>
      </c>
      <c r="P2101">
        <v>-0.999839699999999</v>
      </c>
      <c r="Q2101">
        <v>2.997633E-3</v>
      </c>
      <c r="R2101">
        <v>-1.76545E-2</v>
      </c>
      <c r="S2101">
        <v>-3.0043639999999998</v>
      </c>
      <c r="T2101">
        <v>-0.13615569999999999</v>
      </c>
      <c r="U2101">
        <v>0.19464110000000001</v>
      </c>
      <c r="V2101">
        <v>-4.4809669999999998E-3</v>
      </c>
      <c r="W2101">
        <v>1.6839010000000001E-2</v>
      </c>
      <c r="X2101">
        <v>0.99984819999999996</v>
      </c>
      <c r="Y2101">
        <v>7.769993E-2</v>
      </c>
      <c r="Z2101">
        <v>2.3541299999999999E-3</v>
      </c>
      <c r="AA2101">
        <v>0.99697400000000003</v>
      </c>
      <c r="AB2101">
        <v>25</v>
      </c>
      <c r="AC2101">
        <v>-24.2303999999999</v>
      </c>
      <c r="AD2101">
        <v>-1.104945750415</v>
      </c>
      <c r="AE2101">
        <v>1.5815999999999799</v>
      </c>
      <c r="AF2101">
        <v>1.89678010780689</v>
      </c>
      <c r="AG2101">
        <v>-1.104945750415</v>
      </c>
      <c r="AH2101">
        <v>24.157436146429198</v>
      </c>
      <c r="AI2101">
        <v>92.610822898570703</v>
      </c>
      <c r="AJ2101">
        <v>85.510492718658398</v>
      </c>
      <c r="AK2101">
        <v>24.256966031586401</v>
      </c>
    </row>
    <row r="2102" spans="1:37" x14ac:dyDescent="0.2">
      <c r="A2102" t="str">
        <f>"20200111155540716"</f>
        <v>20200111155540716</v>
      </c>
      <c r="B2102" t="str">
        <f>"1578729340704620"</f>
        <v>1578729340704620</v>
      </c>
      <c r="C2102" t="s">
        <v>37</v>
      </c>
      <c r="D2102">
        <v>5.2411490000000001</v>
      </c>
      <c r="E2102">
        <v>0.53124309999999997</v>
      </c>
      <c r="F2102" t="s">
        <v>61</v>
      </c>
      <c r="G2102">
        <v>-281.51389999999998</v>
      </c>
      <c r="H2102" s="1">
        <v>7.423609E-6</v>
      </c>
      <c r="I2102">
        <v>286.1035</v>
      </c>
      <c r="J2102">
        <v>-257.8064</v>
      </c>
      <c r="K2102">
        <v>1.1049530000000001</v>
      </c>
      <c r="L2102">
        <v>284.5729</v>
      </c>
      <c r="M2102">
        <v>-0.99981710000000001</v>
      </c>
      <c r="N2102">
        <v>0</v>
      </c>
      <c r="O2102">
        <v>-1.321549E-2</v>
      </c>
      <c r="P2102">
        <v>-0.99984010000000001</v>
      </c>
      <c r="Q2102">
        <v>2.8611119999999999E-3</v>
      </c>
      <c r="R2102">
        <v>-1.7657639999999999E-2</v>
      </c>
      <c r="S2102">
        <v>-3.00430299999999</v>
      </c>
      <c r="T2102">
        <v>-0.13911199999999899</v>
      </c>
      <c r="U2102">
        <v>0.1924438</v>
      </c>
      <c r="V2102">
        <v>-4.4428359999999899E-3</v>
      </c>
      <c r="W2102">
        <v>1.670027E-2</v>
      </c>
      <c r="X2102">
        <v>0.99985069999999998</v>
      </c>
      <c r="Y2102">
        <v>7.7012899999999995E-2</v>
      </c>
      <c r="Z2102">
        <v>2.3913269999999999E-3</v>
      </c>
      <c r="AA2102">
        <v>0.997027199999999</v>
      </c>
      <c r="AB2102">
        <v>25</v>
      </c>
      <c r="AC2102">
        <v>-23.7074999999999</v>
      </c>
      <c r="AD2102">
        <v>-1.1049455763910001</v>
      </c>
      <c r="AE2102">
        <v>1.53059999999999</v>
      </c>
      <c r="AF2102">
        <v>1.83982251302957</v>
      </c>
      <c r="AG2102">
        <v>-1.1049455763910001</v>
      </c>
      <c r="AH2102">
        <v>23.634073639519201</v>
      </c>
      <c r="AI2102">
        <v>92.668693926481893</v>
      </c>
      <c r="AJ2102">
        <v>85.548719186581906</v>
      </c>
      <c r="AK2102">
        <v>23.731314510672501</v>
      </c>
    </row>
    <row r="2103" spans="1:37" x14ac:dyDescent="0.2">
      <c r="A2103" t="str">
        <f>"20200111155540733"</f>
        <v>20200111155540733</v>
      </c>
      <c r="B2103" t="str">
        <f>"1578729340725116"</f>
        <v>1578729340725116</v>
      </c>
      <c r="C2103" t="s">
        <v>37</v>
      </c>
      <c r="D2103">
        <v>5.2262120000000003</v>
      </c>
      <c r="E2103">
        <v>0.53091029999999995</v>
      </c>
      <c r="F2103" t="s">
        <v>61</v>
      </c>
      <c r="G2103">
        <v>-281.27069999999998</v>
      </c>
      <c r="H2103" s="1">
        <v>7.5403069999999996E-6</v>
      </c>
      <c r="I2103">
        <v>286.0607</v>
      </c>
      <c r="J2103">
        <v>-257.99189999999999</v>
      </c>
      <c r="K2103">
        <v>1.104951</v>
      </c>
      <c r="L2103">
        <v>284.57029999999997</v>
      </c>
      <c r="M2103">
        <v>-0.99981640000000005</v>
      </c>
      <c r="N2103">
        <v>0</v>
      </c>
      <c r="O2103">
        <v>-1.3264700000000001E-2</v>
      </c>
      <c r="P2103">
        <v>-0.99984229999999996</v>
      </c>
      <c r="Q2103">
        <v>2.616841E-3</v>
      </c>
      <c r="R2103">
        <v>-1.757129E-2</v>
      </c>
      <c r="S2103">
        <v>-3.0042110000000002</v>
      </c>
      <c r="T2103">
        <v>-0.14147009999999999</v>
      </c>
      <c r="U2103">
        <v>0.19049070000000001</v>
      </c>
      <c r="V2103">
        <v>-4.3069759999999997E-3</v>
      </c>
      <c r="W2103">
        <v>1.6454259999999998E-2</v>
      </c>
      <c r="X2103">
        <v>0.9998553</v>
      </c>
      <c r="Y2103">
        <v>7.6415620000000004E-2</v>
      </c>
      <c r="Z2103">
        <v>2.420214E-3</v>
      </c>
      <c r="AA2103">
        <v>0.99707309999999905</v>
      </c>
      <c r="AB2103">
        <v>25</v>
      </c>
      <c r="AC2103">
        <v>-23.278799999999901</v>
      </c>
      <c r="AD2103">
        <v>-1.1049434596929999</v>
      </c>
      <c r="AE2103">
        <v>1.4904000000000199</v>
      </c>
      <c r="AF2103">
        <v>1.79505694192271</v>
      </c>
      <c r="AG2103">
        <v>-1.1049434596929999</v>
      </c>
      <c r="AH2103">
        <v>23.204912968849602</v>
      </c>
      <c r="AI2103">
        <v>92.718073707164294</v>
      </c>
      <c r="AJ2103">
        <v>85.576593277955595</v>
      </c>
      <c r="AK2103">
        <v>23.300453115030798</v>
      </c>
    </row>
    <row r="2104" spans="1:37" x14ac:dyDescent="0.2">
      <c r="A2104" t="str">
        <f>"20200111155540747"</f>
        <v>20200111155540747</v>
      </c>
      <c r="B2104" t="str">
        <f>"1578729340744636"</f>
        <v>1578729340744636</v>
      </c>
      <c r="C2104" t="s">
        <v>37</v>
      </c>
      <c r="D2104">
        <v>5.3215949999999896</v>
      </c>
      <c r="E2104">
        <v>0.53093579999999996</v>
      </c>
      <c r="F2104" t="s">
        <v>61</v>
      </c>
      <c r="G2104">
        <v>-280.64370000000002</v>
      </c>
      <c r="H2104" s="1">
        <v>7.8334920000000002E-6</v>
      </c>
      <c r="I2104">
        <v>285.9873</v>
      </c>
      <c r="J2104">
        <v>-258.14769999999999</v>
      </c>
      <c r="K2104">
        <v>1.104946</v>
      </c>
      <c r="L2104">
        <v>284.56819999999999</v>
      </c>
      <c r="M2104">
        <v>-0.99981580000000003</v>
      </c>
      <c r="N2104">
        <v>0</v>
      </c>
      <c r="O2104">
        <v>-1.3305569999999999E-2</v>
      </c>
      <c r="P2104">
        <v>-0.99984640000000002</v>
      </c>
      <c r="Q2104">
        <v>2.3828450000000002E-3</v>
      </c>
      <c r="R2104">
        <v>-1.7372099999999901E-2</v>
      </c>
      <c r="S2104">
        <v>-3.0041500000000001</v>
      </c>
      <c r="T2104">
        <v>-0.14654049999999999</v>
      </c>
      <c r="U2104">
        <v>0.18792719999999999</v>
      </c>
      <c r="V2104">
        <v>-4.0667009999999998E-3</v>
      </c>
      <c r="W2104">
        <v>1.6219210000000001E-2</v>
      </c>
      <c r="X2104">
        <v>0.99986019999999898</v>
      </c>
      <c r="Y2104">
        <v>7.5603879999999998E-2</v>
      </c>
      <c r="Z2104">
        <v>2.4891969999999999E-3</v>
      </c>
      <c r="AA2104">
        <v>0.99713479999999999</v>
      </c>
      <c r="AB2104">
        <v>25</v>
      </c>
      <c r="AC2104">
        <v>-22.495999999999999</v>
      </c>
      <c r="AD2104">
        <v>-1.104938166508</v>
      </c>
      <c r="AE2104">
        <v>1.41910000000001</v>
      </c>
      <c r="AF2104">
        <v>1.7142059825259699</v>
      </c>
      <c r="AG2104">
        <v>-1.104938166508</v>
      </c>
      <c r="AH2104">
        <v>22.421247845706599</v>
      </c>
      <c r="AI2104">
        <v>92.813105797621603</v>
      </c>
      <c r="AJ2104">
        <v>85.627983402448706</v>
      </c>
      <c r="AK2104">
        <v>22.5138123262352</v>
      </c>
    </row>
    <row r="2105" spans="1:37" x14ac:dyDescent="0.2">
      <c r="A2105" t="str">
        <f>"20200111155540762"</f>
        <v>20200111155540762</v>
      </c>
      <c r="B2105" t="str">
        <f>"1578729340755373"</f>
        <v>1578729340755373</v>
      </c>
      <c r="C2105" t="s">
        <v>37</v>
      </c>
      <c r="D2105">
        <v>5.2438719999999996</v>
      </c>
      <c r="E2105">
        <v>0.53089350000000002</v>
      </c>
      <c r="F2105" t="s">
        <v>61</v>
      </c>
      <c r="G2105">
        <v>-280.12389999999999</v>
      </c>
      <c r="H2105" s="1">
        <v>8.0719740000000005E-6</v>
      </c>
      <c r="I2105">
        <v>285.94869999999997</v>
      </c>
      <c r="J2105">
        <v>-258.30419999999998</v>
      </c>
      <c r="K2105">
        <v>1.1049500000000001</v>
      </c>
      <c r="L2105">
        <v>284.56610000000001</v>
      </c>
      <c r="M2105">
        <v>-0.99981520000000002</v>
      </c>
      <c r="N2105">
        <v>0</v>
      </c>
      <c r="O2105">
        <v>-1.334609E-2</v>
      </c>
      <c r="P2105">
        <v>-0.99984039999999996</v>
      </c>
      <c r="Q2105">
        <v>2.2288080000000001E-3</v>
      </c>
      <c r="R2105">
        <v>-1.7726680000000002E-2</v>
      </c>
      <c r="S2105">
        <v>-3.0041199999999999</v>
      </c>
      <c r="T2105">
        <v>-0.15104319999999999</v>
      </c>
      <c r="U2105">
        <v>0.18872069999999999</v>
      </c>
      <c r="V2105">
        <v>-4.3809030000000002E-3</v>
      </c>
      <c r="W2105">
        <v>1.606378E-2</v>
      </c>
      <c r="X2105">
        <v>0.99986140000000001</v>
      </c>
      <c r="Y2105">
        <v>7.5900250000000002E-2</v>
      </c>
      <c r="Z2105">
        <v>2.5750639999999902E-3</v>
      </c>
      <c r="AA2105">
        <v>0.99711209999999995</v>
      </c>
      <c r="AB2105">
        <v>25</v>
      </c>
      <c r="AC2105">
        <v>-21.819700000000001</v>
      </c>
      <c r="AD2105">
        <v>-1.104941928026</v>
      </c>
      <c r="AE2105">
        <v>1.3825999999999601</v>
      </c>
      <c r="AF2105">
        <v>1.66944842755317</v>
      </c>
      <c r="AG2105">
        <v>-1.104941928026</v>
      </c>
      <c r="AH2105">
        <v>21.743766064280798</v>
      </c>
      <c r="AI2105">
        <v>92.900546223560099</v>
      </c>
      <c r="AJ2105">
        <v>85.609543579903203</v>
      </c>
      <c r="AK2105">
        <v>21.835734871415202</v>
      </c>
    </row>
    <row r="2106" spans="1:37" x14ac:dyDescent="0.2">
      <c r="A2106" t="str">
        <f>"20200111155540776"</f>
        <v>20200111155540776</v>
      </c>
      <c r="B2106" t="str">
        <f>"1578729340765132"</f>
        <v>1578729340765132</v>
      </c>
      <c r="C2106" t="s">
        <v>37</v>
      </c>
      <c r="D2106">
        <v>5.2753889999999997</v>
      </c>
      <c r="E2106">
        <v>0.5307229</v>
      </c>
      <c r="F2106" t="s">
        <v>61</v>
      </c>
      <c r="G2106">
        <v>-280.09089999999998</v>
      </c>
      <c r="H2106" s="1">
        <v>8.0918689999999998E-6</v>
      </c>
      <c r="I2106">
        <v>285.92349999999999</v>
      </c>
      <c r="J2106">
        <v>-258.4776</v>
      </c>
      <c r="K2106">
        <v>1.1049500000000001</v>
      </c>
      <c r="L2106">
        <v>284.56380000000001</v>
      </c>
      <c r="M2106">
        <v>-0.9998146</v>
      </c>
      <c r="N2106">
        <v>0</v>
      </c>
      <c r="O2106">
        <v>-1.339052E-2</v>
      </c>
      <c r="P2106">
        <v>-0.99984039999999996</v>
      </c>
      <c r="Q2106">
        <v>1.94812E-3</v>
      </c>
      <c r="R2106">
        <v>-1.7759810000000001E-2</v>
      </c>
      <c r="S2106">
        <v>-3.0041500000000001</v>
      </c>
      <c r="T2106">
        <v>-0.15235979999999999</v>
      </c>
      <c r="U2106">
        <v>0.18716429999999901</v>
      </c>
      <c r="V2106">
        <v>-4.36995599999999E-3</v>
      </c>
      <c r="W2106">
        <v>1.5780570000000001E-2</v>
      </c>
      <c r="X2106">
        <v>0.99986589999999997</v>
      </c>
      <c r="Y2106">
        <v>7.5427930000000004E-2</v>
      </c>
      <c r="Z2106">
        <v>2.58779E-3</v>
      </c>
      <c r="AA2106">
        <v>0.99714789999999998</v>
      </c>
      <c r="AB2106">
        <v>25</v>
      </c>
      <c r="AC2106">
        <v>-21.613299999999899</v>
      </c>
      <c r="AD2106">
        <v>-1.1049419081309999</v>
      </c>
      <c r="AE2106">
        <v>1.3596999999999699</v>
      </c>
      <c r="AF2106">
        <v>1.6447373892041499</v>
      </c>
      <c r="AG2106">
        <v>-1.1049419081309999</v>
      </c>
      <c r="AH2106">
        <v>21.537085891257501</v>
      </c>
      <c r="AI2106">
        <v>92.928424349777202</v>
      </c>
      <c r="AJ2106">
        <v>85.632930417782106</v>
      </c>
      <c r="AK2106">
        <v>21.628040280783502</v>
      </c>
    </row>
    <row r="2107" spans="1:37" x14ac:dyDescent="0.2">
      <c r="A2107" t="str">
        <f>"20200111155540790"</f>
        <v>20200111155540790</v>
      </c>
      <c r="B2107" t="str">
        <f>"1578729340784652"</f>
        <v>1578729340784652</v>
      </c>
      <c r="C2107" t="s">
        <v>37</v>
      </c>
      <c r="D2107">
        <v>5.3539969999999997</v>
      </c>
      <c r="E2107">
        <v>0.53075000000000006</v>
      </c>
      <c r="F2107" t="s">
        <v>61</v>
      </c>
      <c r="G2107">
        <v>-280.01530000000002</v>
      </c>
      <c r="H2107" s="1">
        <v>8.1310189999999992E-6</v>
      </c>
      <c r="I2107">
        <v>285.89620000000002</v>
      </c>
      <c r="J2107">
        <v>-258.61279999999999</v>
      </c>
      <c r="K2107">
        <v>1.104954</v>
      </c>
      <c r="L2107">
        <v>284.56189999999998</v>
      </c>
      <c r="M2107">
        <v>-0.99981419999999999</v>
      </c>
      <c r="N2107">
        <v>0</v>
      </c>
      <c r="O2107">
        <v>-1.3424230000000001E-2</v>
      </c>
      <c r="P2107">
        <v>-0.99983869999999897</v>
      </c>
      <c r="Q2107">
        <v>1.901144E-3</v>
      </c>
      <c r="R2107">
        <v>-1.7864430000000001E-2</v>
      </c>
      <c r="S2107">
        <v>-3.0041199999999999</v>
      </c>
      <c r="T2107">
        <v>-0.154119799999999</v>
      </c>
      <c r="U2107">
        <v>0.18585209999999999</v>
      </c>
      <c r="V2107">
        <v>-4.440523E-3</v>
      </c>
      <c r="W2107">
        <v>1.573242E-2</v>
      </c>
      <c r="X2107">
        <v>0.99986640000000004</v>
      </c>
      <c r="Y2107">
        <v>7.5026090000000004E-2</v>
      </c>
      <c r="Z2107">
        <v>2.6091420000000001E-3</v>
      </c>
      <c r="AA2107">
        <v>0.99717809999999996</v>
      </c>
      <c r="AB2107">
        <v>25</v>
      </c>
      <c r="AC2107">
        <v>-21.4025</v>
      </c>
      <c r="AD2107">
        <v>-1.1049458689809999</v>
      </c>
      <c r="AE2107">
        <v>1.33430000000004</v>
      </c>
      <c r="AF2107">
        <v>1.61722554919891</v>
      </c>
      <c r="AG2107">
        <v>-1.1049458689809999</v>
      </c>
      <c r="AH2107">
        <v>21.3260362890226</v>
      </c>
      <c r="AI2107">
        <v>92.957483752193397</v>
      </c>
      <c r="AJ2107">
        <v>85.663367201281304</v>
      </c>
      <c r="AK2107">
        <v>21.415792015497999</v>
      </c>
    </row>
    <row r="2108" spans="1:37" x14ac:dyDescent="0.2">
      <c r="A2108" t="str">
        <f>"20200111155540805"</f>
        <v>20200111155540805</v>
      </c>
      <c r="B2108" t="str">
        <f>"1578729340794411"</f>
        <v>1578729340794411</v>
      </c>
      <c r="C2108" t="s">
        <v>37</v>
      </c>
      <c r="D2108">
        <v>5.2833160000000001</v>
      </c>
      <c r="E2108">
        <v>0.53072949999999997</v>
      </c>
      <c r="F2108" t="s">
        <v>59</v>
      </c>
      <c r="G2108">
        <v>-279.82060000000001</v>
      </c>
      <c r="H2108" s="1">
        <v>3.63438699999999E-6</v>
      </c>
      <c r="I2108">
        <v>285.87139999999999</v>
      </c>
      <c r="J2108">
        <v>-258.76979999999998</v>
      </c>
      <c r="K2108">
        <v>1.1049530000000001</v>
      </c>
      <c r="L2108">
        <v>284.55970000000002</v>
      </c>
      <c r="M2108">
        <v>-0.99981379999999997</v>
      </c>
      <c r="N2108">
        <v>0</v>
      </c>
      <c r="O2108">
        <v>-1.3462460000000001E-2</v>
      </c>
      <c r="P2108">
        <v>-0.99983290000000002</v>
      </c>
      <c r="Q2108">
        <v>2.0268819999999998E-3</v>
      </c>
      <c r="R2108">
        <v>-1.8168139999999999E-2</v>
      </c>
      <c r="S2108">
        <v>-3.004089</v>
      </c>
      <c r="T2108">
        <v>-0.1565165</v>
      </c>
      <c r="U2108">
        <v>0.18548580000000001</v>
      </c>
      <c r="V2108">
        <v>-4.706076E-3</v>
      </c>
      <c r="W2108">
        <v>1.5856390000000001E-2</v>
      </c>
      <c r="X2108">
        <v>0.99986319999999995</v>
      </c>
      <c r="Y2108">
        <v>7.4940190000000004E-2</v>
      </c>
      <c r="Z2108">
        <v>2.649453E-3</v>
      </c>
      <c r="AA2108">
        <v>0.99718449999999903</v>
      </c>
      <c r="AB2108">
        <v>24</v>
      </c>
      <c r="AC2108">
        <v>-21.050799999999999</v>
      </c>
      <c r="AD2108">
        <v>-1.1049493656130001</v>
      </c>
      <c r="AE2108">
        <v>1.3116999999999699</v>
      </c>
      <c r="AF2108">
        <v>1.59063822610811</v>
      </c>
      <c r="AG2108">
        <v>-1.1049493656130001</v>
      </c>
      <c r="AH2108">
        <v>20.9736691382837</v>
      </c>
      <c r="AI2108">
        <v>93.007088433047002</v>
      </c>
      <c r="AJ2108">
        <v>85.663003583775804</v>
      </c>
      <c r="AK2108">
        <v>21.062901988783999</v>
      </c>
    </row>
    <row r="2109" spans="1:37" x14ac:dyDescent="0.2">
      <c r="A2109" t="str">
        <f>"20200111155540822"</f>
        <v>20200111155540822</v>
      </c>
      <c r="B2109" t="str">
        <f>"1578729340814908"</f>
        <v>1578729340814908</v>
      </c>
      <c r="C2109" t="s">
        <v>37</v>
      </c>
      <c r="D2109">
        <v>5.2926570000000002</v>
      </c>
      <c r="E2109">
        <v>0.53045489999999995</v>
      </c>
      <c r="F2109" t="s">
        <v>59</v>
      </c>
      <c r="G2109">
        <v>-279.85230000000001</v>
      </c>
      <c r="H2109" s="1">
        <v>3.651979E-6</v>
      </c>
      <c r="I2109">
        <v>285.85430000000002</v>
      </c>
      <c r="J2109">
        <v>-258.96949999999998</v>
      </c>
      <c r="K2109">
        <v>1.104951</v>
      </c>
      <c r="L2109">
        <v>284.55700000000002</v>
      </c>
      <c r="M2109">
        <v>-0.99981319999999996</v>
      </c>
      <c r="N2109">
        <v>0</v>
      </c>
      <c r="O2109">
        <v>-1.350818E-2</v>
      </c>
      <c r="P2109">
        <v>-0.99982260000000001</v>
      </c>
      <c r="Q2109">
        <v>2.2867550000000001E-3</v>
      </c>
      <c r="R2109">
        <v>-1.8704129999999999E-2</v>
      </c>
      <c r="S2109">
        <v>-3.0042110000000002</v>
      </c>
      <c r="T2109">
        <v>-0.15745300000000001</v>
      </c>
      <c r="U2109">
        <v>0.184478799999999</v>
      </c>
      <c r="V2109">
        <v>-5.1961759999999899E-3</v>
      </c>
      <c r="W2109">
        <v>1.6114320000000001E-2</v>
      </c>
      <c r="X2109">
        <v>0.99985669999999904</v>
      </c>
      <c r="Y2109">
        <v>7.4649179999999996E-2</v>
      </c>
      <c r="Z2109">
        <v>2.659982E-3</v>
      </c>
      <c r="AA2109">
        <v>0.99720629999999999</v>
      </c>
      <c r="AB2109">
        <v>24</v>
      </c>
      <c r="AC2109">
        <v>-20.8828</v>
      </c>
      <c r="AD2109">
        <v>-1.1049473480209999</v>
      </c>
      <c r="AE2109">
        <v>1.2972999999999999</v>
      </c>
      <c r="AF2109">
        <v>1.5749049383448399</v>
      </c>
      <c r="AG2109">
        <v>-1.1049473480209999</v>
      </c>
      <c r="AH2109">
        <v>20.805344443281101</v>
      </c>
      <c r="AI2109">
        <v>93.0313989403421</v>
      </c>
      <c r="AJ2109">
        <v>85.671129349917095</v>
      </c>
      <c r="AK2109">
        <v>20.894104230865899</v>
      </c>
    </row>
    <row r="2110" spans="1:37" x14ac:dyDescent="0.2">
      <c r="A2110" t="str">
        <f>"20200111155540835"</f>
        <v>20200111155540835</v>
      </c>
      <c r="B2110" t="str">
        <f>"1578729340824668"</f>
        <v>1578729340824668</v>
      </c>
      <c r="C2110" t="s">
        <v>37</v>
      </c>
      <c r="D2110">
        <v>5.3363120000000004</v>
      </c>
      <c r="E2110">
        <v>0.5304084</v>
      </c>
      <c r="F2110" t="s">
        <v>59</v>
      </c>
      <c r="G2110">
        <v>-279.84399999999999</v>
      </c>
      <c r="H2110" s="1">
        <v>3.649465E-6</v>
      </c>
      <c r="I2110">
        <v>285.81119999999999</v>
      </c>
      <c r="J2110">
        <v>-259.11399999999998</v>
      </c>
      <c r="K2110">
        <v>1.1049519999999999</v>
      </c>
      <c r="L2110">
        <v>284.55500000000001</v>
      </c>
      <c r="M2110">
        <v>-0.99981279999999995</v>
      </c>
      <c r="N2110">
        <v>0</v>
      </c>
      <c r="O2110">
        <v>-1.35389999999999E-2</v>
      </c>
      <c r="P2110">
        <v>-0.99981450000000005</v>
      </c>
      <c r="Q2110">
        <v>2.2649879999999999E-3</v>
      </c>
      <c r="R2110">
        <v>-1.913291E-2</v>
      </c>
      <c r="S2110">
        <v>-3.0042719999999998</v>
      </c>
      <c r="T2110">
        <v>-0.15902469999999999</v>
      </c>
      <c r="U2110">
        <v>0.18051149999999999</v>
      </c>
      <c r="V2110">
        <v>-5.5942789999999997E-3</v>
      </c>
      <c r="W2110">
        <v>1.6090480000000001E-2</v>
      </c>
      <c r="X2110">
        <v>0.99985489999999999</v>
      </c>
      <c r="Y2110">
        <v>7.3365920000000001E-2</v>
      </c>
      <c r="Z2110">
        <v>2.654268E-3</v>
      </c>
      <c r="AA2110">
        <v>0.99730160000000001</v>
      </c>
      <c r="AB2110">
        <v>24</v>
      </c>
      <c r="AC2110">
        <v>-20.729999999999901</v>
      </c>
      <c r="AD2110">
        <v>-1.104948350535</v>
      </c>
      <c r="AE2110">
        <v>1.25619999999997</v>
      </c>
      <c r="AF2110">
        <v>1.5324372582981001</v>
      </c>
      <c r="AG2110">
        <v>-1.104948350535</v>
      </c>
      <c r="AH2110">
        <v>20.652628933606401</v>
      </c>
      <c r="AI2110">
        <v>93.054115046456801</v>
      </c>
      <c r="AJ2110">
        <v>85.756395979035901</v>
      </c>
      <c r="AK2110">
        <v>20.738861026517501</v>
      </c>
    </row>
    <row r="2111" spans="1:37" x14ac:dyDescent="0.2">
      <c r="A2111" t="str">
        <f>"20200111155540849"</f>
        <v>20200111155540849</v>
      </c>
      <c r="B2111" t="str">
        <f>"1578729340844188"</f>
        <v>1578729340844188</v>
      </c>
      <c r="C2111" t="s">
        <v>37</v>
      </c>
      <c r="D2111">
        <v>5.3137840000000001</v>
      </c>
      <c r="E2111">
        <v>0.53028640000000005</v>
      </c>
      <c r="F2111" t="s">
        <v>59</v>
      </c>
      <c r="G2111">
        <v>-279.84359999999998</v>
      </c>
      <c r="H2111" s="1">
        <v>3.6502350000000001E-6</v>
      </c>
      <c r="I2111">
        <v>285.7885</v>
      </c>
      <c r="J2111">
        <v>-259.25560000000002</v>
      </c>
      <c r="K2111">
        <v>1.104951</v>
      </c>
      <c r="L2111">
        <v>284.553</v>
      </c>
      <c r="M2111">
        <v>-0.99981239999999905</v>
      </c>
      <c r="N2111">
        <v>0</v>
      </c>
      <c r="O2111">
        <v>-1.356624E-2</v>
      </c>
      <c r="P2111">
        <v>-0.99980759999999902</v>
      </c>
      <c r="Q2111">
        <v>2.5966449999999999E-3</v>
      </c>
      <c r="R2111">
        <v>-1.9442999999999998E-2</v>
      </c>
      <c r="S2111">
        <v>-3.0043329999999999</v>
      </c>
      <c r="T2111">
        <v>-0.16014</v>
      </c>
      <c r="U2111">
        <v>0.17877199999999999</v>
      </c>
      <c r="V2111">
        <v>-5.8769699999999996E-3</v>
      </c>
      <c r="W2111">
        <v>1.6420879999999999E-2</v>
      </c>
      <c r="X2111">
        <v>0.99984789999999901</v>
      </c>
      <c r="Y2111">
        <v>7.2815530000000003E-2</v>
      </c>
      <c r="Z2111">
        <v>2.659654E-3</v>
      </c>
      <c r="AA2111">
        <v>0.9973419</v>
      </c>
      <c r="AB2111">
        <v>24</v>
      </c>
      <c r="AC2111">
        <v>-20.587999999999901</v>
      </c>
      <c r="AD2111">
        <v>-1.104947349765</v>
      </c>
      <c r="AE2111">
        <v>1.2355</v>
      </c>
      <c r="AF2111">
        <v>1.5103798165326101</v>
      </c>
      <c r="AG2111">
        <v>-1.104947349765</v>
      </c>
      <c r="AH2111">
        <v>20.5104756646863</v>
      </c>
      <c r="AI2111">
        <v>93.075365756570804</v>
      </c>
      <c r="AJ2111">
        <v>85.788373144677493</v>
      </c>
      <c r="AK2111">
        <v>20.595673522068399</v>
      </c>
    </row>
    <row r="2112" spans="1:37" x14ac:dyDescent="0.2">
      <c r="A2112" t="str">
        <f>"20200111155540867"</f>
        <v>20200111155540867</v>
      </c>
      <c r="B2112" t="str">
        <f>"1578729340864684"</f>
        <v>1578729340864684</v>
      </c>
      <c r="C2112" t="s">
        <v>37</v>
      </c>
      <c r="D2112">
        <v>5.3475000000000001</v>
      </c>
      <c r="E2112">
        <v>0.5301688</v>
      </c>
      <c r="F2112" t="s">
        <v>61</v>
      </c>
      <c r="G2112">
        <v>-280.03519999999997</v>
      </c>
      <c r="H2112" s="1">
        <v>8.1468839999999994E-6</v>
      </c>
      <c r="I2112">
        <v>285.77679999999998</v>
      </c>
      <c r="J2112">
        <v>-259.45280000000002</v>
      </c>
      <c r="K2112">
        <v>1.1049450000000001</v>
      </c>
      <c r="L2112">
        <v>284.55029999999999</v>
      </c>
      <c r="M2112">
        <v>-0.99981209999999898</v>
      </c>
      <c r="N2112">
        <v>0</v>
      </c>
      <c r="O2112">
        <v>-1.3600839999999999E-2</v>
      </c>
      <c r="P2112">
        <v>-0.99978829999999996</v>
      </c>
      <c r="Q2112">
        <v>3.3190469999999999E-3</v>
      </c>
      <c r="R2112">
        <v>-2.031606E-2</v>
      </c>
      <c r="S2112">
        <v>-3.0043950000000001</v>
      </c>
      <c r="T2112">
        <v>-0.15975690000000001</v>
      </c>
      <c r="U2112">
        <v>0.17694089999999901</v>
      </c>
      <c r="V2112">
        <v>-6.71551599999999E-3</v>
      </c>
      <c r="W2112">
        <v>1.7141279999999998E-2</v>
      </c>
      <c r="X2112">
        <v>0.99983049999999996</v>
      </c>
      <c r="Y2112">
        <v>7.2244439999999993E-2</v>
      </c>
      <c r="Z2112">
        <v>2.6399700000000002E-3</v>
      </c>
      <c r="AA2112">
        <v>0.99738349999999898</v>
      </c>
      <c r="AB2112">
        <v>24</v>
      </c>
      <c r="AC2112">
        <v>-20.5823999999999</v>
      </c>
      <c r="AD2112">
        <v>-1.104936853116</v>
      </c>
      <c r="AE2112">
        <v>1.2264999999999799</v>
      </c>
      <c r="AF2112">
        <v>1.5020377235126301</v>
      </c>
      <c r="AG2112">
        <v>-1.104936853116</v>
      </c>
      <c r="AH2112">
        <v>20.504928232391901</v>
      </c>
      <c r="AI2112">
        <v>93.076253786680596</v>
      </c>
      <c r="AJ2112">
        <v>85.810422572945598</v>
      </c>
      <c r="AK2112">
        <v>20.5895382315333</v>
      </c>
    </row>
    <row r="2113" spans="1:37" x14ac:dyDescent="0.2">
      <c r="A2113" t="str">
        <f>"20200111155540881"</f>
        <v>20200111155540881</v>
      </c>
      <c r="B2113" t="str">
        <f>"1578729340874444"</f>
        <v>1578729340874444</v>
      </c>
      <c r="C2113" t="s">
        <v>37</v>
      </c>
      <c r="D2113">
        <v>5.3583419999999897</v>
      </c>
      <c r="E2113">
        <v>0.53015069999999997</v>
      </c>
      <c r="F2113" t="s">
        <v>61</v>
      </c>
      <c r="G2113">
        <v>-280.36040000000003</v>
      </c>
      <c r="H2113" s="1">
        <v>8.0070789999999992E-6</v>
      </c>
      <c r="I2113">
        <v>285.75540000000001</v>
      </c>
      <c r="J2113">
        <v>-259.60610000000003</v>
      </c>
      <c r="K2113">
        <v>1.104941</v>
      </c>
      <c r="L2113">
        <v>284.54820000000001</v>
      </c>
      <c r="M2113">
        <v>-0.99981160000000002</v>
      </c>
      <c r="N2113">
        <v>0</v>
      </c>
      <c r="O2113">
        <v>-1.3623639999999999E-2</v>
      </c>
      <c r="P2113">
        <v>-0.99977830000000001</v>
      </c>
      <c r="Q2113">
        <v>3.2914579999999902E-3</v>
      </c>
      <c r="R2113">
        <v>-2.0795439999999998E-2</v>
      </c>
      <c r="S2113">
        <v>-3.0046689999999998</v>
      </c>
      <c r="T2113">
        <v>-0.15879289999999999</v>
      </c>
      <c r="U2113">
        <v>0.17318729999999999</v>
      </c>
      <c r="V2113">
        <v>-7.171775E-3</v>
      </c>
      <c r="W2113">
        <v>1.7112200000000001E-2</v>
      </c>
      <c r="X2113">
        <v>0.99982789999999999</v>
      </c>
      <c r="Y2113">
        <v>7.1023139999999998E-2</v>
      </c>
      <c r="Z2113">
        <v>2.5928969999999998E-3</v>
      </c>
      <c r="AA2113">
        <v>0.99747129999999995</v>
      </c>
      <c r="AB2113">
        <v>24</v>
      </c>
      <c r="AC2113">
        <v>-20.754300000000001</v>
      </c>
      <c r="AD2113">
        <v>-1.1049329929209999</v>
      </c>
      <c r="AE2113">
        <v>1.2072000000000001</v>
      </c>
      <c r="AF2113">
        <v>1.4856673598656001</v>
      </c>
      <c r="AG2113">
        <v>-1.1049329929209999</v>
      </c>
      <c r="AH2113">
        <v>20.677515478975799</v>
      </c>
      <c r="AI2113">
        <v>93.050923896398999</v>
      </c>
      <c r="AJ2113">
        <v>85.890393862527105</v>
      </c>
      <c r="AK2113">
        <v>20.760243996791001</v>
      </c>
    </row>
    <row r="2114" spans="1:37" x14ac:dyDescent="0.2">
      <c r="A2114" t="str">
        <f>"20200111155540893"</f>
        <v>20200111155540893</v>
      </c>
      <c r="B2114" t="str">
        <f>"1578729340884204"</f>
        <v>1578729340884204</v>
      </c>
      <c r="C2114" t="s">
        <v>37</v>
      </c>
      <c r="D2114">
        <v>5.36388</v>
      </c>
      <c r="E2114">
        <v>0.53016839999999998</v>
      </c>
      <c r="F2114" t="s">
        <v>61</v>
      </c>
      <c r="G2114">
        <v>-280.45580000000001</v>
      </c>
      <c r="H2114" s="1">
        <v>7.9679629999999994E-6</v>
      </c>
      <c r="I2114">
        <v>285.73989999999998</v>
      </c>
      <c r="J2114">
        <v>-259.74689999999998</v>
      </c>
      <c r="K2114">
        <v>1.1049359999999999</v>
      </c>
      <c r="L2114">
        <v>284.5462</v>
      </c>
      <c r="M2114">
        <v>-0.99981160000000002</v>
      </c>
      <c r="N2114">
        <v>0</v>
      </c>
      <c r="O2114">
        <v>-1.36405E-2</v>
      </c>
      <c r="P2114">
        <v>-0.99977019999999905</v>
      </c>
      <c r="Q2114">
        <v>3.5283979999999999E-3</v>
      </c>
      <c r="R2114">
        <v>-2.1158440000000001E-2</v>
      </c>
      <c r="S2114">
        <v>-3.0047609999999998</v>
      </c>
      <c r="T2114">
        <v>-0.15923799999999999</v>
      </c>
      <c r="U2114">
        <v>0.17175289999999999</v>
      </c>
      <c r="V2114">
        <v>-7.5178679999999996E-3</v>
      </c>
      <c r="W2114">
        <v>1.7347720000000001E-2</v>
      </c>
      <c r="X2114">
        <v>0.99982119999999997</v>
      </c>
      <c r="Y2114">
        <v>7.0563580000000001E-2</v>
      </c>
      <c r="Z2114">
        <v>2.5888450000000002E-3</v>
      </c>
      <c r="AA2114">
        <v>0.9975039</v>
      </c>
      <c r="AB2114">
        <v>24</v>
      </c>
      <c r="AC2114">
        <v>-20.7089</v>
      </c>
      <c r="AD2114">
        <v>-1.1049280320370001</v>
      </c>
      <c r="AE2114">
        <v>1.19369999999997</v>
      </c>
      <c r="AF2114">
        <v>1.4719192565785499</v>
      </c>
      <c r="AG2114">
        <v>-1.1049280320370001</v>
      </c>
      <c r="AH2114">
        <v>20.63214806065</v>
      </c>
      <c r="AI2114">
        <v>93.057716573515094</v>
      </c>
      <c r="AJ2114">
        <v>85.919371989722904</v>
      </c>
      <c r="AK2114">
        <v>20.714076031782099</v>
      </c>
    </row>
    <row r="2115" spans="1:37" x14ac:dyDescent="0.2">
      <c r="A2115" t="str">
        <f>"20200111155540912"</f>
        <v>20200111155540912</v>
      </c>
      <c r="B2115" t="str">
        <f>"1578729340904700"</f>
        <v>1578729340904700</v>
      </c>
      <c r="C2115" t="s">
        <v>37</v>
      </c>
      <c r="D2115">
        <v>5.3485309999999897</v>
      </c>
      <c r="E2115">
        <v>0.53015889999999999</v>
      </c>
      <c r="F2115" t="s">
        <v>61</v>
      </c>
      <c r="G2115">
        <v>-280.61619999999999</v>
      </c>
      <c r="H2115" s="1">
        <v>7.8985670000000006E-6</v>
      </c>
      <c r="I2115">
        <v>285.73140000000001</v>
      </c>
      <c r="J2115">
        <v>-259.93979999999999</v>
      </c>
      <c r="K2115">
        <v>1.10493</v>
      </c>
      <c r="L2115">
        <v>284.54349999999999</v>
      </c>
      <c r="M2115">
        <v>-0.99981139999999902</v>
      </c>
      <c r="N2115">
        <v>0</v>
      </c>
      <c r="O2115">
        <v>-1.365743E-2</v>
      </c>
      <c r="P2115">
        <v>-0.99975539999999996</v>
      </c>
      <c r="Q2115">
        <v>3.5486850000000002E-3</v>
      </c>
      <c r="R2115">
        <v>-2.183676E-2</v>
      </c>
      <c r="S2115">
        <v>-3.0048520000000001</v>
      </c>
      <c r="T2115">
        <v>-0.1590925</v>
      </c>
      <c r="U2115">
        <v>0.17065429999999901</v>
      </c>
      <c r="V2115">
        <v>-8.1795970000000003E-3</v>
      </c>
      <c r="W2115">
        <v>1.7366320000000001E-2</v>
      </c>
      <c r="X2115">
        <v>0.99981580000000003</v>
      </c>
      <c r="Y2115">
        <v>7.0215879999999994E-2</v>
      </c>
      <c r="Z2115">
        <v>2.5781350000000001E-3</v>
      </c>
      <c r="AA2115">
        <v>0.99752850000000004</v>
      </c>
      <c r="AB2115">
        <v>24</v>
      </c>
      <c r="AC2115">
        <v>-20.676400000000001</v>
      </c>
      <c r="AD2115">
        <v>-1.104922101433</v>
      </c>
      <c r="AE2115">
        <v>1.1879000000000099</v>
      </c>
      <c r="AF2115">
        <v>1.46602981668063</v>
      </c>
      <c r="AG2115">
        <v>-1.104922101433</v>
      </c>
      <c r="AH2115">
        <v>20.599613093551401</v>
      </c>
      <c r="AI2115">
        <v>93.0625578677747</v>
      </c>
      <c r="AJ2115">
        <v>85.929246894719896</v>
      </c>
      <c r="AK2115">
        <v>20.681251313149499</v>
      </c>
    </row>
    <row r="2116" spans="1:37" x14ac:dyDescent="0.2">
      <c r="A2116" t="str">
        <f>"20200111155540926"</f>
        <v>20200111155540926</v>
      </c>
      <c r="B2116" t="str">
        <f>"1578729340914460"</f>
        <v>1578729340914460</v>
      </c>
      <c r="C2116" t="s">
        <v>37</v>
      </c>
      <c r="D2116">
        <v>5.3335189999999999</v>
      </c>
      <c r="E2116">
        <v>0.53014479999999997</v>
      </c>
      <c r="F2116" t="s">
        <v>61</v>
      </c>
      <c r="G2116">
        <v>-280.65300000000002</v>
      </c>
      <c r="H2116" s="1">
        <v>7.8877999999999993E-6</v>
      </c>
      <c r="I2116">
        <v>285.7047</v>
      </c>
      <c r="J2116">
        <v>-260.08659999999998</v>
      </c>
      <c r="K2116">
        <v>1.1049209999999901</v>
      </c>
      <c r="L2116">
        <v>284.54149999999998</v>
      </c>
      <c r="M2116">
        <v>-0.99981109999999895</v>
      </c>
      <c r="N2116">
        <v>0</v>
      </c>
      <c r="O2116">
        <v>-1.366581E-2</v>
      </c>
      <c r="P2116">
        <v>-0.99974940000000001</v>
      </c>
      <c r="Q2116">
        <v>3.631301E-3</v>
      </c>
      <c r="R2116">
        <v>-2.2089029999999999E-2</v>
      </c>
      <c r="S2116">
        <v>-3.0049739999999998</v>
      </c>
      <c r="T2116">
        <v>-0.16029760000000001</v>
      </c>
      <c r="U2116">
        <v>0.168457</v>
      </c>
      <c r="V2116">
        <v>-8.4232030000000006E-3</v>
      </c>
      <c r="W2116">
        <v>1.744737E-2</v>
      </c>
      <c r="X2116">
        <v>0.99981229999999999</v>
      </c>
      <c r="Y2116">
        <v>6.949408E-2</v>
      </c>
      <c r="Z2116">
        <v>2.5788069999999998E-3</v>
      </c>
      <c r="AA2116">
        <v>0.99757899999999999</v>
      </c>
      <c r="AB2116">
        <v>24</v>
      </c>
      <c r="AC2116">
        <v>-20.566400000000002</v>
      </c>
      <c r="AD2116">
        <v>-1.10491311219999</v>
      </c>
      <c r="AE2116">
        <v>1.16320000000001</v>
      </c>
      <c r="AF2116">
        <v>1.44003162551537</v>
      </c>
      <c r="AG2116">
        <v>-1.10491311219999</v>
      </c>
      <c r="AH2116">
        <v>20.489631114040701</v>
      </c>
      <c r="AI2116">
        <v>93.079131971060093</v>
      </c>
      <c r="AJ2116">
        <v>85.979806151399401</v>
      </c>
      <c r="AK2116">
        <v>20.569868916876</v>
      </c>
    </row>
    <row r="2117" spans="1:37" x14ac:dyDescent="0.2">
      <c r="A2117" t="str">
        <f>"20200111155540938"</f>
        <v>20200111155540938</v>
      </c>
      <c r="B2117" t="str">
        <f>"1578729340934957"</f>
        <v>1578729340934957</v>
      </c>
      <c r="C2117" t="s">
        <v>37</v>
      </c>
      <c r="D2117">
        <v>5.3343600000000002</v>
      </c>
      <c r="E2117">
        <v>0.53007669999999996</v>
      </c>
      <c r="F2117" t="s">
        <v>61</v>
      </c>
      <c r="G2117">
        <v>-280.76659999999998</v>
      </c>
      <c r="H2117" s="1">
        <v>7.8392589999999907E-6</v>
      </c>
      <c r="I2117">
        <v>285.69580000000002</v>
      </c>
      <c r="J2117">
        <v>-260.23489999999998</v>
      </c>
      <c r="K2117">
        <v>1.1049169999999999</v>
      </c>
      <c r="L2117">
        <v>284.53949999999998</v>
      </c>
      <c r="M2117">
        <v>-0.99981119999999901</v>
      </c>
      <c r="N2117">
        <v>0</v>
      </c>
      <c r="O2117">
        <v>-1.367144E-2</v>
      </c>
      <c r="P2117">
        <v>-0.9997414</v>
      </c>
      <c r="Q2117">
        <v>3.9106740000000003E-3</v>
      </c>
      <c r="R2117">
        <v>-2.2406840000000001E-2</v>
      </c>
      <c r="S2117">
        <v>-3.0050659999999998</v>
      </c>
      <c r="T2117">
        <v>-0.16055820000000001</v>
      </c>
      <c r="U2117">
        <v>0.1677246</v>
      </c>
      <c r="V2117">
        <v>-8.7349509999999995E-3</v>
      </c>
      <c r="W2117">
        <v>1.7725319999999999E-2</v>
      </c>
      <c r="X2117">
        <v>0.99980469999999899</v>
      </c>
      <c r="Y2117">
        <v>6.9255579999999997E-2</v>
      </c>
      <c r="Z2117">
        <v>2.5768710000000001E-3</v>
      </c>
      <c r="AA2117">
        <v>0.99759560000000003</v>
      </c>
      <c r="AB2117">
        <v>24</v>
      </c>
      <c r="AC2117">
        <v>-20.531700000000001</v>
      </c>
      <c r="AD2117">
        <v>-1.104909160741</v>
      </c>
      <c r="AE2117">
        <v>1.1563000000000401</v>
      </c>
      <c r="AF2117">
        <v>1.43278032172824</v>
      </c>
      <c r="AG2117">
        <v>-1.104909160741</v>
      </c>
      <c r="AH2117">
        <v>20.4549201703257</v>
      </c>
      <c r="AI2117">
        <v>93.084386570333905</v>
      </c>
      <c r="AJ2117">
        <v>85.993218296387298</v>
      </c>
      <c r="AK2117">
        <v>20.534786165875101</v>
      </c>
    </row>
    <row r="2118" spans="1:37" x14ac:dyDescent="0.2">
      <c r="A2118" t="str">
        <f>"20200111155540957"</f>
        <v>20200111155540957</v>
      </c>
      <c r="B2118" t="str">
        <f>"1578729340944716"</f>
        <v>1578729340944716</v>
      </c>
      <c r="C2118" t="s">
        <v>37</v>
      </c>
      <c r="D2118">
        <v>5.3237839999999998</v>
      </c>
      <c r="E2118">
        <v>0.53008659999999996</v>
      </c>
      <c r="F2118" t="s">
        <v>40</v>
      </c>
      <c r="G2118">
        <v>-261.18860000000001</v>
      </c>
      <c r="H2118">
        <v>1.054044</v>
      </c>
      <c r="I2118">
        <v>284.59230000000002</v>
      </c>
      <c r="J2118">
        <v>-260.43150000000003</v>
      </c>
      <c r="K2118">
        <v>1.1049089999999999</v>
      </c>
      <c r="L2118">
        <v>284.53680000000003</v>
      </c>
      <c r="M2118">
        <v>-0.99981129999999996</v>
      </c>
      <c r="N2118">
        <v>0</v>
      </c>
      <c r="O2118">
        <v>-1.3673920000000001E-2</v>
      </c>
      <c r="P2118">
        <v>-0.99974499999999999</v>
      </c>
      <c r="Q2118">
        <v>4.5389590000000004E-3</v>
      </c>
      <c r="R2118">
        <v>-2.2126670000000001E-2</v>
      </c>
      <c r="S2118">
        <v>-3.005096</v>
      </c>
      <c r="T2118">
        <v>-0.16032150000000001</v>
      </c>
      <c r="U2118">
        <v>0.1660461</v>
      </c>
      <c r="V2118">
        <v>-8.4526250000000001E-3</v>
      </c>
      <c r="W2118">
        <v>1.8345589999999998E-2</v>
      </c>
      <c r="X2118">
        <v>0.99979599999999902</v>
      </c>
      <c r="Y2118">
        <v>6.8703139999999996E-2</v>
      </c>
      <c r="Z2118">
        <v>2.5585069999999998E-3</v>
      </c>
      <c r="AA2118">
        <v>0.99763389999999996</v>
      </c>
      <c r="AB2118">
        <v>24</v>
      </c>
      <c r="AC2118">
        <v>-0.75709999999997901</v>
      </c>
      <c r="AD2118">
        <v>-5.0864999999999903E-2</v>
      </c>
      <c r="AE2118">
        <v>5.5499999999994998E-2</v>
      </c>
      <c r="AF2118">
        <v>6.5554011801346804E-2</v>
      </c>
      <c r="AG2118">
        <v>-5.0864999999999903E-2</v>
      </c>
      <c r="AH2118">
        <v>0.75289008128363699</v>
      </c>
      <c r="AI2118">
        <v>93.850486378637797</v>
      </c>
      <c r="AJ2118">
        <v>85.023815939516297</v>
      </c>
      <c r="AK2118">
        <v>0.757448381860792</v>
      </c>
    </row>
    <row r="2119" spans="1:37" x14ac:dyDescent="0.2">
      <c r="A2119" t="str">
        <f>"20200111155540972"</f>
        <v>20200111155540972</v>
      </c>
      <c r="B2119" t="str">
        <f>"1578729340964236"</f>
        <v>1578729340964236</v>
      </c>
      <c r="C2119" t="s">
        <v>37</v>
      </c>
      <c r="D2119">
        <v>5.377942</v>
      </c>
      <c r="E2119">
        <v>0.53014609999999995</v>
      </c>
      <c r="F2119" t="s">
        <v>61</v>
      </c>
      <c r="G2119">
        <v>-281.2946</v>
      </c>
      <c r="H2119" s="1">
        <v>7.6050360000000002E-6</v>
      </c>
      <c r="I2119">
        <v>285.6961</v>
      </c>
      <c r="J2119">
        <v>-260.5849</v>
      </c>
      <c r="K2119">
        <v>1.1049</v>
      </c>
      <c r="L2119">
        <v>284.53469999999999</v>
      </c>
      <c r="M2119">
        <v>-0.99981160000000002</v>
      </c>
      <c r="N2119">
        <v>0</v>
      </c>
      <c r="O2119">
        <v>-1.367285E-2</v>
      </c>
      <c r="P2119">
        <v>-0.9997471</v>
      </c>
      <c r="Q2119">
        <v>4.4787059999999998E-3</v>
      </c>
      <c r="R2119">
        <v>-2.2043090000000001E-2</v>
      </c>
      <c r="S2119">
        <v>-3.005188</v>
      </c>
      <c r="T2119">
        <v>-0.15915319999999999</v>
      </c>
      <c r="U2119">
        <v>0.16699220000000001</v>
      </c>
      <c r="V2119">
        <v>-8.37016199999999E-3</v>
      </c>
      <c r="W2119">
        <v>1.8256430000000001E-2</v>
      </c>
      <c r="X2119">
        <v>0.99979830000000003</v>
      </c>
      <c r="Y2119">
        <v>6.9014729999999996E-2</v>
      </c>
      <c r="Z2119">
        <v>2.5479719999999999E-3</v>
      </c>
      <c r="AA2119">
        <v>0.99761239999999995</v>
      </c>
      <c r="AB2119">
        <v>24</v>
      </c>
      <c r="AC2119">
        <v>-20.709700000000002</v>
      </c>
      <c r="AD2119">
        <v>-1.1048923949639999</v>
      </c>
      <c r="AE2119">
        <v>1.16140000000001</v>
      </c>
      <c r="AF2119">
        <v>1.44039187018007</v>
      </c>
      <c r="AG2119">
        <v>-1.1048923949639999</v>
      </c>
      <c r="AH2119">
        <v>20.633336460783699</v>
      </c>
      <c r="AI2119">
        <v>93.057770715872607</v>
      </c>
      <c r="AJ2119">
        <v>86.006719311590999</v>
      </c>
      <c r="AK2119">
        <v>20.7130415305922</v>
      </c>
    </row>
    <row r="2120" spans="1:37" x14ac:dyDescent="0.2">
      <c r="A2120" t="str">
        <f>"20200111155540990"</f>
        <v>20200111155540990</v>
      </c>
      <c r="B2120" t="str">
        <f>"1578729340984732"</f>
        <v>1578729340984732</v>
      </c>
      <c r="C2120" t="s">
        <v>37</v>
      </c>
      <c r="D2120">
        <v>5.2923210000000003</v>
      </c>
      <c r="E2120">
        <v>0.53015109999999999</v>
      </c>
      <c r="F2120" t="s">
        <v>61</v>
      </c>
      <c r="G2120">
        <v>-281.29169999999999</v>
      </c>
      <c r="H2120" s="1">
        <v>7.607601E-6</v>
      </c>
      <c r="I2120">
        <v>285.68979999999999</v>
      </c>
      <c r="J2120">
        <v>-260.78460000000001</v>
      </c>
      <c r="K2120">
        <v>1.10487</v>
      </c>
      <c r="L2120">
        <v>284.53199999999998</v>
      </c>
      <c r="M2120">
        <v>-0.99981299999999995</v>
      </c>
      <c r="N2120">
        <v>0</v>
      </c>
      <c r="O2120">
        <v>-1.3669199999999999E-2</v>
      </c>
      <c r="P2120">
        <v>-0.99975319999999901</v>
      </c>
      <c r="Q2120">
        <v>4.6984399999999999E-3</v>
      </c>
      <c r="R2120">
        <v>-2.1718089999999999E-2</v>
      </c>
      <c r="S2120">
        <v>-3.005188</v>
      </c>
      <c r="T2120">
        <v>-0.1603531</v>
      </c>
      <c r="U2120">
        <v>0.16763310000000001</v>
      </c>
      <c r="V2120">
        <v>-8.0483429999999995E-3</v>
      </c>
      <c r="W2120">
        <v>1.8382289999999999E-2</v>
      </c>
      <c r="X2120">
        <v>0.99979869999999904</v>
      </c>
      <c r="Y2120">
        <v>6.9221119999999997E-2</v>
      </c>
      <c r="Z2120">
        <v>2.572441E-3</v>
      </c>
      <c r="AA2120">
        <v>0.99759809999999904</v>
      </c>
      <c r="AB2120">
        <v>24</v>
      </c>
      <c r="AC2120">
        <v>-20.507099999999902</v>
      </c>
      <c r="AD2120">
        <v>-1.104862392399</v>
      </c>
      <c r="AE2120">
        <v>1.1577999999999999</v>
      </c>
      <c r="AF2120">
        <v>1.43388472298777</v>
      </c>
      <c r="AG2120">
        <v>-1.104862392399</v>
      </c>
      <c r="AH2120">
        <v>20.430240816681302</v>
      </c>
      <c r="AI2120">
        <v>93.0879449662296</v>
      </c>
      <c r="AJ2120">
        <v>85.985311893011996</v>
      </c>
      <c r="AK2120">
        <v>20.5102775732691</v>
      </c>
    </row>
    <row r="2121" spans="1:37" x14ac:dyDescent="0.2">
      <c r="A2121" t="str">
        <f>"20200111155541003"</f>
        <v>20200111155541003</v>
      </c>
      <c r="B2121" t="str">
        <f>"1578729340994492"</f>
        <v>1578729340994492</v>
      </c>
      <c r="C2121" t="s">
        <v>37</v>
      </c>
      <c r="D2121">
        <v>5.3340189999999996</v>
      </c>
      <c r="E2121">
        <v>0.53012939999999997</v>
      </c>
      <c r="F2121" t="s">
        <v>61</v>
      </c>
      <c r="G2121">
        <v>-281.45159999999998</v>
      </c>
      <c r="H2121" s="1">
        <v>7.5363500000000003E-6</v>
      </c>
      <c r="I2121">
        <v>285.69150000000002</v>
      </c>
      <c r="J2121">
        <v>-260.92959999999999</v>
      </c>
      <c r="K2121">
        <v>1.104843</v>
      </c>
      <c r="L2121">
        <v>284.52999999999997</v>
      </c>
      <c r="M2121">
        <v>-0.99981450000000005</v>
      </c>
      <c r="N2121">
        <v>0</v>
      </c>
      <c r="O2121">
        <v>-1.366581E-2</v>
      </c>
      <c r="P2121">
        <v>-0.99976039999999899</v>
      </c>
      <c r="Q2121">
        <v>4.4771409999999996E-3</v>
      </c>
      <c r="R2121">
        <v>-2.1429340000000002E-2</v>
      </c>
      <c r="S2121">
        <v>-3.0051570000000001</v>
      </c>
      <c r="T2121">
        <v>-0.16065650000000001</v>
      </c>
      <c r="U2121">
        <v>0.1686096</v>
      </c>
      <c r="V2121">
        <v>-7.7623459999999998E-3</v>
      </c>
      <c r="W2121">
        <v>1.8049039999999999E-2</v>
      </c>
      <c r="X2121">
        <v>0.999807</v>
      </c>
      <c r="Y2121">
        <v>6.9540569999999996E-2</v>
      </c>
      <c r="Z2121">
        <v>2.5856500000000001E-3</v>
      </c>
      <c r="AA2121">
        <v>0.99757580000000001</v>
      </c>
      <c r="AB2121">
        <v>24</v>
      </c>
      <c r="AC2121">
        <v>-20.521999999999899</v>
      </c>
      <c r="AD2121">
        <v>-1.10483546365</v>
      </c>
      <c r="AE2121">
        <v>1.1615000000000399</v>
      </c>
      <c r="AF2121">
        <v>1.4377133657902099</v>
      </c>
      <c r="AG2121">
        <v>-1.10483546365</v>
      </c>
      <c r="AH2121">
        <v>20.445140328668302</v>
      </c>
      <c r="AI2121">
        <v>93.085594592327695</v>
      </c>
      <c r="AJ2121">
        <v>85.977551271037001</v>
      </c>
      <c r="AK2121">
        <v>20.525385360154701</v>
      </c>
    </row>
    <row r="2122" spans="1:37" x14ac:dyDescent="0.2">
      <c r="A2122" t="str">
        <f>"20200111155541015"</f>
        <v>20200111155541015</v>
      </c>
      <c r="B2122" t="str">
        <f>"1578729341004253"</f>
        <v>1578729341004253</v>
      </c>
      <c r="C2122" t="s">
        <v>37</v>
      </c>
      <c r="D2122">
        <v>5.2598129999999896</v>
      </c>
      <c r="E2122">
        <v>0.53012649999999994</v>
      </c>
      <c r="F2122" t="s">
        <v>61</v>
      </c>
      <c r="G2122">
        <v>-281.47039999999998</v>
      </c>
      <c r="H2122" s="1">
        <v>7.5291109999999997E-6</v>
      </c>
      <c r="I2122">
        <v>285.68630000000002</v>
      </c>
      <c r="J2122">
        <v>-261.07409999999999</v>
      </c>
      <c r="K2122">
        <v>1.1048089999999999</v>
      </c>
      <c r="L2122">
        <v>284.52809999999999</v>
      </c>
      <c r="M2122">
        <v>-0.999816699999999</v>
      </c>
      <c r="N2122">
        <v>0</v>
      </c>
      <c r="O2122">
        <v>-1.366184E-2</v>
      </c>
      <c r="P2122">
        <v>-0.99977109999999902</v>
      </c>
      <c r="Q2122">
        <v>4.6413080000000002E-3</v>
      </c>
      <c r="R2122">
        <v>-2.0894659999999999E-2</v>
      </c>
      <c r="S2122">
        <v>-3.0050659999999998</v>
      </c>
      <c r="T2122">
        <v>-0.1616349</v>
      </c>
      <c r="U2122">
        <v>0.1691589</v>
      </c>
      <c r="V2122">
        <v>-7.2317249999999996E-3</v>
      </c>
      <c r="W2122">
        <v>1.8065250000000001E-2</v>
      </c>
      <c r="X2122">
        <v>0.99981059999999999</v>
      </c>
      <c r="Y2122">
        <v>6.9718340000000004E-2</v>
      </c>
      <c r="Z2122">
        <v>2.605998E-3</v>
      </c>
      <c r="AA2122">
        <v>0.99756329999999904</v>
      </c>
      <c r="AB2122">
        <v>24</v>
      </c>
      <c r="AC2122">
        <v>-20.3963</v>
      </c>
      <c r="AD2122">
        <v>-1.1048014708889999</v>
      </c>
      <c r="AE2122">
        <v>1.1582000000000201</v>
      </c>
      <c r="AF2122">
        <v>1.43257821816382</v>
      </c>
      <c r="AG2122">
        <v>-1.1048014708889999</v>
      </c>
      <c r="AH2122">
        <v>20.319146035143099</v>
      </c>
      <c r="AI2122">
        <v>93.104555196834099</v>
      </c>
      <c r="AJ2122">
        <v>85.9670998129574</v>
      </c>
      <c r="AK2122">
        <v>20.399523578718899</v>
      </c>
    </row>
    <row r="2123" spans="1:37" x14ac:dyDescent="0.2">
      <c r="A2123" t="str">
        <f>"20200111155541034"</f>
        <v>20200111155541034</v>
      </c>
      <c r="B2123" t="str">
        <f>"1578729341024751"</f>
        <v>1578729341024751</v>
      </c>
      <c r="C2123" t="s">
        <v>37</v>
      </c>
      <c r="D2123">
        <v>5.2574079999999999</v>
      </c>
      <c r="E2123">
        <v>0.53011299999999995</v>
      </c>
      <c r="F2123" t="s">
        <v>61</v>
      </c>
      <c r="G2123">
        <v>-281.66250000000002</v>
      </c>
      <c r="H2123" s="1">
        <v>7.4414639999999997E-6</v>
      </c>
      <c r="I2123">
        <v>285.69810000000001</v>
      </c>
      <c r="J2123">
        <v>-261.26589999999999</v>
      </c>
      <c r="K2123">
        <v>1.104765</v>
      </c>
      <c r="L2123">
        <v>284.52550000000002</v>
      </c>
      <c r="M2123">
        <v>-0.99981969999999998</v>
      </c>
      <c r="N2123">
        <v>0</v>
      </c>
      <c r="O2123">
        <v>-1.3656980000000001E-2</v>
      </c>
      <c r="P2123">
        <v>-0.99978419999999901</v>
      </c>
      <c r="Q2123">
        <v>4.9625540000000001E-3</v>
      </c>
      <c r="R2123">
        <v>-2.0177750000000001E-2</v>
      </c>
      <c r="S2123">
        <v>-3.0050050000000001</v>
      </c>
      <c r="T2123">
        <v>-0.161252799999999</v>
      </c>
      <c r="U2123">
        <v>0.17077639999999999</v>
      </c>
      <c r="V2123">
        <v>-6.5194529999999997E-3</v>
      </c>
      <c r="W2123">
        <v>1.8153450000000002E-2</v>
      </c>
      <c r="X2123">
        <v>0.99981399999999998</v>
      </c>
      <c r="Y2123">
        <v>7.0249619999999999E-2</v>
      </c>
      <c r="Z2123">
        <v>2.6138310000000001E-3</v>
      </c>
      <c r="AA2123">
        <v>0.99752600000000002</v>
      </c>
      <c r="AB2123">
        <v>24</v>
      </c>
      <c r="AC2123">
        <v>-20.396599999999999</v>
      </c>
      <c r="AD2123">
        <v>-1.1047575585360001</v>
      </c>
      <c r="AE2123">
        <v>1.1725999999999801</v>
      </c>
      <c r="AF2123">
        <v>1.44684018778818</v>
      </c>
      <c r="AG2123">
        <v>-1.1047575585360001</v>
      </c>
      <c r="AH2123">
        <v>20.319267260535099</v>
      </c>
      <c r="AI2123">
        <v>93.104260334476194</v>
      </c>
      <c r="AJ2123">
        <v>85.927109125187101</v>
      </c>
      <c r="AK2123">
        <v>20.400648465114902</v>
      </c>
    </row>
    <row r="2124" spans="1:37" x14ac:dyDescent="0.2">
      <c r="A2124" t="str">
        <f>"20200111155541056"</f>
        <v>20200111155541056</v>
      </c>
      <c r="B2124" t="str">
        <f>"1578729341044268"</f>
        <v>1578729341044268</v>
      </c>
      <c r="C2124" t="s">
        <v>37</v>
      </c>
      <c r="D2124">
        <v>5.2508730000000003</v>
      </c>
      <c r="E2124">
        <v>0.53013469999999996</v>
      </c>
      <c r="F2124" t="s">
        <v>61</v>
      </c>
      <c r="G2124">
        <v>-281.91320000000002</v>
      </c>
      <c r="H2124" s="1">
        <v>7.3272669999999999E-6</v>
      </c>
      <c r="I2124">
        <v>285.71269999999998</v>
      </c>
      <c r="J2124">
        <v>-261.50510000000003</v>
      </c>
      <c r="K2124">
        <v>1.104698</v>
      </c>
      <c r="L2124">
        <v>284.5222</v>
      </c>
      <c r="M2124">
        <v>-0.99982420000000005</v>
      </c>
      <c r="N2124">
        <v>0</v>
      </c>
      <c r="O2124">
        <v>-1.365209E-2</v>
      </c>
      <c r="P2124">
        <v>-0.99979589999999996</v>
      </c>
      <c r="Q2124">
        <v>5.1790919999999997E-3</v>
      </c>
      <c r="R2124">
        <v>-1.952769E-2</v>
      </c>
      <c r="S2124">
        <v>-3.0049440000000001</v>
      </c>
      <c r="T2124">
        <v>-0.16078299999999901</v>
      </c>
      <c r="U2124">
        <v>0.17279049999999899</v>
      </c>
      <c r="V2124">
        <v>-5.8744239999999996E-3</v>
      </c>
      <c r="W2124">
        <v>1.80314E-2</v>
      </c>
      <c r="X2124">
        <v>0.99982019999999905</v>
      </c>
      <c r="Y2124">
        <v>7.0912000000000003E-2</v>
      </c>
      <c r="Z2124">
        <v>2.623659E-3</v>
      </c>
      <c r="AA2124">
        <v>0.99747909999999995</v>
      </c>
      <c r="AB2124">
        <v>24</v>
      </c>
      <c r="AC2124">
        <v>-20.408099999999902</v>
      </c>
      <c r="AD2124">
        <v>-1.1046906727329999</v>
      </c>
      <c r="AE2124">
        <v>1.1904999999999799</v>
      </c>
      <c r="AF2124">
        <v>1.46474802524862</v>
      </c>
      <c r="AG2124">
        <v>-1.1046906727329999</v>
      </c>
      <c r="AH2124">
        <v>20.330575871819999</v>
      </c>
      <c r="AI2124">
        <v>93.102163929373404</v>
      </c>
      <c r="AJ2124">
        <v>85.879156453045695</v>
      </c>
      <c r="AK2124">
        <v>20.413185531408899</v>
      </c>
    </row>
    <row r="2125" spans="1:37" x14ac:dyDescent="0.2">
      <c r="A2125" t="str">
        <f>"20200111155541068"</f>
        <v>20200111155541068</v>
      </c>
      <c r="B2125" t="str">
        <f>"1578729341064764"</f>
        <v>1578729341064764</v>
      </c>
      <c r="C2125" t="s">
        <v>37</v>
      </c>
      <c r="D2125">
        <v>5.17171</v>
      </c>
      <c r="E2125">
        <v>0.53011739999999996</v>
      </c>
      <c r="F2125" t="s">
        <v>61</v>
      </c>
      <c r="G2125">
        <v>-282.21030000000002</v>
      </c>
      <c r="H2125" s="1">
        <v>7.1923349999999996E-6</v>
      </c>
      <c r="I2125">
        <v>285.72820000000002</v>
      </c>
      <c r="J2125">
        <v>-261.63929999999999</v>
      </c>
      <c r="K2125">
        <v>1.104657</v>
      </c>
      <c r="L2125">
        <v>284.5204</v>
      </c>
      <c r="M2125">
        <v>-0.99982709999999997</v>
      </c>
      <c r="N2125">
        <v>0</v>
      </c>
      <c r="O2125">
        <v>-1.3650239999999999E-2</v>
      </c>
      <c r="P2125">
        <v>-0.99979910000000005</v>
      </c>
      <c r="Q2125">
        <v>5.5575149999999999E-3</v>
      </c>
      <c r="R2125">
        <v>-1.9254650000000002E-2</v>
      </c>
      <c r="S2125">
        <v>-3.0048219999999999</v>
      </c>
      <c r="T2125">
        <v>-0.1603174</v>
      </c>
      <c r="U2125">
        <v>0.17501829999999999</v>
      </c>
      <c r="V2125">
        <v>-5.6036119999999896E-3</v>
      </c>
      <c r="W2125">
        <v>1.819016E-2</v>
      </c>
      <c r="X2125">
        <v>0.99981889999999995</v>
      </c>
      <c r="Y2125">
        <v>7.164914E-2</v>
      </c>
      <c r="Z2125">
        <v>2.6356579999999999E-3</v>
      </c>
      <c r="AA2125">
        <v>0.99742640000000005</v>
      </c>
      <c r="AB2125">
        <v>24</v>
      </c>
      <c r="AC2125">
        <v>-20.571000000000002</v>
      </c>
      <c r="AD2125">
        <v>-1.104649807665</v>
      </c>
      <c r="AE2125">
        <v>1.20780000000002</v>
      </c>
      <c r="AF2125">
        <v>1.48424363300471</v>
      </c>
      <c r="AG2125">
        <v>-1.104649807665</v>
      </c>
      <c r="AH2125">
        <v>20.4937019614595</v>
      </c>
      <c r="AI2125">
        <v>93.077321915520301</v>
      </c>
      <c r="AJ2125">
        <v>85.857621320472902</v>
      </c>
      <c r="AK2125">
        <v>20.5770515488692</v>
      </c>
    </row>
    <row r="2126" spans="1:37" x14ac:dyDescent="0.2">
      <c r="A2126" t="str">
        <f>"20200111155541082"</f>
        <v>20200111155541082</v>
      </c>
      <c r="B2126" t="str">
        <f>"1578729341074525"</f>
        <v>1578729341074525</v>
      </c>
      <c r="C2126" t="s">
        <v>37</v>
      </c>
      <c r="D2126">
        <v>5.1855549999999999</v>
      </c>
      <c r="E2126">
        <v>0.53011619999999904</v>
      </c>
      <c r="F2126" t="s">
        <v>61</v>
      </c>
      <c r="G2126">
        <v>-282.45819999999998</v>
      </c>
      <c r="H2126" s="1">
        <v>7.0804970000000004E-6</v>
      </c>
      <c r="I2126">
        <v>285.73739999999998</v>
      </c>
      <c r="J2126">
        <v>-261.78190000000001</v>
      </c>
      <c r="K2126">
        <v>1.104616</v>
      </c>
      <c r="L2126">
        <v>284.51839999999999</v>
      </c>
      <c r="M2126">
        <v>-0.9998302</v>
      </c>
      <c r="N2126">
        <v>0</v>
      </c>
      <c r="O2126">
        <v>-1.364838E-2</v>
      </c>
      <c r="P2126">
        <v>-0.99980559999999996</v>
      </c>
      <c r="Q2126">
        <v>5.7221800000000003E-3</v>
      </c>
      <c r="R2126">
        <v>-1.8871220000000001E-2</v>
      </c>
      <c r="S2126">
        <v>-3.0049130000000002</v>
      </c>
      <c r="T2126">
        <v>-0.1594409</v>
      </c>
      <c r="U2126">
        <v>0.17565919999999999</v>
      </c>
      <c r="V2126">
        <v>-5.221743E-3</v>
      </c>
      <c r="W2126">
        <v>1.8109110000000001E-2</v>
      </c>
      <c r="X2126">
        <v>0.9998224</v>
      </c>
      <c r="Y2126">
        <v>7.1858530000000004E-2</v>
      </c>
      <c r="Z2126">
        <v>2.6266169999999999E-3</v>
      </c>
      <c r="AA2126">
        <v>0.99741139999999995</v>
      </c>
      <c r="AB2126">
        <v>24</v>
      </c>
      <c r="AC2126">
        <v>-20.676299999999902</v>
      </c>
      <c r="AD2126">
        <v>-1.104608919503</v>
      </c>
      <c r="AE2126">
        <v>1.2189999999999901</v>
      </c>
      <c r="AF2126">
        <v>1.4968486920419</v>
      </c>
      <c r="AG2126">
        <v>-1.104608919503</v>
      </c>
      <c r="AH2126">
        <v>20.599146508046001</v>
      </c>
      <c r="AI2126">
        <v>93.061433227636797</v>
      </c>
      <c r="AJ2126">
        <v>85.843874511414299</v>
      </c>
      <c r="AK2126">
        <v>20.682977390401501</v>
      </c>
    </row>
    <row r="2127" spans="1:37" x14ac:dyDescent="0.2">
      <c r="A2127" t="str">
        <f>"20200111155541095"</f>
        <v>20200111155541095</v>
      </c>
      <c r="B2127" t="str">
        <f>"1578729341084284"</f>
        <v>1578729341084284</v>
      </c>
      <c r="C2127" t="s">
        <v>37</v>
      </c>
      <c r="D2127">
        <v>5.2223879999999996</v>
      </c>
      <c r="E2127">
        <v>0.53014430000000001</v>
      </c>
      <c r="F2127" t="s">
        <v>61</v>
      </c>
      <c r="G2127">
        <v>-282.66640000000001</v>
      </c>
      <c r="H2127" s="1">
        <v>6.9862180000000002E-6</v>
      </c>
      <c r="I2127">
        <v>285.74669999999998</v>
      </c>
      <c r="J2127">
        <v>-261.92959999999999</v>
      </c>
      <c r="K2127">
        <v>1.104571</v>
      </c>
      <c r="L2127">
        <v>284.51639999999998</v>
      </c>
      <c r="M2127">
        <v>-0.99983369999999905</v>
      </c>
      <c r="N2127">
        <v>0</v>
      </c>
      <c r="O2127">
        <v>-1.3647569999999999E-2</v>
      </c>
      <c r="P2127">
        <v>-0.99980499999999894</v>
      </c>
      <c r="Q2127">
        <v>6.1676730000000003E-3</v>
      </c>
      <c r="R2127">
        <v>-1.8769149999999998E-2</v>
      </c>
      <c r="S2127">
        <v>-3.0048219999999999</v>
      </c>
      <c r="T2127">
        <v>-0.15892829999999999</v>
      </c>
      <c r="U2127">
        <v>0.1767273</v>
      </c>
      <c r="V2127">
        <v>-5.1206559999999899E-3</v>
      </c>
      <c r="W2127">
        <v>1.8278840000000001E-2</v>
      </c>
      <c r="X2127">
        <v>0.99981980000000004</v>
      </c>
      <c r="Y2127">
        <v>7.2213040000000006E-2</v>
      </c>
      <c r="Z2127">
        <v>2.627552E-3</v>
      </c>
      <c r="AA2127">
        <v>0.99738570000000004</v>
      </c>
      <c r="AB2127">
        <v>24</v>
      </c>
      <c r="AC2127">
        <v>-20.736799999999999</v>
      </c>
      <c r="AD2127">
        <v>-1.1045640137819901</v>
      </c>
      <c r="AE2127">
        <v>1.23029999999999</v>
      </c>
      <c r="AF2127">
        <v>1.50894678941358</v>
      </c>
      <c r="AG2127">
        <v>-1.1045640137819901</v>
      </c>
      <c r="AH2127">
        <v>20.6596654903319</v>
      </c>
      <c r="AI2127">
        <v>93.052276116027898</v>
      </c>
      <c r="AJ2127">
        <v>85.822631473253395</v>
      </c>
      <c r="AK2127">
        <v>20.7441259214804</v>
      </c>
    </row>
    <row r="2128" spans="1:37" x14ac:dyDescent="0.2">
      <c r="A2128" t="str">
        <f>"20200111155541113"</f>
        <v>20200111155541113</v>
      </c>
      <c r="B2128" t="str">
        <f>"1578729341104783"</f>
        <v>1578729341104783</v>
      </c>
      <c r="C2128" t="s">
        <v>37</v>
      </c>
      <c r="D2128">
        <v>5.1095360000000003</v>
      </c>
      <c r="E2128">
        <v>0.53013809999999995</v>
      </c>
      <c r="F2128" t="s">
        <v>61</v>
      </c>
      <c r="G2128">
        <v>-283.01990000000001</v>
      </c>
      <c r="H2128" s="1">
        <v>6.8264639999999996E-6</v>
      </c>
      <c r="I2128">
        <v>285.76130000000001</v>
      </c>
      <c r="J2128">
        <v>-262.12470000000002</v>
      </c>
      <c r="K2128">
        <v>1.1045100000000001</v>
      </c>
      <c r="L2128">
        <v>284.51369999999997</v>
      </c>
      <c r="M2128">
        <v>-0.99983809999999995</v>
      </c>
      <c r="N2128">
        <v>0</v>
      </c>
      <c r="O2128">
        <v>-1.3647019999999999E-2</v>
      </c>
      <c r="P2128">
        <v>-0.99980290000000005</v>
      </c>
      <c r="Q2128">
        <v>6.6364519999999897E-3</v>
      </c>
      <c r="R2128">
        <v>-1.8722039999999999E-2</v>
      </c>
      <c r="S2128">
        <v>-3.0049130000000002</v>
      </c>
      <c r="T2128">
        <v>-0.15737660000000001</v>
      </c>
      <c r="U2128">
        <v>0.1773682</v>
      </c>
      <c r="V2128">
        <v>-5.073925E-3</v>
      </c>
      <c r="W2128">
        <v>1.8367990000000001E-2</v>
      </c>
      <c r="X2128">
        <v>0.9998184</v>
      </c>
      <c r="Y2128">
        <v>7.2424669999999997E-2</v>
      </c>
      <c r="Z2128">
        <v>2.607341E-3</v>
      </c>
      <c r="AA2128">
        <v>0.99737049999999905</v>
      </c>
      <c r="AB2128">
        <v>24</v>
      </c>
      <c r="AC2128">
        <v>-20.8951999999999</v>
      </c>
      <c r="AD2128">
        <v>-1.104503173536</v>
      </c>
      <c r="AE2128">
        <v>1.24760000000003</v>
      </c>
      <c r="AF2128">
        <v>1.5284052884675201</v>
      </c>
      <c r="AG2128">
        <v>-1.104503173536</v>
      </c>
      <c r="AH2128">
        <v>20.8182651367724</v>
      </c>
      <c r="AI2128">
        <v>93.028816625268107</v>
      </c>
      <c r="AJ2128">
        <v>85.801074547450099</v>
      </c>
      <c r="AK2128">
        <v>20.9034952410146</v>
      </c>
    </row>
    <row r="2129" spans="1:37" x14ac:dyDescent="0.2">
      <c r="A2129" t="str">
        <f>"20200111155541128"</f>
        <v>20200111155541128</v>
      </c>
      <c r="B2129" t="str">
        <f>"1578729341124301"</f>
        <v>1578729341124301</v>
      </c>
      <c r="C2129" t="s">
        <v>37</v>
      </c>
      <c r="D2129">
        <v>5.1271849999999999</v>
      </c>
      <c r="E2129">
        <v>0.53031899999999998</v>
      </c>
      <c r="F2129" t="s">
        <v>61</v>
      </c>
      <c r="G2129">
        <v>-283.44510000000002</v>
      </c>
      <c r="H2129" s="1">
        <v>6.6358529999999899E-6</v>
      </c>
      <c r="I2129">
        <v>285.7713</v>
      </c>
      <c r="J2129">
        <v>-262.28870000000001</v>
      </c>
      <c r="K2129">
        <v>1.104463</v>
      </c>
      <c r="L2129">
        <v>284.51150000000001</v>
      </c>
      <c r="M2129">
        <v>-0.99984200000000001</v>
      </c>
      <c r="N2129">
        <v>0</v>
      </c>
      <c r="O2129">
        <v>-1.364716E-2</v>
      </c>
      <c r="P2129">
        <v>-0.99980409999999997</v>
      </c>
      <c r="Q2129">
        <v>6.9412369999999899E-3</v>
      </c>
      <c r="R2129">
        <v>-1.8551479999999999E-2</v>
      </c>
      <c r="S2129">
        <v>-3.0049440000000001</v>
      </c>
      <c r="T2129">
        <v>-0.15567149999999999</v>
      </c>
      <c r="U2129">
        <v>0.17724609999999999</v>
      </c>
      <c r="V2129">
        <v>-4.90372799999999E-3</v>
      </c>
      <c r="W2129">
        <v>1.8338429999999999E-2</v>
      </c>
      <c r="X2129">
        <v>0.99981980000000004</v>
      </c>
      <c r="Y2129">
        <v>7.2386359999999997E-2</v>
      </c>
      <c r="Z2129">
        <v>2.5781189999999998E-3</v>
      </c>
      <c r="AA2129">
        <v>0.99737330000000002</v>
      </c>
      <c r="AB2129">
        <v>24</v>
      </c>
      <c r="AC2129">
        <v>-21.156400000000001</v>
      </c>
      <c r="AD2129">
        <v>-1.104456364147</v>
      </c>
      <c r="AE2129">
        <v>1.25979999999998</v>
      </c>
      <c r="AF2129">
        <v>1.5442325494339899</v>
      </c>
      <c r="AG2129">
        <v>-1.104456364147</v>
      </c>
      <c r="AH2129">
        <v>21.079989496041701</v>
      </c>
      <c r="AI2129">
        <v>92.991188707422907</v>
      </c>
      <c r="AJ2129">
        <v>85.810232955310894</v>
      </c>
      <c r="AK2129">
        <v>21.165312073774501</v>
      </c>
    </row>
    <row r="2130" spans="1:37" x14ac:dyDescent="0.2">
      <c r="A2130" t="str">
        <f>"20200111155541145"</f>
        <v>20200111155541145</v>
      </c>
      <c r="B2130" t="str">
        <f>"1578729341135036"</f>
        <v>1578729341135036</v>
      </c>
      <c r="C2130" t="s">
        <v>37</v>
      </c>
      <c r="D2130">
        <v>5.0340379999999998</v>
      </c>
      <c r="E2130">
        <v>0.53031899999999998</v>
      </c>
      <c r="F2130" t="s">
        <v>61</v>
      </c>
      <c r="G2130">
        <v>-283.78480000000002</v>
      </c>
      <c r="H2130" s="1">
        <v>6.4805479999999997E-6</v>
      </c>
      <c r="I2130">
        <v>285.79379999999998</v>
      </c>
      <c r="J2130">
        <v>-262.48840000000001</v>
      </c>
      <c r="K2130">
        <v>1.104403</v>
      </c>
      <c r="L2130">
        <v>284.50880000000001</v>
      </c>
      <c r="M2130">
        <v>-0.99984680000000004</v>
      </c>
      <c r="N2130">
        <v>0</v>
      </c>
      <c r="O2130">
        <v>-1.3647940000000001E-2</v>
      </c>
      <c r="P2130">
        <v>-0.99980089999999999</v>
      </c>
      <c r="Q2130">
        <v>7.3266090000000004E-3</v>
      </c>
      <c r="R2130">
        <v>-1.8572979999999999E-2</v>
      </c>
      <c r="S2130">
        <v>-3.0049739999999998</v>
      </c>
      <c r="T2130">
        <v>-0.15439369999999999</v>
      </c>
      <c r="U2130">
        <v>0.17926029999999901</v>
      </c>
      <c r="V2130">
        <v>-4.9242309999999899E-3</v>
      </c>
      <c r="W2130">
        <v>1.830124E-2</v>
      </c>
      <c r="X2130">
        <v>0.99982039999999905</v>
      </c>
      <c r="Y2130">
        <v>7.3053660000000006E-2</v>
      </c>
      <c r="Z2130">
        <v>2.5740629999999902E-3</v>
      </c>
      <c r="AA2130">
        <v>0.99732469999999995</v>
      </c>
      <c r="AB2130">
        <v>25</v>
      </c>
      <c r="AC2130">
        <v>-21.296399999999998</v>
      </c>
      <c r="AD2130">
        <v>-1.104396519452</v>
      </c>
      <c r="AE2130">
        <v>1.28499999999996</v>
      </c>
      <c r="AF2130">
        <v>1.5713392920909599</v>
      </c>
      <c r="AG2130">
        <v>-1.104396519452</v>
      </c>
      <c r="AH2130">
        <v>21.2200178404916</v>
      </c>
      <c r="AI2130">
        <v>92.971152470607095</v>
      </c>
      <c r="AJ2130">
        <v>85.764985153043</v>
      </c>
      <c r="AK2130">
        <v>21.3067584581472</v>
      </c>
    </row>
    <row r="2131" spans="1:37" x14ac:dyDescent="0.2">
      <c r="A2131" t="str">
        <f>"20200111155541160"</f>
        <v>20200111155541160</v>
      </c>
      <c r="B2131" t="str">
        <f>"1578729341154556"</f>
        <v>1578729341154556</v>
      </c>
      <c r="C2131" t="s">
        <v>37</v>
      </c>
      <c r="D2131">
        <v>5.0052830000000004</v>
      </c>
      <c r="E2131">
        <v>0.54473539999999998</v>
      </c>
      <c r="F2131" t="s">
        <v>61</v>
      </c>
      <c r="G2131">
        <v>-284.14150000000001</v>
      </c>
      <c r="H2131" s="1">
        <v>6.321109E-6</v>
      </c>
      <c r="I2131">
        <v>285.7998</v>
      </c>
      <c r="J2131">
        <v>-262.65010000000001</v>
      </c>
      <c r="K2131">
        <v>1.104355</v>
      </c>
      <c r="L2131">
        <v>284.50659999999999</v>
      </c>
      <c r="M2131">
        <v>-0.99985049999999998</v>
      </c>
      <c r="N2131">
        <v>0</v>
      </c>
      <c r="O2131">
        <v>-1.3648469999999999E-2</v>
      </c>
      <c r="P2131">
        <v>-0.99979810000000002</v>
      </c>
      <c r="Q2131">
        <v>7.7028309999999899E-3</v>
      </c>
      <c r="R2131">
        <v>-1.85662999999999E-2</v>
      </c>
      <c r="S2131">
        <v>-3.0050349999999999</v>
      </c>
      <c r="T2131">
        <v>-0.15326909999999999</v>
      </c>
      <c r="U2131">
        <v>0.17916869999999999</v>
      </c>
      <c r="V2131">
        <v>-4.9175549999999997E-3</v>
      </c>
      <c r="W2131">
        <v>1.8326519999999999E-2</v>
      </c>
      <c r="X2131">
        <v>0.99981989999999998</v>
      </c>
      <c r="Y2131">
        <v>7.3024339999999993E-2</v>
      </c>
      <c r="Z2131">
        <v>2.554565E-3</v>
      </c>
      <c r="AA2131">
        <v>0.99732690000000002</v>
      </c>
      <c r="AB2131">
        <v>25</v>
      </c>
      <c r="AC2131">
        <v>-21.491399999999999</v>
      </c>
      <c r="AD2131">
        <v>-1.104348678891</v>
      </c>
      <c r="AE2131">
        <v>1.2932000000000099</v>
      </c>
      <c r="AF2131">
        <v>1.58225794065234</v>
      </c>
      <c r="AG2131">
        <v>-1.104348678891</v>
      </c>
      <c r="AH2131">
        <v>21.4154038105737</v>
      </c>
      <c r="AI2131">
        <v>92.944001244293105</v>
      </c>
      <c r="AJ2131">
        <v>85.774430390160703</v>
      </c>
      <c r="AK2131">
        <v>21.5021544633383</v>
      </c>
    </row>
    <row r="2132" spans="1:37" x14ac:dyDescent="0.2">
      <c r="A2132" t="str">
        <f>"20200111155541175"</f>
        <v>20200111155541175</v>
      </c>
      <c r="B2132" t="str">
        <f>"1578729341164316"</f>
        <v>1578729341164316</v>
      </c>
      <c r="C2132" t="s">
        <v>37</v>
      </c>
      <c r="D2132">
        <v>4.9580900000000003</v>
      </c>
      <c r="E2132">
        <v>0.5447149</v>
      </c>
      <c r="F2132" t="s">
        <v>61</v>
      </c>
      <c r="G2132">
        <v>-289.42419999999998</v>
      </c>
      <c r="H2132" s="1">
        <v>3.7024360000000001E-6</v>
      </c>
      <c r="I2132">
        <v>287.13580000000002</v>
      </c>
      <c r="J2132">
        <v>-262.81270000000001</v>
      </c>
      <c r="K2132">
        <v>1.104309</v>
      </c>
      <c r="L2132">
        <v>284.5043</v>
      </c>
      <c r="M2132">
        <v>-0.99985409999999997</v>
      </c>
      <c r="N2132">
        <v>0</v>
      </c>
      <c r="O2132">
        <v>-1.3649150000000001E-2</v>
      </c>
      <c r="P2132">
        <v>-0.99979830000000003</v>
      </c>
      <c r="Q2132">
        <v>7.6005959999999899E-3</v>
      </c>
      <c r="R2132">
        <v>-1.8595130000000001E-2</v>
      </c>
      <c r="S2132">
        <v>-3.00705</v>
      </c>
      <c r="T2132">
        <v>-0.124031999999999</v>
      </c>
      <c r="U2132">
        <v>0.2952881</v>
      </c>
      <c r="V2132">
        <v>-4.9452480000000002E-3</v>
      </c>
      <c r="W2132">
        <v>1.7867870000000001E-2</v>
      </c>
      <c r="X2132">
        <v>0.999828099999999</v>
      </c>
      <c r="Y2132">
        <v>0.1111988</v>
      </c>
      <c r="Z2132">
        <v>2.8483559999999998E-3</v>
      </c>
      <c r="AA2132">
        <v>0.99379409999999901</v>
      </c>
      <c r="AB2132">
        <v>25</v>
      </c>
      <c r="AC2132">
        <v>-26.6114999999999</v>
      </c>
      <c r="AD2132">
        <v>-1.104305297564</v>
      </c>
      <c r="AE2132">
        <v>2.6315000000000102</v>
      </c>
      <c r="AF2132">
        <v>2.9894003786122401</v>
      </c>
      <c r="AG2132">
        <v>-1.104305297564</v>
      </c>
      <c r="AH2132">
        <v>26.527861849622099</v>
      </c>
      <c r="AI2132">
        <v>92.368764320930296</v>
      </c>
      <c r="AJ2132">
        <v>83.570515337165801</v>
      </c>
      <c r="AK2132">
        <v>26.7185976264944</v>
      </c>
    </row>
    <row r="2133" spans="1:37" x14ac:dyDescent="0.2">
      <c r="A2133" t="str">
        <f>"20200111155541191"</f>
        <v>20200111155541191</v>
      </c>
      <c r="B2133" t="str">
        <f>"1578729341184812"</f>
        <v>1578729341184812</v>
      </c>
      <c r="C2133" t="s">
        <v>37</v>
      </c>
      <c r="D2133">
        <v>4.9934139999999996</v>
      </c>
      <c r="E2133">
        <v>0.54498819999999903</v>
      </c>
      <c r="F2133" t="s">
        <v>61</v>
      </c>
      <c r="G2133">
        <v>-289.27999999999997</v>
      </c>
      <c r="H2133" s="1">
        <v>3.7734939999999998E-6</v>
      </c>
      <c r="I2133">
        <v>287.10120000000001</v>
      </c>
      <c r="J2133">
        <v>-262.99279999999999</v>
      </c>
      <c r="K2133">
        <v>1.104263</v>
      </c>
      <c r="L2133">
        <v>284.50189999999998</v>
      </c>
      <c r="M2133">
        <v>-0.99985820000000003</v>
      </c>
      <c r="N2133">
        <v>0</v>
      </c>
      <c r="O2133">
        <v>-1.364983E-2</v>
      </c>
      <c r="P2133">
        <v>-0.99979689999999999</v>
      </c>
      <c r="Q2133">
        <v>7.5059549999999999E-3</v>
      </c>
      <c r="R2133">
        <v>-1.87108E-2</v>
      </c>
      <c r="S2133">
        <v>-3.00705</v>
      </c>
      <c r="T2133">
        <v>-0.1254643</v>
      </c>
      <c r="U2133">
        <v>0.29504390000000003</v>
      </c>
      <c r="V2133">
        <v>-5.0606649999999998E-3</v>
      </c>
      <c r="W2133">
        <v>1.7380139999999999E-2</v>
      </c>
      <c r="X2133">
        <v>0.99983609999999901</v>
      </c>
      <c r="Y2133">
        <v>0.1111171</v>
      </c>
      <c r="Z2133">
        <v>2.8795579999999999E-3</v>
      </c>
      <c r="AA2133">
        <v>0.99380309999999905</v>
      </c>
      <c r="AB2133">
        <v>25</v>
      </c>
      <c r="AC2133">
        <v>-26.287199999999899</v>
      </c>
      <c r="AD2133">
        <v>-1.1042592265060001</v>
      </c>
      <c r="AE2133">
        <v>2.5993000000000199</v>
      </c>
      <c r="AF2133">
        <v>2.9527310560062601</v>
      </c>
      <c r="AG2133">
        <v>-1.1042592265060001</v>
      </c>
      <c r="AH2133">
        <v>26.203477339824602</v>
      </c>
      <c r="AI2133">
        <v>92.397955522299995</v>
      </c>
      <c r="AJ2133">
        <v>83.570763057403795</v>
      </c>
      <c r="AK2133">
        <v>26.392427584955701</v>
      </c>
    </row>
    <row r="2134" spans="1:37" x14ac:dyDescent="0.2">
      <c r="A2134" t="str">
        <f>"20200111155541205"</f>
        <v>20200111155541205</v>
      </c>
      <c r="B2134" t="str">
        <f>"1578729341194572"</f>
        <v>1578729341194572</v>
      </c>
      <c r="C2134" t="s">
        <v>37</v>
      </c>
      <c r="D2134">
        <v>4.9265379999999999</v>
      </c>
      <c r="E2134">
        <v>0.54485869999999903</v>
      </c>
      <c r="F2134" t="s">
        <v>61</v>
      </c>
      <c r="G2134">
        <v>-290.00659999999999</v>
      </c>
      <c r="H2134" s="1">
        <v>1.9835620000000002E-6</v>
      </c>
      <c r="I2134">
        <v>287.17129999999997</v>
      </c>
      <c r="J2134">
        <v>-263.14229999999998</v>
      </c>
      <c r="K2134">
        <v>1.1042239999999901</v>
      </c>
      <c r="L2134">
        <v>284.49979999999999</v>
      </c>
      <c r="M2134">
        <v>-0.99986119999999901</v>
      </c>
      <c r="N2134">
        <v>0</v>
      </c>
      <c r="O2134">
        <v>-1.3650320000000001E-2</v>
      </c>
      <c r="P2134">
        <v>-0.99979340000000005</v>
      </c>
      <c r="Q2134">
        <v>7.672435E-3</v>
      </c>
      <c r="R2134">
        <v>-1.882963E-2</v>
      </c>
      <c r="S2134">
        <v>-3.00707999999999</v>
      </c>
      <c r="T2134">
        <v>-0.122922399999999</v>
      </c>
      <c r="U2134">
        <v>0.29714970000000002</v>
      </c>
      <c r="V2134">
        <v>-5.17891599999999E-3</v>
      </c>
      <c r="W2134">
        <v>1.7222810000000002E-2</v>
      </c>
      <c r="X2134">
        <v>0.99983829999999996</v>
      </c>
      <c r="Y2134">
        <v>0.11180950000000001</v>
      </c>
      <c r="Z2134">
        <v>2.835274E-3</v>
      </c>
      <c r="AA2134">
        <v>0.99372559999999999</v>
      </c>
      <c r="AB2134">
        <v>25</v>
      </c>
      <c r="AC2134">
        <v>-26.8643</v>
      </c>
      <c r="AD2134">
        <v>-1.1042220164380001</v>
      </c>
      <c r="AE2134">
        <v>2.67149999999998</v>
      </c>
      <c r="AF2134">
        <v>3.0329001477401198</v>
      </c>
      <c r="AG2134">
        <v>-1.1042220164380001</v>
      </c>
      <c r="AH2134">
        <v>26.780525328592699</v>
      </c>
      <c r="AI2134">
        <v>92.346117633745905</v>
      </c>
      <c r="AJ2134">
        <v>83.538770099432</v>
      </c>
      <c r="AK2134">
        <v>26.974327173131599</v>
      </c>
    </row>
    <row r="2135" spans="1:37" x14ac:dyDescent="0.2">
      <c r="A2135" t="str">
        <f>"20200111155541217"</f>
        <v>20200111155541217</v>
      </c>
      <c r="B2135" t="str">
        <f>"1578729341214092"</f>
        <v>1578729341214092</v>
      </c>
      <c r="C2135" t="s">
        <v>37</v>
      </c>
      <c r="D2135">
        <v>4.8761369999999999</v>
      </c>
      <c r="E2135">
        <v>0.54532550000000002</v>
      </c>
      <c r="F2135" t="s">
        <v>61</v>
      </c>
      <c r="G2135">
        <v>-290.27080000000001</v>
      </c>
      <c r="H2135" s="1">
        <v>2.0307919999999999E-6</v>
      </c>
      <c r="I2135">
        <v>287.1671</v>
      </c>
      <c r="J2135">
        <v>-263.28640000000001</v>
      </c>
      <c r="K2135">
        <v>1.104187</v>
      </c>
      <c r="L2135">
        <v>284.49790000000002</v>
      </c>
      <c r="M2135">
        <v>-0.99986419999999998</v>
      </c>
      <c r="N2135">
        <v>0</v>
      </c>
      <c r="O2135">
        <v>-1.365128E-2</v>
      </c>
      <c r="P2135">
        <v>-0.99978840000000002</v>
      </c>
      <c r="Q2135">
        <v>7.7548679999999998E-3</v>
      </c>
      <c r="R2135">
        <v>-1.9063859999999998E-2</v>
      </c>
      <c r="S2135">
        <v>-3.0071409999999998</v>
      </c>
      <c r="T2135">
        <v>-0.1224011</v>
      </c>
      <c r="U2135">
        <v>0.29565429999999998</v>
      </c>
      <c r="V2135">
        <v>-5.4125500000000003E-3</v>
      </c>
      <c r="W2135">
        <v>1.6996819999999999E-2</v>
      </c>
      <c r="X2135">
        <v>0.99984089999999903</v>
      </c>
      <c r="Y2135">
        <v>0.1113204</v>
      </c>
      <c r="Z2135">
        <v>2.813379E-3</v>
      </c>
      <c r="AA2135">
        <v>0.99378060000000001</v>
      </c>
      <c r="AB2135">
        <v>25</v>
      </c>
      <c r="AC2135">
        <v>-26.984399999999901</v>
      </c>
      <c r="AD2135">
        <v>-1.1041849692079999</v>
      </c>
      <c r="AE2135">
        <v>2.66919999999998</v>
      </c>
      <c r="AF2135">
        <v>3.0323104618566199</v>
      </c>
      <c r="AG2135">
        <v>-1.1041849692079999</v>
      </c>
      <c r="AH2135">
        <v>26.900839541522299</v>
      </c>
      <c r="AI2135">
        <v>92.335695515762495</v>
      </c>
      <c r="AJ2135">
        <v>83.568665450024596</v>
      </c>
      <c r="AK2135">
        <v>27.093713278582499</v>
      </c>
    </row>
    <row r="2136" spans="1:37" x14ac:dyDescent="0.2">
      <c r="A2136" t="str">
        <f>"20200111155541234"</f>
        <v>20200111155541234</v>
      </c>
      <c r="B2136" t="str">
        <f>"1578729341224828"</f>
        <v>1578729341224828</v>
      </c>
      <c r="C2136" t="s">
        <v>37</v>
      </c>
      <c r="D2136">
        <v>4.9245809999999999</v>
      </c>
      <c r="E2136">
        <v>0.54572480000000001</v>
      </c>
      <c r="F2136" t="s">
        <v>61</v>
      </c>
      <c r="G2136">
        <v>-290.6431</v>
      </c>
      <c r="H2136" s="1">
        <v>2.0925279999999998E-6</v>
      </c>
      <c r="I2136">
        <v>287.21640000000002</v>
      </c>
      <c r="J2136">
        <v>-263.47919999999999</v>
      </c>
      <c r="K2136">
        <v>1.104141</v>
      </c>
      <c r="L2136">
        <v>284.49529999999999</v>
      </c>
      <c r="M2136">
        <v>-0.99986769999999903</v>
      </c>
      <c r="N2136">
        <v>0</v>
      </c>
      <c r="O2136">
        <v>-1.3652009999999999E-2</v>
      </c>
      <c r="P2136">
        <v>-0.99977729999999998</v>
      </c>
      <c r="Q2136">
        <v>8.3347190000000008E-3</v>
      </c>
      <c r="R2136">
        <v>-1.9389099999999999E-2</v>
      </c>
      <c r="S2136">
        <v>-3.0072019999999999</v>
      </c>
      <c r="T2136">
        <v>-0.12137819999999901</v>
      </c>
      <c r="U2136">
        <v>0.29882809999999999</v>
      </c>
      <c r="V2136">
        <v>-5.7372059999999999E-3</v>
      </c>
      <c r="W2136">
        <v>1.7176090000000001E-2</v>
      </c>
      <c r="X2136">
        <v>0.99983599999999995</v>
      </c>
      <c r="Y2136">
        <v>0.1123586</v>
      </c>
      <c r="Z2136">
        <v>2.810608E-3</v>
      </c>
      <c r="AA2136">
        <v>0.99366369999999904</v>
      </c>
      <c r="AB2136">
        <v>25</v>
      </c>
      <c r="AC2136">
        <v>-27.163900000000002</v>
      </c>
      <c r="AD2136">
        <v>-1.1041389074720001</v>
      </c>
      <c r="AE2136">
        <v>2.7211000000000301</v>
      </c>
      <c r="AF2136">
        <v>3.0866536193754599</v>
      </c>
      <c r="AG2136">
        <v>-1.1041389074720001</v>
      </c>
      <c r="AH2136">
        <v>27.079921381999</v>
      </c>
      <c r="AI2136">
        <v>92.319842476727899</v>
      </c>
      <c r="AJ2136">
        <v>83.497313325333806</v>
      </c>
      <c r="AK2136">
        <v>27.2776226117352</v>
      </c>
    </row>
    <row r="2137" spans="1:37" x14ac:dyDescent="0.2">
      <c r="A2137" t="str">
        <f>"20200111155541261"</f>
        <v>20200111155541261</v>
      </c>
      <c r="B2137" t="str">
        <f>"1578729341254109"</f>
        <v>1578729341254109</v>
      </c>
      <c r="C2137" t="s">
        <v>37</v>
      </c>
      <c r="D2137">
        <v>4.9868589999999999</v>
      </c>
      <c r="E2137">
        <v>0.54566709999999996</v>
      </c>
      <c r="F2137" t="s">
        <v>61</v>
      </c>
      <c r="G2137">
        <v>-291.72070000000002</v>
      </c>
      <c r="H2137" s="1">
        <v>2.274279E-6</v>
      </c>
      <c r="I2137">
        <v>287.32380000000001</v>
      </c>
      <c r="J2137">
        <v>-263.79149999999998</v>
      </c>
      <c r="K2137">
        <v>1.1040809999999901</v>
      </c>
      <c r="L2137">
        <v>284.49099999999999</v>
      </c>
      <c r="M2137">
        <v>-0.99987300000000001</v>
      </c>
      <c r="N2137">
        <v>0</v>
      </c>
      <c r="O2137">
        <v>-1.3653139999999999E-2</v>
      </c>
      <c r="P2137">
        <v>-0.99976209999999899</v>
      </c>
      <c r="Q2137">
        <v>9.2845779999999999E-3</v>
      </c>
      <c r="R2137">
        <v>-1.9752450000000001E-2</v>
      </c>
      <c r="S2137">
        <v>-3.0074160000000001</v>
      </c>
      <c r="T2137">
        <v>-0.1175789</v>
      </c>
      <c r="U2137">
        <v>0.30120849999999999</v>
      </c>
      <c r="V2137">
        <v>-6.0995060000000002E-3</v>
      </c>
      <c r="W2137">
        <v>1.751316E-2</v>
      </c>
      <c r="X2137">
        <v>0.99982800000000005</v>
      </c>
      <c r="Y2137">
        <v>0.1131371</v>
      </c>
      <c r="Z2137">
        <v>2.73761599999999E-3</v>
      </c>
      <c r="AA2137">
        <v>0.993575599999999</v>
      </c>
      <c r="AB2137">
        <v>25</v>
      </c>
      <c r="AC2137">
        <v>-27.929200000000002</v>
      </c>
      <c r="AD2137">
        <v>-1.1040787257210001</v>
      </c>
      <c r="AE2137">
        <v>2.8328000000000202</v>
      </c>
      <c r="AF2137">
        <v>3.2089065224331601</v>
      </c>
      <c r="AG2137">
        <v>-1.1040787257210001</v>
      </c>
      <c r="AH2137">
        <v>27.844847867288198</v>
      </c>
      <c r="AI2137">
        <v>92.255736931054997</v>
      </c>
      <c r="AJ2137">
        <v>83.426097922278103</v>
      </c>
      <c r="AK2137">
        <v>28.0508756308021</v>
      </c>
    </row>
    <row r="2138" spans="1:37" x14ac:dyDescent="0.2">
      <c r="A2138" t="str">
        <f>"20200111155541280"</f>
        <v>20200111155541280</v>
      </c>
      <c r="B2138" t="str">
        <f>"1578729341274604"</f>
        <v>1578729341274604</v>
      </c>
      <c r="C2138" t="s">
        <v>37</v>
      </c>
      <c r="D2138">
        <v>4.7896650000000003</v>
      </c>
      <c r="E2138">
        <v>0.5446415</v>
      </c>
      <c r="F2138" t="s">
        <v>61</v>
      </c>
      <c r="G2138">
        <v>-292.95269999999999</v>
      </c>
      <c r="H2138" s="1">
        <v>2.4866539999999998E-6</v>
      </c>
      <c r="I2138">
        <v>287.39429999999999</v>
      </c>
      <c r="J2138">
        <v>-263.9966</v>
      </c>
      <c r="K2138">
        <v>1.1040509999999999</v>
      </c>
      <c r="L2138">
        <v>284.48829999999998</v>
      </c>
      <c r="M2138">
        <v>-0.99987599999999999</v>
      </c>
      <c r="N2138">
        <v>0</v>
      </c>
      <c r="O2138">
        <v>-1.3653810000000001E-2</v>
      </c>
      <c r="P2138">
        <v>-0.99974540000000001</v>
      </c>
      <c r="Q2138">
        <v>1.00301E-2</v>
      </c>
      <c r="R2138">
        <v>-2.0210180000000001E-2</v>
      </c>
      <c r="S2138">
        <v>-3.00766</v>
      </c>
      <c r="T2138">
        <v>-0.1138738</v>
      </c>
      <c r="U2138">
        <v>0.2994385</v>
      </c>
      <c r="V2138">
        <v>-6.556671E-3</v>
      </c>
      <c r="W2138">
        <v>1.7885990000000001E-2</v>
      </c>
      <c r="X2138">
        <v>0.9998186</v>
      </c>
      <c r="Y2138">
        <v>0.11255709999999999</v>
      </c>
      <c r="Z2138">
        <v>2.6403529999999998E-3</v>
      </c>
      <c r="AA2138">
        <v>0.99364169999999996</v>
      </c>
      <c r="AB2138">
        <v>25</v>
      </c>
      <c r="AC2138">
        <v>-28.9560999999999</v>
      </c>
      <c r="AD2138">
        <v>-1.1040485133460001</v>
      </c>
      <c r="AE2138">
        <v>2.9060000000000001</v>
      </c>
      <c r="AF2138">
        <v>3.2963579832435999</v>
      </c>
      <c r="AG2138">
        <v>-1.1040485133460001</v>
      </c>
      <c r="AH2138">
        <v>28.8721664243056</v>
      </c>
      <c r="AI2138">
        <v>92.175756916369195</v>
      </c>
      <c r="AJ2138">
        <v>83.486698244148897</v>
      </c>
      <c r="AK2138">
        <v>29.080696228019001</v>
      </c>
    </row>
    <row r="2139" spans="1:37" x14ac:dyDescent="0.2">
      <c r="A2139" t="str">
        <f>"20200111155541292"</f>
        <v>20200111155541292</v>
      </c>
      <c r="B2139" t="str">
        <f>"1578729341284364"</f>
        <v>1578729341284364</v>
      </c>
      <c r="C2139" t="s">
        <v>37</v>
      </c>
      <c r="D2139">
        <v>4.9824209999999898</v>
      </c>
      <c r="E2139">
        <v>0.54665069999999905</v>
      </c>
      <c r="F2139" t="s">
        <v>59</v>
      </c>
      <c r="G2139">
        <v>-365.78980000000001</v>
      </c>
      <c r="H2139">
        <v>8.0000249999999995E-2</v>
      </c>
      <c r="I2139">
        <v>294.41719999999998</v>
      </c>
      <c r="J2139">
        <v>-264.14190000000002</v>
      </c>
      <c r="K2139">
        <v>1.104028</v>
      </c>
      <c r="L2139">
        <v>284.48630000000003</v>
      </c>
      <c r="M2139">
        <v>-0.99987780000000004</v>
      </c>
      <c r="N2139">
        <v>0</v>
      </c>
      <c r="O2139">
        <v>-1.365419E-2</v>
      </c>
      <c r="P2139">
        <v>-0.99974349999999901</v>
      </c>
      <c r="Q2139">
        <v>1.019631E-2</v>
      </c>
      <c r="R2139">
        <v>-2.0220829999999999E-2</v>
      </c>
      <c r="S2139">
        <v>-3.0069889999999999</v>
      </c>
      <c r="T2139">
        <v>-3.025067E-2</v>
      </c>
      <c r="U2139">
        <v>0.29330440000000002</v>
      </c>
      <c r="V2139">
        <v>-6.5671690000000003E-3</v>
      </c>
      <c r="W2139">
        <v>1.7805890000000001E-2</v>
      </c>
      <c r="X2139">
        <v>0.99981989999999998</v>
      </c>
      <c r="Y2139">
        <v>0.110654999999999</v>
      </c>
      <c r="Z2139">
        <v>6.9232750000000002E-4</v>
      </c>
      <c r="AA2139">
        <v>0.99385859999999904</v>
      </c>
      <c r="AB2139">
        <v>25</v>
      </c>
      <c r="AC2139">
        <v>-101.64790000000001</v>
      </c>
      <c r="AD2139">
        <v>-1.0240277499999999</v>
      </c>
      <c r="AE2139">
        <v>9.9308999999999497</v>
      </c>
      <c r="AF2139">
        <v>11.316796423988301</v>
      </c>
      <c r="AG2139">
        <v>-1.0240277499999999</v>
      </c>
      <c r="AH2139">
        <v>101.492618049152</v>
      </c>
      <c r="AI2139">
        <v>90.574516078525704</v>
      </c>
      <c r="AJ2139">
        <v>83.6375931912319</v>
      </c>
      <c r="AK2139">
        <v>102.12673515101601</v>
      </c>
    </row>
    <row r="2140" spans="1:37" x14ac:dyDescent="0.2">
      <c r="A2140" t="str">
        <f>"20200111155541306"</f>
        <v>20200111155541306</v>
      </c>
      <c r="B2140" t="str">
        <f>"1578729341304860"</f>
        <v>1578729341304860</v>
      </c>
      <c r="C2140" t="s">
        <v>37</v>
      </c>
      <c r="D2140">
        <v>4.8460760000000001</v>
      </c>
      <c r="E2140">
        <v>0.5469195</v>
      </c>
      <c r="F2140" t="s">
        <v>59</v>
      </c>
      <c r="G2140">
        <v>-336.15730000000002</v>
      </c>
      <c r="H2140">
        <v>8.0000039999999994E-2</v>
      </c>
      <c r="I2140">
        <v>291.87790000000001</v>
      </c>
      <c r="J2140">
        <v>-264.30070000000001</v>
      </c>
      <c r="K2140">
        <v>1.104007</v>
      </c>
      <c r="L2140">
        <v>284.48410000000001</v>
      </c>
      <c r="M2140">
        <v>-0.99987979999999999</v>
      </c>
      <c r="N2140">
        <v>0</v>
      </c>
      <c r="O2140">
        <v>-1.365456E-2</v>
      </c>
      <c r="P2140">
        <v>-0.99974169999999996</v>
      </c>
      <c r="Q2140">
        <v>1.013348E-2</v>
      </c>
      <c r="R2140">
        <v>-2.0342590000000001E-2</v>
      </c>
      <c r="S2140">
        <v>-3.0074770000000002</v>
      </c>
      <c r="T2140">
        <v>-4.2765020000000001E-2</v>
      </c>
      <c r="U2140">
        <v>0.3086853</v>
      </c>
      <c r="V2140">
        <v>-6.6887780000000003E-3</v>
      </c>
      <c r="W2140">
        <v>1.7485980000000002E-2</v>
      </c>
      <c r="X2140">
        <v>0.99982479999999996</v>
      </c>
      <c r="Y2140">
        <v>0.115664</v>
      </c>
      <c r="Z2140">
        <v>1.013828E-3</v>
      </c>
      <c r="AA2140">
        <v>0.9932879</v>
      </c>
      <c r="AB2140">
        <v>25</v>
      </c>
      <c r="AC2140">
        <v>-71.8566</v>
      </c>
      <c r="AD2140">
        <v>-1.0240069599999999</v>
      </c>
      <c r="AE2140">
        <v>7.3937999999999899</v>
      </c>
      <c r="AF2140">
        <v>8.3726248538424706</v>
      </c>
      <c r="AG2140">
        <v>-1.0240069599999999</v>
      </c>
      <c r="AH2140">
        <v>71.734523393810093</v>
      </c>
      <c r="AI2140">
        <v>90.812325403428105</v>
      </c>
      <c r="AJ2140">
        <v>83.342740456854798</v>
      </c>
      <c r="AK2140">
        <v>72.228742781072896</v>
      </c>
    </row>
    <row r="2141" spans="1:37" x14ac:dyDescent="0.2">
      <c r="A2141" t="str">
        <f>"20200111155541324"</f>
        <v>20200111155541324</v>
      </c>
      <c r="B2141" t="str">
        <f>"1578729341314620"</f>
        <v>1578729341314620</v>
      </c>
      <c r="C2141" t="s">
        <v>37</v>
      </c>
      <c r="D2141">
        <v>4.8152619999999997</v>
      </c>
      <c r="E2141">
        <v>0.54721819999999999</v>
      </c>
      <c r="F2141" t="s">
        <v>61</v>
      </c>
      <c r="G2141">
        <v>-315.35399999999998</v>
      </c>
      <c r="H2141">
        <v>8.0000189999999999E-2</v>
      </c>
      <c r="I2141">
        <v>289.74250000000001</v>
      </c>
      <c r="J2141">
        <v>-264.50819999999999</v>
      </c>
      <c r="K2141">
        <v>1.10398</v>
      </c>
      <c r="L2141">
        <v>284.4812</v>
      </c>
      <c r="M2141">
        <v>-0.99988199999999905</v>
      </c>
      <c r="N2141">
        <v>0</v>
      </c>
      <c r="O2141">
        <v>-1.365487E-2</v>
      </c>
      <c r="P2141">
        <v>-0.99975059999999905</v>
      </c>
      <c r="Q2141">
        <v>9.7275339999999995E-3</v>
      </c>
      <c r="R2141">
        <v>-2.0110820000000001E-2</v>
      </c>
      <c r="S2141">
        <v>-3.00766</v>
      </c>
      <c r="T2141">
        <v>-6.0326459999999998E-2</v>
      </c>
      <c r="U2141">
        <v>0.3097839</v>
      </c>
      <c r="V2141">
        <v>-6.4562019999999899E-3</v>
      </c>
      <c r="W2141">
        <v>1.676273E-2</v>
      </c>
      <c r="X2141">
        <v>0.99983869999999897</v>
      </c>
      <c r="Y2141">
        <v>0.1160043</v>
      </c>
      <c r="Z2141">
        <v>1.4333810000000001E-3</v>
      </c>
      <c r="AA2141">
        <v>0.99324769999999896</v>
      </c>
      <c r="AB2141">
        <v>26</v>
      </c>
      <c r="AC2141">
        <v>-50.845799999999997</v>
      </c>
      <c r="AD2141">
        <v>-1.0239798099999999</v>
      </c>
      <c r="AE2141">
        <v>5.2613000000000003</v>
      </c>
      <c r="AF2141">
        <v>5.9527307274238197</v>
      </c>
      <c r="AG2141">
        <v>-1.0239798099999999</v>
      </c>
      <c r="AH2141">
        <v>50.748850671777703</v>
      </c>
      <c r="AI2141">
        <v>91.148054148215806</v>
      </c>
      <c r="AJ2141">
        <v>83.309899419310796</v>
      </c>
      <c r="AK2141">
        <v>51.107038480730701</v>
      </c>
    </row>
    <row r="2142" spans="1:37" x14ac:dyDescent="0.2">
      <c r="A2142" t="str">
        <f>"20200111155541339"</f>
        <v>20200111155541339</v>
      </c>
      <c r="B2142" t="str">
        <f>"1578729341335115"</f>
        <v>1578729341335115</v>
      </c>
      <c r="C2142" t="s">
        <v>37</v>
      </c>
      <c r="D2142">
        <v>4.8144220000000004</v>
      </c>
      <c r="E2142">
        <v>0.54750619999999905</v>
      </c>
      <c r="F2142" t="s">
        <v>61</v>
      </c>
      <c r="G2142">
        <v>-313.8938</v>
      </c>
      <c r="H2142">
        <v>4.7523410000000002E-2</v>
      </c>
      <c r="I2142">
        <v>289.61700000000002</v>
      </c>
      <c r="J2142">
        <v>-264.67070000000001</v>
      </c>
      <c r="K2142">
        <v>1.103961</v>
      </c>
      <c r="L2142">
        <v>284.47899999999998</v>
      </c>
      <c r="M2142">
        <v>-0.99988369999999904</v>
      </c>
      <c r="N2142">
        <v>0</v>
      </c>
      <c r="O2142">
        <v>-1.365537E-2</v>
      </c>
      <c r="P2142">
        <v>-0.99975369999999997</v>
      </c>
      <c r="Q2142">
        <v>9.7393819999999996E-3</v>
      </c>
      <c r="R2142">
        <v>-1.995448E-2</v>
      </c>
      <c r="S2142">
        <v>-3.00766</v>
      </c>
      <c r="T2142">
        <v>-6.4339880000000002E-2</v>
      </c>
      <c r="U2142">
        <v>0.31277470000000002</v>
      </c>
      <c r="V2142">
        <v>-6.2998489999999997E-3</v>
      </c>
      <c r="W2142">
        <v>1.6538170000000001E-2</v>
      </c>
      <c r="X2142">
        <v>0.99984340000000005</v>
      </c>
      <c r="Y2142">
        <v>0.1169781</v>
      </c>
      <c r="Z2142">
        <v>1.5390410000000001E-3</v>
      </c>
      <c r="AA2142">
        <v>0.9931333</v>
      </c>
      <c r="AB2142">
        <v>26</v>
      </c>
      <c r="AC2142">
        <v>-49.223099999999903</v>
      </c>
      <c r="AD2142">
        <v>-1.05643759</v>
      </c>
      <c r="AE2142">
        <v>5.1379999999999697</v>
      </c>
      <c r="AF2142">
        <v>5.8070500030301799</v>
      </c>
      <c r="AG2142">
        <v>-1.05643759</v>
      </c>
      <c r="AH2142">
        <v>49.125962502774698</v>
      </c>
      <c r="AI2142">
        <v>91.223421769496198</v>
      </c>
      <c r="AJ2142">
        <v>83.258501007918596</v>
      </c>
      <c r="AK2142">
        <v>49.4792692139171</v>
      </c>
    </row>
    <row r="2143" spans="1:37" x14ac:dyDescent="0.2">
      <c r="A2143" t="str">
        <f>"20200111155541358"</f>
        <v>20200111155541358</v>
      </c>
      <c r="B2143" t="str">
        <f>"1578729341354637"</f>
        <v>1578729341354637</v>
      </c>
      <c r="C2143" t="s">
        <v>37</v>
      </c>
      <c r="D2143">
        <v>4.7713080000000003</v>
      </c>
      <c r="E2143">
        <v>0.54784699999999997</v>
      </c>
      <c r="F2143" t="s">
        <v>61</v>
      </c>
      <c r="G2143">
        <v>-312.37349999999998</v>
      </c>
      <c r="H2143" s="1">
        <v>2.8443360000000002E-6</v>
      </c>
      <c r="I2143">
        <v>289.4803</v>
      </c>
      <c r="J2143">
        <v>-264.90120000000002</v>
      </c>
      <c r="K2143">
        <v>1.1039350000000001</v>
      </c>
      <c r="L2143">
        <v>284.47590000000002</v>
      </c>
      <c r="M2143">
        <v>-0.99988589999999999</v>
      </c>
      <c r="N2143">
        <v>0</v>
      </c>
      <c r="O2143">
        <v>-1.3655779999999999E-2</v>
      </c>
      <c r="P2143">
        <v>-0.99974459999999998</v>
      </c>
      <c r="Q2143">
        <v>1.038063E-2</v>
      </c>
      <c r="R2143">
        <v>-2.0079550000000002E-2</v>
      </c>
      <c r="S2143">
        <v>-3.0077509999999998</v>
      </c>
      <c r="T2143">
        <v>-6.9606539999999995E-2</v>
      </c>
      <c r="U2143">
        <v>0.31533810000000001</v>
      </c>
      <c r="V2143">
        <v>-6.4242479999999996E-3</v>
      </c>
      <c r="W2143">
        <v>1.6865709999999999E-2</v>
      </c>
      <c r="X2143">
        <v>0.99983709999999903</v>
      </c>
      <c r="Y2143">
        <v>0.11780739999999899</v>
      </c>
      <c r="Z2143">
        <v>1.674444E-3</v>
      </c>
      <c r="AA2143">
        <v>0.99303509999999995</v>
      </c>
      <c r="AB2143">
        <v>26</v>
      </c>
      <c r="AC2143">
        <v>-47.472299999999898</v>
      </c>
      <c r="AD2143">
        <v>-1.103932155664</v>
      </c>
      <c r="AE2143">
        <v>5.0043999999999702</v>
      </c>
      <c r="AF2143">
        <v>5.6491968692258503</v>
      </c>
      <c r="AG2143">
        <v>-1.103932155664</v>
      </c>
      <c r="AH2143">
        <v>47.374196382295402</v>
      </c>
      <c r="AI2143">
        <v>91.325499770438597</v>
      </c>
      <c r="AJ2143">
        <v>83.1998020969002</v>
      </c>
      <c r="AK2143">
        <v>47.722600247051403</v>
      </c>
    </row>
    <row r="2144" spans="1:37" x14ac:dyDescent="0.2">
      <c r="A2144" t="str">
        <f>"20200111155541373"</f>
        <v>20200111155541373</v>
      </c>
      <c r="B2144" t="str">
        <f>"1578729341364395"</f>
        <v>1578729341364395</v>
      </c>
      <c r="C2144" t="s">
        <v>37</v>
      </c>
      <c r="D2144">
        <v>4.7622869999999997</v>
      </c>
      <c r="E2144">
        <v>0.54796929999999999</v>
      </c>
      <c r="F2144" t="s">
        <v>61</v>
      </c>
      <c r="G2144">
        <v>-312.185</v>
      </c>
      <c r="H2144" s="1">
        <v>2.7616500000000001E-6</v>
      </c>
      <c r="I2144">
        <v>289.46949999999998</v>
      </c>
      <c r="J2144">
        <v>-265.07229999999998</v>
      </c>
      <c r="K2144">
        <v>1.103917</v>
      </c>
      <c r="L2144">
        <v>284.4735</v>
      </c>
      <c r="M2144">
        <v>-0.99988709999999903</v>
      </c>
      <c r="N2144">
        <v>0</v>
      </c>
      <c r="O2144">
        <v>-1.3656059999999999E-2</v>
      </c>
      <c r="P2144">
        <v>-0.99974289999999999</v>
      </c>
      <c r="Q2144">
        <v>1.072057E-2</v>
      </c>
      <c r="R2144">
        <v>-1.9985679999999999E-2</v>
      </c>
      <c r="S2144">
        <v>-3.0078429999999998</v>
      </c>
      <c r="T2144">
        <v>-7.0224049999999996E-2</v>
      </c>
      <c r="U2144">
        <v>0.31765749999999998</v>
      </c>
      <c r="V2144">
        <v>-6.3303140000000001E-3</v>
      </c>
      <c r="W2144">
        <v>1.6989669999999998E-2</v>
      </c>
      <c r="X2144">
        <v>0.99983559999999905</v>
      </c>
      <c r="Y2144">
        <v>0.118560999999999</v>
      </c>
      <c r="Z2144">
        <v>1.6979529999999899E-3</v>
      </c>
      <c r="AA2144">
        <v>0.99294530000000003</v>
      </c>
      <c r="AB2144">
        <v>26</v>
      </c>
      <c r="AC2144">
        <v>-47.112699999999997</v>
      </c>
      <c r="AD2144">
        <v>-1.10391423835</v>
      </c>
      <c r="AE2144">
        <v>4.99599999999998</v>
      </c>
      <c r="AF2144">
        <v>5.63586077532337</v>
      </c>
      <c r="AG2144">
        <v>-1.10391423835</v>
      </c>
      <c r="AH2144">
        <v>47.0145543501703</v>
      </c>
      <c r="AI2144">
        <v>91.335515056926994</v>
      </c>
      <c r="AJ2144">
        <v>83.164297721334293</v>
      </c>
      <c r="AK2144">
        <v>47.364014547645503</v>
      </c>
    </row>
    <row r="2145" spans="1:37" x14ac:dyDescent="0.2">
      <c r="A2145" t="str">
        <f>"20200111155541392"</f>
        <v>20200111155541392</v>
      </c>
      <c r="B2145" t="str">
        <f>"1578729341384892"</f>
        <v>1578729341384892</v>
      </c>
      <c r="C2145" t="s">
        <v>37</v>
      </c>
      <c r="D2145">
        <v>4.7770049999999999</v>
      </c>
      <c r="E2145">
        <v>0.54808690000000004</v>
      </c>
      <c r="F2145" t="s">
        <v>61</v>
      </c>
      <c r="G2145">
        <v>-312.31450000000001</v>
      </c>
      <c r="H2145" s="1">
        <v>2.8182969999999999E-6</v>
      </c>
      <c r="I2145">
        <v>289.47840000000002</v>
      </c>
      <c r="J2145">
        <v>-265.29349999999999</v>
      </c>
      <c r="K2145">
        <v>1.1038889999999999</v>
      </c>
      <c r="L2145">
        <v>284.47050000000002</v>
      </c>
      <c r="M2145">
        <v>-0.99988880000000002</v>
      </c>
      <c r="N2145">
        <v>0</v>
      </c>
      <c r="O2145">
        <v>-1.365658E-2</v>
      </c>
      <c r="P2145">
        <v>-0.99973769999999995</v>
      </c>
      <c r="Q2145">
        <v>1.102974E-2</v>
      </c>
      <c r="R2145">
        <v>-2.0081410000000001E-2</v>
      </c>
      <c r="S2145">
        <v>-3.0079349999999998</v>
      </c>
      <c r="T2145">
        <v>-7.0286870000000001E-2</v>
      </c>
      <c r="U2145">
        <v>0.31866459999999902</v>
      </c>
      <c r="V2145">
        <v>-6.4256590000000002E-3</v>
      </c>
      <c r="W2145">
        <v>1.703497E-2</v>
      </c>
      <c r="X2145">
        <v>0.99983419999999901</v>
      </c>
      <c r="Y2145">
        <v>0.11888699999999899</v>
      </c>
      <c r="Z2145">
        <v>1.7031989999999901E-3</v>
      </c>
      <c r="AA2145">
        <v>0.99290630000000002</v>
      </c>
      <c r="AB2145">
        <v>26</v>
      </c>
      <c r="AC2145">
        <v>-47.021000000000001</v>
      </c>
      <c r="AD2145">
        <v>-1.1038861817029999</v>
      </c>
      <c r="AE2145">
        <v>5.0079000000000002</v>
      </c>
      <c r="AF2145">
        <v>5.6465134031471598</v>
      </c>
      <c r="AG2145">
        <v>-1.1038861817029999</v>
      </c>
      <c r="AH2145">
        <v>46.922651791670802</v>
      </c>
      <c r="AI2145">
        <v>91.338022710275098</v>
      </c>
      <c r="AJ2145">
        <v>83.138214126304007</v>
      </c>
      <c r="AK2145">
        <v>47.274061910062898</v>
      </c>
    </row>
    <row r="2146" spans="1:37" x14ac:dyDescent="0.2">
      <c r="A2146" t="str">
        <f>"20200111155541415"</f>
        <v>20200111155541415</v>
      </c>
      <c r="B2146" t="str">
        <f>"1578729341404413"</f>
        <v>1578729341404413</v>
      </c>
      <c r="C2146" t="s">
        <v>37</v>
      </c>
      <c r="D2146">
        <v>4.8217910000000002</v>
      </c>
      <c r="E2146">
        <v>0.54819659999999903</v>
      </c>
      <c r="F2146" t="s">
        <v>61</v>
      </c>
      <c r="G2146">
        <v>-311.20710000000003</v>
      </c>
      <c r="H2146" s="1">
        <v>2.3390509999999999E-6</v>
      </c>
      <c r="I2146">
        <v>289.34300000000002</v>
      </c>
      <c r="J2146">
        <v>-265.55869999999999</v>
      </c>
      <c r="K2146">
        <v>1.1038600000000001</v>
      </c>
      <c r="L2146">
        <v>284.46690000000001</v>
      </c>
      <c r="M2146">
        <v>-0.99989059999999896</v>
      </c>
      <c r="N2146">
        <v>0</v>
      </c>
      <c r="O2146">
        <v>-1.3657529999999999E-2</v>
      </c>
      <c r="P2146">
        <v>-0.99972719999999904</v>
      </c>
      <c r="Q2146">
        <v>1.142174E-2</v>
      </c>
      <c r="R2146">
        <v>-2.0384880000000001E-2</v>
      </c>
      <c r="S2146">
        <v>-3.0079959999999999</v>
      </c>
      <c r="T2146">
        <v>-7.2320460000000003E-2</v>
      </c>
      <c r="U2146">
        <v>0.31921389999999999</v>
      </c>
      <c r="V2146">
        <v>-6.7283890000000004E-3</v>
      </c>
      <c r="W2146">
        <v>1.713843E-2</v>
      </c>
      <c r="X2146">
        <v>0.99983049999999996</v>
      </c>
      <c r="Y2146">
        <v>0.119062899999999</v>
      </c>
      <c r="Z2146">
        <v>1.754544E-3</v>
      </c>
      <c r="AA2146">
        <v>0.99288519999999902</v>
      </c>
      <c r="AB2146">
        <v>26</v>
      </c>
      <c r="AC2146">
        <v>-45.648400000000002</v>
      </c>
      <c r="AD2146">
        <v>-1.1038576609490001</v>
      </c>
      <c r="AE2146">
        <v>4.8761000000000001</v>
      </c>
      <c r="AF2146">
        <v>5.4959221282536701</v>
      </c>
      <c r="AG2146">
        <v>-1.1038576609490001</v>
      </c>
      <c r="AH2146">
        <v>45.551209886193398</v>
      </c>
      <c r="AI2146">
        <v>91.3782046957879</v>
      </c>
      <c r="AJ2146">
        <v>83.120306737556106</v>
      </c>
      <c r="AK2146">
        <v>45.8948404929303</v>
      </c>
    </row>
    <row r="2147" spans="1:37" x14ac:dyDescent="0.2">
      <c r="A2147" t="str">
        <f>"20200111155541430"</f>
        <v>20200111155541430</v>
      </c>
      <c r="B2147" t="str">
        <f>"1578729341424908"</f>
        <v>1578729341424908</v>
      </c>
      <c r="C2147" t="s">
        <v>37</v>
      </c>
      <c r="D2147">
        <v>4.8563830000000001</v>
      </c>
      <c r="E2147">
        <v>0.54817490000000002</v>
      </c>
      <c r="F2147" t="s">
        <v>61</v>
      </c>
      <c r="G2147">
        <v>-311.30160000000001</v>
      </c>
      <c r="H2147" s="1">
        <v>2.38315499999999E-6</v>
      </c>
      <c r="I2147">
        <v>289.31819999999999</v>
      </c>
      <c r="J2147">
        <v>-265.74939999999998</v>
      </c>
      <c r="K2147">
        <v>1.1038459999999899</v>
      </c>
      <c r="L2147">
        <v>284.46429999999998</v>
      </c>
      <c r="M2147">
        <v>-0.99989150000000004</v>
      </c>
      <c r="N2147">
        <v>0</v>
      </c>
      <c r="O2147">
        <v>-1.3657849999999999E-2</v>
      </c>
      <c r="P2147">
        <v>-0.99972119999999998</v>
      </c>
      <c r="Q2147">
        <v>1.169943E-2</v>
      </c>
      <c r="R2147">
        <v>-2.0508040000000002E-2</v>
      </c>
      <c r="S2147">
        <v>-3.0081479999999998</v>
      </c>
      <c r="T2147">
        <v>-7.2591900000000001E-2</v>
      </c>
      <c r="U2147">
        <v>0.3190308</v>
      </c>
      <c r="V2147">
        <v>-6.8513810000000001E-3</v>
      </c>
      <c r="W2147">
        <v>1.7229479999999998E-2</v>
      </c>
      <c r="X2147">
        <v>0.999828099999999</v>
      </c>
      <c r="Y2147">
        <v>0.11899800000000001</v>
      </c>
      <c r="Z2147">
        <v>1.7602689999999901E-3</v>
      </c>
      <c r="AA2147">
        <v>0.99289289999999997</v>
      </c>
      <c r="AB2147">
        <v>26</v>
      </c>
      <c r="AC2147">
        <v>-45.552199999999999</v>
      </c>
      <c r="AD2147">
        <v>-1.1038436168449901</v>
      </c>
      <c r="AE2147">
        <v>4.8539000000000003</v>
      </c>
      <c r="AF2147">
        <v>5.4724244303199701</v>
      </c>
      <c r="AG2147">
        <v>-1.1038436168449901</v>
      </c>
      <c r="AH2147">
        <v>45.455263943928003</v>
      </c>
      <c r="AI2147">
        <v>91.381138103056699</v>
      </c>
      <c r="AJ2147">
        <v>83.135118441293997</v>
      </c>
      <c r="AK2147">
        <v>45.796800325876198</v>
      </c>
    </row>
    <row r="2148" spans="1:37" x14ac:dyDescent="0.2">
      <c r="A2148" t="str">
        <f>"20200111155541449"</f>
        <v>20200111155541449</v>
      </c>
      <c r="B2148" t="str">
        <f>"1578729341444428"</f>
        <v>1578729341444428</v>
      </c>
      <c r="C2148" t="s">
        <v>37</v>
      </c>
      <c r="D2148">
        <v>4.9351039999999999</v>
      </c>
      <c r="E2148">
        <v>0.54788979999999998</v>
      </c>
      <c r="F2148" t="s">
        <v>61</v>
      </c>
      <c r="G2148">
        <v>-311.09449999999998</v>
      </c>
      <c r="H2148" s="1">
        <v>2.295927E-6</v>
      </c>
      <c r="I2148">
        <v>289.2654</v>
      </c>
      <c r="J2148">
        <v>-265.96199999999999</v>
      </c>
      <c r="K2148">
        <v>1.103831</v>
      </c>
      <c r="L2148">
        <v>284.46140000000003</v>
      </c>
      <c r="M2148">
        <v>-0.99989240000000001</v>
      </c>
      <c r="N2148">
        <v>0</v>
      </c>
      <c r="O2148">
        <v>-1.365831E-2</v>
      </c>
      <c r="P2148">
        <v>-0.99971089999999996</v>
      </c>
      <c r="Q2148">
        <v>1.194013E-2</v>
      </c>
      <c r="R2148">
        <v>-2.0869829999999999E-2</v>
      </c>
      <c r="S2148">
        <v>-3.0082399999999998</v>
      </c>
      <c r="T2148">
        <v>-7.3230030000000002E-2</v>
      </c>
      <c r="U2148">
        <v>0.31851199999999902</v>
      </c>
      <c r="V2148">
        <v>-7.2127550000000004E-3</v>
      </c>
      <c r="W2148">
        <v>1.728288E-2</v>
      </c>
      <c r="X2148">
        <v>0.99982459999999995</v>
      </c>
      <c r="Y2148">
        <v>0.11882529999999999</v>
      </c>
      <c r="Z2148">
        <v>1.773616E-3</v>
      </c>
      <c r="AA2148">
        <v>0.99291359999999995</v>
      </c>
      <c r="AB2148">
        <v>26</v>
      </c>
      <c r="AC2148">
        <v>-45.132499999999901</v>
      </c>
      <c r="AD2148">
        <v>-1.1038287040729999</v>
      </c>
      <c r="AE2148">
        <v>4.8039999999999701</v>
      </c>
      <c r="AF2148">
        <v>5.4167905160804102</v>
      </c>
      <c r="AG2148">
        <v>-1.1038287040729999</v>
      </c>
      <c r="AH2148">
        <v>45.036037097401703</v>
      </c>
      <c r="AI2148">
        <v>91.393989772074406</v>
      </c>
      <c r="AJ2148">
        <v>83.141592650347704</v>
      </c>
      <c r="AK2148">
        <v>45.374053100219903</v>
      </c>
    </row>
    <row r="2149" spans="1:37" x14ac:dyDescent="0.2">
      <c r="A2149" t="str">
        <f>"20200111155541463"</f>
        <v>20200111155541463</v>
      </c>
      <c r="B2149" t="str">
        <f>"1578729341454189"</f>
        <v>1578729341454189</v>
      </c>
      <c r="C2149" t="s">
        <v>37</v>
      </c>
      <c r="D2149">
        <v>5.0133429999999999</v>
      </c>
      <c r="E2149">
        <v>0.51688020000000001</v>
      </c>
      <c r="F2149" t="s">
        <v>61</v>
      </c>
      <c r="G2149">
        <v>-311.10149999999999</v>
      </c>
      <c r="H2149" s="1">
        <v>2.3058040000000001E-6</v>
      </c>
      <c r="I2149">
        <v>289.18790000000001</v>
      </c>
      <c r="J2149">
        <v>-266.14069999999998</v>
      </c>
      <c r="K2149">
        <v>1.103823</v>
      </c>
      <c r="L2149">
        <v>284.45890000000003</v>
      </c>
      <c r="M2149">
        <v>-0.99989340000000004</v>
      </c>
      <c r="N2149">
        <v>0</v>
      </c>
      <c r="O2149">
        <v>-1.3659019999999999E-2</v>
      </c>
      <c r="P2149">
        <v>-0.999710399999999</v>
      </c>
      <c r="Q2149">
        <v>1.2145309999999999E-2</v>
      </c>
      <c r="R2149">
        <v>-2.078882E-2</v>
      </c>
      <c r="S2149">
        <v>-3.0083310000000001</v>
      </c>
      <c r="T2149">
        <v>-7.3564889999999994E-2</v>
      </c>
      <c r="U2149">
        <v>0.31500240000000002</v>
      </c>
      <c r="V2149">
        <v>-7.130745E-3</v>
      </c>
      <c r="W2149">
        <v>1.7349630000000001E-2</v>
      </c>
      <c r="X2149">
        <v>0.99982399999999905</v>
      </c>
      <c r="Y2149">
        <v>0.117677</v>
      </c>
      <c r="Z2149">
        <v>1.7677960000000001E-3</v>
      </c>
      <c r="AA2149">
        <v>0.99305030000000005</v>
      </c>
      <c r="AB2149">
        <v>27</v>
      </c>
      <c r="AC2149">
        <v>-44.960799999999999</v>
      </c>
      <c r="AD2149">
        <v>-1.103820694196</v>
      </c>
      <c r="AE2149">
        <v>4.7289999999999797</v>
      </c>
      <c r="AF2149">
        <v>5.3395043553460697</v>
      </c>
      <c r="AG2149">
        <v>-1.103820694196</v>
      </c>
      <c r="AH2149">
        <v>44.865265049460199</v>
      </c>
      <c r="AI2149">
        <v>91.399492197905005</v>
      </c>
      <c r="AJ2149">
        <v>83.213038452200806</v>
      </c>
      <c r="AK2149">
        <v>45.195361873139298</v>
      </c>
    </row>
    <row r="2150" spans="1:37" x14ac:dyDescent="0.2">
      <c r="A2150" t="str">
        <f>"20200111155541482"</f>
        <v>20200111155541482</v>
      </c>
      <c r="B2150" t="str">
        <f>"1578729341474684"</f>
        <v>1578729341474684</v>
      </c>
      <c r="C2150" t="s">
        <v>37</v>
      </c>
      <c r="D2150">
        <v>4.9537459999999998</v>
      </c>
      <c r="E2150">
        <v>0.50854719999999998</v>
      </c>
      <c r="F2150" t="s">
        <v>61</v>
      </c>
      <c r="G2150">
        <v>-299.2774</v>
      </c>
      <c r="H2150" s="1">
        <v>3.8005939999999999E-6</v>
      </c>
      <c r="I2150">
        <v>285.19760000000002</v>
      </c>
      <c r="J2150">
        <v>-266.36579999999998</v>
      </c>
      <c r="K2150">
        <v>1.1038129999999999</v>
      </c>
      <c r="L2150">
        <v>284.45589999999999</v>
      </c>
      <c r="M2150">
        <v>-0.99989409999999901</v>
      </c>
      <c r="N2150">
        <v>0</v>
      </c>
      <c r="O2150">
        <v>-1.3659839999999999E-2</v>
      </c>
      <c r="P2150">
        <v>-0.99969010000000003</v>
      </c>
      <c r="Q2150">
        <v>1.295433E-2</v>
      </c>
      <c r="R2150">
        <v>-2.1269730000000001E-2</v>
      </c>
      <c r="S2150">
        <v>-3.003479</v>
      </c>
      <c r="T2150">
        <v>-0.100049</v>
      </c>
      <c r="U2150">
        <v>6.6955570000000006E-2</v>
      </c>
      <c r="V2150">
        <v>-7.611222E-3</v>
      </c>
      <c r="W2150">
        <v>1.8008509999999998E-2</v>
      </c>
      <c r="X2150">
        <v>0.99980879999999905</v>
      </c>
      <c r="Y2150">
        <v>3.5914179999999997E-2</v>
      </c>
      <c r="Z2150">
        <v>1.0527830000000001E-3</v>
      </c>
      <c r="AA2150">
        <v>0.99935429999999903</v>
      </c>
      <c r="AB2150">
        <v>27</v>
      </c>
      <c r="AC2150">
        <v>-32.9116</v>
      </c>
      <c r="AD2150">
        <v>-1.103809199406</v>
      </c>
      <c r="AE2150">
        <v>0.741700000000037</v>
      </c>
      <c r="AF2150">
        <v>1.1898659247686001</v>
      </c>
      <c r="AG2150">
        <v>-1.103809199406</v>
      </c>
      <c r="AH2150">
        <v>32.861452589405602</v>
      </c>
      <c r="AI2150">
        <v>91.922570779533501</v>
      </c>
      <c r="AJ2150">
        <v>87.9263081759362</v>
      </c>
      <c r="AK2150">
        <v>32.9015082018039</v>
      </c>
    </row>
    <row r="2151" spans="1:37" x14ac:dyDescent="0.2">
      <c r="A2151" t="str">
        <f>"20200111155541496"</f>
        <v>20200111155541496</v>
      </c>
      <c r="B2151" t="str">
        <f>"1578729341484444"</f>
        <v>1578729341484444</v>
      </c>
      <c r="C2151" t="s">
        <v>37</v>
      </c>
      <c r="D2151">
        <v>5.0447309999999996</v>
      </c>
      <c r="E2151">
        <v>0.50640850000000004</v>
      </c>
      <c r="F2151" t="s">
        <v>61</v>
      </c>
      <c r="G2151">
        <v>-298.77530000000002</v>
      </c>
      <c r="H2151" s="1">
        <v>3.7776679999999998E-6</v>
      </c>
      <c r="I2151">
        <v>284.44099999999997</v>
      </c>
      <c r="J2151">
        <v>-266.54239999999999</v>
      </c>
      <c r="K2151">
        <v>1.103801</v>
      </c>
      <c r="L2151">
        <v>284.45350000000002</v>
      </c>
      <c r="M2151">
        <v>-0.99989439999999996</v>
      </c>
      <c r="N2151">
        <v>0</v>
      </c>
      <c r="O2151">
        <v>-1.366007E-2</v>
      </c>
      <c r="P2151">
        <v>-0.99968609999999902</v>
      </c>
      <c r="Q2151">
        <v>1.3092039999999999E-2</v>
      </c>
      <c r="R2151">
        <v>-2.1363670000000001E-2</v>
      </c>
      <c r="S2151">
        <v>-3.0022279999999899</v>
      </c>
      <c r="T2151">
        <v>-0.1022503</v>
      </c>
      <c r="U2151">
        <v>-1.373291E-3</v>
      </c>
      <c r="V2151">
        <v>-7.7046609999999998E-3</v>
      </c>
      <c r="W2151">
        <v>1.8044270000000001E-2</v>
      </c>
      <c r="X2151">
        <v>0.99980749999999996</v>
      </c>
      <c r="Y2151">
        <v>1.3187290000000001E-2</v>
      </c>
      <c r="Z2151">
        <v>6.8959860000000002E-4</v>
      </c>
      <c r="AA2151">
        <v>0.99991280000000005</v>
      </c>
      <c r="AB2151">
        <v>27</v>
      </c>
      <c r="AC2151">
        <v>-32.232900000000001</v>
      </c>
      <c r="AD2151">
        <v>-1.1037972223320001</v>
      </c>
      <c r="AE2151">
        <v>-1.25000000000454E-2</v>
      </c>
      <c r="AF2151">
        <v>0.42730915336360198</v>
      </c>
      <c r="AG2151">
        <v>-1.1037972223320001</v>
      </c>
      <c r="AH2151">
        <v>32.192311947267697</v>
      </c>
      <c r="AI2151">
        <v>91.963592802058599</v>
      </c>
      <c r="AJ2151">
        <v>89.2395211209477</v>
      </c>
      <c r="AK2151">
        <v>32.214063853087097</v>
      </c>
    </row>
    <row r="2152" spans="1:37" x14ac:dyDescent="0.2">
      <c r="A2152" t="str">
        <f>"20200111155541513"</f>
        <v>20200111155541513</v>
      </c>
      <c r="B2152" t="str">
        <f>"1578729341504944"</f>
        <v>1578729341504944</v>
      </c>
      <c r="C2152" t="s">
        <v>37</v>
      </c>
      <c r="D2152">
        <v>5.0425149999999999</v>
      </c>
      <c r="E2152">
        <v>0.50450269999999997</v>
      </c>
      <c r="F2152" t="s">
        <v>61</v>
      </c>
      <c r="G2152">
        <v>-299.35629999999998</v>
      </c>
      <c r="H2152" s="1">
        <v>3.8975109999999996E-6</v>
      </c>
      <c r="I2152">
        <v>284.24900000000002</v>
      </c>
      <c r="J2152">
        <v>-266.75</v>
      </c>
      <c r="K2152">
        <v>1.103796</v>
      </c>
      <c r="L2152">
        <v>284.45060000000001</v>
      </c>
      <c r="M2152">
        <v>-0.99989499999999998</v>
      </c>
      <c r="N2152">
        <v>0</v>
      </c>
      <c r="O2152">
        <v>-1.366066E-2</v>
      </c>
      <c r="P2152">
        <v>-0.99967629999999996</v>
      </c>
      <c r="Q2152">
        <v>1.3677419999999999E-2</v>
      </c>
      <c r="R2152">
        <v>-2.145561E-2</v>
      </c>
      <c r="S2152">
        <v>-3.0018919999999998</v>
      </c>
      <c r="T2152">
        <v>-0.100978</v>
      </c>
      <c r="U2152">
        <v>-1.870728E-2</v>
      </c>
      <c r="V2152">
        <v>-7.7966019999999997E-3</v>
      </c>
      <c r="W2152">
        <v>1.8530560000000001E-2</v>
      </c>
      <c r="X2152">
        <v>0.99979789999999902</v>
      </c>
      <c r="Y2152">
        <v>7.4175129999999997E-3</v>
      </c>
      <c r="Z2152">
        <v>5.8409369999999996E-4</v>
      </c>
      <c r="AA2152">
        <v>0.99997230000000004</v>
      </c>
      <c r="AB2152">
        <v>27</v>
      </c>
      <c r="AC2152">
        <v>-32.606299999999898</v>
      </c>
      <c r="AD2152">
        <v>-1.1037921024890001</v>
      </c>
      <c r="AE2152">
        <v>-0.20159999999998399</v>
      </c>
      <c r="AF2152">
        <v>0.24356848578526799</v>
      </c>
      <c r="AG2152">
        <v>-1.1037921024890001</v>
      </c>
      <c r="AH2152">
        <v>32.568690251012001</v>
      </c>
      <c r="AI2152">
        <v>91.941025717415201</v>
      </c>
      <c r="AJ2152">
        <v>89.571515280935301</v>
      </c>
      <c r="AK2152">
        <v>32.588299545682801</v>
      </c>
    </row>
    <row r="2153" spans="1:37" x14ac:dyDescent="0.2">
      <c r="A2153" t="str">
        <f>"20200111155541527"</f>
        <v>20200111155541527</v>
      </c>
      <c r="B2153" t="str">
        <f>"1578729341524459"</f>
        <v>1578729341524459</v>
      </c>
      <c r="C2153" t="s">
        <v>37</v>
      </c>
      <c r="D2153">
        <v>4.9632620000000003</v>
      </c>
      <c r="E2153">
        <v>0.50405809999999995</v>
      </c>
      <c r="F2153" t="s">
        <v>61</v>
      </c>
      <c r="G2153">
        <v>-300.64530000000002</v>
      </c>
      <c r="H2153" s="1">
        <v>3.89839099999999E-6</v>
      </c>
      <c r="I2153">
        <v>284.0643</v>
      </c>
      <c r="J2153">
        <v>-266.90960000000001</v>
      </c>
      <c r="K2153">
        <v>1.103791</v>
      </c>
      <c r="L2153">
        <v>284.44850000000002</v>
      </c>
      <c r="M2153">
        <v>-0.99989519999999998</v>
      </c>
      <c r="N2153">
        <v>0</v>
      </c>
      <c r="O2153">
        <v>-1.3661110000000001E-2</v>
      </c>
      <c r="P2153">
        <v>-0.9996758</v>
      </c>
      <c r="Q2153">
        <v>1.4010389999999999E-2</v>
      </c>
      <c r="R2153">
        <v>-2.1267990000000001E-2</v>
      </c>
      <c r="S2153">
        <v>-3.0015259999999899</v>
      </c>
      <c r="T2153">
        <v>-9.7743990000000003E-2</v>
      </c>
      <c r="U2153">
        <v>-3.4210209999999998E-2</v>
      </c>
      <c r="V2153">
        <v>-7.6082509999999999E-3</v>
      </c>
      <c r="W2153">
        <v>1.880184E-2</v>
      </c>
      <c r="X2153">
        <v>0.99979430000000002</v>
      </c>
      <c r="Y2153">
        <v>2.2561460000000001E-3</v>
      </c>
      <c r="Z2153">
        <v>4.8144919999999899E-4</v>
      </c>
      <c r="AA2153">
        <v>0.99999729999999998</v>
      </c>
      <c r="AB2153">
        <v>27</v>
      </c>
      <c r="AC2153">
        <v>-33.735700000000001</v>
      </c>
      <c r="AD2153">
        <v>-1.103787101609</v>
      </c>
      <c r="AE2153">
        <v>-0.38420000000002102</v>
      </c>
      <c r="AF2153">
        <v>7.6626234923457298E-2</v>
      </c>
      <c r="AG2153">
        <v>-1.103787101609</v>
      </c>
      <c r="AH2153">
        <v>33.701727066933103</v>
      </c>
      <c r="AI2153">
        <v>91.875855821835998</v>
      </c>
      <c r="AJ2153">
        <v>89.869729159961494</v>
      </c>
      <c r="AK2153">
        <v>33.719884709761502</v>
      </c>
    </row>
    <row r="2154" spans="1:37" x14ac:dyDescent="0.2">
      <c r="A2154" t="str">
        <f>"20200111155541540"</f>
        <v>20200111155541540</v>
      </c>
      <c r="B2154" t="str">
        <f>"1578729341534220"</f>
        <v>1578729341534220</v>
      </c>
      <c r="C2154" t="s">
        <v>37</v>
      </c>
      <c r="D2154">
        <v>5.0959199999999996</v>
      </c>
      <c r="E2154">
        <v>0.50333739999999905</v>
      </c>
      <c r="F2154" t="s">
        <v>61</v>
      </c>
      <c r="G2154">
        <v>-301.0258</v>
      </c>
      <c r="H2154" s="1">
        <v>3.8343629999999997E-6</v>
      </c>
      <c r="I2154">
        <v>284.02460000000002</v>
      </c>
      <c r="J2154">
        <v>-267.07240000000002</v>
      </c>
      <c r="K2154">
        <v>1.103788</v>
      </c>
      <c r="L2154">
        <v>284.44619999999998</v>
      </c>
      <c r="M2154">
        <v>-0.99989550000000005</v>
      </c>
      <c r="N2154">
        <v>0</v>
      </c>
      <c r="O2154">
        <v>-1.366147E-2</v>
      </c>
      <c r="P2154">
        <v>-0.99967689999999998</v>
      </c>
      <c r="Q2154">
        <v>1.401691E-2</v>
      </c>
      <c r="R2154">
        <v>-2.120288E-2</v>
      </c>
      <c r="S2154">
        <v>-3.0015259999999899</v>
      </c>
      <c r="T2154">
        <v>-9.7110390000000005E-2</v>
      </c>
      <c r="U2154">
        <v>-3.7292480000000003E-2</v>
      </c>
      <c r="V2154">
        <v>-7.5429440000000002E-3</v>
      </c>
      <c r="W2154">
        <v>1.875512E-2</v>
      </c>
      <c r="X2154">
        <v>0.99979569999999995</v>
      </c>
      <c r="Y2154">
        <v>1.2303850000000001E-3</v>
      </c>
      <c r="Z2154">
        <v>4.6174900000000001E-4</v>
      </c>
      <c r="AA2154">
        <v>0.99999919999999998</v>
      </c>
      <c r="AB2154">
        <v>27</v>
      </c>
      <c r="AC2154">
        <v>-33.953399999999903</v>
      </c>
      <c r="AD2154">
        <v>-1.103784165637</v>
      </c>
      <c r="AE2154">
        <v>-0.42159999999995501</v>
      </c>
      <c r="AF2154">
        <v>4.2253238188625697E-2</v>
      </c>
      <c r="AG2154">
        <v>-1.103784165637</v>
      </c>
      <c r="AH2154">
        <v>33.920149034003799</v>
      </c>
      <c r="AI2154">
        <v>91.863783587994305</v>
      </c>
      <c r="AJ2154">
        <v>89.928628528006499</v>
      </c>
      <c r="AK2154">
        <v>33.938129519899498</v>
      </c>
    </row>
    <row r="2155" spans="1:37" x14ac:dyDescent="0.2">
      <c r="A2155" t="str">
        <f>"20200111155541553"</f>
        <v>20200111155541553</v>
      </c>
      <c r="B2155" t="str">
        <f>"1578729341544956"</f>
        <v>1578729341544956</v>
      </c>
      <c r="C2155" t="s">
        <v>37</v>
      </c>
      <c r="D2155">
        <v>5.0809360000000003</v>
      </c>
      <c r="E2155">
        <v>0.50272589999999995</v>
      </c>
      <c r="F2155" t="s">
        <v>61</v>
      </c>
      <c r="G2155">
        <v>-301.74439999999998</v>
      </c>
      <c r="H2155" s="1">
        <v>3.7131719999999999E-6</v>
      </c>
      <c r="I2155">
        <v>283.95299999999997</v>
      </c>
      <c r="J2155">
        <v>-267.23480000000001</v>
      </c>
      <c r="K2155">
        <v>1.1037859999999999</v>
      </c>
      <c r="L2155">
        <v>284.44400000000002</v>
      </c>
      <c r="M2155">
        <v>-0.9998956</v>
      </c>
      <c r="N2155">
        <v>0</v>
      </c>
      <c r="O2155">
        <v>-1.366186E-2</v>
      </c>
      <c r="P2155">
        <v>-0.9996815</v>
      </c>
      <c r="Q2155">
        <v>1.409763E-2</v>
      </c>
      <c r="R2155">
        <v>-2.0936779999999999E-2</v>
      </c>
      <c r="S2155">
        <v>-3.0013730000000001</v>
      </c>
      <c r="T2155">
        <v>-9.5548869999999994E-2</v>
      </c>
      <c r="U2155">
        <v>-4.2694089999999997E-2</v>
      </c>
      <c r="V2155">
        <v>-7.2764409999999998E-3</v>
      </c>
      <c r="W2155">
        <v>1.8799929999999999E-2</v>
      </c>
      <c r="X2155">
        <v>0.99979680000000004</v>
      </c>
      <c r="Y2155">
        <v>-5.6808879999999996E-4</v>
      </c>
      <c r="Z2155">
        <v>4.2573820000000001E-4</v>
      </c>
      <c r="AA2155">
        <v>0.99999979999999999</v>
      </c>
      <c r="AB2155">
        <v>27</v>
      </c>
      <c r="AC2155">
        <v>-34.509599999999899</v>
      </c>
      <c r="AD2155">
        <v>-1.1037822868280001</v>
      </c>
      <c r="AE2155">
        <v>-0.49100000000004201</v>
      </c>
      <c r="AF2155">
        <v>-1.9463723575315499E-2</v>
      </c>
      <c r="AG2155">
        <v>-1.1037822868280001</v>
      </c>
      <c r="AH2155">
        <v>34.4778226831449</v>
      </c>
      <c r="AI2155">
        <v>91.8336559256214</v>
      </c>
      <c r="AJ2155">
        <v>90.032345113734607</v>
      </c>
      <c r="AK2155">
        <v>34.495492040897702</v>
      </c>
    </row>
    <row r="2156" spans="1:37" x14ac:dyDescent="0.2">
      <c r="A2156" t="str">
        <f>"20200111155541572"</f>
        <v>20200111155541572</v>
      </c>
      <c r="B2156" t="str">
        <f>"1578729341564476"</f>
        <v>1578729341564476</v>
      </c>
      <c r="C2156" t="s">
        <v>37</v>
      </c>
      <c r="D2156">
        <v>4.998354</v>
      </c>
      <c r="E2156">
        <v>0.50261929999999999</v>
      </c>
      <c r="F2156" t="s">
        <v>61</v>
      </c>
      <c r="G2156">
        <v>-302.06150000000002</v>
      </c>
      <c r="H2156" s="1">
        <v>3.6615119999999999E-6</v>
      </c>
      <c r="I2156">
        <v>283.90050000000002</v>
      </c>
      <c r="J2156">
        <v>-267.45249999999999</v>
      </c>
      <c r="K2156">
        <v>1.103791</v>
      </c>
      <c r="L2156">
        <v>284.44099999999997</v>
      </c>
      <c r="M2156">
        <v>-0.99989589999999995</v>
      </c>
      <c r="N2156">
        <v>0</v>
      </c>
      <c r="O2156">
        <v>-1.3662499999999999E-2</v>
      </c>
      <c r="P2156">
        <v>-0.99968449999999998</v>
      </c>
      <c r="Q2156">
        <v>1.4077360000000001E-2</v>
      </c>
      <c r="R2156">
        <v>-2.0813620000000001E-2</v>
      </c>
      <c r="S2156">
        <v>-3.0012819999999998</v>
      </c>
      <c r="T2156">
        <v>-9.5121499999999998E-2</v>
      </c>
      <c r="U2156">
        <v>-4.6844480000000001E-2</v>
      </c>
      <c r="V2156">
        <v>-7.152495E-3</v>
      </c>
      <c r="W2156">
        <v>1.8747960000000001E-2</v>
      </c>
      <c r="X2156">
        <v>0.99979869999999904</v>
      </c>
      <c r="Y2156">
        <v>-1.9496939999999901E-3</v>
      </c>
      <c r="Z2156">
        <v>4.0197550000000001E-4</v>
      </c>
      <c r="AA2156">
        <v>0.99999799999999905</v>
      </c>
      <c r="AB2156">
        <v>27</v>
      </c>
      <c r="AC2156">
        <v>-34.609000000000002</v>
      </c>
      <c r="AD2156">
        <v>-1.1037873384879999</v>
      </c>
      <c r="AE2156">
        <v>-0.54049999999995102</v>
      </c>
      <c r="AF2156">
        <v>-6.7530326055463705E-2</v>
      </c>
      <c r="AG2156">
        <v>-1.1037873384879999</v>
      </c>
      <c r="AH2156">
        <v>34.577991262903097</v>
      </c>
      <c r="AI2156">
        <v>91.828352808476595</v>
      </c>
      <c r="AJ2156">
        <v>90.111897701733696</v>
      </c>
      <c r="AK2156">
        <v>34.595670055816903</v>
      </c>
    </row>
    <row r="2157" spans="1:37" x14ac:dyDescent="0.2">
      <c r="A2157" t="str">
        <f>"20200111155541585"</f>
        <v>20200111155541585</v>
      </c>
      <c r="B2157" t="str">
        <f>"1578729341574237"</f>
        <v>1578729341574237</v>
      </c>
      <c r="C2157" t="s">
        <v>37</v>
      </c>
      <c r="D2157">
        <v>4.9926579999999996</v>
      </c>
      <c r="E2157">
        <v>0.50250099999999998</v>
      </c>
      <c r="F2157" t="s">
        <v>61</v>
      </c>
      <c r="G2157">
        <v>-301.5865</v>
      </c>
      <c r="H2157" s="1">
        <v>3.7452909999999999E-6</v>
      </c>
      <c r="I2157">
        <v>283.90589999999997</v>
      </c>
      <c r="J2157">
        <v>-267.62880000000001</v>
      </c>
      <c r="K2157">
        <v>1.103791</v>
      </c>
      <c r="L2157">
        <v>284.43869999999998</v>
      </c>
      <c r="M2157">
        <v>-0.99989589999999995</v>
      </c>
      <c r="N2157">
        <v>0</v>
      </c>
      <c r="O2157">
        <v>-1.3662830000000001E-2</v>
      </c>
      <c r="P2157">
        <v>-0.99968319999999999</v>
      </c>
      <c r="Q2157">
        <v>1.442906E-2</v>
      </c>
      <c r="R2157">
        <v>-2.0628440000000001E-2</v>
      </c>
      <c r="S2157">
        <v>-3.0013429999999999</v>
      </c>
      <c r="T2157">
        <v>-9.7053890000000004E-2</v>
      </c>
      <c r="U2157">
        <v>-4.705811E-2</v>
      </c>
      <c r="V2157">
        <v>-6.9669980000000003E-3</v>
      </c>
      <c r="W2157">
        <v>1.908837E-2</v>
      </c>
      <c r="X2157">
        <v>0.9997935</v>
      </c>
      <c r="Y2157">
        <v>-2.020408E-3</v>
      </c>
      <c r="Z2157">
        <v>4.0899650000000002E-4</v>
      </c>
      <c r="AA2157">
        <v>0.999997899999999</v>
      </c>
      <c r="AB2157">
        <v>27</v>
      </c>
      <c r="AC2157">
        <v>-33.957699999999903</v>
      </c>
      <c r="AD2157">
        <v>-1.103787254709</v>
      </c>
      <c r="AE2157">
        <v>-0.53280000000000804</v>
      </c>
      <c r="AF2157">
        <v>-6.8714410214420402E-2</v>
      </c>
      <c r="AG2157">
        <v>-1.103787254709</v>
      </c>
      <c r="AH2157">
        <v>33.925973917339697</v>
      </c>
      <c r="AI2157">
        <v>91.863466649931397</v>
      </c>
      <c r="AJ2157">
        <v>90.116047967345906</v>
      </c>
      <c r="AK2157">
        <v>33.943994670837398</v>
      </c>
    </row>
    <row r="2158" spans="1:37" x14ac:dyDescent="0.2">
      <c r="A2158" t="str">
        <f>"20200111155541604"</f>
        <v>20200111155541604</v>
      </c>
      <c r="B2158" t="str">
        <f>"1578729341594734"</f>
        <v>1578729341594734</v>
      </c>
      <c r="C2158" t="s">
        <v>37</v>
      </c>
      <c r="D2158">
        <v>5.0269830000000004</v>
      </c>
      <c r="E2158">
        <v>0.5023183</v>
      </c>
      <c r="F2158" t="s">
        <v>61</v>
      </c>
      <c r="G2158">
        <v>-301.83699999999999</v>
      </c>
      <c r="H2158" s="1">
        <v>3.7018630000000001E-6</v>
      </c>
      <c r="I2158">
        <v>283.89429999999999</v>
      </c>
      <c r="J2158">
        <v>-267.85019999999997</v>
      </c>
      <c r="K2158">
        <v>1.1037920000000001</v>
      </c>
      <c r="L2158">
        <v>284.43560000000002</v>
      </c>
      <c r="M2158">
        <v>-0.9998958</v>
      </c>
      <c r="N2158">
        <v>0</v>
      </c>
      <c r="O2158">
        <v>-1.366332E-2</v>
      </c>
      <c r="P2158">
        <v>-0.99969140000000001</v>
      </c>
      <c r="Q2158">
        <v>1.4622889999999999E-2</v>
      </c>
      <c r="R2158">
        <v>-2.0086690000000001E-2</v>
      </c>
      <c r="S2158">
        <v>-3.0013730000000001</v>
      </c>
      <c r="T2158">
        <v>-9.6844429999999995E-2</v>
      </c>
      <c r="U2158">
        <v>-4.7760009999999999E-2</v>
      </c>
      <c r="V2158">
        <v>-6.4249210000000001E-3</v>
      </c>
      <c r="W2158">
        <v>1.9283829999999998E-2</v>
      </c>
      <c r="X2158">
        <v>0.99979340000000005</v>
      </c>
      <c r="Y2158">
        <v>-2.2534209999999998E-3</v>
      </c>
      <c r="Z2158">
        <v>4.0436669999999999E-4</v>
      </c>
      <c r="AA2158">
        <v>0.99999740000000004</v>
      </c>
      <c r="AB2158">
        <v>27</v>
      </c>
      <c r="AC2158">
        <v>-33.986800000000002</v>
      </c>
      <c r="AD2158">
        <v>-1.103788298137</v>
      </c>
      <c r="AE2158">
        <v>-0.54130000000003498</v>
      </c>
      <c r="AF2158">
        <v>-7.6790931565672405E-2</v>
      </c>
      <c r="AG2158">
        <v>-1.103788298137</v>
      </c>
      <c r="AH2158">
        <v>33.955218076930798</v>
      </c>
      <c r="AI2158">
        <v>91.861863674023098</v>
      </c>
      <c r="AJ2158">
        <v>90.129576219262205</v>
      </c>
      <c r="AK2158">
        <v>33.9732406476951</v>
      </c>
    </row>
    <row r="2159" spans="1:37" x14ac:dyDescent="0.2">
      <c r="A2159" t="str">
        <f>"20200111155541616"</f>
        <v>20200111155541616</v>
      </c>
      <c r="B2159" t="str">
        <f>"1578729341604493"</f>
        <v>1578729341604493</v>
      </c>
      <c r="C2159" t="s">
        <v>37</v>
      </c>
      <c r="D2159">
        <v>5.0007409999999997</v>
      </c>
      <c r="E2159">
        <v>0.50229799999999902</v>
      </c>
      <c r="F2159" t="s">
        <v>61</v>
      </c>
      <c r="G2159">
        <v>-301.77460000000002</v>
      </c>
      <c r="H2159" s="1">
        <v>3.7126549999999999E-6</v>
      </c>
      <c r="I2159">
        <v>283.89749999999998</v>
      </c>
      <c r="J2159">
        <v>-268.01229999999998</v>
      </c>
      <c r="K2159">
        <v>1.103791</v>
      </c>
      <c r="L2159">
        <v>284.43340000000001</v>
      </c>
      <c r="M2159">
        <v>-0.99989570000000005</v>
      </c>
      <c r="N2159">
        <v>0</v>
      </c>
      <c r="O2159">
        <v>-1.366382E-2</v>
      </c>
      <c r="P2159">
        <v>-0.99969039999999998</v>
      </c>
      <c r="Q2159">
        <v>1.4613640000000001E-2</v>
      </c>
      <c r="R2159">
        <v>-2.0144970000000002E-2</v>
      </c>
      <c r="S2159">
        <v>-3.001404</v>
      </c>
      <c r="T2159">
        <v>-9.7655770000000003E-2</v>
      </c>
      <c r="U2159">
        <v>-4.7607419999999998E-2</v>
      </c>
      <c r="V2159">
        <v>-6.4826060000000001E-3</v>
      </c>
      <c r="W2159">
        <v>1.928479E-2</v>
      </c>
      <c r="X2159">
        <v>0.99979300000000004</v>
      </c>
      <c r="Y2159">
        <v>-2.2020609999999999E-3</v>
      </c>
      <c r="Z2159">
        <v>4.0860009999999999E-4</v>
      </c>
      <c r="AA2159">
        <v>0.99999749999999998</v>
      </c>
      <c r="AB2159">
        <v>28</v>
      </c>
      <c r="AC2159">
        <v>-33.762300000000003</v>
      </c>
      <c r="AD2159">
        <v>-1.1037872873450001</v>
      </c>
      <c r="AE2159">
        <v>-0.53590000000002602</v>
      </c>
      <c r="AF2159">
        <v>-7.44433843386135E-2</v>
      </c>
      <c r="AG2159">
        <v>-1.1037872873450001</v>
      </c>
      <c r="AH2159">
        <v>33.730427740963499</v>
      </c>
      <c r="AI2159">
        <v>91.874261420249397</v>
      </c>
      <c r="AJ2159">
        <v>90.126452141158396</v>
      </c>
      <c r="AK2159">
        <v>33.7485650625554</v>
      </c>
    </row>
    <row r="2160" spans="1:37" x14ac:dyDescent="0.2">
      <c r="A2160" t="str">
        <f>"20200111155541629"</f>
        <v>20200111155541629</v>
      </c>
      <c r="B2160" t="str">
        <f>"1578729341624987"</f>
        <v>1578729341624987</v>
      </c>
      <c r="C2160" t="s">
        <v>37</v>
      </c>
      <c r="D2160">
        <v>5.0837750000000002</v>
      </c>
      <c r="E2160">
        <v>0.50228099999999998</v>
      </c>
      <c r="F2160" t="s">
        <v>61</v>
      </c>
      <c r="G2160">
        <v>-302.00209999999998</v>
      </c>
      <c r="H2160" s="1">
        <v>3.6730069999999998E-6</v>
      </c>
      <c r="I2160">
        <v>283.88940000000002</v>
      </c>
      <c r="J2160">
        <v>-268.17570000000001</v>
      </c>
      <c r="K2160">
        <v>1.103801</v>
      </c>
      <c r="L2160">
        <v>284.43119999999999</v>
      </c>
      <c r="M2160">
        <v>-0.99989570000000005</v>
      </c>
      <c r="N2160">
        <v>0</v>
      </c>
      <c r="O2160">
        <v>-1.3664219999999999E-2</v>
      </c>
      <c r="P2160">
        <v>-0.99970000000000003</v>
      </c>
      <c r="Q2160">
        <v>1.4336160000000001E-2</v>
      </c>
      <c r="R2160">
        <v>-1.9865819999999999E-2</v>
      </c>
      <c r="S2160">
        <v>-3.0013429999999999</v>
      </c>
      <c r="T2160">
        <v>-9.7465869999999996E-2</v>
      </c>
      <c r="U2160">
        <v>-4.8034670000000002E-2</v>
      </c>
      <c r="V2160">
        <v>-6.202791E-3</v>
      </c>
      <c r="W2160">
        <v>1.9029250000000001E-2</v>
      </c>
      <c r="X2160">
        <v>0.99979969999999996</v>
      </c>
      <c r="Y2160">
        <v>-2.344194E-3</v>
      </c>
      <c r="Z2160">
        <v>4.0552010000000001E-4</v>
      </c>
      <c r="AA2160">
        <v>0.99999720000000003</v>
      </c>
      <c r="AB2160">
        <v>28</v>
      </c>
      <c r="AC2160">
        <v>-33.8263999999999</v>
      </c>
      <c r="AD2160">
        <v>-1.1037973269929999</v>
      </c>
      <c r="AE2160">
        <v>-0.54179999999996598</v>
      </c>
      <c r="AF2160">
        <v>-7.9448414083151397E-2</v>
      </c>
      <c r="AG2160">
        <v>-1.1037973269929999</v>
      </c>
      <c r="AH2160">
        <v>33.794670001435797</v>
      </c>
      <c r="AI2160">
        <v>91.8707174513209</v>
      </c>
      <c r="AJ2160">
        <v>90.134697288942107</v>
      </c>
      <c r="AK2160">
        <v>33.812784580621603</v>
      </c>
    </row>
    <row r="2161" spans="1:37" x14ac:dyDescent="0.2">
      <c r="A2161" t="str">
        <f>"20200111155541643"</f>
        <v>20200111155541643</v>
      </c>
      <c r="B2161" t="str">
        <f>"1578729341634749"</f>
        <v>1578729341634749</v>
      </c>
      <c r="C2161" t="s">
        <v>37</v>
      </c>
      <c r="D2161">
        <v>5.0615139999999998</v>
      </c>
      <c r="E2161">
        <v>0.50216819999999995</v>
      </c>
      <c r="F2161" t="s">
        <v>61</v>
      </c>
      <c r="G2161">
        <v>-301.20119999999997</v>
      </c>
      <c r="H2161" s="1">
        <v>3.81323699999999E-6</v>
      </c>
      <c r="I2161">
        <v>283.91039999999998</v>
      </c>
      <c r="J2161">
        <v>-268.33510000000001</v>
      </c>
      <c r="K2161">
        <v>1.1038049999999999</v>
      </c>
      <c r="L2161">
        <v>284.42899999999997</v>
      </c>
      <c r="M2161">
        <v>-0.9998956</v>
      </c>
      <c r="N2161">
        <v>0</v>
      </c>
      <c r="O2161">
        <v>-1.366466E-2</v>
      </c>
      <c r="P2161">
        <v>-0.99970680000000001</v>
      </c>
      <c r="Q2161">
        <v>1.4237130000000001E-2</v>
      </c>
      <c r="R2161">
        <v>-1.9597090000000001E-2</v>
      </c>
      <c r="S2161">
        <v>-3.001404</v>
      </c>
      <c r="T2161">
        <v>-0.100314399999999</v>
      </c>
      <c r="U2161">
        <v>-4.7332760000000001E-2</v>
      </c>
      <c r="V2161">
        <v>-5.9334390000000004E-3</v>
      </c>
      <c r="W2161">
        <v>1.8962980000000001E-2</v>
      </c>
      <c r="X2161">
        <v>0.99980259999999999</v>
      </c>
      <c r="Y2161">
        <v>-2.110116E-3</v>
      </c>
      <c r="Z2161">
        <v>4.2128249999999999E-4</v>
      </c>
      <c r="AA2161">
        <v>0.99999769999999899</v>
      </c>
      <c r="AB2161">
        <v>28</v>
      </c>
      <c r="AC2161">
        <v>-32.866099999999904</v>
      </c>
      <c r="AD2161">
        <v>-1.103801186763</v>
      </c>
      <c r="AE2161">
        <v>-0.51860000000004902</v>
      </c>
      <c r="AF2161">
        <v>-6.9364323097699798E-2</v>
      </c>
      <c r="AG2161">
        <v>-1.103801186763</v>
      </c>
      <c r="AH2161">
        <v>32.833093445315797</v>
      </c>
      <c r="AI2161">
        <v>91.925471894432505</v>
      </c>
      <c r="AJ2161">
        <v>90.1210448554355</v>
      </c>
      <c r="AK2161">
        <v>32.851715535996803</v>
      </c>
    </row>
    <row r="2162" spans="1:37" x14ac:dyDescent="0.2">
      <c r="A2162" t="str">
        <f>"20200111155541660"</f>
        <v>20200111155541660</v>
      </c>
      <c r="B2162" t="str">
        <f>"1578729341654268"</f>
        <v>1578729341654268</v>
      </c>
      <c r="C2162" t="s">
        <v>37</v>
      </c>
      <c r="D2162">
        <v>5.198639</v>
      </c>
      <c r="E2162">
        <v>0.50216899999999998</v>
      </c>
      <c r="F2162" t="s">
        <v>61</v>
      </c>
      <c r="G2162">
        <v>-300.92570000000001</v>
      </c>
      <c r="H2162" s="1">
        <v>3.8617970000000002E-6</v>
      </c>
      <c r="I2162">
        <v>283.91399999999999</v>
      </c>
      <c r="J2162">
        <v>-268.55110000000002</v>
      </c>
      <c r="K2162">
        <v>1.1038190000000001</v>
      </c>
      <c r="L2162">
        <v>284.42610000000002</v>
      </c>
      <c r="M2162">
        <v>-0.99989509999999904</v>
      </c>
      <c r="N2162">
        <v>0</v>
      </c>
      <c r="O2162">
        <v>-1.366494E-2</v>
      </c>
      <c r="P2162">
        <v>-0.99970820000000005</v>
      </c>
      <c r="Q2162">
        <v>1.41496E-2</v>
      </c>
      <c r="R2162">
        <v>-1.9575479999999999E-2</v>
      </c>
      <c r="S2162">
        <v>-3.001404</v>
      </c>
      <c r="T2162">
        <v>-0.1016536</v>
      </c>
      <c r="U2162">
        <v>-4.7424319999999999E-2</v>
      </c>
      <c r="V2162">
        <v>-5.91151E-3</v>
      </c>
      <c r="W2162">
        <v>1.8948199999999998E-2</v>
      </c>
      <c r="X2162">
        <v>0.999803</v>
      </c>
      <c r="Y2162">
        <v>-2.1404750000000002E-3</v>
      </c>
      <c r="Z2162">
        <v>4.2639929999999999E-4</v>
      </c>
      <c r="AA2162">
        <v>0.99999760000000004</v>
      </c>
      <c r="AB2162">
        <v>28</v>
      </c>
      <c r="AC2162">
        <v>-32.374599999999901</v>
      </c>
      <c r="AD2162">
        <v>-1.1038151382029999</v>
      </c>
      <c r="AE2162">
        <v>-0.51210000000003197</v>
      </c>
      <c r="AF2162">
        <v>-6.9569264853812304E-2</v>
      </c>
      <c r="AG2162">
        <v>-1.1038151382029999</v>
      </c>
      <c r="AH2162">
        <v>32.340988813596198</v>
      </c>
      <c r="AI2162">
        <v>91.954772090009897</v>
      </c>
      <c r="AJ2162">
        <v>90.123249760072397</v>
      </c>
      <c r="AK2162">
        <v>32.359895011929297</v>
      </c>
    </row>
    <row r="2163" spans="1:37" x14ac:dyDescent="0.2">
      <c r="A2163" t="str">
        <f>"20200111155541672"</f>
        <v>20200111155541672</v>
      </c>
      <c r="B2163" t="str">
        <f>"1578729341665005"</f>
        <v>1578729341665005</v>
      </c>
      <c r="C2163" t="s">
        <v>37</v>
      </c>
      <c r="D2163">
        <v>5.0972189999999999</v>
      </c>
      <c r="E2163">
        <v>0.50211629999999996</v>
      </c>
      <c r="F2163" t="s">
        <v>61</v>
      </c>
      <c r="G2163">
        <v>-300.8689</v>
      </c>
      <c r="H2163" s="1">
        <v>3.8717230000000001E-6</v>
      </c>
      <c r="I2163">
        <v>283.91570000000002</v>
      </c>
      <c r="J2163">
        <v>-268.71280000000002</v>
      </c>
      <c r="K2163">
        <v>1.1038330000000001</v>
      </c>
      <c r="L2163">
        <v>284.42380000000003</v>
      </c>
      <c r="M2163">
        <v>-0.99989479999999997</v>
      </c>
      <c r="N2163">
        <v>0</v>
      </c>
      <c r="O2163">
        <v>-1.3665729999999999E-2</v>
      </c>
      <c r="P2163">
        <v>-0.99971089999999996</v>
      </c>
      <c r="Q2163">
        <v>1.4025940000000001E-2</v>
      </c>
      <c r="R2163">
        <v>-1.9539040000000001E-2</v>
      </c>
      <c r="S2163">
        <v>-3.001404</v>
      </c>
      <c r="T2163">
        <v>-0.1025131</v>
      </c>
      <c r="U2163">
        <v>-4.73938E-2</v>
      </c>
      <c r="V2163">
        <v>-5.8743290000000002E-3</v>
      </c>
      <c r="W2163">
        <v>1.89053E-2</v>
      </c>
      <c r="X2163">
        <v>0.99980400000000003</v>
      </c>
      <c r="Y2163">
        <v>-2.1296370000000002E-3</v>
      </c>
      <c r="Z2163">
        <v>4.3021449999999898E-4</v>
      </c>
      <c r="AA2163">
        <v>0.99999760000000004</v>
      </c>
      <c r="AB2163">
        <v>28</v>
      </c>
      <c r="AC2163">
        <v>-32.156099999999903</v>
      </c>
      <c r="AD2163">
        <v>-1.1038291282770001</v>
      </c>
      <c r="AE2163">
        <v>-0.50810000000001299</v>
      </c>
      <c r="AF2163">
        <v>-6.8530045584181798E-2</v>
      </c>
      <c r="AG2163">
        <v>-1.1038291282770001</v>
      </c>
      <c r="AH2163">
        <v>32.122198841346901</v>
      </c>
      <c r="AI2163">
        <v>91.968100952019398</v>
      </c>
      <c r="AJ2163">
        <v>90.122235605480597</v>
      </c>
      <c r="AK2163">
        <v>32.141231985015899</v>
      </c>
    </row>
    <row r="2164" spans="1:37" x14ac:dyDescent="0.2">
      <c r="A2164" t="str">
        <f>"20200111155541686"</f>
        <v>20200111155541686</v>
      </c>
      <c r="B2164" t="str">
        <f>"1578729341674764"</f>
        <v>1578729341674764</v>
      </c>
      <c r="C2164" t="s">
        <v>37</v>
      </c>
      <c r="D2164">
        <v>5.102284</v>
      </c>
      <c r="E2164">
        <v>0.50200059999999902</v>
      </c>
      <c r="F2164" t="s">
        <v>61</v>
      </c>
      <c r="G2164">
        <v>-300.81970000000001</v>
      </c>
      <c r="H2164" s="1">
        <v>3.880601E-6</v>
      </c>
      <c r="I2164">
        <v>283.91390000000001</v>
      </c>
      <c r="J2164">
        <v>-268.8759</v>
      </c>
      <c r="K2164">
        <v>1.1038479999999999</v>
      </c>
      <c r="L2164">
        <v>284.42160000000001</v>
      </c>
      <c r="M2164">
        <v>-0.99989430000000001</v>
      </c>
      <c r="N2164">
        <v>0</v>
      </c>
      <c r="O2164">
        <v>-1.366619E-2</v>
      </c>
      <c r="P2164">
        <v>-0.99970910000000002</v>
      </c>
      <c r="Q2164">
        <v>1.396884E-2</v>
      </c>
      <c r="R2164">
        <v>-1.966211E-2</v>
      </c>
      <c r="S2164">
        <v>-3.0013730000000001</v>
      </c>
      <c r="T2164">
        <v>-0.1031866</v>
      </c>
      <c r="U2164">
        <v>-4.7668460000000003E-2</v>
      </c>
      <c r="V2164">
        <v>-5.9973240000000001E-3</v>
      </c>
      <c r="W2164">
        <v>1.8941530000000002E-2</v>
      </c>
      <c r="X2164">
        <v>0.99980259999999999</v>
      </c>
      <c r="Y2164">
        <v>-2.2208509999999998E-3</v>
      </c>
      <c r="Z2164">
        <v>4.3149220000000002E-4</v>
      </c>
      <c r="AA2164">
        <v>0.99999740000000004</v>
      </c>
      <c r="AB2164">
        <v>28</v>
      </c>
      <c r="AC2164">
        <v>-31.9438</v>
      </c>
      <c r="AD2164">
        <v>-1.1038441193989901</v>
      </c>
      <c r="AE2164">
        <v>-0.50769999999999904</v>
      </c>
      <c r="AF2164">
        <v>-7.1012396535714201E-2</v>
      </c>
      <c r="AG2164">
        <v>-1.1038441193989901</v>
      </c>
      <c r="AH2164">
        <v>31.909661361408698</v>
      </c>
      <c r="AI2164">
        <v>91.9812257607623</v>
      </c>
      <c r="AJ2164">
        <v>90.127506959468704</v>
      </c>
      <c r="AK2164">
        <v>31.9288271441368</v>
      </c>
    </row>
    <row r="2165" spans="1:37" x14ac:dyDescent="0.2">
      <c r="A2165" t="str">
        <f>"20200111155541705"</f>
        <v>20200111155541705</v>
      </c>
      <c r="B2165" t="str">
        <f>"1578729341694284"</f>
        <v>1578729341694284</v>
      </c>
      <c r="C2165" t="s">
        <v>37</v>
      </c>
      <c r="D2165">
        <v>5.0917839999999996</v>
      </c>
      <c r="E2165">
        <v>0.50186140000000001</v>
      </c>
      <c r="F2165" t="s">
        <v>61</v>
      </c>
      <c r="G2165">
        <v>-300.74610000000001</v>
      </c>
      <c r="H2165" s="1">
        <v>3.8946820000000001E-6</v>
      </c>
      <c r="I2165">
        <v>283.90219999999999</v>
      </c>
      <c r="J2165">
        <v>-269.10329999999999</v>
      </c>
      <c r="K2165">
        <v>1.1038729999999899</v>
      </c>
      <c r="L2165">
        <v>284.41849999999999</v>
      </c>
      <c r="M2165">
        <v>-0.99989359999999905</v>
      </c>
      <c r="N2165">
        <v>0</v>
      </c>
      <c r="O2165">
        <v>-1.366682E-2</v>
      </c>
      <c r="P2165">
        <v>-0.99970599999999998</v>
      </c>
      <c r="Q2165">
        <v>1.354054E-2</v>
      </c>
      <c r="R2165">
        <v>-2.0127780000000001E-2</v>
      </c>
      <c r="S2165">
        <v>-3.001404</v>
      </c>
      <c r="T2165">
        <v>-0.1039556</v>
      </c>
      <c r="U2165">
        <v>-4.891968E-2</v>
      </c>
      <c r="V2165">
        <v>-6.4621819999999899E-3</v>
      </c>
      <c r="W2165">
        <v>1.866787E-2</v>
      </c>
      <c r="X2165">
        <v>0.9998049</v>
      </c>
      <c r="Y2165">
        <v>-2.6366789999999998E-3</v>
      </c>
      <c r="Z2165">
        <v>4.2752300000000002E-4</v>
      </c>
      <c r="AA2165">
        <v>0.99999640000000001</v>
      </c>
      <c r="AB2165">
        <v>28</v>
      </c>
      <c r="AC2165">
        <v>-31.642800000000001</v>
      </c>
      <c r="AD2165">
        <v>-1.1038691053180001</v>
      </c>
      <c r="AE2165">
        <v>-0.51630000000000098</v>
      </c>
      <c r="AF2165">
        <v>-8.3687883518754405E-2</v>
      </c>
      <c r="AG2165">
        <v>-1.1038691053180001</v>
      </c>
      <c r="AH2165">
        <v>31.6084441291434</v>
      </c>
      <c r="AI2165">
        <v>92.000134055614794</v>
      </c>
      <c r="AJ2165">
        <v>90.151698429008704</v>
      </c>
      <c r="AK2165">
        <v>31.6278243154458</v>
      </c>
    </row>
    <row r="2166" spans="1:37" x14ac:dyDescent="0.2">
      <c r="A2166" t="str">
        <f>"20200111155541726"</f>
        <v>20200111155541726</v>
      </c>
      <c r="B2166" t="str">
        <f>"1578729341714780"</f>
        <v>1578729341714780</v>
      </c>
      <c r="C2166" t="s">
        <v>37</v>
      </c>
      <c r="D2166">
        <v>5.0715639999999897</v>
      </c>
      <c r="E2166">
        <v>0.50164179999999903</v>
      </c>
      <c r="F2166" t="s">
        <v>61</v>
      </c>
      <c r="G2166">
        <v>-300.24400000000003</v>
      </c>
      <c r="H2166" s="1">
        <v>3.9853669999999997E-6</v>
      </c>
      <c r="I2166">
        <v>283.88369999999998</v>
      </c>
      <c r="J2166">
        <v>-269.38299999999998</v>
      </c>
      <c r="K2166">
        <v>1.1039110000000001</v>
      </c>
      <c r="L2166">
        <v>284.41469999999998</v>
      </c>
      <c r="M2166">
        <v>-0.99989229999999996</v>
      </c>
      <c r="N2166">
        <v>0</v>
      </c>
      <c r="O2166">
        <v>-1.3665770000000001E-2</v>
      </c>
      <c r="P2166">
        <v>-0.9997045</v>
      </c>
      <c r="Q2166">
        <v>1.3117510000000001E-2</v>
      </c>
      <c r="R2166">
        <v>-2.047566E-2</v>
      </c>
      <c r="S2166">
        <v>-3.0012509999999999</v>
      </c>
      <c r="T2166">
        <v>-0.1063876</v>
      </c>
      <c r="U2166">
        <v>-5.1544189999999997E-2</v>
      </c>
      <c r="V2166">
        <v>-6.81118E-3</v>
      </c>
      <c r="W2166">
        <v>1.848766E-2</v>
      </c>
      <c r="X2166">
        <v>0.99980590000000003</v>
      </c>
      <c r="Y2166">
        <v>-3.5125239999999999E-3</v>
      </c>
      <c r="Z2166">
        <v>4.219831E-4</v>
      </c>
      <c r="AA2166">
        <v>0.99999369999999999</v>
      </c>
      <c r="AB2166">
        <v>28</v>
      </c>
      <c r="AC2166">
        <v>-30.861000000000001</v>
      </c>
      <c r="AD2166">
        <v>-1.1039070146329999</v>
      </c>
      <c r="AE2166">
        <v>-0.53100000000000502</v>
      </c>
      <c r="AF2166">
        <v>-0.10906553732639999</v>
      </c>
      <c r="AG2166">
        <v>-1.1039070146329999</v>
      </c>
      <c r="AH2166">
        <v>30.825944164864001</v>
      </c>
      <c r="AI2166">
        <v>92.050928286756999</v>
      </c>
      <c r="AJ2166">
        <v>90.202717842817293</v>
      </c>
      <c r="AK2166">
        <v>30.845896641915001</v>
      </c>
    </row>
    <row r="2167" spans="1:37" x14ac:dyDescent="0.2">
      <c r="A2167" t="str">
        <f>"20200111155541739"</f>
        <v>20200111155541739</v>
      </c>
      <c r="B2167" t="str">
        <f>"1578729341734300"</f>
        <v>1578729341734300</v>
      </c>
      <c r="C2167" t="s">
        <v>37</v>
      </c>
      <c r="D2167">
        <v>5.1227609999999997</v>
      </c>
      <c r="E2167">
        <v>0.50152350000000001</v>
      </c>
      <c r="F2167" t="s">
        <v>61</v>
      </c>
      <c r="G2167">
        <v>-300.05020000000002</v>
      </c>
      <c r="H2167" s="1">
        <v>4.0219289999999997E-6</v>
      </c>
      <c r="I2167">
        <v>283.8587</v>
      </c>
      <c r="J2167">
        <v>-269.54770000000002</v>
      </c>
      <c r="K2167">
        <v>1.103934</v>
      </c>
      <c r="L2167">
        <v>284.41239999999999</v>
      </c>
      <c r="M2167">
        <v>-0.99989150000000004</v>
      </c>
      <c r="N2167">
        <v>0</v>
      </c>
      <c r="O2167">
        <v>-1.366322E-2</v>
      </c>
      <c r="P2167">
        <v>-0.99970219999999899</v>
      </c>
      <c r="Q2167">
        <v>1.3025470000000001E-2</v>
      </c>
      <c r="R2167">
        <v>-2.0645150000000001E-2</v>
      </c>
      <c r="S2167">
        <v>-3.0012209999999899</v>
      </c>
      <c r="T2167">
        <v>-0.1080329</v>
      </c>
      <c r="U2167">
        <v>-5.4412839999999997E-2</v>
      </c>
      <c r="V2167">
        <v>-6.9832760000000001E-3</v>
      </c>
      <c r="W2167">
        <v>1.8560119999999999E-2</v>
      </c>
      <c r="X2167">
        <v>0.99980340000000001</v>
      </c>
      <c r="Y2167">
        <v>-4.4703349999999998E-3</v>
      </c>
      <c r="Z2167">
        <v>4.1118159999999998E-4</v>
      </c>
      <c r="AA2167">
        <v>0.99998989999999999</v>
      </c>
      <c r="AB2167">
        <v>28</v>
      </c>
      <c r="AC2167">
        <v>-30.502500000000001</v>
      </c>
      <c r="AD2167">
        <v>-1.1039299780709999</v>
      </c>
      <c r="AE2167">
        <v>-0.55369999999999198</v>
      </c>
      <c r="AF2167">
        <v>-0.13670063508307001</v>
      </c>
      <c r="AG2167">
        <v>-1.1039299780709999</v>
      </c>
      <c r="AH2167">
        <v>30.467324445206302</v>
      </c>
      <c r="AI2167">
        <v>92.075083267066105</v>
      </c>
      <c r="AJ2167">
        <v>90.257072684641898</v>
      </c>
      <c r="AK2167">
        <v>30.487623838364101</v>
      </c>
    </row>
    <row r="2168" spans="1:37" x14ac:dyDescent="0.2">
      <c r="A2168" t="str">
        <f>"20200111155541750"</f>
        <v>20200111155541750</v>
      </c>
      <c r="B2168" t="str">
        <f>"1578729341745037"</f>
        <v>1578729341745037</v>
      </c>
      <c r="C2168" t="s">
        <v>37</v>
      </c>
      <c r="D2168">
        <v>5.0932000000000004</v>
      </c>
      <c r="E2168">
        <v>0.50146469999999999</v>
      </c>
      <c r="F2168" t="s">
        <v>61</v>
      </c>
      <c r="G2168">
        <v>-299.8492</v>
      </c>
      <c r="H2168" s="1">
        <v>4.0200099999999902E-6</v>
      </c>
      <c r="I2168">
        <v>283.84789999999998</v>
      </c>
      <c r="J2168">
        <v>-269.70409999999998</v>
      </c>
      <c r="K2168">
        <v>1.103958</v>
      </c>
      <c r="L2168">
        <v>284.41030000000001</v>
      </c>
      <c r="M2168">
        <v>-0.99989039999999996</v>
      </c>
      <c r="N2168">
        <v>0</v>
      </c>
      <c r="O2168">
        <v>-1.3657610000000001E-2</v>
      </c>
      <c r="P2168">
        <v>-0.99969809999999903</v>
      </c>
      <c r="Q2168">
        <v>1.3040110000000001E-2</v>
      </c>
      <c r="R2168">
        <v>-2.0822199999999999E-2</v>
      </c>
      <c r="S2168">
        <v>-3.0011290000000002</v>
      </c>
      <c r="T2168">
        <v>-0.1093358</v>
      </c>
      <c r="U2168">
        <v>-5.5908199999999998E-2</v>
      </c>
      <c r="V2168">
        <v>-7.1658429999999999E-3</v>
      </c>
      <c r="W2168">
        <v>1.875369E-2</v>
      </c>
      <c r="X2168">
        <v>0.99979850000000003</v>
      </c>
      <c r="Y2168">
        <v>-4.9743749999999996E-3</v>
      </c>
      <c r="Z2168">
        <v>4.0676649999999998E-4</v>
      </c>
      <c r="AA2168">
        <v>0.99998750000000003</v>
      </c>
      <c r="AB2168">
        <v>28</v>
      </c>
      <c r="AC2168">
        <v>-30.145099999999999</v>
      </c>
      <c r="AD2168">
        <v>-1.10395397999</v>
      </c>
      <c r="AE2168">
        <v>-0.56240000000002499</v>
      </c>
      <c r="AF2168">
        <v>-0.15042912768723901</v>
      </c>
      <c r="AG2168">
        <v>-1.10395397999</v>
      </c>
      <c r="AH2168">
        <v>30.109602836148898</v>
      </c>
      <c r="AI2168">
        <v>92.099755210659794</v>
      </c>
      <c r="AJ2168">
        <v>90.286250285965707</v>
      </c>
      <c r="AK2168">
        <v>30.1302095290261</v>
      </c>
    </row>
    <row r="2169" spans="1:37" x14ac:dyDescent="0.2">
      <c r="A2169" t="str">
        <f>"20200111155541764"</f>
        <v>20200111155541764</v>
      </c>
      <c r="B2169" t="str">
        <f>"1578729341754796"</f>
        <v>1578729341754796</v>
      </c>
      <c r="C2169" t="s">
        <v>37</v>
      </c>
      <c r="D2169">
        <v>5.4577059999999999</v>
      </c>
      <c r="E2169">
        <v>0.50146469999999999</v>
      </c>
      <c r="F2169" t="s">
        <v>61</v>
      </c>
      <c r="G2169">
        <v>-299.98340000000002</v>
      </c>
      <c r="H2169" s="1">
        <v>4.0357549999999998E-6</v>
      </c>
      <c r="I2169">
        <v>283.83609999999999</v>
      </c>
      <c r="J2169">
        <v>-269.8596</v>
      </c>
      <c r="K2169">
        <v>1.103979</v>
      </c>
      <c r="L2169">
        <v>284.40820000000002</v>
      </c>
      <c r="M2169">
        <v>-0.99988940000000004</v>
      </c>
      <c r="N2169">
        <v>0</v>
      </c>
      <c r="O2169">
        <v>-1.364932E-2</v>
      </c>
      <c r="P2169">
        <v>-0.99969110000000005</v>
      </c>
      <c r="Q2169">
        <v>1.292804E-2</v>
      </c>
      <c r="R2169">
        <v>-2.1228549999999999E-2</v>
      </c>
      <c r="S2169">
        <v>-3.0011290000000002</v>
      </c>
      <c r="T2169">
        <v>-0.1094183</v>
      </c>
      <c r="U2169">
        <v>-5.6915279999999999E-2</v>
      </c>
      <c r="V2169">
        <v>-7.5801200000000001E-3</v>
      </c>
      <c r="W2169">
        <v>1.8833780000000001E-2</v>
      </c>
      <c r="X2169">
        <v>0.99979390000000001</v>
      </c>
      <c r="Y2169">
        <v>-5.3178799999999997E-3</v>
      </c>
      <c r="Z2169">
        <v>4.0051049999999998E-4</v>
      </c>
      <c r="AA2169">
        <v>0.99998580000000004</v>
      </c>
      <c r="AB2169">
        <v>28</v>
      </c>
      <c r="AC2169">
        <v>-30.123799999999999</v>
      </c>
      <c r="AD2169">
        <v>-1.1039749642450001</v>
      </c>
      <c r="AE2169">
        <v>-0.57210000000003403</v>
      </c>
      <c r="AF2169">
        <v>-0.16065445330782399</v>
      </c>
      <c r="AG2169">
        <v>-1.1039749642450001</v>
      </c>
      <c r="AH2169">
        <v>30.0884062997056</v>
      </c>
      <c r="AI2169">
        <v>92.101269290607306</v>
      </c>
      <c r="AJ2169">
        <v>90.305922971454805</v>
      </c>
      <c r="AK2169">
        <v>30.109081092441301</v>
      </c>
    </row>
    <row r="2170" spans="1:37" x14ac:dyDescent="0.2">
      <c r="A2170" t="str">
        <f>"20200111155541779"</f>
        <v>20200111155541779</v>
      </c>
      <c r="B2170" t="str">
        <f>"1578729341774316"</f>
        <v>1578729341774316</v>
      </c>
      <c r="C2170" t="s">
        <v>37</v>
      </c>
      <c r="D2170">
        <v>5.034033</v>
      </c>
      <c r="E2170">
        <v>0.52466569999999901</v>
      </c>
      <c r="F2170" t="s">
        <v>61</v>
      </c>
      <c r="G2170">
        <v>-300.04450000000003</v>
      </c>
      <c r="H2170" s="1">
        <v>4.0260850000000001E-6</v>
      </c>
      <c r="I2170">
        <v>283.82279999999997</v>
      </c>
      <c r="J2170">
        <v>-270.04489999999998</v>
      </c>
      <c r="K2170">
        <v>1.1040110000000001</v>
      </c>
      <c r="L2170">
        <v>284.40559999999999</v>
      </c>
      <c r="M2170">
        <v>-0.9998882</v>
      </c>
      <c r="N2170">
        <v>0</v>
      </c>
      <c r="O2170">
        <v>-1.363547E-2</v>
      </c>
      <c r="P2170">
        <v>-0.99969649999999999</v>
      </c>
      <c r="Q2170">
        <v>1.278428E-2</v>
      </c>
      <c r="R2170">
        <v>-2.1065560000000001E-2</v>
      </c>
      <c r="S2170">
        <v>-3.0010680000000001</v>
      </c>
      <c r="T2170">
        <v>-0.1097606</v>
      </c>
      <c r="U2170">
        <v>-5.8197020000000002E-2</v>
      </c>
      <c r="V2170">
        <v>-7.4308849999999999E-3</v>
      </c>
      <c r="W2170">
        <v>1.8939620000000001E-2</v>
      </c>
      <c r="X2170">
        <v>0.99979300000000004</v>
      </c>
      <c r="Y2170">
        <v>-5.7587559999999899E-3</v>
      </c>
      <c r="Z2170">
        <v>3.9320480000000003E-4</v>
      </c>
      <c r="AA2170">
        <v>0.99998339999999997</v>
      </c>
      <c r="AB2170">
        <v>28</v>
      </c>
      <c r="AC2170">
        <v>-29.999600000000001</v>
      </c>
      <c r="AD2170">
        <v>-1.104006973915</v>
      </c>
      <c r="AE2170">
        <v>-0.58280000000001997</v>
      </c>
      <c r="AF2170">
        <v>-0.17344466137745801</v>
      </c>
      <c r="AG2170">
        <v>-1.104006973915</v>
      </c>
      <c r="AH2170">
        <v>29.9641928195907</v>
      </c>
      <c r="AI2170">
        <v>92.110027886517798</v>
      </c>
      <c r="AJ2170">
        <v>90.331647047838104</v>
      </c>
      <c r="AK2170">
        <v>29.985025692478899</v>
      </c>
    </row>
    <row r="2171" spans="1:37" x14ac:dyDescent="0.2">
      <c r="A2171" t="str">
        <f>"20200111155541793"</f>
        <v>20200111155541793</v>
      </c>
      <c r="B2171" t="str">
        <f>"1578729341784075"</f>
        <v>1578729341784075</v>
      </c>
      <c r="C2171" t="s">
        <v>37</v>
      </c>
      <c r="D2171">
        <v>5.1383320000000001</v>
      </c>
      <c r="E2171">
        <v>0.52647069999999996</v>
      </c>
      <c r="F2171" t="s">
        <v>61</v>
      </c>
      <c r="G2171">
        <v>-305.16320000000002</v>
      </c>
      <c r="H2171" s="1">
        <v>2.9362599999999999E-6</v>
      </c>
      <c r="I2171">
        <v>285.90289999999999</v>
      </c>
      <c r="J2171">
        <v>-270.23239999999998</v>
      </c>
      <c r="K2171">
        <v>1.1040540000000001</v>
      </c>
      <c r="L2171">
        <v>284.40309999999999</v>
      </c>
      <c r="M2171">
        <v>-0.99988659999999996</v>
      </c>
      <c r="N2171">
        <v>0</v>
      </c>
      <c r="O2171">
        <v>-1.361274E-2</v>
      </c>
      <c r="P2171">
        <v>-0.99969979999999903</v>
      </c>
      <c r="Q2171">
        <v>1.246178E-2</v>
      </c>
      <c r="R2171">
        <v>-2.110478E-2</v>
      </c>
      <c r="S2171">
        <v>-3.0048520000000001</v>
      </c>
      <c r="T2171">
        <v>-9.4463110000000003E-2</v>
      </c>
      <c r="U2171">
        <v>0.1281128</v>
      </c>
      <c r="V2171">
        <v>-7.492388E-3</v>
      </c>
      <c r="W2171">
        <v>1.8919599999999901E-2</v>
      </c>
      <c r="X2171">
        <v>0.99979289999999998</v>
      </c>
      <c r="Y2171">
        <v>5.6158909999999999E-2</v>
      </c>
      <c r="Z2171">
        <v>1.3097829999999999E-3</v>
      </c>
      <c r="AA2171">
        <v>0.998420999999999</v>
      </c>
      <c r="AB2171">
        <v>28</v>
      </c>
      <c r="AC2171">
        <v>-34.930799999999998</v>
      </c>
      <c r="AD2171">
        <v>-1.1040510637400001</v>
      </c>
      <c r="AE2171">
        <v>1.49979999999999</v>
      </c>
      <c r="AF2171">
        <v>1.9732071995821401</v>
      </c>
      <c r="AG2171">
        <v>-1.1040510637400001</v>
      </c>
      <c r="AH2171">
        <v>34.872373392910397</v>
      </c>
      <c r="AI2171">
        <v>91.810471014817495</v>
      </c>
      <c r="AJ2171">
        <v>86.761447334281897</v>
      </c>
      <c r="AK2171">
        <v>34.945599171546498</v>
      </c>
    </row>
    <row r="2172" spans="1:37" x14ac:dyDescent="0.2">
      <c r="A2172" t="str">
        <f>"20200111155541807"</f>
        <v>20200111155541807</v>
      </c>
      <c r="B2172" t="str">
        <f>"1578729341804572"</f>
        <v>1578729341804572</v>
      </c>
      <c r="C2172" t="s">
        <v>37</v>
      </c>
      <c r="D2172">
        <v>4.9194250000000004</v>
      </c>
      <c r="E2172">
        <v>0.52768149999999903</v>
      </c>
      <c r="F2172" t="s">
        <v>61</v>
      </c>
      <c r="G2172">
        <v>-303.47059999999999</v>
      </c>
      <c r="H2172" s="1">
        <v>3.2301659999999999E-6</v>
      </c>
      <c r="I2172">
        <v>285.9753</v>
      </c>
      <c r="J2172">
        <v>-270.40320000000003</v>
      </c>
      <c r="K2172">
        <v>1.104093</v>
      </c>
      <c r="L2172">
        <v>284.4008</v>
      </c>
      <c r="M2172">
        <v>-0.99988500000000002</v>
      </c>
      <c r="N2172">
        <v>0</v>
      </c>
      <c r="O2172">
        <v>-1.3584189999999999E-2</v>
      </c>
      <c r="P2172">
        <v>-0.99970149999999902</v>
      </c>
      <c r="Q2172">
        <v>1.207724E-2</v>
      </c>
      <c r="R2172">
        <v>-2.1244140000000002E-2</v>
      </c>
      <c r="S2172">
        <v>-3.0051570000000001</v>
      </c>
      <c r="T2172">
        <v>-9.9820259999999994E-2</v>
      </c>
      <c r="U2172">
        <v>0.1421509</v>
      </c>
      <c r="V2172">
        <v>-7.6592569999999896E-3</v>
      </c>
      <c r="W2172">
        <v>1.8834739999999999E-2</v>
      </c>
      <c r="X2172">
        <v>0.9997933</v>
      </c>
      <c r="Y2172">
        <v>6.0773519999999998E-2</v>
      </c>
      <c r="Z2172">
        <v>1.4593710000000001E-3</v>
      </c>
      <c r="AA2172">
        <v>0.99815049999999905</v>
      </c>
      <c r="AB2172">
        <v>28</v>
      </c>
      <c r="AC2172">
        <v>-33.0673999999999</v>
      </c>
      <c r="AD2172">
        <v>-1.104089769834</v>
      </c>
      <c r="AE2172">
        <v>1.5745</v>
      </c>
      <c r="AF2172">
        <v>2.0213104491059699</v>
      </c>
      <c r="AG2172">
        <v>-1.104089769834</v>
      </c>
      <c r="AH2172">
        <v>33.0062468386364</v>
      </c>
      <c r="AI2172">
        <v>91.912303028800295</v>
      </c>
      <c r="AJ2172">
        <v>86.495569355685305</v>
      </c>
      <c r="AK2172">
        <v>33.086508436589597</v>
      </c>
    </row>
    <row r="2173" spans="1:37" x14ac:dyDescent="0.2">
      <c r="A2173" t="str">
        <f>"20200111155541821"</f>
        <v>20200111155541821</v>
      </c>
      <c r="B2173" t="str">
        <f>"1578729341814332"</f>
        <v>1578729341814332</v>
      </c>
      <c r="C2173" t="s">
        <v>37</v>
      </c>
      <c r="D2173">
        <v>4.9989309999999998</v>
      </c>
      <c r="E2173">
        <v>0.5277522</v>
      </c>
      <c r="F2173" t="s">
        <v>61</v>
      </c>
      <c r="G2173">
        <v>-301.51929999999999</v>
      </c>
      <c r="H2173" s="1">
        <v>3.5770389999999998E-6</v>
      </c>
      <c r="I2173">
        <v>285.9667</v>
      </c>
      <c r="J2173">
        <v>-270.58859999999999</v>
      </c>
      <c r="K2173">
        <v>1.104139</v>
      </c>
      <c r="L2173">
        <v>284.39830000000001</v>
      </c>
      <c r="M2173">
        <v>-0.99988299999999997</v>
      </c>
      <c r="N2173">
        <v>0</v>
      </c>
      <c r="O2173">
        <v>-1.354763E-2</v>
      </c>
      <c r="P2173">
        <v>-0.99970509999999901</v>
      </c>
      <c r="Q2173">
        <v>1.1631849999999999E-2</v>
      </c>
      <c r="R2173">
        <v>-2.1328989999999999E-2</v>
      </c>
      <c r="S2173">
        <v>-3.0054020000000001</v>
      </c>
      <c r="T2173">
        <v>-0.1066402</v>
      </c>
      <c r="U2173">
        <v>0.15124509999999999</v>
      </c>
      <c r="V2173">
        <v>-7.7803630000000002E-3</v>
      </c>
      <c r="W2173">
        <v>1.8741770000000001E-2</v>
      </c>
      <c r="X2173">
        <v>0.99979409999999902</v>
      </c>
      <c r="Y2173">
        <v>6.3738539999999996E-2</v>
      </c>
      <c r="Z2173">
        <v>1.6100379999999901E-3</v>
      </c>
      <c r="AA2173">
        <v>0.99796530000000006</v>
      </c>
      <c r="AB2173">
        <v>28</v>
      </c>
      <c r="AC2173">
        <v>-30.930700000000002</v>
      </c>
      <c r="AD2173">
        <v>-1.1041354229610001</v>
      </c>
      <c r="AE2173">
        <v>1.56839999999999</v>
      </c>
      <c r="AF2173">
        <v>1.9847816217663901</v>
      </c>
      <c r="AG2173">
        <v>-1.1041354229610001</v>
      </c>
      <c r="AH2173">
        <v>30.867379765166799</v>
      </c>
      <c r="AI2173">
        <v>92.044395403191004</v>
      </c>
      <c r="AJ2173">
        <v>86.320929309222706</v>
      </c>
      <c r="AK2173">
        <v>30.950825622030901</v>
      </c>
    </row>
    <row r="2174" spans="1:37" x14ac:dyDescent="0.2">
      <c r="A2174" t="str">
        <f>"20200111155541838"</f>
        <v>20200111155541838</v>
      </c>
      <c r="B2174" t="str">
        <f>"1578729341834829"</f>
        <v>1578729341834829</v>
      </c>
      <c r="C2174" t="s">
        <v>37</v>
      </c>
      <c r="D2174">
        <v>4.8894169999999999</v>
      </c>
      <c r="E2174">
        <v>0.52797969999999905</v>
      </c>
      <c r="F2174" t="s">
        <v>61</v>
      </c>
      <c r="G2174">
        <v>-301.0693</v>
      </c>
      <c r="H2174" s="1">
        <v>3.6595899999999998E-6</v>
      </c>
      <c r="I2174">
        <v>285.9357</v>
      </c>
      <c r="J2174">
        <v>-270.80529999999999</v>
      </c>
      <c r="K2174">
        <v>1.1041939999999999</v>
      </c>
      <c r="L2174">
        <v>284.3954</v>
      </c>
      <c r="M2174">
        <v>-0.99988009999999905</v>
      </c>
      <c r="N2174">
        <v>0</v>
      </c>
      <c r="O2174">
        <v>-1.3501859999999999E-2</v>
      </c>
      <c r="P2174">
        <v>-0.99971790000000005</v>
      </c>
      <c r="Q2174">
        <v>1.124355E-2</v>
      </c>
      <c r="R2174">
        <v>-2.0921160000000001E-2</v>
      </c>
      <c r="S2174">
        <v>-3.0054020000000001</v>
      </c>
      <c r="T2174">
        <v>-0.1088681</v>
      </c>
      <c r="U2174">
        <v>0.15158079999999999</v>
      </c>
      <c r="V2174">
        <v>-7.4180309999999899E-3</v>
      </c>
      <c r="W2174">
        <v>1.8813759999999999E-2</v>
      </c>
      <c r="X2174">
        <v>0.99979549999999995</v>
      </c>
      <c r="Y2174">
        <v>6.3802040000000004E-2</v>
      </c>
      <c r="Z2174">
        <v>1.643142E-3</v>
      </c>
      <c r="AA2174">
        <v>0.99796119999999899</v>
      </c>
      <c r="AB2174">
        <v>28</v>
      </c>
      <c r="AC2174">
        <v>-30.263999999999999</v>
      </c>
      <c r="AD2174">
        <v>-1.10419034041</v>
      </c>
      <c r="AE2174">
        <v>1.5403</v>
      </c>
      <c r="AF2174">
        <v>1.9462075736637701</v>
      </c>
      <c r="AG2174">
        <v>-1.10419034041</v>
      </c>
      <c r="AH2174">
        <v>30.2003455517129</v>
      </c>
      <c r="AI2174">
        <v>92.089595022109705</v>
      </c>
      <c r="AJ2174">
        <v>86.312773981675804</v>
      </c>
      <c r="AK2174">
        <v>30.283127838294799</v>
      </c>
    </row>
    <row r="2175" spans="1:37" x14ac:dyDescent="0.2">
      <c r="A2175" t="str">
        <f>"20200111155541852"</f>
        <v>20200111155541852</v>
      </c>
      <c r="B2175" t="str">
        <f>"1578729341844588"</f>
        <v>1578729341844588</v>
      </c>
      <c r="C2175" t="s">
        <v>37</v>
      </c>
      <c r="D2175">
        <v>4.87331</v>
      </c>
      <c r="E2175">
        <v>0.52794449999999904</v>
      </c>
      <c r="F2175" t="s">
        <v>61</v>
      </c>
      <c r="G2175">
        <v>-300.30410000000001</v>
      </c>
      <c r="H2175" s="1">
        <v>3.7975449999999998E-6</v>
      </c>
      <c r="I2175">
        <v>285.91019999999997</v>
      </c>
      <c r="J2175">
        <v>-270.9785</v>
      </c>
      <c r="K2175">
        <v>1.104249</v>
      </c>
      <c r="L2175">
        <v>284.39319999999998</v>
      </c>
      <c r="M2175">
        <v>-0.99987780000000004</v>
      </c>
      <c r="N2175">
        <v>0</v>
      </c>
      <c r="O2175">
        <v>-1.3461249999999999E-2</v>
      </c>
      <c r="P2175">
        <v>-0.99972619999999901</v>
      </c>
      <c r="Q2175">
        <v>1.0925249999999999E-2</v>
      </c>
      <c r="R2175">
        <v>-2.070425E-2</v>
      </c>
      <c r="S2175">
        <v>-3.005341</v>
      </c>
      <c r="T2175">
        <v>-0.1124952</v>
      </c>
      <c r="U2175">
        <v>0.154327399999999</v>
      </c>
      <c r="V2175">
        <v>-7.2416260000000001E-3</v>
      </c>
      <c r="W2175">
        <v>1.8895760000000001E-2</v>
      </c>
      <c r="X2175">
        <v>0.99979530000000005</v>
      </c>
      <c r="Y2175">
        <v>6.4668219999999998E-2</v>
      </c>
      <c r="Z2175">
        <v>1.712522E-3</v>
      </c>
      <c r="AA2175">
        <v>0.99790540000000005</v>
      </c>
      <c r="AB2175">
        <v>28</v>
      </c>
      <c r="AC2175">
        <v>-29.325600000000001</v>
      </c>
      <c r="AD2175">
        <v>-1.104245202455</v>
      </c>
      <c r="AE2175">
        <v>1.5169999999999899</v>
      </c>
      <c r="AF2175">
        <v>1.90893484183347</v>
      </c>
      <c r="AG2175">
        <v>-1.104245202455</v>
      </c>
      <c r="AH2175">
        <v>29.261143523417399</v>
      </c>
      <c r="AI2175">
        <v>92.156599410788402</v>
      </c>
      <c r="AJ2175">
        <v>86.267434308077199</v>
      </c>
      <c r="AK2175">
        <v>29.344129054983799</v>
      </c>
    </row>
    <row r="2176" spans="1:37" x14ac:dyDescent="0.2">
      <c r="A2176" t="str">
        <f>"20200111155541866"</f>
        <v>20200111155541866</v>
      </c>
      <c r="B2176" t="str">
        <f>"1578729341854348"</f>
        <v>1578729341854348</v>
      </c>
      <c r="C2176" t="s">
        <v>37</v>
      </c>
      <c r="D2176">
        <v>4.864249</v>
      </c>
      <c r="E2176">
        <v>0.52803690000000003</v>
      </c>
      <c r="F2176" t="s">
        <v>61</v>
      </c>
      <c r="G2176">
        <v>-299.89640000000003</v>
      </c>
      <c r="H2176" s="1">
        <v>3.8506400000000003E-6</v>
      </c>
      <c r="I2176">
        <v>285.8811</v>
      </c>
      <c r="J2176">
        <v>-271.14429999999999</v>
      </c>
      <c r="K2176">
        <v>1.1043000000000001</v>
      </c>
      <c r="L2176">
        <v>284.390999999999</v>
      </c>
      <c r="M2176">
        <v>-0.99987510000000002</v>
      </c>
      <c r="N2176">
        <v>0</v>
      </c>
      <c r="O2176">
        <v>-1.3419459999999999E-2</v>
      </c>
      <c r="P2176">
        <v>-0.99974050000000003</v>
      </c>
      <c r="Q2176">
        <v>1.038504E-2</v>
      </c>
      <c r="R2176">
        <v>-2.02712E-2</v>
      </c>
      <c r="S2176">
        <v>-3.0053099999999899</v>
      </c>
      <c r="T2176">
        <v>-0.11475929999999999</v>
      </c>
      <c r="U2176">
        <v>0.15463260000000001</v>
      </c>
      <c r="V2176">
        <v>-6.8502429999999998E-3</v>
      </c>
      <c r="W2176">
        <v>1.8738910000000001E-2</v>
      </c>
      <c r="X2176">
        <v>0.99980089999999999</v>
      </c>
      <c r="Y2176">
        <v>6.4725920000000006E-2</v>
      </c>
      <c r="Z2176">
        <v>1.746486E-3</v>
      </c>
      <c r="AA2176">
        <v>0.99790159999999895</v>
      </c>
      <c r="AB2176">
        <v>28</v>
      </c>
      <c r="AC2176">
        <v>-28.752099999999999</v>
      </c>
      <c r="AD2176">
        <v>-1.1042961493600001</v>
      </c>
      <c r="AE2176">
        <v>1.4901000000000399</v>
      </c>
      <c r="AF2176">
        <v>1.8730612998185101</v>
      </c>
      <c r="AG2176">
        <v>-1.1042961493600001</v>
      </c>
      <c r="AH2176">
        <v>28.687309484735099</v>
      </c>
      <c r="AI2176">
        <v>92.199789652417806</v>
      </c>
      <c r="AJ2176">
        <v>86.264327491621202</v>
      </c>
      <c r="AK2176">
        <v>28.769594263585699</v>
      </c>
    </row>
    <row r="2177" spans="1:37" x14ac:dyDescent="0.2">
      <c r="A2177" t="str">
        <f>"20200111155541882"</f>
        <v>20200111155541882</v>
      </c>
      <c r="B2177" t="str">
        <f>"1578729341874847"</f>
        <v>1578729341874847</v>
      </c>
      <c r="C2177" t="s">
        <v>37</v>
      </c>
      <c r="D2177">
        <v>4.9966669999999898</v>
      </c>
      <c r="E2177">
        <v>0.52778080000000005</v>
      </c>
      <c r="F2177" t="s">
        <v>61</v>
      </c>
      <c r="G2177">
        <v>-299.33960000000002</v>
      </c>
      <c r="H2177" s="1">
        <v>3.753662E-6</v>
      </c>
      <c r="I2177">
        <v>285.86070000000001</v>
      </c>
      <c r="J2177">
        <v>-271.35849999999999</v>
      </c>
      <c r="K2177">
        <v>1.10436</v>
      </c>
      <c r="L2177">
        <v>284.38819999999998</v>
      </c>
      <c r="M2177">
        <v>-0.99987159999999997</v>
      </c>
      <c r="N2177">
        <v>0</v>
      </c>
      <c r="O2177">
        <v>-1.336247E-2</v>
      </c>
      <c r="P2177">
        <v>-0.99976599999999904</v>
      </c>
      <c r="Q2177">
        <v>9.3876919999999996E-3</v>
      </c>
      <c r="R2177">
        <v>-1.9494319999999999E-2</v>
      </c>
      <c r="S2177">
        <v>-3.005188</v>
      </c>
      <c r="T2177">
        <v>-0.117701</v>
      </c>
      <c r="U2177">
        <v>0.1566467</v>
      </c>
      <c r="V2177">
        <v>-6.1294629999999999E-3</v>
      </c>
      <c r="W2177">
        <v>1.823164E-2</v>
      </c>
      <c r="X2177">
        <v>0.99981500000000001</v>
      </c>
      <c r="Y2177">
        <v>6.5334799999999998E-2</v>
      </c>
      <c r="Z2177">
        <v>1.800945E-3</v>
      </c>
      <c r="AA2177">
        <v>0.99786180000000002</v>
      </c>
      <c r="AB2177">
        <v>28</v>
      </c>
      <c r="AC2177">
        <v>-27.981100000000001</v>
      </c>
      <c r="AD2177">
        <v>-1.1043562463379999</v>
      </c>
      <c r="AE2177">
        <v>1.4725000000000199</v>
      </c>
      <c r="AF2177">
        <v>1.84341616498034</v>
      </c>
      <c r="AG2177">
        <v>-1.1043562463379999</v>
      </c>
      <c r="AH2177">
        <v>27.915560119163999</v>
      </c>
      <c r="AI2177">
        <v>92.260555636351</v>
      </c>
      <c r="AJ2177">
        <v>86.221933530502994</v>
      </c>
      <c r="AK2177">
        <v>27.998147843077</v>
      </c>
    </row>
    <row r="2178" spans="1:37" x14ac:dyDescent="0.2">
      <c r="A2178" t="str">
        <f>"20200111155541897"</f>
        <v>20200111155541897</v>
      </c>
      <c r="B2178" t="str">
        <f>"1578729341894365"</f>
        <v>1578729341894365</v>
      </c>
      <c r="C2178" t="s">
        <v>37</v>
      </c>
      <c r="D2178">
        <v>4.8129710000000001</v>
      </c>
      <c r="E2178">
        <v>0.52808929999999998</v>
      </c>
      <c r="F2178" t="s">
        <v>61</v>
      </c>
      <c r="G2178">
        <v>-298.93049999999999</v>
      </c>
      <c r="H2178" s="1">
        <v>3.683916E-6</v>
      </c>
      <c r="I2178">
        <v>285.82830000000001</v>
      </c>
      <c r="J2178">
        <v>-271.54809999999998</v>
      </c>
      <c r="K2178">
        <v>1.104411</v>
      </c>
      <c r="L2178">
        <v>284.38569999999999</v>
      </c>
      <c r="M2178">
        <v>-0.99986869999999906</v>
      </c>
      <c r="N2178">
        <v>0</v>
      </c>
      <c r="O2178">
        <v>-1.3309079999999999E-2</v>
      </c>
      <c r="P2178">
        <v>-0.99977830000000001</v>
      </c>
      <c r="Q2178">
        <v>8.7579509999999999E-3</v>
      </c>
      <c r="R2178">
        <v>-1.9162080000000001E-2</v>
      </c>
      <c r="S2178">
        <v>-3.0048520000000001</v>
      </c>
      <c r="T2178">
        <v>-0.1203548</v>
      </c>
      <c r="U2178">
        <v>0.15695190000000001</v>
      </c>
      <c r="V2178">
        <v>-5.8505880000000003E-3</v>
      </c>
      <c r="W2178">
        <v>1.8018050000000001E-2</v>
      </c>
      <c r="X2178">
        <v>0.9998205</v>
      </c>
      <c r="Y2178">
        <v>6.5385699999999894E-2</v>
      </c>
      <c r="Z2178">
        <v>1.840604E-3</v>
      </c>
      <c r="AA2178">
        <v>0.99785829999999998</v>
      </c>
      <c r="AB2178">
        <v>28</v>
      </c>
      <c r="AC2178">
        <v>-27.382400000000001</v>
      </c>
      <c r="AD2178">
        <v>-1.104407316084</v>
      </c>
      <c r="AE2178">
        <v>1.4426000000000201</v>
      </c>
      <c r="AF2178">
        <v>1.80399585034802</v>
      </c>
      <c r="AG2178">
        <v>-1.104407316084</v>
      </c>
      <c r="AH2178">
        <v>27.3164605248848</v>
      </c>
      <c r="AI2178">
        <v>92.310186516795298</v>
      </c>
      <c r="AJ2178">
        <v>86.221638050833604</v>
      </c>
      <c r="AK2178">
        <v>27.398232281581301</v>
      </c>
    </row>
    <row r="2179" spans="1:37" x14ac:dyDescent="0.2">
      <c r="A2179" t="str">
        <f>"20200111155541915"</f>
        <v>20200111155541915</v>
      </c>
      <c r="B2179" t="str">
        <f>"1578729341904124"</f>
        <v>1578729341904124</v>
      </c>
      <c r="C2179" t="s">
        <v>37</v>
      </c>
      <c r="D2179">
        <v>4.7632979999999998</v>
      </c>
      <c r="E2179">
        <v>0.52809229999999996</v>
      </c>
      <c r="F2179" t="s">
        <v>61</v>
      </c>
      <c r="G2179">
        <v>-298.61219999999997</v>
      </c>
      <c r="H2179" s="1">
        <v>3.62729199999999E-6</v>
      </c>
      <c r="I2179">
        <v>285.83010000000002</v>
      </c>
      <c r="J2179">
        <v>-271.7715</v>
      </c>
      <c r="K2179">
        <v>1.104449</v>
      </c>
      <c r="L2179">
        <v>284.38279999999997</v>
      </c>
      <c r="M2179">
        <v>-0.99986509999999995</v>
      </c>
      <c r="N2179">
        <v>0</v>
      </c>
      <c r="O2179">
        <v>-1.324584E-2</v>
      </c>
      <c r="P2179">
        <v>-0.99979419999999897</v>
      </c>
      <c r="Q2179">
        <v>7.760594E-3</v>
      </c>
      <c r="R2179">
        <v>-1.874762E-2</v>
      </c>
      <c r="S2179">
        <v>-3.004791</v>
      </c>
      <c r="T2179">
        <v>-0.12261710000000001</v>
      </c>
      <c r="U2179">
        <v>0.16036989999999901</v>
      </c>
      <c r="V2179">
        <v>-5.4992749999999996E-3</v>
      </c>
      <c r="W2179">
        <v>1.7475979999999999E-2</v>
      </c>
      <c r="X2179">
        <v>0.99983219999999995</v>
      </c>
      <c r="Y2179">
        <v>6.6452349999999993E-2</v>
      </c>
      <c r="Z2179">
        <v>1.8943179999999899E-3</v>
      </c>
      <c r="AA2179">
        <v>0.9977878</v>
      </c>
      <c r="AB2179">
        <v>28</v>
      </c>
      <c r="AC2179">
        <v>-26.840699999999899</v>
      </c>
      <c r="AD2179">
        <v>-1.1044453727079999</v>
      </c>
      <c r="AE2179">
        <v>1.44730000000004</v>
      </c>
      <c r="AF2179">
        <v>1.79967907350936</v>
      </c>
      <c r="AG2179">
        <v>-1.1044453727079999</v>
      </c>
      <c r="AH2179">
        <v>26.773971950325301</v>
      </c>
      <c r="AI2179">
        <v>92.356840098110993</v>
      </c>
      <c r="AJ2179">
        <v>86.154506362684799</v>
      </c>
      <c r="AK2179">
        <v>26.8571074083887</v>
      </c>
    </row>
    <row r="2180" spans="1:37" x14ac:dyDescent="0.2">
      <c r="A2180" t="str">
        <f>"20200111155541929"</f>
        <v>20200111155541929</v>
      </c>
      <c r="B2180" t="str">
        <f>"1578729341924620"</f>
        <v>1578729341924620</v>
      </c>
      <c r="C2180" t="s">
        <v>37</v>
      </c>
      <c r="D2180">
        <v>4.7679849999999897</v>
      </c>
      <c r="E2180">
        <v>0.52837979999999996</v>
      </c>
      <c r="F2180" t="s">
        <v>61</v>
      </c>
      <c r="G2180">
        <v>-298.16309999999999</v>
      </c>
      <c r="H2180" s="1">
        <v>3.5498129999999899E-6</v>
      </c>
      <c r="I2180">
        <v>285.80540000000002</v>
      </c>
      <c r="J2180">
        <v>-271.93939999999998</v>
      </c>
      <c r="K2180">
        <v>1.1044719999999999</v>
      </c>
      <c r="L2180">
        <v>284.38060000000002</v>
      </c>
      <c r="M2180">
        <v>-0.99986260000000005</v>
      </c>
      <c r="N2180">
        <v>0</v>
      </c>
      <c r="O2180">
        <v>-1.319861E-2</v>
      </c>
      <c r="P2180">
        <v>-0.99979689999999999</v>
      </c>
      <c r="Q2180">
        <v>7.1920159999999999E-3</v>
      </c>
      <c r="R2180">
        <v>-1.8826510000000001E-2</v>
      </c>
      <c r="S2180">
        <v>-3.0046390000000001</v>
      </c>
      <c r="T2180">
        <v>-0.12573899999999999</v>
      </c>
      <c r="U2180">
        <v>0.16195680000000001</v>
      </c>
      <c r="V2180">
        <v>-5.62516199999999E-3</v>
      </c>
      <c r="W2180">
        <v>1.7228050000000002E-2</v>
      </c>
      <c r="X2180">
        <v>0.99983580000000005</v>
      </c>
      <c r="Y2180">
        <v>6.6929649999999993E-2</v>
      </c>
      <c r="Z2180">
        <v>1.950582E-3</v>
      </c>
      <c r="AA2180">
        <v>0.99775579999999997</v>
      </c>
      <c r="AB2180">
        <v>28</v>
      </c>
      <c r="AC2180">
        <v>-26.223700000000001</v>
      </c>
      <c r="AD2180">
        <v>-1.1044684501869999</v>
      </c>
      <c r="AE2180">
        <v>1.4248000000000001</v>
      </c>
      <c r="AF2180">
        <v>1.76768328703429</v>
      </c>
      <c r="AG2180">
        <v>-1.1044684501869999</v>
      </c>
      <c r="AH2180">
        <v>26.156348151037498</v>
      </c>
      <c r="AI2180">
        <v>92.412418135125705</v>
      </c>
      <c r="AJ2180">
        <v>86.133748453301095</v>
      </c>
      <c r="AK2180">
        <v>26.239266440946899</v>
      </c>
    </row>
    <row r="2181" spans="1:37" x14ac:dyDescent="0.2">
      <c r="A2181" t="str">
        <f>"20200111155541942"</f>
        <v>20200111155541942</v>
      </c>
      <c r="B2181" t="str">
        <f>"1578729341934380"</f>
        <v>1578729341934380</v>
      </c>
      <c r="C2181" t="s">
        <v>37</v>
      </c>
      <c r="D2181">
        <v>4.9824669999999998</v>
      </c>
      <c r="E2181">
        <v>0.52850949999999997</v>
      </c>
      <c r="F2181" t="s">
        <v>61</v>
      </c>
      <c r="G2181">
        <v>-298.04390000000001</v>
      </c>
      <c r="H2181" s="1">
        <v>3.5286669999999999E-6</v>
      </c>
      <c r="I2181">
        <v>285.80520000000001</v>
      </c>
      <c r="J2181">
        <v>-272.09699999999998</v>
      </c>
      <c r="K2181">
        <v>1.1044929999999999</v>
      </c>
      <c r="L2181">
        <v>284.37860000000001</v>
      </c>
      <c r="M2181">
        <v>-0.99986019999999898</v>
      </c>
      <c r="N2181">
        <v>0</v>
      </c>
      <c r="O2181">
        <v>-1.315497E-2</v>
      </c>
      <c r="P2181">
        <v>-0.99980290000000005</v>
      </c>
      <c r="Q2181">
        <v>6.7039090000000001E-3</v>
      </c>
      <c r="R2181">
        <v>-1.869239E-2</v>
      </c>
      <c r="S2181">
        <v>-3.0046080000000002</v>
      </c>
      <c r="T2181">
        <v>-0.1271236</v>
      </c>
      <c r="U2181">
        <v>0.163970899999999</v>
      </c>
      <c r="V2181">
        <v>-5.5350740000000001E-3</v>
      </c>
      <c r="W2181">
        <v>1.7029720000000002E-2</v>
      </c>
      <c r="X2181">
        <v>0.999839699999999</v>
      </c>
      <c r="Y2181">
        <v>6.7551490000000006E-2</v>
      </c>
      <c r="Z2181">
        <v>1.9833229999999999E-3</v>
      </c>
      <c r="AA2181">
        <v>0.99771379999999998</v>
      </c>
      <c r="AB2181">
        <v>28</v>
      </c>
      <c r="AC2181">
        <v>-25.946899999999999</v>
      </c>
      <c r="AD2181">
        <v>-1.104489471333</v>
      </c>
      <c r="AE2181">
        <v>1.4266000000000001</v>
      </c>
      <c r="AF2181">
        <v>1.7646375732394499</v>
      </c>
      <c r="AG2181">
        <v>-1.104489471333</v>
      </c>
      <c r="AH2181">
        <v>25.879135665915001</v>
      </c>
      <c r="AI2181">
        <v>92.438175076789307</v>
      </c>
      <c r="AJ2181">
        <v>86.099173382916604</v>
      </c>
      <c r="AK2181">
        <v>25.962733014303499</v>
      </c>
    </row>
    <row r="2182" spans="1:37" x14ac:dyDescent="0.2">
      <c r="A2182" t="str">
        <f>"20200111155541960"</f>
        <v>20200111155541960</v>
      </c>
      <c r="B2182" t="str">
        <f>"1578729341954876"</f>
        <v>1578729341954876</v>
      </c>
      <c r="C2182" t="s">
        <v>37</v>
      </c>
      <c r="D2182">
        <v>4.7397089999999897</v>
      </c>
      <c r="E2182">
        <v>0.52851569999999903</v>
      </c>
      <c r="F2182" t="s">
        <v>61</v>
      </c>
      <c r="G2182">
        <v>-298.06139999999999</v>
      </c>
      <c r="H2182" s="1">
        <v>3.5315649999999999E-6</v>
      </c>
      <c r="I2182">
        <v>285.80770000000001</v>
      </c>
      <c r="J2182">
        <v>-272.34019999999998</v>
      </c>
      <c r="K2182">
        <v>1.104514</v>
      </c>
      <c r="L2182">
        <v>284.37540000000001</v>
      </c>
      <c r="M2182">
        <v>-0.99985679999999999</v>
      </c>
      <c r="N2182">
        <v>0</v>
      </c>
      <c r="O2182">
        <v>-1.3089719999999999E-2</v>
      </c>
      <c r="P2182">
        <v>-0.99980380000000002</v>
      </c>
      <c r="Q2182">
        <v>5.82037099999999E-3</v>
      </c>
      <c r="R2182">
        <v>-1.8940700000000001E-2</v>
      </c>
      <c r="S2182">
        <v>-3.0045470000000001</v>
      </c>
      <c r="T2182">
        <v>-0.12780899999999901</v>
      </c>
      <c r="U2182">
        <v>0.16537479999999999</v>
      </c>
      <c r="V2182">
        <v>-5.8478749999999998E-3</v>
      </c>
      <c r="W2182">
        <v>1.6560100000000001E-2</v>
      </c>
      <c r="X2182">
        <v>0.99984569999999995</v>
      </c>
      <c r="Y2182">
        <v>6.7951209999999998E-2</v>
      </c>
      <c r="Z2182">
        <v>1.999743E-3</v>
      </c>
      <c r="AA2182">
        <v>0.99768659999999998</v>
      </c>
      <c r="AB2182">
        <v>28</v>
      </c>
      <c r="AC2182">
        <v>-25.7212</v>
      </c>
      <c r="AD2182">
        <v>-1.104510468435</v>
      </c>
      <c r="AE2182">
        <v>1.4322999999999899</v>
      </c>
      <c r="AF2182">
        <v>1.7656342113577299</v>
      </c>
      <c r="AG2182">
        <v>-1.104510468435</v>
      </c>
      <c r="AH2182">
        <v>25.653088959552601</v>
      </c>
      <c r="AI2182">
        <v>92.4595727610143</v>
      </c>
      <c r="AJ2182">
        <v>86.062692595831905</v>
      </c>
      <c r="AK2182">
        <v>25.737489790380099</v>
      </c>
    </row>
    <row r="2183" spans="1:37" x14ac:dyDescent="0.2">
      <c r="A2183" t="str">
        <f>"20200111155541973"</f>
        <v>20200111155541973</v>
      </c>
      <c r="B2183" t="str">
        <f>"1578729341964635"</f>
        <v>1578729341964635</v>
      </c>
      <c r="C2183" t="s">
        <v>37</v>
      </c>
      <c r="D2183">
        <v>4.6951859999999996</v>
      </c>
      <c r="E2183">
        <v>0.52855350000000001</v>
      </c>
      <c r="F2183" t="s">
        <v>61</v>
      </c>
      <c r="G2183">
        <v>-297.8811</v>
      </c>
      <c r="H2183" s="1">
        <v>3.502364E-6</v>
      </c>
      <c r="I2183">
        <v>285.7758</v>
      </c>
      <c r="J2183">
        <v>-272.49889999999999</v>
      </c>
      <c r="K2183">
        <v>1.1045240000000001</v>
      </c>
      <c r="L2183">
        <v>284.3734</v>
      </c>
      <c r="M2183">
        <v>-0.99985460000000004</v>
      </c>
      <c r="N2183">
        <v>0</v>
      </c>
      <c r="O2183">
        <v>-1.304787E-2</v>
      </c>
      <c r="P2183">
        <v>-0.99980619999999998</v>
      </c>
      <c r="Q2183">
        <v>5.3528250000000003E-3</v>
      </c>
      <c r="R2183">
        <v>-1.8949710000000002E-2</v>
      </c>
      <c r="S2183">
        <v>-3.0044249999999999</v>
      </c>
      <c r="T2183">
        <v>-0.12992570000000001</v>
      </c>
      <c r="U2183">
        <v>0.16473389999999999</v>
      </c>
      <c r="V2183">
        <v>-5.89938599999999E-3</v>
      </c>
      <c r="W2183">
        <v>1.633983E-2</v>
      </c>
      <c r="X2183">
        <v>0.99984910000000005</v>
      </c>
      <c r="Y2183">
        <v>6.7697380000000001E-2</v>
      </c>
      <c r="Z2183">
        <v>2.0256379999999902E-3</v>
      </c>
      <c r="AA2183">
        <v>0.99770389999999998</v>
      </c>
      <c r="AB2183">
        <v>28</v>
      </c>
      <c r="AC2183">
        <v>-25.382200000000001</v>
      </c>
      <c r="AD2183">
        <v>-1.1045204976359999</v>
      </c>
      <c r="AE2183">
        <v>1.4024000000000001</v>
      </c>
      <c r="AF2183">
        <v>1.7302178350444899</v>
      </c>
      <c r="AG2183">
        <v>-1.1045204976359999</v>
      </c>
      <c r="AH2183">
        <v>25.313950891435901</v>
      </c>
      <c r="AI2183">
        <v>92.4925867271252</v>
      </c>
      <c r="AJ2183">
        <v>86.089893914571604</v>
      </c>
      <c r="AK2183">
        <v>25.397041737580999</v>
      </c>
    </row>
    <row r="2184" spans="1:37" x14ac:dyDescent="0.2">
      <c r="A2184" t="str">
        <f>"20200111155541987"</f>
        <v>20200111155541987</v>
      </c>
      <c r="B2184" t="str">
        <f>"1578729341974396"</f>
        <v>1578729341974396</v>
      </c>
      <c r="C2184" t="s">
        <v>37</v>
      </c>
      <c r="D2184">
        <v>4.6673049999999998</v>
      </c>
      <c r="E2184">
        <v>0.52850839999999999</v>
      </c>
      <c r="F2184" t="s">
        <v>61</v>
      </c>
      <c r="G2184">
        <v>-297.82420000000002</v>
      </c>
      <c r="H2184" s="1">
        <v>3.493252E-6</v>
      </c>
      <c r="I2184">
        <v>285.76459999999997</v>
      </c>
      <c r="J2184">
        <v>-272.66379999999998</v>
      </c>
      <c r="K2184">
        <v>1.104536</v>
      </c>
      <c r="L2184">
        <v>284.37130000000002</v>
      </c>
      <c r="M2184">
        <v>-0.99985239999999997</v>
      </c>
      <c r="N2184">
        <v>0</v>
      </c>
      <c r="O2184">
        <v>-1.3004699999999999E-2</v>
      </c>
      <c r="P2184">
        <v>-0.99980460000000004</v>
      </c>
      <c r="Q2184">
        <v>4.887527E-3</v>
      </c>
      <c r="R2184">
        <v>-1.916319E-2</v>
      </c>
      <c r="S2184">
        <v>-3.0043950000000001</v>
      </c>
      <c r="T2184">
        <v>-0.1310315</v>
      </c>
      <c r="U2184">
        <v>0.16503909999999999</v>
      </c>
      <c r="V2184">
        <v>-6.1559090000000002E-3</v>
      </c>
      <c r="W2184">
        <v>1.6115750000000002E-2</v>
      </c>
      <c r="X2184">
        <v>0.99985119999999905</v>
      </c>
      <c r="Y2184">
        <v>6.7754629999999996E-2</v>
      </c>
      <c r="Z2184">
        <v>2.0422439999999999E-3</v>
      </c>
      <c r="AA2184">
        <v>0.99769989999999997</v>
      </c>
      <c r="AB2184">
        <v>28</v>
      </c>
      <c r="AC2184">
        <v>-25.160399999999999</v>
      </c>
      <c r="AD2184">
        <v>-1.1045325067479901</v>
      </c>
      <c r="AE2184">
        <v>1.39329999999995</v>
      </c>
      <c r="AF2184">
        <v>1.71710718489829</v>
      </c>
      <c r="AG2184">
        <v>-1.1045325067479901</v>
      </c>
      <c r="AH2184">
        <v>25.091942645826901</v>
      </c>
      <c r="AI2184">
        <v>92.514625671566094</v>
      </c>
      <c r="AJ2184">
        <v>86.085203543397796</v>
      </c>
      <c r="AK2184">
        <v>25.1748691135497</v>
      </c>
    </row>
    <row r="2185" spans="1:37" x14ac:dyDescent="0.2">
      <c r="A2185" t="str">
        <f>"20200111155542001"</f>
        <v>20200111155542001</v>
      </c>
      <c r="B2185" t="str">
        <f>"1578729341994892"</f>
        <v>1578729341994892</v>
      </c>
      <c r="C2185" t="s">
        <v>37</v>
      </c>
      <c r="D2185">
        <v>4.6608960000000002</v>
      </c>
      <c r="E2185">
        <v>0.52841859999999996</v>
      </c>
      <c r="F2185" t="s">
        <v>61</v>
      </c>
      <c r="G2185">
        <v>-297.87509999999997</v>
      </c>
      <c r="H2185" s="1">
        <v>3.503808E-6</v>
      </c>
      <c r="I2185">
        <v>285.74700000000001</v>
      </c>
      <c r="J2185">
        <v>-272.85039999999998</v>
      </c>
      <c r="K2185">
        <v>1.1045510000000001</v>
      </c>
      <c r="L2185">
        <v>284.3689</v>
      </c>
      <c r="M2185">
        <v>-0.99985009999999996</v>
      </c>
      <c r="N2185">
        <v>0</v>
      </c>
      <c r="O2185">
        <v>-1.2955929999999999E-2</v>
      </c>
      <c r="P2185">
        <v>-0.99979839999999998</v>
      </c>
      <c r="Q2185">
        <v>4.4691690000000003E-3</v>
      </c>
      <c r="R2185">
        <v>-1.9571470000000001E-2</v>
      </c>
      <c r="S2185">
        <v>-3.0043329999999999</v>
      </c>
      <c r="T2185">
        <v>-0.13162279999999901</v>
      </c>
      <c r="U2185">
        <v>0.16394039999999999</v>
      </c>
      <c r="V2185">
        <v>-6.6126669999999896E-3</v>
      </c>
      <c r="W2185">
        <v>1.5953169999999999E-2</v>
      </c>
      <c r="X2185">
        <v>0.99985089999999999</v>
      </c>
      <c r="Y2185">
        <v>6.734308E-2</v>
      </c>
      <c r="Z2185">
        <v>2.040376E-3</v>
      </c>
      <c r="AA2185">
        <v>0.99772780000000005</v>
      </c>
      <c r="AB2185">
        <v>28</v>
      </c>
      <c r="AC2185">
        <v>-25.024699999999999</v>
      </c>
      <c r="AD2185">
        <v>-1.1045474961920001</v>
      </c>
      <c r="AE2185">
        <v>1.3781000000000101</v>
      </c>
      <c r="AF2185">
        <v>1.69892415018118</v>
      </c>
      <c r="AG2185">
        <v>-1.1045474961920001</v>
      </c>
      <c r="AH2185">
        <v>24.956271089295999</v>
      </c>
      <c r="AI2185">
        <v>92.528373854508601</v>
      </c>
      <c r="AJ2185">
        <v>86.105538805898107</v>
      </c>
      <c r="AK2185">
        <v>25.038407200176401</v>
      </c>
    </row>
    <row r="2186" spans="1:37" x14ac:dyDescent="0.2">
      <c r="A2186" t="str">
        <f>"20200111155542016"</f>
        <v>20200111155542016</v>
      </c>
      <c r="B2186" t="str">
        <f>"1578729342004653"</f>
        <v>1578729342004653</v>
      </c>
      <c r="C2186" t="s">
        <v>37</v>
      </c>
      <c r="D2186">
        <v>4.8344680000000002</v>
      </c>
      <c r="E2186">
        <v>0.52821219999999902</v>
      </c>
      <c r="F2186" t="s">
        <v>61</v>
      </c>
      <c r="G2186">
        <v>-297.9966</v>
      </c>
      <c r="H2186" s="1">
        <v>3.5273359999999998E-6</v>
      </c>
      <c r="I2186">
        <v>285.72449999999998</v>
      </c>
      <c r="J2186">
        <v>-273.03969999999998</v>
      </c>
      <c r="K2186">
        <v>1.1045590000000001</v>
      </c>
      <c r="L2186">
        <v>284.36649999999997</v>
      </c>
      <c r="M2186">
        <v>-0.99984789999999901</v>
      </c>
      <c r="N2186">
        <v>0</v>
      </c>
      <c r="O2186">
        <v>-1.290637E-2</v>
      </c>
      <c r="P2186">
        <v>-0.99978769999999995</v>
      </c>
      <c r="Q2186">
        <v>4.3790249999999999E-3</v>
      </c>
      <c r="R2186">
        <v>-2.0131349999999999E-2</v>
      </c>
      <c r="S2186">
        <v>-3.0043329999999999</v>
      </c>
      <c r="T2186">
        <v>-0.13196579999999999</v>
      </c>
      <c r="U2186">
        <v>0.16195680000000001</v>
      </c>
      <c r="V2186">
        <v>-7.2219559999999999E-3</v>
      </c>
      <c r="W2186">
        <v>1.6100969999999999E-2</v>
      </c>
      <c r="X2186">
        <v>0.99984430000000002</v>
      </c>
      <c r="Y2186">
        <v>6.6637139999999997E-2</v>
      </c>
      <c r="Z2186">
        <v>2.0280649999999999E-3</v>
      </c>
      <c r="AA2186">
        <v>0.99777519999999997</v>
      </c>
      <c r="AB2186">
        <v>28</v>
      </c>
      <c r="AC2186">
        <v>-24.956900000000001</v>
      </c>
      <c r="AD2186">
        <v>-1.1045554726639999</v>
      </c>
      <c r="AE2186">
        <v>1.3580000000000001</v>
      </c>
      <c r="AF2186">
        <v>1.67673729961756</v>
      </c>
      <c r="AG2186">
        <v>-1.1045554726639999</v>
      </c>
      <c r="AH2186">
        <v>24.888684534130601</v>
      </c>
      <c r="AI2186">
        <v>92.535369733907501</v>
      </c>
      <c r="AJ2186">
        <v>86.145837980137998</v>
      </c>
      <c r="AK2186">
        <v>24.969543620250501</v>
      </c>
    </row>
    <row r="2187" spans="1:37" x14ac:dyDescent="0.2">
      <c r="A2187" t="str">
        <f>"20200111155542029"</f>
        <v>20200111155542029</v>
      </c>
      <c r="B2187" t="str">
        <f>"1578729342024172"</f>
        <v>1578729342024172</v>
      </c>
      <c r="C2187" t="s">
        <v>37</v>
      </c>
      <c r="D2187">
        <v>4.6707849999999898</v>
      </c>
      <c r="E2187">
        <v>0.5281806</v>
      </c>
      <c r="F2187" t="s">
        <v>61</v>
      </c>
      <c r="G2187">
        <v>-298.33420000000001</v>
      </c>
      <c r="H2187" s="1">
        <v>3.5890709999999999E-6</v>
      </c>
      <c r="I2187">
        <v>285.70339999999999</v>
      </c>
      <c r="J2187">
        <v>-273.2045</v>
      </c>
      <c r="K2187">
        <v>1.104571</v>
      </c>
      <c r="L2187">
        <v>284.36439999999999</v>
      </c>
      <c r="M2187">
        <v>-0.99984660000000003</v>
      </c>
      <c r="N2187">
        <v>0</v>
      </c>
      <c r="O2187">
        <v>-1.286346E-2</v>
      </c>
      <c r="P2187">
        <v>-0.99978889999999998</v>
      </c>
      <c r="Q2187">
        <v>4.2807459999999898E-3</v>
      </c>
      <c r="R2187">
        <v>-2.0110699999999999E-2</v>
      </c>
      <c r="S2187">
        <v>-3.0043639999999998</v>
      </c>
      <c r="T2187">
        <v>-0.13119410000000001</v>
      </c>
      <c r="U2187">
        <v>0.15878299999999901</v>
      </c>
      <c r="V2187">
        <v>-7.2443519999999999E-3</v>
      </c>
      <c r="W2187">
        <v>1.6189169999999999E-2</v>
      </c>
      <c r="X2187">
        <v>0.99984269999999997</v>
      </c>
      <c r="Y2187">
        <v>6.5544679999999994E-2</v>
      </c>
      <c r="Z2187">
        <v>1.990557E-3</v>
      </c>
      <c r="AA2187">
        <v>0.997847699999999</v>
      </c>
      <c r="AB2187">
        <v>28</v>
      </c>
      <c r="AC2187">
        <v>-25.1297</v>
      </c>
      <c r="AD2187">
        <v>-1.104567410929</v>
      </c>
      <c r="AE2187">
        <v>1.33899999999999</v>
      </c>
      <c r="AF2187">
        <v>1.6589708532757099</v>
      </c>
      <c r="AG2187">
        <v>-1.104567410929</v>
      </c>
      <c r="AH2187">
        <v>25.062111921032201</v>
      </c>
      <c r="AI2187">
        <v>92.518071522613297</v>
      </c>
      <c r="AJ2187">
        <v>86.212866549454404</v>
      </c>
      <c r="AK2187">
        <v>25.141235200356501</v>
      </c>
    </row>
    <row r="2188" spans="1:37" x14ac:dyDescent="0.2">
      <c r="A2188" t="str">
        <f>"20200111155542043"</f>
        <v>20200111155542043</v>
      </c>
      <c r="B2188" t="str">
        <f>"1578729342034630"</f>
        <v>1578729342034630</v>
      </c>
      <c r="C2188" t="s">
        <v>37</v>
      </c>
      <c r="D2188">
        <v>4.6815220000000002</v>
      </c>
      <c r="E2188">
        <v>0.52811399999999997</v>
      </c>
      <c r="F2188" t="s">
        <v>61</v>
      </c>
      <c r="G2188">
        <v>-298.78649999999999</v>
      </c>
      <c r="H2188" s="1">
        <v>3.6681309999999999E-6</v>
      </c>
      <c r="I2188">
        <v>285.7167</v>
      </c>
      <c r="J2188">
        <v>-273.36610000000002</v>
      </c>
      <c r="K2188">
        <v>1.1045780000000001</v>
      </c>
      <c r="L2188">
        <v>284.36239999999998</v>
      </c>
      <c r="M2188">
        <v>-0.99984479999999998</v>
      </c>
      <c r="N2188">
        <v>0</v>
      </c>
      <c r="O2188">
        <v>-1.282085E-2</v>
      </c>
      <c r="P2188">
        <v>-0.99978419999999901</v>
      </c>
      <c r="Q2188">
        <v>4.3703149999999996E-3</v>
      </c>
      <c r="R2188">
        <v>-2.0308449999999999E-2</v>
      </c>
      <c r="S2188">
        <v>-3.0044249999999999</v>
      </c>
      <c r="T2188">
        <v>-0.1297238</v>
      </c>
      <c r="U2188">
        <v>0.1588135</v>
      </c>
      <c r="V2188">
        <v>-7.4850869999999996E-3</v>
      </c>
      <c r="W2188">
        <v>1.6452350000000001E-2</v>
      </c>
      <c r="X2188">
        <v>0.99983659999999996</v>
      </c>
      <c r="Y2188">
        <v>6.5512940000000006E-2</v>
      </c>
      <c r="Z2188">
        <v>1.965708E-3</v>
      </c>
      <c r="AA2188">
        <v>0.99784980000000001</v>
      </c>
      <c r="AB2188">
        <v>28</v>
      </c>
      <c r="AC2188">
        <v>-25.420399999999901</v>
      </c>
      <c r="AD2188">
        <v>-1.104574331869</v>
      </c>
      <c r="AE2188">
        <v>1.35430000000002</v>
      </c>
      <c r="AF2188">
        <v>1.6769662834116099</v>
      </c>
      <c r="AG2188">
        <v>-1.104574331869</v>
      </c>
      <c r="AH2188">
        <v>25.353211905645001</v>
      </c>
      <c r="AI2188">
        <v>92.489219963427203</v>
      </c>
      <c r="AJ2188">
        <v>86.215732555121505</v>
      </c>
      <c r="AK2188">
        <v>25.432610056831798</v>
      </c>
    </row>
    <row r="2189" spans="1:37" x14ac:dyDescent="0.2">
      <c r="A2189" t="str">
        <f>"20200111155542057"</f>
        <v>20200111155542057</v>
      </c>
      <c r="B2189" t="str">
        <f>"1578729342054152"</f>
        <v>1578729342054152</v>
      </c>
      <c r="C2189" t="s">
        <v>37</v>
      </c>
      <c r="D2189">
        <v>4.673826</v>
      </c>
      <c r="E2189">
        <v>0.52809890000000004</v>
      </c>
      <c r="F2189" t="s">
        <v>61</v>
      </c>
      <c r="G2189">
        <v>-299.18360000000001</v>
      </c>
      <c r="H2189" s="1">
        <v>3.738591E-6</v>
      </c>
      <c r="I2189">
        <v>285.71640000000002</v>
      </c>
      <c r="J2189">
        <v>-273.54770000000002</v>
      </c>
      <c r="K2189">
        <v>1.104587</v>
      </c>
      <c r="L2189">
        <v>284.36020000000002</v>
      </c>
      <c r="M2189">
        <v>-0.99984319999999904</v>
      </c>
      <c r="N2189">
        <v>0</v>
      </c>
      <c r="O2189">
        <v>-1.2773410000000001E-2</v>
      </c>
      <c r="P2189">
        <v>-0.99978319999999998</v>
      </c>
      <c r="Q2189">
        <v>4.4077090000000001E-3</v>
      </c>
      <c r="R2189">
        <v>-2.035315E-2</v>
      </c>
      <c r="S2189">
        <v>-3.0044249999999999</v>
      </c>
      <c r="T2189">
        <v>-0.12854160000000001</v>
      </c>
      <c r="U2189">
        <v>0.15756229999999999</v>
      </c>
      <c r="V2189">
        <v>-7.5765959999999997E-3</v>
      </c>
      <c r="W2189">
        <v>1.6669759999999999E-2</v>
      </c>
      <c r="X2189">
        <v>0.99983230000000001</v>
      </c>
      <c r="Y2189">
        <v>6.5052970000000002E-2</v>
      </c>
      <c r="Z2189">
        <v>1.9359760000000001E-3</v>
      </c>
      <c r="AA2189">
        <v>0.99787990000000004</v>
      </c>
      <c r="AB2189">
        <v>28</v>
      </c>
      <c r="AC2189">
        <v>-25.6358999999999</v>
      </c>
      <c r="AD2189">
        <v>-1.1045832614090001</v>
      </c>
      <c r="AE2189">
        <v>1.3562000000000001</v>
      </c>
      <c r="AF2189">
        <v>1.6804607285206701</v>
      </c>
      <c r="AG2189">
        <v>-1.1045832614090001</v>
      </c>
      <c r="AH2189">
        <v>25.569146454643001</v>
      </c>
      <c r="AI2189">
        <v>92.4683125192131</v>
      </c>
      <c r="AJ2189">
        <v>86.239802656404095</v>
      </c>
      <c r="AK2189">
        <v>25.648105248935401</v>
      </c>
    </row>
    <row r="2190" spans="1:37" x14ac:dyDescent="0.2">
      <c r="A2190" t="str">
        <f>"20200111155542073"</f>
        <v>20200111155542073</v>
      </c>
      <c r="B2190" t="str">
        <f>"1578729342064889"</f>
        <v>1578729342064889</v>
      </c>
      <c r="C2190" t="s">
        <v>37</v>
      </c>
      <c r="D2190">
        <v>4.673438</v>
      </c>
      <c r="E2190">
        <v>0.52797850000000002</v>
      </c>
      <c r="F2190" t="s">
        <v>61</v>
      </c>
      <c r="G2190">
        <v>-299.88830000000002</v>
      </c>
      <c r="H2190" s="1">
        <v>3.861524E-6</v>
      </c>
      <c r="I2190">
        <v>285.74029999999999</v>
      </c>
      <c r="J2190">
        <v>-273.73899999999998</v>
      </c>
      <c r="K2190">
        <v>1.1045969999999901</v>
      </c>
      <c r="L2190">
        <v>284.3578</v>
      </c>
      <c r="M2190">
        <v>-0.99984189999999995</v>
      </c>
      <c r="N2190">
        <v>0</v>
      </c>
      <c r="O2190">
        <v>-1.272353E-2</v>
      </c>
      <c r="P2190">
        <v>-0.99978899999999904</v>
      </c>
      <c r="Q2190">
        <v>4.9268489999999996E-3</v>
      </c>
      <c r="R2190">
        <v>-1.9947409999999999E-2</v>
      </c>
      <c r="S2190">
        <v>-3.0043639999999998</v>
      </c>
      <c r="T2190">
        <v>-0.12598679999999901</v>
      </c>
      <c r="U2190">
        <v>0.15740970000000001</v>
      </c>
      <c r="V2190">
        <v>-7.22085E-3</v>
      </c>
      <c r="W2190">
        <v>1.7357729999999998E-2</v>
      </c>
      <c r="X2190">
        <v>0.99982329999999997</v>
      </c>
      <c r="Y2190">
        <v>6.4956669999999994E-2</v>
      </c>
      <c r="Z2190">
        <v>1.893467E-3</v>
      </c>
      <c r="AA2190">
        <v>0.9978863</v>
      </c>
      <c r="AB2190">
        <v>28</v>
      </c>
      <c r="AC2190">
        <v>-26.149299999999901</v>
      </c>
      <c r="AD2190">
        <v>-1.1045931384759999</v>
      </c>
      <c r="AE2190">
        <v>1.3824999999999901</v>
      </c>
      <c r="AF2190">
        <v>1.71207868161668</v>
      </c>
      <c r="AG2190">
        <v>-1.1045931384759999</v>
      </c>
      <c r="AH2190">
        <v>26.083179046344998</v>
      </c>
      <c r="AI2190">
        <v>92.419761539716703</v>
      </c>
      <c r="AJ2190">
        <v>86.244538871051404</v>
      </c>
      <c r="AK2190">
        <v>26.162636881195802</v>
      </c>
    </row>
    <row r="2191" spans="1:37" x14ac:dyDescent="0.2">
      <c r="A2191" t="str">
        <f>"20200111155542085"</f>
        <v>20200111155542085</v>
      </c>
      <c r="B2191" t="str">
        <f>"1578729342074647"</f>
        <v>1578729342074647</v>
      </c>
      <c r="C2191" t="s">
        <v>37</v>
      </c>
      <c r="D2191">
        <v>4.6421890000000001</v>
      </c>
      <c r="E2191">
        <v>0.52795590000000003</v>
      </c>
      <c r="F2191" t="s">
        <v>61</v>
      </c>
      <c r="G2191">
        <v>-300.5317</v>
      </c>
      <c r="H2191" s="1">
        <v>3.7699059999999998E-6</v>
      </c>
      <c r="I2191">
        <v>285.7645</v>
      </c>
      <c r="J2191">
        <v>-273.89389999999997</v>
      </c>
      <c r="K2191">
        <v>1.1046039999999999</v>
      </c>
      <c r="L2191">
        <v>284.35579999999999</v>
      </c>
      <c r="M2191">
        <v>-0.99984069999999903</v>
      </c>
      <c r="N2191">
        <v>0</v>
      </c>
      <c r="O2191">
        <v>-1.26833E-2</v>
      </c>
      <c r="P2191">
        <v>-0.99978739999999999</v>
      </c>
      <c r="Q2191">
        <v>4.970085E-3</v>
      </c>
      <c r="R2191">
        <v>-2.0016900000000001E-2</v>
      </c>
      <c r="S2191">
        <v>-3.0043950000000001</v>
      </c>
      <c r="T2191">
        <v>-0.1238633</v>
      </c>
      <c r="U2191">
        <v>0.15774540000000001</v>
      </c>
      <c r="V2191">
        <v>-7.3304809999999998E-3</v>
      </c>
      <c r="W2191">
        <v>1.7527939999999999E-2</v>
      </c>
      <c r="X2191">
        <v>0.99981949999999997</v>
      </c>
      <c r="Y2191">
        <v>6.5029439999999994E-2</v>
      </c>
      <c r="Z2191">
        <v>1.8613989999999999E-3</v>
      </c>
      <c r="AA2191">
        <v>0.99788159999999904</v>
      </c>
      <c r="AB2191">
        <v>28</v>
      </c>
      <c r="AC2191">
        <v>-26.637799999999999</v>
      </c>
      <c r="AD2191">
        <v>-1.1046002300940001</v>
      </c>
      <c r="AE2191">
        <v>1.4087000000000101</v>
      </c>
      <c r="AF2191">
        <v>1.74347889528329</v>
      </c>
      <c r="AG2191">
        <v>-1.1046002300940001</v>
      </c>
      <c r="AH2191">
        <v>26.5722239364122</v>
      </c>
      <c r="AI2191">
        <v>92.375298169852002</v>
      </c>
      <c r="AJ2191">
        <v>86.246042392865803</v>
      </c>
      <c r="AK2191">
        <v>26.652259665053901</v>
      </c>
    </row>
    <row r="2192" spans="1:37" x14ac:dyDescent="0.2">
      <c r="A2192" t="str">
        <f>"20200111155542106"</f>
        <v>20200111155542106</v>
      </c>
      <c r="B2192" t="str">
        <f>"1578729342094167"</f>
        <v>1578729342094167</v>
      </c>
      <c r="C2192" t="s">
        <v>37</v>
      </c>
      <c r="D2192">
        <v>4.7297949999999904</v>
      </c>
      <c r="E2192">
        <v>0.52814559999999999</v>
      </c>
      <c r="F2192" t="s">
        <v>61</v>
      </c>
      <c r="G2192">
        <v>-300.81950000000001</v>
      </c>
      <c r="H2192" s="1">
        <v>3.7187320000000001E-6</v>
      </c>
      <c r="I2192">
        <v>285.765999999999</v>
      </c>
      <c r="J2192">
        <v>-274.15050000000002</v>
      </c>
      <c r="K2192">
        <v>1.1046129999999901</v>
      </c>
      <c r="L2192">
        <v>284.35270000000003</v>
      </c>
      <c r="M2192">
        <v>-0.99983909999999998</v>
      </c>
      <c r="N2192">
        <v>0</v>
      </c>
      <c r="O2192">
        <v>-1.261665E-2</v>
      </c>
      <c r="P2192">
        <v>-0.99979479999999998</v>
      </c>
      <c r="Q2192">
        <v>5.349314E-3</v>
      </c>
      <c r="R2192">
        <v>-1.954463E-2</v>
      </c>
      <c r="S2192">
        <v>-3.0043639999999998</v>
      </c>
      <c r="T2192">
        <v>-0.1232516</v>
      </c>
      <c r="U2192">
        <v>0.15734860000000001</v>
      </c>
      <c r="V2192">
        <v>-6.9246960000000001E-3</v>
      </c>
      <c r="W2192">
        <v>1.8097189999999999E-2</v>
      </c>
      <c r="X2192">
        <v>0.99981219999999904</v>
      </c>
      <c r="Y2192">
        <v>6.483295E-2</v>
      </c>
      <c r="Z2192">
        <v>1.8454809999999999E-3</v>
      </c>
      <c r="AA2192">
        <v>0.99789439999999996</v>
      </c>
      <c r="AB2192">
        <v>28</v>
      </c>
      <c r="AC2192">
        <v>-26.668999999999901</v>
      </c>
      <c r="AD2192">
        <v>-1.104609281268</v>
      </c>
      <c r="AE2192">
        <v>1.4132999999999301</v>
      </c>
      <c r="AF2192">
        <v>1.7467001261001001</v>
      </c>
      <c r="AG2192">
        <v>-1.104609281268</v>
      </c>
      <c r="AH2192">
        <v>26.603532493705998</v>
      </c>
      <c r="AI2192">
        <v>92.372518603923297</v>
      </c>
      <c r="AJ2192">
        <v>86.243539843205795</v>
      </c>
      <c r="AK2192">
        <v>26.683685355258799</v>
      </c>
    </row>
    <row r="2193" spans="1:37" x14ac:dyDescent="0.2">
      <c r="A2193" t="str">
        <f>"20200111155542121"</f>
        <v>20200111155542121</v>
      </c>
      <c r="B2193" t="str">
        <f>"1578729342114663"</f>
        <v>1578729342114663</v>
      </c>
      <c r="C2193" t="s">
        <v>37</v>
      </c>
      <c r="D2193">
        <v>4.7496780000000003</v>
      </c>
      <c r="E2193">
        <v>0.55327179999999998</v>
      </c>
      <c r="F2193" t="s">
        <v>61</v>
      </c>
      <c r="G2193">
        <v>-301.37560000000002</v>
      </c>
      <c r="H2193" s="1">
        <v>3.6167570000000001E-6</v>
      </c>
      <c r="I2193">
        <v>285.80399999999997</v>
      </c>
      <c r="J2193">
        <v>-274.33120000000002</v>
      </c>
      <c r="K2193">
        <v>1.1046199999999999</v>
      </c>
      <c r="L2193">
        <v>284.35039999999998</v>
      </c>
      <c r="M2193">
        <v>-0.99983820000000001</v>
      </c>
      <c r="N2193">
        <v>0</v>
      </c>
      <c r="O2193">
        <v>-1.2569489999999999E-2</v>
      </c>
      <c r="P2193">
        <v>-0.99980089999999999</v>
      </c>
      <c r="Q2193">
        <v>5.1662469999999997E-3</v>
      </c>
      <c r="R2193">
        <v>-1.927653E-2</v>
      </c>
      <c r="S2193">
        <v>-3.0043950000000001</v>
      </c>
      <c r="T2193">
        <v>-0.121897699999999</v>
      </c>
      <c r="U2193">
        <v>0.160156299999999</v>
      </c>
      <c r="V2193">
        <v>-6.7034919999999897E-3</v>
      </c>
      <c r="W2193">
        <v>1.8035209999999999E-2</v>
      </c>
      <c r="X2193">
        <v>0.99981489999999995</v>
      </c>
      <c r="Y2193">
        <v>6.571602E-2</v>
      </c>
      <c r="Z2193">
        <v>1.841147E-3</v>
      </c>
      <c r="AA2193">
        <v>0.99783659999999996</v>
      </c>
      <c r="AB2193">
        <v>28</v>
      </c>
      <c r="AC2193">
        <v>-27.0444</v>
      </c>
      <c r="AD2193">
        <v>-1.104616383243</v>
      </c>
      <c r="AE2193">
        <v>1.45360000000005</v>
      </c>
      <c r="AF2193">
        <v>1.79046921517433</v>
      </c>
      <c r="AG2193">
        <v>-1.104616383243</v>
      </c>
      <c r="AH2193">
        <v>26.979111648001201</v>
      </c>
      <c r="AI2193">
        <v>92.339433705637603</v>
      </c>
      <c r="AJ2193">
        <v>86.203132262524093</v>
      </c>
      <c r="AK2193">
        <v>27.0610129647789</v>
      </c>
    </row>
    <row r="2194" spans="1:37" x14ac:dyDescent="0.2">
      <c r="A2194" t="str">
        <f>"20200111155542140"</f>
        <v>20200111155542140</v>
      </c>
      <c r="B2194" t="str">
        <f>"1578729342134857"</f>
        <v>1578729342134857</v>
      </c>
      <c r="C2194" t="s">
        <v>37</v>
      </c>
      <c r="D2194">
        <v>4.6599089999999999</v>
      </c>
      <c r="E2194">
        <v>0.55816299999999996</v>
      </c>
      <c r="F2194" t="s">
        <v>61</v>
      </c>
      <c r="G2194">
        <v>-300.96589999999998</v>
      </c>
      <c r="H2194" s="1">
        <v>3.53668499999999E-6</v>
      </c>
      <c r="I2194">
        <v>287.55130000000003</v>
      </c>
      <c r="J2194">
        <v>-274.58</v>
      </c>
      <c r="K2194">
        <v>1.104625</v>
      </c>
      <c r="L2194">
        <v>284.34739999999999</v>
      </c>
      <c r="M2194">
        <v>-0.99983719999999998</v>
      </c>
      <c r="N2194">
        <v>0</v>
      </c>
      <c r="O2194">
        <v>-1.2504970000000001E-2</v>
      </c>
      <c r="P2194">
        <v>-0.99981019999999898</v>
      </c>
      <c r="Q2194">
        <v>5.1286109999999999E-3</v>
      </c>
      <c r="R2194">
        <v>-1.880269E-2</v>
      </c>
      <c r="S2194">
        <v>-3.0081790000000002</v>
      </c>
      <c r="T2194">
        <v>-0.1247578</v>
      </c>
      <c r="U2194">
        <v>0.36151119999999998</v>
      </c>
      <c r="V2194">
        <v>-6.2939519999999898E-3</v>
      </c>
      <c r="W2194">
        <v>1.814487E-2</v>
      </c>
      <c r="X2194">
        <v>0.99981559999999903</v>
      </c>
      <c r="Y2194">
        <v>0.13160279999999999</v>
      </c>
      <c r="Z2194">
        <v>3.2347019999999999E-3</v>
      </c>
      <c r="AA2194">
        <v>0.99129719999999999</v>
      </c>
      <c r="AB2194">
        <v>28</v>
      </c>
      <c r="AC2194">
        <v>-26.3858999999999</v>
      </c>
      <c r="AD2194">
        <v>-1.104621463315</v>
      </c>
      <c r="AE2194">
        <v>3.2039000000000302</v>
      </c>
      <c r="AF2194">
        <v>3.5275397070586298</v>
      </c>
      <c r="AG2194">
        <v>-1.104621463315</v>
      </c>
      <c r="AH2194">
        <v>26.298347633442098</v>
      </c>
      <c r="AI2194">
        <v>92.383881672551496</v>
      </c>
      <c r="AJ2194">
        <v>82.360208355964502</v>
      </c>
      <c r="AK2194">
        <v>26.5568600028591</v>
      </c>
    </row>
    <row r="2195" spans="1:37" x14ac:dyDescent="0.2">
      <c r="A2195" t="str">
        <f>"20200111155542153"</f>
        <v>20200111155542153</v>
      </c>
      <c r="B2195" t="str">
        <f>"1578729342144618"</f>
        <v>1578729342144618</v>
      </c>
      <c r="C2195" t="s">
        <v>37</v>
      </c>
      <c r="D2195">
        <v>4.6399739999999996</v>
      </c>
      <c r="E2195">
        <v>0.55893930000000003</v>
      </c>
      <c r="F2195" t="s">
        <v>61</v>
      </c>
      <c r="G2195">
        <v>-298.62779999999998</v>
      </c>
      <c r="H2195" s="1">
        <v>3.47920399999999E-6</v>
      </c>
      <c r="I2195">
        <v>287.55579999999998</v>
      </c>
      <c r="J2195">
        <v>-274.7373</v>
      </c>
      <c r="K2195">
        <v>1.1046279999999999</v>
      </c>
      <c r="L2195">
        <v>284.34550000000002</v>
      </c>
      <c r="M2195">
        <v>-0.99983659999999996</v>
      </c>
      <c r="N2195">
        <v>0</v>
      </c>
      <c r="O2195">
        <v>-1.24639E-2</v>
      </c>
      <c r="P2195">
        <v>-0.99981640000000005</v>
      </c>
      <c r="Q2195">
        <v>4.9087200000000001E-3</v>
      </c>
      <c r="R2195">
        <v>-1.8529049999999998E-2</v>
      </c>
      <c r="S2195">
        <v>-3.0087890000000002</v>
      </c>
      <c r="T2195">
        <v>-0.13820660000000001</v>
      </c>
      <c r="U2195">
        <v>0.40142820000000001</v>
      </c>
      <c r="V2195">
        <v>-6.0613129999999996E-3</v>
      </c>
      <c r="W2195">
        <v>1.8008039999999999E-2</v>
      </c>
      <c r="X2195">
        <v>0.99981949999999997</v>
      </c>
      <c r="Y2195">
        <v>0.14442929999999901</v>
      </c>
      <c r="Z2195">
        <v>3.8706349999999999E-3</v>
      </c>
      <c r="AA2195">
        <v>0.98950759999999904</v>
      </c>
      <c r="AB2195">
        <v>28</v>
      </c>
      <c r="AC2195">
        <v>-23.8904999999999</v>
      </c>
      <c r="AD2195">
        <v>-1.1046245207959999</v>
      </c>
      <c r="AE2195">
        <v>3.2102999999999602</v>
      </c>
      <c r="AF2195">
        <v>3.5004940907640099</v>
      </c>
      <c r="AG2195">
        <v>-1.1046245207959999</v>
      </c>
      <c r="AH2195">
        <v>23.7986519017504</v>
      </c>
      <c r="AI2195">
        <v>92.629251363234005</v>
      </c>
      <c r="AJ2195">
        <v>81.6324823419437</v>
      </c>
      <c r="AK2195">
        <v>24.080064089451799</v>
      </c>
    </row>
    <row r="2196" spans="1:37" x14ac:dyDescent="0.2">
      <c r="A2196" t="str">
        <f>"20200111155542166"</f>
        <v>20200111155542166</v>
      </c>
      <c r="B2196" t="str">
        <f>"1578729342154378"</f>
        <v>1578729342154378</v>
      </c>
      <c r="C2196" t="s">
        <v>37</v>
      </c>
      <c r="D2196">
        <v>4.605003</v>
      </c>
      <c r="E2196">
        <v>0.55992529999999996</v>
      </c>
      <c r="F2196" t="s">
        <v>61</v>
      </c>
      <c r="G2196">
        <v>-297.97820000000002</v>
      </c>
      <c r="H2196" s="1">
        <v>3.368958E-6</v>
      </c>
      <c r="I2196">
        <v>287.49880000000002</v>
      </c>
      <c r="J2196">
        <v>-274.89389999999997</v>
      </c>
      <c r="K2196">
        <v>1.104633</v>
      </c>
      <c r="L2196">
        <v>284.34359999999998</v>
      </c>
      <c r="M2196">
        <v>-0.99983609999999901</v>
      </c>
      <c r="N2196">
        <v>0</v>
      </c>
      <c r="O2196">
        <v>-1.242327E-2</v>
      </c>
      <c r="P2196">
        <v>-0.99982190000000004</v>
      </c>
      <c r="Q2196">
        <v>4.6176480000000002E-3</v>
      </c>
      <c r="R2196">
        <v>-1.830582E-2</v>
      </c>
      <c r="S2196">
        <v>-3.008759</v>
      </c>
      <c r="T2196">
        <v>-0.1430043</v>
      </c>
      <c r="U2196">
        <v>0.40823359999999997</v>
      </c>
      <c r="V2196">
        <v>-5.8792159999999996E-3</v>
      </c>
      <c r="W2196">
        <v>1.77935E-2</v>
      </c>
      <c r="X2196">
        <v>0.99982439999999995</v>
      </c>
      <c r="Y2196">
        <v>0.1465747</v>
      </c>
      <c r="Z2196">
        <v>4.0530949999999996E-3</v>
      </c>
      <c r="AA2196">
        <v>0.9891913</v>
      </c>
      <c r="AB2196">
        <v>28</v>
      </c>
      <c r="AC2196">
        <v>-23.084299999999999</v>
      </c>
      <c r="AD2196">
        <v>-1.1046296310420001</v>
      </c>
      <c r="AE2196">
        <v>3.15520000000003</v>
      </c>
      <c r="AF2196">
        <v>3.43404471760998</v>
      </c>
      <c r="AG2196">
        <v>-1.1046296310420001</v>
      </c>
      <c r="AH2196">
        <v>22.991635891849899</v>
      </c>
      <c r="AI2196">
        <v>92.720519808650494</v>
      </c>
      <c r="AJ2196">
        <v>81.505066067454905</v>
      </c>
      <c r="AK2196">
        <v>23.272906795837098</v>
      </c>
    </row>
    <row r="2197" spans="1:37" x14ac:dyDescent="0.2">
      <c r="A2197" t="str">
        <f>"20200111155542178"</f>
        <v>20200111155542178</v>
      </c>
      <c r="B2197" t="str">
        <f>"1578729342174873"</f>
        <v>1578729342174873</v>
      </c>
      <c r="C2197" t="s">
        <v>37</v>
      </c>
      <c r="D2197">
        <v>4.8022640000000001</v>
      </c>
      <c r="E2197">
        <v>0.56057480000000004</v>
      </c>
      <c r="F2197" t="s">
        <v>61</v>
      </c>
      <c r="G2197">
        <v>-297.45519999999999</v>
      </c>
      <c r="H2197" s="1">
        <v>3.2788810000000002E-6</v>
      </c>
      <c r="I2197">
        <v>287.46800000000002</v>
      </c>
      <c r="J2197">
        <v>-275.05399999999997</v>
      </c>
      <c r="K2197">
        <v>1.104638</v>
      </c>
      <c r="L2197">
        <v>284.34160000000003</v>
      </c>
      <c r="M2197">
        <v>-0.99983569999999999</v>
      </c>
      <c r="N2197">
        <v>0</v>
      </c>
      <c r="O2197">
        <v>-1.2381659999999999E-2</v>
      </c>
      <c r="P2197">
        <v>-0.99983099999999903</v>
      </c>
      <c r="Q2197">
        <v>4.3588519999999999E-3</v>
      </c>
      <c r="R2197">
        <v>-1.786453E-2</v>
      </c>
      <c r="S2197">
        <v>-3.0088499999999998</v>
      </c>
      <c r="T2197">
        <v>-0.14731720000000001</v>
      </c>
      <c r="U2197">
        <v>0.41668699999999997</v>
      </c>
      <c r="V2197">
        <v>-5.4792390000000003E-3</v>
      </c>
      <c r="W2197">
        <v>1.7608039999999998E-2</v>
      </c>
      <c r="X2197">
        <v>0.99982990000000005</v>
      </c>
      <c r="Y2197">
        <v>0.14924309999999999</v>
      </c>
      <c r="Z2197">
        <v>4.2372260000000002E-3</v>
      </c>
      <c r="AA2197">
        <v>0.98879150000000005</v>
      </c>
      <c r="AB2197">
        <v>28</v>
      </c>
      <c r="AC2197">
        <v>-22.4011999999999</v>
      </c>
      <c r="AD2197">
        <v>-1.104634721119</v>
      </c>
      <c r="AE2197">
        <v>3.1263999999999799</v>
      </c>
      <c r="AF2197">
        <v>3.3954499730818499</v>
      </c>
      <c r="AG2197">
        <v>-1.104634721119</v>
      </c>
      <c r="AH2197">
        <v>22.307562074191299</v>
      </c>
      <c r="AI2197">
        <v>92.802651770443006</v>
      </c>
      <c r="AJ2197">
        <v>81.3453973471632</v>
      </c>
      <c r="AK2197">
        <v>22.591516639674801</v>
      </c>
    </row>
    <row r="2198" spans="1:37" x14ac:dyDescent="0.2">
      <c r="A2198" t="str">
        <f>"20200111155542195"</f>
        <v>20200111155542195</v>
      </c>
      <c r="B2198" t="str">
        <f>"1578729342184634"</f>
        <v>1578729342184634</v>
      </c>
      <c r="C2198" t="s">
        <v>37</v>
      </c>
      <c r="D2198">
        <v>4.5962180000000004</v>
      </c>
      <c r="E2198">
        <v>0.5610406</v>
      </c>
      <c r="F2198" t="s">
        <v>61</v>
      </c>
      <c r="G2198">
        <v>-297.43209999999999</v>
      </c>
      <c r="H2198" s="1">
        <v>3.2729640000000001E-6</v>
      </c>
      <c r="I2198">
        <v>287.48869999999999</v>
      </c>
      <c r="J2198">
        <v>-275.25409999999999</v>
      </c>
      <c r="K2198">
        <v>1.1046400000000001</v>
      </c>
      <c r="L2198">
        <v>284.33920000000001</v>
      </c>
      <c r="M2198">
        <v>-0.99983519999999904</v>
      </c>
      <c r="N2198">
        <v>0</v>
      </c>
      <c r="O2198">
        <v>-1.2329379999999999E-2</v>
      </c>
      <c r="P2198">
        <v>-0.99983440000000001</v>
      </c>
      <c r="Q2198">
        <v>4.1217169999999996E-3</v>
      </c>
      <c r="R2198">
        <v>-1.774038E-2</v>
      </c>
      <c r="S2198">
        <v>-3.0087280000000001</v>
      </c>
      <c r="T2198">
        <v>-0.14851829999999999</v>
      </c>
      <c r="U2198">
        <v>0.42312619999999901</v>
      </c>
      <c r="V2198">
        <v>-5.4077389999999999E-3</v>
      </c>
      <c r="W2198">
        <v>1.745213E-2</v>
      </c>
      <c r="X2198">
        <v>0.99983299999999997</v>
      </c>
      <c r="Y2198">
        <v>0.15126689999999901</v>
      </c>
      <c r="Z2198">
        <v>4.3183869999999999E-3</v>
      </c>
      <c r="AA2198">
        <v>0.98848349999999996</v>
      </c>
      <c r="AB2198">
        <v>28</v>
      </c>
      <c r="AC2198">
        <v>-22.178000000000001</v>
      </c>
      <c r="AD2198">
        <v>-1.104636727036</v>
      </c>
      <c r="AE2198">
        <v>3.1494999999999802</v>
      </c>
      <c r="AF2198">
        <v>3.4144227337210502</v>
      </c>
      <c r="AG2198">
        <v>-1.104636727036</v>
      </c>
      <c r="AH2198">
        <v>22.083776402196101</v>
      </c>
      <c r="AI2198">
        <v>92.829994375755405</v>
      </c>
      <c r="AJ2198">
        <v>81.210962545493601</v>
      </c>
      <c r="AK2198">
        <v>22.373459390211899</v>
      </c>
    </row>
    <row r="2199" spans="1:37" x14ac:dyDescent="0.2">
      <c r="A2199" t="str">
        <f>"20200111155542208"</f>
        <v>20200111155542208</v>
      </c>
      <c r="B2199" t="str">
        <f>"1578729342204154"</f>
        <v>1578729342204154</v>
      </c>
      <c r="C2199" t="s">
        <v>37</v>
      </c>
      <c r="D2199">
        <v>4.670064</v>
      </c>
      <c r="E2199">
        <v>0.56154440000000005</v>
      </c>
      <c r="F2199" t="s">
        <v>61</v>
      </c>
      <c r="G2199">
        <v>-297.30770000000001</v>
      </c>
      <c r="H2199" s="1">
        <v>3.2526579999999999E-6</v>
      </c>
      <c r="I2199">
        <v>287.46870000000001</v>
      </c>
      <c r="J2199">
        <v>-275.41019999999997</v>
      </c>
      <c r="K2199">
        <v>1.104646</v>
      </c>
      <c r="L2199">
        <v>284.33730000000003</v>
      </c>
      <c r="M2199">
        <v>-0.99983500000000003</v>
      </c>
      <c r="N2199">
        <v>0</v>
      </c>
      <c r="O2199">
        <v>-1.228886E-2</v>
      </c>
      <c r="P2199">
        <v>-0.99983869999999897</v>
      </c>
      <c r="Q2199">
        <v>4.0368340000000004E-3</v>
      </c>
      <c r="R2199">
        <v>-1.7506130000000002E-2</v>
      </c>
      <c r="S2199">
        <v>-3.0086979999999999</v>
      </c>
      <c r="T2199">
        <v>-0.15070149999999999</v>
      </c>
      <c r="U2199">
        <v>0.42694090000000001</v>
      </c>
      <c r="V2199">
        <v>-5.2137009999999899E-3</v>
      </c>
      <c r="W2199">
        <v>1.742401E-2</v>
      </c>
      <c r="X2199">
        <v>0.99983459999999902</v>
      </c>
      <c r="Y2199">
        <v>0.15244969999999999</v>
      </c>
      <c r="Z2199">
        <v>4.4088870000000002E-3</v>
      </c>
      <c r="AA2199">
        <v>0.9883014</v>
      </c>
      <c r="AB2199">
        <v>28</v>
      </c>
      <c r="AC2199">
        <v>-21.897500000000001</v>
      </c>
      <c r="AD2199">
        <v>-1.104642747342</v>
      </c>
      <c r="AE2199">
        <v>3.1313999999999802</v>
      </c>
      <c r="AF2199">
        <v>3.3918243378182602</v>
      </c>
      <c r="AG2199">
        <v>-1.104642747342</v>
      </c>
      <c r="AH2199">
        <v>21.802988958209301</v>
      </c>
      <c r="AI2199">
        <v>92.865981644422305</v>
      </c>
      <c r="AJ2199">
        <v>81.157548410003599</v>
      </c>
      <c r="AK2199">
        <v>22.092872955993499</v>
      </c>
    </row>
    <row r="2200" spans="1:37" x14ac:dyDescent="0.2">
      <c r="A2200" t="str">
        <f>"20200111155542222"</f>
        <v>20200111155542222</v>
      </c>
      <c r="B2200" t="str">
        <f>"1578729342214890"</f>
        <v>1578729342214890</v>
      </c>
      <c r="C2200" t="s">
        <v>37</v>
      </c>
      <c r="D2200">
        <v>4.7077460000000002</v>
      </c>
      <c r="E2200">
        <v>0.56152519999999995</v>
      </c>
      <c r="F2200" t="s">
        <v>61</v>
      </c>
      <c r="G2200">
        <v>-297.03620000000001</v>
      </c>
      <c r="H2200" s="1">
        <v>3.2070119999999999E-6</v>
      </c>
      <c r="I2200">
        <v>287.43990000000002</v>
      </c>
      <c r="J2200">
        <v>-275.5872</v>
      </c>
      <c r="K2200">
        <v>1.104651</v>
      </c>
      <c r="L2200">
        <v>284.33519999999999</v>
      </c>
      <c r="M2200">
        <v>-0.99983469999999997</v>
      </c>
      <c r="N2200">
        <v>0</v>
      </c>
      <c r="O2200">
        <v>-1.224301E-2</v>
      </c>
      <c r="P2200">
        <v>-0.99983569999999999</v>
      </c>
      <c r="Q2200">
        <v>4.0990359999999899E-3</v>
      </c>
      <c r="R2200">
        <v>-1.7665380000000001E-2</v>
      </c>
      <c r="S2200">
        <v>-3.0086360000000001</v>
      </c>
      <c r="T2200">
        <v>-0.15367939999999999</v>
      </c>
      <c r="U2200">
        <v>0.43164059999999999</v>
      </c>
      <c r="V2200">
        <v>-5.4186959999999998E-3</v>
      </c>
      <c r="W2200">
        <v>1.7547489999999999E-2</v>
      </c>
      <c r="X2200">
        <v>0.99983129999999998</v>
      </c>
      <c r="Y2200">
        <v>0.15391009999999999</v>
      </c>
      <c r="Z2200">
        <v>4.5302509999999999E-3</v>
      </c>
      <c r="AA2200">
        <v>0.98807449999999997</v>
      </c>
      <c r="AB2200">
        <v>28</v>
      </c>
      <c r="AC2200">
        <v>-21.449000000000002</v>
      </c>
      <c r="AD2200">
        <v>-1.1046477929880001</v>
      </c>
      <c r="AE2200">
        <v>3.10470000000003</v>
      </c>
      <c r="AF2200">
        <v>3.3583664965962998</v>
      </c>
      <c r="AG2200">
        <v>-1.1046477929880001</v>
      </c>
      <c r="AH2200">
        <v>21.353901788650798</v>
      </c>
      <c r="AI2200">
        <v>92.925404599870802</v>
      </c>
      <c r="AJ2200">
        <v>81.062200395307997</v>
      </c>
      <c r="AK2200">
        <v>21.644583476504199</v>
      </c>
    </row>
    <row r="2201" spans="1:37" x14ac:dyDescent="0.2">
      <c r="A2201" t="str">
        <f>"20200111155542233"</f>
        <v>20200111155542233</v>
      </c>
      <c r="B2201" t="str">
        <f>"1578729342224650"</f>
        <v>1578729342224650</v>
      </c>
      <c r="C2201" t="s">
        <v>37</v>
      </c>
      <c r="D2201">
        <v>4.6802799999999998</v>
      </c>
      <c r="E2201">
        <v>0.56155529999999998</v>
      </c>
      <c r="F2201" t="s">
        <v>61</v>
      </c>
      <c r="G2201">
        <v>-296.92970000000003</v>
      </c>
      <c r="H2201" s="1">
        <v>3.1924039999999998E-6</v>
      </c>
      <c r="I2201">
        <v>287.390999999999</v>
      </c>
      <c r="J2201">
        <v>-275.73739999999998</v>
      </c>
      <c r="K2201">
        <v>1.1046590000000001</v>
      </c>
      <c r="L2201">
        <v>284.33339999999998</v>
      </c>
      <c r="M2201">
        <v>-0.99983449999999996</v>
      </c>
      <c r="N2201">
        <v>0</v>
      </c>
      <c r="O2201">
        <v>-1.220398E-2</v>
      </c>
      <c r="P2201">
        <v>-0.99983929999999999</v>
      </c>
      <c r="Q2201">
        <v>4.0127499999999998E-3</v>
      </c>
      <c r="R2201">
        <v>-1.7482060000000001E-2</v>
      </c>
      <c r="S2201">
        <v>-3.0087280000000001</v>
      </c>
      <c r="T2201">
        <v>-0.15572549999999999</v>
      </c>
      <c r="U2201">
        <v>0.43078610000000001</v>
      </c>
      <c r="V2201">
        <v>-5.2742419999999898E-3</v>
      </c>
      <c r="W2201">
        <v>1.7507439999999999E-2</v>
      </c>
      <c r="X2201">
        <v>0.99983279999999997</v>
      </c>
      <c r="Y2201">
        <v>0.15358720000000001</v>
      </c>
      <c r="Z2201">
        <v>4.5801239999999997E-3</v>
      </c>
      <c r="AA2201">
        <v>0.98812449999999996</v>
      </c>
      <c r="AB2201">
        <v>28</v>
      </c>
      <c r="AC2201">
        <v>-21.192299999999999</v>
      </c>
      <c r="AD2201">
        <v>-1.104655807596</v>
      </c>
      <c r="AE2201">
        <v>3.0575999999999701</v>
      </c>
      <c r="AF2201">
        <v>3.3072235481929702</v>
      </c>
      <c r="AG2201">
        <v>-1.104655807596</v>
      </c>
      <c r="AH2201">
        <v>21.097249816361501</v>
      </c>
      <c r="AI2201">
        <v>92.961182601021605</v>
      </c>
      <c r="AJ2201">
        <v>81.090769140922703</v>
      </c>
      <c r="AK2201">
        <v>21.383450186182401</v>
      </c>
    </row>
    <row r="2202" spans="1:37" x14ac:dyDescent="0.2">
      <c r="A2202" t="str">
        <f>"20200111155542251"</f>
        <v>20200111155542251</v>
      </c>
      <c r="B2202" t="str">
        <f>"1578729342244169"</f>
        <v>1578729342244169</v>
      </c>
      <c r="C2202" t="s">
        <v>37</v>
      </c>
      <c r="D2202">
        <v>4.8483790000000004</v>
      </c>
      <c r="E2202">
        <v>0.56124750000000001</v>
      </c>
      <c r="F2202" t="s">
        <v>61</v>
      </c>
      <c r="G2202">
        <v>-296.86849999999998</v>
      </c>
      <c r="H2202" s="1">
        <v>3.1836829999999999E-6</v>
      </c>
      <c r="I2202">
        <v>287.36649999999997</v>
      </c>
      <c r="J2202">
        <v>-275.94499999999999</v>
      </c>
      <c r="K2202">
        <v>1.1046639999999901</v>
      </c>
      <c r="L2202">
        <v>284.33089999999999</v>
      </c>
      <c r="M2202">
        <v>-0.99983440000000001</v>
      </c>
      <c r="N2202">
        <v>0</v>
      </c>
      <c r="O2202">
        <v>-1.214989E-2</v>
      </c>
      <c r="P2202">
        <v>-0.99983429999999995</v>
      </c>
      <c r="Q2202">
        <v>3.7401040000000002E-3</v>
      </c>
      <c r="R2202">
        <v>-1.7820300000000001E-2</v>
      </c>
      <c r="S2202">
        <v>-3.008667</v>
      </c>
      <c r="T2202">
        <v>-0.15728229999999899</v>
      </c>
      <c r="U2202">
        <v>0.43185420000000002</v>
      </c>
      <c r="V2202">
        <v>-5.6671109999999998E-3</v>
      </c>
      <c r="W2202">
        <v>1.7293369999999999E-2</v>
      </c>
      <c r="X2202">
        <v>0.99983440000000001</v>
      </c>
      <c r="Y2202">
        <v>0.1538756</v>
      </c>
      <c r="Z2202">
        <v>4.6305109999999899E-3</v>
      </c>
      <c r="AA2202">
        <v>0.98807939999999905</v>
      </c>
      <c r="AB2202">
        <v>28</v>
      </c>
      <c r="AC2202">
        <v>-20.923499999999901</v>
      </c>
      <c r="AD2202">
        <v>-1.104660816317</v>
      </c>
      <c r="AE2202">
        <v>3.0355999999999801</v>
      </c>
      <c r="AF2202">
        <v>3.28066165249344</v>
      </c>
      <c r="AG2202">
        <v>-1.104660816317</v>
      </c>
      <c r="AH2202">
        <v>20.828211278067801</v>
      </c>
      <c r="AI2202">
        <v>92.999032319501296</v>
      </c>
      <c r="AJ2202">
        <v>81.0488551603991</v>
      </c>
      <c r="AK2202">
        <v>21.113914877186598</v>
      </c>
    </row>
    <row r="2203" spans="1:37" x14ac:dyDescent="0.2">
      <c r="A2203" t="str">
        <f>"20200111155542264"</f>
        <v>20200111155542264</v>
      </c>
      <c r="B2203" t="str">
        <f>"1578729342254906"</f>
        <v>1578729342254906</v>
      </c>
      <c r="C2203" t="s">
        <v>37</v>
      </c>
      <c r="D2203">
        <v>4.6977529999999996</v>
      </c>
      <c r="E2203">
        <v>0.56981329999999997</v>
      </c>
      <c r="F2203" t="s">
        <v>61</v>
      </c>
      <c r="G2203">
        <v>-297.73880000000003</v>
      </c>
      <c r="H2203" s="1">
        <v>3.3322850000000001E-6</v>
      </c>
      <c r="I2203">
        <v>287.43259999999998</v>
      </c>
      <c r="J2203">
        <v>-276.10809999999998</v>
      </c>
      <c r="K2203">
        <v>1.1046689999999999</v>
      </c>
      <c r="L2203">
        <v>284.32900000000001</v>
      </c>
      <c r="M2203">
        <v>-0.99983440000000001</v>
      </c>
      <c r="N2203">
        <v>0</v>
      </c>
      <c r="O2203">
        <v>-1.210749E-2</v>
      </c>
      <c r="P2203">
        <v>-0.99983379999999999</v>
      </c>
      <c r="Q2203">
        <v>3.6740950000000001E-3</v>
      </c>
      <c r="R2203">
        <v>-1.7863899999999999E-2</v>
      </c>
      <c r="S2203">
        <v>-3.0086979999999999</v>
      </c>
      <c r="T2203">
        <v>-0.15250179999999999</v>
      </c>
      <c r="U2203">
        <v>0.42819209999999902</v>
      </c>
      <c r="V2203">
        <v>-5.753406E-3</v>
      </c>
      <c r="W2203">
        <v>1.7268579999999999E-2</v>
      </c>
      <c r="X2203">
        <v>0.99983440000000001</v>
      </c>
      <c r="Y2203">
        <v>0.15266840000000001</v>
      </c>
      <c r="Z2203">
        <v>4.4577280000000002E-3</v>
      </c>
      <c r="AA2203">
        <v>0.98826740000000002</v>
      </c>
      <c r="AB2203">
        <v>28</v>
      </c>
      <c r="AC2203">
        <v>-21.630700000000001</v>
      </c>
      <c r="AD2203">
        <v>-1.104665667715</v>
      </c>
      <c r="AE2203">
        <v>3.1035999999999699</v>
      </c>
      <c r="AF2203">
        <v>3.3567121535869102</v>
      </c>
      <c r="AG2203">
        <v>-1.104665667715</v>
      </c>
      <c r="AH2203">
        <v>21.536498088803</v>
      </c>
      <c r="AI2203">
        <v>92.901315210434305</v>
      </c>
      <c r="AJ2203">
        <v>81.141067791157099</v>
      </c>
      <c r="AK2203">
        <v>21.824494327440501</v>
      </c>
    </row>
    <row r="2204" spans="1:37" x14ac:dyDescent="0.2">
      <c r="A2204" t="str">
        <f>"20200111155542307"</f>
        <v>20200111155542307</v>
      </c>
      <c r="B2204" t="str">
        <f>"1578729342304681"</f>
        <v>1578729342304681</v>
      </c>
      <c r="C2204" t="s">
        <v>37</v>
      </c>
      <c r="D2204">
        <v>4.6007899999999999</v>
      </c>
      <c r="E2204">
        <v>0.56809290000000001</v>
      </c>
      <c r="F2204" t="s">
        <v>62</v>
      </c>
      <c r="G2204">
        <v>-440.8734</v>
      </c>
      <c r="H2204">
        <v>6.8799539999999997</v>
      </c>
      <c r="I2204">
        <v>312.12209999999999</v>
      </c>
      <c r="J2204">
        <v>-276.63720000000001</v>
      </c>
      <c r="K2204">
        <v>1.1046879999999999</v>
      </c>
      <c r="L2204">
        <v>284.3227</v>
      </c>
      <c r="M2204">
        <v>-0.99983449999999996</v>
      </c>
      <c r="N2204">
        <v>0</v>
      </c>
      <c r="O2204">
        <v>-1.1968639999999999E-2</v>
      </c>
      <c r="P2204">
        <v>-0.99983009999999894</v>
      </c>
      <c r="Q2204">
        <v>2.8325149999999999E-3</v>
      </c>
      <c r="R2204">
        <v>-1.8219249999999999E-2</v>
      </c>
      <c r="S2204">
        <v>-3.0091860000000001</v>
      </c>
      <c r="T2204">
        <v>0.105477</v>
      </c>
      <c r="U2204">
        <v>0.50759889999999996</v>
      </c>
      <c r="V2204">
        <v>-6.2474050000000001E-3</v>
      </c>
      <c r="W2204">
        <v>1.6538170000000001E-2</v>
      </c>
      <c r="X2204">
        <v>0.9998437</v>
      </c>
      <c r="Y2204">
        <v>0.1780109</v>
      </c>
      <c r="Z2204">
        <v>-3.5135659999999901E-3</v>
      </c>
      <c r="AA2204">
        <v>0.98402230000000002</v>
      </c>
      <c r="AB2204">
        <v>27</v>
      </c>
      <c r="AC2204">
        <v>-164.2362</v>
      </c>
      <c r="AD2204">
        <v>5.7752660000000002</v>
      </c>
      <c r="AE2204">
        <v>27.799399999999899</v>
      </c>
      <c r="AF2204">
        <v>29.727541635587901</v>
      </c>
      <c r="AG2204">
        <v>5.7752660000000002</v>
      </c>
      <c r="AH2204">
        <v>163.694905219063</v>
      </c>
      <c r="AI2204">
        <v>88.011895518824602</v>
      </c>
      <c r="AJ2204">
        <v>79.707069569941297</v>
      </c>
      <c r="AK2204">
        <v>166.47252753455899</v>
      </c>
    </row>
    <row r="2205" spans="1:37" x14ac:dyDescent="0.2">
      <c r="A2205" t="str">
        <f>"20200111155542320"</f>
        <v>20200111155542320</v>
      </c>
      <c r="B2205" t="str">
        <f>"1578729342314442"</f>
        <v>1578729342314442</v>
      </c>
      <c r="C2205" t="s">
        <v>37</v>
      </c>
      <c r="D2205">
        <v>4.7369159999999999</v>
      </c>
      <c r="E2205">
        <v>0.56728159999999905</v>
      </c>
      <c r="F2205" t="s">
        <v>39</v>
      </c>
      <c r="G2205">
        <v>-375.05250000000001</v>
      </c>
      <c r="H2205">
        <v>-0.05</v>
      </c>
      <c r="I2205">
        <v>300.24919999999997</v>
      </c>
      <c r="J2205">
        <v>-276.79219999999998</v>
      </c>
      <c r="K2205">
        <v>1.1046929999999999</v>
      </c>
      <c r="L2205">
        <v>284.32089999999999</v>
      </c>
      <c r="M2205">
        <v>-0.99983449999999996</v>
      </c>
      <c r="N2205">
        <v>0</v>
      </c>
      <c r="O2205">
        <v>-1.192757E-2</v>
      </c>
      <c r="P2205">
        <v>-0.99982899999999997</v>
      </c>
      <c r="Q2205">
        <v>2.8199089999999998E-3</v>
      </c>
      <c r="R2205">
        <v>-1.828571E-2</v>
      </c>
      <c r="S2205">
        <v>-3.0095209999999999</v>
      </c>
      <c r="T2205">
        <v>-3.5310149999999998E-2</v>
      </c>
      <c r="U2205">
        <v>0.48703000000000002</v>
      </c>
      <c r="V2205">
        <v>-6.3546749999999997E-3</v>
      </c>
      <c r="W2205">
        <v>1.655247E-2</v>
      </c>
      <c r="X2205">
        <v>0.99984280000000003</v>
      </c>
      <c r="Y2205">
        <v>0.17150319999999999</v>
      </c>
      <c r="Z2205">
        <v>1.1386510000000001E-3</v>
      </c>
      <c r="AA2205">
        <v>0.98518289999999997</v>
      </c>
      <c r="AB2205">
        <v>27</v>
      </c>
      <c r="AC2205">
        <v>-98.260300000000001</v>
      </c>
      <c r="AD2205">
        <v>-1.154693</v>
      </c>
      <c r="AE2205">
        <v>15.928299999999901</v>
      </c>
      <c r="AF2205">
        <v>17.096983365319002</v>
      </c>
      <c r="AG2205">
        <v>-1.154693</v>
      </c>
      <c r="AH2205">
        <v>98.050111489325403</v>
      </c>
      <c r="AI2205">
        <v>90.664687702776803</v>
      </c>
      <c r="AJ2205">
        <v>80.108790240753805</v>
      </c>
      <c r="AK2205">
        <v>99.536247262931298</v>
      </c>
    </row>
    <row r="2206" spans="1:37" x14ac:dyDescent="0.2">
      <c r="A2206" t="str">
        <f>"20200111155542333"</f>
        <v>20200111155542333</v>
      </c>
      <c r="B2206" t="str">
        <f>"1578729342324201"</f>
        <v>1578729342324201</v>
      </c>
      <c r="C2206" t="s">
        <v>37</v>
      </c>
      <c r="D2206">
        <v>4.7422719999999998</v>
      </c>
      <c r="E2206">
        <v>0.566805</v>
      </c>
      <c r="F2206" t="s">
        <v>59</v>
      </c>
      <c r="G2206">
        <v>-323.90300000000002</v>
      </c>
      <c r="H2206">
        <v>8.0000849999999998E-2</v>
      </c>
      <c r="I2206">
        <v>291.82029999999997</v>
      </c>
      <c r="J2206">
        <v>-276.96499999999997</v>
      </c>
      <c r="K2206">
        <v>1.1046929999999999</v>
      </c>
      <c r="L2206">
        <v>284.31889999999999</v>
      </c>
      <c r="M2206">
        <v>-0.99983480000000002</v>
      </c>
      <c r="N2206">
        <v>0</v>
      </c>
      <c r="O2206">
        <v>-1.1881859999999999E-2</v>
      </c>
      <c r="P2206">
        <v>-0.99982870000000001</v>
      </c>
      <c r="Q2206">
        <v>2.7071090000000001E-3</v>
      </c>
      <c r="R2206">
        <v>-1.832071E-2</v>
      </c>
      <c r="S2206">
        <v>-3.0094910000000001</v>
      </c>
      <c r="T2206">
        <v>-6.5458539999999996E-2</v>
      </c>
      <c r="U2206">
        <v>0.47906490000000002</v>
      </c>
      <c r="V2206">
        <v>-6.4352559999999899E-3</v>
      </c>
      <c r="W2206">
        <v>1.6466649999999999E-2</v>
      </c>
      <c r="X2206">
        <v>0.9998437</v>
      </c>
      <c r="Y2206">
        <v>0.1688878</v>
      </c>
      <c r="Z2206">
        <v>2.081884E-3</v>
      </c>
      <c r="AA2206">
        <v>0.98563310000000004</v>
      </c>
      <c r="AB2206">
        <v>27</v>
      </c>
      <c r="AC2206">
        <v>-46.938000000000002</v>
      </c>
      <c r="AD2206">
        <v>-1.0246921499999999</v>
      </c>
      <c r="AE2206">
        <v>7.5013999999999896</v>
      </c>
      <c r="AF2206">
        <v>8.0548906612359001</v>
      </c>
      <c r="AG2206">
        <v>-1.0246921499999999</v>
      </c>
      <c r="AH2206">
        <v>46.823787302199698</v>
      </c>
      <c r="AI2206">
        <v>91.235519002793794</v>
      </c>
      <c r="AJ2206">
        <v>80.239193451445303</v>
      </c>
      <c r="AK2206">
        <v>47.522608460483099</v>
      </c>
    </row>
    <row r="2207" spans="1:37" x14ac:dyDescent="0.2">
      <c r="A2207" t="str">
        <f>"20200111155542352"</f>
        <v>20200111155542352</v>
      </c>
      <c r="B2207" t="str">
        <f>"1578729342344229"</f>
        <v>1578729342344229</v>
      </c>
      <c r="C2207" t="s">
        <v>37</v>
      </c>
      <c r="D2207">
        <v>4.780735</v>
      </c>
      <c r="E2207">
        <v>0.56601689999999905</v>
      </c>
      <c r="F2207" t="s">
        <v>61</v>
      </c>
      <c r="G2207">
        <v>-312.88810000000001</v>
      </c>
      <c r="H2207">
        <v>8.0000440000000006E-2</v>
      </c>
      <c r="I2207">
        <v>289.97919999999999</v>
      </c>
      <c r="J2207">
        <v>-277.18509999999998</v>
      </c>
      <c r="K2207">
        <v>1.1046989999999901</v>
      </c>
      <c r="L2207">
        <v>284.31630000000001</v>
      </c>
      <c r="M2207">
        <v>-0.99983509999999998</v>
      </c>
      <c r="N2207">
        <v>0</v>
      </c>
      <c r="O2207">
        <v>-1.1823180000000001E-2</v>
      </c>
      <c r="P2207">
        <v>-0.99982629999999995</v>
      </c>
      <c r="Q2207">
        <v>2.9738640000000001E-3</v>
      </c>
      <c r="R2207">
        <v>-1.840116E-2</v>
      </c>
      <c r="S2207">
        <v>-3.0093990000000002</v>
      </c>
      <c r="T2207">
        <v>-8.5841890000000004E-2</v>
      </c>
      <c r="U2207">
        <v>0.4741821</v>
      </c>
      <c r="V2207">
        <v>-6.5749149999999998E-3</v>
      </c>
      <c r="W2207">
        <v>1.676368E-2</v>
      </c>
      <c r="X2207">
        <v>0.99983789999999995</v>
      </c>
      <c r="Y2207">
        <v>0.167245</v>
      </c>
      <c r="Z2207">
        <v>2.70542E-3</v>
      </c>
      <c r="AA2207">
        <v>0.98591169999999995</v>
      </c>
      <c r="AB2207">
        <v>27</v>
      </c>
      <c r="AC2207">
        <v>-35.703000000000003</v>
      </c>
      <c r="AD2207">
        <v>-1.02469855999999</v>
      </c>
      <c r="AE2207">
        <v>5.6628999999999703</v>
      </c>
      <c r="AF2207">
        <v>6.0797820330805701</v>
      </c>
      <c r="AG2207">
        <v>-1.02469855999999</v>
      </c>
      <c r="AH2207">
        <v>35.604935190682198</v>
      </c>
      <c r="AI2207">
        <v>91.624991504595201</v>
      </c>
      <c r="AJ2207">
        <v>80.309820784027593</v>
      </c>
      <c r="AK2207">
        <v>36.134819311037397</v>
      </c>
    </row>
    <row r="2208" spans="1:37" x14ac:dyDescent="0.2">
      <c r="A2208" t="str">
        <f>"20200111155542366"</f>
        <v>20200111155542366</v>
      </c>
      <c r="B2208" t="str">
        <f>"1578729342354965"</f>
        <v>1578729342354965</v>
      </c>
      <c r="C2208" t="s">
        <v>37</v>
      </c>
      <c r="D2208">
        <v>4.7305510000000002</v>
      </c>
      <c r="E2208">
        <v>0.566227699999999</v>
      </c>
      <c r="F2208" t="s">
        <v>61</v>
      </c>
      <c r="G2208">
        <v>-308.2561</v>
      </c>
      <c r="H2208" s="1">
        <v>2.104934E-6</v>
      </c>
      <c r="I2208">
        <v>289.13650000000001</v>
      </c>
      <c r="J2208">
        <v>-277.35480000000001</v>
      </c>
      <c r="K2208">
        <v>1.1047049999999901</v>
      </c>
      <c r="L2208">
        <v>284.31439999999998</v>
      </c>
      <c r="M2208">
        <v>-0.99983529999999998</v>
      </c>
      <c r="N2208">
        <v>0</v>
      </c>
      <c r="O2208">
        <v>-1.177802E-2</v>
      </c>
      <c r="P2208">
        <v>-0.99982359999999904</v>
      </c>
      <c r="Q2208">
        <v>2.9668139999999999E-3</v>
      </c>
      <c r="R2208">
        <v>-1.8557489999999999E-2</v>
      </c>
      <c r="S2208">
        <v>-3.0093990000000002</v>
      </c>
      <c r="T2208">
        <v>-0.1069958</v>
      </c>
      <c r="U2208">
        <v>0.46685789999999999</v>
      </c>
      <c r="V2208">
        <v>-6.776107E-3</v>
      </c>
      <c r="W2208">
        <v>1.6778459999999999E-2</v>
      </c>
      <c r="X2208">
        <v>0.99983630000000001</v>
      </c>
      <c r="Y2208">
        <v>0.16481979999999999</v>
      </c>
      <c r="Z2208">
        <v>3.327932E-3</v>
      </c>
      <c r="AA2208">
        <v>0.98631809999999998</v>
      </c>
      <c r="AB2208">
        <v>27</v>
      </c>
      <c r="AC2208">
        <v>-30.9012999999999</v>
      </c>
      <c r="AD2208">
        <v>-1.1047028950659901</v>
      </c>
      <c r="AE2208">
        <v>4.82210000000003</v>
      </c>
      <c r="AF2208">
        <v>5.1792944030796901</v>
      </c>
      <c r="AG2208">
        <v>-1.1047028950659901</v>
      </c>
      <c r="AH2208">
        <v>30.803923820863599</v>
      </c>
      <c r="AI2208">
        <v>92.025477805635006</v>
      </c>
      <c r="AJ2208">
        <v>80.455703106087299</v>
      </c>
      <c r="AK2208">
        <v>31.255834363550498</v>
      </c>
    </row>
    <row r="2209" spans="1:37" x14ac:dyDescent="0.2">
      <c r="A2209" t="str">
        <f>"20200111155542380"</f>
        <v>20200111155542380</v>
      </c>
      <c r="B2209" t="str">
        <f>"1578729342374485"</f>
        <v>1578729342374485</v>
      </c>
      <c r="C2209" t="s">
        <v>37</v>
      </c>
      <c r="D2209">
        <v>4.8656030000000001</v>
      </c>
      <c r="E2209">
        <v>0.57124949999999997</v>
      </c>
      <c r="F2209" t="s">
        <v>61</v>
      </c>
      <c r="G2209">
        <v>-306.60829999999999</v>
      </c>
      <c r="H2209" s="1">
        <v>2.4213419999999999E-6</v>
      </c>
      <c r="I2209">
        <v>288.86070000000001</v>
      </c>
      <c r="J2209">
        <v>-277.5172</v>
      </c>
      <c r="K2209">
        <v>1.1047089999999999</v>
      </c>
      <c r="L2209">
        <v>284.31259999999997</v>
      </c>
      <c r="M2209">
        <v>-0.99983559999999905</v>
      </c>
      <c r="N2209">
        <v>0</v>
      </c>
      <c r="O2209">
        <v>-1.1734639999999999E-2</v>
      </c>
      <c r="P2209">
        <v>-0.99982229999999905</v>
      </c>
      <c r="Q2209">
        <v>2.9627999999999998E-3</v>
      </c>
      <c r="R2209">
        <v>-1.8626400000000001E-2</v>
      </c>
      <c r="S2209">
        <v>-3.0095830000000001</v>
      </c>
      <c r="T2209">
        <v>-0.11365119999999999</v>
      </c>
      <c r="U2209">
        <v>0.46771239999999997</v>
      </c>
      <c r="V2209">
        <v>-6.8886199999999998E-3</v>
      </c>
      <c r="W2209">
        <v>1.6793240000000001E-2</v>
      </c>
      <c r="X2209">
        <v>0.99983529999999998</v>
      </c>
      <c r="Y2209">
        <v>0.16502729999999999</v>
      </c>
      <c r="Z2209">
        <v>3.5367699999999998E-3</v>
      </c>
      <c r="AA2209">
        <v>0.98628259999999901</v>
      </c>
      <c r="AB2209">
        <v>27</v>
      </c>
      <c r="AC2209">
        <v>-29.091099999999901</v>
      </c>
      <c r="AD2209">
        <v>-1.1047065786579999</v>
      </c>
      <c r="AE2209">
        <v>4.54810000000003</v>
      </c>
      <c r="AF2209">
        <v>4.8823205289584504</v>
      </c>
      <c r="AG2209">
        <v>-1.1047065786579999</v>
      </c>
      <c r="AH2209">
        <v>28.994907305518002</v>
      </c>
      <c r="AI2209">
        <v>92.151653704567295</v>
      </c>
      <c r="AJ2209">
        <v>80.441887116629701</v>
      </c>
      <c r="AK2209">
        <v>29.423835236556101</v>
      </c>
    </row>
    <row r="2210" spans="1:37" x14ac:dyDescent="0.2">
      <c r="A2210" t="str">
        <f>"20200111155542396"</f>
        <v>20200111155542396</v>
      </c>
      <c r="B2210" t="str">
        <f>"1578729342384246"</f>
        <v>1578729342384246</v>
      </c>
      <c r="C2210" t="s">
        <v>37</v>
      </c>
      <c r="D2210">
        <v>5.0545619999999998</v>
      </c>
      <c r="E2210">
        <v>0.57378359999999995</v>
      </c>
      <c r="F2210" t="s">
        <v>61</v>
      </c>
      <c r="G2210">
        <v>-311.62270000000001</v>
      </c>
      <c r="H2210">
        <v>7.7418879999999997E-3</v>
      </c>
      <c r="I2210">
        <v>290.07069999999999</v>
      </c>
      <c r="J2210">
        <v>-277.72980000000001</v>
      </c>
      <c r="K2210">
        <v>1.1047199999999999</v>
      </c>
      <c r="L2210">
        <v>284.31009999999998</v>
      </c>
      <c r="M2210">
        <v>-0.99983599999999995</v>
      </c>
      <c r="N2210">
        <v>0</v>
      </c>
      <c r="O2210">
        <v>-1.167721E-2</v>
      </c>
      <c r="P2210">
        <v>-0.99981500000000001</v>
      </c>
      <c r="Q2210">
        <v>3.5896790000000001E-3</v>
      </c>
      <c r="R2210">
        <v>-1.8907380000000001E-2</v>
      </c>
      <c r="S2210">
        <v>-3.0103149999999999</v>
      </c>
      <c r="T2210">
        <v>-9.6823329999999999E-2</v>
      </c>
      <c r="U2210">
        <v>0.50823969999999996</v>
      </c>
      <c r="V2210">
        <v>-7.2265609999999899E-3</v>
      </c>
      <c r="W2210">
        <v>1.7441640000000001E-2</v>
      </c>
      <c r="X2210">
        <v>0.99982179999999998</v>
      </c>
      <c r="Y2210">
        <v>0.1778854</v>
      </c>
      <c r="Z2210">
        <v>3.2128920000000002E-3</v>
      </c>
      <c r="AA2210">
        <v>0.98404599999999898</v>
      </c>
      <c r="AB2210">
        <v>27</v>
      </c>
      <c r="AC2210">
        <v>-33.892899999999997</v>
      </c>
      <c r="AD2210">
        <v>-1.0969781119999999</v>
      </c>
      <c r="AE2210">
        <v>5.7606000000000099</v>
      </c>
      <c r="AF2210">
        <v>6.1497582402827202</v>
      </c>
      <c r="AG2210">
        <v>-1.0969781119999999</v>
      </c>
      <c r="AH2210">
        <v>33.788912456754403</v>
      </c>
      <c r="AI2210">
        <v>91.829456678777007</v>
      </c>
      <c r="AJ2210">
        <v>79.684780638766497</v>
      </c>
      <c r="AK2210">
        <v>34.361511788661801</v>
      </c>
    </row>
    <row r="2211" spans="1:37" x14ac:dyDescent="0.2">
      <c r="A2211" t="str">
        <f>"20200111155542412"</f>
        <v>20200111155542412</v>
      </c>
      <c r="B2211" t="str">
        <f>"1578729342404743"</f>
        <v>1578729342404743</v>
      </c>
      <c r="C2211" t="s">
        <v>37</v>
      </c>
      <c r="D2211">
        <v>4.8635739999999998</v>
      </c>
      <c r="E2211">
        <v>0.58066110000000004</v>
      </c>
      <c r="F2211" t="s">
        <v>61</v>
      </c>
      <c r="G2211">
        <v>-309.07429999999999</v>
      </c>
      <c r="H2211" s="1">
        <v>1.853159E-6</v>
      </c>
      <c r="I2211">
        <v>289.79939999999999</v>
      </c>
      <c r="J2211">
        <v>-277.91919999999999</v>
      </c>
      <c r="K2211">
        <v>1.1047260000000001</v>
      </c>
      <c r="L2211">
        <v>284.30799999999999</v>
      </c>
      <c r="M2211">
        <v>-0.99983630000000001</v>
      </c>
      <c r="N2211">
        <v>0</v>
      </c>
      <c r="O2211">
        <v>-1.1625949999999999E-2</v>
      </c>
      <c r="P2211">
        <v>-0.99981350000000002</v>
      </c>
      <c r="Q2211">
        <v>3.8114359999999901E-3</v>
      </c>
      <c r="R2211">
        <v>-1.8937490000000001E-2</v>
      </c>
      <c r="S2211">
        <v>-3.01086399999999</v>
      </c>
      <c r="T2211">
        <v>-0.1061163</v>
      </c>
      <c r="U2211">
        <v>0.52728269999999899</v>
      </c>
      <c r="V2211">
        <v>-7.3080549999999999E-3</v>
      </c>
      <c r="W2211">
        <v>1.7680499999999998E-2</v>
      </c>
      <c r="X2211">
        <v>0.99981699999999996</v>
      </c>
      <c r="Y2211">
        <v>0.18382470000000001</v>
      </c>
      <c r="Z2211">
        <v>3.6206300000000001E-3</v>
      </c>
      <c r="AA2211">
        <v>0.98295239999999995</v>
      </c>
      <c r="AB2211">
        <v>27</v>
      </c>
      <c r="AC2211">
        <v>-31.155100000000001</v>
      </c>
      <c r="AD2211">
        <v>-1.1047241468410001</v>
      </c>
      <c r="AE2211">
        <v>5.4913999999999898</v>
      </c>
      <c r="AF2211">
        <v>5.8461422003518901</v>
      </c>
      <c r="AG2211">
        <v>-1.1047241468410001</v>
      </c>
      <c r="AH2211">
        <v>31.051279811026799</v>
      </c>
      <c r="AI2211">
        <v>92.002424559122801</v>
      </c>
      <c r="AJ2211">
        <v>79.337521428658803</v>
      </c>
      <c r="AK2211">
        <v>31.6161315149408</v>
      </c>
    </row>
    <row r="2212" spans="1:37" x14ac:dyDescent="0.2">
      <c r="A2212" t="str">
        <f>"20200111155542431"</f>
        <v>20200111155542431</v>
      </c>
      <c r="B2212" t="str">
        <f>"1578729342424261"</f>
        <v>1578729342424261</v>
      </c>
      <c r="C2212" t="s">
        <v>37</v>
      </c>
      <c r="D2212">
        <v>4.8818760000000001</v>
      </c>
      <c r="E2212">
        <v>0.58558339999999998</v>
      </c>
      <c r="F2212" t="s">
        <v>61</v>
      </c>
      <c r="G2212">
        <v>-306.69729999999998</v>
      </c>
      <c r="H2212" s="1">
        <v>2.2518729999999999E-6</v>
      </c>
      <c r="I2212">
        <v>289.86419999999998</v>
      </c>
      <c r="J2212">
        <v>-278.15109999999999</v>
      </c>
      <c r="K2212">
        <v>1.104735</v>
      </c>
      <c r="L2212">
        <v>284.30529999999999</v>
      </c>
      <c r="M2212">
        <v>-0.99983690000000003</v>
      </c>
      <c r="N2212">
        <v>0</v>
      </c>
      <c r="O2212">
        <v>-1.156301E-2</v>
      </c>
      <c r="P2212">
        <v>-0.99980879999999905</v>
      </c>
      <c r="Q2212">
        <v>4.0201509999999996E-3</v>
      </c>
      <c r="R2212">
        <v>-1.9135900000000001E-2</v>
      </c>
      <c r="S2212">
        <v>-3.012054</v>
      </c>
      <c r="T2212">
        <v>-0.1156259</v>
      </c>
      <c r="U2212">
        <v>0.58154300000000003</v>
      </c>
      <c r="V2212">
        <v>-7.56976E-3</v>
      </c>
      <c r="W2212">
        <v>1.790744E-2</v>
      </c>
      <c r="X2212">
        <v>0.99981100000000001</v>
      </c>
      <c r="Y2212">
        <v>0.20076179999999999</v>
      </c>
      <c r="Z2212">
        <v>4.2565839999999999E-3</v>
      </c>
      <c r="AA2212">
        <v>0.97963080000000002</v>
      </c>
      <c r="AB2212">
        <v>27</v>
      </c>
      <c r="AC2212">
        <v>-28.546199999999999</v>
      </c>
      <c r="AD2212">
        <v>-1.104732748127</v>
      </c>
      <c r="AE2212">
        <v>5.5588999999999897</v>
      </c>
      <c r="AF2212">
        <v>5.8801552472602898</v>
      </c>
      <c r="AG2212">
        <v>-1.104732748127</v>
      </c>
      <c r="AH2212">
        <v>28.438971183695799</v>
      </c>
      <c r="AI2212">
        <v>92.178543508279802</v>
      </c>
      <c r="AJ2212">
        <v>78.317914285407397</v>
      </c>
      <c r="AK2212">
        <v>29.061516515208702</v>
      </c>
    </row>
    <row r="2213" spans="1:37" x14ac:dyDescent="0.2">
      <c r="A2213" t="str">
        <f>"20200111155542446"</f>
        <v>20200111155542446</v>
      </c>
      <c r="B2213" t="str">
        <f>"1578729342434529"</f>
        <v>1578729342434529</v>
      </c>
      <c r="C2213" t="s">
        <v>37</v>
      </c>
      <c r="D2213">
        <v>4.8661209999999997</v>
      </c>
      <c r="E2213">
        <v>0.58757090000000001</v>
      </c>
      <c r="F2213" t="s">
        <v>61</v>
      </c>
      <c r="G2213">
        <v>-304.96319999999997</v>
      </c>
      <c r="H2213" s="1">
        <v>2.5742439999999998E-6</v>
      </c>
      <c r="I2213">
        <v>289.82240000000002</v>
      </c>
      <c r="J2213">
        <v>-278.33190000000002</v>
      </c>
      <c r="K2213">
        <v>1.104741</v>
      </c>
      <c r="L2213">
        <v>284.30329999999998</v>
      </c>
      <c r="M2213">
        <v>-0.99983709999999903</v>
      </c>
      <c r="N2213">
        <v>0</v>
      </c>
      <c r="O2213">
        <v>-1.151278E-2</v>
      </c>
      <c r="P2213">
        <v>-0.99981369999999903</v>
      </c>
      <c r="Q2213">
        <v>3.807455E-3</v>
      </c>
      <c r="R2213">
        <v>-1.8934429999999999E-2</v>
      </c>
      <c r="S2213">
        <v>-3.0129090000000001</v>
      </c>
      <c r="T2213">
        <v>-0.1241403</v>
      </c>
      <c r="U2213">
        <v>0.61996459999999998</v>
      </c>
      <c r="V2213">
        <v>-7.4181799999999999E-3</v>
      </c>
      <c r="W2213">
        <v>1.7707199999999999E-2</v>
      </c>
      <c r="X2213">
        <v>0.99981569999999997</v>
      </c>
      <c r="Y2213">
        <v>0.2126285</v>
      </c>
      <c r="Z2213">
        <v>4.8026759999999996E-3</v>
      </c>
      <c r="AA2213">
        <v>0.97712129999999997</v>
      </c>
      <c r="AB2213">
        <v>27</v>
      </c>
      <c r="AC2213">
        <v>-26.6312999999999</v>
      </c>
      <c r="AD2213">
        <v>-1.104738425756</v>
      </c>
      <c r="AE2213">
        <v>5.5191000000000301</v>
      </c>
      <c r="AF2213">
        <v>5.8157683440607197</v>
      </c>
      <c r="AG2213">
        <v>-1.104738425756</v>
      </c>
      <c r="AH2213">
        <v>26.522227976960401</v>
      </c>
      <c r="AI2213">
        <v>92.329886247764307</v>
      </c>
      <c r="AJ2213">
        <v>77.631989098913195</v>
      </c>
      <c r="AK2213">
        <v>27.174844714974601</v>
      </c>
    </row>
    <row r="2214" spans="1:37" x14ac:dyDescent="0.2">
      <c r="A2214" t="str">
        <f>"20200111155542461"</f>
        <v>20200111155542461</v>
      </c>
      <c r="B2214" t="str">
        <f>"1578729342454369"</f>
        <v>1578729342454369</v>
      </c>
      <c r="C2214" t="s">
        <v>37</v>
      </c>
      <c r="D2214">
        <v>4.8374449999999998</v>
      </c>
      <c r="E2214">
        <v>0.5913041</v>
      </c>
      <c r="F2214" t="s">
        <v>61</v>
      </c>
      <c r="G2214">
        <v>-304.2079</v>
      </c>
      <c r="H2214" s="1">
        <v>2.728322E-6</v>
      </c>
      <c r="I2214">
        <v>289.76560000000001</v>
      </c>
      <c r="J2214">
        <v>-278.51400000000001</v>
      </c>
      <c r="K2214">
        <v>1.104743</v>
      </c>
      <c r="L2214">
        <v>284.30119999999999</v>
      </c>
      <c r="M2214">
        <v>-0.99983770000000005</v>
      </c>
      <c r="N2214">
        <v>0</v>
      </c>
      <c r="O2214">
        <v>-1.146111E-2</v>
      </c>
      <c r="P2214">
        <v>-0.99981549999999997</v>
      </c>
      <c r="Q2214">
        <v>3.59602599999999E-3</v>
      </c>
      <c r="R2214">
        <v>-1.888097E-2</v>
      </c>
      <c r="S2214">
        <v>-3.0130919999999999</v>
      </c>
      <c r="T2214">
        <v>-0.1286397</v>
      </c>
      <c r="U2214">
        <v>0.63604740000000004</v>
      </c>
      <c r="V2214">
        <v>-7.4162999999999998E-3</v>
      </c>
      <c r="W2214">
        <v>1.7507439999999999E-2</v>
      </c>
      <c r="X2214">
        <v>0.99981919999999902</v>
      </c>
      <c r="Y2214">
        <v>0.2175445</v>
      </c>
      <c r="Z2214">
        <v>5.07519299999999E-3</v>
      </c>
      <c r="AA2214">
        <v>0.97603719999999905</v>
      </c>
      <c r="AB2214">
        <v>27</v>
      </c>
      <c r="AC2214">
        <v>-25.6938999999999</v>
      </c>
      <c r="AD2214">
        <v>-1.1047402716779999</v>
      </c>
      <c r="AE2214">
        <v>5.4644000000000101</v>
      </c>
      <c r="AF2214">
        <v>5.7483830600736701</v>
      </c>
      <c r="AG2214">
        <v>-1.1047402716779999</v>
      </c>
      <c r="AH2214">
        <v>25.5843275296094</v>
      </c>
      <c r="AI2214">
        <v>92.412445932926104</v>
      </c>
      <c r="AJ2214">
        <v>77.336863480065901</v>
      </c>
      <c r="AK2214">
        <v>26.245421962992602</v>
      </c>
    </row>
    <row r="2215" spans="1:37" x14ac:dyDescent="0.2">
      <c r="A2215" t="str">
        <f>"20200111155542501"</f>
        <v>20200111155542501</v>
      </c>
      <c r="B2215" t="str">
        <f>"1578729342494385"</f>
        <v>1578729342494385</v>
      </c>
      <c r="C2215" t="s">
        <v>37</v>
      </c>
      <c r="D2215">
        <v>5.2016819999999999</v>
      </c>
      <c r="E2215">
        <v>0.59237769999999901</v>
      </c>
      <c r="F2215" t="s">
        <v>61</v>
      </c>
      <c r="G2215">
        <v>-303.24860000000001</v>
      </c>
      <c r="H2215" s="1">
        <v>2.8987279999999998E-6</v>
      </c>
      <c r="I2215">
        <v>289.76490000000001</v>
      </c>
      <c r="J2215">
        <v>-278.99540000000002</v>
      </c>
      <c r="K2215">
        <v>1.1047469999999999</v>
      </c>
      <c r="L2215">
        <v>284.29590000000002</v>
      </c>
      <c r="M2215">
        <v>-0.99983899999999903</v>
      </c>
      <c r="N2215">
        <v>0</v>
      </c>
      <c r="O2215">
        <v>-1.1316349999999999E-2</v>
      </c>
      <c r="P2215">
        <v>-0.99982990000000005</v>
      </c>
      <c r="Q2215">
        <v>2.742974E-3</v>
      </c>
      <c r="R2215">
        <v>-1.8250240000000001E-2</v>
      </c>
      <c r="S2215">
        <v>-3.013611</v>
      </c>
      <c r="T2215">
        <v>-0.13459930000000001</v>
      </c>
      <c r="U2215">
        <v>0.66567989999999999</v>
      </c>
      <c r="V2215">
        <v>-6.9301110000000001E-3</v>
      </c>
      <c r="W2215">
        <v>1.667882E-2</v>
      </c>
      <c r="X2215">
        <v>0.99983690000000003</v>
      </c>
      <c r="Y2215">
        <v>0.2265027</v>
      </c>
      <c r="Z2215">
        <v>5.4949609999999996E-3</v>
      </c>
      <c r="AA2215">
        <v>0.97399500000000006</v>
      </c>
      <c r="AB2215">
        <v>27</v>
      </c>
      <c r="AC2215">
        <v>-24.2532</v>
      </c>
      <c r="AD2215">
        <v>-1.1047441012719901</v>
      </c>
      <c r="AE2215">
        <v>5.4689999999999896</v>
      </c>
      <c r="AF2215">
        <v>5.7318168944490901</v>
      </c>
      <c r="AG2215">
        <v>-1.1047441012719901</v>
      </c>
      <c r="AH2215">
        <v>24.142084364828399</v>
      </c>
      <c r="AI2215">
        <v>92.549266050807603</v>
      </c>
      <c r="AJ2215">
        <v>76.6441133090226</v>
      </c>
      <c r="AK2215">
        <v>24.837762015110702</v>
      </c>
    </row>
    <row r="2216" spans="1:37" x14ac:dyDescent="0.2">
      <c r="A2216" t="str">
        <f>"20200111155542513"</f>
        <v>20200111155542513</v>
      </c>
      <c r="B2216" t="str">
        <f>"1578729342504144"</f>
        <v>1578729342504144</v>
      </c>
      <c r="C2216" t="s">
        <v>37</v>
      </c>
      <c r="D2216">
        <v>5.0468489999999999</v>
      </c>
      <c r="E2216">
        <v>0.59380149999999998</v>
      </c>
      <c r="F2216" t="s">
        <v>61</v>
      </c>
      <c r="G2216">
        <v>-302.73869999999999</v>
      </c>
      <c r="H2216" s="1">
        <v>3.0389280000000002E-6</v>
      </c>
      <c r="I2216">
        <v>289.6241</v>
      </c>
      <c r="J2216">
        <v>-279.15219999999999</v>
      </c>
      <c r="K2216">
        <v>1.1047469999999999</v>
      </c>
      <c r="L2216">
        <v>284.29419999999999</v>
      </c>
      <c r="M2216">
        <v>-0.99983929999999999</v>
      </c>
      <c r="N2216">
        <v>0</v>
      </c>
      <c r="O2216">
        <v>-1.12645E-2</v>
      </c>
      <c r="P2216">
        <v>-0.99983630000000001</v>
      </c>
      <c r="Q2216">
        <v>2.4194329999999999E-3</v>
      </c>
      <c r="R2216">
        <v>-1.7930519999999998E-2</v>
      </c>
      <c r="S2216">
        <v>-3.0132750000000001</v>
      </c>
      <c r="T2216">
        <v>-0.14020379999999999</v>
      </c>
      <c r="U2216">
        <v>0.67620849999999999</v>
      </c>
      <c r="V2216">
        <v>-6.6622069999999999E-3</v>
      </c>
      <c r="W2216">
        <v>1.6361759999999999E-2</v>
      </c>
      <c r="X2216">
        <v>0.99984399999999996</v>
      </c>
      <c r="Y2216">
        <v>0.22969410000000001</v>
      </c>
      <c r="Z2216">
        <v>5.79292E-3</v>
      </c>
      <c r="AA2216">
        <v>0.97324560000000004</v>
      </c>
      <c r="AB2216">
        <v>27</v>
      </c>
      <c r="AC2216">
        <v>-23.586500000000001</v>
      </c>
      <c r="AD2216">
        <v>-1.104743961072</v>
      </c>
      <c r="AE2216">
        <v>5.3299000000000003</v>
      </c>
      <c r="AF2216">
        <v>5.5836235146627304</v>
      </c>
      <c r="AG2216">
        <v>-1.104743961072</v>
      </c>
      <c r="AH2216">
        <v>23.4759593443891</v>
      </c>
      <c r="AI2216">
        <v>92.621251283272699</v>
      </c>
      <c r="AJ2216">
        <v>76.621108455279298</v>
      </c>
      <c r="AK2216">
        <v>24.1561167804851</v>
      </c>
    </row>
    <row r="2217" spans="1:37" x14ac:dyDescent="0.2">
      <c r="A2217" t="str">
        <f>"20200111155542531"</f>
        <v>20200111155542531</v>
      </c>
      <c r="B2217" t="str">
        <f>"1578729342524639"</f>
        <v>1578729342524639</v>
      </c>
      <c r="C2217" t="s">
        <v>37</v>
      </c>
      <c r="D2217">
        <v>4.9393560000000001</v>
      </c>
      <c r="E2217">
        <v>0.596194</v>
      </c>
      <c r="F2217" t="s">
        <v>61</v>
      </c>
      <c r="G2217">
        <v>-302.2328</v>
      </c>
      <c r="H2217" s="1">
        <v>3.135612E-6</v>
      </c>
      <c r="I2217">
        <v>289.5684</v>
      </c>
      <c r="J2217">
        <v>-279.36259999999999</v>
      </c>
      <c r="K2217">
        <v>1.1047450000000001</v>
      </c>
      <c r="L2217">
        <v>284.2919</v>
      </c>
      <c r="M2217">
        <v>-0.99984019999999996</v>
      </c>
      <c r="N2217">
        <v>0</v>
      </c>
      <c r="O2217">
        <v>-1.1191420000000001E-2</v>
      </c>
      <c r="P2217">
        <v>-0.99984399999999996</v>
      </c>
      <c r="Q2217">
        <v>1.909619E-3</v>
      </c>
      <c r="R2217">
        <v>-1.7574139999999999E-2</v>
      </c>
      <c r="S2217">
        <v>-3.013153</v>
      </c>
      <c r="T2217">
        <v>-0.1442233</v>
      </c>
      <c r="U2217">
        <v>0.68853759999999997</v>
      </c>
      <c r="V2217">
        <v>-6.3790610000000001E-3</v>
      </c>
      <c r="W2217">
        <v>1.585924E-2</v>
      </c>
      <c r="X2217">
        <v>0.99985389999999996</v>
      </c>
      <c r="Y2217">
        <v>0.23339949999999901</v>
      </c>
      <c r="Z2217">
        <v>6.0404480000000003E-3</v>
      </c>
      <c r="AA2217">
        <v>0.97236219999999995</v>
      </c>
      <c r="AB2217">
        <v>27</v>
      </c>
      <c r="AC2217">
        <v>-22.870200000000001</v>
      </c>
      <c r="AD2217">
        <v>-1.104741864388</v>
      </c>
      <c r="AE2217">
        <v>5.2764999999999898</v>
      </c>
      <c r="AF2217">
        <v>5.5199153713842701</v>
      </c>
      <c r="AG2217">
        <v>-1.104741864388</v>
      </c>
      <c r="AH2217">
        <v>22.759288499908902</v>
      </c>
      <c r="AI2217">
        <v>92.700792645302798</v>
      </c>
      <c r="AJ2217">
        <v>76.367032198876402</v>
      </c>
      <c r="AK2217">
        <v>23.445151595079601</v>
      </c>
    </row>
    <row r="2218" spans="1:37" x14ac:dyDescent="0.2">
      <c r="A2218" t="str">
        <f>"20200111155542546"</f>
        <v>20200111155542546</v>
      </c>
      <c r="B2218" t="str">
        <f>"1578729342534400"</f>
        <v>1578729342534400</v>
      </c>
      <c r="C2218" t="s">
        <v>37</v>
      </c>
      <c r="D2218">
        <v>4.9923099999999998</v>
      </c>
      <c r="E2218">
        <v>0.59720839999999997</v>
      </c>
      <c r="F2218" t="s">
        <v>61</v>
      </c>
      <c r="G2218">
        <v>-301.17129999999997</v>
      </c>
      <c r="H2218" s="1">
        <v>3.336947E-6</v>
      </c>
      <c r="I2218">
        <v>289.41930000000002</v>
      </c>
      <c r="J2218">
        <v>-279.53570000000002</v>
      </c>
      <c r="K2218">
        <v>1.1047439999999999</v>
      </c>
      <c r="L2218">
        <v>284.2901</v>
      </c>
      <c r="M2218">
        <v>-0.99984089999999903</v>
      </c>
      <c r="N2218">
        <v>0</v>
      </c>
      <c r="O2218">
        <v>-1.11275E-2</v>
      </c>
      <c r="P2218">
        <v>-0.99984569999999995</v>
      </c>
      <c r="Q2218">
        <v>1.772827E-3</v>
      </c>
      <c r="R2218">
        <v>-1.7486290000000002E-2</v>
      </c>
      <c r="S2218">
        <v>-3.0132140000000001</v>
      </c>
      <c r="T2218">
        <v>-0.15263759999999901</v>
      </c>
      <c r="U2218">
        <v>0.70843509999999998</v>
      </c>
      <c r="V2218">
        <v>-6.3552359999999898E-3</v>
      </c>
      <c r="W2218">
        <v>1.572813E-2</v>
      </c>
      <c r="X2218">
        <v>0.99985609999999903</v>
      </c>
      <c r="Y2218">
        <v>0.2393834</v>
      </c>
      <c r="Z2218">
        <v>6.5338610000000002E-3</v>
      </c>
      <c r="AA2218">
        <v>0.97090309999999902</v>
      </c>
      <c r="AB2218">
        <v>27</v>
      </c>
      <c r="AC2218">
        <v>-21.635599999999901</v>
      </c>
      <c r="AD2218">
        <v>-1.1047406630529999</v>
      </c>
      <c r="AE2218">
        <v>5.1292000000000204</v>
      </c>
      <c r="AF2218">
        <v>5.3564334922057304</v>
      </c>
      <c r="AG2218">
        <v>-1.1047406630529999</v>
      </c>
      <c r="AH2218">
        <v>21.524047129295901</v>
      </c>
      <c r="AI2218">
        <v>92.851361528200698</v>
      </c>
      <c r="AJ2218">
        <v>76.025350468606007</v>
      </c>
      <c r="AK2218">
        <v>22.208026398425801</v>
      </c>
    </row>
    <row r="2219" spans="1:37" x14ac:dyDescent="0.2">
      <c r="A2219" t="str">
        <f>"20200111155542559"</f>
        <v>20200111155542559</v>
      </c>
      <c r="B2219" t="str">
        <f>"1578729342554896"</f>
        <v>1578729342554896</v>
      </c>
      <c r="C2219" t="s">
        <v>37</v>
      </c>
      <c r="D2219">
        <v>5.1156249999999996</v>
      </c>
      <c r="E2219">
        <v>0.59873180000000004</v>
      </c>
      <c r="F2219" t="s">
        <v>61</v>
      </c>
      <c r="G2219">
        <v>-300.83109999999999</v>
      </c>
      <c r="H2219" s="1">
        <v>3.4030939999999999E-6</v>
      </c>
      <c r="I2219">
        <v>289.35300000000001</v>
      </c>
      <c r="J2219">
        <v>-279.70780000000002</v>
      </c>
      <c r="K2219">
        <v>1.1047419999999999</v>
      </c>
      <c r="L2219">
        <v>284.28820000000002</v>
      </c>
      <c r="M2219">
        <v>-0.99984150000000005</v>
      </c>
      <c r="N2219">
        <v>0</v>
      </c>
      <c r="O2219">
        <v>-1.1061079999999999E-2</v>
      </c>
      <c r="P2219">
        <v>-0.99984740000000005</v>
      </c>
      <c r="Q2219">
        <v>1.741434E-3</v>
      </c>
      <c r="R2219">
        <v>-1.7384670000000001E-2</v>
      </c>
      <c r="S2219">
        <v>-3.0132750000000001</v>
      </c>
      <c r="T2219">
        <v>-0.15631999999999999</v>
      </c>
      <c r="U2219">
        <v>0.71640009999999998</v>
      </c>
      <c r="V2219">
        <v>-6.3199569999999898E-3</v>
      </c>
      <c r="W2219">
        <v>1.5700950000000002E-2</v>
      </c>
      <c r="X2219">
        <v>0.99985679999999999</v>
      </c>
      <c r="Y2219">
        <v>0.241726899999999</v>
      </c>
      <c r="Z2219">
        <v>6.7456690000000001E-3</v>
      </c>
      <c r="AA2219">
        <v>0.97032090000000004</v>
      </c>
      <c r="AB2219">
        <v>27</v>
      </c>
      <c r="AC2219">
        <v>-21.123299999999901</v>
      </c>
      <c r="AD2219">
        <v>-1.104738596906</v>
      </c>
      <c r="AE2219">
        <v>5.0647999999999902</v>
      </c>
      <c r="AF2219">
        <v>5.2844908153657899</v>
      </c>
      <c r="AG2219">
        <v>-1.104738596906</v>
      </c>
      <c r="AH2219">
        <v>21.011632532031498</v>
      </c>
      <c r="AI2219">
        <v>92.918958584311397</v>
      </c>
      <c r="AJ2219">
        <v>75.882729664614601</v>
      </c>
      <c r="AK2219">
        <v>21.694123448673999</v>
      </c>
    </row>
    <row r="2220" spans="1:37" x14ac:dyDescent="0.2">
      <c r="A2220" t="str">
        <f>"20200111155542575"</f>
        <v>20200111155542575</v>
      </c>
      <c r="B2220" t="str">
        <f>"1578729342564656"</f>
        <v>1578729342564656</v>
      </c>
      <c r="C2220" t="s">
        <v>37</v>
      </c>
      <c r="D2220">
        <v>5.0336480000000003</v>
      </c>
      <c r="E2220">
        <v>0.59947740000000005</v>
      </c>
      <c r="F2220" t="s">
        <v>61</v>
      </c>
      <c r="G2220">
        <v>-299.99509999999998</v>
      </c>
      <c r="H2220" s="1">
        <v>3.5654370000000002E-6</v>
      </c>
      <c r="I2220">
        <v>289.19209999999998</v>
      </c>
      <c r="J2220">
        <v>-279.89499999999998</v>
      </c>
      <c r="K2220">
        <v>1.104741</v>
      </c>
      <c r="L2220">
        <v>284.28629999999998</v>
      </c>
      <c r="M2220">
        <v>-0.99984229999999996</v>
      </c>
      <c r="N2220">
        <v>0</v>
      </c>
      <c r="O2220">
        <v>-1.098391E-2</v>
      </c>
      <c r="P2220">
        <v>-0.99984609999999996</v>
      </c>
      <c r="Q2220">
        <v>1.458064E-3</v>
      </c>
      <c r="R2220">
        <v>-1.750411E-2</v>
      </c>
      <c r="S2220">
        <v>-3.0133669999999899</v>
      </c>
      <c r="T2220">
        <v>-0.1640915</v>
      </c>
      <c r="U2220">
        <v>0.72839359999999997</v>
      </c>
      <c r="V2220">
        <v>-6.5159379999999998E-3</v>
      </c>
      <c r="W2220">
        <v>1.542251E-2</v>
      </c>
      <c r="X2220">
        <v>0.99985979999999997</v>
      </c>
      <c r="Y2220">
        <v>0.24525859999999999</v>
      </c>
      <c r="Z2220">
        <v>7.1677169999999997E-3</v>
      </c>
      <c r="AA2220">
        <v>0.96943119999999905</v>
      </c>
      <c r="AB2220">
        <v>27</v>
      </c>
      <c r="AC2220">
        <v>-20.100100000000001</v>
      </c>
      <c r="AD2220">
        <v>-1.1047374345630001</v>
      </c>
      <c r="AE2220">
        <v>4.9057999999999904</v>
      </c>
      <c r="AF2220">
        <v>5.1117298120308003</v>
      </c>
      <c r="AG2220">
        <v>-1.1047374345630001</v>
      </c>
      <c r="AH2220">
        <v>19.988011936858001</v>
      </c>
      <c r="AI2220">
        <v>93.065071549142701</v>
      </c>
      <c r="AJ2220">
        <v>75.654656727247001</v>
      </c>
      <c r="AK2220">
        <v>20.660853023496099</v>
      </c>
    </row>
    <row r="2221" spans="1:37" x14ac:dyDescent="0.2">
      <c r="A2221" t="str">
        <f>"20200111155542589"</f>
        <v>20200111155542589</v>
      </c>
      <c r="B2221" t="str">
        <f>"1578729342584176"</f>
        <v>1578729342584176</v>
      </c>
      <c r="C2221" t="s">
        <v>37</v>
      </c>
      <c r="D2221">
        <v>5.0109570000000003</v>
      </c>
      <c r="E2221">
        <v>0.59947740000000005</v>
      </c>
      <c r="F2221" t="s">
        <v>61</v>
      </c>
      <c r="G2221">
        <v>-299.64249999999998</v>
      </c>
      <c r="H2221" s="1">
        <v>3.5245509999999998E-6</v>
      </c>
      <c r="I2221">
        <v>289.096</v>
      </c>
      <c r="J2221">
        <v>-280.05579999999998</v>
      </c>
      <c r="K2221">
        <v>1.104735</v>
      </c>
      <c r="L2221">
        <v>284.28449999999998</v>
      </c>
      <c r="M2221">
        <v>-0.99984289999999998</v>
      </c>
      <c r="N2221">
        <v>0</v>
      </c>
      <c r="O2221">
        <v>-1.091366E-2</v>
      </c>
      <c r="P2221">
        <v>-0.99984569999999995</v>
      </c>
      <c r="Q2221">
        <v>1.3696719999999999E-3</v>
      </c>
      <c r="R2221">
        <v>-1.752397E-2</v>
      </c>
      <c r="S2221">
        <v>-3.0135190000000001</v>
      </c>
      <c r="T2221">
        <v>-0.16858519999999999</v>
      </c>
      <c r="U2221">
        <v>0.73397829999999997</v>
      </c>
      <c r="V2221">
        <v>-6.6060559999999999E-3</v>
      </c>
      <c r="W2221">
        <v>1.5337170000000001E-2</v>
      </c>
      <c r="X2221">
        <v>0.99986059999999999</v>
      </c>
      <c r="Y2221">
        <v>0.24685370000000001</v>
      </c>
      <c r="Z2221">
        <v>7.4018399999999998E-3</v>
      </c>
      <c r="AA2221">
        <v>0.96902449999999996</v>
      </c>
      <c r="AB2221">
        <v>27</v>
      </c>
      <c r="AC2221">
        <v>-19.5867</v>
      </c>
      <c r="AD2221">
        <v>-1.1047314754490001</v>
      </c>
      <c r="AE2221">
        <v>4.8115000000000201</v>
      </c>
      <c r="AF2221">
        <v>5.0099661464208598</v>
      </c>
      <c r="AG2221">
        <v>-1.1047314754490001</v>
      </c>
      <c r="AH2221">
        <v>19.474590259286298</v>
      </c>
      <c r="AI2221">
        <v>93.144555162616598</v>
      </c>
      <c r="AJ2221">
        <v>75.573116261987906</v>
      </c>
      <c r="AK2221">
        <v>20.139013337008901</v>
      </c>
    </row>
    <row r="2222" spans="1:37" x14ac:dyDescent="0.2">
      <c r="A2222" t="str">
        <f>"20200111155542603"</f>
        <v>20200111155542603</v>
      </c>
      <c r="B2222" t="str">
        <f>"1578729342594912"</f>
        <v>1578729342594912</v>
      </c>
      <c r="C2222" t="s">
        <v>37</v>
      </c>
      <c r="D2222">
        <v>4.990221</v>
      </c>
      <c r="E2222">
        <v>0.59823009999999999</v>
      </c>
      <c r="F2222" t="s">
        <v>61</v>
      </c>
      <c r="G2222">
        <v>-299.75909999999999</v>
      </c>
      <c r="H2222" s="1">
        <v>3.54630299999999E-6</v>
      </c>
      <c r="I2222">
        <v>289.08359999999999</v>
      </c>
      <c r="J2222">
        <v>-280.23129999999998</v>
      </c>
      <c r="K2222">
        <v>1.104733</v>
      </c>
      <c r="L2222">
        <v>284.28269999999998</v>
      </c>
      <c r="M2222">
        <v>-0.99984379999999995</v>
      </c>
      <c r="N2222">
        <v>0</v>
      </c>
      <c r="O2222">
        <v>-1.0834099999999999E-2</v>
      </c>
      <c r="P2222">
        <v>-0.99984430000000002</v>
      </c>
      <c r="Q2222">
        <v>1.487847E-3</v>
      </c>
      <c r="R2222">
        <v>-1.7593810000000001E-2</v>
      </c>
      <c r="S2222">
        <v>-3.01355</v>
      </c>
      <c r="T2222">
        <v>-0.16896520000000001</v>
      </c>
      <c r="U2222">
        <v>0.73400880000000002</v>
      </c>
      <c r="V2222">
        <v>-6.7552719999999997E-3</v>
      </c>
      <c r="W2222">
        <v>1.545875E-2</v>
      </c>
      <c r="X2222">
        <v>0.99985769999999996</v>
      </c>
      <c r="Y2222">
        <v>0.2467821</v>
      </c>
      <c r="Z2222">
        <v>7.4120490000000004E-3</v>
      </c>
      <c r="AA2222">
        <v>0.96904269999999904</v>
      </c>
      <c r="AB2222">
        <v>27</v>
      </c>
      <c r="AC2222">
        <v>-19.527799999999999</v>
      </c>
      <c r="AD2222">
        <v>-1.104729453697</v>
      </c>
      <c r="AE2222">
        <v>4.8009000000000102</v>
      </c>
      <c r="AF2222">
        <v>4.99712365857369</v>
      </c>
      <c r="AG2222">
        <v>-1.104729453697</v>
      </c>
      <c r="AH2222">
        <v>19.416037697906599</v>
      </c>
      <c r="AI2222">
        <v>93.153926382203693</v>
      </c>
      <c r="AJ2222">
        <v>75.566970464038803</v>
      </c>
      <c r="AK2222">
        <v>20.0791979897473</v>
      </c>
    </row>
    <row r="2223" spans="1:37" x14ac:dyDescent="0.2">
      <c r="A2223" t="str">
        <f>"20200111155542621"</f>
        <v>20200111155542621</v>
      </c>
      <c r="B2223" t="str">
        <f>"1578729342614432"</f>
        <v>1578729342614432</v>
      </c>
      <c r="C2223" t="s">
        <v>37</v>
      </c>
      <c r="D2223">
        <v>4.9271839999999996</v>
      </c>
      <c r="E2223">
        <v>0.53557010000000005</v>
      </c>
      <c r="F2223" t="s">
        <v>61</v>
      </c>
      <c r="G2223">
        <v>-301.82679999999999</v>
      </c>
      <c r="H2223" s="1">
        <v>3.215937E-6</v>
      </c>
      <c r="I2223">
        <v>289.47340000000003</v>
      </c>
      <c r="J2223">
        <v>-280.44459999999998</v>
      </c>
      <c r="K2223">
        <v>1.10473</v>
      </c>
      <c r="L2223">
        <v>284.28050000000002</v>
      </c>
      <c r="M2223">
        <v>-0.99984479999999998</v>
      </c>
      <c r="N2223">
        <v>0</v>
      </c>
      <c r="O2223">
        <v>-1.073236E-2</v>
      </c>
      <c r="P2223">
        <v>-0.99984450000000002</v>
      </c>
      <c r="Q2223">
        <v>1.2266110000000001E-3</v>
      </c>
      <c r="R2223">
        <v>-1.758877E-2</v>
      </c>
      <c r="S2223">
        <v>-3.0133969999999999</v>
      </c>
      <c r="T2223">
        <v>-0.15415179999999901</v>
      </c>
      <c r="U2223">
        <v>0.72430419999999995</v>
      </c>
      <c r="V2223">
        <v>-6.8520839999999996E-3</v>
      </c>
      <c r="W2223">
        <v>1.520081E-2</v>
      </c>
      <c r="X2223">
        <v>0.999861</v>
      </c>
      <c r="Y2223">
        <v>0.243813</v>
      </c>
      <c r="Z2223">
        <v>6.6859619999999897E-3</v>
      </c>
      <c r="AA2223">
        <v>0.96979919999999997</v>
      </c>
      <c r="AB2223">
        <v>27</v>
      </c>
      <c r="AC2223">
        <v>-21.382200000000001</v>
      </c>
      <c r="AD2223">
        <v>-1.104726784063</v>
      </c>
      <c r="AE2223">
        <v>5.1928999999999998</v>
      </c>
      <c r="AF2223">
        <v>5.40847173915708</v>
      </c>
      <c r="AG2223">
        <v>-1.104726784063</v>
      </c>
      <c r="AH2223">
        <v>21.271611976858299</v>
      </c>
      <c r="AI2223">
        <v>92.881429201001595</v>
      </c>
      <c r="AJ2223">
        <v>75.734387672889298</v>
      </c>
      <c r="AK2223">
        <v>21.976202217733299</v>
      </c>
    </row>
    <row r="2224" spans="1:37" x14ac:dyDescent="0.2">
      <c r="A2224" t="str">
        <f>"20200111155542634"</f>
        <v>20200111155542634</v>
      </c>
      <c r="B2224" t="str">
        <f>"1578729342624192"</f>
        <v>1578729342624192</v>
      </c>
      <c r="C2224" t="s">
        <v>37</v>
      </c>
      <c r="D2224">
        <v>4.8644819999999998</v>
      </c>
      <c r="E2224">
        <v>0.53473570000000004</v>
      </c>
      <c r="F2224" t="s">
        <v>61</v>
      </c>
      <c r="G2224">
        <v>-309.09120000000001</v>
      </c>
      <c r="H2224" s="1">
        <v>2.1931280000000002E-6</v>
      </c>
      <c r="I2224">
        <v>286.43329999999997</v>
      </c>
      <c r="J2224">
        <v>-280.6112</v>
      </c>
      <c r="K2224">
        <v>1.1047290000000001</v>
      </c>
      <c r="L2224">
        <v>284.27879999999999</v>
      </c>
      <c r="M2224">
        <v>-0.99984569999999995</v>
      </c>
      <c r="N2224">
        <v>0</v>
      </c>
      <c r="O2224">
        <v>-1.06485E-2</v>
      </c>
      <c r="P2224">
        <v>-0.99985059999999903</v>
      </c>
      <c r="Q2224">
        <v>1.150414E-3</v>
      </c>
      <c r="R2224">
        <v>-1.7250229999999998E-2</v>
      </c>
      <c r="S2224">
        <v>-3.004578</v>
      </c>
      <c r="T2224">
        <v>-0.11586879999999999</v>
      </c>
      <c r="U2224">
        <v>0.22579959999999999</v>
      </c>
      <c r="V2224">
        <v>-6.5970179999999996E-3</v>
      </c>
      <c r="W2224">
        <v>1.512691E-2</v>
      </c>
      <c r="X2224">
        <v>0.99986379999999997</v>
      </c>
      <c r="Y2224">
        <v>8.54848E-2</v>
      </c>
      <c r="Z2224">
        <v>2.0553870000000001E-3</v>
      </c>
      <c r="AA2224">
        <v>0.99633739999999904</v>
      </c>
      <c r="AB2224">
        <v>27</v>
      </c>
      <c r="AC2224">
        <v>-28.48</v>
      </c>
      <c r="AD2224">
        <v>-1.104726806872</v>
      </c>
      <c r="AE2224">
        <v>2.1544999999999801</v>
      </c>
      <c r="AF2224">
        <v>2.4540053437328599</v>
      </c>
      <c r="AG2224">
        <v>-1.104726806872</v>
      </c>
      <c r="AH2224">
        <v>28.412932829668499</v>
      </c>
      <c r="AI2224">
        <v>92.218352424687097</v>
      </c>
      <c r="AJ2224">
        <v>85.063653341117003</v>
      </c>
      <c r="AK2224">
        <v>28.540100131711899</v>
      </c>
    </row>
    <row r="2225" spans="1:37" x14ac:dyDescent="0.2">
      <c r="A2225" t="str">
        <f>"20200111155542649"</f>
        <v>20200111155542649</v>
      </c>
      <c r="B2225" t="str">
        <f>"1578729342644221"</f>
        <v>1578729342644221</v>
      </c>
      <c r="C2225" t="s">
        <v>37</v>
      </c>
      <c r="D2225">
        <v>4.7940709999999997</v>
      </c>
      <c r="E2225">
        <v>0.53509839999999997</v>
      </c>
      <c r="F2225" t="s">
        <v>61</v>
      </c>
      <c r="G2225">
        <v>-307.13310000000001</v>
      </c>
      <c r="H2225" s="1">
        <v>2.559179E-6</v>
      </c>
      <c r="I2225">
        <v>286.21929999999998</v>
      </c>
      <c r="J2225">
        <v>-280.77289999999999</v>
      </c>
      <c r="K2225">
        <v>1.1047290000000001</v>
      </c>
      <c r="L2225">
        <v>284.27719999999999</v>
      </c>
      <c r="M2225">
        <v>-0.99984649999999997</v>
      </c>
      <c r="N2225">
        <v>0</v>
      </c>
      <c r="O2225">
        <v>-1.0563700000000001E-2</v>
      </c>
      <c r="P2225">
        <v>-0.99985100000000005</v>
      </c>
      <c r="Q2225">
        <v>1.273284E-3</v>
      </c>
      <c r="R2225">
        <v>-1.7212580000000002E-2</v>
      </c>
      <c r="S2225">
        <v>-3.0043950000000001</v>
      </c>
      <c r="T2225">
        <v>-0.12514330000000001</v>
      </c>
      <c r="U2225">
        <v>0.21981809999999999</v>
      </c>
      <c r="V2225">
        <v>-6.6442059999999997E-3</v>
      </c>
      <c r="W2225">
        <v>1.525135E-2</v>
      </c>
      <c r="X2225">
        <v>0.99986160000000002</v>
      </c>
      <c r="Y2225">
        <v>8.3421889999999999E-2</v>
      </c>
      <c r="Z2225">
        <v>2.1736519999999999E-3</v>
      </c>
      <c r="AA2225">
        <v>0.99651190000000001</v>
      </c>
      <c r="AB2225">
        <v>27</v>
      </c>
      <c r="AC2225">
        <v>-26.360199999999999</v>
      </c>
      <c r="AD2225">
        <v>-1.104726440821</v>
      </c>
      <c r="AE2225">
        <v>1.94209999999998</v>
      </c>
      <c r="AF2225">
        <v>2.2166079365070002</v>
      </c>
      <c r="AG2225">
        <v>-1.104726440821</v>
      </c>
      <c r="AH2225">
        <v>26.2922818632907</v>
      </c>
      <c r="AI2225">
        <v>92.397494358198102</v>
      </c>
      <c r="AJ2225">
        <v>85.180994012928096</v>
      </c>
      <c r="AK2225">
        <v>26.408670107219699</v>
      </c>
    </row>
    <row r="2226" spans="1:37" x14ac:dyDescent="0.2">
      <c r="A2226" t="str">
        <f>"20200111155542663"</f>
        <v>20200111155542663</v>
      </c>
      <c r="B2226" t="str">
        <f>"1578729342654956"</f>
        <v>1578729342654956</v>
      </c>
      <c r="C2226" t="s">
        <v>37</v>
      </c>
      <c r="D2226">
        <v>4.8329440000000004</v>
      </c>
      <c r="E2226">
        <v>0.53512979999999999</v>
      </c>
      <c r="F2226" t="s">
        <v>61</v>
      </c>
      <c r="G2226">
        <v>-306.35919999999999</v>
      </c>
      <c r="H2226" s="1">
        <v>2.7004940000000001E-6</v>
      </c>
      <c r="I2226">
        <v>286.17309999999998</v>
      </c>
      <c r="J2226">
        <v>-280.9597</v>
      </c>
      <c r="K2226">
        <v>1.1047309999999999</v>
      </c>
      <c r="L2226">
        <v>284.27530000000002</v>
      </c>
      <c r="M2226">
        <v>-0.99984759999999995</v>
      </c>
      <c r="N2226">
        <v>0</v>
      </c>
      <c r="O2226">
        <v>-1.046328E-2</v>
      </c>
      <c r="P2226">
        <v>-0.99985559999999996</v>
      </c>
      <c r="Q2226">
        <v>1.628121E-3</v>
      </c>
      <c r="R2226">
        <v>-1.691935E-2</v>
      </c>
      <c r="S2226">
        <v>-3.004486</v>
      </c>
      <c r="T2226">
        <v>-0.12972320000000001</v>
      </c>
      <c r="U2226">
        <v>0.22262570000000001</v>
      </c>
      <c r="V2226">
        <v>-6.4510779999999998E-3</v>
      </c>
      <c r="W2226">
        <v>1.5607499999999899E-2</v>
      </c>
      <c r="X2226">
        <v>0.99985740000000001</v>
      </c>
      <c r="Y2226">
        <v>8.4239079999999994E-2</v>
      </c>
      <c r="Z2226">
        <v>2.2662649999999999E-3</v>
      </c>
      <c r="AA2226">
        <v>0.99644299999999997</v>
      </c>
      <c r="AB2226">
        <v>27</v>
      </c>
      <c r="AC2226">
        <v>-25.3994999999999</v>
      </c>
      <c r="AD2226">
        <v>-1.1047282995059999</v>
      </c>
      <c r="AE2226">
        <v>1.89779999999996</v>
      </c>
      <c r="AF2226">
        <v>2.1594217490476599</v>
      </c>
      <c r="AG2226">
        <v>-1.1047282995059999</v>
      </c>
      <c r="AH2226">
        <v>25.330597388232999</v>
      </c>
      <c r="AI2226">
        <v>92.488210587170599</v>
      </c>
      <c r="AJ2226">
        <v>85.127342409338993</v>
      </c>
      <c r="AK2226">
        <v>25.4464671605067</v>
      </c>
    </row>
    <row r="2227" spans="1:37" x14ac:dyDescent="0.2">
      <c r="A2227" t="str">
        <f>"20200111155542676"</f>
        <v>20200111155542676</v>
      </c>
      <c r="B2227" t="str">
        <f>"1578729342664715"</f>
        <v>1578729342664715</v>
      </c>
      <c r="C2227" t="s">
        <v>37</v>
      </c>
      <c r="D2227">
        <v>4.802772</v>
      </c>
      <c r="E2227">
        <v>0.53551800000000005</v>
      </c>
      <c r="F2227" t="s">
        <v>61</v>
      </c>
      <c r="G2227">
        <v>-306.59699999999998</v>
      </c>
      <c r="H2227" s="1">
        <v>2.65747799999999E-6</v>
      </c>
      <c r="I2227">
        <v>286.18259999999998</v>
      </c>
      <c r="J2227">
        <v>-281.11630000000002</v>
      </c>
      <c r="K2227">
        <v>1.1047309999999999</v>
      </c>
      <c r="L2227">
        <v>284.27379999999999</v>
      </c>
      <c r="M2227">
        <v>-0.99984850000000003</v>
      </c>
      <c r="N2227">
        <v>0</v>
      </c>
      <c r="O2227">
        <v>-1.037706E-2</v>
      </c>
      <c r="P2227">
        <v>-0.99986200000000003</v>
      </c>
      <c r="Q2227">
        <v>1.6108079999999901E-3</v>
      </c>
      <c r="R2227">
        <v>-1.6544679999999999E-2</v>
      </c>
      <c r="S2227">
        <v>-3.0044249999999999</v>
      </c>
      <c r="T2227">
        <v>-0.12946250000000001</v>
      </c>
      <c r="U2227">
        <v>0.22351070000000001</v>
      </c>
      <c r="V2227">
        <v>-6.162158E-3</v>
      </c>
      <c r="W2227">
        <v>1.5591290000000001E-2</v>
      </c>
      <c r="X2227">
        <v>0.99985949999999901</v>
      </c>
      <c r="Y2227">
        <v>8.4446779999999999E-2</v>
      </c>
      <c r="Z2227">
        <v>2.262493E-3</v>
      </c>
      <c r="AA2227">
        <v>0.99642540000000002</v>
      </c>
      <c r="AB2227">
        <v>27</v>
      </c>
      <c r="AC2227">
        <v>-25.480699999999899</v>
      </c>
      <c r="AD2227">
        <v>-1.10472834252199</v>
      </c>
      <c r="AE2227">
        <v>1.9087999999999801</v>
      </c>
      <c r="AF2227">
        <v>2.1690833091291202</v>
      </c>
      <c r="AG2227">
        <v>-1.10472834252199</v>
      </c>
      <c r="AH2227">
        <v>25.412017723465699</v>
      </c>
      <c r="AI2227">
        <v>92.480225947640406</v>
      </c>
      <c r="AJ2227">
        <v>85.121252852290894</v>
      </c>
      <c r="AK2227">
        <v>25.5283370373092</v>
      </c>
    </row>
    <row r="2228" spans="1:37" x14ac:dyDescent="0.2">
      <c r="A2228" t="str">
        <f>"20200111155542690"</f>
        <v>20200111155542690</v>
      </c>
      <c r="B2228" t="str">
        <f>"1578729342684236"</f>
        <v>1578729342684236</v>
      </c>
      <c r="C2228" t="s">
        <v>37</v>
      </c>
      <c r="D2228">
        <v>4.7853599999999998</v>
      </c>
      <c r="E2228">
        <v>0.53594370000000002</v>
      </c>
      <c r="F2228" t="s">
        <v>61</v>
      </c>
      <c r="G2228">
        <v>-306.62270000000001</v>
      </c>
      <c r="H2228" s="1">
        <v>2.650665E-6</v>
      </c>
      <c r="I2228">
        <v>286.20839999999998</v>
      </c>
      <c r="J2228">
        <v>-281.26659999999998</v>
      </c>
      <c r="K2228">
        <v>1.104733</v>
      </c>
      <c r="L2228">
        <v>284.27229999999997</v>
      </c>
      <c r="M2228">
        <v>-0.9998494</v>
      </c>
      <c r="N2228">
        <v>0</v>
      </c>
      <c r="O2228">
        <v>-1.0292050000000001E-2</v>
      </c>
      <c r="P2228">
        <v>-0.9998669</v>
      </c>
      <c r="Q2228">
        <v>1.568999E-3</v>
      </c>
      <c r="R2228">
        <v>-1.6246920000000001E-2</v>
      </c>
      <c r="S2228">
        <v>-3.0043639999999998</v>
      </c>
      <c r="T2228">
        <v>-0.13012470000000001</v>
      </c>
      <c r="U2228">
        <v>0.22787479999999999</v>
      </c>
      <c r="V2228">
        <v>-5.9499979999999997E-3</v>
      </c>
      <c r="W2228">
        <v>1.555077E-2</v>
      </c>
      <c r="X2228">
        <v>0.99986140000000001</v>
      </c>
      <c r="Y2228">
        <v>8.5800650000000006E-2</v>
      </c>
      <c r="Z2228">
        <v>2.2995670000000002E-3</v>
      </c>
      <c r="AA2228">
        <v>0.99630969999999996</v>
      </c>
      <c r="AB2228">
        <v>27</v>
      </c>
      <c r="AC2228">
        <v>-25.356100000000001</v>
      </c>
      <c r="AD2228">
        <v>-1.104730349335</v>
      </c>
      <c r="AE2228">
        <v>1.9361000000000099</v>
      </c>
      <c r="AF2228">
        <v>2.1928507692241599</v>
      </c>
      <c r="AG2228">
        <v>-1.104730349335</v>
      </c>
      <c r="AH2228">
        <v>25.287106001875301</v>
      </c>
      <c r="AI2228">
        <v>92.492177278583398</v>
      </c>
      <c r="AJ2228">
        <v>85.043815382784999</v>
      </c>
      <c r="AK2228">
        <v>25.406037738909799</v>
      </c>
    </row>
    <row r="2229" spans="1:37" x14ac:dyDescent="0.2">
      <c r="A2229" t="str">
        <f>"20200111155542702"</f>
        <v>20200111155542702</v>
      </c>
      <c r="B2229" t="str">
        <f>"1578729342694971"</f>
        <v>1578729342694971</v>
      </c>
      <c r="C2229" t="s">
        <v>37</v>
      </c>
      <c r="D2229">
        <v>4.7922529999999997</v>
      </c>
      <c r="E2229">
        <v>0.53610609999999903</v>
      </c>
      <c r="F2229" t="s">
        <v>61</v>
      </c>
      <c r="G2229">
        <v>-306.7183</v>
      </c>
      <c r="H2229" s="1">
        <v>2.6310359999999899E-6</v>
      </c>
      <c r="I2229">
        <v>286.23899999999998</v>
      </c>
      <c r="J2229">
        <v>-281.42849999999999</v>
      </c>
      <c r="K2229">
        <v>1.1047340000000001</v>
      </c>
      <c r="L2229">
        <v>284.27080000000001</v>
      </c>
      <c r="M2229">
        <v>-0.99985029999999997</v>
      </c>
      <c r="N2229">
        <v>0</v>
      </c>
      <c r="O2229">
        <v>-1.019988E-2</v>
      </c>
      <c r="P2229">
        <v>-0.99987039999999905</v>
      </c>
      <c r="Q2229">
        <v>1.571942E-3</v>
      </c>
      <c r="R2229">
        <v>-1.6023809999999999E-2</v>
      </c>
      <c r="S2229">
        <v>-3.0043639999999998</v>
      </c>
      <c r="T2229">
        <v>-0.13040450000000001</v>
      </c>
      <c r="U2229">
        <v>0.2321472</v>
      </c>
      <c r="V2229">
        <v>-5.8188859999999997E-3</v>
      </c>
      <c r="W2229">
        <v>1.555458E-2</v>
      </c>
      <c r="X2229">
        <v>0.99986209999999898</v>
      </c>
      <c r="Y2229">
        <v>8.7115819999999997E-2</v>
      </c>
      <c r="Z2229">
        <v>2.3288750000000002E-3</v>
      </c>
      <c r="AA2229">
        <v>0.99619550000000001</v>
      </c>
      <c r="AB2229">
        <v>27</v>
      </c>
      <c r="AC2229">
        <v>-25.2898</v>
      </c>
      <c r="AD2229">
        <v>-1.1047313689639999</v>
      </c>
      <c r="AE2229">
        <v>1.9682000000000199</v>
      </c>
      <c r="AF2229">
        <v>2.22186149876674</v>
      </c>
      <c r="AG2229">
        <v>-1.1047313689639999</v>
      </c>
      <c r="AH2229">
        <v>25.2205707874339</v>
      </c>
      <c r="AI2229">
        <v>92.498447435997093</v>
      </c>
      <c r="AJ2229">
        <v>84.965400494700106</v>
      </c>
      <c r="AK2229">
        <v>25.342341856293402</v>
      </c>
    </row>
    <row r="2230" spans="1:37" x14ac:dyDescent="0.2">
      <c r="A2230" t="str">
        <f>"20200111155542721"</f>
        <v>20200111155542721</v>
      </c>
      <c r="B2230" t="str">
        <f>"1578729342714492"</f>
        <v>1578729342714492</v>
      </c>
      <c r="C2230" t="s">
        <v>37</v>
      </c>
      <c r="D2230">
        <v>5.1062539999999998</v>
      </c>
      <c r="E2230">
        <v>0.53613500000000003</v>
      </c>
      <c r="F2230" t="s">
        <v>61</v>
      </c>
      <c r="G2230">
        <v>-306.78710000000001</v>
      </c>
      <c r="H2230" s="1">
        <v>2.6181489999999998E-6</v>
      </c>
      <c r="I2230">
        <v>286.24669999999998</v>
      </c>
      <c r="J2230">
        <v>-281.63929999999999</v>
      </c>
      <c r="K2230">
        <v>1.104735</v>
      </c>
      <c r="L2230">
        <v>284.26870000000002</v>
      </c>
      <c r="M2230">
        <v>-0.99985159999999995</v>
      </c>
      <c r="N2230">
        <v>0</v>
      </c>
      <c r="O2230">
        <v>-1.0078749999999999E-2</v>
      </c>
      <c r="P2230">
        <v>-0.99987800000000004</v>
      </c>
      <c r="Q2230">
        <v>1.7013339999999899E-3</v>
      </c>
      <c r="R2230">
        <v>-1.5525229999999999E-2</v>
      </c>
      <c r="S2230">
        <v>-3.0043329999999999</v>
      </c>
      <c r="T2230">
        <v>-0.13088169999999999</v>
      </c>
      <c r="U2230">
        <v>0.23410029999999901</v>
      </c>
      <c r="V2230">
        <v>-5.4412719999999996E-3</v>
      </c>
      <c r="W2230">
        <v>1.5684259999999998E-2</v>
      </c>
      <c r="X2230">
        <v>0.99986219999999904</v>
      </c>
      <c r="Y2230">
        <v>8.7638599999999997E-2</v>
      </c>
      <c r="Z2230">
        <v>2.3434529999999901E-3</v>
      </c>
      <c r="AA2230">
        <v>0.99614959999999997</v>
      </c>
      <c r="AB2230">
        <v>27</v>
      </c>
      <c r="AC2230">
        <v>-25.1478</v>
      </c>
      <c r="AD2230">
        <v>-1.104732381851</v>
      </c>
      <c r="AE2230">
        <v>1.97799999999995</v>
      </c>
      <c r="AF2230">
        <v>2.2271111722927599</v>
      </c>
      <c r="AG2230">
        <v>-1.104732381851</v>
      </c>
      <c r="AH2230">
        <v>25.078485633032901</v>
      </c>
      <c r="AI2230">
        <v>92.512430878174499</v>
      </c>
      <c r="AJ2230">
        <v>84.925124127113904</v>
      </c>
      <c r="AK2230">
        <v>25.201406695966401</v>
      </c>
    </row>
    <row r="2231" spans="1:37" x14ac:dyDescent="0.2">
      <c r="A2231" t="str">
        <f>"20200111155542734"</f>
        <v>20200111155542734</v>
      </c>
      <c r="B2231" t="str">
        <f>"1578729342724251"</f>
        <v>1578729342724251</v>
      </c>
      <c r="C2231" t="s">
        <v>37</v>
      </c>
      <c r="D2231">
        <v>4.8723710000000002</v>
      </c>
      <c r="E2231">
        <v>0.53644979999999998</v>
      </c>
      <c r="F2231" t="s">
        <v>61</v>
      </c>
      <c r="G2231">
        <v>-307.63889999999998</v>
      </c>
      <c r="H2231" s="1">
        <v>2.4614120000000002E-6</v>
      </c>
      <c r="I2231">
        <v>286.31139999999999</v>
      </c>
      <c r="J2231">
        <v>-281.80220000000003</v>
      </c>
      <c r="K2231">
        <v>1.1047359999999999</v>
      </c>
      <c r="L2231">
        <v>284.2672</v>
      </c>
      <c r="M2231">
        <v>-0.99985249999999903</v>
      </c>
      <c r="N2231">
        <v>0</v>
      </c>
      <c r="O2231">
        <v>-9.9845739999999995E-3</v>
      </c>
      <c r="P2231">
        <v>-0.9998821</v>
      </c>
      <c r="Q2231">
        <v>1.857091E-3</v>
      </c>
      <c r="R2231">
        <v>-1.524294E-2</v>
      </c>
      <c r="S2231">
        <v>-3.0042110000000002</v>
      </c>
      <c r="T2231">
        <v>-0.1276504</v>
      </c>
      <c r="U2231">
        <v>0.23602289999999901</v>
      </c>
      <c r="V2231">
        <v>-5.2529339999999999E-3</v>
      </c>
      <c r="W2231">
        <v>1.583969E-2</v>
      </c>
      <c r="X2231">
        <v>0.99986079999999999</v>
      </c>
      <c r="Y2231">
        <v>8.8185609999999998E-2</v>
      </c>
      <c r="Z2231">
        <v>2.2932870000000002E-3</v>
      </c>
      <c r="AA2231">
        <v>0.99610140000000003</v>
      </c>
      <c r="AB2231">
        <v>27</v>
      </c>
      <c r="AC2231">
        <v>-25.836699999999901</v>
      </c>
      <c r="AD2231">
        <v>-1.1047335385879999</v>
      </c>
      <c r="AE2231">
        <v>2.04419999999998</v>
      </c>
      <c r="AF2231">
        <v>2.2979166357735199</v>
      </c>
      <c r="AG2231">
        <v>-1.1047335385879999</v>
      </c>
      <c r="AH2231">
        <v>25.768181220873199</v>
      </c>
      <c r="AI2231">
        <v>92.445190001430504</v>
      </c>
      <c r="AJ2231">
        <v>84.904041901882195</v>
      </c>
      <c r="AK2231">
        <v>25.894015148060902</v>
      </c>
    </row>
    <row r="2232" spans="1:37" x14ac:dyDescent="0.2">
      <c r="A2232" t="str">
        <f>"20200111155542748"</f>
        <v>20200111155542748</v>
      </c>
      <c r="B2232" t="str">
        <f>"1578729342744278"</f>
        <v>1578729342744278</v>
      </c>
      <c r="C2232" t="s">
        <v>37</v>
      </c>
      <c r="D2232">
        <v>4.7932620000000004</v>
      </c>
      <c r="E2232">
        <v>0.53666259999999999</v>
      </c>
      <c r="F2232" t="s">
        <v>61</v>
      </c>
      <c r="G2232">
        <v>-307.91590000000002</v>
      </c>
      <c r="H2232" s="1">
        <v>2.4091040000000001E-6</v>
      </c>
      <c r="I2232">
        <v>286.34769999999997</v>
      </c>
      <c r="J2232">
        <v>-281.96370000000002</v>
      </c>
      <c r="K2232">
        <v>1.1047370000000001</v>
      </c>
      <c r="L2232">
        <v>284.26569999999998</v>
      </c>
      <c r="M2232">
        <v>-0.9998534</v>
      </c>
      <c r="N2232">
        <v>0</v>
      </c>
      <c r="O2232">
        <v>-9.8913519999999904E-3</v>
      </c>
      <c r="P2232">
        <v>-0.99988580000000005</v>
      </c>
      <c r="Q2232">
        <v>1.8701029999999999E-3</v>
      </c>
      <c r="R2232">
        <v>-1.5014130000000001E-2</v>
      </c>
      <c r="S2232">
        <v>-3.0042419999999899</v>
      </c>
      <c r="T2232">
        <v>-0.127093699999999</v>
      </c>
      <c r="U2232">
        <v>0.23934939999999999</v>
      </c>
      <c r="V2232">
        <v>-5.1170540000000002E-3</v>
      </c>
      <c r="W2232">
        <v>1.585305E-2</v>
      </c>
      <c r="X2232">
        <v>0.99986119999999901</v>
      </c>
      <c r="Y2232">
        <v>8.9187929999999999E-2</v>
      </c>
      <c r="Z2232">
        <v>2.3003949999999998E-3</v>
      </c>
      <c r="AA2232">
        <v>0.99601219999999901</v>
      </c>
      <c r="AB2232">
        <v>27</v>
      </c>
      <c r="AC2232">
        <v>-25.952200000000001</v>
      </c>
      <c r="AD2232">
        <v>-1.104734590896</v>
      </c>
      <c r="AE2232">
        <v>2.0819999999999901</v>
      </c>
      <c r="AF2232">
        <v>2.3344225341805598</v>
      </c>
      <c r="AG2232">
        <v>-1.104734590896</v>
      </c>
      <c r="AH2232">
        <v>25.8837319463535</v>
      </c>
      <c r="AI2232">
        <v>92.434070650379695</v>
      </c>
      <c r="AJ2232">
        <v>84.846505513465104</v>
      </c>
      <c r="AK2232">
        <v>26.012257621265601</v>
      </c>
    </row>
    <row r="2233" spans="1:37" x14ac:dyDescent="0.2">
      <c r="A2233" t="str">
        <f>"20200111155542764"</f>
        <v>20200111155542764</v>
      </c>
      <c r="B2233" t="str">
        <f>"1578729342755014"</f>
        <v>1578729342755014</v>
      </c>
      <c r="C2233" t="s">
        <v>37</v>
      </c>
      <c r="D2233">
        <v>4.7535220000000002</v>
      </c>
      <c r="E2233">
        <v>0.53669239999999996</v>
      </c>
      <c r="F2233" t="s">
        <v>61</v>
      </c>
      <c r="G2233">
        <v>-307.81790000000001</v>
      </c>
      <c r="H2233" s="1">
        <v>2.426755E-6</v>
      </c>
      <c r="I2233">
        <v>286.34440000000001</v>
      </c>
      <c r="J2233">
        <v>-282.16019999999997</v>
      </c>
      <c r="K2233">
        <v>1.1047370000000001</v>
      </c>
      <c r="L2233">
        <v>284.26389999999998</v>
      </c>
      <c r="M2233">
        <v>-0.99985449999999998</v>
      </c>
      <c r="N2233">
        <v>0</v>
      </c>
      <c r="O2233">
        <v>-9.77822699999999E-3</v>
      </c>
      <c r="P2233">
        <v>-0.99988899999999903</v>
      </c>
      <c r="Q2233">
        <v>1.778228E-3</v>
      </c>
      <c r="R2233">
        <v>-1.4801450000000001E-2</v>
      </c>
      <c r="S2233">
        <v>-3.004181</v>
      </c>
      <c r="T2233">
        <v>-0.1283666</v>
      </c>
      <c r="U2233">
        <v>0.2415466</v>
      </c>
      <c r="V2233">
        <v>-5.0178920000000004E-3</v>
      </c>
      <c r="W2233">
        <v>1.5761029999999999E-2</v>
      </c>
      <c r="X2233">
        <v>0.99986319999999995</v>
      </c>
      <c r="Y2233">
        <v>8.9798439999999993E-2</v>
      </c>
      <c r="Z2233">
        <v>2.3315839999999998E-3</v>
      </c>
      <c r="AA2233">
        <v>0.99595730000000005</v>
      </c>
      <c r="AB2233">
        <v>27</v>
      </c>
      <c r="AC2233">
        <v>-25.657699999999998</v>
      </c>
      <c r="AD2233">
        <v>-1.104734573245</v>
      </c>
      <c r="AE2233">
        <v>2.0805000000000202</v>
      </c>
      <c r="AF2233">
        <v>2.32702600609487</v>
      </c>
      <c r="AG2233">
        <v>-1.104734573245</v>
      </c>
      <c r="AH2233">
        <v>25.5889985992916</v>
      </c>
      <c r="AI2233">
        <v>92.461906259719797</v>
      </c>
      <c r="AJ2233">
        <v>84.803897988429497</v>
      </c>
      <c r="AK2233">
        <v>25.718326886189701</v>
      </c>
    </row>
    <row r="2234" spans="1:37" x14ac:dyDescent="0.2">
      <c r="A2234" t="str">
        <f>"20200111155542777"</f>
        <v>20200111155542777</v>
      </c>
      <c r="B2234" t="str">
        <f>"1578729342774535"</f>
        <v>1578729342774535</v>
      </c>
      <c r="C2234" t="s">
        <v>37</v>
      </c>
      <c r="D2234">
        <v>4.7802449999999999</v>
      </c>
      <c r="E2234">
        <v>0.53676239999999997</v>
      </c>
      <c r="F2234" t="s">
        <v>61</v>
      </c>
      <c r="G2234">
        <v>-307.78500000000003</v>
      </c>
      <c r="H2234" s="1">
        <v>2.43368E-6</v>
      </c>
      <c r="I2234">
        <v>286.33199999999999</v>
      </c>
      <c r="J2234">
        <v>-282.31970000000001</v>
      </c>
      <c r="K2234">
        <v>1.1047370000000001</v>
      </c>
      <c r="L2234">
        <v>284.26240000000001</v>
      </c>
      <c r="M2234">
        <v>-0.9998553</v>
      </c>
      <c r="N2234">
        <v>0</v>
      </c>
      <c r="O2234">
        <v>-9.6860869999999995E-3</v>
      </c>
      <c r="P2234">
        <v>-0.99989039999999996</v>
      </c>
      <c r="Q2234">
        <v>1.7545799999999999E-3</v>
      </c>
      <c r="R2234">
        <v>-1.469843E-2</v>
      </c>
      <c r="S2234">
        <v>-3.0041500000000001</v>
      </c>
      <c r="T2234">
        <v>-0.12951460000000001</v>
      </c>
      <c r="U2234">
        <v>0.24246219999999999</v>
      </c>
      <c r="V2234">
        <v>-5.0064509999999899E-3</v>
      </c>
      <c r="W2234">
        <v>1.5737660000000001E-2</v>
      </c>
      <c r="X2234">
        <v>0.99986359999999996</v>
      </c>
      <c r="Y2234">
        <v>9.0007329999999997E-2</v>
      </c>
      <c r="Z2234">
        <v>2.35294E-3</v>
      </c>
      <c r="AA2234">
        <v>0.99593829999999905</v>
      </c>
      <c r="AB2234">
        <v>27</v>
      </c>
      <c r="AC2234">
        <v>-25.465299999999999</v>
      </c>
      <c r="AD2234">
        <v>-1.1047345663200001</v>
      </c>
      <c r="AE2234">
        <v>2.0695999999999799</v>
      </c>
      <c r="AF2234">
        <v>2.3118637615744202</v>
      </c>
      <c r="AG2234">
        <v>-1.1047345663200001</v>
      </c>
      <c r="AH2234">
        <v>25.396574288863899</v>
      </c>
      <c r="AI2234">
        <v>92.480515791681896</v>
      </c>
      <c r="AJ2234">
        <v>84.7986699309172</v>
      </c>
      <c r="AK2234">
        <v>25.525499762470599</v>
      </c>
    </row>
    <row r="2235" spans="1:37" x14ac:dyDescent="0.2">
      <c r="A2235" t="str">
        <f>"20200111155542790"</f>
        <v>20200111155542790</v>
      </c>
      <c r="B2235" t="str">
        <f>"1578729342784295"</f>
        <v>1578729342784295</v>
      </c>
      <c r="C2235" t="s">
        <v>37</v>
      </c>
      <c r="D2235">
        <v>4.8067820000000001</v>
      </c>
      <c r="E2235">
        <v>0.53688400000000003</v>
      </c>
      <c r="F2235" t="s">
        <v>61</v>
      </c>
      <c r="G2235">
        <v>-307.95859999999999</v>
      </c>
      <c r="H2235" s="1">
        <v>2.402283E-6</v>
      </c>
      <c r="I2235">
        <v>286.33909999999997</v>
      </c>
      <c r="J2235">
        <v>-282.46980000000002</v>
      </c>
      <c r="K2235">
        <v>1.104735</v>
      </c>
      <c r="L2235">
        <v>284.260999999999</v>
      </c>
      <c r="M2235">
        <v>-0.99985630000000003</v>
      </c>
      <c r="N2235">
        <v>0</v>
      </c>
      <c r="O2235">
        <v>-9.600028E-3</v>
      </c>
      <c r="P2235">
        <v>-0.99988659999999996</v>
      </c>
      <c r="Q2235">
        <v>1.5256670000000001E-3</v>
      </c>
      <c r="R2235">
        <v>-1.4987230000000001E-2</v>
      </c>
      <c r="S2235">
        <v>-3.004089</v>
      </c>
      <c r="T2235">
        <v>-0.1294411</v>
      </c>
      <c r="U2235">
        <v>0.2433167</v>
      </c>
      <c r="V2235">
        <v>-5.3821669999999898E-3</v>
      </c>
      <c r="W2235">
        <v>1.550786E-2</v>
      </c>
      <c r="X2235">
        <v>0.99986520000000001</v>
      </c>
      <c r="Y2235">
        <v>9.0204670000000001E-2</v>
      </c>
      <c r="Z2235">
        <v>2.3521689999999999E-3</v>
      </c>
      <c r="AA2235">
        <v>0.99592049999999999</v>
      </c>
      <c r="AB2235">
        <v>27</v>
      </c>
      <c r="AC2235">
        <v>-25.488799999999902</v>
      </c>
      <c r="AD2235">
        <v>-1.1047325977169999</v>
      </c>
      <c r="AE2235">
        <v>2.0781000000000001</v>
      </c>
      <c r="AF2235">
        <v>2.31839491074743</v>
      </c>
      <c r="AG2235">
        <v>-1.1047325977169999</v>
      </c>
      <c r="AH2235">
        <v>25.420236374037898</v>
      </c>
      <c r="AI2235">
        <v>92.478166792789395</v>
      </c>
      <c r="AJ2235">
        <v>84.788885255769202</v>
      </c>
      <c r="AK2235">
        <v>25.549634173244002</v>
      </c>
    </row>
    <row r="2236" spans="1:37" x14ac:dyDescent="0.2">
      <c r="A2236" t="str">
        <f>"20200111155542802"</f>
        <v>20200111155542802</v>
      </c>
      <c r="B2236" t="str">
        <f>"1578729342795031"</f>
        <v>1578729342795031</v>
      </c>
      <c r="C2236" t="s">
        <v>37</v>
      </c>
      <c r="D2236">
        <v>4.7864940000000002</v>
      </c>
      <c r="E2236">
        <v>0.53692609999999996</v>
      </c>
      <c r="F2236" t="s">
        <v>61</v>
      </c>
      <c r="G2236">
        <v>-307.9633</v>
      </c>
      <c r="H2236" s="1">
        <v>2.4024819999999998E-6</v>
      </c>
      <c r="I2236">
        <v>286.32709999999997</v>
      </c>
      <c r="J2236">
        <v>-282.62079999999997</v>
      </c>
      <c r="K2236">
        <v>1.1047359999999999</v>
      </c>
      <c r="L2236">
        <v>284.25970000000001</v>
      </c>
      <c r="M2236">
        <v>-0.999857</v>
      </c>
      <c r="N2236">
        <v>0</v>
      </c>
      <c r="O2236">
        <v>-9.5134920000000001E-3</v>
      </c>
      <c r="P2236">
        <v>-0.99988759999999999</v>
      </c>
      <c r="Q2236">
        <v>1.444269E-3</v>
      </c>
      <c r="R2236">
        <v>-1.4925330000000001E-2</v>
      </c>
      <c r="S2236">
        <v>-3.004181</v>
      </c>
      <c r="T2236">
        <v>-0.1301831</v>
      </c>
      <c r="U2236">
        <v>0.2434692</v>
      </c>
      <c r="V2236">
        <v>-5.4064890000000004E-3</v>
      </c>
      <c r="W2236">
        <v>1.5426799999999999E-2</v>
      </c>
      <c r="X2236">
        <v>0.99986640000000004</v>
      </c>
      <c r="Y2236">
        <v>9.0165350000000005E-2</v>
      </c>
      <c r="Z2236">
        <v>2.36097E-3</v>
      </c>
      <c r="AA2236">
        <v>0.99592400000000003</v>
      </c>
      <c r="AB2236">
        <v>27</v>
      </c>
      <c r="AC2236">
        <v>-25.342500000000001</v>
      </c>
      <c r="AD2236">
        <v>-1.1047335975179999</v>
      </c>
      <c r="AE2236">
        <v>2.0673999999999602</v>
      </c>
      <c r="AF2236">
        <v>2.3040762308710701</v>
      </c>
      <c r="AG2236">
        <v>-1.1047335975179999</v>
      </c>
      <c r="AH2236">
        <v>25.273972842200099</v>
      </c>
      <c r="AI2236">
        <v>92.492501181708505</v>
      </c>
      <c r="AJ2236">
        <v>84.791086440874096</v>
      </c>
      <c r="AK2236">
        <v>25.402812970760198</v>
      </c>
    </row>
    <row r="2237" spans="1:37" x14ac:dyDescent="0.2">
      <c r="A2237" t="str">
        <f>"20200111155542816"</f>
        <v>20200111155542816</v>
      </c>
      <c r="B2237" t="str">
        <f>"1578729342804790"</f>
        <v>1578729342804790</v>
      </c>
      <c r="C2237" t="s">
        <v>37</v>
      </c>
      <c r="D2237">
        <v>4.8056799999999997</v>
      </c>
      <c r="E2237">
        <v>0.53692340000000005</v>
      </c>
      <c r="F2237" t="s">
        <v>61</v>
      </c>
      <c r="G2237">
        <v>-308.06470000000002</v>
      </c>
      <c r="H2237" s="1">
        <v>2.384715E-6</v>
      </c>
      <c r="I2237">
        <v>286.32459999999998</v>
      </c>
      <c r="J2237">
        <v>-282.7826</v>
      </c>
      <c r="K2237">
        <v>1.1047370000000001</v>
      </c>
      <c r="L2237">
        <v>284.25830000000002</v>
      </c>
      <c r="M2237">
        <v>-0.99985789999999997</v>
      </c>
      <c r="N2237">
        <v>0</v>
      </c>
      <c r="O2237">
        <v>-9.4206369999999904E-3</v>
      </c>
      <c r="P2237">
        <v>-0.99988569999999999</v>
      </c>
      <c r="Q2237">
        <v>1.2769960000000001E-3</v>
      </c>
      <c r="R2237">
        <v>-1.5064289999999999E-2</v>
      </c>
      <c r="S2237">
        <v>-3.0041500000000001</v>
      </c>
      <c r="T2237">
        <v>-0.13043569999999999</v>
      </c>
      <c r="U2237">
        <v>0.24380489999999999</v>
      </c>
      <c r="V2237">
        <v>-5.6382150000000002E-3</v>
      </c>
      <c r="W2237">
        <v>1.525898E-2</v>
      </c>
      <c r="X2237">
        <v>0.99986769999999903</v>
      </c>
      <c r="Y2237">
        <v>9.0183940000000004E-2</v>
      </c>
      <c r="Z2237">
        <v>2.3619380000000001E-3</v>
      </c>
      <c r="AA2237">
        <v>0.99592230000000004</v>
      </c>
      <c r="AB2237">
        <v>27</v>
      </c>
      <c r="AC2237">
        <v>-25.2821</v>
      </c>
      <c r="AD2237">
        <v>-1.1047346152849999</v>
      </c>
      <c r="AE2237">
        <v>2.0662999999999498</v>
      </c>
      <c r="AF2237">
        <v>2.3000425657473502</v>
      </c>
      <c r="AG2237">
        <v>-1.1047346152849999</v>
      </c>
      <c r="AH2237">
        <v>25.2136873552233</v>
      </c>
      <c r="AI2237">
        <v>92.498442377144002</v>
      </c>
      <c r="AJ2237">
        <v>84.787791129492405</v>
      </c>
      <c r="AK2237">
        <v>25.342467607188599</v>
      </c>
    </row>
    <row r="2238" spans="1:37" x14ac:dyDescent="0.2">
      <c r="A2238" t="str">
        <f>"20200111155542832"</f>
        <v>20200111155542832</v>
      </c>
      <c r="B2238" t="str">
        <f>"1578729342824310"</f>
        <v>1578729342824310</v>
      </c>
      <c r="C2238" t="s">
        <v>37</v>
      </c>
      <c r="D2238">
        <v>4.8743970000000001</v>
      </c>
      <c r="E2238">
        <v>0.53700539999999997</v>
      </c>
      <c r="F2238" t="s">
        <v>61</v>
      </c>
      <c r="G2238">
        <v>-308.07459999999998</v>
      </c>
      <c r="H2238" s="1">
        <v>2.3843639999999998E-6</v>
      </c>
      <c r="I2238">
        <v>286.30860000000001</v>
      </c>
      <c r="J2238">
        <v>-282.96890000000002</v>
      </c>
      <c r="K2238">
        <v>1.1047359999999999</v>
      </c>
      <c r="L2238">
        <v>284.25659999999999</v>
      </c>
      <c r="M2238">
        <v>-0.99985900000000005</v>
      </c>
      <c r="N2238">
        <v>0</v>
      </c>
      <c r="O2238">
        <v>-9.3147809999999994E-3</v>
      </c>
      <c r="P2238">
        <v>-0.99988600000000005</v>
      </c>
      <c r="Q2238">
        <v>1.167735E-3</v>
      </c>
      <c r="R2238">
        <v>-1.505545E-2</v>
      </c>
      <c r="S2238">
        <v>-3.004181</v>
      </c>
      <c r="T2238">
        <v>-0.13122049999999999</v>
      </c>
      <c r="U2238">
        <v>0.24353029999999901</v>
      </c>
      <c r="V2238">
        <v>-5.7354869999999896E-3</v>
      </c>
      <c r="W2238">
        <v>1.514836E-2</v>
      </c>
      <c r="X2238">
        <v>0.9998688</v>
      </c>
      <c r="Y2238">
        <v>8.9986380000000005E-2</v>
      </c>
      <c r="Z2238">
        <v>2.367199E-3</v>
      </c>
      <c r="AA2238">
        <v>0.99594020000000005</v>
      </c>
      <c r="AB2238">
        <v>27</v>
      </c>
      <c r="AC2238">
        <v>-25.105699999999899</v>
      </c>
      <c r="AD2238">
        <v>-1.1047336156359999</v>
      </c>
      <c r="AE2238">
        <v>2.05200000000002</v>
      </c>
      <c r="AF2238">
        <v>2.28139974908333</v>
      </c>
      <c r="AG2238">
        <v>-1.1047336156359999</v>
      </c>
      <c r="AH2238">
        <v>25.037336983903</v>
      </c>
      <c r="AI2238">
        <v>92.516038528734697</v>
      </c>
      <c r="AJ2238">
        <v>84.793591610314394</v>
      </c>
      <c r="AK2238">
        <v>25.165322656825801</v>
      </c>
    </row>
    <row r="2239" spans="1:37" x14ac:dyDescent="0.2">
      <c r="A2239" t="str">
        <f>"20200111155542847"</f>
        <v>20200111155542847</v>
      </c>
      <c r="B2239" t="str">
        <f>"1578729342844806"</f>
        <v>1578729342844806</v>
      </c>
      <c r="C2239" t="s">
        <v>37</v>
      </c>
      <c r="D2239">
        <v>5.0281399999999996</v>
      </c>
      <c r="E2239">
        <v>0.50738209999999995</v>
      </c>
      <c r="F2239" t="s">
        <v>61</v>
      </c>
      <c r="G2239">
        <v>-308.07900000000001</v>
      </c>
      <c r="H2239" s="1">
        <v>2.3844540000000002E-6</v>
      </c>
      <c r="I2239">
        <v>286.29849999999999</v>
      </c>
      <c r="J2239">
        <v>-283.1465</v>
      </c>
      <c r="K2239">
        <v>1.104733</v>
      </c>
      <c r="L2239">
        <v>284.25510000000003</v>
      </c>
      <c r="M2239">
        <v>-0.99985990000000002</v>
      </c>
      <c r="N2239">
        <v>0</v>
      </c>
      <c r="O2239">
        <v>-9.212853E-3</v>
      </c>
      <c r="P2239">
        <v>-0.99988909999999998</v>
      </c>
      <c r="Q2239">
        <v>1.1976230000000001E-3</v>
      </c>
      <c r="R2239">
        <v>-1.4856869999999999E-2</v>
      </c>
      <c r="S2239">
        <v>-3.004181</v>
      </c>
      <c r="T2239">
        <v>-0.13217039999999999</v>
      </c>
      <c r="U2239">
        <v>0.24429319999999999</v>
      </c>
      <c r="V2239">
        <v>-5.6386980000000001E-3</v>
      </c>
      <c r="W2239">
        <v>1.5177919999999999E-2</v>
      </c>
      <c r="X2239">
        <v>0.99986889999999995</v>
      </c>
      <c r="Y2239">
        <v>9.0134710000000007E-2</v>
      </c>
      <c r="Z2239">
        <v>2.383076E-3</v>
      </c>
      <c r="AA2239">
        <v>0.99592669999999905</v>
      </c>
      <c r="AB2239">
        <v>27</v>
      </c>
      <c r="AC2239">
        <v>-24.932500000000001</v>
      </c>
      <c r="AD2239">
        <v>-1.1047306155459999</v>
      </c>
      <c r="AE2239">
        <v>2.0433999999999601</v>
      </c>
      <c r="AF2239">
        <v>2.26861096422348</v>
      </c>
      <c r="AG2239">
        <v>-1.1047306155459999</v>
      </c>
      <c r="AH2239">
        <v>24.8641248845232</v>
      </c>
      <c r="AI2239">
        <v>92.533508938803607</v>
      </c>
      <c r="AJ2239">
        <v>84.786748604974207</v>
      </c>
      <c r="AK2239">
        <v>24.991833300362099</v>
      </c>
    </row>
    <row r="2240" spans="1:37" x14ac:dyDescent="0.2">
      <c r="A2240" t="str">
        <f>"20200111155542877"</f>
        <v>20200111155542877</v>
      </c>
      <c r="B2240" t="str">
        <f>"1578729342864326"</f>
        <v>1578729342864326</v>
      </c>
      <c r="C2240" t="s">
        <v>37</v>
      </c>
      <c r="D2240">
        <v>4.9308889999999996</v>
      </c>
      <c r="E2240">
        <v>0.50655139999999999</v>
      </c>
      <c r="F2240" t="s">
        <v>59</v>
      </c>
      <c r="G2240">
        <v>-353.48430000000002</v>
      </c>
      <c r="H2240" s="1">
        <v>3.1740869999999998E-7</v>
      </c>
      <c r="I2240">
        <v>284.53910000000002</v>
      </c>
      <c r="J2240">
        <v>-283.50060000000002</v>
      </c>
      <c r="K2240">
        <v>1.104732</v>
      </c>
      <c r="L2240">
        <v>284.25209999999998</v>
      </c>
      <c r="M2240">
        <v>-0.99986169999999996</v>
      </c>
      <c r="N2240">
        <v>0</v>
      </c>
      <c r="O2240">
        <v>-9.0070730000000009E-3</v>
      </c>
      <c r="P2240">
        <v>-0.99989340000000004</v>
      </c>
      <c r="Q2240">
        <v>1.0365189999999901E-3</v>
      </c>
      <c r="R2240">
        <v>-1.4572679999999999E-2</v>
      </c>
      <c r="S2240">
        <v>-3.0005799999999998</v>
      </c>
      <c r="T2240">
        <v>-4.7127370000000002E-2</v>
      </c>
      <c r="U2240">
        <v>1.211548E-2</v>
      </c>
      <c r="V2240">
        <v>-5.5605230000000004E-3</v>
      </c>
      <c r="W2240">
        <v>1.501487E-2</v>
      </c>
      <c r="X2240">
        <v>0.99987179999999998</v>
      </c>
      <c r="Y2240">
        <v>1.3042679999999999E-2</v>
      </c>
      <c r="Z2240">
        <v>2.4388759999999999E-4</v>
      </c>
      <c r="AA2240">
        <v>0.99991489999999905</v>
      </c>
      <c r="AB2240">
        <v>27</v>
      </c>
      <c r="AC2240">
        <v>-69.983699999999999</v>
      </c>
      <c r="AD2240">
        <v>-1.1047316825913001</v>
      </c>
      <c r="AE2240">
        <v>0.28700000000003401</v>
      </c>
      <c r="AF2240">
        <v>0.91716972134539998</v>
      </c>
      <c r="AG2240">
        <v>-1.1047316825913001</v>
      </c>
      <c r="AH2240">
        <v>69.960842492272704</v>
      </c>
      <c r="AI2240">
        <v>90.904588385847504</v>
      </c>
      <c r="AJ2240">
        <v>89.248909217553603</v>
      </c>
      <c r="AK2240">
        <v>69.975575128875207</v>
      </c>
    </row>
    <row r="2241" spans="1:37" x14ac:dyDescent="0.2">
      <c r="A2241" t="str">
        <f>"20200111155542890"</f>
        <v>20200111155542890</v>
      </c>
      <c r="B2241" t="str">
        <f>"1578729342884822"</f>
        <v>1578729342884822</v>
      </c>
      <c r="C2241" t="s">
        <v>37</v>
      </c>
      <c r="D2241">
        <v>4.8775699999999897</v>
      </c>
      <c r="E2241">
        <v>0.50526759999999904</v>
      </c>
      <c r="F2241" t="s">
        <v>59</v>
      </c>
      <c r="G2241">
        <v>-361.7971</v>
      </c>
      <c r="H2241" s="1">
        <v>-5.8046729999999996E-7</v>
      </c>
      <c r="I2241">
        <v>284.42410000000001</v>
      </c>
      <c r="J2241">
        <v>-283.65300000000002</v>
      </c>
      <c r="K2241">
        <v>1.1047309999999999</v>
      </c>
      <c r="L2241">
        <v>284.25080000000003</v>
      </c>
      <c r="M2241">
        <v>-0.99986260000000005</v>
      </c>
      <c r="N2241">
        <v>0</v>
      </c>
      <c r="O2241">
        <v>-8.9164580000000004E-3</v>
      </c>
      <c r="P2241">
        <v>-0.99989599999999901</v>
      </c>
      <c r="Q2241">
        <v>6.7564100000000005E-4</v>
      </c>
      <c r="R2241">
        <v>-1.441631E-2</v>
      </c>
      <c r="S2241">
        <v>-3.0004580000000001</v>
      </c>
      <c r="T2241">
        <v>-4.2335270000000001E-2</v>
      </c>
      <c r="U2241">
        <v>6.5917969999999999E-3</v>
      </c>
      <c r="V2241">
        <v>-5.4947559999999999E-3</v>
      </c>
      <c r="W2241">
        <v>1.465346E-2</v>
      </c>
      <c r="X2241">
        <v>0.99987749999999997</v>
      </c>
      <c r="Y2241">
        <v>1.1112149999999999E-2</v>
      </c>
      <c r="Z2241">
        <v>2.042027E-4</v>
      </c>
      <c r="AA2241">
        <v>0.9999382</v>
      </c>
      <c r="AB2241">
        <v>27</v>
      </c>
      <c r="AC2241">
        <v>-78.144099999999895</v>
      </c>
      <c r="AD2241">
        <v>-1.1047315804672999</v>
      </c>
      <c r="AE2241">
        <v>0.173299999999983</v>
      </c>
      <c r="AF2241">
        <v>0.86995587024818</v>
      </c>
      <c r="AG2241">
        <v>-1.1047315804672999</v>
      </c>
      <c r="AH2241">
        <v>78.123834021981196</v>
      </c>
      <c r="AI2241">
        <v>90.810102526582796</v>
      </c>
      <c r="AJ2241">
        <v>89.362003411295504</v>
      </c>
      <c r="AK2241">
        <v>78.136487618622397</v>
      </c>
    </row>
    <row r="2242" spans="1:37" x14ac:dyDescent="0.2">
      <c r="A2242" t="str">
        <f>"20200111155542904"</f>
        <v>20200111155542904</v>
      </c>
      <c r="B2242" t="str">
        <f>"1578729342894582"</f>
        <v>1578729342894582</v>
      </c>
      <c r="C2242" t="s">
        <v>37</v>
      </c>
      <c r="D2242">
        <v>4.8050220000000001</v>
      </c>
      <c r="E2242">
        <v>0.50482879999999997</v>
      </c>
      <c r="F2242" t="s">
        <v>59</v>
      </c>
      <c r="G2242">
        <v>-367.73320000000001</v>
      </c>
      <c r="H2242" s="1">
        <v>2.5784379999999999E-6</v>
      </c>
      <c r="I2242">
        <v>284.1644</v>
      </c>
      <c r="J2242">
        <v>-283.815</v>
      </c>
      <c r="K2242">
        <v>1.1047290000000001</v>
      </c>
      <c r="L2242">
        <v>284.24950000000001</v>
      </c>
      <c r="M2242">
        <v>-0.99986359999999996</v>
      </c>
      <c r="N2242">
        <v>0</v>
      </c>
      <c r="O2242">
        <v>-8.8191620000000002E-3</v>
      </c>
      <c r="P2242">
        <v>-0.99989859999999897</v>
      </c>
      <c r="Q2242">
        <v>6.1894769999999895E-4</v>
      </c>
      <c r="R2242">
        <v>-1.424124E-2</v>
      </c>
      <c r="S2242">
        <v>-3.000305</v>
      </c>
      <c r="T2242">
        <v>-3.9420959999999998E-2</v>
      </c>
      <c r="U2242">
        <v>-3.0822750000000002E-3</v>
      </c>
      <c r="V2242">
        <v>-5.417046E-3</v>
      </c>
      <c r="W2242">
        <v>1.4595769999999999E-2</v>
      </c>
      <c r="X2242">
        <v>0.99987879999999996</v>
      </c>
      <c r="Y2242">
        <v>7.7913039999999998E-3</v>
      </c>
      <c r="Z2242">
        <v>1.670625E-4</v>
      </c>
      <c r="AA2242">
        <v>0.99996969999999996</v>
      </c>
      <c r="AB2242">
        <v>27</v>
      </c>
      <c r="AC2242">
        <v>-83.918199999999999</v>
      </c>
      <c r="AD2242">
        <v>-1.1047264215620001</v>
      </c>
      <c r="AE2242">
        <v>-8.5100000000011194E-2</v>
      </c>
      <c r="AF2242">
        <v>0.65495017886501605</v>
      </c>
      <c r="AG2242">
        <v>-1.1047264215620001</v>
      </c>
      <c r="AH2242">
        <v>83.901146398172202</v>
      </c>
      <c r="AI2242">
        <v>90.754346973448307</v>
      </c>
      <c r="AJ2242">
        <v>89.552746053641897</v>
      </c>
      <c r="AK2242">
        <v>83.910975129185701</v>
      </c>
    </row>
    <row r="2243" spans="1:37" x14ac:dyDescent="0.2">
      <c r="A2243" t="str">
        <f>"20200111155542917"</f>
        <v>20200111155542917</v>
      </c>
      <c r="B2243" t="str">
        <f>"1578729342914102"</f>
        <v>1578729342914102</v>
      </c>
      <c r="C2243" t="s">
        <v>37</v>
      </c>
      <c r="D2243">
        <v>4.7577879999999997</v>
      </c>
      <c r="E2243">
        <v>0.50366160000000004</v>
      </c>
      <c r="F2243" t="s">
        <v>59</v>
      </c>
      <c r="G2243">
        <v>-366.11939999999998</v>
      </c>
      <c r="H2243" s="1">
        <v>1.719669E-6</v>
      </c>
      <c r="I2243">
        <v>284.08120000000002</v>
      </c>
      <c r="J2243">
        <v>-283.98129999999998</v>
      </c>
      <c r="K2243">
        <v>1.1047279999999999</v>
      </c>
      <c r="L2243">
        <v>284.24810000000002</v>
      </c>
      <c r="M2243">
        <v>-0.99986439999999999</v>
      </c>
      <c r="N2243">
        <v>0</v>
      </c>
      <c r="O2243">
        <v>-8.7180439999999994E-3</v>
      </c>
      <c r="P2243">
        <v>-0.99989980000000001</v>
      </c>
      <c r="Q2243">
        <v>4.4510889999999998E-4</v>
      </c>
      <c r="R2243">
        <v>-1.415314E-2</v>
      </c>
      <c r="S2243">
        <v>-3.0002749999999998</v>
      </c>
      <c r="T2243">
        <v>-4.0271040000000001E-2</v>
      </c>
      <c r="U2243">
        <v>-6.1340329999999997E-3</v>
      </c>
      <c r="V2243">
        <v>-5.4304089999999998E-3</v>
      </c>
      <c r="W2243">
        <v>1.4420789999999999E-2</v>
      </c>
      <c r="X2243">
        <v>0.99988129999999997</v>
      </c>
      <c r="Y2243">
        <v>6.6730829999999998E-3</v>
      </c>
      <c r="Z2243">
        <v>1.6180470000000001E-4</v>
      </c>
      <c r="AA2243">
        <v>0.99997769999999997</v>
      </c>
      <c r="AB2243">
        <v>26</v>
      </c>
      <c r="AC2243">
        <v>-82.138099999999994</v>
      </c>
      <c r="AD2243">
        <v>-1.1047262803309901</v>
      </c>
      <c r="AE2243">
        <v>-0.16689999999999799</v>
      </c>
      <c r="AF2243">
        <v>0.54916046717450895</v>
      </c>
      <c r="AG2243">
        <v>-1.1047262803309901</v>
      </c>
      <c r="AH2243">
        <v>82.121577991559207</v>
      </c>
      <c r="AI2243">
        <v>90.7706978150064</v>
      </c>
      <c r="AJ2243">
        <v>89.616859431906505</v>
      </c>
      <c r="AK2243">
        <v>82.130844201170305</v>
      </c>
    </row>
    <row r="2244" spans="1:37" x14ac:dyDescent="0.2">
      <c r="A2244" t="str">
        <f>"20200111155542932"</f>
        <v>20200111155542932</v>
      </c>
      <c r="B2244" t="str">
        <f>"1578729342924838"</f>
        <v>1578729342924838</v>
      </c>
      <c r="C2244" t="s">
        <v>37</v>
      </c>
      <c r="D2244">
        <v>4.7770599999999996</v>
      </c>
      <c r="E2244">
        <v>0.50345810000000002</v>
      </c>
      <c r="F2244" t="s">
        <v>59</v>
      </c>
      <c r="G2244">
        <v>-370.1336</v>
      </c>
      <c r="H2244" s="1">
        <v>-1.465691E-6</v>
      </c>
      <c r="I2244">
        <v>283.81869999999998</v>
      </c>
      <c r="J2244">
        <v>-284.1549</v>
      </c>
      <c r="K2244">
        <v>1.1047309999999999</v>
      </c>
      <c r="L2244">
        <v>284.24669999999998</v>
      </c>
      <c r="M2244">
        <v>-0.99986529999999996</v>
      </c>
      <c r="N2244">
        <v>0</v>
      </c>
      <c r="O2244">
        <v>-8.6086900000000004E-3</v>
      </c>
      <c r="P2244">
        <v>-0.99990299999999999</v>
      </c>
      <c r="Q2244">
        <v>6.9365839999999904E-4</v>
      </c>
      <c r="R2244">
        <v>-1.392321E-2</v>
      </c>
      <c r="S2244">
        <v>-3.0001220000000002</v>
      </c>
      <c r="T2244">
        <v>-3.8470509999999999E-2</v>
      </c>
      <c r="U2244">
        <v>-1.4953610000000001E-2</v>
      </c>
      <c r="V2244">
        <v>-5.3092869999999898E-3</v>
      </c>
      <c r="W2244">
        <v>1.4668240000000001E-2</v>
      </c>
      <c r="X2244">
        <v>0.9998783</v>
      </c>
      <c r="Y2244">
        <v>3.6243289999999999E-3</v>
      </c>
      <c r="Z2244">
        <v>1.336292E-4</v>
      </c>
      <c r="AA2244">
        <v>0.99999340000000003</v>
      </c>
      <c r="AB2244">
        <v>26</v>
      </c>
      <c r="AC2244">
        <v>-85.978700000000003</v>
      </c>
      <c r="AD2244">
        <v>-1.10473246569099</v>
      </c>
      <c r="AE2244">
        <v>-0.42799999999999699</v>
      </c>
      <c r="AF2244">
        <v>0.312200573781517</v>
      </c>
      <c r="AG2244">
        <v>-1.10473246569099</v>
      </c>
      <c r="AH2244">
        <v>85.965006282572901</v>
      </c>
      <c r="AI2244">
        <v>90.736260126059804</v>
      </c>
      <c r="AJ2244">
        <v>89.791918858956905</v>
      </c>
      <c r="AK2244">
        <v>85.972671286763003</v>
      </c>
    </row>
    <row r="2245" spans="1:37" x14ac:dyDescent="0.2">
      <c r="A2245" t="str">
        <f>"20200111155542946"</f>
        <v>20200111155542946</v>
      </c>
      <c r="B2245" t="str">
        <f>"1578729342934598"</f>
        <v>1578729342934598</v>
      </c>
      <c r="C2245" t="s">
        <v>37</v>
      </c>
      <c r="D2245">
        <v>4.853148</v>
      </c>
      <c r="E2245">
        <v>0.50300310000000004</v>
      </c>
      <c r="F2245" t="s">
        <v>59</v>
      </c>
      <c r="G2245">
        <v>-371.68779999999998</v>
      </c>
      <c r="H2245" s="1">
        <v>-6.3860979999999999E-7</v>
      </c>
      <c r="I2245">
        <v>283.78370000000001</v>
      </c>
      <c r="J2245">
        <v>-284.31110000000001</v>
      </c>
      <c r="K2245">
        <v>1.10473</v>
      </c>
      <c r="L2245">
        <v>284.24549999999999</v>
      </c>
      <c r="M2245">
        <v>-0.99986620000000004</v>
      </c>
      <c r="N2245">
        <v>0</v>
      </c>
      <c r="O2245">
        <v>-8.5077959999999998E-3</v>
      </c>
      <c r="P2245">
        <v>-0.9999034</v>
      </c>
      <c r="Q2245">
        <v>7.7675279999999997E-4</v>
      </c>
      <c r="R2245">
        <v>-1.389133E-2</v>
      </c>
      <c r="S2245">
        <v>-3.0000610000000001</v>
      </c>
      <c r="T2245">
        <v>-3.7863019999999997E-2</v>
      </c>
      <c r="U2245">
        <v>-1.586914E-2</v>
      </c>
      <c r="V2245">
        <v>-5.3779379999999996E-3</v>
      </c>
      <c r="W2245">
        <v>1.4750249999999999E-2</v>
      </c>
      <c r="X2245">
        <v>0.99987669999999995</v>
      </c>
      <c r="Y2245">
        <v>3.2182320000000001E-3</v>
      </c>
      <c r="Z2245">
        <v>1.276859E-4</v>
      </c>
      <c r="AA2245">
        <v>0.99999479999999996</v>
      </c>
      <c r="AB2245">
        <v>26</v>
      </c>
      <c r="AC2245">
        <v>-87.3766999999999</v>
      </c>
      <c r="AD2245">
        <v>-1.1047306386097999</v>
      </c>
      <c r="AE2245">
        <v>-0.461799999999982</v>
      </c>
      <c r="AF2245">
        <v>0.28162740229007099</v>
      </c>
      <c r="AG2245">
        <v>-1.1047306386097999</v>
      </c>
      <c r="AH2245">
        <v>87.36350138185</v>
      </c>
      <c r="AI2245">
        <v>90.724475322718604</v>
      </c>
      <c r="AJ2245">
        <v>89.815300378333404</v>
      </c>
      <c r="AK2245">
        <v>87.3709397767594</v>
      </c>
    </row>
    <row r="2246" spans="1:37" x14ac:dyDescent="0.2">
      <c r="A2246" t="str">
        <f>"20200111155542959"</f>
        <v>20200111155542959</v>
      </c>
      <c r="B2246" t="str">
        <f>"1578729342955095"</f>
        <v>1578729342955095</v>
      </c>
      <c r="C2246" t="s">
        <v>37</v>
      </c>
      <c r="D2246">
        <v>4.8463010000000004</v>
      </c>
      <c r="E2246">
        <v>0.50273619999999997</v>
      </c>
      <c r="F2246" t="s">
        <v>59</v>
      </c>
      <c r="G2246">
        <v>-375.92559999999997</v>
      </c>
      <c r="H2246" s="1">
        <v>1.616505E-6</v>
      </c>
      <c r="I2246">
        <v>283.64999999999998</v>
      </c>
      <c r="J2246">
        <v>-284.47820000000002</v>
      </c>
      <c r="K2246">
        <v>1.104725</v>
      </c>
      <c r="L2246">
        <v>284.2441</v>
      </c>
      <c r="M2246">
        <v>-0.99986710000000001</v>
      </c>
      <c r="N2246">
        <v>0</v>
      </c>
      <c r="O2246">
        <v>-8.3969979999999993E-3</v>
      </c>
      <c r="P2246">
        <v>-0.99990270000000003</v>
      </c>
      <c r="Q2246">
        <v>7.7938469999999996E-4</v>
      </c>
      <c r="R2246">
        <v>-1.393316E-2</v>
      </c>
      <c r="S2246">
        <v>-3.000092</v>
      </c>
      <c r="T2246">
        <v>-3.6176439999999997E-2</v>
      </c>
      <c r="U2246">
        <v>-1.9500730000000001E-2</v>
      </c>
      <c r="V2246">
        <v>-5.5309829999999997E-3</v>
      </c>
      <c r="W2246">
        <v>1.475168E-2</v>
      </c>
      <c r="X2246">
        <v>0.99987590000000004</v>
      </c>
      <c r="Y2246">
        <v>1.89721299999999E-3</v>
      </c>
      <c r="Z2246">
        <v>1.126965E-4</v>
      </c>
      <c r="AA2246">
        <v>0.99999819999999995</v>
      </c>
      <c r="AB2246">
        <v>26</v>
      </c>
      <c r="AC2246">
        <v>-91.447399999999902</v>
      </c>
      <c r="AD2246">
        <v>-1.1047233834950001</v>
      </c>
      <c r="AE2246">
        <v>-0.59410000000002505</v>
      </c>
      <c r="AF2246">
        <v>0.17385419796764301</v>
      </c>
      <c r="AG2246">
        <v>-1.1047233834950001</v>
      </c>
      <c r="AH2246">
        <v>91.435821224302202</v>
      </c>
      <c r="AI2246">
        <v>90.692210039563705</v>
      </c>
      <c r="AJ2246">
        <v>89.891059109472806</v>
      </c>
      <c r="AK2246">
        <v>91.442659858507696</v>
      </c>
    </row>
    <row r="2247" spans="1:37" x14ac:dyDescent="0.2">
      <c r="A2247" t="str">
        <f>"20200111155542976"</f>
        <v>20200111155542976</v>
      </c>
      <c r="B2247" t="str">
        <f>"1578729342964855"</f>
        <v>1578729342964855</v>
      </c>
      <c r="C2247" t="s">
        <v>37</v>
      </c>
      <c r="D2247">
        <v>4.8090970000000004</v>
      </c>
      <c r="E2247">
        <v>0.50249730000000004</v>
      </c>
      <c r="F2247" t="s">
        <v>59</v>
      </c>
      <c r="G2247">
        <v>-376.95400000000001</v>
      </c>
      <c r="H2247" s="1">
        <v>2.1637710000000002E-6</v>
      </c>
      <c r="I2247">
        <v>283.57810000000001</v>
      </c>
      <c r="J2247">
        <v>-284.68270000000001</v>
      </c>
      <c r="K2247">
        <v>1.1047199999999999</v>
      </c>
      <c r="L2247">
        <v>284.24259999999998</v>
      </c>
      <c r="M2247">
        <v>-0.99986819999999899</v>
      </c>
      <c r="N2247">
        <v>0</v>
      </c>
      <c r="O2247">
        <v>-8.2570879999999992E-3</v>
      </c>
      <c r="P2247">
        <v>-0.99989799999999995</v>
      </c>
      <c r="Q2247">
        <v>9.8997169999999902E-4</v>
      </c>
      <c r="R2247">
        <v>-1.4261390000000001E-2</v>
      </c>
      <c r="S2247">
        <v>-3.0000309999999999</v>
      </c>
      <c r="T2247">
        <v>-3.5838599999999998E-2</v>
      </c>
      <c r="U2247">
        <v>-2.1606449999999999E-2</v>
      </c>
      <c r="V2247">
        <v>-5.9982059999999999E-3</v>
      </c>
      <c r="W2247">
        <v>1.496051E-2</v>
      </c>
      <c r="X2247">
        <v>0.99987009999999898</v>
      </c>
      <c r="Y2247">
        <v>1.0553730000000001E-3</v>
      </c>
      <c r="Z2247">
        <v>1.049466E-4</v>
      </c>
      <c r="AA2247">
        <v>0.99999950000000004</v>
      </c>
      <c r="AB2247">
        <v>26</v>
      </c>
      <c r="AC2247">
        <v>-92.271299999999997</v>
      </c>
      <c r="AD2247">
        <v>-1.104717836229</v>
      </c>
      <c r="AE2247">
        <v>-0.664499999999975</v>
      </c>
      <c r="AF2247">
        <v>9.7475378939434906E-2</v>
      </c>
      <c r="AG2247">
        <v>-1.104717836229</v>
      </c>
      <c r="AH2247">
        <v>92.260417212188898</v>
      </c>
      <c r="AI2247">
        <v>90.686021280034595</v>
      </c>
      <c r="AJ2247">
        <v>89.939465635313795</v>
      </c>
      <c r="AK2247">
        <v>92.267082359389406</v>
      </c>
    </row>
    <row r="2248" spans="1:37" x14ac:dyDescent="0.2">
      <c r="A2248" t="str">
        <f>"20200111155542990"</f>
        <v>20200111155542990</v>
      </c>
      <c r="B2248" t="str">
        <f>"1578729342984374"</f>
        <v>1578729342984374</v>
      </c>
      <c r="C2248" t="s">
        <v>37</v>
      </c>
      <c r="D2248">
        <v>4.9604150000000002</v>
      </c>
      <c r="E2248">
        <v>0.50248110000000001</v>
      </c>
      <c r="F2248" t="s">
        <v>59</v>
      </c>
      <c r="G2248">
        <v>-380.65620000000001</v>
      </c>
      <c r="H2248" s="1">
        <v>-1.1875949999999999E-6</v>
      </c>
      <c r="I2248">
        <v>283.45769999999999</v>
      </c>
      <c r="J2248">
        <v>-284.83170000000001</v>
      </c>
      <c r="K2248">
        <v>1.104725</v>
      </c>
      <c r="L2248">
        <v>284.24149999999997</v>
      </c>
      <c r="M2248">
        <v>-0.99986939999999902</v>
      </c>
      <c r="N2248">
        <v>0</v>
      </c>
      <c r="O2248">
        <v>-8.1515310000000001E-3</v>
      </c>
      <c r="P2248">
        <v>-0.99989680000000003</v>
      </c>
      <c r="Q2248">
        <v>1.281779E-3</v>
      </c>
      <c r="R2248">
        <v>-1.431644E-2</v>
      </c>
      <c r="S2248">
        <v>-3</v>
      </c>
      <c r="T2248">
        <v>-3.4532069999999998E-2</v>
      </c>
      <c r="U2248">
        <v>-2.453613E-2</v>
      </c>
      <c r="V2248">
        <v>-6.1593300000000002E-3</v>
      </c>
      <c r="W2248">
        <v>1.525135E-2</v>
      </c>
      <c r="X2248">
        <v>0.99986469999999905</v>
      </c>
      <c r="Y2248" s="1">
        <v>-2.665053E-5</v>
      </c>
      <c r="Z2248" s="1">
        <v>9.3679280000000001E-5</v>
      </c>
      <c r="AA2248">
        <v>1</v>
      </c>
      <c r="AB2248">
        <v>26</v>
      </c>
      <c r="AC2248">
        <v>-95.8245</v>
      </c>
      <c r="AD2248">
        <v>-1.1047261875950001</v>
      </c>
      <c r="AE2248">
        <v>-0.78379999999998495</v>
      </c>
      <c r="AF2248">
        <v>-2.5811617399329398E-3</v>
      </c>
      <c r="AG2248">
        <v>-1.1047261875950001</v>
      </c>
      <c r="AH2248">
        <v>95.814971599568395</v>
      </c>
      <c r="AI2248">
        <v>90.660578847254499</v>
      </c>
      <c r="AJ2248">
        <v>90.001543492331393</v>
      </c>
      <c r="AK2248">
        <v>95.821340051358405</v>
      </c>
    </row>
    <row r="2249" spans="1:37" x14ac:dyDescent="0.2">
      <c r="A2249" t="str">
        <f>"20200111155543003"</f>
        <v>20200111155543003</v>
      </c>
      <c r="B2249" t="str">
        <f>"1578729342995110"</f>
        <v>1578729342995110</v>
      </c>
      <c r="C2249" t="s">
        <v>37</v>
      </c>
      <c r="D2249">
        <v>4.8337680000000001</v>
      </c>
      <c r="E2249">
        <v>0.5025539</v>
      </c>
      <c r="F2249" t="s">
        <v>59</v>
      </c>
      <c r="G2249">
        <v>-384.41390000000001</v>
      </c>
      <c r="H2249" s="1">
        <v>8.1209159999999899E-7</v>
      </c>
      <c r="I2249">
        <v>283.41890000000001</v>
      </c>
      <c r="J2249">
        <v>-284.99029999999999</v>
      </c>
      <c r="K2249">
        <v>1.104724</v>
      </c>
      <c r="L2249">
        <v>284.24029999999999</v>
      </c>
      <c r="M2249">
        <v>-0.99987029999999999</v>
      </c>
      <c r="N2249">
        <v>0</v>
      </c>
      <c r="O2249">
        <v>-8.0366710000000004E-3</v>
      </c>
      <c r="P2249">
        <v>-0.99989419999999996</v>
      </c>
      <c r="Q2249">
        <v>1.4985089999999901E-3</v>
      </c>
      <c r="R2249">
        <v>-1.447563E-2</v>
      </c>
      <c r="S2249">
        <v>-3.0000309999999999</v>
      </c>
      <c r="T2249">
        <v>-3.3281089999999999E-2</v>
      </c>
      <c r="U2249">
        <v>-2.478027E-2</v>
      </c>
      <c r="V2249">
        <v>-6.432976E-3</v>
      </c>
      <c r="W2249">
        <v>1.5466850000000001E-2</v>
      </c>
      <c r="X2249">
        <v>0.99985970000000002</v>
      </c>
      <c r="Y2249">
        <v>-2.2275929999999999E-4</v>
      </c>
      <c r="Z2249" s="1">
        <v>8.7922899999999998E-5</v>
      </c>
      <c r="AA2249">
        <v>1</v>
      </c>
      <c r="AB2249">
        <v>26</v>
      </c>
      <c r="AC2249">
        <v>-99.423599999999993</v>
      </c>
      <c r="AD2249">
        <v>-1.1047231879084001</v>
      </c>
      <c r="AE2249">
        <v>-0.82139999999998203</v>
      </c>
      <c r="AF2249">
        <v>-2.2258122033188402E-2</v>
      </c>
      <c r="AG2249">
        <v>-1.1047231879084001</v>
      </c>
      <c r="AH2249">
        <v>99.414717546072694</v>
      </c>
      <c r="AI2249">
        <v>90.636659953881903</v>
      </c>
      <c r="AJ2249">
        <v>90.012828044605001</v>
      </c>
      <c r="AK2249">
        <v>99.420857839345302</v>
      </c>
    </row>
    <row r="2250" spans="1:37" x14ac:dyDescent="0.2">
      <c r="A2250" t="str">
        <f>"20200111155543016"</f>
        <v>20200111155543016</v>
      </c>
      <c r="B2250" t="str">
        <f>"1578729343004871"</f>
        <v>1578729343004871</v>
      </c>
      <c r="C2250" t="s">
        <v>37</v>
      </c>
      <c r="D2250">
        <v>4.829949</v>
      </c>
      <c r="E2250">
        <v>0.50259849999999995</v>
      </c>
      <c r="F2250" t="s">
        <v>59</v>
      </c>
      <c r="G2250">
        <v>-389.7747</v>
      </c>
      <c r="H2250" s="1">
        <v>3.6648309999999998E-6</v>
      </c>
      <c r="I2250">
        <v>283.37689999999998</v>
      </c>
      <c r="J2250">
        <v>-285.14729999999997</v>
      </c>
      <c r="K2250">
        <v>1.1047180000000001</v>
      </c>
      <c r="L2250">
        <v>284.23919999999998</v>
      </c>
      <c r="M2250">
        <v>-0.99987130000000002</v>
      </c>
      <c r="N2250">
        <v>0</v>
      </c>
      <c r="O2250">
        <v>-7.9196639999999999E-3</v>
      </c>
      <c r="P2250">
        <v>-0.99989280000000003</v>
      </c>
      <c r="Q2250">
        <v>1.91663799999999E-3</v>
      </c>
      <c r="R2250">
        <v>-1.452439E-2</v>
      </c>
      <c r="S2250">
        <v>-3</v>
      </c>
      <c r="T2250">
        <v>-3.1628370000000003E-2</v>
      </c>
      <c r="U2250">
        <v>-2.471924E-2</v>
      </c>
      <c r="V2250">
        <v>-6.5983709999999996E-3</v>
      </c>
      <c r="W2250">
        <v>1.5883560000000001E-2</v>
      </c>
      <c r="X2250">
        <v>0.99985210000000002</v>
      </c>
      <c r="Y2250">
        <v>-3.1946559999999999E-4</v>
      </c>
      <c r="Z2250" s="1">
        <v>8.1814460000000005E-5</v>
      </c>
      <c r="AA2250">
        <v>0.99999989999999905</v>
      </c>
      <c r="AB2250">
        <v>26</v>
      </c>
      <c r="AC2250">
        <v>-104.62739999999999</v>
      </c>
      <c r="AD2250">
        <v>-1.1047143351690001</v>
      </c>
      <c r="AE2250">
        <v>-0.86230000000000395</v>
      </c>
      <c r="AF2250">
        <v>-3.35746944269091E-2</v>
      </c>
      <c r="AG2250">
        <v>-1.1047143351690001</v>
      </c>
      <c r="AH2250">
        <v>104.619285436944</v>
      </c>
      <c r="AI2250">
        <v>90.604985143192195</v>
      </c>
      <c r="AJ2250">
        <v>90.018387510629793</v>
      </c>
      <c r="AK2250">
        <v>104.625123208334</v>
      </c>
    </row>
    <row r="2251" spans="1:37" x14ac:dyDescent="0.2">
      <c r="A2251" t="str">
        <f>"20200111155543033"</f>
        <v>20200111155543033</v>
      </c>
      <c r="B2251" t="str">
        <f>"1578729343024390"</f>
        <v>1578729343024390</v>
      </c>
      <c r="C2251" t="s">
        <v>37</v>
      </c>
      <c r="D2251">
        <v>4.8006010000000003</v>
      </c>
      <c r="E2251">
        <v>0.50258649999999905</v>
      </c>
      <c r="F2251" t="s">
        <v>59</v>
      </c>
      <c r="G2251">
        <v>-396.70979999999997</v>
      </c>
      <c r="H2251" s="1">
        <v>2.0338419999999998E-6</v>
      </c>
      <c r="I2251">
        <v>283.33240000000001</v>
      </c>
      <c r="J2251">
        <v>-285.34300000000002</v>
      </c>
      <c r="K2251">
        <v>1.1047209999999901</v>
      </c>
      <c r="L2251">
        <v>284.23779999999999</v>
      </c>
      <c r="M2251">
        <v>-0.99987239999999999</v>
      </c>
      <c r="N2251">
        <v>0</v>
      </c>
      <c r="O2251">
        <v>-7.7683090000000002E-3</v>
      </c>
      <c r="P2251">
        <v>-0.99989150000000004</v>
      </c>
      <c r="Q2251">
        <v>2.0405200000000001E-3</v>
      </c>
      <c r="R2251">
        <v>-1.459239E-2</v>
      </c>
      <c r="S2251">
        <v>-3.0000309999999999</v>
      </c>
      <c r="T2251">
        <v>-2.9706949999999999E-2</v>
      </c>
      <c r="U2251">
        <v>-2.4383539999999999E-2</v>
      </c>
      <c r="V2251">
        <v>-6.8171940000000004E-3</v>
      </c>
      <c r="W2251">
        <v>1.6006079999999999E-2</v>
      </c>
      <c r="X2251">
        <v>0.99984869999999904</v>
      </c>
      <c r="Y2251">
        <v>-3.5880640000000001E-4</v>
      </c>
      <c r="Z2251" s="1">
        <v>7.5150219999999999E-5</v>
      </c>
      <c r="AA2251">
        <v>0.99999989999999905</v>
      </c>
      <c r="AB2251">
        <v>26</v>
      </c>
      <c r="AC2251">
        <v>-111.366799999999</v>
      </c>
      <c r="AD2251">
        <v>-1.1047189661579999</v>
      </c>
      <c r="AE2251">
        <v>-0.90539999999998599</v>
      </c>
      <c r="AF2251">
        <v>-4.0152717674268298E-2</v>
      </c>
      <c r="AG2251">
        <v>-1.1047189661579999</v>
      </c>
      <c r="AH2251">
        <v>111.359516123951</v>
      </c>
      <c r="AI2251">
        <v>90.568372207089993</v>
      </c>
      <c r="AJ2251">
        <v>90.020659044140004</v>
      </c>
      <c r="AK2251">
        <v>111.365002795292</v>
      </c>
    </row>
    <row r="2252" spans="1:37" x14ac:dyDescent="0.2">
      <c r="A2252" t="str">
        <f>"20200111155543047"</f>
        <v>20200111155543047</v>
      </c>
      <c r="B2252" t="str">
        <f>"1578729343044887"</f>
        <v>1578729343044887</v>
      </c>
      <c r="C2252" t="s">
        <v>37</v>
      </c>
      <c r="D2252">
        <v>4.7170339999999999</v>
      </c>
      <c r="E2252">
        <v>0.50249829999999995</v>
      </c>
      <c r="F2252" t="s">
        <v>61</v>
      </c>
      <c r="G2252">
        <v>-400.1574</v>
      </c>
      <c r="H2252" s="1">
        <v>8.6066339999999996E-6</v>
      </c>
      <c r="I2252">
        <v>283.2894</v>
      </c>
      <c r="J2252">
        <v>-285.51459999999997</v>
      </c>
      <c r="K2252">
        <v>1.1047180000000001</v>
      </c>
      <c r="L2252">
        <v>284.23660000000001</v>
      </c>
      <c r="M2252">
        <v>-0.99987349999999997</v>
      </c>
      <c r="N2252">
        <v>0</v>
      </c>
      <c r="O2252">
        <v>-7.6313880000000002E-3</v>
      </c>
      <c r="P2252">
        <v>-0.99989319999999904</v>
      </c>
      <c r="Q2252">
        <v>1.7081259999999999E-3</v>
      </c>
      <c r="R2252">
        <v>-1.452265E-2</v>
      </c>
      <c r="S2252">
        <v>-3.0000309999999999</v>
      </c>
      <c r="T2252">
        <v>-2.8865459999999999E-2</v>
      </c>
      <c r="U2252">
        <v>-2.478027E-2</v>
      </c>
      <c r="V2252">
        <v>-6.8844539999999999E-3</v>
      </c>
      <c r="W2252">
        <v>1.567234E-2</v>
      </c>
      <c r="X2252">
        <v>0.99985349999999995</v>
      </c>
      <c r="Y2252">
        <v>-6.2793799999999998E-4</v>
      </c>
      <c r="Z2252" s="1">
        <v>7.0409379999999996E-5</v>
      </c>
      <c r="AA2252">
        <v>0.99999979999999999</v>
      </c>
      <c r="AB2252">
        <v>26</v>
      </c>
      <c r="AC2252">
        <v>-114.64279999999999</v>
      </c>
      <c r="AD2252">
        <v>-1.1047093933659999</v>
      </c>
      <c r="AE2252">
        <v>-0.94720000000000903</v>
      </c>
      <c r="AF2252">
        <v>-7.2196818671170795E-2</v>
      </c>
      <c r="AG2252">
        <v>-1.1047093933659999</v>
      </c>
      <c r="AH2252">
        <v>114.63604643174099</v>
      </c>
      <c r="AI2252">
        <v>90.552123141422996</v>
      </c>
      <c r="AJ2252">
        <v>90.0360843956677</v>
      </c>
      <c r="AK2252">
        <v>114.641391899805</v>
      </c>
    </row>
    <row r="2253" spans="1:37" x14ac:dyDescent="0.2">
      <c r="A2253" t="str">
        <f>"20200111155543063"</f>
        <v>20200111155543063</v>
      </c>
      <c r="B2253" t="str">
        <f>"1578729343054647"</f>
        <v>1578729343054647</v>
      </c>
      <c r="C2253" t="s">
        <v>37</v>
      </c>
      <c r="D2253">
        <v>4.7622200000000001</v>
      </c>
      <c r="E2253">
        <v>0.50252159999999901</v>
      </c>
      <c r="F2253" t="s">
        <v>59</v>
      </c>
      <c r="G2253">
        <v>-396.38589999999999</v>
      </c>
      <c r="H2253" s="1">
        <v>1.8614789999999999E-6</v>
      </c>
      <c r="I2253">
        <v>283.30169999999998</v>
      </c>
      <c r="J2253">
        <v>-285.68880000000001</v>
      </c>
      <c r="K2253">
        <v>1.1047180000000001</v>
      </c>
      <c r="L2253">
        <v>284.23540000000003</v>
      </c>
      <c r="M2253">
        <v>-0.99987469999999901</v>
      </c>
      <c r="N2253">
        <v>0</v>
      </c>
      <c r="O2253">
        <v>-7.4889809999999996E-3</v>
      </c>
      <c r="P2253">
        <v>-0.99989660000000002</v>
      </c>
      <c r="Q2253">
        <v>1.8151139999999901E-3</v>
      </c>
      <c r="R2253">
        <v>-1.427843E-2</v>
      </c>
      <c r="S2253">
        <v>-3</v>
      </c>
      <c r="T2253">
        <v>-2.9891850000000001E-2</v>
      </c>
      <c r="U2253">
        <v>-2.529907E-2</v>
      </c>
      <c r="V2253">
        <v>-6.7828910000000001E-3</v>
      </c>
      <c r="W2253">
        <v>1.577771E-2</v>
      </c>
      <c r="X2253">
        <v>0.99985249999999903</v>
      </c>
      <c r="Y2253">
        <v>-9.4336799999999998E-4</v>
      </c>
      <c r="Z2253" s="1">
        <v>6.992318E-5</v>
      </c>
      <c r="AA2253">
        <v>0.99999950000000004</v>
      </c>
      <c r="AB2253">
        <v>26</v>
      </c>
      <c r="AC2253">
        <v>-110.697099999999</v>
      </c>
      <c r="AD2253">
        <v>-1.104716138521</v>
      </c>
      <c r="AE2253">
        <v>-0.93370000000004405</v>
      </c>
      <c r="AF2253">
        <v>-0.10457428593533701</v>
      </c>
      <c r="AG2253">
        <v>-1.104716138521</v>
      </c>
      <c r="AH2253">
        <v>110.68996511599499</v>
      </c>
      <c r="AI2253">
        <v>90.571808316818803</v>
      </c>
      <c r="AJ2253">
        <v>90.054130141253395</v>
      </c>
      <c r="AK2253">
        <v>110.695527059173</v>
      </c>
    </row>
    <row r="2254" spans="1:37" x14ac:dyDescent="0.2">
      <c r="A2254" t="str">
        <f>"20200111155543077"</f>
        <v>20200111155543077</v>
      </c>
      <c r="B2254" t="str">
        <f>"1578729343075142"</f>
        <v>1578729343075142</v>
      </c>
      <c r="C2254" t="s">
        <v>37</v>
      </c>
      <c r="D2254">
        <v>4.6958830000000003</v>
      </c>
      <c r="E2254">
        <v>0.50245589999999996</v>
      </c>
      <c r="F2254" t="s">
        <v>59</v>
      </c>
      <c r="G2254">
        <v>-398.83280000000002</v>
      </c>
      <c r="H2254" s="1">
        <v>3.1635899999999998E-6</v>
      </c>
      <c r="I2254">
        <v>283.32040000000001</v>
      </c>
      <c r="J2254">
        <v>-285.8621</v>
      </c>
      <c r="K2254">
        <v>1.1047169999999999</v>
      </c>
      <c r="L2254">
        <v>284.23430000000002</v>
      </c>
      <c r="M2254">
        <v>-0.99987569999999903</v>
      </c>
      <c r="N2254">
        <v>0</v>
      </c>
      <c r="O2254">
        <v>-7.3428769999999898E-3</v>
      </c>
      <c r="P2254">
        <v>-0.99990309999999905</v>
      </c>
      <c r="Q2254">
        <v>1.68658E-3</v>
      </c>
      <c r="R2254">
        <v>-1.3826690000000001E-2</v>
      </c>
      <c r="S2254">
        <v>-3.0000610000000001</v>
      </c>
      <c r="T2254">
        <v>-2.929199E-2</v>
      </c>
      <c r="U2254">
        <v>-2.426147E-2</v>
      </c>
      <c r="V2254">
        <v>-6.4772969999999999E-3</v>
      </c>
      <c r="W2254">
        <v>1.564755E-2</v>
      </c>
      <c r="X2254">
        <v>0.99985659999999899</v>
      </c>
      <c r="Y2254">
        <v>-7.434742E-4</v>
      </c>
      <c r="Z2254" s="1">
        <v>6.8068040000000002E-5</v>
      </c>
      <c r="AA2254">
        <v>0.99999969999999905</v>
      </c>
      <c r="AB2254">
        <v>26</v>
      </c>
      <c r="AC2254">
        <v>-112.97069999999999</v>
      </c>
      <c r="AD2254">
        <v>-1.10471383641</v>
      </c>
      <c r="AE2254">
        <v>-0.91390000000001204</v>
      </c>
      <c r="AF2254">
        <v>-8.42565932416902E-2</v>
      </c>
      <c r="AG2254">
        <v>-1.10471383641</v>
      </c>
      <c r="AH2254">
        <v>112.96356375945101</v>
      </c>
      <c r="AI2254">
        <v>90.560299294920497</v>
      </c>
      <c r="AJ2254">
        <v>90.042735428424905</v>
      </c>
      <c r="AK2254">
        <v>112.96899676048</v>
      </c>
    </row>
    <row r="2255" spans="1:37" x14ac:dyDescent="0.2">
      <c r="A2255" t="str">
        <f>"20200111155543090"</f>
        <v>20200111155543090</v>
      </c>
      <c r="B2255" t="str">
        <f>"1578729343084902"</f>
        <v>1578729343084902</v>
      </c>
      <c r="C2255" t="s">
        <v>37</v>
      </c>
      <c r="D2255">
        <v>4.794619</v>
      </c>
      <c r="E2255">
        <v>0.50224499999999905</v>
      </c>
      <c r="F2255" t="s">
        <v>59</v>
      </c>
      <c r="G2255">
        <v>-397.10329999999999</v>
      </c>
      <c r="H2255" s="1">
        <v>2.2432130000000001E-6</v>
      </c>
      <c r="I2255">
        <v>283.36750000000001</v>
      </c>
      <c r="J2255">
        <v>-286.01549999999997</v>
      </c>
      <c r="K2255">
        <v>1.1047129999999901</v>
      </c>
      <c r="L2255">
        <v>284.23329999999999</v>
      </c>
      <c r="M2255">
        <v>-0.9998766</v>
      </c>
      <c r="N2255">
        <v>0</v>
      </c>
      <c r="O2255">
        <v>-7.2089390000000001E-3</v>
      </c>
      <c r="P2255">
        <v>-0.99990440000000003</v>
      </c>
      <c r="Q2255">
        <v>1.6454919999999999E-3</v>
      </c>
      <c r="R2255">
        <v>-1.374015E-2</v>
      </c>
      <c r="S2255">
        <v>-3.0000610000000001</v>
      </c>
      <c r="T2255">
        <v>-2.979302E-2</v>
      </c>
      <c r="U2255">
        <v>-2.3376460000000002E-2</v>
      </c>
      <c r="V2255">
        <v>-6.5240239999999998E-3</v>
      </c>
      <c r="W2255">
        <v>1.5605600000000001E-2</v>
      </c>
      <c r="X2255">
        <v>0.99985689999999905</v>
      </c>
      <c r="Y2255">
        <v>-5.8246199999999995E-4</v>
      </c>
      <c r="Z2255" s="1">
        <v>6.8701689999999999E-5</v>
      </c>
      <c r="AA2255">
        <v>0.99999979999999999</v>
      </c>
      <c r="AB2255">
        <v>26</v>
      </c>
      <c r="AC2255">
        <v>-111.0878</v>
      </c>
      <c r="AD2255">
        <v>-1.10471075678699</v>
      </c>
      <c r="AE2255">
        <v>-0.86579999999997803</v>
      </c>
      <c r="AF2255">
        <v>-6.48678914448136E-2</v>
      </c>
      <c r="AG2255">
        <v>-1.10471075678699</v>
      </c>
      <c r="AH2255">
        <v>111.08017060176201</v>
      </c>
      <c r="AI2255">
        <v>90.569797166933895</v>
      </c>
      <c r="AJ2255">
        <v>90.033459221056901</v>
      </c>
      <c r="AK2255">
        <v>111.085682671602</v>
      </c>
    </row>
    <row r="2256" spans="1:37" x14ac:dyDescent="0.2">
      <c r="A2256" t="str">
        <f>"20200111155543103"</f>
        <v>20200111155543103</v>
      </c>
      <c r="B2256" t="str">
        <f>"1578729343094663"</f>
        <v>1578729343094663</v>
      </c>
      <c r="C2256" t="s">
        <v>37</v>
      </c>
      <c r="D2256">
        <v>4.714607</v>
      </c>
      <c r="E2256">
        <v>0.50215410000000005</v>
      </c>
      <c r="F2256" t="s">
        <v>61</v>
      </c>
      <c r="G2256">
        <v>-400.08789999999999</v>
      </c>
      <c r="H2256" s="1">
        <v>8.6378659999999994E-6</v>
      </c>
      <c r="I2256">
        <v>283.28750000000002</v>
      </c>
      <c r="J2256">
        <v>-286.161</v>
      </c>
      <c r="K2256">
        <v>1.1047100000000001</v>
      </c>
      <c r="L2256">
        <v>284.23239999999998</v>
      </c>
      <c r="M2256">
        <v>-0.99987760000000003</v>
      </c>
      <c r="N2256">
        <v>0</v>
      </c>
      <c r="O2256">
        <v>-7.0795279999999999E-3</v>
      </c>
      <c r="P2256">
        <v>-0.99990759999999901</v>
      </c>
      <c r="Q2256">
        <v>1.3319499999999999E-3</v>
      </c>
      <c r="R2256">
        <v>-1.354663E-2</v>
      </c>
      <c r="S2256">
        <v>-3</v>
      </c>
      <c r="T2256">
        <v>-2.9052729999999999E-2</v>
      </c>
      <c r="U2256">
        <v>-2.4871830000000001E-2</v>
      </c>
      <c r="V2256">
        <v>-6.460169E-3</v>
      </c>
      <c r="W2256">
        <v>1.529092E-2</v>
      </c>
      <c r="X2256">
        <v>0.99986219999999904</v>
      </c>
      <c r="Y2256">
        <v>-1.210418E-3</v>
      </c>
      <c r="Z2256" s="1">
        <v>6.2702090000000003E-5</v>
      </c>
      <c r="AA2256">
        <v>0.99999930000000004</v>
      </c>
      <c r="AB2256">
        <v>26</v>
      </c>
      <c r="AC2256">
        <v>-113.9269</v>
      </c>
      <c r="AD2256">
        <v>-1.1047013621340001</v>
      </c>
      <c r="AE2256">
        <v>-0.94489999999996099</v>
      </c>
      <c r="AF2256">
        <v>-0.13823612597078999</v>
      </c>
      <c r="AG2256">
        <v>-1.1047013621340001</v>
      </c>
      <c r="AH2256">
        <v>113.92002407108799</v>
      </c>
      <c r="AI2256">
        <v>90.555588850441097</v>
      </c>
      <c r="AJ2256">
        <v>90.069525465531498</v>
      </c>
      <c r="AK2256">
        <v>113.92546404857499</v>
      </c>
    </row>
    <row r="2257" spans="1:37" x14ac:dyDescent="0.2">
      <c r="A2257" t="str">
        <f>"20200111155543123"</f>
        <v>20200111155543123</v>
      </c>
      <c r="B2257" t="str">
        <f>"1578729343115158"</f>
        <v>1578729343115158</v>
      </c>
      <c r="C2257" t="s">
        <v>37</v>
      </c>
      <c r="D2257">
        <v>4.8409769999999996</v>
      </c>
      <c r="E2257">
        <v>0.5018669</v>
      </c>
      <c r="F2257" t="s">
        <v>59</v>
      </c>
      <c r="G2257">
        <v>-397.34339999999997</v>
      </c>
      <c r="H2257" s="1">
        <v>2.37097499999999E-6</v>
      </c>
      <c r="I2257">
        <v>283.30950000000001</v>
      </c>
      <c r="J2257">
        <v>-286.39510000000001</v>
      </c>
      <c r="K2257">
        <v>1.1047020000000001</v>
      </c>
      <c r="L2257">
        <v>284.23099999999999</v>
      </c>
      <c r="M2257">
        <v>-0.99987919999999997</v>
      </c>
      <c r="N2257">
        <v>0</v>
      </c>
      <c r="O2257">
        <v>-6.8624419999999998E-3</v>
      </c>
      <c r="P2257">
        <v>-0.99990919999999905</v>
      </c>
      <c r="Q2257">
        <v>1.6854719999999999E-3</v>
      </c>
      <c r="R2257">
        <v>-1.3377399999999999E-2</v>
      </c>
      <c r="S2257">
        <v>-2.9999689999999899</v>
      </c>
      <c r="T2257">
        <v>-2.9807690000000001E-2</v>
      </c>
      <c r="U2257">
        <v>-2.4902339999999999E-2</v>
      </c>
      <c r="V2257">
        <v>-6.507334E-3</v>
      </c>
      <c r="W2257">
        <v>1.5641829999999999E-2</v>
      </c>
      <c r="X2257">
        <v>0.99985650000000004</v>
      </c>
      <c r="Y2257">
        <v>-1.4377789999999999E-3</v>
      </c>
      <c r="Z2257" s="1">
        <v>6.1045519999999897E-5</v>
      </c>
      <c r="AA2257">
        <v>0.99999899999999997</v>
      </c>
      <c r="AB2257">
        <v>26</v>
      </c>
      <c r="AC2257">
        <v>-110.94829999999899</v>
      </c>
      <c r="AD2257">
        <v>-1.104699629025</v>
      </c>
      <c r="AE2257">
        <v>-0.92149999999998</v>
      </c>
      <c r="AF2257">
        <v>-0.160012109471631</v>
      </c>
      <c r="AG2257">
        <v>-1.104699629025</v>
      </c>
      <c r="AH2257">
        <v>110.94101347837599</v>
      </c>
      <c r="AI2257">
        <v>90.570505593393406</v>
      </c>
      <c r="AJ2257">
        <v>90.082638619379097</v>
      </c>
      <c r="AK2257">
        <v>110.94662877597899</v>
      </c>
    </row>
    <row r="2258" spans="1:37" x14ac:dyDescent="0.2">
      <c r="A2258" t="str">
        <f>"20200111155543137"</f>
        <v>20200111155543137</v>
      </c>
      <c r="B2258" t="str">
        <f>"1578729343134679"</f>
        <v>1578729343134679</v>
      </c>
      <c r="C2258" t="s">
        <v>37</v>
      </c>
      <c r="D2258">
        <v>4.7064919999999999</v>
      </c>
      <c r="E2258">
        <v>0.50164579999999903</v>
      </c>
      <c r="F2258" t="s">
        <v>61</v>
      </c>
      <c r="G2258">
        <v>-405.84820000000002</v>
      </c>
      <c r="H2258" s="1">
        <v>6.1084059999999903E-6</v>
      </c>
      <c r="I2258">
        <v>283.16649999999998</v>
      </c>
      <c r="J2258">
        <v>-286.56799999999998</v>
      </c>
      <c r="K2258">
        <v>1.1046989999999901</v>
      </c>
      <c r="L2258">
        <v>284.23</v>
      </c>
      <c r="M2258">
        <v>-0.99988029999999894</v>
      </c>
      <c r="N2258">
        <v>0</v>
      </c>
      <c r="O2258">
        <v>-6.6962929999999999E-3</v>
      </c>
      <c r="P2258">
        <v>-0.99990800000000002</v>
      </c>
      <c r="Q2258">
        <v>2.0849670000000001E-3</v>
      </c>
      <c r="R2258">
        <v>-1.341181E-2</v>
      </c>
      <c r="S2258">
        <v>-2.9999689999999899</v>
      </c>
      <c r="T2258">
        <v>-2.774358E-2</v>
      </c>
      <c r="U2258">
        <v>-2.6733400000000001E-2</v>
      </c>
      <c r="V2258">
        <v>-6.7075349999999997E-3</v>
      </c>
      <c r="W2258">
        <v>1.6039939999999999E-2</v>
      </c>
      <c r="X2258">
        <v>0.99984879999999998</v>
      </c>
      <c r="Y2258">
        <v>-2.2141840000000001E-3</v>
      </c>
      <c r="Z2258" s="1">
        <v>5.1691759999999901E-5</v>
      </c>
      <c r="AA2258">
        <v>0.99999760000000004</v>
      </c>
      <c r="AB2258">
        <v>26</v>
      </c>
      <c r="AC2258">
        <v>-119.28019999999999</v>
      </c>
      <c r="AD2258">
        <v>-1.104692891594</v>
      </c>
      <c r="AE2258">
        <v>-1.0635000000000301</v>
      </c>
      <c r="AF2258">
        <v>-0.26464057951347603</v>
      </c>
      <c r="AG2258">
        <v>-1.104692891594</v>
      </c>
      <c r="AH2258">
        <v>119.274417755185</v>
      </c>
      <c r="AI2258">
        <v>90.530644173717207</v>
      </c>
      <c r="AJ2258">
        <v>90.127125025617303</v>
      </c>
      <c r="AK2258">
        <v>119.279826927522</v>
      </c>
    </row>
    <row r="2259" spans="1:37" x14ac:dyDescent="0.2">
      <c r="A2259" t="str">
        <f>"20200111155543152"</f>
        <v>20200111155543152</v>
      </c>
      <c r="B2259" t="str">
        <f>"1578729343144439"</f>
        <v>1578729343144439</v>
      </c>
      <c r="C2259" t="s">
        <v>37</v>
      </c>
      <c r="D2259">
        <v>4.7442169999999999</v>
      </c>
      <c r="E2259">
        <v>0.50158749999999996</v>
      </c>
      <c r="F2259" t="s">
        <v>61</v>
      </c>
      <c r="G2259">
        <v>-419.42849999999999</v>
      </c>
      <c r="H2259" s="1">
        <v>4.0223399999999998E-6</v>
      </c>
      <c r="I2259">
        <v>282.9676</v>
      </c>
      <c r="J2259">
        <v>-286.73070000000001</v>
      </c>
      <c r="K2259">
        <v>1.1046940000000001</v>
      </c>
      <c r="L2259">
        <v>284.22910000000002</v>
      </c>
      <c r="M2259">
        <v>-0.99988140000000003</v>
      </c>
      <c r="N2259">
        <v>0</v>
      </c>
      <c r="O2259">
        <v>-6.5338419999999998E-3</v>
      </c>
      <c r="P2259">
        <v>-0.999901499999999</v>
      </c>
      <c r="Q2259">
        <v>2.6434190000000002E-3</v>
      </c>
      <c r="R2259">
        <v>-1.379199E-2</v>
      </c>
      <c r="S2259">
        <v>-2.9999389999999999</v>
      </c>
      <c r="T2259">
        <v>-2.4943590000000002E-2</v>
      </c>
      <c r="U2259">
        <v>-2.8503420000000002E-2</v>
      </c>
      <c r="V2259">
        <v>-7.2495490000000001E-3</v>
      </c>
      <c r="W2259">
        <v>1.6597290000000001E-2</v>
      </c>
      <c r="X2259">
        <v>0.99983599999999995</v>
      </c>
      <c r="Y2259">
        <v>-2.9666419999999998E-3</v>
      </c>
      <c r="Z2259" s="1">
        <v>4.1996459999999899E-5</v>
      </c>
      <c r="AA2259">
        <v>0.99999559999999998</v>
      </c>
      <c r="AB2259">
        <v>26</v>
      </c>
      <c r="AC2259">
        <v>-132.69779999999901</v>
      </c>
      <c r="AD2259">
        <v>-1.1046899776600001</v>
      </c>
      <c r="AE2259">
        <v>-1.2615000000000101</v>
      </c>
      <c r="AF2259">
        <v>-0.39433495352166797</v>
      </c>
      <c r="AG2259">
        <v>-1.1046899776600001</v>
      </c>
      <c r="AH2259">
        <v>132.69401486432901</v>
      </c>
      <c r="AI2259">
        <v>90.476979551836905</v>
      </c>
      <c r="AJ2259">
        <v>90.170268885628104</v>
      </c>
      <c r="AK2259">
        <v>132.69919902100801</v>
      </c>
    </row>
    <row r="2260" spans="1:37" x14ac:dyDescent="0.2">
      <c r="A2260" t="str">
        <f>"20200111155543167"</f>
        <v>20200111155543167</v>
      </c>
      <c r="B2260" t="str">
        <f>"1578729343154198"</f>
        <v>1578729343154198</v>
      </c>
      <c r="C2260" t="s">
        <v>37</v>
      </c>
      <c r="D2260">
        <v>4.7349309999999996</v>
      </c>
      <c r="E2260">
        <v>0.50157370000000001</v>
      </c>
      <c r="F2260" t="s">
        <v>61</v>
      </c>
      <c r="G2260">
        <v>-428.1773</v>
      </c>
      <c r="H2260" s="1">
        <v>2.671963E-6</v>
      </c>
      <c r="I2260">
        <v>282.81029999999998</v>
      </c>
      <c r="J2260">
        <v>-286.90839999999997</v>
      </c>
      <c r="K2260">
        <v>1.1046940000000001</v>
      </c>
      <c r="L2260">
        <v>284.22809999999998</v>
      </c>
      <c r="M2260">
        <v>-0.99988250000000001</v>
      </c>
      <c r="N2260">
        <v>0</v>
      </c>
      <c r="O2260">
        <v>-6.3495569999999996E-3</v>
      </c>
      <c r="P2260">
        <v>-0.99988790000000005</v>
      </c>
      <c r="Q2260">
        <v>3.4934950000000001E-3</v>
      </c>
      <c r="R2260">
        <v>-1.455703E-2</v>
      </c>
      <c r="S2260">
        <v>-2.9999389999999999</v>
      </c>
      <c r="T2260">
        <v>-2.3429390000000001E-2</v>
      </c>
      <c r="U2260">
        <v>-3.0090329999999998E-2</v>
      </c>
      <c r="V2260">
        <v>-8.1986549999999991E-3</v>
      </c>
      <c r="W2260">
        <v>1.7445929999999998E-2</v>
      </c>
      <c r="X2260">
        <v>0.99981419999999999</v>
      </c>
      <c r="Y2260">
        <v>-3.6798339999999999E-3</v>
      </c>
      <c r="Z2260" s="1">
        <v>3.5222850000000001E-5</v>
      </c>
      <c r="AA2260">
        <v>0.99999319999999903</v>
      </c>
      <c r="AB2260">
        <v>26</v>
      </c>
      <c r="AC2260">
        <v>-141.2689</v>
      </c>
      <c r="AD2260">
        <v>-1.1046913280370001</v>
      </c>
      <c r="AE2260">
        <v>-1.41779999999999</v>
      </c>
      <c r="AF2260">
        <v>-0.52065732476714899</v>
      </c>
      <c r="AG2260">
        <v>-1.1046913280370001</v>
      </c>
      <c r="AH2260">
        <v>141.266417516573</v>
      </c>
      <c r="AI2260">
        <v>90.448035930204199</v>
      </c>
      <c r="AJ2260">
        <v>90.211170727840795</v>
      </c>
      <c r="AK2260">
        <v>141.271696191936</v>
      </c>
    </row>
    <row r="2261" spans="1:37" x14ac:dyDescent="0.2">
      <c r="A2261" t="str">
        <f>"20200111155543181"</f>
        <v>20200111155543181</v>
      </c>
      <c r="B2261" t="str">
        <f>"1578729343174694"</f>
        <v>1578729343174694</v>
      </c>
      <c r="C2261" t="s">
        <v>37</v>
      </c>
      <c r="D2261">
        <v>4.7347640000000002</v>
      </c>
      <c r="E2261">
        <v>0.50144219999999995</v>
      </c>
      <c r="F2261" t="s">
        <v>59</v>
      </c>
      <c r="G2261">
        <v>-446.87459999999999</v>
      </c>
      <c r="H2261" s="1">
        <v>2.2140619999999999E-6</v>
      </c>
      <c r="I2261">
        <v>282.49990000000003</v>
      </c>
      <c r="J2261">
        <v>-287.07060000000001</v>
      </c>
      <c r="K2261">
        <v>1.104689</v>
      </c>
      <c r="L2261">
        <v>284.22719999999998</v>
      </c>
      <c r="M2261">
        <v>-0.99988369999999904</v>
      </c>
      <c r="N2261">
        <v>0</v>
      </c>
      <c r="O2261">
        <v>-6.1749250000000004E-3</v>
      </c>
      <c r="P2261">
        <v>-0.99988469999999996</v>
      </c>
      <c r="Q2261">
        <v>3.853848E-3</v>
      </c>
      <c r="R2261">
        <v>-1.46883999999999E-2</v>
      </c>
      <c r="S2261">
        <v>-2.9999689999999899</v>
      </c>
      <c r="T2261">
        <v>-2.0717139999999998E-2</v>
      </c>
      <c r="U2261">
        <v>-3.2409670000000002E-2</v>
      </c>
      <c r="V2261">
        <v>-8.5041969999999998E-3</v>
      </c>
      <c r="W2261">
        <v>1.7804939999999998E-2</v>
      </c>
      <c r="X2261">
        <v>0.99980530000000001</v>
      </c>
      <c r="Y2261">
        <v>-4.6273679999999998E-3</v>
      </c>
      <c r="Z2261" s="1">
        <v>2.6667390000000001E-5</v>
      </c>
      <c r="AA2261">
        <v>0.99998929999999997</v>
      </c>
      <c r="AB2261">
        <v>26</v>
      </c>
      <c r="AC2261">
        <v>-159.80399999999901</v>
      </c>
      <c r="AD2261">
        <v>-1.1046867859379901</v>
      </c>
      <c r="AE2261">
        <v>-1.7272999999999501</v>
      </c>
      <c r="AF2261">
        <v>-0.74035801625910203</v>
      </c>
      <c r="AG2261">
        <v>-1.1046867859379901</v>
      </c>
      <c r="AH2261">
        <v>159.803984181939</v>
      </c>
      <c r="AI2261">
        <v>90.396061484042704</v>
      </c>
      <c r="AJ2261">
        <v>90.265444484293596</v>
      </c>
      <c r="AK2261">
        <v>159.809517311419</v>
      </c>
    </row>
    <row r="2262" spans="1:37" x14ac:dyDescent="0.2">
      <c r="A2262" t="str">
        <f>"20200111155543194"</f>
        <v>20200111155543194</v>
      </c>
      <c r="B2262" t="str">
        <f>"1578729343184454"</f>
        <v>1578729343184454</v>
      </c>
      <c r="C2262" t="s">
        <v>37</v>
      </c>
      <c r="D2262">
        <v>4.7427769999999896</v>
      </c>
      <c r="E2262">
        <v>0.50136349999999996</v>
      </c>
      <c r="F2262" t="s">
        <v>59</v>
      </c>
      <c r="G2262">
        <v>-457.26080000000002</v>
      </c>
      <c r="H2262" s="1">
        <v>2.428144E-6</v>
      </c>
      <c r="I2262">
        <v>282.30369999999999</v>
      </c>
      <c r="J2262">
        <v>-287.2287</v>
      </c>
      <c r="K2262">
        <v>1.1046830000000001</v>
      </c>
      <c r="L2262">
        <v>284.22640000000001</v>
      </c>
      <c r="M2262">
        <v>-0.99988480000000002</v>
      </c>
      <c r="N2262">
        <v>0</v>
      </c>
      <c r="O2262">
        <v>-5.9962230000000002E-3</v>
      </c>
      <c r="P2262">
        <v>-0.9998785</v>
      </c>
      <c r="Q2262">
        <v>4.0216729999999999E-3</v>
      </c>
      <c r="R2262">
        <v>-1.505358E-2</v>
      </c>
      <c r="S2262">
        <v>-2.9998779999999998</v>
      </c>
      <c r="T2262">
        <v>-1.947188E-2</v>
      </c>
      <c r="U2262">
        <v>-3.3905030000000003E-2</v>
      </c>
      <c r="V2262">
        <v>-9.0476569999999902E-3</v>
      </c>
      <c r="W2262">
        <v>1.79718E-2</v>
      </c>
      <c r="X2262">
        <v>0.99979759999999995</v>
      </c>
      <c r="Y2262">
        <v>-5.3048030000000003E-3</v>
      </c>
      <c r="Z2262" s="1">
        <v>2.1706739999999999E-5</v>
      </c>
      <c r="AA2262">
        <v>0.99998589999999998</v>
      </c>
      <c r="AB2262">
        <v>26</v>
      </c>
      <c r="AC2262">
        <v>-170.03210000000001</v>
      </c>
      <c r="AD2262">
        <v>-1.104680571856</v>
      </c>
      <c r="AE2262">
        <v>-1.9227000000000201</v>
      </c>
      <c r="AF2262">
        <v>-0.90297779859115201</v>
      </c>
      <c r="AG2262">
        <v>-1.104680571856</v>
      </c>
      <c r="AH2262">
        <v>170.03339658126799</v>
      </c>
      <c r="AI2262">
        <v>90.372231295712197</v>
      </c>
      <c r="AJ2262">
        <v>90.3042715815522</v>
      </c>
      <c r="AK2262">
        <v>170.03938261777199</v>
      </c>
    </row>
    <row r="2263" spans="1:37" x14ac:dyDescent="0.2">
      <c r="A2263" t="str">
        <f>"20200111155543212"</f>
        <v>20200111155543212</v>
      </c>
      <c r="B2263" t="str">
        <f>"1578729343204950"</f>
        <v>1578729343204950</v>
      </c>
      <c r="C2263" t="s">
        <v>37</v>
      </c>
      <c r="D2263">
        <v>5.0511169999999996</v>
      </c>
      <c r="E2263">
        <v>0.50116530000000004</v>
      </c>
      <c r="F2263" t="s">
        <v>59</v>
      </c>
      <c r="G2263">
        <v>-461.1746</v>
      </c>
      <c r="H2263" s="1">
        <v>-8.0467659999999897E-7</v>
      </c>
      <c r="I2263">
        <v>282.16669999999999</v>
      </c>
      <c r="J2263">
        <v>-287.43</v>
      </c>
      <c r="K2263">
        <v>1.1046739999999999</v>
      </c>
      <c r="L2263">
        <v>284.22550000000001</v>
      </c>
      <c r="M2263">
        <v>-0.99988630000000001</v>
      </c>
      <c r="N2263">
        <v>0</v>
      </c>
      <c r="O2263">
        <v>-5.7572630000000003E-3</v>
      </c>
      <c r="P2263">
        <v>-0.99987090000000001</v>
      </c>
      <c r="Q2263">
        <v>4.2918569999999996E-3</v>
      </c>
      <c r="R2263">
        <v>-1.549676E-2</v>
      </c>
      <c r="S2263">
        <v>-2.9998779999999998</v>
      </c>
      <c r="T2263">
        <v>-1.9051430000000001E-2</v>
      </c>
      <c r="U2263">
        <v>-3.5522459999999999E-2</v>
      </c>
      <c r="V2263">
        <v>-9.7288689999999994E-3</v>
      </c>
      <c r="W2263">
        <v>1.8240220000000001E-2</v>
      </c>
      <c r="X2263">
        <v>0.99978630000000002</v>
      </c>
      <c r="Y2263">
        <v>-6.0828519999999997E-3</v>
      </c>
      <c r="Z2263" s="1">
        <v>1.724987E-5</v>
      </c>
      <c r="AA2263">
        <v>0.99998149999999997</v>
      </c>
      <c r="AB2263">
        <v>26</v>
      </c>
      <c r="AC2263">
        <v>-173.74459999999999</v>
      </c>
      <c r="AD2263">
        <v>-1.1046748046766</v>
      </c>
      <c r="AE2263">
        <v>-2.0588000000000202</v>
      </c>
      <c r="AF2263">
        <v>-1.0583325756256301</v>
      </c>
      <c r="AG2263">
        <v>-1.1046748046766</v>
      </c>
      <c r="AH2263">
        <v>173.746551487716</v>
      </c>
      <c r="AI2263">
        <v>90.364272997421594</v>
      </c>
      <c r="AJ2263">
        <v>90.348998235916397</v>
      </c>
      <c r="AK2263">
        <v>173.753286380829</v>
      </c>
    </row>
    <row r="2264" spans="1:37" x14ac:dyDescent="0.2">
      <c r="A2264" t="str">
        <f>"20200111155543226"</f>
        <v>20200111155543226</v>
      </c>
      <c r="B2264" t="str">
        <f>"1578729343214710"</f>
        <v>1578729343214710</v>
      </c>
      <c r="C2264" t="s">
        <v>37</v>
      </c>
      <c r="D2264">
        <v>4.7668470000000003</v>
      </c>
      <c r="E2264">
        <v>0.50112049999999997</v>
      </c>
      <c r="F2264" t="s">
        <v>56</v>
      </c>
      <c r="G2264">
        <v>-470.62079999999997</v>
      </c>
      <c r="H2264" s="1">
        <v>6.0988930000000002E-6</v>
      </c>
      <c r="I2264">
        <v>281.87180000000001</v>
      </c>
      <c r="J2264">
        <v>-287.58780000000002</v>
      </c>
      <c r="K2264">
        <v>1.104665</v>
      </c>
      <c r="L2264">
        <v>284.22480000000002</v>
      </c>
      <c r="M2264">
        <v>-0.99988739999999998</v>
      </c>
      <c r="N2264">
        <v>0</v>
      </c>
      <c r="O2264">
        <v>-5.5601690000000002E-3</v>
      </c>
      <c r="P2264">
        <v>-0.99986509999999995</v>
      </c>
      <c r="Q2264">
        <v>4.6413619999999996E-3</v>
      </c>
      <c r="R2264">
        <v>-1.5766639999999998E-2</v>
      </c>
      <c r="S2264">
        <v>-2.999908</v>
      </c>
      <c r="T2264">
        <v>-1.8089890000000001E-2</v>
      </c>
      <c r="U2264">
        <v>-3.8543699999999903E-2</v>
      </c>
      <c r="V2264">
        <v>-1.019553E-2</v>
      </c>
      <c r="W2264">
        <v>1.8588730000000001E-2</v>
      </c>
      <c r="X2264">
        <v>0.99977519999999998</v>
      </c>
      <c r="Y2264">
        <v>-7.286753E-3</v>
      </c>
      <c r="Z2264" s="1">
        <v>1.1560789999999901E-5</v>
      </c>
      <c r="AA2264">
        <v>0.99997349999999996</v>
      </c>
      <c r="AB2264">
        <v>26</v>
      </c>
      <c r="AC2264">
        <v>-183.03299999999999</v>
      </c>
      <c r="AD2264">
        <v>-1.104658901107</v>
      </c>
      <c r="AE2264">
        <v>-2.3530000000000002</v>
      </c>
      <c r="AF2264">
        <v>-1.3351217153703401</v>
      </c>
      <c r="AG2264">
        <v>-1.104658901107</v>
      </c>
      <c r="AH2264">
        <v>183.03658852465901</v>
      </c>
      <c r="AI2264">
        <v>90.345776990626604</v>
      </c>
      <c r="AJ2264">
        <v>90.4179245437943</v>
      </c>
      <c r="AK2264">
        <v>183.04479113055399</v>
      </c>
    </row>
    <row r="2265" spans="1:37" x14ac:dyDescent="0.2">
      <c r="A2265" t="str">
        <f>"20200111155543240"</f>
        <v>20200111155543240</v>
      </c>
      <c r="B2265" t="str">
        <f>"1578729343235206"</f>
        <v>1578729343235206</v>
      </c>
      <c r="C2265" t="s">
        <v>37</v>
      </c>
      <c r="D2265">
        <v>4.8607189999999996</v>
      </c>
      <c r="E2265">
        <v>0.50096479999999999</v>
      </c>
      <c r="F2265" t="s">
        <v>56</v>
      </c>
      <c r="G2265">
        <v>-478.601</v>
      </c>
      <c r="H2265" s="1">
        <v>2.5436789999999999E-6</v>
      </c>
      <c r="I2265">
        <v>281.68509999999998</v>
      </c>
      <c r="J2265">
        <v>-287.74740000000003</v>
      </c>
      <c r="K2265">
        <v>1.104657</v>
      </c>
      <c r="L2265">
        <v>284.2242</v>
      </c>
      <c r="M2265">
        <v>-0.99988849999999996</v>
      </c>
      <c r="N2265">
        <v>0</v>
      </c>
      <c r="O2265">
        <v>-5.3532869999999896E-3</v>
      </c>
      <c r="P2265">
        <v>-0.99986489999999995</v>
      </c>
      <c r="Q2265">
        <v>4.9651560000000001E-3</v>
      </c>
      <c r="R2265">
        <v>-1.5670690000000001E-2</v>
      </c>
      <c r="S2265">
        <v>-2.9998469999999999</v>
      </c>
      <c r="T2265">
        <v>-1.734865E-2</v>
      </c>
      <c r="U2265">
        <v>-3.988647E-2</v>
      </c>
      <c r="V2265">
        <v>-1.0306060000000001E-2</v>
      </c>
      <c r="W2265">
        <v>1.8911020000000001E-2</v>
      </c>
      <c r="X2265">
        <v>0.99976810000000005</v>
      </c>
      <c r="Y2265">
        <v>-7.9414269999999992E-3</v>
      </c>
      <c r="Z2265" s="1">
        <v>7.9978740000000007E-6</v>
      </c>
      <c r="AA2265">
        <v>0.99996849999999904</v>
      </c>
      <c r="AB2265">
        <v>26</v>
      </c>
      <c r="AC2265">
        <v>-190.8536</v>
      </c>
      <c r="AD2265">
        <v>-1.1046544563209999</v>
      </c>
      <c r="AE2265">
        <v>-2.5391000000000101</v>
      </c>
      <c r="AF2265">
        <v>-1.5172194084859101</v>
      </c>
      <c r="AG2265">
        <v>-1.1046544563209999</v>
      </c>
      <c r="AH2265">
        <v>190.85806586757599</v>
      </c>
      <c r="AI2265">
        <v>90.331604176526199</v>
      </c>
      <c r="AJ2265">
        <v>90.455461168062996</v>
      </c>
      <c r="AK2265">
        <v>190.86729296271</v>
      </c>
    </row>
    <row r="2266" spans="1:37" x14ac:dyDescent="0.2">
      <c r="A2266" t="str">
        <f>"20200111155543256"</f>
        <v>20200111155543256</v>
      </c>
      <c r="B2266" t="str">
        <f>"1578729343244965"</f>
        <v>1578729343244965</v>
      </c>
      <c r="C2266" t="s">
        <v>37</v>
      </c>
      <c r="D2266">
        <v>4.7804159999999998</v>
      </c>
      <c r="E2266">
        <v>0.50091669999999999</v>
      </c>
      <c r="F2266" t="s">
        <v>56</v>
      </c>
      <c r="G2266">
        <v>-481.97370000000001</v>
      </c>
      <c r="H2266" s="1">
        <v>2.2904379999999999E-6</v>
      </c>
      <c r="I2266">
        <v>281.5804</v>
      </c>
      <c r="J2266">
        <v>-287.94400000000002</v>
      </c>
      <c r="K2266">
        <v>1.1046469999999999</v>
      </c>
      <c r="L2266">
        <v>284.22340000000003</v>
      </c>
      <c r="M2266">
        <v>-0.9998901</v>
      </c>
      <c r="N2266">
        <v>0</v>
      </c>
      <c r="O2266">
        <v>-5.081258E-3</v>
      </c>
      <c r="P2266">
        <v>-0.99986209999999898</v>
      </c>
      <c r="Q2266">
        <v>5.2990650000000004E-3</v>
      </c>
      <c r="R2266">
        <v>-1.5752249999999999E-2</v>
      </c>
      <c r="S2266">
        <v>-2.99981699999999</v>
      </c>
      <c r="T2266">
        <v>-1.7061349999999999E-2</v>
      </c>
      <c r="U2266">
        <v>-4.0832519999999997E-2</v>
      </c>
      <c r="V2266">
        <v>-1.06582999999999E-2</v>
      </c>
      <c r="W2266">
        <v>1.924379E-2</v>
      </c>
      <c r="X2266">
        <v>0.99975800000000004</v>
      </c>
      <c r="Y2266">
        <v>-8.528898E-3</v>
      </c>
      <c r="Z2266" s="1">
        <v>4.6477849999999996E-6</v>
      </c>
      <c r="AA2266">
        <v>0.99996359999999995</v>
      </c>
      <c r="AB2266">
        <v>26</v>
      </c>
      <c r="AC2266">
        <v>-194.02969999999999</v>
      </c>
      <c r="AD2266">
        <v>-1.104644709562</v>
      </c>
      <c r="AE2266">
        <v>-2.6430000000000202</v>
      </c>
      <c r="AF2266">
        <v>-1.6569015815939701</v>
      </c>
      <c r="AG2266">
        <v>-1.104644709562</v>
      </c>
      <c r="AH2266">
        <v>194.03433780389199</v>
      </c>
      <c r="AI2266">
        <v>90.326171590682307</v>
      </c>
      <c r="AJ2266">
        <v>90.4892492813823</v>
      </c>
      <c r="AK2266">
        <v>194.04455624876601</v>
      </c>
    </row>
    <row r="2267" spans="1:37" x14ac:dyDescent="0.2">
      <c r="A2267" t="str">
        <f>"20200111155543270"</f>
        <v>20200111155543270</v>
      </c>
      <c r="B2267" t="str">
        <f>"1578729343264486"</f>
        <v>1578729343264486</v>
      </c>
      <c r="C2267" t="s">
        <v>37</v>
      </c>
      <c r="D2267">
        <v>4.883667</v>
      </c>
      <c r="E2267">
        <v>0.50078679999999998</v>
      </c>
      <c r="F2267" t="s">
        <v>56</v>
      </c>
      <c r="G2267">
        <v>-490.6454</v>
      </c>
      <c r="H2267" s="1">
        <v>3.5704090000000002E-6</v>
      </c>
      <c r="I2267">
        <v>281.41680000000002</v>
      </c>
      <c r="J2267">
        <v>-288.09480000000002</v>
      </c>
      <c r="K2267">
        <v>1.104638</v>
      </c>
      <c r="L2267">
        <v>284.22280000000001</v>
      </c>
      <c r="M2267">
        <v>-0.99989099999999997</v>
      </c>
      <c r="N2267">
        <v>0</v>
      </c>
      <c r="O2267">
        <v>-4.8607829999999996E-3</v>
      </c>
      <c r="P2267">
        <v>-0.99986819999999899</v>
      </c>
      <c r="Q2267">
        <v>5.1532289999999996E-3</v>
      </c>
      <c r="R2267">
        <v>-1.540979E-2</v>
      </c>
      <c r="S2267">
        <v>-2.9998469999999999</v>
      </c>
      <c r="T2267">
        <v>-1.6347999999999901E-2</v>
      </c>
      <c r="U2267">
        <v>-4.1534420000000002E-2</v>
      </c>
      <c r="V2267">
        <v>-1.053629E-2</v>
      </c>
      <c r="W2267">
        <v>1.9096470000000001E-2</v>
      </c>
      <c r="X2267">
        <v>0.99976209999999899</v>
      </c>
      <c r="Y2267">
        <v>-8.9831719999999993E-3</v>
      </c>
      <c r="Z2267" s="1">
        <v>2.0141380000000001E-6</v>
      </c>
      <c r="AA2267">
        <v>0.99995959999999995</v>
      </c>
      <c r="AB2267">
        <v>26</v>
      </c>
      <c r="AC2267">
        <v>-202.5506</v>
      </c>
      <c r="AD2267">
        <v>-1.104634429591</v>
      </c>
      <c r="AE2267">
        <v>-2.8059999999999801</v>
      </c>
      <c r="AF2267">
        <v>-1.8212624802744699</v>
      </c>
      <c r="AG2267">
        <v>-1.104634429591</v>
      </c>
      <c r="AH2267">
        <v>202.55582409237601</v>
      </c>
      <c r="AI2267">
        <v>90.312445743895694</v>
      </c>
      <c r="AJ2267">
        <v>90.515155967581705</v>
      </c>
      <c r="AK2267">
        <v>202.56702369336099</v>
      </c>
    </row>
    <row r="2268" spans="1:37" x14ac:dyDescent="0.2">
      <c r="A2268" t="str">
        <f>"20200111155543284"</f>
        <v>20200111155543284</v>
      </c>
      <c r="B2268" t="str">
        <f>"1578729343274246"</f>
        <v>1578729343274246</v>
      </c>
      <c r="C2268" t="s">
        <v>37</v>
      </c>
      <c r="D2268">
        <v>5.0228669999999997</v>
      </c>
      <c r="E2268">
        <v>0.50061929999999999</v>
      </c>
      <c r="F2268" t="s">
        <v>56</v>
      </c>
      <c r="G2268">
        <v>-471.71839999999997</v>
      </c>
      <c r="H2268" s="1">
        <v>5.5954190000000001E-6</v>
      </c>
      <c r="I2268">
        <v>281.68040000000002</v>
      </c>
      <c r="J2268">
        <v>-288.25439999999998</v>
      </c>
      <c r="K2268">
        <v>1.104627</v>
      </c>
      <c r="L2268">
        <v>284.22230000000002</v>
      </c>
      <c r="M2268">
        <v>-0.99989229999999996</v>
      </c>
      <c r="N2268">
        <v>0</v>
      </c>
      <c r="O2268">
        <v>-4.619911E-3</v>
      </c>
      <c r="P2268">
        <v>-0.9998726</v>
      </c>
      <c r="Q2268">
        <v>5.201481E-3</v>
      </c>
      <c r="R2268">
        <v>-1.509517E-2</v>
      </c>
      <c r="S2268">
        <v>-2.99981699999999</v>
      </c>
      <c r="T2268">
        <v>-1.8046139999999999E-2</v>
      </c>
      <c r="U2268">
        <v>-4.1534420000000002E-2</v>
      </c>
      <c r="V2268">
        <v>-1.046191E-2</v>
      </c>
      <c r="W2268">
        <v>1.9143670000000002E-2</v>
      </c>
      <c r="X2268">
        <v>0.99976200000000004</v>
      </c>
      <c r="Y2268">
        <v>-9.2241779999999995E-3</v>
      </c>
      <c r="Z2268" s="1">
        <v>4.9454679999999999E-8</v>
      </c>
      <c r="AA2268">
        <v>0.9999574</v>
      </c>
      <c r="AB2268">
        <v>26</v>
      </c>
      <c r="AC2268">
        <v>-183.464</v>
      </c>
      <c r="AD2268">
        <v>-1.1046214045810001</v>
      </c>
      <c r="AE2268">
        <v>-2.5418999999999898</v>
      </c>
      <c r="AF2268">
        <v>-1.6941418660423999</v>
      </c>
      <c r="AG2268">
        <v>-1.1046214045810001</v>
      </c>
      <c r="AH2268">
        <v>183.46713654145699</v>
      </c>
      <c r="AI2268">
        <v>90.344948326275002</v>
      </c>
      <c r="AJ2268">
        <v>90.529056167241293</v>
      </c>
      <c r="AK2268">
        <v>183.478283444748</v>
      </c>
    </row>
    <row r="2269" spans="1:37" x14ac:dyDescent="0.2">
      <c r="A2269" t="str">
        <f>"20200111155543297"</f>
        <v>20200111155543297</v>
      </c>
      <c r="B2269" t="str">
        <f>"1578729343294742"</f>
        <v>1578729343294742</v>
      </c>
      <c r="C2269" t="s">
        <v>37</v>
      </c>
      <c r="D2269">
        <v>4.8377460000000001</v>
      </c>
      <c r="E2269">
        <v>0.50049909999999997</v>
      </c>
      <c r="F2269" t="s">
        <v>56</v>
      </c>
      <c r="G2269">
        <v>-472.72609999999997</v>
      </c>
      <c r="H2269" s="1">
        <v>5.1458259999999901E-6</v>
      </c>
      <c r="I2269">
        <v>281.64949999999999</v>
      </c>
      <c r="J2269">
        <v>-288.42169999999999</v>
      </c>
      <c r="K2269">
        <v>1.1046100000000001</v>
      </c>
      <c r="L2269">
        <v>284.22179999999997</v>
      </c>
      <c r="M2269">
        <v>-0.99989349999999999</v>
      </c>
      <c r="N2269">
        <v>0</v>
      </c>
      <c r="O2269">
        <v>-4.3554220000000003E-3</v>
      </c>
      <c r="P2269">
        <v>-0.99987760000000003</v>
      </c>
      <c r="Q2269">
        <v>5.3357689999999998E-3</v>
      </c>
      <c r="R2269">
        <v>-1.471832E-2</v>
      </c>
      <c r="S2269">
        <v>-2.9998469999999999</v>
      </c>
      <c r="T2269">
        <v>-1.7963170000000001E-2</v>
      </c>
      <c r="U2269">
        <v>-4.1839599999999998E-2</v>
      </c>
      <c r="V2269">
        <v>-1.0348899999999999E-2</v>
      </c>
      <c r="W2269">
        <v>1.92762E-2</v>
      </c>
      <c r="X2269">
        <v>0.9997606</v>
      </c>
      <c r="Y2269">
        <v>-9.5902399999999999E-3</v>
      </c>
      <c r="Z2269" s="1">
        <v>-2.6305020000000001E-6</v>
      </c>
      <c r="AA2269">
        <v>0.99995400000000001</v>
      </c>
      <c r="AB2269">
        <v>26</v>
      </c>
      <c r="AC2269">
        <v>-184.30439999999999</v>
      </c>
      <c r="AD2269">
        <v>-1.1046048541739999</v>
      </c>
      <c r="AE2269">
        <v>-2.5722999999999798</v>
      </c>
      <c r="AF2269">
        <v>-1.7694107299401001</v>
      </c>
      <c r="AG2269">
        <v>-1.1046048541739999</v>
      </c>
      <c r="AH2269">
        <v>184.30723697132601</v>
      </c>
      <c r="AI2269">
        <v>90.343369708093405</v>
      </c>
      <c r="AJ2269">
        <v>90.550041627701404</v>
      </c>
      <c r="AK2269">
        <v>184.31904016194201</v>
      </c>
    </row>
    <row r="2270" spans="1:37" x14ac:dyDescent="0.2">
      <c r="A2270" t="str">
        <f>"20200111155543312"</f>
        <v>20200111155543312</v>
      </c>
      <c r="B2270" t="str">
        <f>"1578729343304502"</f>
        <v>1578729343304502</v>
      </c>
      <c r="C2270" t="s">
        <v>37</v>
      </c>
      <c r="D2270">
        <v>4.8038650000000001</v>
      </c>
      <c r="E2270">
        <v>0.50047399999999997</v>
      </c>
      <c r="F2270" t="s">
        <v>59</v>
      </c>
      <c r="G2270">
        <v>-467.392</v>
      </c>
      <c r="H2270" s="1">
        <v>2.5228359999999999E-6</v>
      </c>
      <c r="I2270">
        <v>281.73480000000001</v>
      </c>
      <c r="J2270">
        <v>-288.58909999999997</v>
      </c>
      <c r="K2270">
        <v>1.1045989999999899</v>
      </c>
      <c r="L2270">
        <v>284.22140000000002</v>
      </c>
      <c r="M2270">
        <v>-0.99989470000000003</v>
      </c>
      <c r="N2270">
        <v>0</v>
      </c>
      <c r="O2270">
        <v>-4.074963E-3</v>
      </c>
      <c r="P2270">
        <v>-0.99988259999999995</v>
      </c>
      <c r="Q2270">
        <v>5.835013E-3</v>
      </c>
      <c r="R2270">
        <v>-1.417289E-2</v>
      </c>
      <c r="S2270">
        <v>-2.9998469999999999</v>
      </c>
      <c r="T2270">
        <v>-1.8515110000000001E-2</v>
      </c>
      <c r="U2270">
        <v>-4.1687009999999997E-2</v>
      </c>
      <c r="V2270">
        <v>-1.0082789999999999E-2</v>
      </c>
      <c r="W2270">
        <v>1.9774400000000001E-2</v>
      </c>
      <c r="X2270">
        <v>0.99975369999999997</v>
      </c>
      <c r="Y2270">
        <v>-9.8198469999999996E-3</v>
      </c>
      <c r="Z2270" s="1">
        <v>-5.1508830000000003E-6</v>
      </c>
      <c r="AA2270">
        <v>0.99995179999999995</v>
      </c>
      <c r="AB2270">
        <v>26</v>
      </c>
      <c r="AC2270">
        <v>-178.80289999999999</v>
      </c>
      <c r="AD2270">
        <v>-1.10459647716399</v>
      </c>
      <c r="AE2270">
        <v>-2.4866000000000099</v>
      </c>
      <c r="AF2270">
        <v>-1.75782639535913</v>
      </c>
      <c r="AG2270">
        <v>-1.10459647716399</v>
      </c>
      <c r="AH2270">
        <v>178.80472630006699</v>
      </c>
      <c r="AI2270">
        <v>90.353932775675304</v>
      </c>
      <c r="AJ2270">
        <v>90.563255743664797</v>
      </c>
      <c r="AK2270">
        <v>178.816778391334</v>
      </c>
    </row>
    <row r="2271" spans="1:37" x14ac:dyDescent="0.2">
      <c r="A2271" t="str">
        <f>"20200111155543325"</f>
        <v>20200111155543325</v>
      </c>
      <c r="B2271" t="str">
        <f>"1578729343314263"</f>
        <v>1578729343314263</v>
      </c>
      <c r="C2271" t="s">
        <v>37</v>
      </c>
      <c r="D2271">
        <v>4.9441030000000001</v>
      </c>
      <c r="E2271">
        <v>0.50038970000000005</v>
      </c>
      <c r="F2271" t="s">
        <v>56</v>
      </c>
      <c r="G2271">
        <v>-476.55799999999999</v>
      </c>
      <c r="H2271" s="1">
        <v>3.4499070000000002E-6</v>
      </c>
      <c r="I2271">
        <v>281.68779999999998</v>
      </c>
      <c r="J2271">
        <v>-288.74790000000002</v>
      </c>
      <c r="K2271">
        <v>1.1045940000000001</v>
      </c>
      <c r="L2271">
        <v>284.22109999999998</v>
      </c>
      <c r="M2271">
        <v>-0.9998958</v>
      </c>
      <c r="N2271">
        <v>0</v>
      </c>
      <c r="O2271">
        <v>-3.798563E-3</v>
      </c>
      <c r="P2271">
        <v>-0.99988920000000003</v>
      </c>
      <c r="Q2271">
        <v>6.0354600000000003E-3</v>
      </c>
      <c r="R2271">
        <v>-1.3606790000000001E-2</v>
      </c>
      <c r="S2271">
        <v>-2.999908</v>
      </c>
      <c r="T2271">
        <v>-1.7628910000000001E-2</v>
      </c>
      <c r="U2271">
        <v>-4.0435789999999999E-2</v>
      </c>
      <c r="V2271">
        <v>-9.7924269999999994E-3</v>
      </c>
      <c r="W2271">
        <v>1.9972730000000001E-2</v>
      </c>
      <c r="X2271">
        <v>0.99975259999999999</v>
      </c>
      <c r="Y2271">
        <v>-9.6790000000000001E-3</v>
      </c>
      <c r="Z2271" s="1">
        <v>-6.114742E-6</v>
      </c>
      <c r="AA2271">
        <v>0.99995319999999899</v>
      </c>
      <c r="AB2271">
        <v>26</v>
      </c>
      <c r="AC2271">
        <v>-187.81010000000001</v>
      </c>
      <c r="AD2271">
        <v>-1.104590550093</v>
      </c>
      <c r="AE2271">
        <v>-2.5332999999999899</v>
      </c>
      <c r="AF2271">
        <v>-1.8197410910113401</v>
      </c>
      <c r="AG2271">
        <v>-1.104590550093</v>
      </c>
      <c r="AH2271">
        <v>187.81187315843999</v>
      </c>
      <c r="AI2271">
        <v>90.336957804591606</v>
      </c>
      <c r="AJ2271">
        <v>90.555131153316694</v>
      </c>
      <c r="AK2271">
        <v>187.823936912215</v>
      </c>
    </row>
    <row r="2272" spans="1:37" x14ac:dyDescent="0.2">
      <c r="A2272" t="str">
        <f>"20200111155543339"</f>
        <v>20200111155543339</v>
      </c>
      <c r="B2272" t="str">
        <f>"1578729343334759"</f>
        <v>1578729343334759</v>
      </c>
      <c r="C2272" t="s">
        <v>37</v>
      </c>
      <c r="D2272">
        <v>4.9100869999999999</v>
      </c>
      <c r="E2272">
        <v>0.50021680000000002</v>
      </c>
      <c r="F2272" t="s">
        <v>56</v>
      </c>
      <c r="G2272">
        <v>-477.10199999999998</v>
      </c>
      <c r="H2272" s="1">
        <v>3.2143899999999998E-6</v>
      </c>
      <c r="I2272">
        <v>281.75319999999999</v>
      </c>
      <c r="J2272">
        <v>-288.89580000000001</v>
      </c>
      <c r="K2272">
        <v>1.104584</v>
      </c>
      <c r="L2272">
        <v>284.2208</v>
      </c>
      <c r="M2272">
        <v>-0.99989680000000003</v>
      </c>
      <c r="N2272">
        <v>0</v>
      </c>
      <c r="O2272">
        <v>-3.5333779999999898E-3</v>
      </c>
      <c r="P2272">
        <v>-0.99989309999999998</v>
      </c>
      <c r="Q2272">
        <v>6.1425050000000004E-3</v>
      </c>
      <c r="R2272">
        <v>-1.326977E-2</v>
      </c>
      <c r="S2272">
        <v>-2.9999689999999899</v>
      </c>
      <c r="T2272">
        <v>-1.7593149999999998E-2</v>
      </c>
      <c r="U2272">
        <v>-3.9306639999999997E-2</v>
      </c>
      <c r="V2272">
        <v>-9.7199450000000007E-3</v>
      </c>
      <c r="W2272">
        <v>2.0079039999999999E-2</v>
      </c>
      <c r="X2272">
        <v>0.99975119999999895</v>
      </c>
      <c r="Y2272">
        <v>-9.5676189999999994E-3</v>
      </c>
      <c r="Z2272" s="1">
        <v>-7.3308460000000002E-6</v>
      </c>
      <c r="AA2272">
        <v>0.99995419999999902</v>
      </c>
      <c r="AB2272">
        <v>26</v>
      </c>
      <c r="AC2272">
        <v>-188.2062</v>
      </c>
      <c r="AD2272">
        <v>-1.1045807856100001</v>
      </c>
      <c r="AE2272">
        <v>-2.4676</v>
      </c>
      <c r="AF2272">
        <v>-1.8024543887133</v>
      </c>
      <c r="AG2272">
        <v>-1.1045807856100001</v>
      </c>
      <c r="AH2272">
        <v>188.207263024051</v>
      </c>
      <c r="AI2272">
        <v>90.336247323707099</v>
      </c>
      <c r="AJ2272">
        <v>90.548702905571602</v>
      </c>
      <c r="AK2272">
        <v>188.21913504088701</v>
      </c>
    </row>
    <row r="2273" spans="1:37" x14ac:dyDescent="0.2">
      <c r="A2273" t="str">
        <f>"20200111155543356"</f>
        <v>20200111155543356</v>
      </c>
      <c r="B2273" t="str">
        <f>"1578729343344518"</f>
        <v>1578729343344518</v>
      </c>
      <c r="C2273" t="s">
        <v>37</v>
      </c>
      <c r="D2273">
        <v>4.88504</v>
      </c>
      <c r="E2273">
        <v>0.50019749999999996</v>
      </c>
      <c r="F2273" t="s">
        <v>56</v>
      </c>
      <c r="G2273">
        <v>-471.63229999999999</v>
      </c>
      <c r="H2273" s="1">
        <v>5.6437739999999998E-6</v>
      </c>
      <c r="I2273">
        <v>281.79669999999999</v>
      </c>
      <c r="J2273">
        <v>-289.09559999999999</v>
      </c>
      <c r="K2273">
        <v>1.104568</v>
      </c>
      <c r="L2273">
        <v>284.22050000000002</v>
      </c>
      <c r="M2273">
        <v>-0.99989810000000001</v>
      </c>
      <c r="N2273">
        <v>0</v>
      </c>
      <c r="O2273">
        <v>-3.1555999999999902E-3</v>
      </c>
      <c r="P2273">
        <v>-0.99989799999999995</v>
      </c>
      <c r="Q2273">
        <v>6.5922699999999999E-3</v>
      </c>
      <c r="R2273">
        <v>-1.267655E-2</v>
      </c>
      <c r="S2273">
        <v>-2.999908</v>
      </c>
      <c r="T2273">
        <v>-1.8133400000000001E-2</v>
      </c>
      <c r="U2273">
        <v>-3.9794919999999998E-2</v>
      </c>
      <c r="V2273">
        <v>-9.5034279999999995E-3</v>
      </c>
      <c r="W2273">
        <v>2.0526699999999998E-2</v>
      </c>
      <c r="X2273">
        <v>0.99974409999999903</v>
      </c>
      <c r="Y2273">
        <v>-1.010839E-2</v>
      </c>
      <c r="Z2273" s="1">
        <v>-1.1474029999999999E-5</v>
      </c>
      <c r="AA2273">
        <v>0.99994889999999903</v>
      </c>
      <c r="AB2273">
        <v>26</v>
      </c>
      <c r="AC2273">
        <v>-182.5367</v>
      </c>
      <c r="AD2273">
        <v>-1.1045623562260001</v>
      </c>
      <c r="AE2273">
        <v>-2.4238000000000199</v>
      </c>
      <c r="AF2273">
        <v>-1.84765164320344</v>
      </c>
      <c r="AG2273">
        <v>-1.1045623562260001</v>
      </c>
      <c r="AH2273">
        <v>182.536757544148</v>
      </c>
      <c r="AI2273">
        <v>90.346684952307697</v>
      </c>
      <c r="AJ2273">
        <v>90.579932652326093</v>
      </c>
      <c r="AK2273">
        <v>182.54945009318601</v>
      </c>
    </row>
    <row r="2274" spans="1:37" x14ac:dyDescent="0.2">
      <c r="A2274" t="str">
        <f>"20200111155543368"</f>
        <v>20200111155543368</v>
      </c>
      <c r="B2274" t="str">
        <f>"1578729343365014"</f>
        <v>1578729343365014</v>
      </c>
      <c r="C2274" t="s">
        <v>37</v>
      </c>
      <c r="D2274">
        <v>4.9103560000000002</v>
      </c>
      <c r="E2274">
        <v>0.50011510000000003</v>
      </c>
      <c r="F2274" t="s">
        <v>56</v>
      </c>
      <c r="G2274">
        <v>-476.76929999999999</v>
      </c>
      <c r="H2274" s="1">
        <v>3.3685009999999998E-6</v>
      </c>
      <c r="I2274">
        <v>281.82830000000001</v>
      </c>
      <c r="J2274">
        <v>-289.2432</v>
      </c>
      <c r="K2274">
        <v>1.1045579999999999</v>
      </c>
      <c r="L2274">
        <v>284.22030000000001</v>
      </c>
      <c r="M2274">
        <v>-0.99989899999999998</v>
      </c>
      <c r="N2274">
        <v>0</v>
      </c>
      <c r="O2274">
        <v>-2.8664699999999999E-3</v>
      </c>
      <c r="P2274">
        <v>-0.99990460000000003</v>
      </c>
      <c r="Q2274">
        <v>6.407261E-3</v>
      </c>
      <c r="R2274">
        <v>-1.2249960000000001E-2</v>
      </c>
      <c r="S2274">
        <v>-2.9999389999999999</v>
      </c>
      <c r="T2274">
        <v>-1.7656330000000001E-2</v>
      </c>
      <c r="U2274">
        <v>-3.823853E-2</v>
      </c>
      <c r="V2274">
        <v>-9.3652170000000003E-3</v>
      </c>
      <c r="W2274">
        <v>2.0340299999999999E-2</v>
      </c>
      <c r="X2274">
        <v>0.9997492</v>
      </c>
      <c r="Y2274">
        <v>-9.8787119999999996E-3</v>
      </c>
      <c r="Z2274" s="1">
        <v>-1.2197950000000001E-5</v>
      </c>
      <c r="AA2274">
        <v>0.99995119999999904</v>
      </c>
      <c r="AB2274">
        <v>26</v>
      </c>
      <c r="AC2274">
        <v>-187.52610000000001</v>
      </c>
      <c r="AD2274">
        <v>-1.104554631499</v>
      </c>
      <c r="AE2274">
        <v>-2.3919999999999901</v>
      </c>
      <c r="AF2274">
        <v>-1.8543358199595501</v>
      </c>
      <c r="AG2274">
        <v>-1.104554631499</v>
      </c>
      <c r="AH2274">
        <v>187.52568178509699</v>
      </c>
      <c r="AI2274">
        <v>90.337460407478403</v>
      </c>
      <c r="AJ2274">
        <v>90.566547219212197</v>
      </c>
      <c r="AK2274">
        <v>187.53810261179601</v>
      </c>
    </row>
    <row r="2275" spans="1:37" x14ac:dyDescent="0.2">
      <c r="A2275" t="str">
        <f>"20200111155543382"</f>
        <v>20200111155543382</v>
      </c>
      <c r="B2275" t="str">
        <f>"1578729343374774"</f>
        <v>1578729343374774</v>
      </c>
      <c r="C2275" t="s">
        <v>37</v>
      </c>
      <c r="D2275">
        <v>4.8604029999999998</v>
      </c>
      <c r="E2275">
        <v>0.50005279999999996</v>
      </c>
      <c r="F2275" t="s">
        <v>59</v>
      </c>
      <c r="G2275">
        <v>-457.18699999999899</v>
      </c>
      <c r="H2275" s="1">
        <v>2.3966189999999999E-6</v>
      </c>
      <c r="I2275">
        <v>282.12580000000003</v>
      </c>
      <c r="J2275">
        <v>-289.38749999999999</v>
      </c>
      <c r="K2275">
        <v>1.1045479999999901</v>
      </c>
      <c r="L2275">
        <v>284.22019999999998</v>
      </c>
      <c r="M2275">
        <v>-0.99989989999999995</v>
      </c>
      <c r="N2275">
        <v>0</v>
      </c>
      <c r="O2275">
        <v>-2.578304E-3</v>
      </c>
      <c r="P2275">
        <v>-0.99990730000000005</v>
      </c>
      <c r="Q2275">
        <v>6.4238009999999998E-3</v>
      </c>
      <c r="R2275">
        <v>-1.2020670000000001E-2</v>
      </c>
      <c r="S2275">
        <v>-3</v>
      </c>
      <c r="T2275">
        <v>-1.9730810000000001E-2</v>
      </c>
      <c r="U2275">
        <v>-3.7414549999999998E-2</v>
      </c>
      <c r="V2275">
        <v>-9.4238499999999992E-3</v>
      </c>
      <c r="W2275">
        <v>2.0356030000000001E-2</v>
      </c>
      <c r="X2275">
        <v>0.99974839999999998</v>
      </c>
      <c r="Y2275">
        <v>-9.8919939999999994E-3</v>
      </c>
      <c r="Z2275" s="1">
        <v>-1.556983E-5</v>
      </c>
      <c r="AA2275">
        <v>0.99995109999999998</v>
      </c>
      <c r="AB2275">
        <v>26</v>
      </c>
      <c r="AC2275">
        <v>-167.799499999999</v>
      </c>
      <c r="AD2275">
        <v>-1.1045456033809999</v>
      </c>
      <c r="AE2275">
        <v>-2.0943999999999501</v>
      </c>
      <c r="AF2275">
        <v>-1.6616410549565299</v>
      </c>
      <c r="AG2275">
        <v>-1.1045456033809999</v>
      </c>
      <c r="AH2275">
        <v>167.79707320805699</v>
      </c>
      <c r="AI2275">
        <v>90.377132827468699</v>
      </c>
      <c r="AJ2275">
        <v>90.567363338609994</v>
      </c>
      <c r="AK2275">
        <v>167.80893554628</v>
      </c>
    </row>
    <row r="2276" spans="1:37" x14ac:dyDescent="0.2">
      <c r="A2276" t="str">
        <f>"20200111155543402"</f>
        <v>20200111155543402</v>
      </c>
      <c r="B2276" t="str">
        <f>"1578729343394294"</f>
        <v>1578729343394294</v>
      </c>
      <c r="C2276" t="s">
        <v>37</v>
      </c>
      <c r="D2276">
        <v>5.1373389999999999</v>
      </c>
      <c r="E2276">
        <v>0.50000100000000003</v>
      </c>
      <c r="F2276" t="s">
        <v>59</v>
      </c>
      <c r="G2276">
        <v>-453.54169999999999</v>
      </c>
      <c r="H2276" s="1">
        <v>4.551168E-7</v>
      </c>
      <c r="I2276">
        <v>282.16460000000001</v>
      </c>
      <c r="J2276">
        <v>-289.62180000000001</v>
      </c>
      <c r="K2276">
        <v>1.1045339999999999</v>
      </c>
      <c r="L2276">
        <v>284.22019999999998</v>
      </c>
      <c r="M2276">
        <v>-0.99990100000000004</v>
      </c>
      <c r="N2276">
        <v>0</v>
      </c>
      <c r="O2276">
        <v>-2.0920539999999999E-3</v>
      </c>
      <c r="P2276">
        <v>-0.99991890000000005</v>
      </c>
      <c r="Q2276">
        <v>6.4130630000000001E-3</v>
      </c>
      <c r="R2276">
        <v>-1.1018450000000001E-2</v>
      </c>
      <c r="S2276">
        <v>-2.9999689999999899</v>
      </c>
      <c r="T2276">
        <v>-2.0185950000000001E-2</v>
      </c>
      <c r="U2276">
        <v>-3.7567139999999999E-2</v>
      </c>
      <c r="V2276">
        <v>-8.9070909999999903E-3</v>
      </c>
      <c r="W2276">
        <v>2.0343159999999999E-2</v>
      </c>
      <c r="X2276">
        <v>0.99975340000000001</v>
      </c>
      <c r="Y2276">
        <v>-1.0429219999999999E-2</v>
      </c>
      <c r="Z2276" s="1">
        <v>-2.1008429999999999E-5</v>
      </c>
      <c r="AA2276">
        <v>0.99994559999999999</v>
      </c>
      <c r="AB2276">
        <v>26</v>
      </c>
      <c r="AC2276">
        <v>-163.91989999999899</v>
      </c>
      <c r="AD2276">
        <v>-1.1045335448831901</v>
      </c>
      <c r="AE2276">
        <v>-2.0555999999999699</v>
      </c>
      <c r="AF2276">
        <v>-1.7125552708999701</v>
      </c>
      <c r="AG2276">
        <v>-1.1045335448831901</v>
      </c>
      <c r="AH2276">
        <v>163.916400763475</v>
      </c>
      <c r="AI2276">
        <v>90.386054713461206</v>
      </c>
      <c r="AJ2276">
        <v>90.598589395571693</v>
      </c>
      <c r="AK2276">
        <v>163.929067828619</v>
      </c>
    </row>
    <row r="2277" spans="1:37" x14ac:dyDescent="0.2">
      <c r="A2277" t="str">
        <f>"20200111155543417"</f>
        <v>20200111155543417</v>
      </c>
      <c r="B2277" t="str">
        <f>"1578729343405031"</f>
        <v>1578729343405031</v>
      </c>
      <c r="C2277" t="s">
        <v>37</v>
      </c>
      <c r="D2277">
        <v>4.9238860000000004</v>
      </c>
      <c r="E2277">
        <v>0.50000719999999998</v>
      </c>
      <c r="F2277" t="s">
        <v>59</v>
      </c>
      <c r="G2277">
        <v>-454.86649999999997</v>
      </c>
      <c r="H2277" s="1">
        <v>1.154466E-6</v>
      </c>
      <c r="I2277">
        <v>282.29379999999998</v>
      </c>
      <c r="J2277">
        <v>-289.80290000000002</v>
      </c>
      <c r="K2277">
        <v>1.104522</v>
      </c>
      <c r="L2277">
        <v>284.22019999999998</v>
      </c>
      <c r="M2277">
        <v>-0.99990179999999995</v>
      </c>
      <c r="N2277">
        <v>0</v>
      </c>
      <c r="O2277">
        <v>-1.7050589999999899E-3</v>
      </c>
      <c r="P2277">
        <v>-0.99992309999999995</v>
      </c>
      <c r="Q2277">
        <v>6.5834300000000004E-3</v>
      </c>
      <c r="R2277">
        <v>-1.0520450000000001E-2</v>
      </c>
      <c r="S2277">
        <v>-3</v>
      </c>
      <c r="T2277">
        <v>-2.0052670000000002E-2</v>
      </c>
      <c r="U2277">
        <v>-3.497314E-2</v>
      </c>
      <c r="V2277">
        <v>-8.7955059999999998E-3</v>
      </c>
      <c r="W2277">
        <v>2.0511919999999999E-2</v>
      </c>
      <c r="X2277">
        <v>0.9997509</v>
      </c>
      <c r="Y2277">
        <v>-9.9516139999999993E-3</v>
      </c>
      <c r="Z2277" s="1">
        <v>-2.18603499999999E-5</v>
      </c>
      <c r="AA2277">
        <v>0.99995049999999996</v>
      </c>
      <c r="AB2277">
        <v>26</v>
      </c>
      <c r="AC2277">
        <v>-165.06359999999901</v>
      </c>
      <c r="AD2277">
        <v>-1.1045208455340001</v>
      </c>
      <c r="AE2277">
        <v>-1.9263999999999999</v>
      </c>
      <c r="AF2277">
        <v>-1.6448531513582201</v>
      </c>
      <c r="AG2277">
        <v>-1.1045208455340001</v>
      </c>
      <c r="AH2277">
        <v>165.05925527299999</v>
      </c>
      <c r="AI2277">
        <v>90.383379267562901</v>
      </c>
      <c r="AJ2277">
        <v>90.570946620909993</v>
      </c>
      <c r="AK2277">
        <v>165.07114605364899</v>
      </c>
    </row>
    <row r="2278" spans="1:37" x14ac:dyDescent="0.2">
      <c r="A2278" t="str">
        <f>"20200111155543432"</f>
        <v>20200111155543432</v>
      </c>
      <c r="B2278" t="str">
        <f>"1578729343424550"</f>
        <v>1578729343424550</v>
      </c>
      <c r="C2278" t="s">
        <v>37</v>
      </c>
      <c r="D2278">
        <v>4.9078029999999897</v>
      </c>
      <c r="E2278">
        <v>0.49991659999999999</v>
      </c>
      <c r="F2278" t="s">
        <v>56</v>
      </c>
      <c r="G2278">
        <v>-470.74329999999998</v>
      </c>
      <c r="H2278" s="1">
        <v>6.0749640000000001E-6</v>
      </c>
      <c r="I2278">
        <v>282.21949999999998</v>
      </c>
      <c r="J2278">
        <v>-289.97230000000002</v>
      </c>
      <c r="K2278">
        <v>1.104511</v>
      </c>
      <c r="L2278">
        <v>284.22030000000001</v>
      </c>
      <c r="M2278">
        <v>-0.99990230000000002</v>
      </c>
      <c r="N2278">
        <v>0</v>
      </c>
      <c r="O2278">
        <v>-1.3334919999999999E-3</v>
      </c>
      <c r="P2278">
        <v>-0.9999304</v>
      </c>
      <c r="Q2278">
        <v>6.426714E-3</v>
      </c>
      <c r="R2278">
        <v>-9.913402E-3</v>
      </c>
      <c r="S2278">
        <v>-3</v>
      </c>
      <c r="T2278">
        <v>-1.8312930000000002E-2</v>
      </c>
      <c r="U2278">
        <v>-3.3172609999999998E-2</v>
      </c>
      <c r="V2278">
        <v>-8.5595589999999996E-3</v>
      </c>
      <c r="W2278">
        <v>2.035317E-2</v>
      </c>
      <c r="X2278">
        <v>0.99975619999999998</v>
      </c>
      <c r="Y2278">
        <v>-9.7231560000000002E-3</v>
      </c>
      <c r="Z2278" s="1">
        <v>-2.1534899999999999E-5</v>
      </c>
      <c r="AA2278">
        <v>0.99995270000000003</v>
      </c>
      <c r="AB2278">
        <v>26</v>
      </c>
      <c r="AC2278">
        <v>-180.77099999999999</v>
      </c>
      <c r="AD2278">
        <v>-1.104504925036</v>
      </c>
      <c r="AE2278">
        <v>-2.0008000000000199</v>
      </c>
      <c r="AF2278">
        <v>-1.75965251648036</v>
      </c>
      <c r="AG2278">
        <v>-1.104504925036</v>
      </c>
      <c r="AH2278">
        <v>180.766760050085</v>
      </c>
      <c r="AI2278">
        <v>90.350062617363093</v>
      </c>
      <c r="AJ2278">
        <v>90.557721332338502</v>
      </c>
      <c r="AK2278">
        <v>180.77869854358701</v>
      </c>
    </row>
    <row r="2279" spans="1:37" x14ac:dyDescent="0.2">
      <c r="A2279" t="str">
        <f>"20200111155543446"</f>
        <v>20200111155543446</v>
      </c>
      <c r="B2279" t="str">
        <f>"1578729343445047"</f>
        <v>1578729343445047</v>
      </c>
      <c r="C2279" t="s">
        <v>37</v>
      </c>
      <c r="D2279">
        <v>4.939127</v>
      </c>
      <c r="E2279">
        <v>0.49982089999999901</v>
      </c>
      <c r="F2279" t="s">
        <v>59</v>
      </c>
      <c r="G2279">
        <v>-463.42180000000002</v>
      </c>
      <c r="H2279" s="1">
        <v>3.82955599999999E-7</v>
      </c>
      <c r="I2279">
        <v>282.3553</v>
      </c>
      <c r="J2279">
        <v>-290.13549999999998</v>
      </c>
      <c r="K2279">
        <v>1.1045049999999901</v>
      </c>
      <c r="L2279">
        <v>284.22050000000002</v>
      </c>
      <c r="M2279">
        <v>-0.99990279999999998</v>
      </c>
      <c r="N2279">
        <v>0</v>
      </c>
      <c r="O2279">
        <v>-9.7160439999999996E-4</v>
      </c>
      <c r="P2279">
        <v>-0.99993770000000004</v>
      </c>
      <c r="Q2279">
        <v>6.1843840000000002E-3</v>
      </c>
      <c r="R2279">
        <v>-9.3189250000000005E-3</v>
      </c>
      <c r="S2279">
        <v>-2.9999689999999899</v>
      </c>
      <c r="T2279">
        <v>-1.9103530000000001E-2</v>
      </c>
      <c r="U2279">
        <v>-3.225708E-2</v>
      </c>
      <c r="V2279">
        <v>-8.3269599999999996E-3</v>
      </c>
      <c r="W2279">
        <v>2.0109080000000001E-2</v>
      </c>
      <c r="X2279">
        <v>0.99976309999999902</v>
      </c>
      <c r="Y2279">
        <v>-9.7800219999999993E-3</v>
      </c>
      <c r="Z2279" s="1">
        <v>-2.4950479999999901E-5</v>
      </c>
      <c r="AA2279">
        <v>0.99995219999999996</v>
      </c>
      <c r="AB2279">
        <v>26</v>
      </c>
      <c r="AC2279">
        <v>-173.28630000000001</v>
      </c>
      <c r="AD2279">
        <v>-1.1045046170444</v>
      </c>
      <c r="AE2279">
        <v>-1.86520000000001</v>
      </c>
      <c r="AF2279">
        <v>-1.69674817614363</v>
      </c>
      <c r="AG2279">
        <v>-1.1045046170444</v>
      </c>
      <c r="AH2279">
        <v>173.28099166416601</v>
      </c>
      <c r="AI2279">
        <v>90.365184674203604</v>
      </c>
      <c r="AJ2279">
        <v>90.561015963493205</v>
      </c>
      <c r="AK2279">
        <v>173.29281853827399</v>
      </c>
    </row>
    <row r="2280" spans="1:37" x14ac:dyDescent="0.2">
      <c r="A2280" t="str">
        <f>"20200111155543469"</f>
        <v>20200111155543469</v>
      </c>
      <c r="B2280" t="str">
        <f>"1578729343464566"</f>
        <v>1578729343464566</v>
      </c>
      <c r="C2280" t="s">
        <v>37</v>
      </c>
      <c r="D2280">
        <v>4.9442079999999997</v>
      </c>
      <c r="E2280">
        <v>0.49970360000000003</v>
      </c>
      <c r="F2280" t="s">
        <v>59</v>
      </c>
      <c r="G2280">
        <v>-446.28680000000003</v>
      </c>
      <c r="H2280" s="1">
        <v>1.897184E-6</v>
      </c>
      <c r="I2280">
        <v>282.5924</v>
      </c>
      <c r="J2280">
        <v>-290.38810000000001</v>
      </c>
      <c r="K2280">
        <v>1.104503</v>
      </c>
      <c r="L2280">
        <v>284.22089999999997</v>
      </c>
      <c r="M2280">
        <v>-0.99990319999999899</v>
      </c>
      <c r="N2280">
        <v>0</v>
      </c>
      <c r="O2280">
        <v>-4.045586E-4</v>
      </c>
      <c r="P2280">
        <v>-0.99994559999999999</v>
      </c>
      <c r="Q2280">
        <v>6.1365550000000001E-3</v>
      </c>
      <c r="R2280">
        <v>-8.4422560000000004E-3</v>
      </c>
      <c r="S2280">
        <v>-3.0000309999999999</v>
      </c>
      <c r="T2280">
        <v>-2.122009E-2</v>
      </c>
      <c r="U2280">
        <v>-3.1280519999999999E-2</v>
      </c>
      <c r="V2280">
        <v>-8.0170980000000003E-3</v>
      </c>
      <c r="W2280">
        <v>2.005854E-2</v>
      </c>
      <c r="X2280">
        <v>0.99976659999999995</v>
      </c>
      <c r="Y2280">
        <v>-1.002135E-2</v>
      </c>
      <c r="Z2280" s="1">
        <v>-3.2578840000000003E-5</v>
      </c>
      <c r="AA2280">
        <v>0.9999498</v>
      </c>
      <c r="AB2280">
        <v>26</v>
      </c>
      <c r="AC2280">
        <v>-155.89869999999999</v>
      </c>
      <c r="AD2280">
        <v>-1.1045011028159999</v>
      </c>
      <c r="AE2280">
        <v>-1.6284999999999701</v>
      </c>
      <c r="AF2280">
        <v>-1.56534504472903</v>
      </c>
      <c r="AG2280">
        <v>-1.1045011028159999</v>
      </c>
      <c r="AH2280">
        <v>155.891522242625</v>
      </c>
      <c r="AI2280">
        <v>90.405916896340301</v>
      </c>
      <c r="AJ2280">
        <v>90.575301652942699</v>
      </c>
      <c r="AK2280">
        <v>155.903293534543</v>
      </c>
    </row>
    <row r="2281" spans="1:37" x14ac:dyDescent="0.2">
      <c r="A2281" t="str">
        <f>"20200111155543482"</f>
        <v>20200111155543482</v>
      </c>
      <c r="B2281" t="str">
        <f>"1578729343474326"</f>
        <v>1578729343474326</v>
      </c>
      <c r="C2281" t="s">
        <v>37</v>
      </c>
      <c r="D2281">
        <v>4.9669339999999904</v>
      </c>
      <c r="E2281">
        <v>0.49965179999999998</v>
      </c>
      <c r="F2281" t="s">
        <v>61</v>
      </c>
      <c r="G2281">
        <v>-439.19529999999997</v>
      </c>
      <c r="H2281" s="1">
        <v>6.4574890000000003E-6</v>
      </c>
      <c r="I2281">
        <v>282.75420000000003</v>
      </c>
      <c r="J2281">
        <v>-290.54239999999999</v>
      </c>
      <c r="K2281">
        <v>1.1045</v>
      </c>
      <c r="L2281">
        <v>284.22129999999999</v>
      </c>
      <c r="M2281">
        <v>-0.99990309999999905</v>
      </c>
      <c r="N2281">
        <v>0</v>
      </c>
      <c r="O2281" s="1">
        <v>-5.5131399999999999E-5</v>
      </c>
      <c r="P2281">
        <v>-0.99994839999999996</v>
      </c>
      <c r="Q2281">
        <v>6.1866619999999999E-3</v>
      </c>
      <c r="R2281">
        <v>-8.0707350000000008E-3</v>
      </c>
      <c r="S2281">
        <v>-3.0000610000000001</v>
      </c>
      <c r="T2281">
        <v>-2.2267459999999999E-2</v>
      </c>
      <c r="U2281">
        <v>-2.9571529999999999E-2</v>
      </c>
      <c r="V2281">
        <v>-7.9946830000000007E-3</v>
      </c>
      <c r="W2281">
        <v>2.0107650000000001E-2</v>
      </c>
      <c r="X2281">
        <v>0.99976589999999999</v>
      </c>
      <c r="Y2281">
        <v>-9.8010960000000005E-3</v>
      </c>
      <c r="Z2281" s="1">
        <v>-3.5962900000000001E-5</v>
      </c>
      <c r="AA2281">
        <v>0.99995199999999995</v>
      </c>
      <c r="AB2281">
        <v>26</v>
      </c>
      <c r="AC2281">
        <v>-148.65289999999999</v>
      </c>
      <c r="AD2281">
        <v>-1.1044935425110001</v>
      </c>
      <c r="AE2281">
        <v>-1.4670999999999501</v>
      </c>
      <c r="AF2281">
        <v>-1.45882323436484</v>
      </c>
      <c r="AG2281">
        <v>-1.1044935425110001</v>
      </c>
      <c r="AH2281">
        <v>148.64477550731701</v>
      </c>
      <c r="AI2281">
        <v>90.425703536697995</v>
      </c>
      <c r="AJ2281">
        <v>90.562291750262006</v>
      </c>
      <c r="AK2281">
        <v>148.65603706824399</v>
      </c>
    </row>
    <row r="2282" spans="1:37" x14ac:dyDescent="0.2">
      <c r="A2282" t="str">
        <f>"20200111155543496"</f>
        <v>20200111155543496</v>
      </c>
      <c r="B2282" t="str">
        <f>"1578729343485062"</f>
        <v>1578729343485062</v>
      </c>
      <c r="C2282" t="s">
        <v>37</v>
      </c>
      <c r="D2282">
        <v>5.0634290000000002</v>
      </c>
      <c r="E2282">
        <v>0.49962529999999999</v>
      </c>
      <c r="F2282" t="s">
        <v>61</v>
      </c>
      <c r="G2282">
        <v>-436.75310000000002</v>
      </c>
      <c r="H2282" s="1">
        <v>5.3695089999999996E-6</v>
      </c>
      <c r="I2282">
        <v>282.81119999999999</v>
      </c>
      <c r="J2282">
        <v>-290.70330000000001</v>
      </c>
      <c r="K2282">
        <v>1.1044959999999999</v>
      </c>
      <c r="L2282">
        <v>284.22160000000002</v>
      </c>
      <c r="M2282">
        <v>-0.99990330000000005</v>
      </c>
      <c r="N2282">
        <v>0</v>
      </c>
      <c r="O2282">
        <v>3.0977270000000001E-4</v>
      </c>
      <c r="P2282">
        <v>-0.99995349999999905</v>
      </c>
      <c r="Q2282">
        <v>5.9608150000000004E-3</v>
      </c>
      <c r="R2282">
        <v>-7.6141659999999899E-3</v>
      </c>
      <c r="S2282">
        <v>-3.0000309999999999</v>
      </c>
      <c r="T2282">
        <v>-2.2662640000000001E-2</v>
      </c>
      <c r="U2282">
        <v>-2.893066E-2</v>
      </c>
      <c r="V2282">
        <v>-7.9031880000000002E-3</v>
      </c>
      <c r="W2282">
        <v>1.9879770000000001E-2</v>
      </c>
      <c r="X2282">
        <v>0.99977109999999902</v>
      </c>
      <c r="Y2282">
        <v>-9.9525039999999992E-3</v>
      </c>
      <c r="Z2282" s="1">
        <v>-3.9930079999999998E-5</v>
      </c>
      <c r="AA2282">
        <v>0.99995049999999996</v>
      </c>
      <c r="AB2282">
        <v>26</v>
      </c>
      <c r="AC2282">
        <v>-146.0498</v>
      </c>
      <c r="AD2282">
        <v>-1.1044906304909901</v>
      </c>
      <c r="AE2282">
        <v>-1.4104000000000301</v>
      </c>
      <c r="AF2282">
        <v>-1.4555633100787</v>
      </c>
      <c r="AG2282">
        <v>-1.1044906304909901</v>
      </c>
      <c r="AH2282">
        <v>146.04100470007799</v>
      </c>
      <c r="AI2282">
        <v>90.433291338479705</v>
      </c>
      <c r="AJ2282">
        <v>90.571037383078902</v>
      </c>
      <c r="AK2282">
        <v>146.05243448128701</v>
      </c>
    </row>
    <row r="2283" spans="1:37" x14ac:dyDescent="0.2">
      <c r="A2283" t="str">
        <f>"20200111155543513"</f>
        <v>20200111155543513</v>
      </c>
      <c r="B2283" t="str">
        <f>"1578729343504582"</f>
        <v>1578729343504582</v>
      </c>
      <c r="C2283" t="s">
        <v>37</v>
      </c>
      <c r="D2283">
        <v>4.9625219999999999</v>
      </c>
      <c r="E2283">
        <v>0.499507799999999</v>
      </c>
      <c r="F2283" t="s">
        <v>61</v>
      </c>
      <c r="G2283">
        <v>-430.5034</v>
      </c>
      <c r="H2283" s="1">
        <v>2.5877530000000002E-6</v>
      </c>
      <c r="I2283">
        <v>282.9289</v>
      </c>
      <c r="J2283">
        <v>-290.89190000000002</v>
      </c>
      <c r="K2283">
        <v>1.1044969999999901</v>
      </c>
      <c r="L2283">
        <v>284.22219999999999</v>
      </c>
      <c r="M2283">
        <v>-0.99990299999999999</v>
      </c>
      <c r="N2283">
        <v>0</v>
      </c>
      <c r="O2283">
        <v>7.3801490000000003E-4</v>
      </c>
      <c r="P2283">
        <v>-0.99995540000000005</v>
      </c>
      <c r="Q2283">
        <v>5.9015140000000001E-3</v>
      </c>
      <c r="R2283">
        <v>-7.3757709999999997E-3</v>
      </c>
      <c r="S2283">
        <v>-3.0000309999999999</v>
      </c>
      <c r="T2283">
        <v>-2.370179E-2</v>
      </c>
      <c r="U2283">
        <v>-2.7740480000000001E-2</v>
      </c>
      <c r="V2283">
        <v>-8.0938880000000005E-3</v>
      </c>
      <c r="W2283">
        <v>1.9819219999999999E-2</v>
      </c>
      <c r="X2283">
        <v>0.99977079999999996</v>
      </c>
      <c r="Y2283">
        <v>-9.9840550000000004E-3</v>
      </c>
      <c r="Z2283" s="1">
        <v>-4.5269179999999901E-5</v>
      </c>
      <c r="AA2283">
        <v>0.99995020000000001</v>
      </c>
      <c r="AB2283">
        <v>26</v>
      </c>
      <c r="AC2283">
        <v>-139.61149999999901</v>
      </c>
      <c r="AD2283">
        <v>-1.10449441224699</v>
      </c>
      <c r="AE2283">
        <v>-1.2932999999999799</v>
      </c>
      <c r="AF2283">
        <v>-1.39625760208523</v>
      </c>
      <c r="AG2283">
        <v>-1.10449441224699</v>
      </c>
      <c r="AH2283">
        <v>139.601770887936</v>
      </c>
      <c r="AI2283">
        <v>90.453277796945599</v>
      </c>
      <c r="AJ2283">
        <v>90.573037145529497</v>
      </c>
      <c r="AK2283">
        <v>139.61312215635701</v>
      </c>
    </row>
    <row r="2284" spans="1:37" x14ac:dyDescent="0.2">
      <c r="A2284" t="str">
        <f>"20200111155543526"</f>
        <v>20200111155543526</v>
      </c>
      <c r="B2284" t="str">
        <f>"1578729343514343"</f>
        <v>1578729343514343</v>
      </c>
      <c r="C2284" t="s">
        <v>37</v>
      </c>
      <c r="D2284">
        <v>5.0879349999999999</v>
      </c>
      <c r="E2284">
        <v>0.49960310000000002</v>
      </c>
      <c r="F2284" t="s">
        <v>61</v>
      </c>
      <c r="G2284">
        <v>-424.46710000000002</v>
      </c>
      <c r="H2284" s="1">
        <v>3.3152419999999999E-6</v>
      </c>
      <c r="I2284">
        <v>282.9803</v>
      </c>
      <c r="J2284">
        <v>-291.03769999999997</v>
      </c>
      <c r="K2284">
        <v>1.1045039999999999</v>
      </c>
      <c r="L2284">
        <v>284.2226</v>
      </c>
      <c r="M2284">
        <v>-0.99990270000000003</v>
      </c>
      <c r="N2284">
        <v>0</v>
      </c>
      <c r="O2284">
        <v>1.068797E-3</v>
      </c>
      <c r="P2284">
        <v>-0.99995679999999998</v>
      </c>
      <c r="Q2284">
        <v>5.8773100000000002E-3</v>
      </c>
      <c r="R2284">
        <v>-7.2081230000000003E-3</v>
      </c>
      <c r="S2284">
        <v>-3.0000610000000001</v>
      </c>
      <c r="T2284">
        <v>-2.4806620000000001E-2</v>
      </c>
      <c r="U2284">
        <v>-2.7893069999999999E-2</v>
      </c>
      <c r="V2284">
        <v>-8.2569340000000005E-3</v>
      </c>
      <c r="W2284">
        <v>1.9793479999999999E-2</v>
      </c>
      <c r="X2284">
        <v>0.99977000000000005</v>
      </c>
      <c r="Y2284">
        <v>-1.0365559999999999E-2</v>
      </c>
      <c r="Z2284" s="1">
        <v>-5.1691319999999999E-5</v>
      </c>
      <c r="AA2284">
        <v>0.99994629999999995</v>
      </c>
      <c r="AB2284">
        <v>26</v>
      </c>
      <c r="AC2284">
        <v>-133.42939999999999</v>
      </c>
      <c r="AD2284">
        <v>-1.1045006847579999</v>
      </c>
      <c r="AE2284">
        <v>-1.2423</v>
      </c>
      <c r="AF2284">
        <v>-1.3848271458050601</v>
      </c>
      <c r="AG2284">
        <v>-1.1045006847579999</v>
      </c>
      <c r="AH2284">
        <v>133.41885456947199</v>
      </c>
      <c r="AI2284">
        <v>90.474283592931101</v>
      </c>
      <c r="AJ2284">
        <v>90.594682826864002</v>
      </c>
      <c r="AK2284">
        <v>133.430612764149</v>
      </c>
    </row>
    <row r="2285" spans="1:37" x14ac:dyDescent="0.2">
      <c r="A2285" t="str">
        <f>"20200111155543539"</f>
        <v>20200111155543539</v>
      </c>
      <c r="B2285" t="str">
        <f>"1578729343534838"</f>
        <v>1578729343534838</v>
      </c>
      <c r="C2285" t="s">
        <v>37</v>
      </c>
      <c r="D2285">
        <v>5.1169510000000002</v>
      </c>
      <c r="E2285">
        <v>0.51188080000000002</v>
      </c>
      <c r="F2285" t="s">
        <v>61</v>
      </c>
      <c r="G2285">
        <v>-419.7217</v>
      </c>
      <c r="H2285" s="1">
        <v>4.0654509999999903E-6</v>
      </c>
      <c r="I2285">
        <v>283.06939999999997</v>
      </c>
      <c r="J2285">
        <v>-291.19850000000002</v>
      </c>
      <c r="K2285">
        <v>1.1045049999999901</v>
      </c>
      <c r="L2285">
        <v>284.22320000000002</v>
      </c>
      <c r="M2285">
        <v>-0.99990239999999997</v>
      </c>
      <c r="N2285">
        <v>0</v>
      </c>
      <c r="O2285">
        <v>1.43301E-3</v>
      </c>
      <c r="P2285">
        <v>-0.99995579999999995</v>
      </c>
      <c r="Q2285">
        <v>6.0660710000000001E-3</v>
      </c>
      <c r="R2285">
        <v>-7.2165600000000003E-3</v>
      </c>
      <c r="S2285">
        <v>-3.0001220000000002</v>
      </c>
      <c r="T2285">
        <v>-2.5750160000000001E-2</v>
      </c>
      <c r="U2285">
        <v>-2.6885989999999999E-2</v>
      </c>
      <c r="V2285">
        <v>-8.6292239999999996E-3</v>
      </c>
      <c r="W2285">
        <v>1.9980830000000002E-2</v>
      </c>
      <c r="X2285">
        <v>0.99976309999999902</v>
      </c>
      <c r="Y2285">
        <v>-1.0393919999999999E-2</v>
      </c>
      <c r="Z2285" s="1">
        <v>-5.6904280000000002E-5</v>
      </c>
      <c r="AA2285">
        <v>0.999945999999999</v>
      </c>
      <c r="AB2285">
        <v>25</v>
      </c>
      <c r="AC2285">
        <v>-128.52319999999901</v>
      </c>
      <c r="AD2285">
        <v>-1.10450093454899</v>
      </c>
      <c r="AE2285">
        <v>-1.1538000000000399</v>
      </c>
      <c r="AF2285">
        <v>-1.33789283434902</v>
      </c>
      <c r="AG2285">
        <v>-1.10450093454899</v>
      </c>
      <c r="AH2285">
        <v>128.51192419792</v>
      </c>
      <c r="AI2285">
        <v>90.492392091082607</v>
      </c>
      <c r="AJ2285">
        <v>90.596464835098104</v>
      </c>
      <c r="AK2285">
        <v>128.52363417131701</v>
      </c>
    </row>
    <row r="2286" spans="1:37" x14ac:dyDescent="0.2">
      <c r="A2286" t="str">
        <f>"20200111155543553"</f>
        <v>20200111155543553</v>
      </c>
      <c r="B2286" t="str">
        <f>"1578729343544599"</f>
        <v>1578729343544599</v>
      </c>
      <c r="C2286" t="s">
        <v>37</v>
      </c>
      <c r="D2286">
        <v>4.9619879999999998</v>
      </c>
      <c r="E2286">
        <v>0.512845</v>
      </c>
      <c r="F2286" t="s">
        <v>59</v>
      </c>
      <c r="G2286">
        <v>-341.89060000000001</v>
      </c>
      <c r="H2286" s="1">
        <v>-5.3070709999999998E-7</v>
      </c>
      <c r="I2286">
        <v>285.3954</v>
      </c>
      <c r="J2286">
        <v>-291.3494</v>
      </c>
      <c r="K2286">
        <v>1.104509</v>
      </c>
      <c r="L2286">
        <v>284.22379999999998</v>
      </c>
      <c r="M2286">
        <v>-0.99990179999999995</v>
      </c>
      <c r="N2286">
        <v>0</v>
      </c>
      <c r="O2286">
        <v>1.7732620000000001E-3</v>
      </c>
      <c r="P2286">
        <v>-0.99995859999999903</v>
      </c>
      <c r="Q2286">
        <v>5.7779869999999896E-3</v>
      </c>
      <c r="R2286">
        <v>-7.0499040000000001E-3</v>
      </c>
      <c r="S2286">
        <v>-3.0010680000000001</v>
      </c>
      <c r="T2286">
        <v>-6.5388799999999997E-2</v>
      </c>
      <c r="U2286">
        <v>6.9396970000000002E-2</v>
      </c>
      <c r="V2286">
        <v>-8.8032800000000001E-3</v>
      </c>
      <c r="W2286">
        <v>1.9691449999999999E-2</v>
      </c>
      <c r="X2286">
        <v>0.99976739999999997</v>
      </c>
      <c r="Y2286">
        <v>2.134028E-2</v>
      </c>
      <c r="Z2286">
        <v>1.937973E-4</v>
      </c>
      <c r="AA2286">
        <v>0.99977229999999995</v>
      </c>
      <c r="AB2286">
        <v>25</v>
      </c>
      <c r="AC2286">
        <v>-50.541200000000003</v>
      </c>
      <c r="AD2286">
        <v>-1.1045095307071</v>
      </c>
      <c r="AE2286">
        <v>1.17160000000001</v>
      </c>
      <c r="AF2286">
        <v>1.0814505035795601</v>
      </c>
      <c r="AG2286">
        <v>-1.1045095307071</v>
      </c>
      <c r="AH2286">
        <v>50.519084235733601</v>
      </c>
      <c r="AI2286">
        <v>91.252183550081</v>
      </c>
      <c r="AJ2286">
        <v>88.773669626651795</v>
      </c>
      <c r="AK2286">
        <v>50.542727948857902</v>
      </c>
    </row>
    <row r="2287" spans="1:37" x14ac:dyDescent="0.2">
      <c r="A2287" t="str">
        <f>"20200111155543568"</f>
        <v>20200111155543568</v>
      </c>
      <c r="B2287" t="str">
        <f>"1578729343565094"</f>
        <v>1578729343565094</v>
      </c>
      <c r="C2287" t="s">
        <v>37</v>
      </c>
      <c r="D2287">
        <v>4.9810629999999998</v>
      </c>
      <c r="E2287">
        <v>0.51384289999999999</v>
      </c>
      <c r="F2287" t="s">
        <v>59</v>
      </c>
      <c r="G2287">
        <v>-338.5838</v>
      </c>
      <c r="H2287" s="1">
        <v>2.9950369999999899E-6</v>
      </c>
      <c r="I2287">
        <v>285.44139999999999</v>
      </c>
      <c r="J2287">
        <v>-291.5301</v>
      </c>
      <c r="K2287">
        <v>1.1045149999999999</v>
      </c>
      <c r="L2287">
        <v>284.22460000000001</v>
      </c>
      <c r="M2287">
        <v>-0.99990089999999998</v>
      </c>
      <c r="N2287">
        <v>0</v>
      </c>
      <c r="O2287">
        <v>2.1797869999999999E-3</v>
      </c>
      <c r="P2287">
        <v>-0.999959499999999</v>
      </c>
      <c r="Q2287">
        <v>5.8378519999999897E-3</v>
      </c>
      <c r="R2287">
        <v>-6.8479730000000003E-3</v>
      </c>
      <c r="S2287">
        <v>-3.001099</v>
      </c>
      <c r="T2287">
        <v>-7.0176119999999995E-2</v>
      </c>
      <c r="U2287">
        <v>7.7362059999999996E-2</v>
      </c>
      <c r="V2287">
        <v>-9.0082600000000006E-3</v>
      </c>
      <c r="W2287">
        <v>1.9749139999999998E-2</v>
      </c>
      <c r="X2287">
        <v>0.9997644</v>
      </c>
      <c r="Y2287">
        <v>2.358418E-2</v>
      </c>
      <c r="Z2287">
        <v>2.2469650000000001E-4</v>
      </c>
      <c r="AA2287">
        <v>0.99972179999999999</v>
      </c>
      <c r="AB2287">
        <v>25</v>
      </c>
      <c r="AC2287">
        <v>-47.0536999999999</v>
      </c>
      <c r="AD2287">
        <v>-1.1045120049629999</v>
      </c>
      <c r="AE2287">
        <v>1.2167999999999699</v>
      </c>
      <c r="AF2287">
        <v>1.1136069536139499</v>
      </c>
      <c r="AG2287">
        <v>-1.1045120049629999</v>
      </c>
      <c r="AH2287">
        <v>47.0303443076753</v>
      </c>
      <c r="AI2287">
        <v>91.344972546725501</v>
      </c>
      <c r="AJ2287">
        <v>88.6435766331591</v>
      </c>
      <c r="AK2287">
        <v>47.056491081621601</v>
      </c>
    </row>
    <row r="2288" spans="1:37" x14ac:dyDescent="0.2">
      <c r="A2288" t="str">
        <f>"20200111155543583"</f>
        <v>20200111155543583</v>
      </c>
      <c r="B2288" t="str">
        <f>"1578729343574854"</f>
        <v>1578729343574854</v>
      </c>
      <c r="C2288" t="s">
        <v>37</v>
      </c>
      <c r="D2288">
        <v>5.071269</v>
      </c>
      <c r="E2288">
        <v>0.51426609999999995</v>
      </c>
      <c r="F2288" t="s">
        <v>59</v>
      </c>
      <c r="G2288">
        <v>-339.30360000000002</v>
      </c>
      <c r="H2288" s="1">
        <v>3.371428E-6</v>
      </c>
      <c r="I2288">
        <v>285.59300000000002</v>
      </c>
      <c r="J2288">
        <v>-291.68490000000003</v>
      </c>
      <c r="K2288">
        <v>1.104517</v>
      </c>
      <c r="L2288">
        <v>284.2253</v>
      </c>
      <c r="M2288">
        <v>-0.99990009999999996</v>
      </c>
      <c r="N2288">
        <v>0</v>
      </c>
      <c r="O2288">
        <v>2.5269529999999902E-3</v>
      </c>
      <c r="P2288">
        <v>-0.99995809999999996</v>
      </c>
      <c r="Q2288">
        <v>6.2382890000000002E-3</v>
      </c>
      <c r="R2288">
        <v>-6.69549599999999E-3</v>
      </c>
      <c r="S2288">
        <v>-3.0011290000000002</v>
      </c>
      <c r="T2288">
        <v>-6.9385290000000002E-2</v>
      </c>
      <c r="U2288">
        <v>8.5968020000000006E-2</v>
      </c>
      <c r="V2288">
        <v>-9.2026929999999996E-3</v>
      </c>
      <c r="W2288">
        <v>2.014817E-2</v>
      </c>
      <c r="X2288">
        <v>0.999754699999999</v>
      </c>
      <c r="Y2288">
        <v>2.6100930000000001E-2</v>
      </c>
      <c r="Z2288">
        <v>2.4321330000000001E-4</v>
      </c>
      <c r="AA2288">
        <v>0.99965930000000003</v>
      </c>
      <c r="AB2288">
        <v>25</v>
      </c>
      <c r="AC2288">
        <v>-47.618699999999897</v>
      </c>
      <c r="AD2288">
        <v>-1.1045136285719901</v>
      </c>
      <c r="AE2288">
        <v>1.3677000000000099</v>
      </c>
      <c r="AF2288">
        <v>1.24668360735894</v>
      </c>
      <c r="AG2288">
        <v>-1.1045136285719901</v>
      </c>
      <c r="AH2288">
        <v>47.596418334169201</v>
      </c>
      <c r="AI2288">
        <v>91.328900996759103</v>
      </c>
      <c r="AJ2288">
        <v>88.499605995192596</v>
      </c>
      <c r="AK2288">
        <v>47.625552055737899</v>
      </c>
    </row>
    <row r="2289" spans="1:37" x14ac:dyDescent="0.2">
      <c r="A2289" t="str">
        <f>"20200111155543596"</f>
        <v>20200111155543596</v>
      </c>
      <c r="B2289" t="str">
        <f>"1578729343584615"</f>
        <v>1578729343584615</v>
      </c>
      <c r="C2289" t="s">
        <v>37</v>
      </c>
      <c r="D2289">
        <v>5.2390019999999904</v>
      </c>
      <c r="E2289">
        <v>0.51441099999999995</v>
      </c>
      <c r="F2289" t="s">
        <v>59</v>
      </c>
      <c r="G2289">
        <v>-339.15789999999998</v>
      </c>
      <c r="H2289" s="1">
        <v>3.2916019999999899E-6</v>
      </c>
      <c r="I2289">
        <v>285.64599999999899</v>
      </c>
      <c r="J2289">
        <v>-291.83819999999997</v>
      </c>
      <c r="K2289">
        <v>1.104517</v>
      </c>
      <c r="L2289">
        <v>284.22609999999997</v>
      </c>
      <c r="M2289">
        <v>-0.99989930000000005</v>
      </c>
      <c r="N2289">
        <v>0</v>
      </c>
      <c r="O2289">
        <v>2.8693540000000002E-3</v>
      </c>
      <c r="P2289">
        <v>-0.99995529999999999</v>
      </c>
      <c r="Q2289">
        <v>6.7130069999999896E-3</v>
      </c>
      <c r="R2289">
        <v>-6.6656959999999996E-3</v>
      </c>
      <c r="S2289">
        <v>-3.0011899999999998</v>
      </c>
      <c r="T2289">
        <v>-6.982613E-2</v>
      </c>
      <c r="U2289">
        <v>8.9813229999999994E-2</v>
      </c>
      <c r="V2289">
        <v>-9.5143759999999997E-3</v>
      </c>
      <c r="W2289">
        <v>2.0621569999999999E-2</v>
      </c>
      <c r="X2289">
        <v>0.99974209999999997</v>
      </c>
      <c r="Y2289">
        <v>2.7037479999999999E-2</v>
      </c>
      <c r="Z2289">
        <v>2.476755E-4</v>
      </c>
      <c r="AA2289">
        <v>0.99963440000000003</v>
      </c>
      <c r="AB2289">
        <v>25</v>
      </c>
      <c r="AC2289">
        <v>-47.319699999999997</v>
      </c>
      <c r="AD2289">
        <v>-1.1045137083979999</v>
      </c>
      <c r="AE2289">
        <v>1.41989999999998</v>
      </c>
      <c r="AF2289">
        <v>1.28340546387507</v>
      </c>
      <c r="AG2289">
        <v>-1.1045137083979999</v>
      </c>
      <c r="AH2289">
        <v>47.297833821400701</v>
      </c>
      <c r="AI2289">
        <v>91.337253676528505</v>
      </c>
      <c r="AJ2289">
        <v>88.445686170295005</v>
      </c>
      <c r="AK2289">
        <v>47.328132905425001</v>
      </c>
    </row>
    <row r="2290" spans="1:37" x14ac:dyDescent="0.2">
      <c r="A2290" t="str">
        <f>"20200111155543613"</f>
        <v>20200111155543613</v>
      </c>
      <c r="B2290" t="str">
        <f>"1578729343604134"</f>
        <v>1578729343604134</v>
      </c>
      <c r="C2290" t="s">
        <v>37</v>
      </c>
      <c r="D2290">
        <v>5.0639890000000003</v>
      </c>
      <c r="E2290">
        <v>0.51474600000000004</v>
      </c>
      <c r="F2290" t="s">
        <v>59</v>
      </c>
      <c r="G2290">
        <v>-346.36680000000001</v>
      </c>
      <c r="H2290" s="1">
        <v>1.851293E-6</v>
      </c>
      <c r="I2290">
        <v>285.88670000000002</v>
      </c>
      <c r="J2290">
        <v>-292.03120000000001</v>
      </c>
      <c r="K2290">
        <v>1.1045259999999999</v>
      </c>
      <c r="L2290">
        <v>284.22710000000001</v>
      </c>
      <c r="M2290">
        <v>-0.99989810000000001</v>
      </c>
      <c r="N2290">
        <v>0</v>
      </c>
      <c r="O2290">
        <v>3.299064E-3</v>
      </c>
      <c r="P2290">
        <v>-0.99994989999999995</v>
      </c>
      <c r="Q2290">
        <v>7.2367300000000002E-3</v>
      </c>
      <c r="R2290">
        <v>-6.9392780000000001E-3</v>
      </c>
      <c r="S2290">
        <v>-3.00116</v>
      </c>
      <c r="T2290">
        <v>-6.0790660000000003E-2</v>
      </c>
      <c r="U2290">
        <v>9.1400149999999999E-2</v>
      </c>
      <c r="V2290">
        <v>-1.021789E-2</v>
      </c>
      <c r="W2290">
        <v>2.114359E-2</v>
      </c>
      <c r="X2290">
        <v>0.99972419999999995</v>
      </c>
      <c r="Y2290">
        <v>2.7137930000000001E-2</v>
      </c>
      <c r="Z2290">
        <v>2.0794919999999901E-4</v>
      </c>
      <c r="AA2290">
        <v>0.99963169999999901</v>
      </c>
      <c r="AB2290">
        <v>25</v>
      </c>
      <c r="AC2290">
        <v>-54.335599999999999</v>
      </c>
      <c r="AD2290">
        <v>-1.1045241487070001</v>
      </c>
      <c r="AE2290">
        <v>1.65960000000001</v>
      </c>
      <c r="AF2290">
        <v>1.47970617810725</v>
      </c>
      <c r="AG2290">
        <v>-1.1045241487070001</v>
      </c>
      <c r="AH2290">
        <v>54.318355388105402</v>
      </c>
      <c r="AI2290">
        <v>91.164475483776002</v>
      </c>
      <c r="AJ2290">
        <v>88.439570640440493</v>
      </c>
      <c r="AK2290">
        <v>54.349730781643402</v>
      </c>
    </row>
    <row r="2291" spans="1:37" x14ac:dyDescent="0.2">
      <c r="A2291" t="str">
        <f>"20200111155543628"</f>
        <v>20200111155543628</v>
      </c>
      <c r="B2291" t="str">
        <f>"1578729343624630"</f>
        <v>1578729343624630</v>
      </c>
      <c r="C2291" t="s">
        <v>37</v>
      </c>
      <c r="D2291">
        <v>4.9825439999999999</v>
      </c>
      <c r="E2291">
        <v>0.5146811</v>
      </c>
      <c r="F2291" t="s">
        <v>59</v>
      </c>
      <c r="G2291">
        <v>-350.68979999999999</v>
      </c>
      <c r="H2291" s="1">
        <v>-1.1697020000000001E-6</v>
      </c>
      <c r="I2291">
        <v>286.05169999999998</v>
      </c>
      <c r="J2291">
        <v>-292.20089999999999</v>
      </c>
      <c r="K2291">
        <v>1.104533</v>
      </c>
      <c r="L2291">
        <v>284.22809999999998</v>
      </c>
      <c r="M2291">
        <v>-0.99989669999999897</v>
      </c>
      <c r="N2291">
        <v>0</v>
      </c>
      <c r="O2291">
        <v>3.6739229999999999E-3</v>
      </c>
      <c r="P2291">
        <v>-0.99994620000000001</v>
      </c>
      <c r="Q2291">
        <v>7.6820350000000003E-3</v>
      </c>
      <c r="R2291">
        <v>-6.9611339999999999E-3</v>
      </c>
      <c r="S2291">
        <v>-3.0011899999999998</v>
      </c>
      <c r="T2291">
        <v>-5.6511640000000002E-2</v>
      </c>
      <c r="U2291">
        <v>9.3353270000000002E-2</v>
      </c>
      <c r="V2291">
        <v>-1.0614409999999999E-2</v>
      </c>
      <c r="W2291">
        <v>2.1586950000000001E-2</v>
      </c>
      <c r="X2291">
        <v>0.9997106</v>
      </c>
      <c r="Y2291">
        <v>2.7413469999999999E-2</v>
      </c>
      <c r="Z2291">
        <v>1.8884729999999901E-4</v>
      </c>
      <c r="AA2291">
        <v>0.99962410000000002</v>
      </c>
      <c r="AB2291">
        <v>25</v>
      </c>
      <c r="AC2291">
        <v>-58.488900000000001</v>
      </c>
      <c r="AD2291">
        <v>-1.1045341697019999</v>
      </c>
      <c r="AE2291">
        <v>1.8235999999999899</v>
      </c>
      <c r="AF2291">
        <v>1.60811029140924</v>
      </c>
      <c r="AG2291">
        <v>-1.1045341697019999</v>
      </c>
      <c r="AH2291">
        <v>58.474372449404001</v>
      </c>
      <c r="AI2291">
        <v>91.081733910455995</v>
      </c>
      <c r="AJ2291">
        <v>88.424699384543899</v>
      </c>
      <c r="AK2291">
        <v>58.5069076929638</v>
      </c>
    </row>
    <row r="2292" spans="1:37" x14ac:dyDescent="0.2">
      <c r="A2292" t="str">
        <f>"20200111155543642"</f>
        <v>20200111155543642</v>
      </c>
      <c r="B2292" t="str">
        <f>"1578729343634390"</f>
        <v>1578729343634390</v>
      </c>
      <c r="C2292" t="s">
        <v>37</v>
      </c>
      <c r="D2292">
        <v>4.998437</v>
      </c>
      <c r="E2292">
        <v>0.51474500000000001</v>
      </c>
      <c r="F2292" t="s">
        <v>59</v>
      </c>
      <c r="G2292">
        <v>-349.98820000000001</v>
      </c>
      <c r="H2292" s="1">
        <v>-1.5430629999999999E-6</v>
      </c>
      <c r="I2292">
        <v>286.01029999999997</v>
      </c>
      <c r="J2292">
        <v>-292.36149999999998</v>
      </c>
      <c r="K2292">
        <v>1.1045399999999901</v>
      </c>
      <c r="L2292">
        <v>284.22910000000002</v>
      </c>
      <c r="M2292">
        <v>-0.99989550000000005</v>
      </c>
      <c r="N2292">
        <v>0</v>
      </c>
      <c r="O2292">
        <v>4.0246839999999997E-3</v>
      </c>
      <c r="P2292">
        <v>-0.99994530000000004</v>
      </c>
      <c r="Q2292">
        <v>7.9836170000000001E-3</v>
      </c>
      <c r="R2292">
        <v>-6.764155E-3</v>
      </c>
      <c r="S2292">
        <v>-3.0012819999999998</v>
      </c>
      <c r="T2292">
        <v>-5.7365890000000003E-2</v>
      </c>
      <c r="U2292">
        <v>9.2559810000000006E-2</v>
      </c>
      <c r="V2292">
        <v>-1.0767830000000001E-2</v>
      </c>
      <c r="W2292">
        <v>2.188729E-2</v>
      </c>
      <c r="X2292">
        <v>0.99970249999999905</v>
      </c>
      <c r="Y2292">
        <v>2.679788E-2</v>
      </c>
      <c r="Z2292">
        <v>1.79112599999999E-4</v>
      </c>
      <c r="AA2292">
        <v>0.99964089999999906</v>
      </c>
      <c r="AB2292">
        <v>25</v>
      </c>
      <c r="AC2292">
        <v>-57.6267</v>
      </c>
      <c r="AD2292">
        <v>-1.1045415430629999</v>
      </c>
      <c r="AE2292">
        <v>1.7811999999999499</v>
      </c>
      <c r="AF2292">
        <v>1.5486655463747001</v>
      </c>
      <c r="AG2292">
        <v>-1.1045415430629999</v>
      </c>
      <c r="AH2292">
        <v>57.612257202801104</v>
      </c>
      <c r="AI2292">
        <v>91.097942972485001</v>
      </c>
      <c r="AJ2292">
        <v>88.460212439415798</v>
      </c>
      <c r="AK2292">
        <v>57.643651489097998</v>
      </c>
    </row>
    <row r="2293" spans="1:37" x14ac:dyDescent="0.2">
      <c r="A2293" t="str">
        <f>"20200111155543658"</f>
        <v>20200111155543658</v>
      </c>
      <c r="B2293" t="str">
        <f>"1578729343654886"</f>
        <v>1578729343654886</v>
      </c>
      <c r="C2293" t="s">
        <v>37</v>
      </c>
      <c r="D2293">
        <v>5.1682399999999999</v>
      </c>
      <c r="E2293">
        <v>0.5150515</v>
      </c>
      <c r="F2293" t="s">
        <v>59</v>
      </c>
      <c r="G2293">
        <v>-350.72430000000003</v>
      </c>
      <c r="H2293" s="1">
        <v>-1.1513530000000001E-6</v>
      </c>
      <c r="I2293">
        <v>286.048</v>
      </c>
      <c r="J2293">
        <v>-292.54590000000002</v>
      </c>
      <c r="K2293">
        <v>1.1045499999999999</v>
      </c>
      <c r="L2293">
        <v>284.2303</v>
      </c>
      <c r="M2293">
        <v>-0.99989380000000005</v>
      </c>
      <c r="N2293">
        <v>0</v>
      </c>
      <c r="O2293">
        <v>4.4205809999999998E-3</v>
      </c>
      <c r="P2293">
        <v>-0.99995140000000005</v>
      </c>
      <c r="Q2293">
        <v>7.749349E-3</v>
      </c>
      <c r="R2293">
        <v>-6.1190949999999997E-3</v>
      </c>
      <c r="S2293">
        <v>-3.0012509999999999</v>
      </c>
      <c r="T2293">
        <v>-5.6800009999999998E-2</v>
      </c>
      <c r="U2293">
        <v>9.3536380000000002E-2</v>
      </c>
      <c r="V2293">
        <v>-1.051905E-2</v>
      </c>
      <c r="W2293">
        <v>2.165036E-2</v>
      </c>
      <c r="X2293">
        <v>0.99971030000000005</v>
      </c>
      <c r="Y2293">
        <v>2.6727509999999999E-2</v>
      </c>
      <c r="Z2293">
        <v>1.6919090000000001E-4</v>
      </c>
      <c r="AA2293">
        <v>0.9996427</v>
      </c>
      <c r="AB2293">
        <v>25</v>
      </c>
      <c r="AC2293">
        <v>-58.178400000000003</v>
      </c>
      <c r="AD2293">
        <v>-1.104551151353</v>
      </c>
      <c r="AE2293">
        <v>1.8177000000000001</v>
      </c>
      <c r="AF2293">
        <v>1.55991337803865</v>
      </c>
      <c r="AG2293">
        <v>-1.104551151353</v>
      </c>
      <c r="AH2293">
        <v>58.164922255465299</v>
      </c>
      <c r="AI2293">
        <v>91.087524443867196</v>
      </c>
      <c r="AJ2293">
        <v>88.463764227644404</v>
      </c>
      <c r="AK2293">
        <v>58.196318989926297</v>
      </c>
    </row>
    <row r="2294" spans="1:37" x14ac:dyDescent="0.2">
      <c r="A2294" t="str">
        <f>"20200111155543671"</f>
        <v>20200111155543671</v>
      </c>
      <c r="B2294" t="str">
        <f>"1578729343664646"</f>
        <v>1578729343664646</v>
      </c>
      <c r="C2294" t="s">
        <v>37</v>
      </c>
      <c r="D2294">
        <v>4.9860499999999996</v>
      </c>
      <c r="E2294">
        <v>0.51510100000000003</v>
      </c>
      <c r="F2294" t="s">
        <v>59</v>
      </c>
      <c r="G2294">
        <v>-348.02690000000001</v>
      </c>
      <c r="H2294" s="1">
        <v>2.7347190000000002E-6</v>
      </c>
      <c r="I2294">
        <v>286.04059999999998</v>
      </c>
      <c r="J2294">
        <v>-292.69130000000001</v>
      </c>
      <c r="K2294">
        <v>1.104557</v>
      </c>
      <c r="L2294">
        <v>284.23129999999998</v>
      </c>
      <c r="M2294">
        <v>-0.99989240000000001</v>
      </c>
      <c r="N2294">
        <v>0</v>
      </c>
      <c r="O2294">
        <v>4.7252099999999997E-3</v>
      </c>
      <c r="P2294">
        <v>-0.99995400000000001</v>
      </c>
      <c r="Q2294">
        <v>7.6863130000000002E-3</v>
      </c>
      <c r="R2294">
        <v>-5.7496379999999996E-3</v>
      </c>
      <c r="S2294">
        <v>-3.0012209999999899</v>
      </c>
      <c r="T2294">
        <v>-5.9749959999999998E-2</v>
      </c>
      <c r="U2294">
        <v>9.7930909999999996E-2</v>
      </c>
      <c r="V2294">
        <v>-1.0454710000000001E-2</v>
      </c>
      <c r="W2294">
        <v>2.158552E-2</v>
      </c>
      <c r="X2294">
        <v>0.9997123</v>
      </c>
      <c r="Y2294">
        <v>2.7884900000000001E-2</v>
      </c>
      <c r="Z2294">
        <v>1.8342790000000001E-4</v>
      </c>
      <c r="AA2294">
        <v>0.99961109999999898</v>
      </c>
      <c r="AB2294">
        <v>25</v>
      </c>
      <c r="AC2294">
        <v>-55.335599999999999</v>
      </c>
      <c r="AD2294">
        <v>-1.1045542652810001</v>
      </c>
      <c r="AE2294">
        <v>1.8092999999999999</v>
      </c>
      <c r="AF2294">
        <v>1.54716645190239</v>
      </c>
      <c r="AG2294">
        <v>-1.1045542652810001</v>
      </c>
      <c r="AH2294">
        <v>55.321513406494198</v>
      </c>
      <c r="AI2294">
        <v>91.143373727179394</v>
      </c>
      <c r="AJ2294">
        <v>88.398037183366995</v>
      </c>
      <c r="AK2294">
        <v>55.354165242913403</v>
      </c>
    </row>
    <row r="2295" spans="1:37" x14ac:dyDescent="0.2">
      <c r="A2295" t="str">
        <f>"20200111155543685"</f>
        <v>20200111155543685</v>
      </c>
      <c r="B2295" t="str">
        <f>"1578729343674408"</f>
        <v>1578729343674408</v>
      </c>
      <c r="C2295" t="s">
        <v>37</v>
      </c>
      <c r="D2295">
        <v>5.035247</v>
      </c>
      <c r="E2295">
        <v>0.51506980000000002</v>
      </c>
      <c r="F2295" t="s">
        <v>59</v>
      </c>
      <c r="G2295">
        <v>-346.38310000000001</v>
      </c>
      <c r="H2295" s="1">
        <v>1.86E-6</v>
      </c>
      <c r="I2295">
        <v>286.00850000000003</v>
      </c>
      <c r="J2295">
        <v>-292.8347</v>
      </c>
      <c r="K2295">
        <v>1.104565</v>
      </c>
      <c r="L2295">
        <v>284.23230000000001</v>
      </c>
      <c r="M2295">
        <v>-0.99989099999999997</v>
      </c>
      <c r="N2295">
        <v>0</v>
      </c>
      <c r="O2295">
        <v>5.0204100000000003E-3</v>
      </c>
      <c r="P2295">
        <v>-0.99995429999999996</v>
      </c>
      <c r="Q2295">
        <v>7.8307350000000001E-3</v>
      </c>
      <c r="R2295">
        <v>-5.51644099999999E-3</v>
      </c>
      <c r="S2295">
        <v>-3.0011899999999998</v>
      </c>
      <c r="T2295">
        <v>-6.1740879999999998E-2</v>
      </c>
      <c r="U2295">
        <v>9.9334720000000001E-2</v>
      </c>
      <c r="V2295">
        <v>-1.0516650000000001E-2</v>
      </c>
      <c r="W2295">
        <v>2.1728069999999999E-2</v>
      </c>
      <c r="X2295">
        <v>0.99970859999999995</v>
      </c>
      <c r="Y2295">
        <v>2.8056899999999999E-2</v>
      </c>
      <c r="Z2295">
        <v>1.8523669999999999E-4</v>
      </c>
      <c r="AA2295">
        <v>0.99960629999999995</v>
      </c>
      <c r="AB2295">
        <v>25</v>
      </c>
      <c r="AC2295">
        <v>-53.548400000000001</v>
      </c>
      <c r="AD2295">
        <v>-1.10456314</v>
      </c>
      <c r="AE2295">
        <v>1.77620000000001</v>
      </c>
      <c r="AF2295">
        <v>1.5066764020243399</v>
      </c>
      <c r="AG2295">
        <v>-1.10456314</v>
      </c>
      <c r="AH2295">
        <v>53.533890112072797</v>
      </c>
      <c r="AI2295">
        <v>91.1815466453385</v>
      </c>
      <c r="AJ2295">
        <v>88.387873243354505</v>
      </c>
      <c r="AK2295">
        <v>53.566477614662602</v>
      </c>
    </row>
    <row r="2296" spans="1:37" x14ac:dyDescent="0.2">
      <c r="A2296" t="str">
        <f>"20200111155543697"</f>
        <v>20200111155543697</v>
      </c>
      <c r="B2296" t="str">
        <f>"1578729343694902"</f>
        <v>1578729343694902</v>
      </c>
      <c r="C2296" t="s">
        <v>37</v>
      </c>
      <c r="D2296">
        <v>5.0595540000000003</v>
      </c>
      <c r="E2296">
        <v>0.51505299999999998</v>
      </c>
      <c r="F2296" t="s">
        <v>59</v>
      </c>
      <c r="G2296">
        <v>-346.24459999999999</v>
      </c>
      <c r="H2296" s="1">
        <v>1.7862689999999999E-6</v>
      </c>
      <c r="I2296">
        <v>286.0061</v>
      </c>
      <c r="J2296">
        <v>-292.98989999999998</v>
      </c>
      <c r="K2296">
        <v>1.1045719999999899</v>
      </c>
      <c r="L2296">
        <v>284.23340000000002</v>
      </c>
      <c r="M2296">
        <v>-0.99988940000000004</v>
      </c>
      <c r="N2296">
        <v>0</v>
      </c>
      <c r="O2296">
        <v>5.3344769999999998E-3</v>
      </c>
      <c r="P2296">
        <v>-0.99995719999999999</v>
      </c>
      <c r="Q2296">
        <v>7.7241189999999998E-3</v>
      </c>
      <c r="R2296">
        <v>-5.1043959999999998E-3</v>
      </c>
      <c r="S2296">
        <v>-3.00116</v>
      </c>
      <c r="T2296">
        <v>-6.206656E-2</v>
      </c>
      <c r="U2296">
        <v>9.9670410000000001E-2</v>
      </c>
      <c r="V2296">
        <v>-1.041943E-2</v>
      </c>
      <c r="W2296">
        <v>2.1619369999999999E-2</v>
      </c>
      <c r="X2296">
        <v>0.99971200000000005</v>
      </c>
      <c r="Y2296">
        <v>2.7855000000000001E-2</v>
      </c>
      <c r="Z2296">
        <v>1.7763529999999901E-4</v>
      </c>
      <c r="AA2296">
        <v>0.99961199999999995</v>
      </c>
      <c r="AB2296">
        <v>25</v>
      </c>
      <c r="AC2296">
        <v>-53.2547</v>
      </c>
      <c r="AD2296">
        <v>-1.1045702137309901</v>
      </c>
      <c r="AE2296">
        <v>1.77269999999998</v>
      </c>
      <c r="AF2296">
        <v>1.48792202394075</v>
      </c>
      <c r="AG2296">
        <v>-1.1045702137309901</v>
      </c>
      <c r="AH2296">
        <v>53.240520721566703</v>
      </c>
      <c r="AI2296">
        <v>91.188069588911404</v>
      </c>
      <c r="AJ2296">
        <v>88.399161647059401</v>
      </c>
      <c r="AK2296">
        <v>53.272760713238497</v>
      </c>
    </row>
    <row r="2297" spans="1:37" x14ac:dyDescent="0.2">
      <c r="A2297" t="str">
        <f>"20200111155543714"</f>
        <v>20200111155543714</v>
      </c>
      <c r="B2297" t="str">
        <f>"1578729343704662"</f>
        <v>1578729343704662</v>
      </c>
      <c r="C2297" t="s">
        <v>37</v>
      </c>
      <c r="D2297">
        <v>4.9811239999999897</v>
      </c>
      <c r="E2297">
        <v>0.51501850000000005</v>
      </c>
      <c r="F2297" t="s">
        <v>59</v>
      </c>
      <c r="G2297">
        <v>-343.77140000000003</v>
      </c>
      <c r="H2297" s="1">
        <v>4.7013549999999998E-7</v>
      </c>
      <c r="I2297">
        <v>285.93639999999999</v>
      </c>
      <c r="J2297">
        <v>-293.1651</v>
      </c>
      <c r="K2297">
        <v>1.104582</v>
      </c>
      <c r="L2297">
        <v>284.23480000000001</v>
      </c>
      <c r="M2297">
        <v>-0.99988770000000005</v>
      </c>
      <c r="N2297">
        <v>0</v>
      </c>
      <c r="O2297">
        <v>5.6703469999999897E-3</v>
      </c>
      <c r="P2297">
        <v>-0.99995610000000001</v>
      </c>
      <c r="Q2297">
        <v>8.0131519999999904E-3</v>
      </c>
      <c r="R2297">
        <v>-4.9161250000000004E-3</v>
      </c>
      <c r="S2297">
        <v>-3.0011290000000002</v>
      </c>
      <c r="T2297">
        <v>-6.5279009999999998E-2</v>
      </c>
      <c r="U2297">
        <v>0.100647</v>
      </c>
      <c r="V2297">
        <v>-1.056809E-2</v>
      </c>
      <c r="W2297">
        <v>2.190636E-2</v>
      </c>
      <c r="X2297">
        <v>0.99970419999999904</v>
      </c>
      <c r="Y2297">
        <v>2.7844049999999999E-2</v>
      </c>
      <c r="Z2297">
        <v>1.7940609999999999E-4</v>
      </c>
      <c r="AA2297">
        <v>0.99961230000000001</v>
      </c>
      <c r="AB2297">
        <v>25</v>
      </c>
      <c r="AC2297">
        <v>-50.606299999999997</v>
      </c>
      <c r="AD2297">
        <v>-1.1045815298645001</v>
      </c>
      <c r="AE2297">
        <v>1.70159999999998</v>
      </c>
      <c r="AF2297">
        <v>1.4139168914781901</v>
      </c>
      <c r="AG2297">
        <v>-1.1045815298645001</v>
      </c>
      <c r="AH2297">
        <v>50.591060685797402</v>
      </c>
      <c r="AI2297">
        <v>91.250282457597095</v>
      </c>
      <c r="AJ2297">
        <v>88.399116625113095</v>
      </c>
      <c r="AK2297">
        <v>50.622867191084303</v>
      </c>
    </row>
    <row r="2298" spans="1:37" x14ac:dyDescent="0.2">
      <c r="A2298" t="str">
        <f>"20200111155543729"</f>
        <v>20200111155543729</v>
      </c>
      <c r="B2298" t="str">
        <f>"1578729343725158"</f>
        <v>1578729343725158</v>
      </c>
      <c r="C2298" t="s">
        <v>37</v>
      </c>
      <c r="D2298">
        <v>4.9467930000000004</v>
      </c>
      <c r="E2298">
        <v>0.51492709999999997</v>
      </c>
      <c r="F2298" t="s">
        <v>59</v>
      </c>
      <c r="G2298">
        <v>-344.22680000000003</v>
      </c>
      <c r="H2298" s="1">
        <v>7.1251949999999996E-7</v>
      </c>
      <c r="I2298">
        <v>285.95440000000002</v>
      </c>
      <c r="J2298">
        <v>-293.33049999999997</v>
      </c>
      <c r="K2298">
        <v>1.1045989999999899</v>
      </c>
      <c r="L2298">
        <v>284.23610000000002</v>
      </c>
      <c r="M2298">
        <v>-0.99988580000000005</v>
      </c>
      <c r="N2298">
        <v>0</v>
      </c>
      <c r="O2298">
        <v>5.970604E-3</v>
      </c>
      <c r="P2298">
        <v>-0.99995699999999998</v>
      </c>
      <c r="Q2298">
        <v>8.0239419999999992E-3</v>
      </c>
      <c r="R2298">
        <v>-4.6632419999999997E-3</v>
      </c>
      <c r="S2298">
        <v>-3.0011899999999998</v>
      </c>
      <c r="T2298">
        <v>-6.4922569999999999E-2</v>
      </c>
      <c r="U2298">
        <v>0.1010742</v>
      </c>
      <c r="V2298">
        <v>-1.0616240000000001E-2</v>
      </c>
      <c r="W2298">
        <v>2.1914940000000001E-2</v>
      </c>
      <c r="X2298">
        <v>0.99970349999999997</v>
      </c>
      <c r="Y2298">
        <v>2.768549E-2</v>
      </c>
      <c r="Z2298">
        <v>1.702156E-4</v>
      </c>
      <c r="AA2298">
        <v>0.99961669999999903</v>
      </c>
      <c r="AB2298">
        <v>25</v>
      </c>
      <c r="AC2298">
        <v>-50.896299999999997</v>
      </c>
      <c r="AD2298">
        <v>-1.10459828748049</v>
      </c>
      <c r="AE2298">
        <v>1.7182999999999899</v>
      </c>
      <c r="AF2298">
        <v>1.4136933101797899</v>
      </c>
      <c r="AG2298">
        <v>-1.10459828748049</v>
      </c>
      <c r="AH2298">
        <v>50.881714064327802</v>
      </c>
      <c r="AI2298">
        <v>91.243167203810799</v>
      </c>
      <c r="AJ2298">
        <v>88.408508260024703</v>
      </c>
      <c r="AK2298">
        <v>50.913333148360699</v>
      </c>
    </row>
    <row r="2299" spans="1:37" x14ac:dyDescent="0.2">
      <c r="A2299" t="str">
        <f>"20200111155543741"</f>
        <v>20200111155543741</v>
      </c>
      <c r="B2299" t="str">
        <f>"1578729343734918"</f>
        <v>1578729343734918</v>
      </c>
      <c r="C2299" t="s">
        <v>37</v>
      </c>
      <c r="D2299">
        <v>5.114109</v>
      </c>
      <c r="E2299">
        <v>0.51497879999999996</v>
      </c>
      <c r="F2299" t="s">
        <v>59</v>
      </c>
      <c r="G2299">
        <v>-342.39780000000002</v>
      </c>
      <c r="H2299" s="1">
        <v>-2.6079370000000002E-7</v>
      </c>
      <c r="I2299">
        <v>285.88560000000001</v>
      </c>
      <c r="J2299">
        <v>-293.48500000000001</v>
      </c>
      <c r="K2299">
        <v>1.1046180000000001</v>
      </c>
      <c r="L2299">
        <v>284.2373</v>
      </c>
      <c r="M2299">
        <v>-0.999884199999999</v>
      </c>
      <c r="N2299">
        <v>0</v>
      </c>
      <c r="O2299">
        <v>6.2363940000000001E-3</v>
      </c>
      <c r="P2299">
        <v>-0.99995940000000005</v>
      </c>
      <c r="Q2299">
        <v>7.9255790000000003E-3</v>
      </c>
      <c r="R2299">
        <v>-4.3014890000000004E-3</v>
      </c>
      <c r="S2299">
        <v>-3.00116</v>
      </c>
      <c r="T2299">
        <v>-6.7561860000000001E-2</v>
      </c>
      <c r="U2299">
        <v>0.1008911</v>
      </c>
      <c r="V2299">
        <v>-1.052092E-2</v>
      </c>
      <c r="W2299">
        <v>2.181435E-2</v>
      </c>
      <c r="X2299">
        <v>0.99970669999999995</v>
      </c>
      <c r="Y2299">
        <v>2.7358919999999998E-2</v>
      </c>
      <c r="Z2299">
        <v>1.674801E-4</v>
      </c>
      <c r="AA2299">
        <v>0.99962569999999995</v>
      </c>
      <c r="AB2299">
        <v>25</v>
      </c>
      <c r="AC2299">
        <v>-48.912799999999997</v>
      </c>
      <c r="AD2299">
        <v>-1.1046182607936901</v>
      </c>
      <c r="AE2299">
        <v>1.6483000000000001</v>
      </c>
      <c r="AF2299">
        <v>1.34251513326116</v>
      </c>
      <c r="AG2299">
        <v>-1.1046182607936901</v>
      </c>
      <c r="AH2299">
        <v>48.897219249938701</v>
      </c>
      <c r="AI2299">
        <v>91.293639456076306</v>
      </c>
      <c r="AJ2299">
        <v>88.427290287253896</v>
      </c>
      <c r="AK2299">
        <v>48.928116444041599</v>
      </c>
    </row>
    <row r="2300" spans="1:37" x14ac:dyDescent="0.2">
      <c r="A2300" t="str">
        <f>"20200111155543754"</f>
        <v>20200111155543754</v>
      </c>
      <c r="B2300" t="str">
        <f>"1578729343744678"</f>
        <v>1578729343744678</v>
      </c>
      <c r="C2300" t="s">
        <v>37</v>
      </c>
      <c r="D2300">
        <v>4.9090550000000004</v>
      </c>
      <c r="E2300">
        <v>0.51490209999999903</v>
      </c>
      <c r="F2300" t="s">
        <v>59</v>
      </c>
      <c r="G2300">
        <v>-342.13299999999998</v>
      </c>
      <c r="H2300" s="1">
        <v>-4.01694499999999E-7</v>
      </c>
      <c r="I2300">
        <v>285.899</v>
      </c>
      <c r="J2300">
        <v>-293.62700000000001</v>
      </c>
      <c r="K2300">
        <v>1.104636</v>
      </c>
      <c r="L2300">
        <v>284.23849999999999</v>
      </c>
      <c r="M2300">
        <v>-0.99988290000000002</v>
      </c>
      <c r="N2300">
        <v>0</v>
      </c>
      <c r="O2300">
        <v>6.4629509999999998E-3</v>
      </c>
      <c r="P2300">
        <v>-0.99996059999999998</v>
      </c>
      <c r="Q2300">
        <v>7.8177360000000005E-3</v>
      </c>
      <c r="R2300">
        <v>-4.2521119999999997E-3</v>
      </c>
      <c r="S2300">
        <v>-3.0011290000000002</v>
      </c>
      <c r="T2300">
        <v>-6.8144679999999999E-2</v>
      </c>
      <c r="U2300">
        <v>0.1025085</v>
      </c>
      <c r="V2300">
        <v>-1.0699709999999999E-2</v>
      </c>
      <c r="W2300">
        <v>2.17047E-2</v>
      </c>
      <c r="X2300">
        <v>0.99970720000000002</v>
      </c>
      <c r="Y2300">
        <v>2.7670770000000001E-2</v>
      </c>
      <c r="Z2300">
        <v>1.6732149999999999E-4</v>
      </c>
      <c r="AA2300">
        <v>0.99961710000000004</v>
      </c>
      <c r="AB2300">
        <v>25</v>
      </c>
      <c r="AC2300">
        <v>-48.506</v>
      </c>
      <c r="AD2300">
        <v>-1.1046364016945001</v>
      </c>
      <c r="AE2300">
        <v>1.6605000000000101</v>
      </c>
      <c r="AF2300">
        <v>1.3462458771568599</v>
      </c>
      <c r="AG2300">
        <v>-1.1046364016945001</v>
      </c>
      <c r="AH2300">
        <v>48.490600842686199</v>
      </c>
      <c r="AI2300">
        <v>91.304493914560595</v>
      </c>
      <c r="AJ2300">
        <v>88.409704215102394</v>
      </c>
      <c r="AK2300">
        <v>48.521860739530901</v>
      </c>
    </row>
    <row r="2301" spans="1:37" x14ac:dyDescent="0.2">
      <c r="A2301" t="str">
        <f>"20200111155543771"</f>
        <v>20200111155543771</v>
      </c>
      <c r="B2301" t="str">
        <f>"1578729343764198"</f>
        <v>1578729343764198</v>
      </c>
      <c r="C2301" t="s">
        <v>37</v>
      </c>
      <c r="D2301">
        <v>5.0329959999999998</v>
      </c>
      <c r="E2301">
        <v>0.51485349999999996</v>
      </c>
      <c r="F2301" t="s">
        <v>59</v>
      </c>
      <c r="G2301">
        <v>-341.30619999999999</v>
      </c>
      <c r="H2301" s="1">
        <v>-8.4168929999999996E-7</v>
      </c>
      <c r="I2301">
        <v>285.85879999999997</v>
      </c>
      <c r="J2301">
        <v>-293.80149999999998</v>
      </c>
      <c r="K2301">
        <v>1.1046609999999999</v>
      </c>
      <c r="L2301">
        <v>284.23989999999998</v>
      </c>
      <c r="M2301">
        <v>-0.99988109999999997</v>
      </c>
      <c r="N2301">
        <v>0</v>
      </c>
      <c r="O2301">
        <v>6.7187990000000001E-3</v>
      </c>
      <c r="P2301">
        <v>-0.99995979999999995</v>
      </c>
      <c r="Q2301">
        <v>7.8549789999999998E-3</v>
      </c>
      <c r="R2301">
        <v>-4.3580800000000003E-3</v>
      </c>
      <c r="S2301">
        <v>-3.0011290000000002</v>
      </c>
      <c r="T2301">
        <v>-6.953049E-2</v>
      </c>
      <c r="U2301">
        <v>0.101989699999999</v>
      </c>
      <c r="V2301">
        <v>-1.106247E-2</v>
      </c>
      <c r="W2301">
        <v>2.1739499999999998E-2</v>
      </c>
      <c r="X2301">
        <v>0.99970249999999905</v>
      </c>
      <c r="Y2301">
        <v>2.724236E-2</v>
      </c>
      <c r="Z2301">
        <v>1.598379E-4</v>
      </c>
      <c r="AA2301">
        <v>0.99962879999999998</v>
      </c>
      <c r="AB2301">
        <v>25</v>
      </c>
      <c r="AC2301">
        <v>-47.5047</v>
      </c>
      <c r="AD2301">
        <v>-1.1046618416892999</v>
      </c>
      <c r="AE2301">
        <v>1.61889999999999</v>
      </c>
      <c r="AF2301">
        <v>1.2989565951498301</v>
      </c>
      <c r="AG2301">
        <v>-1.1046618416892999</v>
      </c>
      <c r="AH2301">
        <v>47.488856496248403</v>
      </c>
      <c r="AI2301">
        <v>91.332047198133594</v>
      </c>
      <c r="AJ2301">
        <v>88.433186573254403</v>
      </c>
      <c r="AK2301">
        <v>47.519459775357802</v>
      </c>
    </row>
    <row r="2302" spans="1:37" x14ac:dyDescent="0.2">
      <c r="A2302" t="str">
        <f>"20200111155543783"</f>
        <v>20200111155543783</v>
      </c>
      <c r="B2302" t="str">
        <f>"1578729343774934"</f>
        <v>1578729343774934</v>
      </c>
      <c r="C2302" t="s">
        <v>37</v>
      </c>
      <c r="D2302">
        <v>4.9673160000000003</v>
      </c>
      <c r="E2302">
        <v>0.51468840000000005</v>
      </c>
      <c r="F2302" t="s">
        <v>59</v>
      </c>
      <c r="G2302">
        <v>-341.12470000000002</v>
      </c>
      <c r="H2302" s="1">
        <v>-9.3829429999999995E-7</v>
      </c>
      <c r="I2302">
        <v>285.83850000000001</v>
      </c>
      <c r="J2302">
        <v>-293.95179999999999</v>
      </c>
      <c r="K2302">
        <v>1.1046819999999999</v>
      </c>
      <c r="L2302">
        <v>284.24110000000002</v>
      </c>
      <c r="M2302">
        <v>-0.99987979999999999</v>
      </c>
      <c r="N2302">
        <v>0</v>
      </c>
      <c r="O2302">
        <v>6.9215750000000001E-3</v>
      </c>
      <c r="P2302">
        <v>-0.99996059999999998</v>
      </c>
      <c r="Q2302">
        <v>7.7407600000000002E-3</v>
      </c>
      <c r="R2302">
        <v>-4.3580609999999999E-3</v>
      </c>
      <c r="S2302">
        <v>-3.00116</v>
      </c>
      <c r="T2302">
        <v>-7.0055839999999994E-2</v>
      </c>
      <c r="U2302">
        <v>0.10137939999999999</v>
      </c>
      <c r="V2302">
        <v>-1.126652E-2</v>
      </c>
      <c r="W2302">
        <v>2.1623179999999999E-2</v>
      </c>
      <c r="X2302">
        <v>0.99970270000000006</v>
      </c>
      <c r="Y2302">
        <v>2.68363E-2</v>
      </c>
      <c r="Z2302">
        <v>1.5157530000000001E-4</v>
      </c>
      <c r="AA2302">
        <v>0.99963979999999997</v>
      </c>
      <c r="AB2302">
        <v>25</v>
      </c>
      <c r="AC2302">
        <v>-47.172899999999998</v>
      </c>
      <c r="AD2302">
        <v>-1.1046829382943</v>
      </c>
      <c r="AE2302">
        <v>1.5973999999999899</v>
      </c>
      <c r="AF2302">
        <v>1.27012380867162</v>
      </c>
      <c r="AG2302">
        <v>-1.1046829382943</v>
      </c>
      <c r="AH2302">
        <v>47.1569965304531</v>
      </c>
      <c r="AI2302">
        <v>91.341458704046403</v>
      </c>
      <c r="AJ2302">
        <v>88.457171801551297</v>
      </c>
      <c r="AK2302">
        <v>47.187030640385402</v>
      </c>
    </row>
    <row r="2303" spans="1:37" x14ac:dyDescent="0.2">
      <c r="A2303" t="str">
        <f>"20200111155543796"</f>
        <v>20200111155543796</v>
      </c>
      <c r="B2303" t="str">
        <f>"1578729343784695"</f>
        <v>1578729343784695</v>
      </c>
      <c r="C2303" t="s">
        <v>37</v>
      </c>
      <c r="D2303">
        <v>4.9352989999999997</v>
      </c>
      <c r="E2303">
        <v>0.51459189999999999</v>
      </c>
      <c r="F2303" t="s">
        <v>59</v>
      </c>
      <c r="G2303">
        <v>-340.25049999999999</v>
      </c>
      <c r="H2303" s="1">
        <v>-1.403502E-6</v>
      </c>
      <c r="I2303">
        <v>285.78390000000002</v>
      </c>
      <c r="J2303">
        <v>-294.09800000000001</v>
      </c>
      <c r="K2303">
        <v>1.104706</v>
      </c>
      <c r="L2303">
        <v>284.2423</v>
      </c>
      <c r="M2303">
        <v>-0.99987859999999995</v>
      </c>
      <c r="N2303">
        <v>0</v>
      </c>
      <c r="O2303">
        <v>7.101815E-3</v>
      </c>
      <c r="P2303">
        <v>-0.99996299999999905</v>
      </c>
      <c r="Q2303">
        <v>7.4717769999999998E-3</v>
      </c>
      <c r="R2303">
        <v>-4.2462480000000002E-3</v>
      </c>
      <c r="S2303">
        <v>-3.0011290000000002</v>
      </c>
      <c r="T2303">
        <v>-7.1606760000000005E-2</v>
      </c>
      <c r="U2303">
        <v>0.1000061</v>
      </c>
      <c r="V2303">
        <v>-1.133666E-2</v>
      </c>
      <c r="W2303">
        <v>2.1351450000000001E-2</v>
      </c>
      <c r="X2303">
        <v>0.99970780000000004</v>
      </c>
      <c r="Y2303">
        <v>2.6199509999999999E-2</v>
      </c>
      <c r="Z2303">
        <v>1.430402E-4</v>
      </c>
      <c r="AA2303">
        <v>0.99965669999999995</v>
      </c>
      <c r="AB2303">
        <v>25</v>
      </c>
      <c r="AC2303">
        <v>-46.152499999999897</v>
      </c>
      <c r="AD2303">
        <v>-1.1047074035019999</v>
      </c>
      <c r="AE2303">
        <v>1.5416000000000101</v>
      </c>
      <c r="AF2303">
        <v>1.21306883896686</v>
      </c>
      <c r="AG2303">
        <v>-1.1047074035019999</v>
      </c>
      <c r="AH2303">
        <v>46.135881779350697</v>
      </c>
      <c r="AI2303">
        <v>91.371191390617</v>
      </c>
      <c r="AJ2303">
        <v>88.493846617140704</v>
      </c>
      <c r="AK2303">
        <v>46.165046323096597</v>
      </c>
    </row>
    <row r="2304" spans="1:37" x14ac:dyDescent="0.2">
      <c r="A2304" t="str">
        <f>"20200111155543809"</f>
        <v>20200111155543809</v>
      </c>
      <c r="B2304" t="str">
        <f>"1578729343804214"</f>
        <v>1578729343804214</v>
      </c>
      <c r="C2304" t="s">
        <v>37</v>
      </c>
      <c r="D2304">
        <v>5.2087449999999897</v>
      </c>
      <c r="E2304">
        <v>0.51452419999999999</v>
      </c>
      <c r="F2304" t="s">
        <v>59</v>
      </c>
      <c r="G2304">
        <v>-339.44740000000002</v>
      </c>
      <c r="H2304" s="1">
        <v>3.4412889999999999E-6</v>
      </c>
      <c r="I2304">
        <v>285.7457</v>
      </c>
      <c r="J2304">
        <v>-294.23759999999999</v>
      </c>
      <c r="K2304">
        <v>1.104727</v>
      </c>
      <c r="L2304">
        <v>284.24349999999998</v>
      </c>
      <c r="M2304">
        <v>-0.99987749999999997</v>
      </c>
      <c r="N2304">
        <v>0</v>
      </c>
      <c r="O2304">
        <v>7.2493969999999899E-3</v>
      </c>
      <c r="P2304">
        <v>-0.99996489999999905</v>
      </c>
      <c r="Q2304">
        <v>7.245703E-3</v>
      </c>
      <c r="R2304">
        <v>-4.231233E-3</v>
      </c>
      <c r="S2304">
        <v>-3.001099</v>
      </c>
      <c r="T2304">
        <v>-7.3106169999999998E-2</v>
      </c>
      <c r="U2304">
        <v>9.9487300000000001E-2</v>
      </c>
      <c r="V2304">
        <v>-1.147019E-2</v>
      </c>
      <c r="W2304">
        <v>2.1123570000000001E-2</v>
      </c>
      <c r="X2304">
        <v>0.99971109999999896</v>
      </c>
      <c r="Y2304">
        <v>2.5879590000000001E-2</v>
      </c>
      <c r="Z2304">
        <v>1.3854779999999999E-4</v>
      </c>
      <c r="AA2304">
        <v>0.99966509999999997</v>
      </c>
      <c r="AB2304">
        <v>25</v>
      </c>
      <c r="AC2304">
        <v>-45.209800000000001</v>
      </c>
      <c r="AD2304">
        <v>-1.104723558711</v>
      </c>
      <c r="AE2304">
        <v>1.50220000000001</v>
      </c>
      <c r="AF2304">
        <v>1.1736851651851701</v>
      </c>
      <c r="AG2304">
        <v>-1.104723558711</v>
      </c>
      <c r="AH2304">
        <v>45.192548475242198</v>
      </c>
      <c r="AI2304">
        <v>91.399834135720596</v>
      </c>
      <c r="AJ2304">
        <v>88.512319047192307</v>
      </c>
      <c r="AK2304">
        <v>45.221282475127303</v>
      </c>
    </row>
    <row r="2305" spans="1:37" x14ac:dyDescent="0.2">
      <c r="A2305" t="str">
        <f>"20200111155543826"</f>
        <v>20200111155543826</v>
      </c>
      <c r="B2305" t="str">
        <f>"1578729343814950"</f>
        <v>1578729343814950</v>
      </c>
      <c r="C2305" t="s">
        <v>37</v>
      </c>
      <c r="D2305">
        <v>5.0808390000000001</v>
      </c>
      <c r="E2305">
        <v>0.5145651</v>
      </c>
      <c r="F2305" t="s">
        <v>59</v>
      </c>
      <c r="G2305">
        <v>-339.31630000000001</v>
      </c>
      <c r="H2305" s="1">
        <v>3.3722199999999998E-6</v>
      </c>
      <c r="I2305">
        <v>285.7296</v>
      </c>
      <c r="J2305">
        <v>-294.4237</v>
      </c>
      <c r="K2305">
        <v>1.1047549999999999</v>
      </c>
      <c r="L2305">
        <v>284.24509999999998</v>
      </c>
      <c r="M2305">
        <v>-0.99987619999999899</v>
      </c>
      <c r="N2305">
        <v>0</v>
      </c>
      <c r="O2305">
        <v>7.4229609999999996E-3</v>
      </c>
      <c r="P2305">
        <v>-0.99997049999999998</v>
      </c>
      <c r="Q2305">
        <v>6.8307130000000004E-3</v>
      </c>
      <c r="R2305">
        <v>-3.5296989999999999E-3</v>
      </c>
      <c r="S2305">
        <v>-3.001099</v>
      </c>
      <c r="T2305">
        <v>-7.3546529999999999E-2</v>
      </c>
      <c r="U2305">
        <v>9.8937990000000003E-2</v>
      </c>
      <c r="V2305">
        <v>-1.0944010000000001E-2</v>
      </c>
      <c r="W2305">
        <v>2.0705479999999998E-2</v>
      </c>
      <c r="X2305">
        <v>0.99972569999999905</v>
      </c>
      <c r="Y2305">
        <v>2.5523379999999998E-2</v>
      </c>
      <c r="Z2305">
        <v>1.3076790000000001E-4</v>
      </c>
      <c r="AA2305">
        <v>0.99967419999999996</v>
      </c>
      <c r="AB2305">
        <v>25</v>
      </c>
      <c r="AC2305">
        <v>-44.892600000000002</v>
      </c>
      <c r="AD2305">
        <v>-1.10475162778</v>
      </c>
      <c r="AE2305">
        <v>1.4845000000000199</v>
      </c>
      <c r="AF2305">
        <v>1.1504950293521901</v>
      </c>
      <c r="AG2305">
        <v>-1.10475162778</v>
      </c>
      <c r="AH2305">
        <v>44.875237013326199</v>
      </c>
      <c r="AI2305">
        <v>91.409776250786294</v>
      </c>
      <c r="AJ2305">
        <v>88.531393322444103</v>
      </c>
      <c r="AK2305">
        <v>44.903574601292497</v>
      </c>
    </row>
    <row r="2306" spans="1:37" x14ac:dyDescent="0.2">
      <c r="A2306" t="str">
        <f>"20200111155543850"</f>
        <v>20200111155543850</v>
      </c>
      <c r="B2306" t="str">
        <f>"1578729343844230"</f>
        <v>1578729343844230</v>
      </c>
      <c r="C2306" t="s">
        <v>37</v>
      </c>
      <c r="D2306">
        <v>5.0113580000000004</v>
      </c>
      <c r="E2306">
        <v>0.51453179999999998</v>
      </c>
      <c r="F2306" t="s">
        <v>59</v>
      </c>
      <c r="G2306">
        <v>-338.89120000000003</v>
      </c>
      <c r="H2306" s="1">
        <v>3.1451760000000002E-6</v>
      </c>
      <c r="I2306">
        <v>285.74869999999999</v>
      </c>
      <c r="J2306">
        <v>-294.67950000000002</v>
      </c>
      <c r="K2306">
        <v>1.104797</v>
      </c>
      <c r="L2306">
        <v>284.2473</v>
      </c>
      <c r="M2306">
        <v>-0.99987479999999995</v>
      </c>
      <c r="N2306">
        <v>0</v>
      </c>
      <c r="O2306">
        <v>7.6082060000000002E-3</v>
      </c>
      <c r="P2306">
        <v>-0.99997099999999906</v>
      </c>
      <c r="Q2306">
        <v>7.0644919999999899E-3</v>
      </c>
      <c r="R2306">
        <v>-2.7845750000000001E-3</v>
      </c>
      <c r="S2306">
        <v>-3.0009459999999999</v>
      </c>
      <c r="T2306">
        <v>-7.4555640000000006E-2</v>
      </c>
      <c r="U2306">
        <v>0.101470899999999</v>
      </c>
      <c r="V2306">
        <v>-1.0386690000000001E-2</v>
      </c>
      <c r="W2306">
        <v>2.0935740000000001E-2</v>
      </c>
      <c r="X2306">
        <v>0.99972689999999997</v>
      </c>
      <c r="Y2306">
        <v>2.6182380000000002E-2</v>
      </c>
      <c r="Z2306">
        <v>1.3614890000000001E-4</v>
      </c>
      <c r="AA2306">
        <v>0.99965720000000002</v>
      </c>
      <c r="AB2306">
        <v>25</v>
      </c>
      <c r="AC2306">
        <v>-44.2117</v>
      </c>
      <c r="AD2306">
        <v>-1.1047938548239999</v>
      </c>
      <c r="AE2306">
        <v>1.5013999999999801</v>
      </c>
      <c r="AF2306">
        <v>1.1642262876854299</v>
      </c>
      <c r="AG2306">
        <v>-1.1047938548239999</v>
      </c>
      <c r="AH2306">
        <v>44.194279483314702</v>
      </c>
      <c r="AI2306">
        <v>91.431517962685305</v>
      </c>
      <c r="AJ2306">
        <v>88.490985047567705</v>
      </c>
      <c r="AK2306">
        <v>44.223413836563097</v>
      </c>
    </row>
    <row r="2307" spans="1:37" x14ac:dyDescent="0.2">
      <c r="A2307" t="str">
        <f>"20200111155543870"</f>
        <v>20200111155543870</v>
      </c>
      <c r="B2307" t="str">
        <f>"1578729343864726"</f>
        <v>1578729343864726</v>
      </c>
      <c r="C2307" t="s">
        <v>37</v>
      </c>
      <c r="D2307">
        <v>5.0268370000000004</v>
      </c>
      <c r="E2307">
        <v>0.51429689999999995</v>
      </c>
      <c r="F2307" t="s">
        <v>59</v>
      </c>
      <c r="G2307">
        <v>-339.3503</v>
      </c>
      <c r="H2307" s="1">
        <v>3.387878E-6</v>
      </c>
      <c r="I2307">
        <v>285.78500000000003</v>
      </c>
      <c r="J2307">
        <v>-294.92160000000001</v>
      </c>
      <c r="K2307">
        <v>1.104835</v>
      </c>
      <c r="L2307">
        <v>284.24930000000001</v>
      </c>
      <c r="M2307">
        <v>-0.99987389999999998</v>
      </c>
      <c r="N2307">
        <v>0</v>
      </c>
      <c r="O2307">
        <v>7.7347550000000003E-3</v>
      </c>
      <c r="P2307">
        <v>-0.99997060000000004</v>
      </c>
      <c r="Q2307">
        <v>7.455494E-3</v>
      </c>
      <c r="R2307">
        <v>-1.8337449999999999E-3</v>
      </c>
      <c r="S2307">
        <v>-3.0008539999999999</v>
      </c>
      <c r="T2307">
        <v>-7.4216840000000006E-2</v>
      </c>
      <c r="U2307">
        <v>0.103302</v>
      </c>
      <c r="V2307">
        <v>-9.5638119999999997E-3</v>
      </c>
      <c r="W2307">
        <v>2.1322839999999999E-2</v>
      </c>
      <c r="X2307">
        <v>0.99972689999999997</v>
      </c>
      <c r="Y2307">
        <v>2.666609E-2</v>
      </c>
      <c r="Z2307">
        <v>1.3838359999999999E-4</v>
      </c>
      <c r="AA2307">
        <v>0.99964439999999999</v>
      </c>
      <c r="AB2307">
        <v>25</v>
      </c>
      <c r="AC2307">
        <v>-44.4286999999999</v>
      </c>
      <c r="AD2307">
        <v>-1.1048316121220001</v>
      </c>
      <c r="AE2307">
        <v>1.5357000000000101</v>
      </c>
      <c r="AF2307">
        <v>1.19124011097215</v>
      </c>
      <c r="AG2307">
        <v>-1.1048316121220001</v>
      </c>
      <c r="AH2307">
        <v>44.411818915282097</v>
      </c>
      <c r="AI2307">
        <v>91.424539487169497</v>
      </c>
      <c r="AJ2307">
        <v>88.463547064123304</v>
      </c>
      <c r="AK2307">
        <v>44.441527485640499</v>
      </c>
    </row>
    <row r="2308" spans="1:37" x14ac:dyDescent="0.2">
      <c r="A2308" t="str">
        <f>"20200111155543883"</f>
        <v>20200111155543883</v>
      </c>
      <c r="B2308" t="str">
        <f>"1578729343874486"</f>
        <v>1578729343874486</v>
      </c>
      <c r="C2308" t="s">
        <v>37</v>
      </c>
      <c r="D2308">
        <v>4.925808</v>
      </c>
      <c r="E2308">
        <v>0.51418770000000003</v>
      </c>
      <c r="F2308" t="s">
        <v>59</v>
      </c>
      <c r="G2308">
        <v>-339.8623</v>
      </c>
      <c r="H2308" s="1">
        <v>3.6592189999999999E-6</v>
      </c>
      <c r="I2308">
        <v>285.81099999999998</v>
      </c>
      <c r="J2308">
        <v>-295.06299999999999</v>
      </c>
      <c r="K2308">
        <v>1.1048549999999999</v>
      </c>
      <c r="L2308">
        <v>284.25049999999999</v>
      </c>
      <c r="M2308">
        <v>-0.99987359999999903</v>
      </c>
      <c r="N2308">
        <v>0</v>
      </c>
      <c r="O2308">
        <v>7.7903529999999999E-3</v>
      </c>
      <c r="P2308">
        <v>-0.99996980000000002</v>
      </c>
      <c r="Q2308">
        <v>7.5979899999999998E-3</v>
      </c>
      <c r="R2308">
        <v>-1.691566E-3</v>
      </c>
      <c r="S2308">
        <v>-3.0008240000000002</v>
      </c>
      <c r="T2308">
        <v>-7.3772790000000005E-2</v>
      </c>
      <c r="U2308">
        <v>0.1042786</v>
      </c>
      <c r="V2308">
        <v>-9.4779759999999904E-3</v>
      </c>
      <c r="W2308">
        <v>2.146348E-2</v>
      </c>
      <c r="X2308">
        <v>0.99972469999999902</v>
      </c>
      <c r="Y2308">
        <v>2.6935779999999999E-2</v>
      </c>
      <c r="Z2308">
        <v>1.395039E-4</v>
      </c>
      <c r="AA2308">
        <v>0.99963709999999995</v>
      </c>
      <c r="AB2308">
        <v>25</v>
      </c>
      <c r="AC2308">
        <v>-44.799300000000002</v>
      </c>
      <c r="AD2308">
        <v>-1.1048513407809999</v>
      </c>
      <c r="AE2308">
        <v>1.56049999999999</v>
      </c>
      <c r="AF2308">
        <v>1.2106812745595299</v>
      </c>
      <c r="AG2308">
        <v>-1.1048513407809999</v>
      </c>
      <c r="AH2308">
        <v>44.782893179208699</v>
      </c>
      <c r="AI2308">
        <v>91.412757620070195</v>
      </c>
      <c r="AJ2308">
        <v>88.451416810411601</v>
      </c>
      <c r="AK2308">
        <v>44.8128772467715</v>
      </c>
    </row>
    <row r="2309" spans="1:37" x14ac:dyDescent="0.2">
      <c r="A2309" t="str">
        <f>"20200111155543896"</f>
        <v>20200111155543896</v>
      </c>
      <c r="B2309" t="str">
        <f>"1578729343894982"</f>
        <v>1578729343894982</v>
      </c>
      <c r="C2309" t="s">
        <v>37</v>
      </c>
      <c r="D2309">
        <v>5.0703990000000001</v>
      </c>
      <c r="E2309">
        <v>0.51400509999999999</v>
      </c>
      <c r="F2309" t="s">
        <v>59</v>
      </c>
      <c r="G2309">
        <v>-340.00779999999997</v>
      </c>
      <c r="H2309" s="1">
        <v>-1.532616E-6</v>
      </c>
      <c r="I2309">
        <v>285.80549999999999</v>
      </c>
      <c r="J2309">
        <v>-295.2192</v>
      </c>
      <c r="K2309">
        <v>1.104868</v>
      </c>
      <c r="L2309">
        <v>284.2518</v>
      </c>
      <c r="M2309">
        <v>-0.99987329999999996</v>
      </c>
      <c r="N2309">
        <v>0</v>
      </c>
      <c r="O2309">
        <v>7.8374280000000004E-3</v>
      </c>
      <c r="P2309">
        <v>-0.99996759999999996</v>
      </c>
      <c r="Q2309">
        <v>7.9872239999999994E-3</v>
      </c>
      <c r="R2309">
        <v>-1.090124E-3</v>
      </c>
      <c r="S2309">
        <v>-3.0008240000000002</v>
      </c>
      <c r="T2309">
        <v>-7.3767659999999999E-2</v>
      </c>
      <c r="U2309">
        <v>0.1038208</v>
      </c>
      <c r="V2309">
        <v>-8.9249199999999994E-3</v>
      </c>
      <c r="W2309">
        <v>2.1850580000000001E-2</v>
      </c>
      <c r="X2309">
        <v>0.99972139999999998</v>
      </c>
      <c r="Y2309">
        <v>2.6736490000000002E-2</v>
      </c>
      <c r="Z2309">
        <v>1.3588949999999999E-4</v>
      </c>
      <c r="AA2309">
        <v>0.99964249999999899</v>
      </c>
      <c r="AB2309">
        <v>25</v>
      </c>
      <c r="AC2309">
        <v>-44.788599999999903</v>
      </c>
      <c r="AD2309">
        <v>-1.1048695326160001</v>
      </c>
      <c r="AE2309">
        <v>1.5536999999999901</v>
      </c>
      <c r="AF2309">
        <v>1.20186065025894</v>
      </c>
      <c r="AG2309">
        <v>-1.1048695326160001</v>
      </c>
      <c r="AH2309">
        <v>44.772189530650699</v>
      </c>
      <c r="AI2309">
        <v>91.413125733300802</v>
      </c>
      <c r="AJ2309">
        <v>88.462326496603197</v>
      </c>
      <c r="AK2309">
        <v>44.801943719834803</v>
      </c>
    </row>
    <row r="2310" spans="1:37" x14ac:dyDescent="0.2">
      <c r="A2310" t="str">
        <f>"20200111155543910"</f>
        <v>20200111155543910</v>
      </c>
      <c r="B2310" t="str">
        <f>"1578729343904742"</f>
        <v>1578729343904742</v>
      </c>
      <c r="C2310" t="s">
        <v>37</v>
      </c>
      <c r="D2310">
        <v>4.937754</v>
      </c>
      <c r="E2310">
        <v>0.51385069999999999</v>
      </c>
      <c r="F2310" t="s">
        <v>59</v>
      </c>
      <c r="G2310">
        <v>-340.6737</v>
      </c>
      <c r="H2310" s="1">
        <v>-1.178293E-6</v>
      </c>
      <c r="I2310">
        <v>285.82760000000002</v>
      </c>
      <c r="J2310">
        <v>-295.36470000000003</v>
      </c>
      <c r="K2310">
        <v>1.1048819999999999</v>
      </c>
      <c r="L2310">
        <v>284.25299999999999</v>
      </c>
      <c r="M2310">
        <v>-0.99987309999999996</v>
      </c>
      <c r="N2310">
        <v>0</v>
      </c>
      <c r="O2310">
        <v>7.8647279999999996E-3</v>
      </c>
      <c r="P2310">
        <v>-0.99996810000000003</v>
      </c>
      <c r="Q2310">
        <v>7.9525969999999901E-3</v>
      </c>
      <c r="R2310">
        <v>-8.9013579999999996E-4</v>
      </c>
      <c r="S2310">
        <v>-3.0007929999999998</v>
      </c>
      <c r="T2310">
        <v>-7.2940710000000006E-2</v>
      </c>
      <c r="U2310">
        <v>0.1040344</v>
      </c>
      <c r="V2310">
        <v>-8.7528369999999994E-3</v>
      </c>
      <c r="W2310">
        <v>2.181435E-2</v>
      </c>
      <c r="X2310">
        <v>0.99972369999999899</v>
      </c>
      <c r="Y2310">
        <v>2.6780749999999999E-2</v>
      </c>
      <c r="Z2310">
        <v>1.34242199999999E-4</v>
      </c>
      <c r="AA2310">
        <v>0.99964129999999995</v>
      </c>
      <c r="AB2310">
        <v>25</v>
      </c>
      <c r="AC2310">
        <v>-45.308999999999898</v>
      </c>
      <c r="AD2310">
        <v>-1.104883178293</v>
      </c>
      <c r="AE2310">
        <v>1.57460000000003</v>
      </c>
      <c r="AF2310">
        <v>1.21745104209366</v>
      </c>
      <c r="AG2310">
        <v>-1.104883178293</v>
      </c>
      <c r="AH2310">
        <v>45.293082241057597</v>
      </c>
      <c r="AI2310">
        <v>91.396896484288504</v>
      </c>
      <c r="AJ2310">
        <v>88.460294354745898</v>
      </c>
      <c r="AK2310">
        <v>45.3229109035682</v>
      </c>
    </row>
    <row r="2311" spans="1:37" x14ac:dyDescent="0.2">
      <c r="A2311" t="str">
        <f>"20200111155543927"</f>
        <v>20200111155543927</v>
      </c>
      <c r="B2311" t="str">
        <f>"1578729343925239"</f>
        <v>1578729343925239</v>
      </c>
      <c r="C2311" t="s">
        <v>37</v>
      </c>
      <c r="D2311">
        <v>5.0480729999999996</v>
      </c>
      <c r="E2311">
        <v>0.51355039999999996</v>
      </c>
      <c r="F2311" t="s">
        <v>59</v>
      </c>
      <c r="G2311">
        <v>-340.45749999999998</v>
      </c>
      <c r="H2311" s="1">
        <v>-1.2933439999999999E-6</v>
      </c>
      <c r="I2311">
        <v>285.80990000000003</v>
      </c>
      <c r="J2311">
        <v>-295.54739999999998</v>
      </c>
      <c r="K2311">
        <v>1.1049</v>
      </c>
      <c r="L2311">
        <v>284.25439999999998</v>
      </c>
      <c r="M2311">
        <v>-0.99987280000000001</v>
      </c>
      <c r="N2311">
        <v>0</v>
      </c>
      <c r="O2311">
        <v>7.8889759999999903E-3</v>
      </c>
      <c r="P2311">
        <v>-0.99996649999999998</v>
      </c>
      <c r="Q2311">
        <v>8.1692799999999993E-3</v>
      </c>
      <c r="R2311">
        <v>-5.9199039999999995E-4</v>
      </c>
      <c r="S2311">
        <v>-3.0007630000000001</v>
      </c>
      <c r="T2311">
        <v>-7.3526019999999997E-2</v>
      </c>
      <c r="U2311">
        <v>0.103607199999999</v>
      </c>
      <c r="V2311">
        <v>-8.4796449999999992E-3</v>
      </c>
      <c r="W2311">
        <v>2.20284E-2</v>
      </c>
      <c r="X2311">
        <v>0.99972139999999998</v>
      </c>
      <c r="Y2311">
        <v>2.6614659999999998E-2</v>
      </c>
      <c r="Z2311">
        <v>1.32693E-4</v>
      </c>
      <c r="AA2311">
        <v>0.99964580000000003</v>
      </c>
      <c r="AB2311">
        <v>25</v>
      </c>
      <c r="AC2311">
        <v>-44.9101</v>
      </c>
      <c r="AD2311">
        <v>-1.1049012933439999</v>
      </c>
      <c r="AE2311">
        <v>1.5555000000000501</v>
      </c>
      <c r="AF2311">
        <v>1.2003971313634101</v>
      </c>
      <c r="AG2311">
        <v>-1.1049012933439999</v>
      </c>
      <c r="AH2311">
        <v>44.893833737101602</v>
      </c>
      <c r="AI2311">
        <v>91.409342746403397</v>
      </c>
      <c r="AJ2311">
        <v>88.468357460945001</v>
      </c>
      <c r="AK2311">
        <v>44.923469008476403</v>
      </c>
    </row>
    <row r="2312" spans="1:37" x14ac:dyDescent="0.2">
      <c r="A2312" t="str">
        <f>"20200111155543939"</f>
        <v>20200111155543939</v>
      </c>
      <c r="B2312" t="str">
        <f>"1578729343934998"</f>
        <v>1578729343934998</v>
      </c>
      <c r="C2312" t="s">
        <v>37</v>
      </c>
      <c r="D2312">
        <v>4.9671940000000001</v>
      </c>
      <c r="E2312">
        <v>0.51355039999999996</v>
      </c>
      <c r="F2312" t="s">
        <v>59</v>
      </c>
      <c r="G2312">
        <v>-339.64710000000002</v>
      </c>
      <c r="H2312" s="1">
        <v>3.547341E-6</v>
      </c>
      <c r="I2312">
        <v>285.75060000000002</v>
      </c>
      <c r="J2312">
        <v>-295.68950000000001</v>
      </c>
      <c r="K2312">
        <v>1.104911</v>
      </c>
      <c r="L2312">
        <v>284.25560000000002</v>
      </c>
      <c r="M2312">
        <v>-0.99987289999999995</v>
      </c>
      <c r="N2312">
        <v>0</v>
      </c>
      <c r="O2312">
        <v>7.9009189999999993E-3</v>
      </c>
      <c r="P2312">
        <v>-0.99996659999999904</v>
      </c>
      <c r="Q2312">
        <v>8.1493329999999999E-3</v>
      </c>
      <c r="R2312">
        <v>-6.0603139999999996E-4</v>
      </c>
      <c r="S2312">
        <v>-3.0007630000000001</v>
      </c>
      <c r="T2312">
        <v>-7.5182559999999996E-2</v>
      </c>
      <c r="U2312">
        <v>0.1018066</v>
      </c>
      <c r="V2312">
        <v>-8.5063450000000002E-3</v>
      </c>
      <c r="W2312">
        <v>2.2006950000000001E-2</v>
      </c>
      <c r="X2312">
        <v>0.99972159999999999</v>
      </c>
      <c r="Y2312">
        <v>2.600355E-2</v>
      </c>
      <c r="Z2312">
        <v>1.2773170000000001E-4</v>
      </c>
      <c r="AA2312">
        <v>0.99966189999999999</v>
      </c>
      <c r="AB2312">
        <v>25</v>
      </c>
      <c r="AC2312">
        <v>-43.957599999999999</v>
      </c>
      <c r="AD2312">
        <v>-1.1049074526589999</v>
      </c>
      <c r="AE2312">
        <v>1.4950000000000001</v>
      </c>
      <c r="AF2312">
        <v>1.14689081113231</v>
      </c>
      <c r="AG2312">
        <v>-1.1049074526589999</v>
      </c>
      <c r="AH2312">
        <v>43.940311020957402</v>
      </c>
      <c r="AI2312">
        <v>91.439945568743397</v>
      </c>
      <c r="AJ2312">
        <v>88.504856130535401</v>
      </c>
      <c r="AK2312">
        <v>43.969160915692697</v>
      </c>
    </row>
    <row r="2313" spans="1:37" x14ac:dyDescent="0.2">
      <c r="A2313" t="str">
        <f>"20200111155543952"</f>
        <v>20200111155543952</v>
      </c>
      <c r="B2313" t="str">
        <f>"1578729343944758"</f>
        <v>1578729343944758</v>
      </c>
      <c r="C2313" t="s">
        <v>37</v>
      </c>
      <c r="D2313">
        <v>5.007917</v>
      </c>
      <c r="E2313">
        <v>0.50525220000000004</v>
      </c>
      <c r="F2313" t="s">
        <v>59</v>
      </c>
      <c r="G2313">
        <v>-339.75389999999999</v>
      </c>
      <c r="H2313" s="1">
        <v>3.6041069999999999E-6</v>
      </c>
      <c r="I2313">
        <v>285.75189999999998</v>
      </c>
      <c r="J2313">
        <v>-295.83839999999998</v>
      </c>
      <c r="K2313">
        <v>1.1049180000000001</v>
      </c>
      <c r="L2313">
        <v>284.2568</v>
      </c>
      <c r="M2313">
        <v>-0.99987269999999995</v>
      </c>
      <c r="N2313">
        <v>0</v>
      </c>
      <c r="O2313">
        <v>7.9066599999999994E-3</v>
      </c>
      <c r="P2313">
        <v>-0.99996719999999895</v>
      </c>
      <c r="Q2313">
        <v>8.0573480000000006E-3</v>
      </c>
      <c r="R2313">
        <v>-7.937256E-4</v>
      </c>
      <c r="S2313">
        <v>-3.0007630000000001</v>
      </c>
      <c r="T2313">
        <v>-7.5243589999999999E-2</v>
      </c>
      <c r="U2313">
        <v>0.10189819999999999</v>
      </c>
      <c r="V2313">
        <v>-8.6999060000000003E-3</v>
      </c>
      <c r="W2313">
        <v>2.1913510000000001E-2</v>
      </c>
      <c r="X2313">
        <v>0.999721999999999</v>
      </c>
      <c r="Y2313">
        <v>2.6028260000000001E-2</v>
      </c>
      <c r="Z2313">
        <v>1.2800100000000001E-4</v>
      </c>
      <c r="AA2313">
        <v>0.99966119999999903</v>
      </c>
      <c r="AB2313">
        <v>25</v>
      </c>
      <c r="AC2313">
        <v>-43.915500000000002</v>
      </c>
      <c r="AD2313">
        <v>-1.1049143958929999</v>
      </c>
      <c r="AE2313">
        <v>1.4950999999999699</v>
      </c>
      <c r="AF2313">
        <v>1.14706969509352</v>
      </c>
      <c r="AG2313">
        <v>-1.1049143958929999</v>
      </c>
      <c r="AH2313">
        <v>43.898192873487503</v>
      </c>
      <c r="AI2313">
        <v>91.441334501532296</v>
      </c>
      <c r="AJ2313">
        <v>88.503188946447594</v>
      </c>
      <c r="AK2313">
        <v>43.927075275569699</v>
      </c>
    </row>
    <row r="2314" spans="1:37" x14ac:dyDescent="0.2">
      <c r="A2314" t="str">
        <f>"20200111155543967"</f>
        <v>20200111155543967</v>
      </c>
      <c r="B2314" t="str">
        <f>"1578729343964279"</f>
        <v>1578729343964279</v>
      </c>
      <c r="C2314" t="s">
        <v>37</v>
      </c>
      <c r="D2314">
        <v>4.9935330000000002</v>
      </c>
      <c r="E2314">
        <v>0.50508469999999905</v>
      </c>
      <c r="F2314" t="s">
        <v>59</v>
      </c>
      <c r="G2314">
        <v>-324.8159</v>
      </c>
      <c r="H2314" s="1">
        <v>1.0276750000000001E-6</v>
      </c>
      <c r="I2314">
        <v>284.57769999999999</v>
      </c>
      <c r="J2314">
        <v>-295.9898</v>
      </c>
      <c r="K2314">
        <v>1.1049249999999999</v>
      </c>
      <c r="L2314">
        <v>284.25799999999998</v>
      </c>
      <c r="M2314">
        <v>-0.99987280000000001</v>
      </c>
      <c r="N2314">
        <v>0</v>
      </c>
      <c r="O2314">
        <v>7.9104669999999992E-3</v>
      </c>
      <c r="P2314">
        <v>-0.99996689999999999</v>
      </c>
      <c r="Q2314">
        <v>8.0701950000000005E-3</v>
      </c>
      <c r="R2314">
        <v>-1.1481550000000001E-3</v>
      </c>
      <c r="S2314">
        <v>-3.0010680000000001</v>
      </c>
      <c r="T2314">
        <v>-0.114431199999999</v>
      </c>
      <c r="U2314">
        <v>3.3233640000000002E-2</v>
      </c>
      <c r="V2314">
        <v>-9.0583820000000002E-3</v>
      </c>
      <c r="W2314">
        <v>2.1924470000000001E-2</v>
      </c>
      <c r="X2314">
        <v>0.99971860000000001</v>
      </c>
      <c r="Y2314">
        <v>3.1656200000000001E-3</v>
      </c>
      <c r="Z2314">
        <v>-2.4120279999999999E-4</v>
      </c>
      <c r="AA2314">
        <v>0.99999490000000002</v>
      </c>
      <c r="AB2314">
        <v>25</v>
      </c>
      <c r="AC2314">
        <v>-28.8261</v>
      </c>
      <c r="AD2314">
        <v>-1.1049239723249999</v>
      </c>
      <c r="AE2314">
        <v>0.31970000000001098</v>
      </c>
      <c r="AF2314">
        <v>9.15057829652237E-2</v>
      </c>
      <c r="AG2314">
        <v>-1.1049239723249999</v>
      </c>
      <c r="AH2314">
        <v>28.785439583927499</v>
      </c>
      <c r="AI2314">
        <v>92.198198011616697</v>
      </c>
      <c r="AJ2314">
        <v>89.817863559479804</v>
      </c>
      <c r="AK2314">
        <v>28.806783269446701</v>
      </c>
    </row>
    <row r="2315" spans="1:37" x14ac:dyDescent="0.2">
      <c r="A2315" t="str">
        <f>"20200111155543982"</f>
        <v>20200111155543982</v>
      </c>
      <c r="B2315" t="str">
        <f>"1578729343975014"</f>
        <v>1578729343975014</v>
      </c>
      <c r="C2315" t="s">
        <v>37</v>
      </c>
      <c r="D2315">
        <v>5.4068239999999896</v>
      </c>
      <c r="E2315">
        <v>0.50449250000000001</v>
      </c>
      <c r="F2315" t="s">
        <v>59</v>
      </c>
      <c r="G2315">
        <v>-324.9599</v>
      </c>
      <c r="H2315" s="1">
        <v>1.105277E-6</v>
      </c>
      <c r="I2315">
        <v>284.55549999999999</v>
      </c>
      <c r="J2315">
        <v>-296.1626</v>
      </c>
      <c r="K2315">
        <v>1.104927</v>
      </c>
      <c r="L2315">
        <v>284.25940000000003</v>
      </c>
      <c r="M2315">
        <v>-0.99987289999999995</v>
      </c>
      <c r="N2315">
        <v>0</v>
      </c>
      <c r="O2315">
        <v>7.9131150000000001E-3</v>
      </c>
      <c r="P2315">
        <v>-0.99996559999999901</v>
      </c>
      <c r="Q2315">
        <v>8.0139709999999999E-3</v>
      </c>
      <c r="R2315">
        <v>-2.1645010000000001E-3</v>
      </c>
      <c r="S2315">
        <v>-3.0010680000000001</v>
      </c>
      <c r="T2315">
        <v>-0.1144613</v>
      </c>
      <c r="U2315">
        <v>3.0822749999999999E-2</v>
      </c>
      <c r="V2315">
        <v>-1.0077579999999999E-2</v>
      </c>
      <c r="W2315">
        <v>2.1865840000000001E-2</v>
      </c>
      <c r="X2315">
        <v>0.99971010000000005</v>
      </c>
      <c r="Y2315">
        <v>2.3603140000000001E-3</v>
      </c>
      <c r="Z2315">
        <v>-2.567197E-4</v>
      </c>
      <c r="AA2315">
        <v>0.99999720000000003</v>
      </c>
      <c r="AB2315">
        <v>25</v>
      </c>
      <c r="AC2315">
        <v>-28.7973</v>
      </c>
      <c r="AD2315">
        <v>-1.1049258947229901</v>
      </c>
      <c r="AE2315">
        <v>0.296099999999967</v>
      </c>
      <c r="AF2315">
        <v>6.8092317139016603E-2</v>
      </c>
      <c r="AG2315">
        <v>-1.1049258947229901</v>
      </c>
      <c r="AH2315">
        <v>28.756411186789801</v>
      </c>
      <c r="AI2315">
        <v>92.2004235895607</v>
      </c>
      <c r="AJ2315">
        <v>89.864329555160495</v>
      </c>
      <c r="AK2315">
        <v>28.777711551480401</v>
      </c>
    </row>
    <row r="2316" spans="1:37" x14ac:dyDescent="0.2">
      <c r="A2316" t="str">
        <f>"20200111155543997"</f>
        <v>20200111155543997</v>
      </c>
      <c r="B2316" t="str">
        <f>"1578729343984774"</f>
        <v>1578729343984774</v>
      </c>
      <c r="C2316" t="s">
        <v>37</v>
      </c>
      <c r="D2316">
        <v>5.0978539999999999</v>
      </c>
      <c r="E2316">
        <v>0.50508790000000003</v>
      </c>
      <c r="F2316" t="s">
        <v>59</v>
      </c>
      <c r="G2316">
        <v>-325.04360000000003</v>
      </c>
      <c r="H2316" s="1">
        <v>1.1530419999999999E-6</v>
      </c>
      <c r="I2316">
        <v>284.48200000000003</v>
      </c>
      <c r="J2316">
        <v>-296.32780000000002</v>
      </c>
      <c r="K2316">
        <v>1.10493</v>
      </c>
      <c r="L2316">
        <v>284.26069999999999</v>
      </c>
      <c r="M2316">
        <v>-0.99987289999999995</v>
      </c>
      <c r="N2316">
        <v>0</v>
      </c>
      <c r="O2316">
        <v>7.9158030000000008E-3</v>
      </c>
      <c r="P2316">
        <v>-0.99996529999999995</v>
      </c>
      <c r="Q2316">
        <v>7.945644E-3</v>
      </c>
      <c r="R2316">
        <v>-2.5886999999999898E-3</v>
      </c>
      <c r="S2316">
        <v>-3.0010680000000001</v>
      </c>
      <c r="T2316">
        <v>-0.114814599999999</v>
      </c>
      <c r="U2316">
        <v>2.3132320000000001E-2</v>
      </c>
      <c r="V2316">
        <v>-1.050472E-2</v>
      </c>
      <c r="W2316">
        <v>2.179623E-2</v>
      </c>
      <c r="X2316">
        <v>0.99970720000000002</v>
      </c>
      <c r="Y2316">
        <v>-2.0282770000000001E-4</v>
      </c>
      <c r="Z2316">
        <v>-3.066295E-4</v>
      </c>
      <c r="AA2316">
        <v>0.99999989999999905</v>
      </c>
      <c r="AB2316">
        <v>25</v>
      </c>
      <c r="AC2316">
        <v>-28.715800000000002</v>
      </c>
      <c r="AD2316">
        <v>-1.1049288469580001</v>
      </c>
      <c r="AE2316">
        <v>0.22130000000004199</v>
      </c>
      <c r="AF2316">
        <v>-6.0283963024730901E-3</v>
      </c>
      <c r="AG2316">
        <v>-1.1049288469580001</v>
      </c>
      <c r="AH2316">
        <v>28.674200654637499</v>
      </c>
      <c r="AI2316">
        <v>92.206738120579601</v>
      </c>
      <c r="AJ2316">
        <v>90.012045729345104</v>
      </c>
      <c r="AK2316">
        <v>28.695482001193401</v>
      </c>
    </row>
    <row r="2317" spans="1:37" x14ac:dyDescent="0.2">
      <c r="A2317" t="str">
        <f>"20200111155544011"</f>
        <v>20200111155544011</v>
      </c>
      <c r="B2317" t="str">
        <f>"1578729344004295"</f>
        <v>1578729344004295</v>
      </c>
      <c r="C2317" t="s">
        <v>37</v>
      </c>
      <c r="D2317">
        <v>5.0041909999999996</v>
      </c>
      <c r="E2317">
        <v>0.50518390000000002</v>
      </c>
      <c r="F2317" t="s">
        <v>59</v>
      </c>
      <c r="G2317">
        <v>-325.84350000000001</v>
      </c>
      <c r="H2317" s="1">
        <v>1.5769249999999999E-6</v>
      </c>
      <c r="I2317">
        <v>284.522999999999</v>
      </c>
      <c r="J2317">
        <v>-296.47980000000001</v>
      </c>
      <c r="K2317">
        <v>1.1049290000000001</v>
      </c>
      <c r="L2317">
        <v>284.26190000000003</v>
      </c>
      <c r="M2317">
        <v>-0.99987269999999995</v>
      </c>
      <c r="N2317">
        <v>0</v>
      </c>
      <c r="O2317">
        <v>7.9200699999999995E-3</v>
      </c>
      <c r="P2317">
        <v>-0.99996219999999902</v>
      </c>
      <c r="Q2317">
        <v>8.1668090000000006E-3</v>
      </c>
      <c r="R2317">
        <v>-3.0256620000000001E-3</v>
      </c>
      <c r="S2317">
        <v>-3.0010680000000001</v>
      </c>
      <c r="T2317">
        <v>-0.1123458</v>
      </c>
      <c r="U2317">
        <v>2.6672359999999999E-2</v>
      </c>
      <c r="V2317">
        <v>-1.094561E-2</v>
      </c>
      <c r="W2317">
        <v>2.2015529999999998E-2</v>
      </c>
      <c r="X2317">
        <v>0.99969769999999902</v>
      </c>
      <c r="Y2317">
        <v>9.7134479999999904E-4</v>
      </c>
      <c r="Z2317">
        <v>-2.782293E-4</v>
      </c>
      <c r="AA2317">
        <v>0.99999950000000004</v>
      </c>
      <c r="AB2317">
        <v>25</v>
      </c>
      <c r="AC2317">
        <v>-29.363699999999898</v>
      </c>
      <c r="AD2317">
        <v>-1.1049274230749999</v>
      </c>
      <c r="AE2317">
        <v>0.26109999999994199</v>
      </c>
      <c r="AF2317">
        <v>2.84666332997527E-2</v>
      </c>
      <c r="AG2317">
        <v>-1.1049274230749999</v>
      </c>
      <c r="AH2317">
        <v>29.3233300833054</v>
      </c>
      <c r="AI2317">
        <v>92.157930602640505</v>
      </c>
      <c r="AJ2317">
        <v>89.944378164825693</v>
      </c>
      <c r="AK2317">
        <v>29.344153798226198</v>
      </c>
    </row>
    <row r="2318" spans="1:37" x14ac:dyDescent="0.2">
      <c r="A2318" t="str">
        <f>"20200111155544027"</f>
        <v>20200111155544027</v>
      </c>
      <c r="B2318" t="str">
        <f>"1578729344024790"</f>
        <v>1578729344024790</v>
      </c>
      <c r="C2318" t="s">
        <v>37</v>
      </c>
      <c r="D2318">
        <v>4.973382</v>
      </c>
      <c r="E2318">
        <v>0.50601809999999903</v>
      </c>
      <c r="F2318" t="s">
        <v>59</v>
      </c>
      <c r="G2318">
        <v>-325.42630000000003</v>
      </c>
      <c r="H2318" s="1">
        <v>1.3554120000000001E-6</v>
      </c>
      <c r="I2318">
        <v>284.51119999999997</v>
      </c>
      <c r="J2318">
        <v>-296.6619</v>
      </c>
      <c r="K2318">
        <v>1.1049229999999901</v>
      </c>
      <c r="L2318">
        <v>284.26339999999999</v>
      </c>
      <c r="M2318">
        <v>-0.99987269999999995</v>
      </c>
      <c r="N2318">
        <v>0</v>
      </c>
      <c r="O2318">
        <v>7.9271569999999902E-3</v>
      </c>
      <c r="P2318">
        <v>-0.99996160000000001</v>
      </c>
      <c r="Q2318">
        <v>8.1352649999999992E-3</v>
      </c>
      <c r="R2318">
        <v>-3.2599640000000002E-3</v>
      </c>
      <c r="S2318">
        <v>-3.0011290000000002</v>
      </c>
      <c r="T2318">
        <v>-0.1145573</v>
      </c>
      <c r="U2318">
        <v>2.5848389999999999E-2</v>
      </c>
      <c r="V2318">
        <v>-1.118683E-2</v>
      </c>
      <c r="W2318">
        <v>2.1982160000000001E-2</v>
      </c>
      <c r="X2318">
        <v>0.99969580000000002</v>
      </c>
      <c r="Y2318">
        <v>6.8994539999999902E-4</v>
      </c>
      <c r="Z2318">
        <v>-2.8933600000000001E-4</v>
      </c>
      <c r="AA2318">
        <v>0.99999969999999905</v>
      </c>
      <c r="AB2318">
        <v>25</v>
      </c>
      <c r="AC2318">
        <v>-28.764399999999998</v>
      </c>
      <c r="AD2318">
        <v>-1.1049216445879999</v>
      </c>
      <c r="AE2318">
        <v>0.24779999999998301</v>
      </c>
      <c r="AF2318">
        <v>1.9721336302696599E-2</v>
      </c>
      <c r="AG2318">
        <v>-1.1049216445879999</v>
      </c>
      <c r="AH2318">
        <v>28.7230815345278</v>
      </c>
      <c r="AI2318">
        <v>92.202971585641095</v>
      </c>
      <c r="AJ2318">
        <v>89.960660587284707</v>
      </c>
      <c r="AK2318">
        <v>28.744332547667799</v>
      </c>
    </row>
    <row r="2319" spans="1:37" x14ac:dyDescent="0.2">
      <c r="A2319" t="str">
        <f>"20200111155544041"</f>
        <v>20200111155544041</v>
      </c>
      <c r="B2319" t="str">
        <f>"1578729344034550"</f>
        <v>1578729344034550</v>
      </c>
      <c r="C2319" t="s">
        <v>37</v>
      </c>
      <c r="D2319">
        <v>5.0474220000000001</v>
      </c>
      <c r="E2319">
        <v>0.50632630000000001</v>
      </c>
      <c r="F2319" t="s">
        <v>59</v>
      </c>
      <c r="G2319">
        <v>-325.26530000000002</v>
      </c>
      <c r="H2319" s="1">
        <v>1.2672849999999999E-6</v>
      </c>
      <c r="I2319">
        <v>284.56700000000001</v>
      </c>
      <c r="J2319">
        <v>-296.82479999999998</v>
      </c>
      <c r="K2319">
        <v>1.1049199999999999</v>
      </c>
      <c r="L2319">
        <v>284.2647</v>
      </c>
      <c r="M2319">
        <v>-0.99987280000000001</v>
      </c>
      <c r="N2319">
        <v>0</v>
      </c>
      <c r="O2319">
        <v>7.9357969999999996E-3</v>
      </c>
      <c r="P2319">
        <v>-0.99996240000000003</v>
      </c>
      <c r="Q2319">
        <v>8.0315579999999994E-3</v>
      </c>
      <c r="R2319">
        <v>-3.3510179999999999E-3</v>
      </c>
      <c r="S2319">
        <v>-3.0011290000000002</v>
      </c>
      <c r="T2319">
        <v>-0.1159309</v>
      </c>
      <c r="U2319">
        <v>3.1860350000000003E-2</v>
      </c>
      <c r="V2319">
        <v>-1.128648E-2</v>
      </c>
      <c r="W2319">
        <v>2.1877279999999999E-2</v>
      </c>
      <c r="X2319">
        <v>0.99969699999999995</v>
      </c>
      <c r="Y2319">
        <v>2.6829969999999999E-3</v>
      </c>
      <c r="Z2319">
        <v>-2.546534E-4</v>
      </c>
      <c r="AA2319">
        <v>0.99999640000000001</v>
      </c>
      <c r="AB2319">
        <v>25</v>
      </c>
      <c r="AC2319">
        <v>-28.4405</v>
      </c>
      <c r="AD2319">
        <v>-1.1049187327150001</v>
      </c>
      <c r="AE2319">
        <v>0.30230000000000201</v>
      </c>
      <c r="AF2319">
        <v>7.6455457293133799E-2</v>
      </c>
      <c r="AG2319">
        <v>-1.1049187327150001</v>
      </c>
      <c r="AH2319">
        <v>28.399144451317898</v>
      </c>
      <c r="AI2319">
        <v>92.228061364805598</v>
      </c>
      <c r="AJ2319">
        <v>89.845750126451406</v>
      </c>
      <c r="AK2319">
        <v>28.420733565650199</v>
      </c>
    </row>
    <row r="2320" spans="1:37" x14ac:dyDescent="0.2">
      <c r="A2320" t="str">
        <f>"20200111155544056"</f>
        <v>20200111155544056</v>
      </c>
      <c r="B2320" t="str">
        <f>"1578729344044822"</f>
        <v>1578729344044822</v>
      </c>
      <c r="C2320" t="s">
        <v>37</v>
      </c>
      <c r="D2320">
        <v>5.0266690000000001</v>
      </c>
      <c r="E2320">
        <v>0.50656859999999904</v>
      </c>
      <c r="F2320" t="s">
        <v>59</v>
      </c>
      <c r="G2320">
        <v>-325.34019999999998</v>
      </c>
      <c r="H2320" s="1">
        <v>1.306252E-6</v>
      </c>
      <c r="I2320">
        <v>284.5874</v>
      </c>
      <c r="J2320">
        <v>-296.98379999999997</v>
      </c>
      <c r="K2320">
        <v>1.1049169999999999</v>
      </c>
      <c r="L2320">
        <v>284.265999999999</v>
      </c>
      <c r="M2320">
        <v>-0.99987269999999995</v>
      </c>
      <c r="N2320">
        <v>0</v>
      </c>
      <c r="O2320">
        <v>7.9469420000000002E-3</v>
      </c>
      <c r="P2320">
        <v>-0.99996700000000005</v>
      </c>
      <c r="Q2320">
        <v>7.5689390000000002E-3</v>
      </c>
      <c r="R2320">
        <v>-3.0294319999999999E-3</v>
      </c>
      <c r="S2320">
        <v>-3.00116</v>
      </c>
      <c r="T2320">
        <v>-0.1162894</v>
      </c>
      <c r="U2320">
        <v>3.3966059999999999E-2</v>
      </c>
      <c r="V2320">
        <v>-1.0975789999999999E-2</v>
      </c>
      <c r="W2320">
        <v>2.141295E-2</v>
      </c>
      <c r="X2320">
        <v>0.999710399999999</v>
      </c>
      <c r="Y2320">
        <v>3.3728029999999902E-3</v>
      </c>
      <c r="Z2320">
        <v>-2.42509199999999E-4</v>
      </c>
      <c r="AA2320">
        <v>0.9999943</v>
      </c>
      <c r="AB2320">
        <v>25</v>
      </c>
      <c r="AC2320">
        <v>-28.356400000000001</v>
      </c>
      <c r="AD2320">
        <v>-1.104915693748</v>
      </c>
      <c r="AE2320">
        <v>0.32140000000003899</v>
      </c>
      <c r="AF2320">
        <v>9.5876061370707005E-2</v>
      </c>
      <c r="AG2320">
        <v>-1.104915693748</v>
      </c>
      <c r="AH2320">
        <v>28.315073691445701</v>
      </c>
      <c r="AI2320">
        <v>92.234659194795697</v>
      </c>
      <c r="AJ2320">
        <v>89.805994759582106</v>
      </c>
      <c r="AK2320">
        <v>28.3367857927012</v>
      </c>
    </row>
    <row r="2321" spans="1:37" x14ac:dyDescent="0.2">
      <c r="A2321" t="str">
        <f>"20200111155544072"</f>
        <v>20200111155544072</v>
      </c>
      <c r="B2321" t="str">
        <f>"1578729344064341"</f>
        <v>1578729344064341</v>
      </c>
      <c r="C2321" t="s">
        <v>37</v>
      </c>
      <c r="D2321">
        <v>5.0972479999999996</v>
      </c>
      <c r="E2321">
        <v>0.50726439999999995</v>
      </c>
      <c r="F2321" t="s">
        <v>59</v>
      </c>
      <c r="G2321">
        <v>-325.18950000000001</v>
      </c>
      <c r="H2321" s="1">
        <v>1.224981E-6</v>
      </c>
      <c r="I2321">
        <v>284.61160000000001</v>
      </c>
      <c r="J2321">
        <v>-297.14690000000002</v>
      </c>
      <c r="K2321">
        <v>1.104911</v>
      </c>
      <c r="L2321">
        <v>284.26729999999998</v>
      </c>
      <c r="M2321">
        <v>-0.9998726</v>
      </c>
      <c r="N2321">
        <v>0</v>
      </c>
      <c r="O2321">
        <v>7.9608909999999995E-3</v>
      </c>
      <c r="P2321">
        <v>-0.99997289999999905</v>
      </c>
      <c r="Q2321">
        <v>6.9089269999999996E-3</v>
      </c>
      <c r="R2321">
        <v>-2.591908E-3</v>
      </c>
      <c r="S2321">
        <v>-3.001099</v>
      </c>
      <c r="T2321">
        <v>-0.11756359999999901</v>
      </c>
      <c r="U2321">
        <v>3.6773680000000003E-2</v>
      </c>
      <c r="V2321">
        <v>-1.055215E-2</v>
      </c>
      <c r="W2321">
        <v>2.0751720000000001E-2</v>
      </c>
      <c r="X2321">
        <v>0.99972899999999998</v>
      </c>
      <c r="Y2321">
        <v>4.29385599999999E-3</v>
      </c>
      <c r="Z2321">
        <v>-2.2768119999999999E-4</v>
      </c>
      <c r="AA2321">
        <v>0.99999079999999996</v>
      </c>
      <c r="AB2321">
        <v>25</v>
      </c>
      <c r="AC2321">
        <v>-28.0426</v>
      </c>
      <c r="AD2321">
        <v>-1.104909775019</v>
      </c>
      <c r="AE2321">
        <v>0.34430000000003202</v>
      </c>
      <c r="AF2321">
        <v>0.120836073769367</v>
      </c>
      <c r="AG2321">
        <v>-1.104909775019</v>
      </c>
      <c r="AH2321">
        <v>28.000988873191201</v>
      </c>
      <c r="AI2321">
        <v>92.259679174416107</v>
      </c>
      <c r="AJ2321">
        <v>89.752746087149802</v>
      </c>
      <c r="AK2321">
        <v>28.023040606690699</v>
      </c>
    </row>
    <row r="2322" spans="1:37" x14ac:dyDescent="0.2">
      <c r="A2322" t="str">
        <f>"20200111155544085"</f>
        <v>20200111155544085</v>
      </c>
      <c r="B2322" t="str">
        <f>"1578729344075077"</f>
        <v>1578729344075077</v>
      </c>
      <c r="C2322" t="s">
        <v>37</v>
      </c>
      <c r="D2322">
        <v>4.9938549999999999</v>
      </c>
      <c r="E2322">
        <v>0.50741329999999996</v>
      </c>
      <c r="F2322" t="s">
        <v>59</v>
      </c>
      <c r="G2322">
        <v>-325.31979999999999</v>
      </c>
      <c r="H2322" s="1">
        <v>1.2913329999999899E-6</v>
      </c>
      <c r="I2322">
        <v>284.68009999999998</v>
      </c>
      <c r="J2322">
        <v>-297.29480000000001</v>
      </c>
      <c r="K2322">
        <v>1.1049069999999901</v>
      </c>
      <c r="L2322">
        <v>284.26839999999999</v>
      </c>
      <c r="M2322">
        <v>-0.99987239999999999</v>
      </c>
      <c r="N2322">
        <v>0</v>
      </c>
      <c r="O2322">
        <v>7.9750689999999996E-3</v>
      </c>
      <c r="P2322">
        <v>-0.99997459999999905</v>
      </c>
      <c r="Q2322">
        <v>6.7964490000000004E-3</v>
      </c>
      <c r="R2322">
        <v>-2.1839429999999998E-3</v>
      </c>
      <c r="S2322">
        <v>-3.0010379999999999</v>
      </c>
      <c r="T2322">
        <v>-0.1176976</v>
      </c>
      <c r="U2322">
        <v>4.397583E-2</v>
      </c>
      <c r="V2322">
        <v>-1.015841E-2</v>
      </c>
      <c r="W2322">
        <v>2.0637780000000001E-2</v>
      </c>
      <c r="X2322">
        <v>0.99973539999999905</v>
      </c>
      <c r="Y2322">
        <v>6.6775259999999996E-3</v>
      </c>
      <c r="Z2322">
        <v>-1.817744E-4</v>
      </c>
      <c r="AA2322">
        <v>0.99997769999999997</v>
      </c>
      <c r="AB2322">
        <v>25</v>
      </c>
      <c r="AC2322">
        <v>-28.024999999999899</v>
      </c>
      <c r="AD2322">
        <v>-1.10490570866699</v>
      </c>
      <c r="AE2322">
        <v>0.41169999999999601</v>
      </c>
      <c r="AF2322">
        <v>0.18787222049938501</v>
      </c>
      <c r="AG2322">
        <v>-1.10490570866699</v>
      </c>
      <c r="AH2322">
        <v>27.983903811561401</v>
      </c>
      <c r="AI2322">
        <v>92.261019166792394</v>
      </c>
      <c r="AJ2322">
        <v>89.615345890410296</v>
      </c>
      <c r="AK2322">
        <v>28.006338302802099</v>
      </c>
    </row>
    <row r="2323" spans="1:37" x14ac:dyDescent="0.2">
      <c r="A2323" t="str">
        <f>"20200111155544099"</f>
        <v>20200111155544099</v>
      </c>
      <c r="B2323" t="str">
        <f>"1578729344094597"</f>
        <v>1578729344094597</v>
      </c>
      <c r="C2323" t="s">
        <v>37</v>
      </c>
      <c r="D2323">
        <v>5.0169629999999996</v>
      </c>
      <c r="E2323">
        <v>0.50781520000000002</v>
      </c>
      <c r="F2323" t="s">
        <v>59</v>
      </c>
      <c r="G2323">
        <v>-325.66030000000001</v>
      </c>
      <c r="H2323" s="1">
        <v>1.4714579999999999E-6</v>
      </c>
      <c r="I2323">
        <v>284.70569999999998</v>
      </c>
      <c r="J2323">
        <v>-297.45150000000001</v>
      </c>
      <c r="K2323">
        <v>1.1049059999999999</v>
      </c>
      <c r="L2323">
        <v>284.2697</v>
      </c>
      <c r="M2323">
        <v>-0.99987239999999999</v>
      </c>
      <c r="N2323">
        <v>0</v>
      </c>
      <c r="O2323">
        <v>7.9912109999999998E-3</v>
      </c>
      <c r="P2323">
        <v>-0.99997559999999996</v>
      </c>
      <c r="Q2323">
        <v>6.7321969999999997E-3</v>
      </c>
      <c r="R2323">
        <v>-1.951754E-3</v>
      </c>
      <c r="S2323">
        <v>-3.0009769999999998</v>
      </c>
      <c r="T2323">
        <v>-0.11689529999999999</v>
      </c>
      <c r="U2323">
        <v>4.6264649999999997E-2</v>
      </c>
      <c r="V2323">
        <v>-9.9419950000000003E-3</v>
      </c>
      <c r="W2323">
        <v>2.0571510000000001E-2</v>
      </c>
      <c r="X2323">
        <v>0.99973889999999999</v>
      </c>
      <c r="Y2323">
        <v>7.4236119999999996E-3</v>
      </c>
      <c r="Z2323">
        <v>-1.6664259999999901E-4</v>
      </c>
      <c r="AA2323">
        <v>0.99997239999999998</v>
      </c>
      <c r="AB2323">
        <v>25</v>
      </c>
      <c r="AC2323">
        <v>-28.2088</v>
      </c>
      <c r="AD2323">
        <v>-1.1049045285420001</v>
      </c>
      <c r="AE2323">
        <v>0.43599999999997802</v>
      </c>
      <c r="AF2323">
        <v>0.210219594791755</v>
      </c>
      <c r="AG2323">
        <v>-1.1049045285420001</v>
      </c>
      <c r="AH2323">
        <v>28.168178485939698</v>
      </c>
      <c r="AI2323">
        <v>92.246228588648805</v>
      </c>
      <c r="AJ2323">
        <v>89.572408562033402</v>
      </c>
      <c r="AK2323">
        <v>28.190624070974099</v>
      </c>
    </row>
    <row r="2324" spans="1:37" x14ac:dyDescent="0.2">
      <c r="A2324" t="str">
        <f>"20200111155544114"</f>
        <v>20200111155544114</v>
      </c>
      <c r="B2324" t="str">
        <f>"1578729344104357"</f>
        <v>1578729344104357</v>
      </c>
      <c r="C2324" t="s">
        <v>37</v>
      </c>
      <c r="D2324">
        <v>5.2375879999999997</v>
      </c>
      <c r="E2324">
        <v>0.50781520000000002</v>
      </c>
      <c r="F2324" t="s">
        <v>59</v>
      </c>
      <c r="G2324">
        <v>-326.38959999999997</v>
      </c>
      <c r="H2324" s="1">
        <v>1.8574059999999999E-6</v>
      </c>
      <c r="I2324">
        <v>284.75490000000002</v>
      </c>
      <c r="J2324">
        <v>-297.6114</v>
      </c>
      <c r="K2324">
        <v>1.1049059999999999</v>
      </c>
      <c r="L2324">
        <v>284.27099999999899</v>
      </c>
      <c r="M2324">
        <v>-0.99987230000000005</v>
      </c>
      <c r="N2324">
        <v>0</v>
      </c>
      <c r="O2324">
        <v>8.0092569999999901E-3</v>
      </c>
      <c r="P2324">
        <v>-0.99997780000000003</v>
      </c>
      <c r="Q2324">
        <v>6.497465E-3</v>
      </c>
      <c r="R2324">
        <v>-1.5873160000000001E-3</v>
      </c>
      <c r="S2324">
        <v>-3.0009459999999999</v>
      </c>
      <c r="T2324">
        <v>-0.114580999999999</v>
      </c>
      <c r="U2324">
        <v>5.0323489999999999E-2</v>
      </c>
      <c r="V2324">
        <v>-9.595948E-3</v>
      </c>
      <c r="W2324">
        <v>2.0335530000000001E-2</v>
      </c>
      <c r="X2324">
        <v>0.99974719999999995</v>
      </c>
      <c r="Y2324">
        <v>8.7568709999999994E-3</v>
      </c>
      <c r="Z2324">
        <v>-1.385921E-4</v>
      </c>
      <c r="AA2324">
        <v>0.99996169999999995</v>
      </c>
      <c r="AB2324">
        <v>25</v>
      </c>
      <c r="AC2324">
        <v>-28.778199999999899</v>
      </c>
      <c r="AD2324">
        <v>-1.104904142594</v>
      </c>
      <c r="AE2324">
        <v>0.483900000000062</v>
      </c>
      <c r="AF2324">
        <v>0.252997599983105</v>
      </c>
      <c r="AG2324">
        <v>-1.104904142594</v>
      </c>
      <c r="AH2324">
        <v>28.7388014183663</v>
      </c>
      <c r="AI2324">
        <v>92.201648214575997</v>
      </c>
      <c r="AJ2324">
        <v>89.4956184829839</v>
      </c>
      <c r="AK2324">
        <v>28.7611461509136</v>
      </c>
    </row>
    <row r="2325" spans="1:37" x14ac:dyDescent="0.2">
      <c r="A2325" t="str">
        <f>"20200111155544129"</f>
        <v>20200111155544129</v>
      </c>
      <c r="B2325" t="str">
        <f>"1578729344124853"</f>
        <v>1578729344124853</v>
      </c>
      <c r="C2325" t="s">
        <v>37</v>
      </c>
      <c r="D2325">
        <v>5.0808369999999998</v>
      </c>
      <c r="E2325">
        <v>0.50818759999999996</v>
      </c>
      <c r="F2325" t="s">
        <v>59</v>
      </c>
      <c r="G2325">
        <v>-326.37369999999999</v>
      </c>
      <c r="H2325" s="1">
        <v>1.8485040000000001E-6</v>
      </c>
      <c r="I2325">
        <v>284.7647</v>
      </c>
      <c r="J2325">
        <v>-297.77800000000002</v>
      </c>
      <c r="K2325">
        <v>1.1049</v>
      </c>
      <c r="L2325">
        <v>284.2724</v>
      </c>
      <c r="M2325">
        <v>-0.99987209999999904</v>
      </c>
      <c r="N2325">
        <v>0</v>
      </c>
      <c r="O2325">
        <v>8.0284320000000003E-3</v>
      </c>
      <c r="P2325">
        <v>-0.99997819999999904</v>
      </c>
      <c r="Q2325">
        <v>6.4848609999999998E-3</v>
      </c>
      <c r="R2325">
        <v>-1.3297269999999999E-3</v>
      </c>
      <c r="S2325">
        <v>-3.0008849999999998</v>
      </c>
      <c r="T2325">
        <v>-0.1152788</v>
      </c>
      <c r="U2325">
        <v>5.1513669999999998E-2</v>
      </c>
      <c r="V2325">
        <v>-9.3575930000000009E-3</v>
      </c>
      <c r="W2325">
        <v>2.0321229999999999E-2</v>
      </c>
      <c r="X2325">
        <v>0.99974969999999996</v>
      </c>
      <c r="Y2325">
        <v>9.1342490000000005E-3</v>
      </c>
      <c r="Z2325">
        <v>-1.3292879999999999E-4</v>
      </c>
      <c r="AA2325">
        <v>0.99995829999999997</v>
      </c>
      <c r="AB2325">
        <v>25</v>
      </c>
      <c r="AC2325">
        <v>-28.595699999999901</v>
      </c>
      <c r="AD2325">
        <v>-1.1048981514959999</v>
      </c>
      <c r="AE2325">
        <v>0.49230000000000002</v>
      </c>
      <c r="AF2325">
        <v>0.262292061544039</v>
      </c>
      <c r="AG2325">
        <v>-1.1048981514959999</v>
      </c>
      <c r="AH2325">
        <v>28.556111011100299</v>
      </c>
      <c r="AI2325">
        <v>92.215699869197195</v>
      </c>
      <c r="AJ2325">
        <v>89.473744673656896</v>
      </c>
      <c r="AK2325">
        <v>28.578682144721299</v>
      </c>
    </row>
    <row r="2326" spans="1:37" x14ac:dyDescent="0.2">
      <c r="A2326" t="str">
        <f>"20200111155544143"</f>
        <v>20200111155544143</v>
      </c>
      <c r="B2326" t="str">
        <f>"1578729344134613"</f>
        <v>1578729344134613</v>
      </c>
      <c r="C2326" t="s">
        <v>37</v>
      </c>
      <c r="D2326">
        <v>5.0217260000000001</v>
      </c>
      <c r="E2326">
        <v>0.50832949999999999</v>
      </c>
      <c r="F2326" t="s">
        <v>59</v>
      </c>
      <c r="G2326">
        <v>-326.85640000000001</v>
      </c>
      <c r="H2326" s="1">
        <v>2.1034270000000002E-6</v>
      </c>
      <c r="I2326">
        <v>284.8082</v>
      </c>
      <c r="J2326">
        <v>-297.93830000000003</v>
      </c>
      <c r="K2326">
        <v>1.1049009999999999</v>
      </c>
      <c r="L2326">
        <v>284.27370000000002</v>
      </c>
      <c r="M2326">
        <v>-0.99987199999999998</v>
      </c>
      <c r="N2326">
        <v>0</v>
      </c>
      <c r="O2326">
        <v>8.0473000000000003E-3</v>
      </c>
      <c r="P2326">
        <v>-0.9999789</v>
      </c>
      <c r="Q2326">
        <v>6.4039190000000001E-3</v>
      </c>
      <c r="R2326">
        <v>-1.1977260000000001E-3</v>
      </c>
      <c r="S2326">
        <v>-3.0009160000000001</v>
      </c>
      <c r="T2326">
        <v>-0.11402669999999999</v>
      </c>
      <c r="U2326">
        <v>5.5297850000000003E-2</v>
      </c>
      <c r="V2326">
        <v>-9.2441499999999996E-3</v>
      </c>
      <c r="W2326">
        <v>2.023875E-2</v>
      </c>
      <c r="X2326">
        <v>0.99975249999999904</v>
      </c>
      <c r="Y2326">
        <v>1.0374889999999999E-2</v>
      </c>
      <c r="Z2326">
        <v>-1.086395E-4</v>
      </c>
      <c r="AA2326">
        <v>0.99994620000000001</v>
      </c>
      <c r="AB2326">
        <v>25</v>
      </c>
      <c r="AC2326">
        <v>-28.9180999999999</v>
      </c>
      <c r="AD2326">
        <v>-1.104898896573</v>
      </c>
      <c r="AE2326">
        <v>0.53449999999997999</v>
      </c>
      <c r="AF2326">
        <v>0.30130809833865002</v>
      </c>
      <c r="AG2326">
        <v>-1.104898896573</v>
      </c>
      <c r="AH2326">
        <v>28.879320325600599</v>
      </c>
      <c r="AI2326">
        <v>92.190901354541793</v>
      </c>
      <c r="AJ2326">
        <v>89.402234685494506</v>
      </c>
      <c r="AK2326">
        <v>28.9020194901744</v>
      </c>
    </row>
    <row r="2327" spans="1:37" x14ac:dyDescent="0.2">
      <c r="A2327" t="str">
        <f>"20200111155544161"</f>
        <v>20200111155544161</v>
      </c>
      <c r="B2327" t="str">
        <f>"1578729344154643"</f>
        <v>1578729344154643</v>
      </c>
      <c r="C2327" t="s">
        <v>37</v>
      </c>
      <c r="D2327">
        <v>5.1613119999999997</v>
      </c>
      <c r="E2327">
        <v>0.50866489999999998</v>
      </c>
      <c r="F2327" t="s">
        <v>59</v>
      </c>
      <c r="G2327">
        <v>-327.21010000000001</v>
      </c>
      <c r="H2327" s="1">
        <v>2.2908280000000001E-6</v>
      </c>
      <c r="I2327">
        <v>284.82769999999999</v>
      </c>
      <c r="J2327">
        <v>-298.12830000000002</v>
      </c>
      <c r="K2327">
        <v>1.1049059999999999</v>
      </c>
      <c r="L2327">
        <v>284.27519999999998</v>
      </c>
      <c r="M2327">
        <v>-0.99987169999999903</v>
      </c>
      <c r="N2327">
        <v>0</v>
      </c>
      <c r="O2327">
        <v>8.0704609999999993E-3</v>
      </c>
      <c r="P2327">
        <v>-0.99997780000000003</v>
      </c>
      <c r="Q2327">
        <v>6.6012669999999897E-3</v>
      </c>
      <c r="R2327">
        <v>-9.7689070000000003E-4</v>
      </c>
      <c r="S2327">
        <v>-3.0008539999999999</v>
      </c>
      <c r="T2327">
        <v>-0.1132708</v>
      </c>
      <c r="U2327">
        <v>5.6793209999999997E-2</v>
      </c>
      <c r="V2327">
        <v>-9.0462759999999903E-3</v>
      </c>
      <c r="W2327">
        <v>2.0434219999999999E-2</v>
      </c>
      <c r="X2327">
        <v>0.99975029999999998</v>
      </c>
      <c r="Y2327">
        <v>1.0849910000000001E-2</v>
      </c>
      <c r="Z2327" s="1">
        <v>-9.9834069999999998E-5</v>
      </c>
      <c r="AA2327">
        <v>0.99994110000000003</v>
      </c>
      <c r="AB2327">
        <v>25</v>
      </c>
      <c r="AC2327">
        <v>-29.081799999999902</v>
      </c>
      <c r="AD2327">
        <v>-1.104903709172</v>
      </c>
      <c r="AE2327">
        <v>0.55250000000000898</v>
      </c>
      <c r="AF2327">
        <v>0.31729815680455598</v>
      </c>
      <c r="AG2327">
        <v>-1.104903709172</v>
      </c>
      <c r="AH2327">
        <v>29.043404061846701</v>
      </c>
      <c r="AI2327">
        <v>92.178533644190395</v>
      </c>
      <c r="AJ2327">
        <v>89.374070547617606</v>
      </c>
      <c r="AK2327">
        <v>29.066145424299901</v>
      </c>
    </row>
    <row r="2328" spans="1:37" x14ac:dyDescent="0.2">
      <c r="A2328" t="str">
        <f>"20200111155544175"</f>
        <v>20200111155544175</v>
      </c>
      <c r="B2328" t="str">
        <f>"1578729344164403"</f>
        <v>1578729344164403</v>
      </c>
      <c r="C2328" t="s">
        <v>37</v>
      </c>
      <c r="D2328">
        <v>5.4124480000000004</v>
      </c>
      <c r="E2328">
        <v>0.50866489999999998</v>
      </c>
      <c r="F2328" t="s">
        <v>59</v>
      </c>
      <c r="G2328">
        <v>-328.12950000000001</v>
      </c>
      <c r="H2328" s="1">
        <v>2.7778549999999999E-6</v>
      </c>
      <c r="I2328">
        <v>284.8784</v>
      </c>
      <c r="J2328">
        <v>-298.28809999999999</v>
      </c>
      <c r="K2328">
        <v>1.1049069999999901</v>
      </c>
      <c r="L2328">
        <v>284.27659999999997</v>
      </c>
      <c r="M2328">
        <v>-0.99987179999999998</v>
      </c>
      <c r="N2328">
        <v>0</v>
      </c>
      <c r="O2328">
        <v>8.0905189999999991E-3</v>
      </c>
      <c r="P2328">
        <v>-0.99997849999999999</v>
      </c>
      <c r="Q2328">
        <v>6.5426319999999996E-3</v>
      </c>
      <c r="R2328">
        <v>-9.2024169999999897E-4</v>
      </c>
      <c r="S2328">
        <v>-3.0008849999999998</v>
      </c>
      <c r="T2328">
        <v>-0.11051859999999999</v>
      </c>
      <c r="U2328">
        <v>6.0333249999999998E-2</v>
      </c>
      <c r="V2328">
        <v>-9.0095799999999997E-3</v>
      </c>
      <c r="W2328">
        <v>2.0373189999999999E-2</v>
      </c>
      <c r="X2328">
        <v>0.99975190000000003</v>
      </c>
      <c r="Y2328">
        <v>1.2008120000000001E-2</v>
      </c>
      <c r="Z2328" s="1">
        <v>-7.6827619999999896E-5</v>
      </c>
      <c r="AA2328">
        <v>0.99992789999999998</v>
      </c>
      <c r="AB2328">
        <v>24</v>
      </c>
      <c r="AC2328">
        <v>-29.8414</v>
      </c>
      <c r="AD2328">
        <v>-1.1049042221449901</v>
      </c>
      <c r="AE2328">
        <v>0.60180000000002498</v>
      </c>
      <c r="AF2328">
        <v>0.35983173649447298</v>
      </c>
      <c r="AG2328">
        <v>-1.1049042221449901</v>
      </c>
      <c r="AH2328">
        <v>29.8044496903325</v>
      </c>
      <c r="AI2328">
        <v>92.122930143755497</v>
      </c>
      <c r="AJ2328">
        <v>89.308296632279394</v>
      </c>
      <c r="AK2328">
        <v>29.827093615742399</v>
      </c>
    </row>
    <row r="2329" spans="1:37" x14ac:dyDescent="0.2">
      <c r="A2329" t="str">
        <f>"20200111155544189"</f>
        <v>20200111155544189</v>
      </c>
      <c r="B2329" t="str">
        <f>"1578729344184899"</f>
        <v>1578729344184899</v>
      </c>
      <c r="C2329" t="s">
        <v>37</v>
      </c>
      <c r="D2329">
        <v>5.2096169999999997</v>
      </c>
      <c r="E2329">
        <v>0.50904859999999996</v>
      </c>
      <c r="F2329" t="s">
        <v>59</v>
      </c>
      <c r="G2329">
        <v>-328.23480000000001</v>
      </c>
      <c r="H2329" s="1">
        <v>2.83385E-6</v>
      </c>
      <c r="I2329">
        <v>284.87990000000002</v>
      </c>
      <c r="J2329">
        <v>-298.43380000000002</v>
      </c>
      <c r="K2329">
        <v>1.104905</v>
      </c>
      <c r="L2329">
        <v>284.27769999999998</v>
      </c>
      <c r="M2329">
        <v>-0.99987159999999997</v>
      </c>
      <c r="N2329">
        <v>0</v>
      </c>
      <c r="O2329">
        <v>8.1105320000000002E-3</v>
      </c>
      <c r="P2329">
        <v>-0.99997630000000004</v>
      </c>
      <c r="Q2329">
        <v>6.8359110000000001E-3</v>
      </c>
      <c r="R2329">
        <v>-1.0621420000000001E-3</v>
      </c>
      <c r="S2329">
        <v>-3.0008849999999998</v>
      </c>
      <c r="T2329">
        <v>-0.11071969999999901</v>
      </c>
      <c r="U2329">
        <v>6.045532E-2</v>
      </c>
      <c r="V2329">
        <v>-9.1716079999999995E-3</v>
      </c>
      <c r="W2329">
        <v>2.0665429999999999E-2</v>
      </c>
      <c r="X2329">
        <v>0.99974439999999998</v>
      </c>
      <c r="Y2329">
        <v>1.2028759999999999E-2</v>
      </c>
      <c r="Z2329" s="1">
        <v>-7.7324890000000002E-5</v>
      </c>
      <c r="AA2329">
        <v>0.99992760000000003</v>
      </c>
      <c r="AB2329">
        <v>24</v>
      </c>
      <c r="AC2329">
        <v>-29.800999999999899</v>
      </c>
      <c r="AD2329">
        <v>-1.10490216615</v>
      </c>
      <c r="AE2329">
        <v>0.60220000000003804</v>
      </c>
      <c r="AF2329">
        <v>0.35996052824769997</v>
      </c>
      <c r="AG2329">
        <v>-1.10490216615</v>
      </c>
      <c r="AH2329">
        <v>29.764006448873602</v>
      </c>
      <c r="AI2329">
        <v>92.125807645959995</v>
      </c>
      <c r="AJ2329">
        <v>89.307108951180595</v>
      </c>
      <c r="AK2329">
        <v>29.7866825992297</v>
      </c>
    </row>
    <row r="2330" spans="1:37" x14ac:dyDescent="0.2">
      <c r="A2330" t="str">
        <f>"20200111155544205"</f>
        <v>20200111155544205</v>
      </c>
      <c r="B2330" t="str">
        <f>"1578729344194659"</f>
        <v>1578729344194659</v>
      </c>
      <c r="C2330" t="s">
        <v>37</v>
      </c>
      <c r="D2330">
        <v>5.0603879999999997</v>
      </c>
      <c r="E2330">
        <v>0.50903520000000002</v>
      </c>
      <c r="F2330" t="s">
        <v>59</v>
      </c>
      <c r="G2330">
        <v>-329.55520000000001</v>
      </c>
      <c r="H2330" s="1">
        <v>3.5342329999999998E-6</v>
      </c>
      <c r="I2330">
        <v>284.93189999999998</v>
      </c>
      <c r="J2330">
        <v>-298.60989999999998</v>
      </c>
      <c r="K2330">
        <v>1.104905</v>
      </c>
      <c r="L2330">
        <v>284.2792</v>
      </c>
      <c r="M2330">
        <v>-0.99987130000000002</v>
      </c>
      <c r="N2330">
        <v>0</v>
      </c>
      <c r="O2330">
        <v>8.1398240000000004E-3</v>
      </c>
      <c r="P2330">
        <v>-0.99997000000000003</v>
      </c>
      <c r="Q2330">
        <v>7.623248E-3</v>
      </c>
      <c r="R2330">
        <v>-1.4041850000000001E-3</v>
      </c>
      <c r="S2330">
        <v>-3.0008539999999999</v>
      </c>
      <c r="T2330">
        <v>-0.1065392</v>
      </c>
      <c r="U2330">
        <v>6.3079830000000003E-2</v>
      </c>
      <c r="V2330">
        <v>-9.5423330000000001E-3</v>
      </c>
      <c r="W2330">
        <v>2.1450609999999998E-2</v>
      </c>
      <c r="X2330">
        <v>0.99972439999999996</v>
      </c>
      <c r="Y2330">
        <v>1.28735E-2</v>
      </c>
      <c r="Z2330" s="1">
        <v>-6.0457500000000002E-5</v>
      </c>
      <c r="AA2330">
        <v>0.9999171</v>
      </c>
      <c r="AB2330">
        <v>24</v>
      </c>
      <c r="AC2330">
        <v>-30.9453</v>
      </c>
      <c r="AD2330">
        <v>-1.104901465767</v>
      </c>
      <c r="AE2330">
        <v>0.65269999999998096</v>
      </c>
      <c r="AF2330">
        <v>0.4002549656444</v>
      </c>
      <c r="AG2330">
        <v>-1.104901465767</v>
      </c>
      <c r="AH2330">
        <v>30.9101997708675</v>
      </c>
      <c r="AI2330">
        <v>92.047024893503604</v>
      </c>
      <c r="AJ2330">
        <v>89.258120659332903</v>
      </c>
      <c r="AK2330">
        <v>30.9325307914098</v>
      </c>
    </row>
    <row r="2331" spans="1:37" x14ac:dyDescent="0.2">
      <c r="A2331" t="str">
        <f>"20200111155544219"</f>
        <v>20200111155544219</v>
      </c>
      <c r="B2331" t="str">
        <f>"1578729344215155"</f>
        <v>1578729344215155</v>
      </c>
      <c r="C2331" t="s">
        <v>37</v>
      </c>
      <c r="D2331">
        <v>5.0569699999999997</v>
      </c>
      <c r="E2331">
        <v>0.5090517</v>
      </c>
      <c r="F2331" t="s">
        <v>59</v>
      </c>
      <c r="G2331">
        <v>-330.52210000000002</v>
      </c>
      <c r="H2331" s="1">
        <v>-1.27305E-6</v>
      </c>
      <c r="I2331">
        <v>284.93860000000001</v>
      </c>
      <c r="J2331">
        <v>-298.7593</v>
      </c>
      <c r="K2331">
        <v>1.1049020000000001</v>
      </c>
      <c r="L2331">
        <v>284.28039999999999</v>
      </c>
      <c r="M2331">
        <v>-0.99987109999999901</v>
      </c>
      <c r="N2331">
        <v>0</v>
      </c>
      <c r="O2331">
        <v>8.1706250000000008E-3</v>
      </c>
      <c r="P2331">
        <v>-0.99996600000000002</v>
      </c>
      <c r="Q2331">
        <v>8.0445840000000005E-3</v>
      </c>
      <c r="R2331">
        <v>-1.899289E-3</v>
      </c>
      <c r="S2331">
        <v>-3.0009769999999998</v>
      </c>
      <c r="T2331">
        <v>-0.10390389999999999</v>
      </c>
      <c r="U2331">
        <v>6.2011719999999999E-2</v>
      </c>
      <c r="V2331">
        <v>-1.006805E-2</v>
      </c>
      <c r="W2331">
        <v>2.187012E-2</v>
      </c>
      <c r="X2331">
        <v>0.99971010000000005</v>
      </c>
      <c r="Y2331">
        <v>1.2486499999999999E-2</v>
      </c>
      <c r="Z2331" s="1">
        <v>-6.6723760000000004E-5</v>
      </c>
      <c r="AA2331">
        <v>0.99992199999999998</v>
      </c>
      <c r="AB2331">
        <v>24</v>
      </c>
      <c r="AC2331">
        <v>-31.762799999999999</v>
      </c>
      <c r="AD2331">
        <v>-1.1049032730499999</v>
      </c>
      <c r="AE2331">
        <v>0.65820000000002199</v>
      </c>
      <c r="AF2331">
        <v>0.39814972346234201</v>
      </c>
      <c r="AG2331">
        <v>-1.1049032730499999</v>
      </c>
      <c r="AH2331">
        <v>31.728740412476199</v>
      </c>
      <c r="AI2331">
        <v>91.994272212751397</v>
      </c>
      <c r="AJ2331">
        <v>89.281058712161993</v>
      </c>
      <c r="AK2331">
        <v>31.750469328931</v>
      </c>
    </row>
    <row r="2332" spans="1:37" x14ac:dyDescent="0.2">
      <c r="A2332" t="str">
        <f>"20200111155544239"</f>
        <v>20200111155544239</v>
      </c>
      <c r="B2332" t="str">
        <f>"1578729344234676"</f>
        <v>1578729344234676</v>
      </c>
      <c r="C2332" t="s">
        <v>37</v>
      </c>
      <c r="D2332">
        <v>5.1417769999999896</v>
      </c>
      <c r="E2332">
        <v>0.50900489999999998</v>
      </c>
      <c r="F2332" t="s">
        <v>59</v>
      </c>
      <c r="G2332">
        <v>-331.36320000000001</v>
      </c>
      <c r="H2332" s="1">
        <v>-8.2550550000000002E-7</v>
      </c>
      <c r="I2332">
        <v>284.93990000000002</v>
      </c>
      <c r="J2332">
        <v>-298.97620000000001</v>
      </c>
      <c r="K2332">
        <v>1.104889</v>
      </c>
      <c r="L2332">
        <v>284.28219999999999</v>
      </c>
      <c r="M2332">
        <v>-0.9998705</v>
      </c>
      <c r="N2332">
        <v>0</v>
      </c>
      <c r="O2332">
        <v>8.2333430000000006E-3</v>
      </c>
      <c r="P2332">
        <v>-0.99995699999999998</v>
      </c>
      <c r="Q2332">
        <v>8.8785719999999995E-3</v>
      </c>
      <c r="R2332">
        <v>-2.7336550000000002E-3</v>
      </c>
      <c r="S2332">
        <v>-3.0010680000000001</v>
      </c>
      <c r="T2332">
        <v>-0.10170219999999899</v>
      </c>
      <c r="U2332">
        <v>6.0699459999999997E-2</v>
      </c>
      <c r="V2332">
        <v>-1.096403E-2</v>
      </c>
      <c r="W2332">
        <v>2.2702E-2</v>
      </c>
      <c r="X2332">
        <v>0.99968210000000002</v>
      </c>
      <c r="Y2332">
        <v>1.198654E-2</v>
      </c>
      <c r="Z2332" s="1">
        <v>-7.5902159999999895E-5</v>
      </c>
      <c r="AA2332">
        <v>0.99992819999999905</v>
      </c>
      <c r="AB2332">
        <v>24</v>
      </c>
      <c r="AC2332">
        <v>-32.387</v>
      </c>
      <c r="AD2332">
        <v>-1.1048898255055</v>
      </c>
      <c r="AE2332">
        <v>0.65770000000003304</v>
      </c>
      <c r="AF2332">
        <v>0.39054458106177797</v>
      </c>
      <c r="AG2332">
        <v>-1.1048898255055</v>
      </c>
      <c r="AH2332">
        <v>32.353678372412901</v>
      </c>
      <c r="AI2332">
        <v>91.955769110586203</v>
      </c>
      <c r="AJ2332">
        <v>89.308410338902206</v>
      </c>
      <c r="AK2332">
        <v>32.374894761556199</v>
      </c>
    </row>
    <row r="2333" spans="1:37" x14ac:dyDescent="0.2">
      <c r="A2333" t="str">
        <f>"20200111155544252"</f>
        <v>20200111155544252</v>
      </c>
      <c r="B2333" t="str">
        <f>"1578729344244945"</f>
        <v>1578729344244945</v>
      </c>
      <c r="C2333" t="s">
        <v>37</v>
      </c>
      <c r="D2333">
        <v>5.2151439999999996</v>
      </c>
      <c r="E2333">
        <v>0.50914989999999904</v>
      </c>
      <c r="F2333" t="s">
        <v>59</v>
      </c>
      <c r="G2333">
        <v>-332.83620000000002</v>
      </c>
      <c r="H2333" s="1">
        <v>-4.1466269999999903E-8</v>
      </c>
      <c r="I2333">
        <v>284.93610000000001</v>
      </c>
      <c r="J2333">
        <v>-299.13150000000002</v>
      </c>
      <c r="K2333">
        <v>1.1048770000000001</v>
      </c>
      <c r="L2333">
        <v>284.28359999999998</v>
      </c>
      <c r="M2333">
        <v>-0.99987009999999898</v>
      </c>
      <c r="N2333">
        <v>0</v>
      </c>
      <c r="O2333">
        <v>8.2948580000000004E-3</v>
      </c>
      <c r="P2333">
        <v>-0.99995489999999998</v>
      </c>
      <c r="Q2333">
        <v>8.9855660000000004E-3</v>
      </c>
      <c r="R2333">
        <v>-3.1260189999999998E-3</v>
      </c>
      <c r="S2333">
        <v>-3.00116</v>
      </c>
      <c r="T2333">
        <v>-9.7931030000000002E-2</v>
      </c>
      <c r="U2333">
        <v>5.7952879999999998E-2</v>
      </c>
      <c r="V2333">
        <v>-1.1416859999999999E-2</v>
      </c>
      <c r="W2333">
        <v>2.2807830000000001E-2</v>
      </c>
      <c r="X2333">
        <v>0.99967469999999903</v>
      </c>
      <c r="Y2333">
        <v>1.101035E-2</v>
      </c>
      <c r="Z2333" s="1">
        <v>-9.1015700000000003E-5</v>
      </c>
      <c r="AA2333">
        <v>0.99993940000000003</v>
      </c>
      <c r="AB2333">
        <v>24</v>
      </c>
      <c r="AC2333">
        <v>-33.704700000000003</v>
      </c>
      <c r="AD2333">
        <v>-1.1048770414662701</v>
      </c>
      <c r="AE2333">
        <v>0.65250000000003106</v>
      </c>
      <c r="AF2333">
        <v>0.372475035239555</v>
      </c>
      <c r="AG2333">
        <v>-1.1048770414662701</v>
      </c>
      <c r="AH2333">
        <v>33.672781923964202</v>
      </c>
      <c r="AI2333">
        <v>91.879209711081003</v>
      </c>
      <c r="AJ2333">
        <v>89.366242528662696</v>
      </c>
      <c r="AK2333">
        <v>33.692962669190798</v>
      </c>
    </row>
    <row r="2334" spans="1:37" x14ac:dyDescent="0.2">
      <c r="A2334" t="str">
        <f>"20200111155544267"</f>
        <v>20200111155544267</v>
      </c>
      <c r="B2334" t="str">
        <f>"1578729344254706"</f>
        <v>1578729344254706</v>
      </c>
      <c r="C2334" t="s">
        <v>37</v>
      </c>
      <c r="D2334">
        <v>5.0863160000000001</v>
      </c>
      <c r="E2334">
        <v>0.50913409999999903</v>
      </c>
      <c r="F2334" t="s">
        <v>59</v>
      </c>
      <c r="G2334">
        <v>-333.2355</v>
      </c>
      <c r="H2334" s="1">
        <v>1.707844E-7</v>
      </c>
      <c r="I2334">
        <v>284.94110000000001</v>
      </c>
      <c r="J2334">
        <v>-299.28140000000002</v>
      </c>
      <c r="K2334">
        <v>1.1048629999999999</v>
      </c>
      <c r="L2334">
        <v>284.28489999999999</v>
      </c>
      <c r="M2334">
        <v>-0.99986960000000003</v>
      </c>
      <c r="N2334">
        <v>0</v>
      </c>
      <c r="O2334">
        <v>8.3656230000000009E-3</v>
      </c>
      <c r="P2334">
        <v>-0.99995239999999996</v>
      </c>
      <c r="Q2334">
        <v>9.0400069999999992E-3</v>
      </c>
      <c r="R2334">
        <v>-3.726339E-3</v>
      </c>
      <c r="S2334">
        <v>-3.0012209999999899</v>
      </c>
      <c r="T2334">
        <v>-9.7231509999999993E-2</v>
      </c>
      <c r="U2334">
        <v>5.7861330000000002E-2</v>
      </c>
      <c r="V2334">
        <v>-1.2087530000000001E-2</v>
      </c>
      <c r="W2334">
        <v>2.2861220000000002E-2</v>
      </c>
      <c r="X2334">
        <v>0.99966559999999904</v>
      </c>
      <c r="Y2334">
        <v>1.090881E-2</v>
      </c>
      <c r="Z2334" s="1">
        <v>-9.4300210000000003E-5</v>
      </c>
      <c r="AA2334">
        <v>0.99994050000000001</v>
      </c>
      <c r="AB2334">
        <v>24</v>
      </c>
      <c r="AC2334">
        <v>-33.954099999999897</v>
      </c>
      <c r="AD2334">
        <v>-1.1048628292156</v>
      </c>
      <c r="AE2334">
        <v>0.656200000000012</v>
      </c>
      <c r="AF2334">
        <v>0.37170929630653399</v>
      </c>
      <c r="AG2334">
        <v>-1.1048628292156</v>
      </c>
      <c r="AH2334">
        <v>33.9224964361429</v>
      </c>
      <c r="AI2334">
        <v>91.865364203840699</v>
      </c>
      <c r="AJ2334">
        <v>89.372200639767996</v>
      </c>
      <c r="AK2334">
        <v>33.942519855374101</v>
      </c>
    </row>
    <row r="2335" spans="1:37" x14ac:dyDescent="0.2">
      <c r="A2335" t="str">
        <f>"20200111155544283"</f>
        <v>20200111155544283</v>
      </c>
      <c r="B2335" t="str">
        <f>"1578729344275205"</f>
        <v>1578729344275205</v>
      </c>
      <c r="C2335" t="s">
        <v>37</v>
      </c>
      <c r="D2335">
        <v>5.1874469999999997</v>
      </c>
      <c r="E2335">
        <v>0.50942810000000005</v>
      </c>
      <c r="F2335" t="s">
        <v>59</v>
      </c>
      <c r="G2335">
        <v>-333.64819999999997</v>
      </c>
      <c r="H2335" s="1">
        <v>3.9110250000000002E-7</v>
      </c>
      <c r="I2335">
        <v>284.92469999999997</v>
      </c>
      <c r="J2335">
        <v>-299.46039999999999</v>
      </c>
      <c r="K2335">
        <v>1.1048450000000001</v>
      </c>
      <c r="L2335">
        <v>284.28649999999999</v>
      </c>
      <c r="M2335">
        <v>-0.9998686</v>
      </c>
      <c r="N2335">
        <v>0</v>
      </c>
      <c r="O2335">
        <v>8.4693790000000008E-3</v>
      </c>
      <c r="P2335">
        <v>-0.99995230000000002</v>
      </c>
      <c r="Q2335">
        <v>8.7593029999999995E-3</v>
      </c>
      <c r="R2335">
        <v>-4.3157759999999899E-3</v>
      </c>
      <c r="S2335">
        <v>-3.0012509999999999</v>
      </c>
      <c r="T2335">
        <v>-9.648764E-2</v>
      </c>
      <c r="U2335">
        <v>5.5877690000000001E-2</v>
      </c>
      <c r="V2335">
        <v>-1.2779749999999999E-2</v>
      </c>
      <c r="W2335">
        <v>2.2579479999999999E-2</v>
      </c>
      <c r="X2335">
        <v>0.99966339999999998</v>
      </c>
      <c r="Y2335">
        <v>1.014465E-2</v>
      </c>
      <c r="Z2335">
        <v>-1.091929E-4</v>
      </c>
      <c r="AA2335">
        <v>0.99994859999999897</v>
      </c>
      <c r="AB2335">
        <v>24</v>
      </c>
      <c r="AC2335">
        <v>-34.187799999999903</v>
      </c>
      <c r="AD2335">
        <v>-1.1048446088974999</v>
      </c>
      <c r="AE2335">
        <v>0.638199999999983</v>
      </c>
      <c r="AF2335">
        <v>0.34823644138450599</v>
      </c>
      <c r="AG2335">
        <v>-1.1048446088974999</v>
      </c>
      <c r="AH2335">
        <v>34.156319388567503</v>
      </c>
      <c r="AI2335">
        <v>91.852587854735305</v>
      </c>
      <c r="AJ2335">
        <v>89.415868353503996</v>
      </c>
      <c r="AK2335">
        <v>34.175957988076199</v>
      </c>
    </row>
    <row r="2336" spans="1:37" x14ac:dyDescent="0.2">
      <c r="A2336" t="str">
        <f>"20200111155544296"</f>
        <v>20200111155544296</v>
      </c>
      <c r="B2336" t="str">
        <f>"1578729344284962"</f>
        <v>1578729344284962</v>
      </c>
      <c r="C2336" t="s">
        <v>37</v>
      </c>
      <c r="D2336">
        <v>5.0749519999999997</v>
      </c>
      <c r="E2336">
        <v>0.50942810000000005</v>
      </c>
      <c r="F2336" t="s">
        <v>59</v>
      </c>
      <c r="G2336">
        <v>-333.66559999999998</v>
      </c>
      <c r="H2336" s="1">
        <v>4.0011429999999998E-7</v>
      </c>
      <c r="I2336">
        <v>284.93099999999998</v>
      </c>
      <c r="J2336">
        <v>-299.60980000000001</v>
      </c>
      <c r="K2336">
        <v>1.104827</v>
      </c>
      <c r="L2336">
        <v>284.2878</v>
      </c>
      <c r="M2336">
        <v>-0.99986790000000003</v>
      </c>
      <c r="N2336">
        <v>0</v>
      </c>
      <c r="O2336">
        <v>8.5758050000000006E-3</v>
      </c>
      <c r="P2336">
        <v>-0.99995389999999995</v>
      </c>
      <c r="Q2336">
        <v>8.3921529999999994E-3</v>
      </c>
      <c r="R2336">
        <v>-4.7270929999999999E-3</v>
      </c>
      <c r="S2336">
        <v>-3.0012509999999999</v>
      </c>
      <c r="T2336">
        <v>-9.6941949999999999E-2</v>
      </c>
      <c r="U2336">
        <v>5.654907E-2</v>
      </c>
      <c r="V2336">
        <v>-1.32961E-2</v>
      </c>
      <c r="W2336">
        <v>2.2211459999999999E-2</v>
      </c>
      <c r="X2336">
        <v>0.99966489999999997</v>
      </c>
      <c r="Y2336">
        <v>1.026182E-2</v>
      </c>
      <c r="Z2336">
        <v>-1.11251299999999E-4</v>
      </c>
      <c r="AA2336">
        <v>0.99994740000000004</v>
      </c>
      <c r="AB2336">
        <v>24</v>
      </c>
      <c r="AC2336">
        <v>-34.055799999999898</v>
      </c>
      <c r="AD2336">
        <v>-1.1048265998857001</v>
      </c>
      <c r="AE2336">
        <v>0.64319999999997801</v>
      </c>
      <c r="AF2336">
        <v>0.35072360942319197</v>
      </c>
      <c r="AG2336">
        <v>-1.1048265998857001</v>
      </c>
      <c r="AH2336">
        <v>34.024267463985097</v>
      </c>
      <c r="AI2336">
        <v>91.859740473031593</v>
      </c>
      <c r="AJ2336">
        <v>89.409413562646805</v>
      </c>
      <c r="AK2336">
        <v>34.044007186681398</v>
      </c>
    </row>
    <row r="2337" spans="1:37" x14ac:dyDescent="0.2">
      <c r="A2337" t="str">
        <f>"20200111155544310"</f>
        <v>20200111155544310</v>
      </c>
      <c r="B2337" t="str">
        <f>"1578729344304482"</f>
        <v>1578729344304482</v>
      </c>
      <c r="C2337" t="s">
        <v>37</v>
      </c>
      <c r="D2337">
        <v>5.0315479999999999</v>
      </c>
      <c r="E2337">
        <v>0.52573789999999998</v>
      </c>
      <c r="F2337" t="s">
        <v>59</v>
      </c>
      <c r="G2337">
        <v>-333.4325</v>
      </c>
      <c r="H2337" s="1">
        <v>2.7700169999999998E-7</v>
      </c>
      <c r="I2337">
        <v>284.91000000000003</v>
      </c>
      <c r="J2337">
        <v>-299.74950000000001</v>
      </c>
      <c r="K2337">
        <v>1.104806</v>
      </c>
      <c r="L2337">
        <v>284.28919999999999</v>
      </c>
      <c r="M2337">
        <v>-0.99986679999999994</v>
      </c>
      <c r="N2337">
        <v>0</v>
      </c>
      <c r="O2337">
        <v>8.7020329999999996E-3</v>
      </c>
      <c r="P2337">
        <v>-0.99995480000000003</v>
      </c>
      <c r="Q2337">
        <v>8.1564619999999997E-3</v>
      </c>
      <c r="R2337">
        <v>-4.916513E-3</v>
      </c>
      <c r="S2337">
        <v>-3.0012209999999899</v>
      </c>
      <c r="T2337">
        <v>-9.8035449999999996E-2</v>
      </c>
      <c r="U2337">
        <v>5.52063E-2</v>
      </c>
      <c r="V2337">
        <v>-1.3610769999999999E-2</v>
      </c>
      <c r="W2337">
        <v>2.197501E-2</v>
      </c>
      <c r="X2337">
        <v>0.9996659</v>
      </c>
      <c r="Y2337">
        <v>9.6888889999999991E-3</v>
      </c>
      <c r="Z2337">
        <v>-1.259834E-4</v>
      </c>
      <c r="AA2337">
        <v>0.99995299999999998</v>
      </c>
      <c r="AB2337">
        <v>24</v>
      </c>
      <c r="AC2337">
        <v>-33.6829999999999</v>
      </c>
      <c r="AD2337">
        <v>-1.1048057229982999</v>
      </c>
      <c r="AE2337">
        <v>0.62080000000003099</v>
      </c>
      <c r="AF2337">
        <v>0.32728597670992698</v>
      </c>
      <c r="AG2337">
        <v>-1.1048057229982999</v>
      </c>
      <c r="AH2337">
        <v>33.650936193537902</v>
      </c>
      <c r="AI2337">
        <v>91.880333583394602</v>
      </c>
      <c r="AJ2337">
        <v>89.442763975113607</v>
      </c>
      <c r="AK2337">
        <v>33.670658123916702</v>
      </c>
    </row>
    <row r="2338" spans="1:37" x14ac:dyDescent="0.2">
      <c r="A2338" t="str">
        <f>"20200111155544323"</f>
        <v>20200111155544323</v>
      </c>
      <c r="B2338" t="str">
        <f>"1578729344315217"</f>
        <v>1578729344315217</v>
      </c>
      <c r="C2338" t="s">
        <v>37</v>
      </c>
      <c r="D2338">
        <v>5.0771540000000002</v>
      </c>
      <c r="E2338">
        <v>0.52586279999999996</v>
      </c>
      <c r="F2338" t="s">
        <v>59</v>
      </c>
      <c r="G2338">
        <v>-330.92410000000001</v>
      </c>
      <c r="H2338" s="1">
        <v>-1.11455E-6</v>
      </c>
      <c r="I2338">
        <v>286.20650000000001</v>
      </c>
      <c r="J2338">
        <v>-299.8897</v>
      </c>
      <c r="K2338">
        <v>1.1047819999999999</v>
      </c>
      <c r="L2338">
        <v>284.29059999999998</v>
      </c>
      <c r="M2338">
        <v>-0.99986549999999996</v>
      </c>
      <c r="N2338">
        <v>0</v>
      </c>
      <c r="O2338">
        <v>8.8432419999999994E-3</v>
      </c>
      <c r="P2338">
        <v>-0.99995579999999995</v>
      </c>
      <c r="Q2338">
        <v>8.0609879999999998E-3</v>
      </c>
      <c r="R2338">
        <v>-4.8661470000000004E-3</v>
      </c>
      <c r="S2338">
        <v>-3.0019840000000002</v>
      </c>
      <c r="T2338">
        <v>-0.10638830000000001</v>
      </c>
      <c r="U2338">
        <v>0.1846313</v>
      </c>
      <c r="V2338">
        <v>-1.370042E-2</v>
      </c>
      <c r="W2338">
        <v>2.1879180000000002E-2</v>
      </c>
      <c r="X2338">
        <v>0.99966679999999997</v>
      </c>
      <c r="Y2338">
        <v>5.2530010000000002E-2</v>
      </c>
      <c r="Z2338">
        <v>6.1663449999999997E-4</v>
      </c>
      <c r="AA2338">
        <v>0.99861909999999898</v>
      </c>
      <c r="AB2338">
        <v>24</v>
      </c>
      <c r="AC2338">
        <v>-31.034400000000002</v>
      </c>
      <c r="AD2338">
        <v>-1.10478311455</v>
      </c>
      <c r="AE2338">
        <v>1.9159000000000199</v>
      </c>
      <c r="AF2338">
        <v>1.63928465700432</v>
      </c>
      <c r="AG2338">
        <v>-1.10478311455</v>
      </c>
      <c r="AH2338">
        <v>31.010980722962799</v>
      </c>
      <c r="AI2338">
        <v>92.037488209144598</v>
      </c>
      <c r="AJ2338">
        <v>86.974079778062503</v>
      </c>
      <c r="AK2338">
        <v>31.073923558457501</v>
      </c>
    </row>
    <row r="2339" spans="1:37" x14ac:dyDescent="0.2">
      <c r="A2339" t="str">
        <f>"20200111155544339"</f>
        <v>20200111155544339</v>
      </c>
      <c r="B2339" t="str">
        <f>"1578729344334737"</f>
        <v>1578729344334737</v>
      </c>
      <c r="C2339" t="s">
        <v>37</v>
      </c>
      <c r="D2339">
        <v>5.0744119999999997</v>
      </c>
      <c r="E2339">
        <v>0.52633560000000001</v>
      </c>
      <c r="F2339" t="s">
        <v>59</v>
      </c>
      <c r="G2339">
        <v>-330.63990000000001</v>
      </c>
      <c r="H2339" s="1">
        <v>-1.265163E-6</v>
      </c>
      <c r="I2339">
        <v>286.19220000000001</v>
      </c>
      <c r="J2339">
        <v>-300.07150000000001</v>
      </c>
      <c r="K2339">
        <v>1.104751</v>
      </c>
      <c r="L2339">
        <v>284.29239999999999</v>
      </c>
      <c r="M2339">
        <v>-0.99986350000000002</v>
      </c>
      <c r="N2339">
        <v>0</v>
      </c>
      <c r="O2339">
        <v>9.0571990000000002E-3</v>
      </c>
      <c r="P2339">
        <v>-0.99996070000000004</v>
      </c>
      <c r="Q2339">
        <v>7.3941149999999997E-3</v>
      </c>
      <c r="R2339">
        <v>-4.9228880000000003E-3</v>
      </c>
      <c r="S2339">
        <v>-3.0018919999999998</v>
      </c>
      <c r="T2339">
        <v>-0.10785109999999901</v>
      </c>
      <c r="U2339">
        <v>0.18563840000000001</v>
      </c>
      <c r="V2339">
        <v>-1.396994E-2</v>
      </c>
      <c r="W2339">
        <v>2.121224E-2</v>
      </c>
      <c r="X2339">
        <v>0.99967739999999905</v>
      </c>
      <c r="Y2339">
        <v>5.2651219999999999E-2</v>
      </c>
      <c r="Z2339">
        <v>6.1961799999999995E-4</v>
      </c>
      <c r="AA2339">
        <v>0.99861279999999997</v>
      </c>
      <c r="AB2339">
        <v>24</v>
      </c>
      <c r="AC2339">
        <v>-30.5684</v>
      </c>
      <c r="AD2339">
        <v>-1.104752265163</v>
      </c>
      <c r="AE2339">
        <v>1.8998000000000199</v>
      </c>
      <c r="AF2339">
        <v>1.6207228215268199</v>
      </c>
      <c r="AG2339">
        <v>-1.104752265163</v>
      </c>
      <c r="AH2339">
        <v>30.544612890562899</v>
      </c>
      <c r="AI2339">
        <v>92.068491124820397</v>
      </c>
      <c r="AJ2339">
        <v>86.962686137210895</v>
      </c>
      <c r="AK2339">
        <v>30.607525164017101</v>
      </c>
    </row>
    <row r="2340" spans="1:37" x14ac:dyDescent="0.2">
      <c r="A2340" t="str">
        <f>"20200111155544352"</f>
        <v>20200111155544352</v>
      </c>
      <c r="B2340" t="str">
        <f>"1578729344344498"</f>
        <v>1578729344344498</v>
      </c>
      <c r="C2340" t="s">
        <v>37</v>
      </c>
      <c r="D2340">
        <v>5.0618429999999996</v>
      </c>
      <c r="E2340">
        <v>0.52649019999999902</v>
      </c>
      <c r="F2340" t="s">
        <v>59</v>
      </c>
      <c r="G2340">
        <v>-330.90280000000001</v>
      </c>
      <c r="H2340" s="1">
        <v>-1.127086E-6</v>
      </c>
      <c r="I2340">
        <v>286.23480000000001</v>
      </c>
      <c r="J2340">
        <v>-300.21129999999999</v>
      </c>
      <c r="K2340">
        <v>1.104725</v>
      </c>
      <c r="L2340">
        <v>284.29390000000001</v>
      </c>
      <c r="M2340">
        <v>-0.99986189999999997</v>
      </c>
      <c r="N2340">
        <v>0</v>
      </c>
      <c r="O2340">
        <v>9.2519130000000005E-3</v>
      </c>
      <c r="P2340">
        <v>-0.99996319999999905</v>
      </c>
      <c r="Q2340">
        <v>7.3295369999999997E-3</v>
      </c>
      <c r="R2340">
        <v>-4.4827269999999997E-3</v>
      </c>
      <c r="S2340">
        <v>-3.0018310000000001</v>
      </c>
      <c r="T2340">
        <v>-0.1075618</v>
      </c>
      <c r="U2340">
        <v>0.18911739999999999</v>
      </c>
      <c r="V2340">
        <v>-1.372351E-2</v>
      </c>
      <c r="W2340">
        <v>2.1146459999999999E-2</v>
      </c>
      <c r="X2340">
        <v>0.99968219999999997</v>
      </c>
      <c r="Y2340">
        <v>5.3610499999999998E-2</v>
      </c>
      <c r="Z2340">
        <v>6.2814469999999999E-4</v>
      </c>
      <c r="AA2340">
        <v>0.9985617</v>
      </c>
      <c r="AB2340">
        <v>24</v>
      </c>
      <c r="AC2340">
        <v>-30.691500000000001</v>
      </c>
      <c r="AD2340">
        <v>-1.104726127086</v>
      </c>
      <c r="AE2340">
        <v>1.9408999999999901</v>
      </c>
      <c r="AF2340">
        <v>1.6546994642163899</v>
      </c>
      <c r="AG2340">
        <v>-1.104726127086</v>
      </c>
      <c r="AH2340">
        <v>30.668568790392499</v>
      </c>
      <c r="AI2340">
        <v>92.059991125292697</v>
      </c>
      <c r="AJ2340">
        <v>86.911643967836</v>
      </c>
      <c r="AK2340">
        <v>30.7330369762538</v>
      </c>
    </row>
    <row r="2341" spans="1:37" x14ac:dyDescent="0.2">
      <c r="A2341" t="str">
        <f>"20200111155544372"</f>
        <v>20200111155544372</v>
      </c>
      <c r="B2341" t="str">
        <f>"1578729344364996"</f>
        <v>1578729344364996</v>
      </c>
      <c r="C2341" t="s">
        <v>37</v>
      </c>
      <c r="D2341">
        <v>5.0713269999999904</v>
      </c>
      <c r="E2341">
        <v>0.52677489999999905</v>
      </c>
      <c r="F2341" t="s">
        <v>59</v>
      </c>
      <c r="G2341">
        <v>-331.21390000000002</v>
      </c>
      <c r="H2341" s="1">
        <v>-9.6316980000000008E-7</v>
      </c>
      <c r="I2341">
        <v>286.27109999999999</v>
      </c>
      <c r="J2341">
        <v>-300.43079999999998</v>
      </c>
      <c r="K2341">
        <v>1.104681</v>
      </c>
      <c r="L2341">
        <v>284.29629999999997</v>
      </c>
      <c r="M2341">
        <v>-0.99985869999999999</v>
      </c>
      <c r="N2341">
        <v>0</v>
      </c>
      <c r="O2341">
        <v>9.5889269999999902E-3</v>
      </c>
      <c r="P2341">
        <v>-0.99996580000000002</v>
      </c>
      <c r="Q2341">
        <v>7.113706E-3</v>
      </c>
      <c r="R2341">
        <v>-4.2339730000000003E-3</v>
      </c>
      <c r="S2341">
        <v>-3.0017399999999999</v>
      </c>
      <c r="T2341">
        <v>-0.1069621</v>
      </c>
      <c r="U2341">
        <v>0.19143679999999999</v>
      </c>
      <c r="V2341">
        <v>-1.380986E-2</v>
      </c>
      <c r="W2341">
        <v>2.0930500000000001E-2</v>
      </c>
      <c r="X2341">
        <v>0.9996855</v>
      </c>
      <c r="Y2341">
        <v>5.4044559999999998E-2</v>
      </c>
      <c r="Z2341">
        <v>6.2038019999999998E-4</v>
      </c>
      <c r="AA2341">
        <v>0.99853829999999999</v>
      </c>
      <c r="AB2341">
        <v>24</v>
      </c>
      <c r="AC2341">
        <v>-30.783100000000001</v>
      </c>
      <c r="AD2341">
        <v>-1.1046819631697999</v>
      </c>
      <c r="AE2341">
        <v>1.9748000000000101</v>
      </c>
      <c r="AF2341">
        <v>1.67735290511699</v>
      </c>
      <c r="AG2341">
        <v>-1.1046819631697999</v>
      </c>
      <c r="AH2341">
        <v>30.761170502285399</v>
      </c>
      <c r="AI2341">
        <v>92.053649427669995</v>
      </c>
      <c r="AJ2341">
        <v>86.878852158866493</v>
      </c>
      <c r="AK2341">
        <v>30.8266677680013</v>
      </c>
    </row>
    <row r="2342" spans="1:37" x14ac:dyDescent="0.2">
      <c r="A2342" t="str">
        <f>"20200111155544386"</f>
        <v>20200111155544386</v>
      </c>
      <c r="B2342" t="str">
        <f>"1578729344374754"</f>
        <v>1578729344374754</v>
      </c>
      <c r="C2342" t="s">
        <v>37</v>
      </c>
      <c r="D2342">
        <v>5.050503</v>
      </c>
      <c r="E2342">
        <v>0.52689019999999898</v>
      </c>
      <c r="F2342" t="s">
        <v>59</v>
      </c>
      <c r="G2342">
        <v>-332.0154</v>
      </c>
      <c r="H2342" s="1">
        <v>-5.3996449999999999E-7</v>
      </c>
      <c r="I2342">
        <v>286.34789999999998</v>
      </c>
      <c r="J2342">
        <v>-300.57670000000002</v>
      </c>
      <c r="K2342">
        <v>1.1046590000000001</v>
      </c>
      <c r="L2342">
        <v>284.298</v>
      </c>
      <c r="M2342">
        <v>-0.99985630000000003</v>
      </c>
      <c r="N2342">
        <v>0</v>
      </c>
      <c r="O2342">
        <v>9.8391019999999902E-3</v>
      </c>
      <c r="P2342">
        <v>-0.99996909999999894</v>
      </c>
      <c r="Q2342">
        <v>6.9436879999999999E-3</v>
      </c>
      <c r="R2342">
        <v>-3.7756539999999998E-3</v>
      </c>
      <c r="S2342">
        <v>-3.001709</v>
      </c>
      <c r="T2342">
        <v>-0.1049857</v>
      </c>
      <c r="U2342">
        <v>0.19497679999999901</v>
      </c>
      <c r="V2342">
        <v>-1.360016E-2</v>
      </c>
      <c r="W2342">
        <v>2.0759349999999999E-2</v>
      </c>
      <c r="X2342">
        <v>0.99969200000000003</v>
      </c>
      <c r="Y2342">
        <v>5.4968709999999997E-2</v>
      </c>
      <c r="Z2342">
        <v>6.1630970000000002E-4</v>
      </c>
      <c r="AA2342">
        <v>0.99848789999999998</v>
      </c>
      <c r="AB2342">
        <v>24</v>
      </c>
      <c r="AC2342">
        <v>-31.438699999999901</v>
      </c>
      <c r="AD2342">
        <v>-1.1046595399645001</v>
      </c>
      <c r="AE2342">
        <v>2.0498999999999801</v>
      </c>
      <c r="AF2342">
        <v>1.73830566661172</v>
      </c>
      <c r="AG2342">
        <v>-1.1046595399645001</v>
      </c>
      <c r="AH2342">
        <v>31.4187235398363</v>
      </c>
      <c r="AI2342">
        <v>92.010576208784201</v>
      </c>
      <c r="AJ2342">
        <v>86.833221476776501</v>
      </c>
      <c r="AK2342">
        <v>31.4861583582767</v>
      </c>
    </row>
    <row r="2343" spans="1:37" x14ac:dyDescent="0.2">
      <c r="A2343" t="str">
        <f>"20200111155544401"</f>
        <v>20200111155544401</v>
      </c>
      <c r="B2343" t="str">
        <f>"1578729344395250"</f>
        <v>1578729344395250</v>
      </c>
      <c r="C2343" t="s">
        <v>37</v>
      </c>
      <c r="D2343">
        <v>5.2265610000000002</v>
      </c>
      <c r="E2343">
        <v>0.5270186</v>
      </c>
      <c r="F2343" t="s">
        <v>59</v>
      </c>
      <c r="G2343">
        <v>-332.22489999999999</v>
      </c>
      <c r="H2343" s="1">
        <v>-4.2976649999999902E-7</v>
      </c>
      <c r="I2343">
        <v>286.37729999999999</v>
      </c>
      <c r="J2343">
        <v>-300.73439999999999</v>
      </c>
      <c r="K2343">
        <v>1.104636</v>
      </c>
      <c r="L2343">
        <v>284.2998</v>
      </c>
      <c r="M2343">
        <v>-0.9998534</v>
      </c>
      <c r="N2343">
        <v>0</v>
      </c>
      <c r="O2343">
        <v>1.01282E-2</v>
      </c>
      <c r="P2343">
        <v>-0.99997069999999999</v>
      </c>
      <c r="Q2343">
        <v>6.8380589999999996E-3</v>
      </c>
      <c r="R2343">
        <v>-3.4610229999999902E-3</v>
      </c>
      <c r="S2343">
        <v>-3.0015559999999999</v>
      </c>
      <c r="T2343">
        <v>-0.1047672</v>
      </c>
      <c r="U2343">
        <v>0.19720460000000001</v>
      </c>
      <c r="V2343">
        <v>-1.3573969999999999E-2</v>
      </c>
      <c r="W2343">
        <v>2.0653040000000001E-2</v>
      </c>
      <c r="X2343">
        <v>0.99969449999999904</v>
      </c>
      <c r="Y2343">
        <v>5.5421239999999997E-2</v>
      </c>
      <c r="Z2343">
        <v>6.1285509999999997E-4</v>
      </c>
      <c r="AA2343">
        <v>0.99846290000000004</v>
      </c>
      <c r="AB2343">
        <v>24</v>
      </c>
      <c r="AC2343">
        <v>-31.490500000000001</v>
      </c>
      <c r="AD2343">
        <v>-1.1046364297664999</v>
      </c>
      <c r="AE2343">
        <v>2.0774999999999801</v>
      </c>
      <c r="AF2343">
        <v>1.7562692259083399</v>
      </c>
      <c r="AG2343">
        <v>-1.1046364297664999</v>
      </c>
      <c r="AH2343">
        <v>31.4713703104043</v>
      </c>
      <c r="AI2343">
        <v>92.007120489229493</v>
      </c>
      <c r="AJ2343">
        <v>86.805904868491893</v>
      </c>
      <c r="AK2343">
        <v>31.539686942809698</v>
      </c>
    </row>
    <row r="2344" spans="1:37" x14ac:dyDescent="0.2">
      <c r="A2344" t="str">
        <f>"20200111155544419"</f>
        <v>20200111155544419</v>
      </c>
      <c r="B2344" t="str">
        <f>"1578729344414770"</f>
        <v>1578729344414770</v>
      </c>
      <c r="C2344" t="s">
        <v>37</v>
      </c>
      <c r="D2344">
        <v>5.0476939999999999</v>
      </c>
      <c r="E2344">
        <v>0.52721960000000001</v>
      </c>
      <c r="F2344" t="s">
        <v>59</v>
      </c>
      <c r="G2344">
        <v>-332.26209999999998</v>
      </c>
      <c r="H2344" s="1">
        <v>-4.1060809999999999E-7</v>
      </c>
      <c r="I2344">
        <v>286.39139999999998</v>
      </c>
      <c r="J2344">
        <v>-300.9246</v>
      </c>
      <c r="K2344">
        <v>1.1046129999999901</v>
      </c>
      <c r="L2344">
        <v>284.3021</v>
      </c>
      <c r="M2344">
        <v>-0.9998494</v>
      </c>
      <c r="N2344">
        <v>0</v>
      </c>
      <c r="O2344">
        <v>1.050793E-2</v>
      </c>
      <c r="P2344">
        <v>-0.9999709</v>
      </c>
      <c r="Q2344">
        <v>7.0059319999999899E-3</v>
      </c>
      <c r="R2344">
        <v>-3.0181169999999998E-3</v>
      </c>
      <c r="S2344">
        <v>-3.001465</v>
      </c>
      <c r="T2344">
        <v>-0.1051623</v>
      </c>
      <c r="U2344">
        <v>0.1991272</v>
      </c>
      <c r="V2344">
        <v>-1.350957E-2</v>
      </c>
      <c r="W2344">
        <v>2.0820370000000001E-2</v>
      </c>
      <c r="X2344">
        <v>0.99969200000000003</v>
      </c>
      <c r="Y2344">
        <v>5.5680680000000003E-2</v>
      </c>
      <c r="Z2344">
        <v>6.0642490000000003E-4</v>
      </c>
      <c r="AA2344">
        <v>0.99844840000000001</v>
      </c>
      <c r="AB2344">
        <v>24</v>
      </c>
      <c r="AC2344">
        <v>-31.337499999999899</v>
      </c>
      <c r="AD2344">
        <v>-1.10461341060809</v>
      </c>
      <c r="AE2344">
        <v>2.0892999999999802</v>
      </c>
      <c r="AF2344">
        <v>1.7576867204651101</v>
      </c>
      <c r="AG2344">
        <v>-1.10461341060809</v>
      </c>
      <c r="AH2344">
        <v>31.318984611813999</v>
      </c>
      <c r="AI2344">
        <v>92.016800683297603</v>
      </c>
      <c r="AJ2344">
        <v>86.787811021670905</v>
      </c>
      <c r="AK2344">
        <v>31.387711457021499</v>
      </c>
    </row>
    <row r="2345" spans="1:37" x14ac:dyDescent="0.2">
      <c r="A2345" t="str">
        <f>"20200111155544433"</f>
        <v>20200111155544433</v>
      </c>
      <c r="B2345" t="str">
        <f>"1578729344424529"</f>
        <v>1578729344424529</v>
      </c>
      <c r="C2345" t="s">
        <v>37</v>
      </c>
      <c r="D2345">
        <v>5.0250190000000003</v>
      </c>
      <c r="E2345">
        <v>0.52733249999999998</v>
      </c>
      <c r="F2345" t="s">
        <v>59</v>
      </c>
      <c r="G2345">
        <v>-333.14150000000001</v>
      </c>
      <c r="H2345" s="1">
        <v>5.3822769999999899E-8</v>
      </c>
      <c r="I2345">
        <v>286.4726</v>
      </c>
      <c r="J2345">
        <v>-301.0881</v>
      </c>
      <c r="K2345">
        <v>1.1045959999999999</v>
      </c>
      <c r="L2345">
        <v>284.30419999999998</v>
      </c>
      <c r="M2345">
        <v>-0.99984580000000001</v>
      </c>
      <c r="N2345">
        <v>0</v>
      </c>
      <c r="O2345">
        <v>1.086002E-2</v>
      </c>
      <c r="P2345">
        <v>-0.99997259999999999</v>
      </c>
      <c r="Q2345">
        <v>6.965995E-3</v>
      </c>
      <c r="R2345">
        <v>-2.546474E-3</v>
      </c>
      <c r="S2345">
        <v>-3.001404</v>
      </c>
      <c r="T2345">
        <v>-0.102908399999999</v>
      </c>
      <c r="U2345">
        <v>0.20220949999999999</v>
      </c>
      <c r="V2345">
        <v>-1.3389460000000001E-2</v>
      </c>
      <c r="W2345">
        <v>2.0779369999999998E-2</v>
      </c>
      <c r="X2345">
        <v>0.99969439999999998</v>
      </c>
      <c r="Y2345">
        <v>5.6352180000000002E-2</v>
      </c>
      <c r="Z2345">
        <v>5.9286989999999997E-4</v>
      </c>
      <c r="AA2345">
        <v>0.99841080000000004</v>
      </c>
      <c r="AB2345">
        <v>24</v>
      </c>
      <c r="AC2345">
        <v>-32.053400000000003</v>
      </c>
      <c r="AD2345">
        <v>-1.1045959461772299</v>
      </c>
      <c r="AE2345">
        <v>2.1684000000000201</v>
      </c>
      <c r="AF2345">
        <v>1.8179892347187001</v>
      </c>
      <c r="AG2345">
        <v>-1.1045959461772299</v>
      </c>
      <c r="AH2345">
        <v>32.037187473498001</v>
      </c>
      <c r="AI2345">
        <v>91.9715242503421</v>
      </c>
      <c r="AJ2345">
        <v>86.752164352992594</v>
      </c>
      <c r="AK2345">
        <v>32.1077342438535</v>
      </c>
    </row>
    <row r="2346" spans="1:37" x14ac:dyDescent="0.2">
      <c r="A2346" t="str">
        <f>"20200111155544447"</f>
        <v>20200111155544447</v>
      </c>
      <c r="B2346" t="str">
        <f>"1578729344445026"</f>
        <v>1578729344445026</v>
      </c>
      <c r="C2346" t="s">
        <v>37</v>
      </c>
      <c r="D2346">
        <v>5.2897040000000004</v>
      </c>
      <c r="E2346">
        <v>0.52733890000000005</v>
      </c>
      <c r="F2346" t="s">
        <v>59</v>
      </c>
      <c r="G2346">
        <v>-333.0718</v>
      </c>
      <c r="H2346" s="1">
        <v>1.621748E-8</v>
      </c>
      <c r="I2346">
        <v>286.48410000000001</v>
      </c>
      <c r="J2346">
        <v>-301.23050000000001</v>
      </c>
      <c r="K2346">
        <v>1.1045830000000001</v>
      </c>
      <c r="L2346">
        <v>284.30610000000001</v>
      </c>
      <c r="M2346">
        <v>-0.99984229999999996</v>
      </c>
      <c r="N2346">
        <v>0</v>
      </c>
      <c r="O2346">
        <v>1.117866E-2</v>
      </c>
      <c r="P2346">
        <v>-0.99996969999999996</v>
      </c>
      <c r="Q2346">
        <v>7.5216889999999998E-3</v>
      </c>
      <c r="R2346">
        <v>-1.9845750000000001E-3</v>
      </c>
      <c r="S2346">
        <v>-3.001312</v>
      </c>
      <c r="T2346">
        <v>-0.1036541</v>
      </c>
      <c r="U2346">
        <v>0.204559299999999</v>
      </c>
      <c r="V2346">
        <v>-1.314476E-2</v>
      </c>
      <c r="W2346">
        <v>2.1334280000000001E-2</v>
      </c>
      <c r="X2346">
        <v>0.99968599999999996</v>
      </c>
      <c r="Y2346">
        <v>5.681369E-2</v>
      </c>
      <c r="Z2346">
        <v>5.9413759999999999E-4</v>
      </c>
      <c r="AA2346">
        <v>0.99838459999999996</v>
      </c>
      <c r="AB2346">
        <v>24</v>
      </c>
      <c r="AC2346">
        <v>-31.841299999999901</v>
      </c>
      <c r="AD2346">
        <v>-1.1045829837825201</v>
      </c>
      <c r="AE2346">
        <v>2.1779999999999902</v>
      </c>
      <c r="AF2346">
        <v>1.8197072629167801</v>
      </c>
      <c r="AG2346">
        <v>-1.1045829837825201</v>
      </c>
      <c r="AH2346">
        <v>31.825538571965598</v>
      </c>
      <c r="AI2346">
        <v>91.984553160642605</v>
      </c>
      <c r="AJ2346">
        <v>86.727529109270193</v>
      </c>
      <c r="AK2346">
        <v>31.8966509760264</v>
      </c>
    </row>
    <row r="2347" spans="1:37" x14ac:dyDescent="0.2">
      <c r="A2347" t="str">
        <f>"20200111155544462"</f>
        <v>20200111155544462</v>
      </c>
      <c r="B2347" t="str">
        <f>"1578729344454786"</f>
        <v>1578729344454786</v>
      </c>
      <c r="C2347" t="s">
        <v>37</v>
      </c>
      <c r="D2347">
        <v>5.029325</v>
      </c>
      <c r="E2347">
        <v>0.52741530000000003</v>
      </c>
      <c r="F2347" t="s">
        <v>59</v>
      </c>
      <c r="G2347">
        <v>-333.79320000000001</v>
      </c>
      <c r="H2347" s="1">
        <v>3.9753289999999902E-7</v>
      </c>
      <c r="I2347">
        <v>286.54270000000002</v>
      </c>
      <c r="J2347">
        <v>-301.39499999999998</v>
      </c>
      <c r="K2347">
        <v>1.1045719999999899</v>
      </c>
      <c r="L2347">
        <v>284.30829999999997</v>
      </c>
      <c r="M2347">
        <v>-0.99983820000000001</v>
      </c>
      <c r="N2347">
        <v>0</v>
      </c>
      <c r="O2347">
        <v>1.1558870000000001E-2</v>
      </c>
      <c r="P2347">
        <v>-0.99996469999999904</v>
      </c>
      <c r="Q2347">
        <v>8.3351169999999995E-3</v>
      </c>
      <c r="R2347">
        <v>-1.1550919999999999E-3</v>
      </c>
      <c r="S2347">
        <v>-3.0012509999999999</v>
      </c>
      <c r="T2347">
        <v>-0.1018076</v>
      </c>
      <c r="U2347">
        <v>0.2061462</v>
      </c>
      <c r="V2347">
        <v>-1.2693589999999999E-2</v>
      </c>
      <c r="W2347">
        <v>2.2145669999999999E-2</v>
      </c>
      <c r="X2347">
        <v>0.99967410000000001</v>
      </c>
      <c r="Y2347">
        <v>5.6961959999999999E-2</v>
      </c>
      <c r="Z2347">
        <v>5.7319529999999997E-4</v>
      </c>
      <c r="AA2347">
        <v>0.99837619999999905</v>
      </c>
      <c r="AB2347">
        <v>24</v>
      </c>
      <c r="AC2347">
        <v>-32.398200000000003</v>
      </c>
      <c r="AD2347">
        <v>-1.1045716024671</v>
      </c>
      <c r="AE2347">
        <v>2.2344000000000501</v>
      </c>
      <c r="AF2347">
        <v>1.8575795621432201</v>
      </c>
      <c r="AG2347">
        <v>-1.1045716024671</v>
      </c>
      <c r="AH2347">
        <v>32.384400192388597</v>
      </c>
      <c r="AI2347">
        <v>91.950291752720801</v>
      </c>
      <c r="AJ2347">
        <v>86.717093072019594</v>
      </c>
      <c r="AK2347">
        <v>32.456433200144602</v>
      </c>
    </row>
    <row r="2348" spans="1:37" x14ac:dyDescent="0.2">
      <c r="A2348" t="str">
        <f>"20200111155544477"</f>
        <v>20200111155544477</v>
      </c>
      <c r="B2348" t="str">
        <f>"1578729344464546"</f>
        <v>1578729344464546</v>
      </c>
      <c r="C2348" t="s">
        <v>37</v>
      </c>
      <c r="D2348">
        <v>4.9994629999999898</v>
      </c>
      <c r="E2348">
        <v>0.527335</v>
      </c>
      <c r="F2348" t="s">
        <v>59</v>
      </c>
      <c r="G2348">
        <v>-334.88249999999999</v>
      </c>
      <c r="H2348" s="1">
        <v>9.7280030000000006E-7</v>
      </c>
      <c r="I2348">
        <v>286.64389999999997</v>
      </c>
      <c r="J2348">
        <v>-301.55169999999998</v>
      </c>
      <c r="K2348">
        <v>1.1045609999999999</v>
      </c>
      <c r="L2348">
        <v>284.31049999999999</v>
      </c>
      <c r="M2348">
        <v>-0.99983359999999899</v>
      </c>
      <c r="N2348">
        <v>0</v>
      </c>
      <c r="O2348">
        <v>1.1934459999999999E-2</v>
      </c>
      <c r="P2348">
        <v>-0.99996200000000002</v>
      </c>
      <c r="Q2348">
        <v>8.715034E-3</v>
      </c>
      <c r="R2348">
        <v>-4.479148E-4</v>
      </c>
      <c r="S2348">
        <v>-3.0011899999999998</v>
      </c>
      <c r="T2348">
        <v>-9.8993059999999994E-2</v>
      </c>
      <c r="U2348">
        <v>0.20932010000000001</v>
      </c>
      <c r="V2348">
        <v>-1.2361240000000001E-2</v>
      </c>
      <c r="W2348">
        <v>2.2524189999999999E-2</v>
      </c>
      <c r="X2348">
        <v>0.99966980000000005</v>
      </c>
      <c r="Y2348">
        <v>5.7640299999999998E-2</v>
      </c>
      <c r="Z2348">
        <v>5.5615199999999997E-4</v>
      </c>
      <c r="AA2348">
        <v>0.99833729999999998</v>
      </c>
      <c r="AB2348">
        <v>24</v>
      </c>
      <c r="AC2348">
        <v>-33.330800000000004</v>
      </c>
      <c r="AD2348">
        <v>-1.10456002719969</v>
      </c>
      <c r="AE2348">
        <v>2.3333999999999802</v>
      </c>
      <c r="AF2348">
        <v>1.9332980047345301</v>
      </c>
      <c r="AG2348">
        <v>-1.10456002719969</v>
      </c>
      <c r="AH2348">
        <v>33.319862417659103</v>
      </c>
      <c r="AI2348">
        <v>91.895485461350603</v>
      </c>
      <c r="AJ2348">
        <v>86.679285180788796</v>
      </c>
      <c r="AK2348">
        <v>33.394175024404099</v>
      </c>
    </row>
    <row r="2349" spans="1:37" x14ac:dyDescent="0.2">
      <c r="A2349" t="str">
        <f>"20200111155544490"</f>
        <v>20200111155544490</v>
      </c>
      <c r="B2349" t="str">
        <f>"1578729344485042"</f>
        <v>1578729344485042</v>
      </c>
      <c r="C2349" t="s">
        <v>37</v>
      </c>
      <c r="D2349">
        <v>5.0349760000000003</v>
      </c>
      <c r="E2349">
        <v>0.527339</v>
      </c>
      <c r="F2349" t="s">
        <v>59</v>
      </c>
      <c r="G2349">
        <v>-335.18199999999899</v>
      </c>
      <c r="H2349" s="1">
        <v>1.1310489999999999E-6</v>
      </c>
      <c r="I2349">
        <v>286.67020000000002</v>
      </c>
      <c r="J2349">
        <v>-301.70030000000003</v>
      </c>
      <c r="K2349">
        <v>1.1045529999999999</v>
      </c>
      <c r="L2349">
        <v>284.31270000000001</v>
      </c>
      <c r="M2349">
        <v>-0.99982919999999997</v>
      </c>
      <c r="N2349">
        <v>0</v>
      </c>
      <c r="O2349">
        <v>1.2301950000000001E-2</v>
      </c>
      <c r="P2349">
        <v>-0.99995859999999903</v>
      </c>
      <c r="Q2349">
        <v>9.1114339999999999E-3</v>
      </c>
      <c r="R2349">
        <v>3.1803339999999998E-4</v>
      </c>
      <c r="S2349">
        <v>-3.001099</v>
      </c>
      <c r="T2349">
        <v>-9.8568680000000006E-2</v>
      </c>
      <c r="U2349">
        <v>0.21057129999999899</v>
      </c>
      <c r="V2349">
        <v>-1.1961670000000001E-2</v>
      </c>
      <c r="W2349">
        <v>2.291938E-2</v>
      </c>
      <c r="X2349">
        <v>0.99966569999999899</v>
      </c>
      <c r="Y2349">
        <v>5.7690070000000003E-2</v>
      </c>
      <c r="Z2349">
        <v>5.4254430000000005E-4</v>
      </c>
      <c r="AA2349">
        <v>0.99833439999999996</v>
      </c>
      <c r="AB2349">
        <v>24</v>
      </c>
      <c r="AC2349">
        <v>-33.481699999999897</v>
      </c>
      <c r="AD2349">
        <v>-1.1045518689510001</v>
      </c>
      <c r="AE2349">
        <v>2.3575000000000101</v>
      </c>
      <c r="AF2349">
        <v>1.94328769897923</v>
      </c>
      <c r="AG2349">
        <v>-1.1045518689510001</v>
      </c>
      <c r="AH2349">
        <v>33.471922000390897</v>
      </c>
      <c r="AI2349">
        <v>91.8868629714554</v>
      </c>
      <c r="AJ2349">
        <v>86.677294550719594</v>
      </c>
      <c r="AK2349">
        <v>33.546474692766999</v>
      </c>
    </row>
    <row r="2350" spans="1:37" x14ac:dyDescent="0.2">
      <c r="A2350" t="str">
        <f>"20200111155544507"</f>
        <v>20200111155544507</v>
      </c>
      <c r="B2350" t="str">
        <f>"1578729344494801"</f>
        <v>1578729344494801</v>
      </c>
      <c r="C2350" t="s">
        <v>37</v>
      </c>
      <c r="D2350">
        <v>5.0758390000000002</v>
      </c>
      <c r="E2350">
        <v>0.52744760000000002</v>
      </c>
      <c r="F2350" t="s">
        <v>59</v>
      </c>
      <c r="G2350">
        <v>-336.0874</v>
      </c>
      <c r="H2350" s="1">
        <v>1.6092089999999901E-6</v>
      </c>
      <c r="I2350">
        <v>286.75330000000002</v>
      </c>
      <c r="J2350">
        <v>-301.8723</v>
      </c>
      <c r="K2350">
        <v>1.1045479999999901</v>
      </c>
      <c r="L2350">
        <v>284.31540000000001</v>
      </c>
      <c r="M2350">
        <v>-0.99982380000000004</v>
      </c>
      <c r="N2350">
        <v>0</v>
      </c>
      <c r="O2350">
        <v>1.273494E-2</v>
      </c>
      <c r="P2350">
        <v>-0.99995429999999996</v>
      </c>
      <c r="Q2350">
        <v>9.4944390000000004E-3</v>
      </c>
      <c r="R2350">
        <v>1.2276050000000001E-3</v>
      </c>
      <c r="S2350">
        <v>-3.0009459999999999</v>
      </c>
      <c r="T2350">
        <v>-9.6393699999999999E-2</v>
      </c>
      <c r="U2350">
        <v>0.21298220000000001</v>
      </c>
      <c r="V2350">
        <v>-1.148394E-2</v>
      </c>
      <c r="W2350">
        <v>2.3300270000000001E-2</v>
      </c>
      <c r="X2350">
        <v>0.99966259999999996</v>
      </c>
      <c r="Y2350">
        <v>5.8060430000000003E-2</v>
      </c>
      <c r="Z2350">
        <v>5.2264589999999995E-4</v>
      </c>
      <c r="AA2350">
        <v>0.99831299999999901</v>
      </c>
      <c r="AB2350">
        <v>24</v>
      </c>
      <c r="AC2350">
        <v>-34.2151</v>
      </c>
      <c r="AD2350">
        <v>-1.10454639079099</v>
      </c>
      <c r="AE2350">
        <v>2.4379000000000102</v>
      </c>
      <c r="AF2350">
        <v>1.99985994326053</v>
      </c>
      <c r="AG2350">
        <v>-1.10454639079099</v>
      </c>
      <c r="AH2350">
        <v>34.207904481559503</v>
      </c>
      <c r="AI2350">
        <v>91.846243050825606</v>
      </c>
      <c r="AJ2350">
        <v>86.654186742135707</v>
      </c>
      <c r="AK2350">
        <v>34.284109898633297</v>
      </c>
    </row>
    <row r="2351" spans="1:37" x14ac:dyDescent="0.2">
      <c r="A2351" t="str">
        <f>"20200111155544529"</f>
        <v>20200111155544529</v>
      </c>
      <c r="B2351" t="str">
        <f>"1578729344525057"</f>
        <v>1578729344525057</v>
      </c>
      <c r="C2351" t="s">
        <v>37</v>
      </c>
      <c r="D2351">
        <v>5.0514190000000001</v>
      </c>
      <c r="E2351">
        <v>0.52743830000000003</v>
      </c>
      <c r="F2351" t="s">
        <v>59</v>
      </c>
      <c r="G2351">
        <v>-337.08089999999999</v>
      </c>
      <c r="H2351" s="1">
        <v>2.1332449999999999E-6</v>
      </c>
      <c r="I2351">
        <v>286.86009999999999</v>
      </c>
      <c r="J2351">
        <v>-302.1123</v>
      </c>
      <c r="K2351">
        <v>1.1045389999999999</v>
      </c>
      <c r="L2351">
        <v>284.31920000000002</v>
      </c>
      <c r="M2351">
        <v>-0.99981580000000003</v>
      </c>
      <c r="N2351">
        <v>0</v>
      </c>
      <c r="O2351">
        <v>1.335241E-2</v>
      </c>
      <c r="P2351">
        <v>-0.99994799999999995</v>
      </c>
      <c r="Q2351">
        <v>9.9535270000000002E-3</v>
      </c>
      <c r="R2351">
        <v>2.3179540000000001E-3</v>
      </c>
      <c r="S2351">
        <v>-3.0007929999999998</v>
      </c>
      <c r="T2351">
        <v>-9.4139100000000003E-2</v>
      </c>
      <c r="U2351">
        <v>0.21688840000000001</v>
      </c>
      <c r="V2351">
        <v>-1.10099999999999E-2</v>
      </c>
      <c r="W2351">
        <v>2.3756960000000001E-2</v>
      </c>
      <c r="X2351">
        <v>0.99965720000000002</v>
      </c>
      <c r="Y2351">
        <v>5.8741410000000001E-2</v>
      </c>
      <c r="Z2351">
        <v>5.0175860000000003E-4</v>
      </c>
      <c r="AA2351">
        <v>0.99827310000000002</v>
      </c>
      <c r="AB2351">
        <v>24</v>
      </c>
      <c r="AC2351">
        <v>-34.968599999999903</v>
      </c>
      <c r="AD2351">
        <v>-1.104536866755</v>
      </c>
      <c r="AE2351">
        <v>2.5408999999999602</v>
      </c>
      <c r="AF2351">
        <v>2.07165791982312</v>
      </c>
      <c r="AG2351">
        <v>-1.104536866755</v>
      </c>
      <c r="AH2351">
        <v>34.964711016883598</v>
      </c>
      <c r="AI2351">
        <v>91.806209134641506</v>
      </c>
      <c r="AJ2351">
        <v>86.6091912129706</v>
      </c>
      <c r="AK2351">
        <v>35.043441393803803</v>
      </c>
    </row>
    <row r="2352" spans="1:37" x14ac:dyDescent="0.2">
      <c r="A2352" t="str">
        <f>"20200111155544542"</f>
        <v>20200111155544542</v>
      </c>
      <c r="B2352" t="str">
        <f>"1578729344534818"</f>
        <v>1578729344534818</v>
      </c>
      <c r="C2352" t="s">
        <v>37</v>
      </c>
      <c r="D2352">
        <v>5.0133199999999896</v>
      </c>
      <c r="E2352">
        <v>0.52742239999999996</v>
      </c>
      <c r="F2352" t="s">
        <v>59</v>
      </c>
      <c r="G2352">
        <v>-338.4667</v>
      </c>
      <c r="H2352" s="1">
        <v>2.8651909999999899E-6</v>
      </c>
      <c r="I2352">
        <v>286.98610000000002</v>
      </c>
      <c r="J2352">
        <v>-302.25670000000002</v>
      </c>
      <c r="K2352">
        <v>1.104535</v>
      </c>
      <c r="L2352">
        <v>284.32150000000001</v>
      </c>
      <c r="M2352">
        <v>-0.99981059999999999</v>
      </c>
      <c r="N2352">
        <v>0</v>
      </c>
      <c r="O2352">
        <v>1.372869E-2</v>
      </c>
      <c r="P2352">
        <v>-0.99994899999999998</v>
      </c>
      <c r="Q2352">
        <v>9.7370909999999998E-3</v>
      </c>
      <c r="R2352">
        <v>2.6392690000000001E-3</v>
      </c>
      <c r="S2352">
        <v>-3.0005799999999998</v>
      </c>
      <c r="T2352">
        <v>-9.1164949999999995E-2</v>
      </c>
      <c r="U2352">
        <v>0.22012329999999899</v>
      </c>
      <c r="V2352">
        <v>-1.106535E-2</v>
      </c>
      <c r="W2352">
        <v>2.35391E-2</v>
      </c>
      <c r="X2352">
        <v>0.99966169999999999</v>
      </c>
      <c r="Y2352">
        <v>5.944257E-2</v>
      </c>
      <c r="Z2352">
        <v>4.8515309999999997E-4</v>
      </c>
      <c r="AA2352">
        <v>0.998231599999999</v>
      </c>
      <c r="AB2352">
        <v>24</v>
      </c>
      <c r="AC2352">
        <v>-36.209999999999901</v>
      </c>
      <c r="AD2352">
        <v>-1.104532134809</v>
      </c>
      <c r="AE2352">
        <v>2.6646000000000001</v>
      </c>
      <c r="AF2352">
        <v>2.16518188995687</v>
      </c>
      <c r="AG2352">
        <v>-1.104532134809</v>
      </c>
      <c r="AH2352">
        <v>36.209661432107303</v>
      </c>
      <c r="AI2352">
        <v>91.744083711110804</v>
      </c>
      <c r="AJ2352">
        <v>86.578033574506904</v>
      </c>
      <c r="AK2352">
        <v>36.291150228137802</v>
      </c>
    </row>
    <row r="2353" spans="1:37" x14ac:dyDescent="0.2">
      <c r="A2353" t="str">
        <f>"20200111155544555"</f>
        <v>20200111155544555</v>
      </c>
      <c r="B2353" t="str">
        <f>"1578729344544578"</f>
        <v>1578729344544578</v>
      </c>
      <c r="C2353" t="s">
        <v>37</v>
      </c>
      <c r="D2353">
        <v>5.0029139999999996</v>
      </c>
      <c r="E2353">
        <v>0.52736899999999998</v>
      </c>
      <c r="F2353" t="s">
        <v>59</v>
      </c>
      <c r="G2353">
        <v>-338.55340000000001</v>
      </c>
      <c r="H2353" s="1">
        <v>2.911026E-6</v>
      </c>
      <c r="I2353">
        <v>286.9932</v>
      </c>
      <c r="J2353">
        <v>-302.39179999999999</v>
      </c>
      <c r="K2353">
        <v>1.1045309999999999</v>
      </c>
      <c r="L2353">
        <v>284.32369999999997</v>
      </c>
      <c r="M2353">
        <v>-0.99980569999999902</v>
      </c>
      <c r="N2353">
        <v>0</v>
      </c>
      <c r="O2353">
        <v>1.4083119999999999E-2</v>
      </c>
      <c r="P2353">
        <v>-0.99994919999999998</v>
      </c>
      <c r="Q2353">
        <v>9.5789120000000002E-3</v>
      </c>
      <c r="R2353">
        <v>3.217541E-3</v>
      </c>
      <c r="S2353">
        <v>-3.0004879999999998</v>
      </c>
      <c r="T2353">
        <v>-9.1306689999999996E-2</v>
      </c>
      <c r="U2353">
        <v>0.22085569999999999</v>
      </c>
      <c r="V2353">
        <v>-1.084136E-2</v>
      </c>
      <c r="W2353">
        <v>2.337941E-2</v>
      </c>
      <c r="X2353">
        <v>0.99966790000000005</v>
      </c>
      <c r="Y2353">
        <v>5.933343E-2</v>
      </c>
      <c r="Z2353">
        <v>4.7349379999999899E-4</v>
      </c>
      <c r="AA2353">
        <v>0.99823809999999902</v>
      </c>
      <c r="AB2353">
        <v>24</v>
      </c>
      <c r="AC2353">
        <v>-36.1616</v>
      </c>
      <c r="AD2353">
        <v>-1.1045280889739999</v>
      </c>
      <c r="AE2353">
        <v>2.6695000000000202</v>
      </c>
      <c r="AF2353">
        <v>2.1579162965487702</v>
      </c>
      <c r="AG2353">
        <v>-1.1045280889739999</v>
      </c>
      <c r="AH2353">
        <v>36.162057039267502</v>
      </c>
      <c r="AI2353">
        <v>91.746384535824603</v>
      </c>
      <c r="AJ2353">
        <v>86.585010307024405</v>
      </c>
      <c r="AK2353">
        <v>36.243219425893699</v>
      </c>
    </row>
    <row r="2354" spans="1:37" x14ac:dyDescent="0.2">
      <c r="A2354" t="str">
        <f>"20200111155544568"</f>
        <v>20200111155544568</v>
      </c>
      <c r="B2354" t="str">
        <f>"1578729344565074"</f>
        <v>1578729344565074</v>
      </c>
      <c r="C2354" t="s">
        <v>37</v>
      </c>
      <c r="D2354">
        <v>5.02081</v>
      </c>
      <c r="E2354">
        <v>0.52723419999999999</v>
      </c>
      <c r="F2354" t="s">
        <v>59</v>
      </c>
      <c r="G2354">
        <v>-338.59379999999999</v>
      </c>
      <c r="H2354" s="1">
        <v>2.9320229999999899E-6</v>
      </c>
      <c r="I2354">
        <v>287.00479999999999</v>
      </c>
      <c r="J2354">
        <v>-302.529</v>
      </c>
      <c r="K2354">
        <v>1.1045290000000001</v>
      </c>
      <c r="L2354">
        <v>284.3261</v>
      </c>
      <c r="M2354">
        <v>-0.99980069999999999</v>
      </c>
      <c r="N2354">
        <v>0</v>
      </c>
      <c r="O2354">
        <v>1.444517E-2</v>
      </c>
      <c r="P2354">
        <v>-0.99994930000000004</v>
      </c>
      <c r="Q2354">
        <v>9.4745760000000002E-3</v>
      </c>
      <c r="R2354">
        <v>3.4735920000000002E-3</v>
      </c>
      <c r="S2354">
        <v>-3.0002749999999998</v>
      </c>
      <c r="T2354">
        <v>-9.1538670000000003E-2</v>
      </c>
      <c r="U2354">
        <v>0.22219849999999999</v>
      </c>
      <c r="V2354">
        <v>-1.094768E-2</v>
      </c>
      <c r="W2354">
        <v>2.3274050000000001E-2</v>
      </c>
      <c r="X2354">
        <v>0.99966919999999904</v>
      </c>
      <c r="Y2354">
        <v>5.9421519999999999E-2</v>
      </c>
      <c r="Z2354">
        <v>4.6503860000000002E-4</v>
      </c>
      <c r="AA2354">
        <v>0.99823289999999998</v>
      </c>
      <c r="AB2354">
        <v>24</v>
      </c>
      <c r="AC2354">
        <v>-36.064799999999899</v>
      </c>
      <c r="AD2354">
        <v>-1.1045260679769999</v>
      </c>
      <c r="AE2354">
        <v>2.6786999999999899</v>
      </c>
      <c r="AF2354">
        <v>2.1553982327954402</v>
      </c>
      <c r="AG2354">
        <v>-1.1045260679769999</v>
      </c>
      <c r="AH2354">
        <v>36.0660913507201</v>
      </c>
      <c r="AI2354">
        <v>91.751016011068103</v>
      </c>
      <c r="AJ2354">
        <v>86.579931221362003</v>
      </c>
      <c r="AK2354">
        <v>36.1473189143436</v>
      </c>
    </row>
    <row r="2355" spans="1:37" x14ac:dyDescent="0.2">
      <c r="A2355" t="str">
        <f>"20200111155544585"</f>
        <v>20200111155544585</v>
      </c>
      <c r="B2355" t="str">
        <f>"1578729344574833"</f>
        <v>1578729344574833</v>
      </c>
      <c r="C2355" t="s">
        <v>37</v>
      </c>
      <c r="D2355">
        <v>4.9876040000000001</v>
      </c>
      <c r="E2355">
        <v>0.52721739999999995</v>
      </c>
      <c r="F2355" t="s">
        <v>59</v>
      </c>
      <c r="G2355">
        <v>-338.76819999999998</v>
      </c>
      <c r="H2355" s="1">
        <v>3.024691E-6</v>
      </c>
      <c r="I2355">
        <v>287.00700000000001</v>
      </c>
      <c r="J2355">
        <v>-302.7088</v>
      </c>
      <c r="K2355">
        <v>1.104528</v>
      </c>
      <c r="L2355">
        <v>284.32920000000001</v>
      </c>
      <c r="M2355">
        <v>-0.99979359999999995</v>
      </c>
      <c r="N2355">
        <v>0</v>
      </c>
      <c r="O2355">
        <v>1.4921749999999999E-2</v>
      </c>
      <c r="P2355">
        <v>-0.99995219999999996</v>
      </c>
      <c r="Q2355">
        <v>9.1218280000000002E-3</v>
      </c>
      <c r="R2355">
        <v>3.5241059999999999E-3</v>
      </c>
      <c r="S2355">
        <v>-3.0002439999999999</v>
      </c>
      <c r="T2355">
        <v>-9.1443899999999995E-2</v>
      </c>
      <c r="U2355">
        <v>0.22195429999999899</v>
      </c>
      <c r="V2355">
        <v>-1.13744E-2</v>
      </c>
      <c r="W2355">
        <v>2.291986E-2</v>
      </c>
      <c r="X2355">
        <v>0.99967260000000002</v>
      </c>
      <c r="Y2355">
        <v>5.8866149999999999E-2</v>
      </c>
      <c r="Z2355">
        <v>4.4161459999999999E-4</v>
      </c>
      <c r="AA2355">
        <v>0.99826579999999998</v>
      </c>
      <c r="AB2355">
        <v>24</v>
      </c>
      <c r="AC2355">
        <v>-36.059399999999897</v>
      </c>
      <c r="AD2355">
        <v>-1.1045249753090001</v>
      </c>
      <c r="AE2355">
        <v>2.6777999999999902</v>
      </c>
      <c r="AF2355">
        <v>2.1373869224701001</v>
      </c>
      <c r="AG2355">
        <v>-1.1045249753090001</v>
      </c>
      <c r="AH2355">
        <v>36.061696830780598</v>
      </c>
      <c r="AI2355">
        <v>91.751278613361094</v>
      </c>
      <c r="AJ2355">
        <v>86.608031262780202</v>
      </c>
      <c r="AK2355">
        <v>36.141864597618003</v>
      </c>
    </row>
    <row r="2356" spans="1:37" x14ac:dyDescent="0.2">
      <c r="A2356" t="str">
        <f>"20200111155544599"</f>
        <v>20200111155544599</v>
      </c>
      <c r="B2356" t="str">
        <f>"1578729344594353"</f>
        <v>1578729344594353</v>
      </c>
      <c r="C2356" t="s">
        <v>37</v>
      </c>
      <c r="D2356">
        <v>5.2105199999999998</v>
      </c>
      <c r="E2356">
        <v>0.527196</v>
      </c>
      <c r="F2356" t="s">
        <v>59</v>
      </c>
      <c r="G2356">
        <v>-338.36930000000001</v>
      </c>
      <c r="H2356" s="1">
        <v>2.81428699999999E-6</v>
      </c>
      <c r="I2356">
        <v>286.96449999999999</v>
      </c>
      <c r="J2356">
        <v>-302.85210000000001</v>
      </c>
      <c r="K2356">
        <v>1.1045290000000001</v>
      </c>
      <c r="L2356">
        <v>284.33179999999999</v>
      </c>
      <c r="M2356">
        <v>-0.99978789999999995</v>
      </c>
      <c r="N2356">
        <v>0</v>
      </c>
      <c r="O2356">
        <v>1.530254E-2</v>
      </c>
      <c r="P2356">
        <v>-0.99995489999999998</v>
      </c>
      <c r="Q2356">
        <v>8.7562539999999998E-3</v>
      </c>
      <c r="R2356">
        <v>3.6815139999999999E-3</v>
      </c>
      <c r="S2356">
        <v>-3.0002140000000002</v>
      </c>
      <c r="T2356">
        <v>-9.2926739999999994E-2</v>
      </c>
      <c r="U2356">
        <v>0.2217102</v>
      </c>
      <c r="V2356">
        <v>-1.159806E-2</v>
      </c>
      <c r="W2356">
        <v>2.255279E-2</v>
      </c>
      <c r="X2356">
        <v>0.99967839999999997</v>
      </c>
      <c r="Y2356">
        <v>5.840563E-2</v>
      </c>
      <c r="Z2356">
        <v>4.298854E-4</v>
      </c>
      <c r="AA2356">
        <v>0.99829290000000004</v>
      </c>
      <c r="AB2356">
        <v>24</v>
      </c>
      <c r="AC2356">
        <v>-35.517200000000003</v>
      </c>
      <c r="AD2356">
        <v>-1.104526185713</v>
      </c>
      <c r="AE2356">
        <v>2.6326999999999998</v>
      </c>
      <c r="AF2356">
        <v>2.0868295068105098</v>
      </c>
      <c r="AG2356">
        <v>-1.104526185713</v>
      </c>
      <c r="AH2356">
        <v>35.519168166605397</v>
      </c>
      <c r="AI2356">
        <v>91.778067122942502</v>
      </c>
      <c r="AJ2356">
        <v>86.637611757636606</v>
      </c>
      <c r="AK2356">
        <v>35.597558100704298</v>
      </c>
    </row>
    <row r="2357" spans="1:37" x14ac:dyDescent="0.2">
      <c r="A2357" t="str">
        <f>"20200111155544611"</f>
        <v>20200111155544611</v>
      </c>
      <c r="B2357" t="str">
        <f>"1578729344605090"</f>
        <v>1578729344605090</v>
      </c>
      <c r="C2357" t="s">
        <v>37</v>
      </c>
      <c r="D2357">
        <v>4.9839769999999897</v>
      </c>
      <c r="E2357">
        <v>0.52715610000000002</v>
      </c>
      <c r="F2357" t="s">
        <v>59</v>
      </c>
      <c r="G2357">
        <v>-338.2013</v>
      </c>
      <c r="H2357" s="1">
        <v>2.7255649999999999E-6</v>
      </c>
      <c r="I2357">
        <v>286.94920000000002</v>
      </c>
      <c r="J2357">
        <v>-303.00189999999998</v>
      </c>
      <c r="K2357">
        <v>1.1045290000000001</v>
      </c>
      <c r="L2357">
        <v>284.33449999999999</v>
      </c>
      <c r="M2357">
        <v>-0.999781699999999</v>
      </c>
      <c r="N2357">
        <v>0</v>
      </c>
      <c r="O2357">
        <v>1.5701260000000002E-2</v>
      </c>
      <c r="P2357">
        <v>-0.99995509999999999</v>
      </c>
      <c r="Q2357">
        <v>8.6659939999999998E-3</v>
      </c>
      <c r="R2357">
        <v>3.8339089999999999E-3</v>
      </c>
      <c r="S2357">
        <v>-3.0001530000000001</v>
      </c>
      <c r="T2357">
        <v>-9.3743209999999993E-2</v>
      </c>
      <c r="U2357">
        <v>0.22213749999999999</v>
      </c>
      <c r="V2357">
        <v>-1.1844530000000001E-2</v>
      </c>
      <c r="W2357">
        <v>2.246126E-2</v>
      </c>
      <c r="X2357">
        <v>0.9996775</v>
      </c>
      <c r="Y2357">
        <v>5.815033E-2</v>
      </c>
      <c r="Z2357">
        <v>4.1725019999999999E-4</v>
      </c>
      <c r="AA2357">
        <v>0.99830779999999997</v>
      </c>
      <c r="AB2357">
        <v>24</v>
      </c>
      <c r="AC2357">
        <v>-35.199399999999997</v>
      </c>
      <c r="AD2357">
        <v>-1.104526274435</v>
      </c>
      <c r="AE2357">
        <v>2.61470000000002</v>
      </c>
      <c r="AF2357">
        <v>2.0596332817765099</v>
      </c>
      <c r="AG2357">
        <v>-1.104526274435</v>
      </c>
      <c r="AH2357">
        <v>35.201646977313203</v>
      </c>
      <c r="AI2357">
        <v>91.794120534251405</v>
      </c>
      <c r="AJ2357">
        <v>86.651466098335703</v>
      </c>
      <c r="AK2357">
        <v>35.279144228023704</v>
      </c>
    </row>
    <row r="2358" spans="1:37" x14ac:dyDescent="0.2">
      <c r="A2358" t="str">
        <f>"20200111155544630"</f>
        <v>20200111155544630</v>
      </c>
      <c r="B2358" t="str">
        <f>"1578729344624610"</f>
        <v>1578729344624610</v>
      </c>
      <c r="C2358" t="s">
        <v>37</v>
      </c>
      <c r="D2358">
        <v>5.0684809999999896</v>
      </c>
      <c r="E2358">
        <v>0.5271882</v>
      </c>
      <c r="F2358" t="s">
        <v>59</v>
      </c>
      <c r="G2358">
        <v>-338.17320000000001</v>
      </c>
      <c r="H2358" s="1">
        <v>2.711E-6</v>
      </c>
      <c r="I2358">
        <v>286.9409</v>
      </c>
      <c r="J2358">
        <v>-303.18529999999998</v>
      </c>
      <c r="K2358">
        <v>1.104527</v>
      </c>
      <c r="L2358">
        <v>284.337999999999</v>
      </c>
      <c r="M2358">
        <v>-0.99977399999999905</v>
      </c>
      <c r="N2358">
        <v>0</v>
      </c>
      <c r="O2358">
        <v>1.618938E-2</v>
      </c>
      <c r="P2358">
        <v>-0.99995849999999897</v>
      </c>
      <c r="Q2358">
        <v>8.2627759999999995E-3</v>
      </c>
      <c r="R2358">
        <v>3.8632750000000002E-3</v>
      </c>
      <c r="S2358">
        <v>-3.0000610000000001</v>
      </c>
      <c r="T2358">
        <v>-9.4214439999999997E-2</v>
      </c>
      <c r="U2358">
        <v>0.22232060000000001</v>
      </c>
      <c r="V2358">
        <v>-1.230417E-2</v>
      </c>
      <c r="W2358">
        <v>2.205652E-2</v>
      </c>
      <c r="X2358">
        <v>0.99968099999999904</v>
      </c>
      <c r="Y2358">
        <v>5.7726010000000001E-2</v>
      </c>
      <c r="Z2358">
        <v>3.974068E-4</v>
      </c>
      <c r="AA2358">
        <v>0.99833240000000001</v>
      </c>
      <c r="AB2358">
        <v>24</v>
      </c>
      <c r="AC2358">
        <v>-34.987900000000003</v>
      </c>
      <c r="AD2358">
        <v>-1.104524289</v>
      </c>
      <c r="AE2358">
        <v>2.6029000000000302</v>
      </c>
      <c r="AF2358">
        <v>2.0340566673154701</v>
      </c>
      <c r="AG2358">
        <v>-1.104524289</v>
      </c>
      <c r="AH2358">
        <v>34.9907776856681</v>
      </c>
      <c r="AI2358">
        <v>91.804961959917193</v>
      </c>
      <c r="AJ2358">
        <v>86.673070444307299</v>
      </c>
      <c r="AK2358">
        <v>35.067248016898802</v>
      </c>
    </row>
    <row r="2359" spans="1:37" x14ac:dyDescent="0.2">
      <c r="A2359" t="str">
        <f>"20200111155544767"</f>
        <v>20200111155544767</v>
      </c>
      <c r="B2359" t="str">
        <f>"1578729344765153"</f>
        <v>1578729344765153</v>
      </c>
      <c r="C2359" t="s">
        <v>37</v>
      </c>
      <c r="D2359">
        <v>5.0264829999999998</v>
      </c>
      <c r="E2359">
        <v>0.5271863</v>
      </c>
      <c r="F2359" t="s">
        <v>59</v>
      </c>
      <c r="G2359">
        <v>-337.9049</v>
      </c>
      <c r="H2359" s="1">
        <v>2.56940999999999E-6</v>
      </c>
      <c r="I2359">
        <v>286.91370000000001</v>
      </c>
      <c r="J2359">
        <v>-304.64429999999999</v>
      </c>
      <c r="K2359">
        <v>1.1044590000000001</v>
      </c>
      <c r="L2359">
        <v>284.3689</v>
      </c>
      <c r="M2359">
        <v>-0.99969699999999995</v>
      </c>
      <c r="N2359">
        <v>0</v>
      </c>
      <c r="O2359">
        <v>2.0406239999999999E-2</v>
      </c>
      <c r="P2359">
        <v>-0.99996879999999999</v>
      </c>
      <c r="Q2359">
        <v>7.2243009999999998E-3</v>
      </c>
      <c r="R2359">
        <v>3.2255669999999999E-3</v>
      </c>
      <c r="S2359">
        <v>-3.0000610000000001</v>
      </c>
      <c r="T2359">
        <v>-9.5439910000000003E-2</v>
      </c>
      <c r="U2359">
        <v>0.2225647</v>
      </c>
      <c r="V2359">
        <v>-1.7157039999999998E-2</v>
      </c>
      <c r="W2359">
        <v>2.1012019999999999E-2</v>
      </c>
      <c r="X2359">
        <v>0.99963199999999997</v>
      </c>
      <c r="Y2359">
        <v>5.3599069999999999E-2</v>
      </c>
      <c r="Z2359">
        <v>2.0315209999999999E-4</v>
      </c>
      <c r="AA2359">
        <v>0.99856250000000002</v>
      </c>
      <c r="AB2359">
        <v>24</v>
      </c>
      <c r="AC2359">
        <v>-33.260599999999997</v>
      </c>
      <c r="AD2359">
        <v>-1.10445643059</v>
      </c>
      <c r="AE2359">
        <v>2.5448</v>
      </c>
      <c r="AF2359">
        <v>1.8634391363743199</v>
      </c>
      <c r="AG2359">
        <v>-1.10445643059</v>
      </c>
      <c r="AH2359">
        <v>33.269136925117799</v>
      </c>
      <c r="AI2359">
        <v>91.898412312645505</v>
      </c>
      <c r="AJ2359">
        <v>86.794153197047706</v>
      </c>
      <c r="AK2359">
        <v>33.339581598518599</v>
      </c>
    </row>
    <row r="2360" spans="1:37" x14ac:dyDescent="0.2">
      <c r="A2360" t="str">
        <f>"20200111155544780"</f>
        <v>20200111155544780</v>
      </c>
      <c r="B2360" t="str">
        <f>"1578729344774914"</f>
        <v>1578729344774914</v>
      </c>
      <c r="C2360" t="s">
        <v>37</v>
      </c>
      <c r="D2360">
        <v>5.5113669999999999</v>
      </c>
      <c r="E2360">
        <v>0.5271863</v>
      </c>
      <c r="F2360" t="s">
        <v>59</v>
      </c>
      <c r="G2360">
        <v>-338.421999999999</v>
      </c>
      <c r="H2360" s="1">
        <v>2.8469589999999999E-6</v>
      </c>
      <c r="I2360">
        <v>286.85930000000002</v>
      </c>
      <c r="J2360">
        <v>-304.78050000000002</v>
      </c>
      <c r="K2360">
        <v>1.1044419999999999</v>
      </c>
      <c r="L2360">
        <v>284.37220000000002</v>
      </c>
      <c r="M2360">
        <v>-0.99968749999999995</v>
      </c>
      <c r="N2360">
        <v>0</v>
      </c>
      <c r="O2360">
        <v>2.086899E-2</v>
      </c>
      <c r="P2360">
        <v>-0.99996529999999995</v>
      </c>
      <c r="Q2360">
        <v>7.6437930000000003E-3</v>
      </c>
      <c r="R2360">
        <v>3.38659099999999E-3</v>
      </c>
      <c r="S2360">
        <v>-3.0001530000000001</v>
      </c>
      <c r="T2360">
        <v>-9.8098279999999996E-2</v>
      </c>
      <c r="U2360">
        <v>0.22119139999999901</v>
      </c>
      <c r="V2360">
        <v>-1.7457179999999999E-2</v>
      </c>
      <c r="W2360">
        <v>2.1431059999999998E-2</v>
      </c>
      <c r="X2360">
        <v>0.99961789999999995</v>
      </c>
      <c r="Y2360">
        <v>5.2679770000000001E-2</v>
      </c>
      <c r="Z2360">
        <v>1.7869939999999999E-4</v>
      </c>
      <c r="AA2360">
        <v>0.99861149999999999</v>
      </c>
      <c r="AB2360">
        <v>24</v>
      </c>
      <c r="AC2360">
        <v>-33.641499999999901</v>
      </c>
      <c r="AD2360">
        <v>-1.1044391530409901</v>
      </c>
      <c r="AE2360">
        <v>2.4870999999999901</v>
      </c>
      <c r="AF2360">
        <v>1.78251690633576</v>
      </c>
      <c r="AG2360">
        <v>-1.1044391530409901</v>
      </c>
      <c r="AH2360">
        <v>33.650009917125999</v>
      </c>
      <c r="AI2360">
        <v>91.877220625444707</v>
      </c>
      <c r="AJ2360">
        <v>86.967747464906793</v>
      </c>
      <c r="AK2360">
        <v>33.7152831782089</v>
      </c>
    </row>
    <row r="2361" spans="1:37" x14ac:dyDescent="0.2">
      <c r="A2361" t="str">
        <f>"20200111155544792"</f>
        <v>20200111155544792</v>
      </c>
      <c r="B2361" t="str">
        <f>"1578729344784673"</f>
        <v>1578729344784673</v>
      </c>
      <c r="C2361" t="s">
        <v>37</v>
      </c>
      <c r="D2361">
        <v>5.0574089999999998</v>
      </c>
      <c r="E2361">
        <v>0.52702119999999997</v>
      </c>
      <c r="F2361" t="s">
        <v>59</v>
      </c>
      <c r="G2361">
        <v>-339.01479999999998</v>
      </c>
      <c r="H2361" s="1">
        <v>3.1605379999999998E-6</v>
      </c>
      <c r="I2361">
        <v>286.9015</v>
      </c>
      <c r="J2361">
        <v>-304.91480000000001</v>
      </c>
      <c r="K2361">
        <v>1.1044229999999999</v>
      </c>
      <c r="L2361">
        <v>284.37549999999999</v>
      </c>
      <c r="M2361">
        <v>-0.99967739999999905</v>
      </c>
      <c r="N2361">
        <v>0</v>
      </c>
      <c r="O2361">
        <v>2.1348990000000002E-2</v>
      </c>
      <c r="P2361">
        <v>-0.999961199999999</v>
      </c>
      <c r="Q2361">
        <v>8.1299949999999992E-3</v>
      </c>
      <c r="R2361">
        <v>3.4259E-3</v>
      </c>
      <c r="S2361">
        <v>-3.000092</v>
      </c>
      <c r="T2361">
        <v>-9.6786739999999996E-2</v>
      </c>
      <c r="U2361">
        <v>0.22164919999999999</v>
      </c>
      <c r="V2361">
        <v>-1.7895520000000002E-2</v>
      </c>
      <c r="W2361">
        <v>2.1917800000000001E-2</v>
      </c>
      <c r="X2361">
        <v>0.99959959999999903</v>
      </c>
      <c r="Y2361">
        <v>5.235418E-2</v>
      </c>
      <c r="Z2361">
        <v>1.5561780000000001E-4</v>
      </c>
      <c r="AA2361">
        <v>0.99862859999999998</v>
      </c>
      <c r="AB2361">
        <v>24</v>
      </c>
      <c r="AC2361">
        <v>-34.099999999999902</v>
      </c>
      <c r="AD2361">
        <v>-1.104419839462</v>
      </c>
      <c r="AE2361">
        <v>2.52600000000001</v>
      </c>
      <c r="AF2361">
        <v>1.7954815828126101</v>
      </c>
      <c r="AG2361">
        <v>-1.104419839462</v>
      </c>
      <c r="AH2361">
        <v>34.110573839550099</v>
      </c>
      <c r="AI2361">
        <v>91.851892298156002</v>
      </c>
      <c r="AJ2361">
        <v>86.986897210006006</v>
      </c>
      <c r="AK2361">
        <v>34.175645494407497</v>
      </c>
    </row>
    <row r="2362" spans="1:37" x14ac:dyDescent="0.2">
      <c r="A2362" t="str">
        <f>"20200111155544810"</f>
        <v>20200111155544810</v>
      </c>
      <c r="B2362" t="str">
        <f>"1578729344804194"</f>
        <v>1578729344804194</v>
      </c>
      <c r="C2362" t="s">
        <v>37</v>
      </c>
      <c r="D2362">
        <v>4.9546219999999996</v>
      </c>
      <c r="E2362">
        <v>0.52706779999999998</v>
      </c>
      <c r="F2362" t="s">
        <v>59</v>
      </c>
      <c r="G2362">
        <v>-340.32310000000001</v>
      </c>
      <c r="H2362" s="1">
        <v>-1.3648679999999901E-6</v>
      </c>
      <c r="I2362">
        <v>286.98070000000001</v>
      </c>
      <c r="J2362">
        <v>-305.08190000000002</v>
      </c>
      <c r="K2362">
        <v>1.1044020000000001</v>
      </c>
      <c r="L2362">
        <v>284.37979999999999</v>
      </c>
      <c r="M2362">
        <v>-0.99966390000000005</v>
      </c>
      <c r="N2362">
        <v>0</v>
      </c>
      <c r="O2362">
        <v>2.19705E-2</v>
      </c>
      <c r="P2362">
        <v>-0.99995349999999905</v>
      </c>
      <c r="Q2362">
        <v>9.1022310000000006E-3</v>
      </c>
      <c r="R2362">
        <v>3.2060559999999901E-3</v>
      </c>
      <c r="S2362">
        <v>-3.0001220000000002</v>
      </c>
      <c r="T2362">
        <v>-9.3577270000000004E-2</v>
      </c>
      <c r="U2362">
        <v>0.2207336</v>
      </c>
      <c r="V2362">
        <v>-1.8734000000000001E-2</v>
      </c>
      <c r="W2362">
        <v>2.2890779999999999E-2</v>
      </c>
      <c r="X2362">
        <v>0.99956239999999996</v>
      </c>
      <c r="Y2362">
        <v>5.1431259999999999E-2</v>
      </c>
      <c r="Z2362">
        <v>1.167433E-4</v>
      </c>
      <c r="AA2362">
        <v>0.99867649999999997</v>
      </c>
      <c r="AB2362">
        <v>24</v>
      </c>
      <c r="AC2362">
        <v>-35.2411999999999</v>
      </c>
      <c r="AD2362">
        <v>-1.1044033648680001</v>
      </c>
      <c r="AE2362">
        <v>2.6009000000000202</v>
      </c>
      <c r="AF2362">
        <v>1.8241501764286201</v>
      </c>
      <c r="AG2362">
        <v>-1.1044033648680001</v>
      </c>
      <c r="AH2362">
        <v>35.255403703413698</v>
      </c>
      <c r="AI2362">
        <v>91.791853450395607</v>
      </c>
      <c r="AJ2362">
        <v>87.038099778751501</v>
      </c>
      <c r="AK2362">
        <v>35.319834667636499</v>
      </c>
    </row>
    <row r="2363" spans="1:37" x14ac:dyDescent="0.2">
      <c r="A2363" t="str">
        <f>"20200111155544822"</f>
        <v>20200111155544822</v>
      </c>
      <c r="B2363" t="str">
        <f>"1578729344814931"</f>
        <v>1578729344814931</v>
      </c>
      <c r="C2363" t="s">
        <v>37</v>
      </c>
      <c r="D2363">
        <v>5.0083779999999898</v>
      </c>
      <c r="E2363">
        <v>0.52699739999999995</v>
      </c>
      <c r="F2363" t="s">
        <v>59</v>
      </c>
      <c r="G2363">
        <v>-340.75920000000002</v>
      </c>
      <c r="H2363" s="1">
        <v>-1.1327950000000001E-6</v>
      </c>
      <c r="I2363">
        <v>286.99700000000001</v>
      </c>
      <c r="J2363">
        <v>-305.22430000000003</v>
      </c>
      <c r="K2363">
        <v>1.104382</v>
      </c>
      <c r="L2363">
        <v>284.38350000000003</v>
      </c>
      <c r="M2363">
        <v>-0.99965179999999998</v>
      </c>
      <c r="N2363">
        <v>0</v>
      </c>
      <c r="O2363">
        <v>2.2518750000000001E-2</v>
      </c>
      <c r="P2363">
        <v>-0.99995149999999999</v>
      </c>
      <c r="Q2363">
        <v>9.2437960000000003E-3</v>
      </c>
      <c r="R2363">
        <v>3.4130190000000002E-3</v>
      </c>
      <c r="S2363">
        <v>-3.0002749999999998</v>
      </c>
      <c r="T2363">
        <v>-9.2874529999999997E-2</v>
      </c>
      <c r="U2363">
        <v>0.22009279999999901</v>
      </c>
      <c r="V2363">
        <v>-1.9074239999999999E-2</v>
      </c>
      <c r="W2363">
        <v>2.3032360000000002E-2</v>
      </c>
      <c r="X2363">
        <v>0.99955269999999996</v>
      </c>
      <c r="Y2363">
        <v>5.066847E-2</v>
      </c>
      <c r="Z2363" s="1">
        <v>8.7138150000000002E-5</v>
      </c>
      <c r="AA2363">
        <v>0.99871549999999998</v>
      </c>
      <c r="AB2363">
        <v>24</v>
      </c>
      <c r="AC2363">
        <v>-35.534899999999901</v>
      </c>
      <c r="AD2363">
        <v>-1.104383132795</v>
      </c>
      <c r="AE2363">
        <v>2.6134999999999802</v>
      </c>
      <c r="AF2363">
        <v>1.81082026255837</v>
      </c>
      <c r="AG2363">
        <v>-1.104383132795</v>
      </c>
      <c r="AH2363">
        <v>35.550592353839498</v>
      </c>
      <c r="AI2363">
        <v>91.777025289111194</v>
      </c>
      <c r="AJ2363">
        <v>87.084077595470603</v>
      </c>
      <c r="AK2363">
        <v>35.613808401182901</v>
      </c>
    </row>
    <row r="2364" spans="1:37" x14ac:dyDescent="0.2">
      <c r="A2364" t="str">
        <f>"20200111155544836"</f>
        <v>20200111155544836</v>
      </c>
      <c r="B2364" t="str">
        <f>"1578729344824689"</f>
        <v>1578729344824689</v>
      </c>
      <c r="C2364" t="s">
        <v>37</v>
      </c>
      <c r="D2364">
        <v>4.9617509999999996</v>
      </c>
      <c r="E2364">
        <v>0.52703029999999995</v>
      </c>
      <c r="F2364" t="s">
        <v>59</v>
      </c>
      <c r="G2364">
        <v>-341.35250000000002</v>
      </c>
      <c r="H2364" s="1">
        <v>-8.1702719999999996E-7</v>
      </c>
      <c r="I2364">
        <v>287.03570000000002</v>
      </c>
      <c r="J2364">
        <v>-305.36349999999999</v>
      </c>
      <c r="K2364">
        <v>1.1043620000000001</v>
      </c>
      <c r="L2364">
        <v>284.38720000000001</v>
      </c>
      <c r="M2364">
        <v>-0.9996391</v>
      </c>
      <c r="N2364">
        <v>0</v>
      </c>
      <c r="O2364">
        <v>2.3073469999999999E-2</v>
      </c>
      <c r="P2364">
        <v>-0.99995199999999995</v>
      </c>
      <c r="Q2364">
        <v>9.1579279999999992E-3</v>
      </c>
      <c r="R2364">
        <v>3.5144569999999999E-3</v>
      </c>
      <c r="S2364">
        <v>-3.0002140000000002</v>
      </c>
      <c r="T2364">
        <v>-9.1711639999999997E-2</v>
      </c>
      <c r="U2364">
        <v>0.22024539999999901</v>
      </c>
      <c r="V2364">
        <v>-1.9526120000000001E-2</v>
      </c>
      <c r="W2364">
        <v>2.294655E-2</v>
      </c>
      <c r="X2364">
        <v>0.99954599999999905</v>
      </c>
      <c r="Y2364">
        <v>5.0167089999999998E-2</v>
      </c>
      <c r="Z2364" s="1">
        <v>6.1476720000000002E-5</v>
      </c>
      <c r="AA2364">
        <v>0.99874089999999904</v>
      </c>
      <c r="AB2364">
        <v>23</v>
      </c>
      <c r="AC2364">
        <v>-35.988999999999997</v>
      </c>
      <c r="AD2364">
        <v>-1.1043628170272</v>
      </c>
      <c r="AE2364">
        <v>2.6485000000000101</v>
      </c>
      <c r="AF2364">
        <v>1.8156245966839899</v>
      </c>
      <c r="AG2364">
        <v>-1.1043628170272</v>
      </c>
      <c r="AH2364">
        <v>36.006810030768897</v>
      </c>
      <c r="AI2364">
        <v>91.754537101686196</v>
      </c>
      <c r="AJ2364">
        <v>87.113335147065399</v>
      </c>
      <c r="AK2364">
        <v>36.069467399721802</v>
      </c>
    </row>
    <row r="2365" spans="1:37" x14ac:dyDescent="0.2">
      <c r="A2365" t="str">
        <f>"20200111155544849"</f>
        <v>20200111155544849</v>
      </c>
      <c r="B2365" t="str">
        <f>"1578729344844209"</f>
        <v>1578729344844209</v>
      </c>
      <c r="C2365" t="s">
        <v>37</v>
      </c>
      <c r="D2365">
        <v>5.0551949999999897</v>
      </c>
      <c r="E2365">
        <v>0.52646709999999997</v>
      </c>
      <c r="F2365" t="s">
        <v>59</v>
      </c>
      <c r="G2365">
        <v>-341.48790000000002</v>
      </c>
      <c r="H2365" s="1">
        <v>-7.4497469999999903E-7</v>
      </c>
      <c r="I2365">
        <v>287.04899999999998</v>
      </c>
      <c r="J2365">
        <v>-305.50049999999999</v>
      </c>
      <c r="K2365">
        <v>1.1043479999999899</v>
      </c>
      <c r="L2365">
        <v>284.39109999999999</v>
      </c>
      <c r="M2365">
        <v>-0.99962600000000001</v>
      </c>
      <c r="N2365">
        <v>0</v>
      </c>
      <c r="O2365">
        <v>2.3637680000000001E-2</v>
      </c>
      <c r="P2365">
        <v>-0.99994959999999899</v>
      </c>
      <c r="Q2365">
        <v>9.3061380000000003E-3</v>
      </c>
      <c r="R2365">
        <v>3.8343370000000002E-3</v>
      </c>
      <c r="S2365">
        <v>-3.0002439999999999</v>
      </c>
      <c r="T2365">
        <v>-9.1720579999999996E-2</v>
      </c>
      <c r="U2365">
        <v>0.221069299999999</v>
      </c>
      <c r="V2365">
        <v>-1.976961E-2</v>
      </c>
      <c r="W2365">
        <v>2.3095290000000001E-2</v>
      </c>
      <c r="X2365">
        <v>0.99953780000000003</v>
      </c>
      <c r="Y2365">
        <v>4.9875860000000001E-2</v>
      </c>
      <c r="Z2365" s="1">
        <v>3.9826090000000001E-5</v>
      </c>
      <c r="AA2365">
        <v>0.99875539999999996</v>
      </c>
      <c r="AB2365">
        <v>23</v>
      </c>
      <c r="AC2365">
        <v>-35.987400000000001</v>
      </c>
      <c r="AD2365">
        <v>-1.10434874497469</v>
      </c>
      <c r="AE2365">
        <v>2.6579000000000401</v>
      </c>
      <c r="AF2365">
        <v>1.80472783528392</v>
      </c>
      <c r="AG2365">
        <v>-1.10434874497469</v>
      </c>
      <c r="AH2365">
        <v>36.006452182737398</v>
      </c>
      <c r="AI2365">
        <v>91.754558751565895</v>
      </c>
      <c r="AJ2365">
        <v>87.130602418779205</v>
      </c>
      <c r="AK2365">
        <v>36.068562869869503</v>
      </c>
    </row>
    <row r="2366" spans="1:37" x14ac:dyDescent="0.2">
      <c r="A2366" t="str">
        <f>"20200111155544864"</f>
        <v>20200111155544864</v>
      </c>
      <c r="B2366" t="str">
        <f>"1578729344854945"</f>
        <v>1578729344854945</v>
      </c>
      <c r="C2366" t="s">
        <v>37</v>
      </c>
      <c r="D2366">
        <v>5.0659019999999897</v>
      </c>
      <c r="E2366">
        <v>0.52615559999999995</v>
      </c>
      <c r="F2366" t="s">
        <v>59</v>
      </c>
      <c r="G2366">
        <v>-340.42860000000002</v>
      </c>
      <c r="H2366" s="1">
        <v>-1.3087219999999901E-6</v>
      </c>
      <c r="I2366">
        <v>286.91820000000001</v>
      </c>
      <c r="J2366">
        <v>-305.6601</v>
      </c>
      <c r="K2366">
        <v>1.104336</v>
      </c>
      <c r="L2366">
        <v>284.3956</v>
      </c>
      <c r="M2366">
        <v>-0.99961</v>
      </c>
      <c r="N2366">
        <v>0</v>
      </c>
      <c r="O2366">
        <v>2.4305879999999998E-2</v>
      </c>
      <c r="P2366">
        <v>-0.99993759999999998</v>
      </c>
      <c r="Q2366">
        <v>1.0157319999999999E-2</v>
      </c>
      <c r="R2366">
        <v>4.69341799999999E-3</v>
      </c>
      <c r="S2366">
        <v>-3.0001829999999998</v>
      </c>
      <c r="T2366">
        <v>-9.4859360000000004E-2</v>
      </c>
      <c r="U2366">
        <v>0.2170715</v>
      </c>
      <c r="V2366">
        <v>-1.957714E-2</v>
      </c>
      <c r="W2366">
        <v>2.3944779999999999E-2</v>
      </c>
      <c r="X2366">
        <v>0.99952160000000001</v>
      </c>
      <c r="Y2366">
        <v>4.7886280000000003E-2</v>
      </c>
      <c r="Z2366" s="1">
        <v>-1.129898E-5</v>
      </c>
      <c r="AA2366">
        <v>0.99885279999999999</v>
      </c>
      <c r="AB2366">
        <v>23</v>
      </c>
      <c r="AC2366">
        <v>-34.768500000000003</v>
      </c>
      <c r="AD2366">
        <v>-1.1043373087220001</v>
      </c>
      <c r="AE2366">
        <v>2.5226000000000099</v>
      </c>
      <c r="AF2366">
        <v>1.6750147039472101</v>
      </c>
      <c r="AG2366">
        <v>-1.1043373087220001</v>
      </c>
      <c r="AH2366">
        <v>34.784637037596802</v>
      </c>
      <c r="AI2366">
        <v>91.816303637362793</v>
      </c>
      <c r="AJ2366">
        <v>87.243116354436097</v>
      </c>
      <c r="AK2366">
        <v>34.842448378195598</v>
      </c>
    </row>
    <row r="2367" spans="1:37" x14ac:dyDescent="0.2">
      <c r="A2367" t="str">
        <f>"20200111155544887"</f>
        <v>20200111155544887</v>
      </c>
      <c r="B2367" t="str">
        <f>"1578729344874465"</f>
        <v>1578729344874465</v>
      </c>
      <c r="C2367" t="s">
        <v>37</v>
      </c>
      <c r="D2367">
        <v>4.9795680000000004</v>
      </c>
      <c r="E2367">
        <v>0.52587069999999903</v>
      </c>
      <c r="F2367" t="s">
        <v>59</v>
      </c>
      <c r="G2367">
        <v>-340.51249999999999</v>
      </c>
      <c r="H2367" s="1">
        <v>-1.264065E-6</v>
      </c>
      <c r="I2367">
        <v>286.91520000000003</v>
      </c>
      <c r="J2367">
        <v>-305.8929</v>
      </c>
      <c r="K2367">
        <v>1.1043209999999899</v>
      </c>
      <c r="L2367">
        <v>284.4024</v>
      </c>
      <c r="M2367">
        <v>-0.99958519999999895</v>
      </c>
      <c r="N2367">
        <v>0</v>
      </c>
      <c r="O2367">
        <v>2.530379E-2</v>
      </c>
      <c r="P2367">
        <v>-0.99992479999999995</v>
      </c>
      <c r="Q2367">
        <v>1.06343999999999E-2</v>
      </c>
      <c r="R2367">
        <v>6.1143450000000002E-3</v>
      </c>
      <c r="S2367">
        <v>-3.0001530000000001</v>
      </c>
      <c r="T2367">
        <v>-9.5063209999999995E-2</v>
      </c>
      <c r="U2367">
        <v>0.21688840000000001</v>
      </c>
      <c r="V2367">
        <v>-1.9152260000000001E-2</v>
      </c>
      <c r="W2367">
        <v>2.442004E-2</v>
      </c>
      <c r="X2367">
        <v>0.99951829999999997</v>
      </c>
      <c r="Y2367">
        <v>4.6830139999999999E-2</v>
      </c>
      <c r="Z2367" s="1">
        <v>-5.9582349999999997E-5</v>
      </c>
      <c r="AA2367">
        <v>0.99890290000000004</v>
      </c>
      <c r="AB2367">
        <v>23</v>
      </c>
      <c r="AC2367">
        <v>-34.619599999999899</v>
      </c>
      <c r="AD2367">
        <v>-1.1043222640649999</v>
      </c>
      <c r="AE2367">
        <v>2.5128000000000199</v>
      </c>
      <c r="AF2367">
        <v>1.63425113609644</v>
      </c>
      <c r="AG2367">
        <v>-1.1043222640649999</v>
      </c>
      <c r="AH2367">
        <v>34.637042802727997</v>
      </c>
      <c r="AI2367">
        <v>91.824097400058506</v>
      </c>
      <c r="AJ2367">
        <v>87.298663649162194</v>
      </c>
      <c r="AK2367">
        <v>34.693155500137998</v>
      </c>
    </row>
    <row r="2368" spans="1:37" x14ac:dyDescent="0.2">
      <c r="A2368" t="str">
        <f>"20200111155544901"</f>
        <v>20200111155544901</v>
      </c>
      <c r="B2368" t="str">
        <f>"1578729344894962"</f>
        <v>1578729344894962</v>
      </c>
      <c r="C2368" t="s">
        <v>37</v>
      </c>
      <c r="D2368">
        <v>4.9766009999999996</v>
      </c>
      <c r="E2368">
        <v>0.52559800000000001</v>
      </c>
      <c r="F2368" t="s">
        <v>59</v>
      </c>
      <c r="G2368">
        <v>-340.33879999999999</v>
      </c>
      <c r="H2368" s="1">
        <v>-1.3564799999999999E-6</v>
      </c>
      <c r="I2368">
        <v>286.9135</v>
      </c>
      <c r="J2368">
        <v>-306.04300000000001</v>
      </c>
      <c r="K2368">
        <v>1.1043160000000001</v>
      </c>
      <c r="L2368">
        <v>284.40690000000001</v>
      </c>
      <c r="M2368">
        <v>-0.99956859999999903</v>
      </c>
      <c r="N2368">
        <v>0</v>
      </c>
      <c r="O2368">
        <v>2.595503E-2</v>
      </c>
      <c r="P2368">
        <v>-0.9999209</v>
      </c>
      <c r="Q2368">
        <v>1.062127E-2</v>
      </c>
      <c r="R2368">
        <v>6.7748349999999999E-3</v>
      </c>
      <c r="S2368">
        <v>-2.9998779999999998</v>
      </c>
      <c r="T2368">
        <v>-9.6174720000000005E-2</v>
      </c>
      <c r="U2368">
        <v>0.21868899999999999</v>
      </c>
      <c r="V2368">
        <v>-1.914273E-2</v>
      </c>
      <c r="W2368">
        <v>2.440527E-2</v>
      </c>
      <c r="X2368">
        <v>0.99951889999999999</v>
      </c>
      <c r="Y2368">
        <v>4.678243E-2</v>
      </c>
      <c r="Z2368" s="1">
        <v>-8.1877279999999995E-5</v>
      </c>
      <c r="AA2368">
        <v>0.99890509999999999</v>
      </c>
      <c r="AB2368">
        <v>23</v>
      </c>
      <c r="AC2368">
        <v>-34.2957999999999</v>
      </c>
      <c r="AD2368">
        <v>-1.10431735648</v>
      </c>
      <c r="AE2368">
        <v>2.5065999999999899</v>
      </c>
      <c r="AF2368">
        <v>1.6138583692876001</v>
      </c>
      <c r="AG2368">
        <v>-1.10431735648</v>
      </c>
      <c r="AH2368">
        <v>34.313920450158797</v>
      </c>
      <c r="AI2368">
        <v>91.841267323556593</v>
      </c>
      <c r="AJ2368">
        <v>87.3072390903328</v>
      </c>
      <c r="AK2368">
        <v>34.3695969182033</v>
      </c>
    </row>
    <row r="2369" spans="1:37" x14ac:dyDescent="0.2">
      <c r="A2369" t="str">
        <f>"20200111155544914"</f>
        <v>20200111155544914</v>
      </c>
      <c r="B2369" t="str">
        <f>"1578729344904721"</f>
        <v>1578729344904721</v>
      </c>
      <c r="C2369" t="s">
        <v>37</v>
      </c>
      <c r="D2369">
        <v>5.0200139999999998</v>
      </c>
      <c r="E2369">
        <v>0.5254413</v>
      </c>
      <c r="F2369" t="s">
        <v>59</v>
      </c>
      <c r="G2369">
        <v>-339.69099999999997</v>
      </c>
      <c r="H2369" s="1">
        <v>3.5224059999999899E-6</v>
      </c>
      <c r="I2369">
        <v>286.85570000000001</v>
      </c>
      <c r="J2369">
        <v>-306.18490000000003</v>
      </c>
      <c r="K2369">
        <v>1.1043129999999901</v>
      </c>
      <c r="L2369">
        <v>284.41129999999998</v>
      </c>
      <c r="M2369">
        <v>-0.99955229999999995</v>
      </c>
      <c r="N2369">
        <v>0</v>
      </c>
      <c r="O2369">
        <v>2.657402E-2</v>
      </c>
      <c r="P2369">
        <v>-0.99991390000000002</v>
      </c>
      <c r="Q2369">
        <v>1.076044E-2</v>
      </c>
      <c r="R2369">
        <v>7.5305959999999996E-3</v>
      </c>
      <c r="S2369">
        <v>-2.9998469999999999</v>
      </c>
      <c r="T2369">
        <v>-9.8453639999999995E-2</v>
      </c>
      <c r="U2369">
        <v>0.21832280000000001</v>
      </c>
      <c r="V2369">
        <v>-1.9005879999999999E-2</v>
      </c>
      <c r="W2369">
        <v>2.4543510000000001E-2</v>
      </c>
      <c r="X2369">
        <v>0.99951809999999996</v>
      </c>
      <c r="Y2369">
        <v>4.6043489999999999E-2</v>
      </c>
      <c r="Z2369">
        <v>-1.1619420000000001E-4</v>
      </c>
      <c r="AA2369">
        <v>0.99893949999999998</v>
      </c>
      <c r="AB2369">
        <v>23</v>
      </c>
      <c r="AC2369">
        <v>-33.506099999999897</v>
      </c>
      <c r="AD2369">
        <v>-1.1043094775939899</v>
      </c>
      <c r="AE2369">
        <v>2.4444000000000199</v>
      </c>
      <c r="AF2369">
        <v>1.55138437274948</v>
      </c>
      <c r="AG2369">
        <v>-1.1043094775939899</v>
      </c>
      <c r="AH2369">
        <v>33.523006780532597</v>
      </c>
      <c r="AI2369">
        <v>91.884730339625406</v>
      </c>
      <c r="AJ2369">
        <v>87.350345008895701</v>
      </c>
      <c r="AK2369">
        <v>33.577049848102298</v>
      </c>
    </row>
    <row r="2370" spans="1:37" x14ac:dyDescent="0.2">
      <c r="A2370" t="str">
        <f>"20200111155544932"</f>
        <v>20200111155544932</v>
      </c>
      <c r="B2370" t="str">
        <f>"1578729344924241"</f>
        <v>1578729344924241</v>
      </c>
      <c r="C2370" t="s">
        <v>37</v>
      </c>
      <c r="D2370">
        <v>5.0091849999999898</v>
      </c>
      <c r="E2370">
        <v>0.52512760000000003</v>
      </c>
      <c r="F2370" t="s">
        <v>59</v>
      </c>
      <c r="G2370">
        <v>-339.66180000000003</v>
      </c>
      <c r="H2370" s="1">
        <v>3.5066309999999998E-6</v>
      </c>
      <c r="I2370">
        <v>286.86040000000003</v>
      </c>
      <c r="J2370">
        <v>-306.36329999999998</v>
      </c>
      <c r="K2370">
        <v>1.1043209999999899</v>
      </c>
      <c r="L2370">
        <v>284.4169</v>
      </c>
      <c r="M2370">
        <v>-0.99953139999999996</v>
      </c>
      <c r="N2370">
        <v>0</v>
      </c>
      <c r="O2370">
        <v>2.735073E-2</v>
      </c>
      <c r="P2370">
        <v>-0.99990679999999998</v>
      </c>
      <c r="Q2370">
        <v>1.097654E-2</v>
      </c>
      <c r="R2370">
        <v>8.1443479999999992E-3</v>
      </c>
      <c r="S2370">
        <v>-2.9996339999999999</v>
      </c>
      <c r="T2370">
        <v>-9.8949789999999996E-2</v>
      </c>
      <c r="U2370">
        <v>0.21945189999999901</v>
      </c>
      <c r="V2370">
        <v>-1.9169249999999999E-2</v>
      </c>
      <c r="W2370">
        <v>2.4758019999999999E-2</v>
      </c>
      <c r="X2370">
        <v>0.99950969999999995</v>
      </c>
      <c r="Y2370">
        <v>4.5646949999999999E-2</v>
      </c>
      <c r="Z2370">
        <v>-1.4887799999999999E-4</v>
      </c>
      <c r="AA2370">
        <v>0.998957599999999</v>
      </c>
      <c r="AB2370">
        <v>23</v>
      </c>
      <c r="AC2370">
        <v>-33.298499999999997</v>
      </c>
      <c r="AD2370">
        <v>-1.1043174933689901</v>
      </c>
      <c r="AE2370">
        <v>2.4435000000000202</v>
      </c>
      <c r="AF2370">
        <v>1.5300875155237399</v>
      </c>
      <c r="AG2370">
        <v>-1.1043174933689901</v>
      </c>
      <c r="AH2370">
        <v>33.316431215924197</v>
      </c>
      <c r="AI2370">
        <v>91.896452403254102</v>
      </c>
      <c r="AJ2370">
        <v>87.370486700337295</v>
      </c>
      <c r="AK2370">
        <v>33.369825799616201</v>
      </c>
    </row>
    <row r="2371" spans="1:37" x14ac:dyDescent="0.2">
      <c r="A2371" t="str">
        <f>"20200111155544947"</f>
        <v>20200111155544947</v>
      </c>
      <c r="B2371" t="str">
        <f>"1578729344944743"</f>
        <v>1578729344944743</v>
      </c>
      <c r="C2371" t="s">
        <v>37</v>
      </c>
      <c r="D2371">
        <v>5.0650209999999998</v>
      </c>
      <c r="E2371">
        <v>0.52477790000000002</v>
      </c>
      <c r="F2371" t="s">
        <v>59</v>
      </c>
      <c r="G2371">
        <v>-339.52519999999998</v>
      </c>
      <c r="H2371" s="1">
        <v>3.435003E-6</v>
      </c>
      <c r="I2371">
        <v>286.83629999999999</v>
      </c>
      <c r="J2371">
        <v>-306.53190000000001</v>
      </c>
      <c r="K2371">
        <v>1.1043240000000001</v>
      </c>
      <c r="L2371">
        <v>284.42239999999998</v>
      </c>
      <c r="M2371">
        <v>-0.99951119999999904</v>
      </c>
      <c r="N2371">
        <v>0</v>
      </c>
      <c r="O2371">
        <v>2.8078880000000001E-2</v>
      </c>
      <c r="P2371">
        <v>-0.99989969999999995</v>
      </c>
      <c r="Q2371">
        <v>1.0945E-2</v>
      </c>
      <c r="R2371">
        <v>8.9836029999999997E-3</v>
      </c>
      <c r="S2371">
        <v>-2.999603</v>
      </c>
      <c r="T2371">
        <v>-9.9889279999999997E-2</v>
      </c>
      <c r="U2371">
        <v>0.2188416</v>
      </c>
      <c r="V2371">
        <v>-1.9058700000000001E-2</v>
      </c>
      <c r="W2371">
        <v>2.4724650000000001E-2</v>
      </c>
      <c r="X2371">
        <v>0.99951259999999997</v>
      </c>
      <c r="Y2371">
        <v>4.4718470000000003E-2</v>
      </c>
      <c r="Z2371">
        <v>-1.8992109999999999E-4</v>
      </c>
      <c r="AA2371">
        <v>0.99899959999999899</v>
      </c>
      <c r="AB2371">
        <v>23</v>
      </c>
      <c r="AC2371">
        <v>-32.993299999999898</v>
      </c>
      <c r="AD2371">
        <v>-1.104320564997</v>
      </c>
      <c r="AE2371">
        <v>2.4139000000000101</v>
      </c>
      <c r="AF2371">
        <v>1.48479103171608</v>
      </c>
      <c r="AG2371">
        <v>-1.104320564997</v>
      </c>
      <c r="AH2371">
        <v>33.011288625853901</v>
      </c>
      <c r="AI2371">
        <v>91.914056968753798</v>
      </c>
      <c r="AJ2371">
        <v>87.4246700358987</v>
      </c>
      <c r="AK2371">
        <v>33.063110940405601</v>
      </c>
    </row>
    <row r="2372" spans="1:37" x14ac:dyDescent="0.2">
      <c r="A2372" t="str">
        <f>"20200111155544960"</f>
        <v>20200111155544960</v>
      </c>
      <c r="B2372" t="str">
        <f>"1578729344954503"</f>
        <v>1578729344954503</v>
      </c>
      <c r="C2372" t="s">
        <v>37</v>
      </c>
      <c r="D2372">
        <v>4.994218</v>
      </c>
      <c r="E2372">
        <v>0.52464569999999999</v>
      </c>
      <c r="F2372" t="s">
        <v>59</v>
      </c>
      <c r="G2372">
        <v>-338.74329999999998</v>
      </c>
      <c r="H2372" s="1">
        <v>3.02183E-6</v>
      </c>
      <c r="I2372">
        <v>286.7706</v>
      </c>
      <c r="J2372">
        <v>-306.66879999999998</v>
      </c>
      <c r="K2372">
        <v>1.1043270000000001</v>
      </c>
      <c r="L2372">
        <v>284.42680000000001</v>
      </c>
      <c r="M2372">
        <v>-0.99949460000000001</v>
      </c>
      <c r="N2372">
        <v>0</v>
      </c>
      <c r="O2372">
        <v>2.8664559999999999E-2</v>
      </c>
      <c r="P2372">
        <v>-0.99989779999999995</v>
      </c>
      <c r="Q2372">
        <v>1.094845E-2</v>
      </c>
      <c r="R2372">
        <v>9.1890069999999904E-3</v>
      </c>
      <c r="S2372">
        <v>-2.9994509999999899</v>
      </c>
      <c r="T2372">
        <v>-0.1028316</v>
      </c>
      <c r="U2372">
        <v>0.218658399999999</v>
      </c>
      <c r="V2372">
        <v>-1.9439979999999999E-2</v>
      </c>
      <c r="W2372">
        <v>2.4726560000000002E-2</v>
      </c>
      <c r="X2372">
        <v>0.99950519999999998</v>
      </c>
      <c r="Y2372">
        <v>4.4076280000000002E-2</v>
      </c>
      <c r="Z2372">
        <v>-2.2654519999999999E-4</v>
      </c>
      <c r="AA2372">
        <v>0.99902809999999898</v>
      </c>
      <c r="AB2372">
        <v>23</v>
      </c>
      <c r="AC2372">
        <v>-32.0745</v>
      </c>
      <c r="AD2372">
        <v>-1.1043239781700001</v>
      </c>
      <c r="AE2372">
        <v>2.3437999999999799</v>
      </c>
      <c r="AF2372">
        <v>1.4216721154210199</v>
      </c>
      <c r="AG2372">
        <v>-1.1043239781700001</v>
      </c>
      <c r="AH2372">
        <v>32.090669070020503</v>
      </c>
      <c r="AI2372">
        <v>91.968990344412504</v>
      </c>
      <c r="AJ2372">
        <v>87.463356560490496</v>
      </c>
      <c r="AK2372">
        <v>32.141122015481898</v>
      </c>
    </row>
    <row r="2373" spans="1:37" x14ac:dyDescent="0.2">
      <c r="A2373" t="str">
        <f>"20200111155544975"</f>
        <v>20200111155544975</v>
      </c>
      <c r="B2373" t="str">
        <f>"1578729344964261"</f>
        <v>1578729344964261</v>
      </c>
      <c r="C2373" t="s">
        <v>37</v>
      </c>
      <c r="D2373">
        <v>4.9997530000000001</v>
      </c>
      <c r="E2373">
        <v>0.52449659999999998</v>
      </c>
      <c r="F2373" t="s">
        <v>59</v>
      </c>
      <c r="G2373">
        <v>-338.66550000000001</v>
      </c>
      <c r="H2373" s="1">
        <v>2.9810069999999999E-6</v>
      </c>
      <c r="I2373">
        <v>286.7561</v>
      </c>
      <c r="J2373">
        <v>-306.82900000000001</v>
      </c>
      <c r="K2373">
        <v>1.1043350000000001</v>
      </c>
      <c r="L2373">
        <v>284.43220000000002</v>
      </c>
      <c r="M2373">
        <v>-0.99947509999999995</v>
      </c>
      <c r="N2373">
        <v>0</v>
      </c>
      <c r="O2373">
        <v>2.933581E-2</v>
      </c>
      <c r="P2373">
        <v>-0.99990709999999905</v>
      </c>
      <c r="Q2373">
        <v>1.030203E-2</v>
      </c>
      <c r="R2373">
        <v>8.9518959999999904E-3</v>
      </c>
      <c r="S2373">
        <v>-2.9994509999999899</v>
      </c>
      <c r="T2373">
        <v>-0.1035223</v>
      </c>
      <c r="U2373">
        <v>0.2183533</v>
      </c>
      <c r="V2373">
        <v>-2.0350130000000001E-2</v>
      </c>
      <c r="W2373">
        <v>2.407921E-2</v>
      </c>
      <c r="X2373">
        <v>0.99950289999999997</v>
      </c>
      <c r="Y2373">
        <v>4.3304950000000002E-2</v>
      </c>
      <c r="Z2373">
        <v>-2.6446940000000001E-4</v>
      </c>
      <c r="AA2373">
        <v>0.99906189999999995</v>
      </c>
      <c r="AB2373">
        <v>23</v>
      </c>
      <c r="AC2373">
        <v>-31.836500000000001</v>
      </c>
      <c r="AD2373">
        <v>-1.1043320189929999</v>
      </c>
      <c r="AE2373">
        <v>2.3238999999999801</v>
      </c>
      <c r="AF2373">
        <v>1.3872016017562201</v>
      </c>
      <c r="AG2373">
        <v>-1.1043320189929999</v>
      </c>
      <c r="AH2373">
        <v>31.852852127332799</v>
      </c>
      <c r="AI2373">
        <v>91.983759074720496</v>
      </c>
      <c r="AJ2373">
        <v>87.506326737759906</v>
      </c>
      <c r="AK2373">
        <v>31.9021639726495</v>
      </c>
    </row>
    <row r="2374" spans="1:37" x14ac:dyDescent="0.2">
      <c r="A2374" t="str">
        <f>"20200111155544989"</f>
        <v>20200111155544989</v>
      </c>
      <c r="B2374" t="str">
        <f>"1578729344984758"</f>
        <v>1578729344984758</v>
      </c>
      <c r="C2374" t="s">
        <v>37</v>
      </c>
      <c r="D2374">
        <v>4.9617879999999897</v>
      </c>
      <c r="E2374">
        <v>0.52416379999999996</v>
      </c>
      <c r="F2374" t="s">
        <v>59</v>
      </c>
      <c r="G2374">
        <v>-338.03320000000002</v>
      </c>
      <c r="H2374" s="1">
        <v>2.647666E-6</v>
      </c>
      <c r="I2374">
        <v>286.68509999999998</v>
      </c>
      <c r="J2374">
        <v>-306.96159999999998</v>
      </c>
      <c r="K2374">
        <v>1.104347</v>
      </c>
      <c r="L2374">
        <v>284.43669999999997</v>
      </c>
      <c r="M2374">
        <v>-0.99945910000000004</v>
      </c>
      <c r="N2374">
        <v>0</v>
      </c>
      <c r="O2374">
        <v>2.987801E-2</v>
      </c>
      <c r="P2374">
        <v>-0.999911199999999</v>
      </c>
      <c r="Q2374">
        <v>1.022611E-2</v>
      </c>
      <c r="R2374">
        <v>8.5621959999999993E-3</v>
      </c>
      <c r="S2374">
        <v>-2.9994200000000002</v>
      </c>
      <c r="T2374">
        <v>-0.10615090000000001</v>
      </c>
      <c r="U2374">
        <v>0.21655269999999999</v>
      </c>
      <c r="V2374">
        <v>-2.1282860000000001E-2</v>
      </c>
      <c r="W2374">
        <v>2.400246E-2</v>
      </c>
      <c r="X2374">
        <v>0.99948530000000002</v>
      </c>
      <c r="Y2374">
        <v>4.2167699999999898E-2</v>
      </c>
      <c r="Z2374">
        <v>-3.1042580000000003E-4</v>
      </c>
      <c r="AA2374">
        <v>0.99911049999999901</v>
      </c>
      <c r="AB2374">
        <v>23</v>
      </c>
      <c r="AC2374">
        <v>-31.0716</v>
      </c>
      <c r="AD2374">
        <v>-1.104344352334</v>
      </c>
      <c r="AE2374">
        <v>2.2484000000000002</v>
      </c>
      <c r="AF2374">
        <v>1.3172954109492101</v>
      </c>
      <c r="AG2374">
        <v>-1.104344352334</v>
      </c>
      <c r="AH2374">
        <v>31.085845638597199</v>
      </c>
      <c r="AI2374">
        <v>92.0327903776097</v>
      </c>
      <c r="AJ2374">
        <v>87.573482830030002</v>
      </c>
      <c r="AK2374">
        <v>31.133336517548798</v>
      </c>
    </row>
    <row r="2375" spans="1:37" x14ac:dyDescent="0.2">
      <c r="A2375" t="str">
        <f>"20200111155545002"</f>
        <v>20200111155545002</v>
      </c>
      <c r="B2375" t="str">
        <f>"1578729344994518"</f>
        <v>1578729344994518</v>
      </c>
      <c r="C2375" t="s">
        <v>37</v>
      </c>
      <c r="D2375">
        <v>5.0871979999999999</v>
      </c>
      <c r="E2375">
        <v>0.52408060000000001</v>
      </c>
      <c r="F2375" t="s">
        <v>59</v>
      </c>
      <c r="G2375">
        <v>-337.642</v>
      </c>
      <c r="H2375" s="1">
        <v>2.442702E-6</v>
      </c>
      <c r="I2375">
        <v>286.61079999999998</v>
      </c>
      <c r="J2375">
        <v>-307.09879999999998</v>
      </c>
      <c r="K2375">
        <v>1.1043620000000001</v>
      </c>
      <c r="L2375">
        <v>284.44139999999999</v>
      </c>
      <c r="M2375">
        <v>-0.99944249999999901</v>
      </c>
      <c r="N2375">
        <v>0</v>
      </c>
      <c r="O2375">
        <v>3.042798E-2</v>
      </c>
      <c r="P2375">
        <v>-0.99991439999999998</v>
      </c>
      <c r="Q2375">
        <v>1.039672E-2</v>
      </c>
      <c r="R2375">
        <v>7.9603219999999902E-3</v>
      </c>
      <c r="S2375">
        <v>-2.9995419999999999</v>
      </c>
      <c r="T2375">
        <v>-0.1079692</v>
      </c>
      <c r="U2375">
        <v>0.21255489999999999</v>
      </c>
      <c r="V2375">
        <v>-2.2435150000000001E-2</v>
      </c>
      <c r="W2375">
        <v>2.4172160000000002E-2</v>
      </c>
      <c r="X2375">
        <v>0.99945599999999901</v>
      </c>
      <c r="Y2375">
        <v>4.0291390000000003E-2</v>
      </c>
      <c r="Z2375">
        <v>-3.6921289999999998E-4</v>
      </c>
      <c r="AA2375">
        <v>0.99918790000000002</v>
      </c>
      <c r="AB2375">
        <v>23</v>
      </c>
      <c r="AC2375">
        <v>-30.543199999999999</v>
      </c>
      <c r="AD2375">
        <v>-1.1043595572980001</v>
      </c>
      <c r="AE2375">
        <v>2.1693999999999898</v>
      </c>
      <c r="AF2375">
        <v>1.2373301550540401</v>
      </c>
      <c r="AG2375">
        <v>-1.1043595572980001</v>
      </c>
      <c r="AH2375">
        <v>30.555325358180799</v>
      </c>
      <c r="AI2375">
        <v>92.068243795720903</v>
      </c>
      <c r="AJ2375">
        <v>87.681088914187896</v>
      </c>
      <c r="AK2375">
        <v>30.600302346360699</v>
      </c>
    </row>
    <row r="2376" spans="1:37" x14ac:dyDescent="0.2">
      <c r="A2376" t="str">
        <f>"20200111155545015"</f>
        <v>20200111155545015</v>
      </c>
      <c r="B2376" t="str">
        <f>"1578729345004279"</f>
        <v>1578729345004279</v>
      </c>
      <c r="C2376" t="s">
        <v>37</v>
      </c>
      <c r="D2376">
        <v>4.9699359999999997</v>
      </c>
      <c r="E2376">
        <v>0.52396549999999997</v>
      </c>
      <c r="F2376" t="s">
        <v>59</v>
      </c>
      <c r="G2376">
        <v>-337.73090000000002</v>
      </c>
      <c r="H2376" s="1">
        <v>2.4910579999999999E-6</v>
      </c>
      <c r="I2376">
        <v>286.58679999999998</v>
      </c>
      <c r="J2376">
        <v>-307.23500000000001</v>
      </c>
      <c r="K2376">
        <v>1.1043829999999999</v>
      </c>
      <c r="L2376">
        <v>284.44619999999998</v>
      </c>
      <c r="M2376">
        <v>-0.99942629999999999</v>
      </c>
      <c r="N2376">
        <v>0</v>
      </c>
      <c r="O2376">
        <v>3.095614E-2</v>
      </c>
      <c r="P2376">
        <v>-0.99991399999999997</v>
      </c>
      <c r="Q2376">
        <v>1.07672999999999E-2</v>
      </c>
      <c r="R2376">
        <v>7.4839769999999898E-3</v>
      </c>
      <c r="S2376">
        <v>-2.999695</v>
      </c>
      <c r="T2376">
        <v>-0.1081461</v>
      </c>
      <c r="U2376">
        <v>0.21008299999999999</v>
      </c>
      <c r="V2376">
        <v>-2.3440510000000001E-2</v>
      </c>
      <c r="W2376">
        <v>2.454112E-2</v>
      </c>
      <c r="X2376">
        <v>0.99942399999999998</v>
      </c>
      <c r="Y2376">
        <v>3.89416E-2</v>
      </c>
      <c r="Z2376">
        <v>-4.1310369999999997E-4</v>
      </c>
      <c r="AA2376">
        <v>0.99924139999999995</v>
      </c>
      <c r="AB2376">
        <v>23</v>
      </c>
      <c r="AC2376">
        <v>-30.495899999999999</v>
      </c>
      <c r="AD2376">
        <v>-1.10438050894199</v>
      </c>
      <c r="AE2376">
        <v>2.1406000000000001</v>
      </c>
      <c r="AF2376">
        <v>1.19389137435707</v>
      </c>
      <c r="AG2376">
        <v>-1.10438050894199</v>
      </c>
      <c r="AH2376">
        <v>30.507739390240801</v>
      </c>
      <c r="AI2376">
        <v>92.071618251295604</v>
      </c>
      <c r="AJ2376">
        <v>87.758927726417198</v>
      </c>
      <c r="AK2376">
        <v>30.551058829853101</v>
      </c>
    </row>
    <row r="2377" spans="1:37" x14ac:dyDescent="0.2">
      <c r="A2377" t="str">
        <f>"20200111155545031"</f>
        <v>20200111155545031</v>
      </c>
      <c r="B2377" t="str">
        <f>"1578729345024773"</f>
        <v>1578729345024773</v>
      </c>
      <c r="C2377" t="s">
        <v>37</v>
      </c>
      <c r="D2377">
        <v>5.0903130000000001</v>
      </c>
      <c r="E2377">
        <v>0.52367790000000003</v>
      </c>
      <c r="F2377" t="s">
        <v>59</v>
      </c>
      <c r="G2377">
        <v>-337.92329999999998</v>
      </c>
      <c r="H2377" s="1">
        <v>2.5941260000000002E-6</v>
      </c>
      <c r="I2377">
        <v>286.57130000000001</v>
      </c>
      <c r="J2377">
        <v>-307.40640000000002</v>
      </c>
      <c r="K2377">
        <v>1.1044179999999999</v>
      </c>
      <c r="L2377">
        <v>284.45229999999998</v>
      </c>
      <c r="M2377">
        <v>-0.99940640000000003</v>
      </c>
      <c r="N2377">
        <v>0</v>
      </c>
      <c r="O2377">
        <v>3.159402E-2</v>
      </c>
      <c r="P2377">
        <v>-0.99990210000000002</v>
      </c>
      <c r="Q2377">
        <v>1.2488519999999999E-2</v>
      </c>
      <c r="R2377">
        <v>6.3373639999999998E-3</v>
      </c>
      <c r="S2377">
        <v>-2.9998779999999998</v>
      </c>
      <c r="T2377">
        <v>-0.1079566</v>
      </c>
      <c r="U2377">
        <v>0.20773320000000001</v>
      </c>
      <c r="V2377">
        <v>-2.522315E-2</v>
      </c>
      <c r="W2377">
        <v>2.6260039999999998E-2</v>
      </c>
      <c r="X2377">
        <v>0.99933689999999997</v>
      </c>
      <c r="Y2377">
        <v>3.7521949999999998E-2</v>
      </c>
      <c r="Z2377">
        <v>-4.6077769999999899E-4</v>
      </c>
      <c r="AA2377">
        <v>0.99929570000000001</v>
      </c>
      <c r="AB2377">
        <v>23</v>
      </c>
      <c r="AC2377">
        <v>-30.5168999999999</v>
      </c>
      <c r="AD2377">
        <v>-1.1044154058739999</v>
      </c>
      <c r="AE2377">
        <v>2.1190000000000202</v>
      </c>
      <c r="AF2377">
        <v>1.15219761473712</v>
      </c>
      <c r="AG2377">
        <v>-1.1044154058739999</v>
      </c>
      <c r="AH2377">
        <v>30.528823786817</v>
      </c>
      <c r="AI2377">
        <v>92.070364686349905</v>
      </c>
      <c r="AJ2377">
        <v>87.838608419585995</v>
      </c>
      <c r="AK2377">
        <v>30.570514790213501</v>
      </c>
    </row>
    <row r="2378" spans="1:37" x14ac:dyDescent="0.2">
      <c r="A2378" t="str">
        <f>"20200111155545045"</f>
        <v>20200111155545045</v>
      </c>
      <c r="B2378" t="str">
        <f>"1578729345034534"</f>
        <v>1578729345034534</v>
      </c>
      <c r="C2378" t="s">
        <v>37</v>
      </c>
      <c r="D2378">
        <v>5.0295160000000001</v>
      </c>
      <c r="E2378">
        <v>0.52356309999999995</v>
      </c>
      <c r="F2378" t="s">
        <v>59</v>
      </c>
      <c r="G2378">
        <v>-339.18020000000001</v>
      </c>
      <c r="H2378" s="1">
        <v>3.2621620000000001E-6</v>
      </c>
      <c r="I2378">
        <v>286.59109999999998</v>
      </c>
      <c r="J2378">
        <v>-307.5462</v>
      </c>
      <c r="K2378">
        <v>1.1044449999999999</v>
      </c>
      <c r="L2378">
        <v>284.45729999999998</v>
      </c>
      <c r="M2378">
        <v>-0.99939049999999996</v>
      </c>
      <c r="N2378">
        <v>0</v>
      </c>
      <c r="O2378">
        <v>3.2090430000000003E-2</v>
      </c>
      <c r="P2378">
        <v>-0.99989240000000001</v>
      </c>
      <c r="Q2378">
        <v>1.3487290000000001E-2</v>
      </c>
      <c r="R2378">
        <v>5.7885940000000002E-3</v>
      </c>
      <c r="S2378">
        <v>-3.000305</v>
      </c>
      <c r="T2378">
        <v>-0.1042864</v>
      </c>
      <c r="U2378">
        <v>0.20196529999999999</v>
      </c>
      <c r="V2378">
        <v>-2.626792E-2</v>
      </c>
      <c r="W2378">
        <v>2.725675E-2</v>
      </c>
      <c r="X2378">
        <v>0.99928329999999999</v>
      </c>
      <c r="Y2378">
        <v>3.5105520000000001E-2</v>
      </c>
      <c r="Z2378">
        <v>-5.0424759999999997E-4</v>
      </c>
      <c r="AA2378">
        <v>0.99938349999999898</v>
      </c>
      <c r="AB2378">
        <v>23</v>
      </c>
      <c r="AC2378">
        <v>-31.634</v>
      </c>
      <c r="AD2378">
        <v>-1.104441737838</v>
      </c>
      <c r="AE2378">
        <v>2.1337999999999999</v>
      </c>
      <c r="AF2378">
        <v>1.11610201333797</v>
      </c>
      <c r="AG2378">
        <v>-1.104441737838</v>
      </c>
      <c r="AH2378">
        <v>31.647783883915199</v>
      </c>
      <c r="AI2378">
        <v>91.997451508847007</v>
      </c>
      <c r="AJ2378">
        <v>87.980223706969994</v>
      </c>
      <c r="AK2378">
        <v>31.6867117262025</v>
      </c>
    </row>
    <row r="2379" spans="1:37" x14ac:dyDescent="0.2">
      <c r="A2379" t="str">
        <f>"20200111155545060"</f>
        <v>20200111155545060</v>
      </c>
      <c r="B2379" t="str">
        <f>"1578729345054563"</f>
        <v>1578729345054563</v>
      </c>
      <c r="C2379" t="s">
        <v>37</v>
      </c>
      <c r="D2379">
        <v>4.9863210000000002</v>
      </c>
      <c r="E2379">
        <v>0.52342849999999996</v>
      </c>
      <c r="F2379" t="s">
        <v>59</v>
      </c>
      <c r="G2379">
        <v>-340.0059</v>
      </c>
      <c r="H2379" s="1">
        <v>-1.5336490000000001E-6</v>
      </c>
      <c r="I2379">
        <v>286.613</v>
      </c>
      <c r="J2379">
        <v>-307.70409999999998</v>
      </c>
      <c r="K2379">
        <v>1.104482</v>
      </c>
      <c r="L2379">
        <v>284.462999999999</v>
      </c>
      <c r="M2379">
        <v>-0.99937319999999996</v>
      </c>
      <c r="N2379">
        <v>0</v>
      </c>
      <c r="O2379">
        <v>3.2624269999999997E-2</v>
      </c>
      <c r="P2379">
        <v>-0.99989810000000001</v>
      </c>
      <c r="Q2379">
        <v>1.320059E-2</v>
      </c>
      <c r="R2379">
        <v>5.4453949999999996E-3</v>
      </c>
      <c r="S2379">
        <v>-3.0005799999999998</v>
      </c>
      <c r="T2379">
        <v>-0.1020952</v>
      </c>
      <c r="U2379">
        <v>0.19927979999999901</v>
      </c>
      <c r="V2379">
        <v>-2.7147729999999998E-2</v>
      </c>
      <c r="W2379">
        <v>2.6966469999999999E-2</v>
      </c>
      <c r="X2379">
        <v>0.99926759999999903</v>
      </c>
      <c r="Y2379">
        <v>3.367626E-2</v>
      </c>
      <c r="Z2379">
        <v>-5.360381E-4</v>
      </c>
      <c r="AA2379">
        <v>0.99943259999999901</v>
      </c>
      <c r="AB2379">
        <v>23</v>
      </c>
      <c r="AC2379">
        <v>-32.3018</v>
      </c>
      <c r="AD2379">
        <v>-1.104483533649</v>
      </c>
      <c r="AE2379">
        <v>2.1500000000000301</v>
      </c>
      <c r="AF2379">
        <v>1.0936601391602201</v>
      </c>
      <c r="AG2379">
        <v>-1.104483533649</v>
      </c>
      <c r="AH2379">
        <v>32.317134404915201</v>
      </c>
      <c r="AI2379">
        <v>91.956282987397202</v>
      </c>
      <c r="AJ2379">
        <v>88.061764863138194</v>
      </c>
      <c r="AK2379">
        <v>32.354491999125003</v>
      </c>
    </row>
    <row r="2380" spans="1:37" x14ac:dyDescent="0.2">
      <c r="A2380" t="str">
        <f>"20200111155545074"</f>
        <v>20200111155545074</v>
      </c>
      <c r="B2380" t="str">
        <f>"1578729345064323"</f>
        <v>1578729345064323</v>
      </c>
      <c r="C2380" t="s">
        <v>37</v>
      </c>
      <c r="D2380">
        <v>4.9865009999999996</v>
      </c>
      <c r="E2380">
        <v>0.52333960000000002</v>
      </c>
      <c r="F2380" t="s">
        <v>59</v>
      </c>
      <c r="G2380">
        <v>-339.43009999999998</v>
      </c>
      <c r="H2380" s="1">
        <v>3.3971149999999998E-6</v>
      </c>
      <c r="I2380">
        <v>286.54509999999999</v>
      </c>
      <c r="J2380">
        <v>-307.84989999999999</v>
      </c>
      <c r="K2380">
        <v>1.104519</v>
      </c>
      <c r="L2380">
        <v>284.4683</v>
      </c>
      <c r="M2380">
        <v>-0.99935839999999998</v>
      </c>
      <c r="N2380">
        <v>0</v>
      </c>
      <c r="O2380">
        <v>3.307947E-2</v>
      </c>
      <c r="P2380">
        <v>-0.99989969999999995</v>
      </c>
      <c r="Q2380">
        <v>1.3326910000000001E-2</v>
      </c>
      <c r="R2380">
        <v>4.8233809999999998E-3</v>
      </c>
      <c r="S2380">
        <v>-3.0006409999999999</v>
      </c>
      <c r="T2380">
        <v>-0.1044616</v>
      </c>
      <c r="U2380">
        <v>0.19692989999999999</v>
      </c>
      <c r="V2380">
        <v>-2.822734E-2</v>
      </c>
      <c r="W2380">
        <v>2.7089450000000001E-2</v>
      </c>
      <c r="X2380">
        <v>0.99923439999999997</v>
      </c>
      <c r="Y2380">
        <v>3.2441369999999997E-2</v>
      </c>
      <c r="Z2380">
        <v>-5.857382E-4</v>
      </c>
      <c r="AA2380">
        <v>0.99947350000000001</v>
      </c>
      <c r="AB2380">
        <v>23</v>
      </c>
      <c r="AC2380">
        <v>-31.580199999999898</v>
      </c>
      <c r="AD2380">
        <v>-1.1045156028850001</v>
      </c>
      <c r="AE2380">
        <v>2.0767999999999902</v>
      </c>
      <c r="AF2380">
        <v>1.02965433605101</v>
      </c>
      <c r="AG2380">
        <v>-1.1045156028850001</v>
      </c>
      <c r="AH2380">
        <v>31.5931398123676</v>
      </c>
      <c r="AI2380">
        <v>92.001218526725594</v>
      </c>
      <c r="AJ2380">
        <v>88.133329773887098</v>
      </c>
      <c r="AK2380">
        <v>31.629205269380002</v>
      </c>
    </row>
    <row r="2381" spans="1:37" x14ac:dyDescent="0.2">
      <c r="A2381" t="str">
        <f>"20200111155545088"</f>
        <v>20200111155545088</v>
      </c>
      <c r="B2381" t="str">
        <f>"1578729345084819"</f>
        <v>1578729345084819</v>
      </c>
      <c r="C2381" t="s">
        <v>37</v>
      </c>
      <c r="D2381">
        <v>4.9649619999999999</v>
      </c>
      <c r="E2381">
        <v>0.52320169999999999</v>
      </c>
      <c r="F2381" t="s">
        <v>59</v>
      </c>
      <c r="G2381">
        <v>-339.4384</v>
      </c>
      <c r="H2381" s="1">
        <v>3.4028609999999899E-6</v>
      </c>
      <c r="I2381">
        <v>286.51459999999997</v>
      </c>
      <c r="J2381">
        <v>-307.9923</v>
      </c>
      <c r="K2381">
        <v>1.1045559999999901</v>
      </c>
      <c r="L2381">
        <v>284.4735</v>
      </c>
      <c r="M2381">
        <v>-0.99934469999999997</v>
      </c>
      <c r="N2381">
        <v>0</v>
      </c>
      <c r="O2381">
        <v>3.3490300000000001E-2</v>
      </c>
      <c r="P2381">
        <v>-0.99987579999999998</v>
      </c>
      <c r="Q2381">
        <v>1.5423859999999999E-2</v>
      </c>
      <c r="R2381">
        <v>3.2138379999999901E-3</v>
      </c>
      <c r="S2381">
        <v>-3.0007630000000001</v>
      </c>
      <c r="T2381">
        <v>-0.10492409999999899</v>
      </c>
      <c r="U2381">
        <v>0.19439699999999999</v>
      </c>
      <c r="V2381">
        <v>-3.024574E-2</v>
      </c>
      <c r="W2381">
        <v>2.9181929999999998E-2</v>
      </c>
      <c r="X2381">
        <v>0.99911640000000002</v>
      </c>
      <c r="Y2381">
        <v>3.1188730000000001E-2</v>
      </c>
      <c r="Z2381">
        <v>-6.2452969999999999E-4</v>
      </c>
      <c r="AA2381">
        <v>0.99951329999999905</v>
      </c>
      <c r="AB2381">
        <v>23</v>
      </c>
      <c r="AC2381">
        <v>-31.446100000000001</v>
      </c>
      <c r="AD2381">
        <v>-1.10455259713899</v>
      </c>
      <c r="AE2381">
        <v>2.0410999999999699</v>
      </c>
      <c r="AF2381">
        <v>0.98550538158127898</v>
      </c>
      <c r="AG2381">
        <v>-1.10455259713899</v>
      </c>
      <c r="AH2381">
        <v>31.458170483482899</v>
      </c>
      <c r="AI2381">
        <v>92.009945881919705</v>
      </c>
      <c r="AJ2381">
        <v>88.205654138214399</v>
      </c>
      <c r="AK2381">
        <v>31.492979336113098</v>
      </c>
    </row>
    <row r="2382" spans="1:37" x14ac:dyDescent="0.2">
      <c r="A2382" t="str">
        <f>"20200111155545104"</f>
        <v>20200111155545104</v>
      </c>
      <c r="B2382" t="str">
        <f>"1578729345094580"</f>
        <v>1578729345094580</v>
      </c>
      <c r="C2382" t="s">
        <v>37</v>
      </c>
      <c r="D2382">
        <v>4.9525959999999998</v>
      </c>
      <c r="E2382">
        <v>0.52314830000000001</v>
      </c>
      <c r="F2382" t="s">
        <v>59</v>
      </c>
      <c r="G2382">
        <v>-341.21539999999999</v>
      </c>
      <c r="H2382" s="1">
        <v>-8.9001759999999995E-7</v>
      </c>
      <c r="I2382">
        <v>286.56020000000001</v>
      </c>
      <c r="J2382">
        <v>-308.14999999999998</v>
      </c>
      <c r="K2382">
        <v>1.104603</v>
      </c>
      <c r="L2382">
        <v>284.47930000000002</v>
      </c>
      <c r="M2382">
        <v>-0.99933069999999902</v>
      </c>
      <c r="N2382">
        <v>0</v>
      </c>
      <c r="O2382">
        <v>3.3909750000000002E-2</v>
      </c>
      <c r="P2382">
        <v>-0.99985100000000005</v>
      </c>
      <c r="Q2382">
        <v>1.7095630000000001E-2</v>
      </c>
      <c r="R2382">
        <v>2.4370329999999999E-3</v>
      </c>
      <c r="S2382">
        <v>-3.001312</v>
      </c>
      <c r="T2382">
        <v>-9.9783659999999996E-2</v>
      </c>
      <c r="U2382">
        <v>0.18850710000000001</v>
      </c>
      <c r="V2382">
        <v>-3.1441860000000002E-2</v>
      </c>
      <c r="W2382">
        <v>3.0845819999999999E-2</v>
      </c>
      <c r="X2382">
        <v>0.99902950000000001</v>
      </c>
      <c r="Y2382">
        <v>2.88052E-2</v>
      </c>
      <c r="Z2382">
        <v>-6.473758E-4</v>
      </c>
      <c r="AA2382">
        <v>0.9995849</v>
      </c>
      <c r="AB2382">
        <v>23</v>
      </c>
      <c r="AC2382">
        <v>-33.065399999999997</v>
      </c>
      <c r="AD2382">
        <v>-1.1046038900176001</v>
      </c>
      <c r="AE2382">
        <v>2.0808999999999802</v>
      </c>
      <c r="AF2382">
        <v>0.95729390161919803</v>
      </c>
      <c r="AG2382">
        <v>-1.1046038900176001</v>
      </c>
      <c r="AH2382">
        <v>33.080177958785697</v>
      </c>
      <c r="AI2382">
        <v>91.911694058738505</v>
      </c>
      <c r="AJ2382">
        <v>88.342403201609102</v>
      </c>
      <c r="AK2382">
        <v>33.112455891293301</v>
      </c>
    </row>
    <row r="2383" spans="1:37" x14ac:dyDescent="0.2">
      <c r="A2383" t="str">
        <f>"20200111155545122"</f>
        <v>20200111155545122</v>
      </c>
      <c r="B2383" t="str">
        <f>"1578729345115075"</f>
        <v>1578729345115075</v>
      </c>
      <c r="C2383" t="s">
        <v>37</v>
      </c>
      <c r="D2383">
        <v>4.9114149999999999</v>
      </c>
      <c r="E2383">
        <v>0.52316309999999999</v>
      </c>
      <c r="F2383" t="s">
        <v>59</v>
      </c>
      <c r="G2383">
        <v>-342.85059999999999</v>
      </c>
      <c r="H2383" s="1">
        <v>-1.9850380000000001E-8</v>
      </c>
      <c r="I2383">
        <v>286.62580000000003</v>
      </c>
      <c r="J2383">
        <v>-308.34309999999999</v>
      </c>
      <c r="K2383">
        <v>1.104665</v>
      </c>
      <c r="L2383">
        <v>284.48649999999998</v>
      </c>
      <c r="M2383">
        <v>-0.99931539999999996</v>
      </c>
      <c r="N2383">
        <v>0</v>
      </c>
      <c r="O2383">
        <v>3.4356409999999997E-2</v>
      </c>
      <c r="P2383">
        <v>-0.99978419999999901</v>
      </c>
      <c r="Q2383">
        <v>2.0770779999999999E-2</v>
      </c>
      <c r="R2383">
        <v>-2.2008290000000001E-4</v>
      </c>
      <c r="S2383">
        <v>-3.001617</v>
      </c>
      <c r="T2383">
        <v>-9.5548750000000002E-2</v>
      </c>
      <c r="U2383">
        <v>0.1856689</v>
      </c>
      <c r="V2383">
        <v>-3.4543530000000003E-2</v>
      </c>
      <c r="W2383">
        <v>3.4505019999999997E-2</v>
      </c>
      <c r="X2383">
        <v>0.99880740000000001</v>
      </c>
      <c r="Y2383">
        <v>2.741124E-2</v>
      </c>
      <c r="Z2383">
        <v>-6.5622279999999998E-4</v>
      </c>
      <c r="AA2383">
        <v>0.99962399999999996</v>
      </c>
      <c r="AB2383">
        <v>23</v>
      </c>
      <c r="AC2383">
        <v>-34.507499999999901</v>
      </c>
      <c r="AD2383">
        <v>-1.10466501985037</v>
      </c>
      <c r="AE2383">
        <v>2.1393000000000399</v>
      </c>
      <c r="AF2383">
        <v>0.95140006884372397</v>
      </c>
      <c r="AG2383">
        <v>-1.10466501985037</v>
      </c>
      <c r="AH2383">
        <v>34.525384301899798</v>
      </c>
      <c r="AI2383">
        <v>91.831900412124099</v>
      </c>
      <c r="AJ2383">
        <v>88.421526131267299</v>
      </c>
      <c r="AK2383">
        <v>34.556151523150703</v>
      </c>
    </row>
    <row r="2384" spans="1:37" x14ac:dyDescent="0.2">
      <c r="A2384" t="str">
        <f>"20200111155545141"</f>
        <v>20200111155545141</v>
      </c>
      <c r="B2384" t="str">
        <f>"1578729345134595"</f>
        <v>1578729345134595</v>
      </c>
      <c r="C2384" t="s">
        <v>37</v>
      </c>
      <c r="D2384">
        <v>4.9130549999999999</v>
      </c>
      <c r="E2384">
        <v>0.50283059999999902</v>
      </c>
      <c r="F2384" t="s">
        <v>59</v>
      </c>
      <c r="G2384">
        <v>-347.66199999999998</v>
      </c>
      <c r="H2384" s="1">
        <v>2.5405690000000001E-6</v>
      </c>
      <c r="I2384">
        <v>286.81760000000003</v>
      </c>
      <c r="J2384">
        <v>-308.53559999999999</v>
      </c>
      <c r="K2384">
        <v>1.104727</v>
      </c>
      <c r="L2384">
        <v>284.49349999999998</v>
      </c>
      <c r="M2384">
        <v>-0.99930300000000005</v>
      </c>
      <c r="N2384">
        <v>0</v>
      </c>
      <c r="O2384">
        <v>3.472542E-2</v>
      </c>
      <c r="P2384">
        <v>-0.99973429999999996</v>
      </c>
      <c r="Q2384">
        <v>2.2966509999999999E-2</v>
      </c>
      <c r="R2384">
        <v>-2.0597329999999998E-3</v>
      </c>
      <c r="S2384">
        <v>-3.0024109999999999</v>
      </c>
      <c r="T2384">
        <v>-8.4352490000000002E-2</v>
      </c>
      <c r="U2384">
        <v>0.178009</v>
      </c>
      <c r="V2384">
        <v>-3.6752859999999998E-2</v>
      </c>
      <c r="W2384">
        <v>3.6680400000000002E-2</v>
      </c>
      <c r="X2384">
        <v>0.99865099999999996</v>
      </c>
      <c r="Y2384">
        <v>2.448529E-2</v>
      </c>
      <c r="Z2384">
        <v>-6.3066769999999895E-4</v>
      </c>
      <c r="AA2384">
        <v>0.99970000000000003</v>
      </c>
      <c r="AB2384">
        <v>23</v>
      </c>
      <c r="AC2384">
        <v>-39.126399999999897</v>
      </c>
      <c r="AD2384">
        <v>-1.1047244594309999</v>
      </c>
      <c r="AE2384">
        <v>2.32410000000004</v>
      </c>
      <c r="AF2384">
        <v>0.96312476989710605</v>
      </c>
      <c r="AG2384">
        <v>-1.1047244594309999</v>
      </c>
      <c r="AH2384">
        <v>39.152408375454897</v>
      </c>
      <c r="AI2384">
        <v>91.615740509853097</v>
      </c>
      <c r="AJ2384">
        <v>88.590843837132098</v>
      </c>
      <c r="AK2384">
        <v>39.1798303601744</v>
      </c>
    </row>
    <row r="2385" spans="1:37" x14ac:dyDescent="0.2">
      <c r="A2385" t="str">
        <f>"20200111155545154"</f>
        <v>20200111155545154</v>
      </c>
      <c r="B2385" t="str">
        <f>"1578729345144861"</f>
        <v>1578729345144861</v>
      </c>
      <c r="C2385" t="s">
        <v>37</v>
      </c>
      <c r="D2385">
        <v>4.9473669999999998</v>
      </c>
      <c r="E2385">
        <v>0.50339140000000004</v>
      </c>
      <c r="F2385" t="s">
        <v>59</v>
      </c>
      <c r="G2385">
        <v>-374.80869999999999</v>
      </c>
      <c r="H2385" s="1">
        <v>1.022189E-6</v>
      </c>
      <c r="I2385">
        <v>284.74149999999997</v>
      </c>
      <c r="J2385">
        <v>-308.67500000000001</v>
      </c>
      <c r="K2385">
        <v>1.1047979999999999</v>
      </c>
      <c r="L2385">
        <v>284.49860000000001</v>
      </c>
      <c r="M2385">
        <v>-0.9992955</v>
      </c>
      <c r="N2385">
        <v>0</v>
      </c>
      <c r="O2385">
        <v>3.494154E-2</v>
      </c>
      <c r="P2385">
        <v>-0.99941179999999996</v>
      </c>
      <c r="Q2385">
        <v>3.3126669999999997E-2</v>
      </c>
      <c r="R2385">
        <v>-8.8768730000000004E-3</v>
      </c>
      <c r="S2385">
        <v>-3.002014</v>
      </c>
      <c r="T2385">
        <v>-5.004144E-2</v>
      </c>
      <c r="U2385">
        <v>1.1230469999999999E-2</v>
      </c>
      <c r="V2385">
        <v>-4.3768609999999999E-2</v>
      </c>
      <c r="W2385">
        <v>4.682099E-2</v>
      </c>
      <c r="X2385">
        <v>0.99794389999999999</v>
      </c>
      <c r="Y2385">
        <v>-3.1196720000000001E-2</v>
      </c>
      <c r="Z2385">
        <v>-8.4235880000000003E-4</v>
      </c>
      <c r="AA2385">
        <v>0.99951290000000004</v>
      </c>
      <c r="AB2385">
        <v>23</v>
      </c>
      <c r="AC2385">
        <v>-66.133699999999905</v>
      </c>
      <c r="AD2385">
        <v>-1.1047969778109901</v>
      </c>
      <c r="AE2385">
        <v>0.24289999999996301</v>
      </c>
      <c r="AF2385">
        <v>-2.06770141893415</v>
      </c>
      <c r="AG2385">
        <v>-1.1047969778109901</v>
      </c>
      <c r="AH2385">
        <v>66.0833546039932</v>
      </c>
      <c r="AI2385">
        <v>90.957326595533402</v>
      </c>
      <c r="AJ2385">
        <v>91.792159709882796</v>
      </c>
      <c r="AK2385">
        <v>66.124925113282004</v>
      </c>
    </row>
    <row r="2386" spans="1:37" x14ac:dyDescent="0.2">
      <c r="A2386" t="str">
        <f>"20200111155545178"</f>
        <v>20200111155545178</v>
      </c>
      <c r="B2386" t="str">
        <f>"1578729345175118"</f>
        <v>1578729345175118</v>
      </c>
      <c r="C2386" t="s">
        <v>37</v>
      </c>
      <c r="D2386">
        <v>4.8023959999999999</v>
      </c>
      <c r="E2386">
        <v>0.5061947</v>
      </c>
      <c r="F2386" t="s">
        <v>56</v>
      </c>
      <c r="G2386">
        <v>-483.31119999999999</v>
      </c>
      <c r="H2386" s="1">
        <v>2.7585980000000001E-6</v>
      </c>
      <c r="I2386">
        <v>284.2217</v>
      </c>
      <c r="J2386">
        <v>-308.90600000000001</v>
      </c>
      <c r="K2386">
        <v>1.104927</v>
      </c>
      <c r="L2386">
        <v>284.50709999999998</v>
      </c>
      <c r="M2386">
        <v>-0.99928619999999901</v>
      </c>
      <c r="N2386">
        <v>0</v>
      </c>
      <c r="O2386">
        <v>3.5215690000000001E-2</v>
      </c>
      <c r="P2386">
        <v>-0.99862870000000004</v>
      </c>
      <c r="Q2386">
        <v>4.8918059999999999E-2</v>
      </c>
      <c r="R2386">
        <v>-1.8658620000000001E-2</v>
      </c>
      <c r="S2386">
        <v>-3.00238</v>
      </c>
      <c r="T2386">
        <v>-1.899385E-2</v>
      </c>
      <c r="U2386">
        <v>-4.7607420000000001E-3</v>
      </c>
      <c r="V2386">
        <v>-5.379312E-2</v>
      </c>
      <c r="W2386">
        <v>6.2570509999999996E-2</v>
      </c>
      <c r="X2386">
        <v>0.99658979999999997</v>
      </c>
      <c r="Y2386">
        <v>-3.6802170000000002E-2</v>
      </c>
      <c r="Z2386">
        <v>-3.3917809999999899E-4</v>
      </c>
      <c r="AA2386">
        <v>0.9993225</v>
      </c>
      <c r="AB2386">
        <v>23</v>
      </c>
      <c r="AC2386">
        <v>-174.40519999999901</v>
      </c>
      <c r="AD2386">
        <v>-1.104924241402</v>
      </c>
      <c r="AE2386">
        <v>-0.285399999999981</v>
      </c>
      <c r="AF2386">
        <v>-6.4273385986828</v>
      </c>
      <c r="AG2386">
        <v>-1.104924241402</v>
      </c>
      <c r="AH2386">
        <v>174.27995579118101</v>
      </c>
      <c r="AI2386">
        <v>90.363000098896407</v>
      </c>
      <c r="AJ2386">
        <v>92.1120762534905</v>
      </c>
      <c r="AK2386">
        <v>174.401933847126</v>
      </c>
    </row>
    <row r="2387" spans="1:37" x14ac:dyDescent="0.2">
      <c r="A2387" t="str">
        <f>"20200111155545193"</f>
        <v>20200111155545193</v>
      </c>
      <c r="B2387" t="str">
        <f>"1578729345184878"</f>
        <v>1578729345184878</v>
      </c>
      <c r="C2387" t="s">
        <v>37</v>
      </c>
      <c r="D2387">
        <v>4.7489939999999997</v>
      </c>
      <c r="E2387">
        <v>0.50711499999999998</v>
      </c>
      <c r="F2387" t="s">
        <v>48</v>
      </c>
      <c r="G2387">
        <v>0</v>
      </c>
      <c r="H2387">
        <v>0</v>
      </c>
      <c r="I2387">
        <v>0</v>
      </c>
      <c r="J2387">
        <v>-309.0652</v>
      </c>
      <c r="K2387">
        <v>1.1050169999999999</v>
      </c>
      <c r="L2387">
        <v>284.5129</v>
      </c>
      <c r="M2387">
        <v>-0.99928280000000003</v>
      </c>
      <c r="N2387">
        <v>0</v>
      </c>
      <c r="O2387">
        <v>3.5323060000000003E-2</v>
      </c>
      <c r="P2387">
        <v>-0.99802990000000003</v>
      </c>
      <c r="Q2387">
        <v>5.775595E-2</v>
      </c>
      <c r="R2387">
        <v>-2.4514520000000001E-2</v>
      </c>
      <c r="S2387">
        <v>-3.003174</v>
      </c>
      <c r="T2387">
        <v>1.487923E-2</v>
      </c>
      <c r="U2387">
        <v>-1.223755E-2</v>
      </c>
      <c r="V2387">
        <v>-5.9737270000000002E-2</v>
      </c>
      <c r="W2387">
        <v>7.1370729999999993E-2</v>
      </c>
      <c r="X2387">
        <v>0.99565939999999997</v>
      </c>
      <c r="Y2387">
        <v>-3.9397429999999997E-2</v>
      </c>
      <c r="Z2387">
        <v>2.7259469999999999E-4</v>
      </c>
      <c r="AA2387">
        <v>0.99922359999999899</v>
      </c>
      <c r="AB2387">
        <v>23</v>
      </c>
      <c r="AC2387">
        <v>-3.003174</v>
      </c>
      <c r="AD2387">
        <v>1.487923E-2</v>
      </c>
      <c r="AE2387">
        <v>-1.223755E-2</v>
      </c>
      <c r="AF2387">
        <v>-0.11831817855994101</v>
      </c>
      <c r="AG2387">
        <v>1.487923E-2</v>
      </c>
      <c r="AH2387">
        <v>3.0007935406922299</v>
      </c>
      <c r="AI2387">
        <v>89.716125687657396</v>
      </c>
      <c r="AJ2387">
        <v>92.257943576827103</v>
      </c>
      <c r="AK2387">
        <v>3.00316207633277</v>
      </c>
    </row>
    <row r="2388" spans="1:37" x14ac:dyDescent="0.2">
      <c r="A2388" t="str">
        <f>"20200111155545206"</f>
        <v>20200111155545206</v>
      </c>
      <c r="B2388" t="str">
        <f>"1578729345194638"</f>
        <v>1578729345194638</v>
      </c>
      <c r="C2388" t="s">
        <v>37</v>
      </c>
      <c r="D2388">
        <v>4.7586009999999996</v>
      </c>
      <c r="E2388">
        <v>0.50813869999999906</v>
      </c>
      <c r="F2388" t="s">
        <v>48</v>
      </c>
      <c r="G2388">
        <v>0</v>
      </c>
      <c r="H2388">
        <v>0</v>
      </c>
      <c r="I2388">
        <v>0</v>
      </c>
      <c r="J2388">
        <v>-309.19970000000001</v>
      </c>
      <c r="K2388">
        <v>1.105094</v>
      </c>
      <c r="L2388">
        <v>284.51769999999999</v>
      </c>
      <c r="M2388">
        <v>-0.99928119999999998</v>
      </c>
      <c r="N2388">
        <v>0</v>
      </c>
      <c r="O2388">
        <v>3.537593E-2</v>
      </c>
      <c r="P2388">
        <v>-0.99717069999999997</v>
      </c>
      <c r="Q2388">
        <v>6.8615979999999993E-2</v>
      </c>
      <c r="R2388">
        <v>-3.069904E-2</v>
      </c>
      <c r="S2388">
        <v>-3.0033569999999998</v>
      </c>
      <c r="T2388">
        <v>3.4425379999999998E-2</v>
      </c>
      <c r="U2388">
        <v>-2.2888180000000001E-2</v>
      </c>
      <c r="V2388">
        <v>-6.5946899999999906E-2</v>
      </c>
      <c r="W2388">
        <v>8.2188140000000007E-2</v>
      </c>
      <c r="X2388">
        <v>0.994432599999999</v>
      </c>
      <c r="Y2388">
        <v>-4.2988930000000002E-2</v>
      </c>
      <c r="Z2388">
        <v>6.5182249999999999E-4</v>
      </c>
      <c r="AA2388">
        <v>0.99907539999999995</v>
      </c>
      <c r="AB2388">
        <v>23</v>
      </c>
      <c r="AC2388">
        <v>-3.0033569999999998</v>
      </c>
      <c r="AD2388">
        <v>3.4425379999999998E-2</v>
      </c>
      <c r="AE2388">
        <v>-2.2888180000000001E-2</v>
      </c>
      <c r="AF2388">
        <v>-0.12911329807571001</v>
      </c>
      <c r="AG2388">
        <v>3.4425379999999998E-2</v>
      </c>
      <c r="AH2388">
        <v>3.0002728455793601</v>
      </c>
      <c r="AI2388">
        <v>89.343220126826694</v>
      </c>
      <c r="AJ2388">
        <v>92.464137732980802</v>
      </c>
      <c r="AK2388">
        <v>3.0032469925813601</v>
      </c>
    </row>
    <row r="2389" spans="1:37" x14ac:dyDescent="0.2">
      <c r="A2389" t="str">
        <f>"20200111155545222"</f>
        <v>20200111155545222</v>
      </c>
      <c r="B2389" t="str">
        <f>"1578729345214157"</f>
        <v>1578729345214157</v>
      </c>
      <c r="C2389" t="s">
        <v>37</v>
      </c>
      <c r="D2389">
        <v>4.7014050000000003</v>
      </c>
      <c r="E2389">
        <v>0.50892219999999999</v>
      </c>
      <c r="F2389" t="s">
        <v>48</v>
      </c>
      <c r="G2389">
        <v>0</v>
      </c>
      <c r="H2389">
        <v>0</v>
      </c>
      <c r="I2389">
        <v>0</v>
      </c>
      <c r="J2389">
        <v>-309.36869999999999</v>
      </c>
      <c r="K2389">
        <v>1.1052029999999999</v>
      </c>
      <c r="L2389">
        <v>284.52370000000002</v>
      </c>
      <c r="M2389">
        <v>-0.99928090000000003</v>
      </c>
      <c r="N2389">
        <v>0</v>
      </c>
      <c r="O2389">
        <v>3.5396129999999998E-2</v>
      </c>
      <c r="P2389">
        <v>-0.99555300000000002</v>
      </c>
      <c r="Q2389">
        <v>8.4431389999999995E-2</v>
      </c>
      <c r="R2389">
        <v>-4.1784349999999998E-2</v>
      </c>
      <c r="S2389">
        <v>-3.0033259999999999</v>
      </c>
      <c r="T2389">
        <v>5.957925E-2</v>
      </c>
      <c r="U2389">
        <v>-3.3782960000000001E-2</v>
      </c>
      <c r="V2389">
        <v>-7.6998849999999994E-2</v>
      </c>
      <c r="W2389">
        <v>9.7936090000000003E-2</v>
      </c>
      <c r="X2389">
        <v>0.99220949999999997</v>
      </c>
      <c r="Y2389">
        <v>-4.662177E-2</v>
      </c>
      <c r="Z2389">
        <v>1.1644539999999899E-3</v>
      </c>
      <c r="AA2389">
        <v>0.99891189999999996</v>
      </c>
      <c r="AB2389">
        <v>23</v>
      </c>
      <c r="AC2389">
        <v>-3.0033259999999999</v>
      </c>
      <c r="AD2389">
        <v>5.957925E-2</v>
      </c>
      <c r="AE2389">
        <v>-3.3782960000000001E-2</v>
      </c>
      <c r="AF2389">
        <v>-0.140022630706644</v>
      </c>
      <c r="AG2389">
        <v>5.957925E-2</v>
      </c>
      <c r="AH2389">
        <v>2.9990676597167298</v>
      </c>
      <c r="AI2389">
        <v>88.863154172547098</v>
      </c>
      <c r="AJ2389">
        <v>92.673125418292898</v>
      </c>
      <c r="AK2389">
        <v>3.0029257153148801</v>
      </c>
    </row>
    <row r="2390" spans="1:37" x14ac:dyDescent="0.2">
      <c r="A2390" t="str">
        <f>"20200111155545240"</f>
        <v>20200111155545240</v>
      </c>
      <c r="B2390" t="str">
        <f>"1578729345234653"</f>
        <v>1578729345234653</v>
      </c>
      <c r="C2390" t="s">
        <v>37</v>
      </c>
      <c r="D2390">
        <v>4.6235390000000001</v>
      </c>
      <c r="E2390">
        <v>0.51980890000000002</v>
      </c>
      <c r="F2390" t="s">
        <v>48</v>
      </c>
      <c r="G2390">
        <v>0</v>
      </c>
      <c r="H2390">
        <v>0</v>
      </c>
      <c r="I2390">
        <v>0</v>
      </c>
      <c r="J2390">
        <v>-309.53809999999999</v>
      </c>
      <c r="K2390">
        <v>1.105272</v>
      </c>
      <c r="L2390">
        <v>284.52969999999999</v>
      </c>
      <c r="M2390">
        <v>-0.99928229999999996</v>
      </c>
      <c r="N2390">
        <v>0</v>
      </c>
      <c r="O2390">
        <v>3.5368740000000003E-2</v>
      </c>
      <c r="P2390">
        <v>-0.994721999999999</v>
      </c>
      <c r="Q2390">
        <v>9.1197940000000005E-2</v>
      </c>
      <c r="R2390">
        <v>-4.7023959999999997E-2</v>
      </c>
      <c r="S2390">
        <v>-3.0022279999999899</v>
      </c>
      <c r="T2390">
        <v>0.1007725</v>
      </c>
      <c r="U2390">
        <v>-6.1553959999999998E-2</v>
      </c>
      <c r="V2390">
        <v>-8.2190579999999999E-2</v>
      </c>
      <c r="W2390">
        <v>0.1046463</v>
      </c>
      <c r="X2390">
        <v>0.99110739999999997</v>
      </c>
      <c r="Y2390">
        <v>-5.579887E-2</v>
      </c>
      <c r="Z2390">
        <v>2.1228639999999999E-3</v>
      </c>
      <c r="AA2390">
        <v>0.99843979999999999</v>
      </c>
      <c r="AB2390">
        <v>23</v>
      </c>
      <c r="AC2390">
        <v>-3.0022279999999899</v>
      </c>
      <c r="AD2390">
        <v>0.1007725</v>
      </c>
      <c r="AE2390">
        <v>-6.1553959999999998E-2</v>
      </c>
      <c r="AF2390">
        <v>-0.167521566840617</v>
      </c>
      <c r="AG2390">
        <v>0.1007725</v>
      </c>
      <c r="AH2390">
        <v>2.9947992325971802</v>
      </c>
      <c r="AI2390">
        <v>88.0757777275156</v>
      </c>
      <c r="AJ2390">
        <v>93.201645836688002</v>
      </c>
      <c r="AK2390">
        <v>3.0011732731846199</v>
      </c>
    </row>
    <row r="2391" spans="1:37" x14ac:dyDescent="0.2">
      <c r="A2391" t="str">
        <f>"20200111155545254"</f>
        <v>20200111155545254</v>
      </c>
      <c r="B2391" t="str">
        <f>"1578729345244920"</f>
        <v>1578729345244920</v>
      </c>
      <c r="C2391" t="s">
        <v>37</v>
      </c>
      <c r="D2391">
        <v>4.7003219999999999</v>
      </c>
      <c r="E2391">
        <v>0.52065839999999997</v>
      </c>
      <c r="F2391" t="s">
        <v>48</v>
      </c>
      <c r="G2391">
        <v>0</v>
      </c>
      <c r="H2391">
        <v>0</v>
      </c>
      <c r="I2391">
        <v>0</v>
      </c>
      <c r="J2391">
        <v>-309.70479999999998</v>
      </c>
      <c r="K2391">
        <v>1.1053539999999999</v>
      </c>
      <c r="L2391">
        <v>284.53559999999999</v>
      </c>
      <c r="M2391">
        <v>-0.99928530000000004</v>
      </c>
      <c r="N2391">
        <v>0</v>
      </c>
      <c r="O2391">
        <v>3.529467E-2</v>
      </c>
      <c r="P2391">
        <v>-0.99309439999999904</v>
      </c>
      <c r="Q2391">
        <v>0.102312</v>
      </c>
      <c r="R2391">
        <v>-5.74099E-2</v>
      </c>
      <c r="S2391">
        <v>-3.0129999999999999</v>
      </c>
      <c r="T2391">
        <v>3.4487129999999998E-2</v>
      </c>
      <c r="U2391">
        <v>5.2795409999999996E-3</v>
      </c>
      <c r="V2391">
        <v>-9.245014E-2</v>
      </c>
      <c r="W2391">
        <v>0.1156927</v>
      </c>
      <c r="X2391">
        <v>0.98897330000000006</v>
      </c>
      <c r="Y2391">
        <v>-3.354219E-2</v>
      </c>
      <c r="Z2391">
        <v>5.9590130000000002E-4</v>
      </c>
      <c r="AA2391">
        <v>0.99943719999999903</v>
      </c>
      <c r="AB2391">
        <v>23</v>
      </c>
      <c r="AC2391">
        <v>-3.0129999999999999</v>
      </c>
      <c r="AD2391">
        <v>3.4487129999999998E-2</v>
      </c>
      <c r="AE2391">
        <v>5.2795409999999996E-3</v>
      </c>
      <c r="AF2391">
        <v>-0.10106309019200201</v>
      </c>
      <c r="AG2391">
        <v>3.4487129999999998E-2</v>
      </c>
      <c r="AH2391">
        <v>3.0109142911193798</v>
      </c>
      <c r="AI2391">
        <v>89.3441299301074</v>
      </c>
      <c r="AJ2391">
        <v>91.922444422876794</v>
      </c>
      <c r="AK2391">
        <v>3.0128073252037999</v>
      </c>
    </row>
    <row r="2392" spans="1:37" x14ac:dyDescent="0.2">
      <c r="A2392" t="str">
        <f>"20200111155545271"</f>
        <v>20200111155545271</v>
      </c>
      <c r="B2392" t="str">
        <f>"1578729345264441"</f>
        <v>1578729345264441</v>
      </c>
      <c r="C2392" t="s">
        <v>37</v>
      </c>
      <c r="D2392">
        <v>4.5398449999999997</v>
      </c>
      <c r="E2392">
        <v>0.52093120000000004</v>
      </c>
      <c r="F2392" t="s">
        <v>48</v>
      </c>
      <c r="G2392">
        <v>0</v>
      </c>
      <c r="H2392">
        <v>0</v>
      </c>
      <c r="I2392">
        <v>0</v>
      </c>
      <c r="J2392">
        <v>-309.86059999999998</v>
      </c>
      <c r="K2392">
        <v>1.105399</v>
      </c>
      <c r="L2392">
        <v>284.541</v>
      </c>
      <c r="M2392">
        <v>-0.99928899999999998</v>
      </c>
      <c r="N2392">
        <v>0</v>
      </c>
      <c r="O2392">
        <v>3.5198670000000001E-2</v>
      </c>
      <c r="P2392">
        <v>-0.99234109999999998</v>
      </c>
      <c r="Q2392">
        <v>0.1066112</v>
      </c>
      <c r="R2392">
        <v>-6.2394989999999997E-2</v>
      </c>
      <c r="S2392">
        <v>-3.01355</v>
      </c>
      <c r="T2392">
        <v>6.003642E-2</v>
      </c>
      <c r="U2392">
        <v>-1.9683840000000001E-2</v>
      </c>
      <c r="V2392">
        <v>-9.731998E-2</v>
      </c>
      <c r="W2392">
        <v>0.11994529999999901</v>
      </c>
      <c r="X2392">
        <v>0.98799899999999996</v>
      </c>
      <c r="Y2392">
        <v>-4.1713470000000002E-2</v>
      </c>
      <c r="Z2392">
        <v>1.1165979999999999E-3</v>
      </c>
      <c r="AA2392">
        <v>0.99912900000000004</v>
      </c>
      <c r="AB2392">
        <v>23</v>
      </c>
      <c r="AC2392">
        <v>-3.01355</v>
      </c>
      <c r="AD2392">
        <v>6.003642E-2</v>
      </c>
      <c r="AE2392">
        <v>-1.9683840000000001E-2</v>
      </c>
      <c r="AF2392">
        <v>-0.12570438640892301</v>
      </c>
      <c r="AG2392">
        <v>6.003642E-2</v>
      </c>
      <c r="AH2392">
        <v>3.0097948450072298</v>
      </c>
      <c r="AI2392">
        <v>88.858266902008097</v>
      </c>
      <c r="AJ2392">
        <v>92.391574118346696</v>
      </c>
      <c r="AK2392">
        <v>3.0130169222095202</v>
      </c>
    </row>
    <row r="2393" spans="1:37" x14ac:dyDescent="0.2">
      <c r="A2393" t="str">
        <f>"20200111155545288"</f>
        <v>20200111155545288</v>
      </c>
      <c r="B2393" t="str">
        <f>"1578729345284936"</f>
        <v>1578729345284936</v>
      </c>
      <c r="C2393" t="s">
        <v>37</v>
      </c>
      <c r="D2393">
        <v>4.7570169999999896</v>
      </c>
      <c r="E2393">
        <v>0.52871899999999905</v>
      </c>
      <c r="F2393" t="s">
        <v>48</v>
      </c>
      <c r="G2393">
        <v>0</v>
      </c>
      <c r="H2393">
        <v>0</v>
      </c>
      <c r="I2393">
        <v>0</v>
      </c>
      <c r="J2393">
        <v>-310.04969999999997</v>
      </c>
      <c r="K2393">
        <v>1.1054409999999999</v>
      </c>
      <c r="L2393">
        <v>284.54750000000001</v>
      </c>
      <c r="M2393">
        <v>-0.99929429999999997</v>
      </c>
      <c r="N2393">
        <v>0</v>
      </c>
      <c r="O2393">
        <v>3.5058510000000001E-2</v>
      </c>
      <c r="P2393">
        <v>-0.99124630000000002</v>
      </c>
      <c r="Q2393">
        <v>0.1112855</v>
      </c>
      <c r="R2393">
        <v>-7.1037530000000002E-2</v>
      </c>
      <c r="S2393">
        <v>-3.0140380000000002</v>
      </c>
      <c r="T2393">
        <v>6.5660360000000001E-2</v>
      </c>
      <c r="U2393">
        <v>-3.2531740000000003E-2</v>
      </c>
      <c r="V2393">
        <v>-0.10578889999999901</v>
      </c>
      <c r="W2393">
        <v>0.1245624</v>
      </c>
      <c r="X2393">
        <v>0.98655609999999905</v>
      </c>
      <c r="Y2393">
        <v>-4.5826609999999997E-2</v>
      </c>
      <c r="Z2393">
        <v>1.2627089999999899E-3</v>
      </c>
      <c r="AA2393">
        <v>0.99894859999999897</v>
      </c>
      <c r="AB2393">
        <v>23</v>
      </c>
      <c r="AC2393">
        <v>-3.0140380000000002</v>
      </c>
      <c r="AD2393">
        <v>6.5660360000000001E-2</v>
      </c>
      <c r="AE2393">
        <v>-3.2531740000000003E-2</v>
      </c>
      <c r="AF2393">
        <v>-0.13812348291318299</v>
      </c>
      <c r="AG2393">
        <v>6.5660360000000001E-2</v>
      </c>
      <c r="AH2393">
        <v>3.0096160636887901</v>
      </c>
      <c r="AI2393">
        <v>88.751498231858804</v>
      </c>
      <c r="AJ2393">
        <v>92.627691777560997</v>
      </c>
      <c r="AK2393">
        <v>3.0134993330380899</v>
      </c>
    </row>
    <row r="2394" spans="1:37" x14ac:dyDescent="0.2">
      <c r="A2394" t="str">
        <f>"20200111155545304"</f>
        <v>20200111155545304</v>
      </c>
      <c r="B2394" t="str">
        <f>"1578729345294697"</f>
        <v>1578729345294697</v>
      </c>
      <c r="C2394" t="s">
        <v>37</v>
      </c>
      <c r="D2394">
        <v>4.4888729999999999</v>
      </c>
      <c r="E2394">
        <v>0.52881489999999998</v>
      </c>
      <c r="F2394" t="s">
        <v>48</v>
      </c>
      <c r="G2394">
        <v>0</v>
      </c>
      <c r="H2394">
        <v>0</v>
      </c>
      <c r="I2394">
        <v>0</v>
      </c>
      <c r="J2394">
        <v>-310.2011</v>
      </c>
      <c r="K2394">
        <v>1.1054569999999999</v>
      </c>
      <c r="L2394">
        <v>284.55259999999998</v>
      </c>
      <c r="M2394">
        <v>-0.99929920000000005</v>
      </c>
      <c r="N2394">
        <v>0</v>
      </c>
      <c r="O2394">
        <v>3.4933449999999998E-2</v>
      </c>
      <c r="P2394">
        <v>-0.99098269999999899</v>
      </c>
      <c r="Q2394">
        <v>0.1111853</v>
      </c>
      <c r="R2394">
        <v>-7.4777449999999995E-2</v>
      </c>
      <c r="S2394">
        <v>-3.0260310000000001</v>
      </c>
      <c r="T2394">
        <v>4.1387079999999996E-3</v>
      </c>
      <c r="U2394">
        <v>5.4931640000000002E-4</v>
      </c>
      <c r="V2394">
        <v>-0.109397699999999</v>
      </c>
      <c r="W2394">
        <v>0.1244295</v>
      </c>
      <c r="X2394">
        <v>0.98617919999999903</v>
      </c>
      <c r="Y2394">
        <v>-3.475512E-2</v>
      </c>
      <c r="Z2394" s="1">
        <v>7.1542800000000002E-5</v>
      </c>
      <c r="AA2394">
        <v>0.99939579999999995</v>
      </c>
      <c r="AB2394">
        <v>23</v>
      </c>
      <c r="AC2394">
        <v>-3.0260310000000001</v>
      </c>
      <c r="AD2394">
        <v>4.1387079999999996E-3</v>
      </c>
      <c r="AE2394">
        <v>5.4931640000000002E-4</v>
      </c>
      <c r="AF2394">
        <v>-0.105170080340266</v>
      </c>
      <c r="AG2394">
        <v>4.1387079999999996E-3</v>
      </c>
      <c r="AH2394">
        <v>3.0241972341761998</v>
      </c>
      <c r="AI2394">
        <v>89.921636363656503</v>
      </c>
      <c r="AJ2394">
        <v>91.991726683170299</v>
      </c>
      <c r="AK2394">
        <v>3.0260282196142301</v>
      </c>
    </row>
    <row r="2395" spans="1:37" x14ac:dyDescent="0.2">
      <c r="A2395" t="str">
        <f>"20200111155545316"</f>
        <v>20200111155545316</v>
      </c>
      <c r="B2395" t="str">
        <f>"1578729345304456"</f>
        <v>1578729345304456</v>
      </c>
      <c r="C2395" t="s">
        <v>37</v>
      </c>
      <c r="D2395">
        <v>4.6853699999999998</v>
      </c>
      <c r="E2395">
        <v>0.52867259999999905</v>
      </c>
      <c r="F2395" t="s">
        <v>48</v>
      </c>
      <c r="G2395">
        <v>0</v>
      </c>
      <c r="H2395">
        <v>0</v>
      </c>
      <c r="I2395">
        <v>0</v>
      </c>
      <c r="J2395">
        <v>-310.33359999999999</v>
      </c>
      <c r="K2395">
        <v>1.1054619999999999</v>
      </c>
      <c r="L2395">
        <v>284.55720000000002</v>
      </c>
      <c r="M2395">
        <v>-0.99930330000000001</v>
      </c>
      <c r="N2395">
        <v>0</v>
      </c>
      <c r="O2395">
        <v>3.4818370000000001E-2</v>
      </c>
      <c r="P2395">
        <v>-0.99065040000000004</v>
      </c>
      <c r="Q2395">
        <v>0.11171250000000001</v>
      </c>
      <c r="R2395">
        <v>-7.8311640000000002E-2</v>
      </c>
      <c r="S2395">
        <v>-3.0271910000000002</v>
      </c>
      <c r="T2395">
        <v>-5.9213640000000001E-3</v>
      </c>
      <c r="U2395">
        <v>-1.010132E-2</v>
      </c>
      <c r="V2395">
        <v>-0.1128068</v>
      </c>
      <c r="W2395">
        <v>0.1249281</v>
      </c>
      <c r="X2395">
        <v>0.98573199999999905</v>
      </c>
      <c r="Y2395">
        <v>-3.8156000000000002E-2</v>
      </c>
      <c r="Z2395">
        <v>-1.054209E-4</v>
      </c>
      <c r="AA2395">
        <v>0.99927180000000004</v>
      </c>
      <c r="AB2395">
        <v>23</v>
      </c>
      <c r="AC2395">
        <v>-3.0271910000000002</v>
      </c>
      <c r="AD2395">
        <v>-5.9213640000000001E-3</v>
      </c>
      <c r="AE2395">
        <v>-1.010132E-2</v>
      </c>
      <c r="AF2395">
        <v>-0.115506127235204</v>
      </c>
      <c r="AG2395">
        <v>-5.9213640000000001E-3</v>
      </c>
      <c r="AH2395">
        <v>3.0249918342066699</v>
      </c>
      <c r="AI2395">
        <v>90.112073583310803</v>
      </c>
      <c r="AJ2395">
        <v>92.1867166547149</v>
      </c>
      <c r="AK2395">
        <v>3.0272020621355198</v>
      </c>
    </row>
    <row r="2396" spans="1:37" x14ac:dyDescent="0.2">
      <c r="A2396" t="str">
        <f>"20200111155545333"</f>
        <v>20200111155545333</v>
      </c>
      <c r="B2396" t="str">
        <f>"1578729345324955"</f>
        <v>1578729345324955</v>
      </c>
      <c r="C2396" t="s">
        <v>37</v>
      </c>
      <c r="D2396">
        <v>4.46096</v>
      </c>
      <c r="E2396">
        <v>0.53015849999999998</v>
      </c>
      <c r="F2396" t="s">
        <v>48</v>
      </c>
      <c r="G2396">
        <v>0</v>
      </c>
      <c r="H2396">
        <v>0</v>
      </c>
      <c r="I2396">
        <v>0</v>
      </c>
      <c r="J2396">
        <v>-310.49970000000002</v>
      </c>
      <c r="K2396">
        <v>1.105445</v>
      </c>
      <c r="L2396">
        <v>284.56270000000001</v>
      </c>
      <c r="M2396">
        <v>-0.9993088</v>
      </c>
      <c r="N2396">
        <v>0</v>
      </c>
      <c r="O2396">
        <v>3.4671399999999998E-2</v>
      </c>
      <c r="P2396">
        <v>-0.99088559999999903</v>
      </c>
      <c r="Q2396">
        <v>0.10605009999999999</v>
      </c>
      <c r="R2396">
        <v>-8.3061780000000002E-2</v>
      </c>
      <c r="S2396">
        <v>-3.0275270000000001</v>
      </c>
      <c r="T2396">
        <v>-8.0521109999999903E-3</v>
      </c>
      <c r="U2396">
        <v>-2.1545410000000001E-2</v>
      </c>
      <c r="V2396">
        <v>-0.11741559999999999</v>
      </c>
      <c r="W2396">
        <v>0.1192428</v>
      </c>
      <c r="X2396">
        <v>0.98589799999999905</v>
      </c>
      <c r="Y2396">
        <v>-4.1785419999999997E-2</v>
      </c>
      <c r="Z2396">
        <v>-1.4777529999999999E-4</v>
      </c>
      <c r="AA2396">
        <v>0.99912659999999998</v>
      </c>
      <c r="AB2396">
        <v>23</v>
      </c>
      <c r="AC2396">
        <v>-3.0275270000000001</v>
      </c>
      <c r="AD2396">
        <v>-8.0521109999999903E-3</v>
      </c>
      <c r="AE2396">
        <v>-2.1545410000000001E-2</v>
      </c>
      <c r="AF2396">
        <v>-0.12650959743478599</v>
      </c>
      <c r="AG2396">
        <v>-8.0521109999999903E-3</v>
      </c>
      <c r="AH2396">
        <v>3.0249379482182102</v>
      </c>
      <c r="AI2396">
        <v>90.152382611238906</v>
      </c>
      <c r="AJ2396">
        <v>92.394840642471806</v>
      </c>
      <c r="AK2396">
        <v>3.0275929556836498</v>
      </c>
    </row>
    <row r="2397" spans="1:37" x14ac:dyDescent="0.2">
      <c r="A2397" t="str">
        <f>"20200111155545355"</f>
        <v>20200111155545355</v>
      </c>
      <c r="B2397" t="str">
        <f>"1578729345344980"</f>
        <v>1578729345344980</v>
      </c>
      <c r="C2397" t="s">
        <v>37</v>
      </c>
      <c r="D2397">
        <v>4.4382000000000001</v>
      </c>
      <c r="E2397">
        <v>0.53146300000000002</v>
      </c>
      <c r="F2397" t="s">
        <v>61</v>
      </c>
      <c r="G2397">
        <v>-401.75869999999998</v>
      </c>
      <c r="H2397" s="1">
        <v>7.7787129999999995E-6</v>
      </c>
      <c r="I2397">
        <v>283.85950000000003</v>
      </c>
      <c r="J2397">
        <v>-310.72949999999997</v>
      </c>
      <c r="K2397">
        <v>1.105386</v>
      </c>
      <c r="L2397">
        <v>284.57049999999998</v>
      </c>
      <c r="M2397">
        <v>-0.99931599999999998</v>
      </c>
      <c r="N2397">
        <v>0</v>
      </c>
      <c r="O2397">
        <v>3.4470960000000002E-2</v>
      </c>
      <c r="P2397">
        <v>-0.99153969999999902</v>
      </c>
      <c r="Q2397">
        <v>9.7724580000000005E-2</v>
      </c>
      <c r="R2397">
        <v>-8.5433640000000005E-2</v>
      </c>
      <c r="S2397">
        <v>-3.0296020000000001</v>
      </c>
      <c r="T2397">
        <v>-3.6698099999999997E-2</v>
      </c>
      <c r="U2397">
        <v>-2.3345950000000001E-2</v>
      </c>
      <c r="V2397">
        <v>-0.1196058</v>
      </c>
      <c r="W2397">
        <v>0.110897699999999</v>
      </c>
      <c r="X2397">
        <v>0.98660840000000005</v>
      </c>
      <c r="Y2397">
        <v>-4.2168539999999997E-2</v>
      </c>
      <c r="Z2397">
        <v>-6.7290489999999998E-4</v>
      </c>
      <c r="AA2397">
        <v>0.99911030000000001</v>
      </c>
      <c r="AB2397">
        <v>23</v>
      </c>
      <c r="AC2397">
        <v>-91.029200000000003</v>
      </c>
      <c r="AD2397">
        <v>-1.105378221287</v>
      </c>
      <c r="AE2397">
        <v>-0.710999999999955</v>
      </c>
      <c r="AF2397">
        <v>-3.8481552165052699</v>
      </c>
      <c r="AG2397">
        <v>-1.105378221287</v>
      </c>
      <c r="AH2397">
        <v>90.937172231249207</v>
      </c>
      <c r="AI2397">
        <v>90.695796505786802</v>
      </c>
      <c r="AJ2397">
        <v>92.423118978367199</v>
      </c>
      <c r="AK2397">
        <v>91.025268211625104</v>
      </c>
    </row>
    <row r="2398" spans="1:37" x14ac:dyDescent="0.2">
      <c r="A2398" t="str">
        <f>"20200111155545370"</f>
        <v>20200111155545370</v>
      </c>
      <c r="B2398" t="str">
        <f>"1578729345364499"</f>
        <v>1578729345364499</v>
      </c>
      <c r="C2398" t="s">
        <v>37</v>
      </c>
      <c r="D2398">
        <v>4.4276099999999996</v>
      </c>
      <c r="E2398">
        <v>0.53295309999999996</v>
      </c>
      <c r="F2398" t="s">
        <v>59</v>
      </c>
      <c r="G2398">
        <v>-359.15890000000002</v>
      </c>
      <c r="H2398" s="1">
        <v>3.337145E-6</v>
      </c>
      <c r="I2398">
        <v>284.25689999999997</v>
      </c>
      <c r="J2398">
        <v>-310.87389999999999</v>
      </c>
      <c r="K2398">
        <v>1.10534</v>
      </c>
      <c r="L2398">
        <v>284.57530000000003</v>
      </c>
      <c r="M2398">
        <v>-0.9993204</v>
      </c>
      <c r="N2398">
        <v>0</v>
      </c>
      <c r="O2398">
        <v>3.435063E-2</v>
      </c>
      <c r="P2398">
        <v>-0.99228719999999904</v>
      </c>
      <c r="Q2398">
        <v>8.9669440000000003E-2</v>
      </c>
      <c r="R2398">
        <v>-8.5588699999999907E-2</v>
      </c>
      <c r="S2398">
        <v>-3.0307309999999998</v>
      </c>
      <c r="T2398">
        <v>-6.9175239999999999E-2</v>
      </c>
      <c r="U2398">
        <v>-1.9622799999999999E-2</v>
      </c>
      <c r="V2398">
        <v>-0.11966300000000001</v>
      </c>
      <c r="W2398">
        <v>0.10283929999999999</v>
      </c>
      <c r="X2398">
        <v>0.98747399999999996</v>
      </c>
      <c r="Y2398">
        <v>-4.0804060000000003E-2</v>
      </c>
      <c r="Z2398">
        <v>-1.2495080000000001E-3</v>
      </c>
      <c r="AA2398">
        <v>0.99916640000000001</v>
      </c>
      <c r="AB2398">
        <v>23</v>
      </c>
      <c r="AC2398">
        <v>-48.284999999999997</v>
      </c>
      <c r="AD2398">
        <v>-1.1053366628550001</v>
      </c>
      <c r="AE2398">
        <v>-0.31840000000005297</v>
      </c>
      <c r="AF2398">
        <v>-1.9759450777366701</v>
      </c>
      <c r="AG2398">
        <v>-1.1053366628550001</v>
      </c>
      <c r="AH2398">
        <v>48.220292675153097</v>
      </c>
      <c r="AI2398">
        <v>91.312040154605498</v>
      </c>
      <c r="AJ2398">
        <v>92.346522667784697</v>
      </c>
      <c r="AK2398">
        <v>48.273416636549598</v>
      </c>
    </row>
    <row r="2399" spans="1:37" x14ac:dyDescent="0.2">
      <c r="A2399" t="str">
        <f>"20200111155545390"</f>
        <v>20200111155545390</v>
      </c>
      <c r="B2399" t="str">
        <f>"1578729345384995"</f>
        <v>1578729345384995</v>
      </c>
      <c r="C2399" t="s">
        <v>37</v>
      </c>
      <c r="D2399">
        <v>4.3821779999999997</v>
      </c>
      <c r="E2399">
        <v>0.53438969999999997</v>
      </c>
      <c r="F2399" t="s">
        <v>59</v>
      </c>
      <c r="G2399">
        <v>-345.51479999999998</v>
      </c>
      <c r="H2399" s="1">
        <v>1.397907E-6</v>
      </c>
      <c r="I2399">
        <v>284.48219999999998</v>
      </c>
      <c r="J2399">
        <v>-311.08280000000002</v>
      </c>
      <c r="K2399">
        <v>1.1052420000000001</v>
      </c>
      <c r="L2399">
        <v>284.5822</v>
      </c>
      <c r="M2399">
        <v>-0.99932649999999901</v>
      </c>
      <c r="N2399">
        <v>0</v>
      </c>
      <c r="O2399">
        <v>3.4183810000000002E-2</v>
      </c>
      <c r="P2399">
        <v>-0.99389859999999897</v>
      </c>
      <c r="Q2399">
        <v>7.1003430000000006E-2</v>
      </c>
      <c r="R2399">
        <v>-8.4405060000000004E-2</v>
      </c>
      <c r="S2399">
        <v>-3.0312809999999999</v>
      </c>
      <c r="T2399">
        <v>-9.672356E-2</v>
      </c>
      <c r="U2399">
        <v>-8.1481929999999998E-3</v>
      </c>
      <c r="V2399">
        <v>-0.11836099999999999</v>
      </c>
      <c r="W2399">
        <v>8.4179619999999997E-2</v>
      </c>
      <c r="X2399">
        <v>0.98939599999999905</v>
      </c>
      <c r="Y2399">
        <v>-3.6837050000000003E-2</v>
      </c>
      <c r="Z2399">
        <v>-1.6779799999999999E-3</v>
      </c>
      <c r="AA2399">
        <v>0.99931990000000004</v>
      </c>
      <c r="AB2399">
        <v>23</v>
      </c>
      <c r="AC2399">
        <v>-34.431999999999903</v>
      </c>
      <c r="AD2399">
        <v>-1.1052406020929999</v>
      </c>
      <c r="AE2399">
        <v>-0.100000000000022</v>
      </c>
      <c r="AF2399">
        <v>-1.27574879828579</v>
      </c>
      <c r="AG2399">
        <v>-1.1052406020929999</v>
      </c>
      <c r="AH2399">
        <v>34.373038069762899</v>
      </c>
      <c r="AI2399">
        <v>91.840404253160699</v>
      </c>
      <c r="AJ2399">
        <v>92.125546377490394</v>
      </c>
      <c r="AK2399">
        <v>34.414456815853001</v>
      </c>
    </row>
    <row r="2400" spans="1:37" x14ac:dyDescent="0.2">
      <c r="A2400" t="str">
        <f>"20200111155545413"</f>
        <v>20200111155545413</v>
      </c>
      <c r="B2400" t="str">
        <f>"1578729345404517"</f>
        <v>1578729345404517</v>
      </c>
      <c r="C2400" t="s">
        <v>37</v>
      </c>
      <c r="D2400">
        <v>4.4356939999999998</v>
      </c>
      <c r="E2400">
        <v>0.54306589999999999</v>
      </c>
      <c r="F2400" t="s">
        <v>59</v>
      </c>
      <c r="G2400">
        <v>-332.96629999999999</v>
      </c>
      <c r="H2400" s="1">
        <v>4.0789319999999998E-8</v>
      </c>
      <c r="I2400">
        <v>284.63850000000002</v>
      </c>
      <c r="J2400">
        <v>-311.30689999999998</v>
      </c>
      <c r="K2400">
        <v>1.1051599999999999</v>
      </c>
      <c r="L2400">
        <v>284.58969999999999</v>
      </c>
      <c r="M2400">
        <v>-0.99933249999999996</v>
      </c>
      <c r="N2400">
        <v>0</v>
      </c>
      <c r="O2400">
        <v>3.401701E-2</v>
      </c>
      <c r="P2400">
        <v>-0.9951004</v>
      </c>
      <c r="Q2400">
        <v>5.6589E-2</v>
      </c>
      <c r="R2400">
        <v>-8.1076209999999996E-2</v>
      </c>
      <c r="S2400">
        <v>-3.0299680000000002</v>
      </c>
      <c r="T2400">
        <v>-0.15303020000000001</v>
      </c>
      <c r="U2400">
        <v>7.7819819999999998E-3</v>
      </c>
      <c r="V2400">
        <v>-0.1149023</v>
      </c>
      <c r="W2400">
        <v>6.9768750000000004E-2</v>
      </c>
      <c r="X2400">
        <v>0.99092369999999996</v>
      </c>
      <c r="Y2400">
        <v>-3.1369750000000002E-2</v>
      </c>
      <c r="Z2400">
        <v>-2.5085020000000001E-3</v>
      </c>
      <c r="AA2400">
        <v>0.99950469999999902</v>
      </c>
      <c r="AB2400">
        <v>23</v>
      </c>
      <c r="AC2400">
        <v>-21.659400000000002</v>
      </c>
      <c r="AD2400">
        <v>-1.10515995921068</v>
      </c>
      <c r="AE2400">
        <v>4.88000000000283E-2</v>
      </c>
      <c r="AF2400">
        <v>-0.68629487601851802</v>
      </c>
      <c r="AG2400">
        <v>-1.10515995921068</v>
      </c>
      <c r="AH2400">
        <v>21.5923073938499</v>
      </c>
      <c r="AI2400">
        <v>92.928539128294403</v>
      </c>
      <c r="AJ2400">
        <v>91.820489387768404</v>
      </c>
      <c r="AK2400">
        <v>21.631461295594299</v>
      </c>
    </row>
    <row r="2401" spans="1:37" x14ac:dyDescent="0.2">
      <c r="A2401" t="str">
        <f>"20200111155545501"</f>
        <v>20200111155545501</v>
      </c>
      <c r="B2401" t="str">
        <f>"1578729345495283"</f>
        <v>1578729345495283</v>
      </c>
      <c r="C2401" t="s">
        <v>37</v>
      </c>
      <c r="D2401">
        <v>4.6387859999999996</v>
      </c>
      <c r="E2401">
        <v>0.54543369999999902</v>
      </c>
      <c r="F2401" t="s">
        <v>59</v>
      </c>
      <c r="G2401">
        <v>-331.75540000000001</v>
      </c>
      <c r="H2401" s="1">
        <v>-6.274462E-7</v>
      </c>
      <c r="I2401">
        <v>285.18329999999997</v>
      </c>
      <c r="J2401">
        <v>-312.2029</v>
      </c>
      <c r="K2401">
        <v>1.105065</v>
      </c>
      <c r="L2401">
        <v>284.61930000000001</v>
      </c>
      <c r="M2401">
        <v>-0.99935319999999905</v>
      </c>
      <c r="N2401">
        <v>0</v>
      </c>
      <c r="O2401">
        <v>3.3431120000000002E-2</v>
      </c>
      <c r="P2401">
        <v>-0.99717009999999995</v>
      </c>
      <c r="Q2401">
        <v>4.0791979999999999E-2</v>
      </c>
      <c r="R2401">
        <v>-6.3153470000000003E-2</v>
      </c>
      <c r="S2401">
        <v>-3.0312189999999899</v>
      </c>
      <c r="T2401">
        <v>-0.163826</v>
      </c>
      <c r="U2401">
        <v>8.7982179999999993E-2</v>
      </c>
      <c r="V2401">
        <v>-9.6468440000000003E-2</v>
      </c>
      <c r="W2401">
        <v>5.3959680000000003E-2</v>
      </c>
      <c r="X2401">
        <v>0.99387230000000004</v>
      </c>
      <c r="Y2401">
        <v>-4.3679859999999999E-3</v>
      </c>
      <c r="Z2401">
        <v>-1.9227420000000001E-3</v>
      </c>
      <c r="AA2401">
        <v>0.99998860000000001</v>
      </c>
      <c r="AB2401">
        <v>23</v>
      </c>
      <c r="AC2401">
        <v>-19.552499999999998</v>
      </c>
      <c r="AD2401">
        <v>-1.1050656274461901</v>
      </c>
      <c r="AE2401">
        <v>0.56399999999996397</v>
      </c>
      <c r="AF2401">
        <v>-8.9748230077820706E-2</v>
      </c>
      <c r="AG2401">
        <v>-1.1050656274461901</v>
      </c>
      <c r="AH2401">
        <v>19.498194797812701</v>
      </c>
      <c r="AI2401">
        <v>93.243749856889806</v>
      </c>
      <c r="AJ2401">
        <v>90.263724849436599</v>
      </c>
      <c r="AK2401">
        <v>19.5296908618446</v>
      </c>
    </row>
    <row r="2402" spans="1:37" x14ac:dyDescent="0.2">
      <c r="A2402" t="str">
        <f>"20200111155545523"</f>
        <v>20200111155545523</v>
      </c>
      <c r="B2402" t="str">
        <f>"1578729345514803"</f>
        <v>1578729345514803</v>
      </c>
      <c r="C2402" t="s">
        <v>37</v>
      </c>
      <c r="D2402">
        <v>4.5577870000000003</v>
      </c>
      <c r="E2402">
        <v>0.54499449999999905</v>
      </c>
      <c r="F2402" t="s">
        <v>59</v>
      </c>
      <c r="G2402">
        <v>-352.86410000000001</v>
      </c>
      <c r="H2402" s="1">
        <v>-1.264894E-8</v>
      </c>
      <c r="I2402">
        <v>286.83969999999999</v>
      </c>
      <c r="J2402">
        <v>-312.43090000000001</v>
      </c>
      <c r="K2402">
        <v>1.1050580000000001</v>
      </c>
      <c r="L2402">
        <v>284.62670000000003</v>
      </c>
      <c r="M2402">
        <v>-0.99935819999999997</v>
      </c>
      <c r="N2402">
        <v>0</v>
      </c>
      <c r="O2402">
        <v>3.3285710000000003E-2</v>
      </c>
      <c r="P2402">
        <v>-0.9975752</v>
      </c>
      <c r="Q2402">
        <v>3.8437079999999998E-2</v>
      </c>
      <c r="R2402">
        <v>-5.8023369999999998E-2</v>
      </c>
      <c r="S2402">
        <v>-3.0223080000000002</v>
      </c>
      <c r="T2402">
        <v>-8.2138420000000004E-2</v>
      </c>
      <c r="U2402">
        <v>0.16503909999999999</v>
      </c>
      <c r="V2402">
        <v>-9.1208540000000005E-2</v>
      </c>
      <c r="W2402">
        <v>5.1603580000000003E-2</v>
      </c>
      <c r="X2402">
        <v>0.99449390000000004</v>
      </c>
      <c r="Y2402">
        <v>2.126082E-2</v>
      </c>
      <c r="Z2402">
        <v>-6.1488890000000005E-4</v>
      </c>
      <c r="AA2402">
        <v>0.99977380000000005</v>
      </c>
      <c r="AB2402">
        <v>23</v>
      </c>
      <c r="AC2402">
        <v>-40.433199999999999</v>
      </c>
      <c r="AD2402">
        <v>-1.10505801264894</v>
      </c>
      <c r="AE2402">
        <v>2.2129999999999601</v>
      </c>
      <c r="AF2402">
        <v>0.86516348925369102</v>
      </c>
      <c r="AG2402">
        <v>-1.10505801264894</v>
      </c>
      <c r="AH2402">
        <v>40.454331566732201</v>
      </c>
      <c r="AI2402">
        <v>91.564355493439095</v>
      </c>
      <c r="AJ2402">
        <v>88.774849085608906</v>
      </c>
      <c r="AK2402">
        <v>40.478668500650599</v>
      </c>
    </row>
    <row r="2403" spans="1:37" x14ac:dyDescent="0.2">
      <c r="A2403" t="str">
        <f>"20200111155545537"</f>
        <v>20200111155545537</v>
      </c>
      <c r="B2403" t="str">
        <f>"1578729345535300"</f>
        <v>1578729345535300</v>
      </c>
      <c r="C2403" t="s">
        <v>37</v>
      </c>
      <c r="D2403">
        <v>4.597162</v>
      </c>
      <c r="E2403">
        <v>0.54419340000000005</v>
      </c>
      <c r="F2403" t="s">
        <v>59</v>
      </c>
      <c r="G2403">
        <v>-353.87810000000002</v>
      </c>
      <c r="H2403" s="1">
        <v>5.2693760000000001E-7</v>
      </c>
      <c r="I2403">
        <v>287.05869999999999</v>
      </c>
      <c r="J2403">
        <v>-312.57670000000002</v>
      </c>
      <c r="K2403">
        <v>1.1050549999999999</v>
      </c>
      <c r="L2403">
        <v>284.63150000000002</v>
      </c>
      <c r="M2403">
        <v>-0.99936119999999995</v>
      </c>
      <c r="N2403">
        <v>0</v>
      </c>
      <c r="O2403">
        <v>3.3191970000000001E-2</v>
      </c>
      <c r="P2403">
        <v>-0.99772700000000003</v>
      </c>
      <c r="Q2403">
        <v>3.7685259999999998E-2</v>
      </c>
      <c r="R2403">
        <v>-5.5860680000000003E-2</v>
      </c>
      <c r="S2403">
        <v>-3.0206909999999998</v>
      </c>
      <c r="T2403">
        <v>-8.0537199999999906E-2</v>
      </c>
      <c r="U2403">
        <v>0.17724609999999999</v>
      </c>
      <c r="V2403">
        <v>-8.8959259999999998E-2</v>
      </c>
      <c r="W2403">
        <v>5.0848789999999998E-2</v>
      </c>
      <c r="X2403">
        <v>0.99473650000000002</v>
      </c>
      <c r="Y2403">
        <v>2.540916E-2</v>
      </c>
      <c r="Z2403">
        <v>-5.4540640000000004E-4</v>
      </c>
      <c r="AA2403">
        <v>0.99967700000000004</v>
      </c>
      <c r="AB2403">
        <v>23</v>
      </c>
      <c r="AC2403">
        <v>-41.301400000000001</v>
      </c>
      <c r="AD2403">
        <v>-1.1050544730623999</v>
      </c>
      <c r="AE2403">
        <v>2.4271999999999698</v>
      </c>
      <c r="AF2403">
        <v>1.0541152170650001</v>
      </c>
      <c r="AG2403">
        <v>-1.1050544730623999</v>
      </c>
      <c r="AH2403">
        <v>41.329724208955298</v>
      </c>
      <c r="AI2403">
        <v>91.531084676576697</v>
      </c>
      <c r="AJ2403">
        <v>88.538987054366402</v>
      </c>
      <c r="AK2403">
        <v>41.357930406000598</v>
      </c>
    </row>
    <row r="2404" spans="1:37" x14ac:dyDescent="0.2">
      <c r="A2404" t="str">
        <f>"20200111155545550"</f>
        <v>20200111155545550</v>
      </c>
      <c r="B2404" t="str">
        <f>"1578729345545060"</f>
        <v>1578729345545060</v>
      </c>
      <c r="C2404" t="s">
        <v>37</v>
      </c>
      <c r="D2404">
        <v>4.5390689999999996</v>
      </c>
      <c r="E2404">
        <v>0.54362730000000004</v>
      </c>
      <c r="F2404" t="s">
        <v>59</v>
      </c>
      <c r="G2404">
        <v>-354.08760000000001</v>
      </c>
      <c r="H2404" s="1">
        <v>6.3842590000000004E-7</v>
      </c>
      <c r="I2404">
        <v>287.0718</v>
      </c>
      <c r="J2404">
        <v>-312.70530000000002</v>
      </c>
      <c r="K2404">
        <v>1.105054</v>
      </c>
      <c r="L2404">
        <v>284.63569999999999</v>
      </c>
      <c r="M2404">
        <v>-0.99936409999999998</v>
      </c>
      <c r="N2404">
        <v>0</v>
      </c>
      <c r="O2404">
        <v>3.3108159999999998E-2</v>
      </c>
      <c r="P2404">
        <v>-0.99787630000000005</v>
      </c>
      <c r="Q2404">
        <v>3.6892040000000001E-2</v>
      </c>
      <c r="R2404">
        <v>-5.3684610000000001E-2</v>
      </c>
      <c r="S2404">
        <v>-3.0197449999999999</v>
      </c>
      <c r="T2404">
        <v>-8.0388070000000006E-2</v>
      </c>
      <c r="U2404">
        <v>0.17752079999999901</v>
      </c>
      <c r="V2404">
        <v>-8.6705190000000001E-2</v>
      </c>
      <c r="W2404">
        <v>5.0053960000000002E-2</v>
      </c>
      <c r="X2404">
        <v>0.99497579999999997</v>
      </c>
      <c r="Y2404">
        <v>2.5601820000000001E-2</v>
      </c>
      <c r="Z2404">
        <v>-5.3977639999999998E-4</v>
      </c>
      <c r="AA2404">
        <v>0.99967209999999995</v>
      </c>
      <c r="AB2404">
        <v>23</v>
      </c>
      <c r="AC2404">
        <v>-41.382300000000001</v>
      </c>
      <c r="AD2404">
        <v>-1.1050533615741001</v>
      </c>
      <c r="AE2404">
        <v>2.4361000000000099</v>
      </c>
      <c r="AF2404">
        <v>1.0637964069969901</v>
      </c>
      <c r="AG2404">
        <v>-1.1050533615741001</v>
      </c>
      <c r="AH2404">
        <v>41.410843853589498</v>
      </c>
      <c r="AI2404">
        <v>91.528078142153404</v>
      </c>
      <c r="AJ2404">
        <v>88.528461714669106</v>
      </c>
      <c r="AK2404">
        <v>41.4392422034216</v>
      </c>
    </row>
    <row r="2405" spans="1:37" x14ac:dyDescent="0.2">
      <c r="A2405" t="str">
        <f>"20200111155545563"</f>
        <v>20200111155545563</v>
      </c>
      <c r="B2405" t="str">
        <f>"1578729345554820"</f>
        <v>1578729345554820</v>
      </c>
      <c r="C2405" t="s">
        <v>37</v>
      </c>
      <c r="D2405">
        <v>4.6296580000000001</v>
      </c>
      <c r="E2405">
        <v>0.54278669999999996</v>
      </c>
      <c r="F2405" t="s">
        <v>59</v>
      </c>
      <c r="G2405">
        <v>-354.3272</v>
      </c>
      <c r="H2405" s="1">
        <v>7.6595819999999899E-7</v>
      </c>
      <c r="I2405">
        <v>287.11130000000003</v>
      </c>
      <c r="J2405">
        <v>-312.83550000000002</v>
      </c>
      <c r="K2405">
        <v>1.105059</v>
      </c>
      <c r="L2405">
        <v>284.63990000000001</v>
      </c>
      <c r="M2405">
        <v>-0.99936709999999995</v>
      </c>
      <c r="N2405">
        <v>0</v>
      </c>
      <c r="O2405">
        <v>3.302298E-2</v>
      </c>
      <c r="P2405">
        <v>-0.99799380000000004</v>
      </c>
      <c r="Q2405">
        <v>3.6808929999999997E-2</v>
      </c>
      <c r="R2405">
        <v>-5.151642E-2</v>
      </c>
      <c r="S2405">
        <v>-3.019012</v>
      </c>
      <c r="T2405">
        <v>-8.0154059999999999E-2</v>
      </c>
      <c r="U2405">
        <v>0.17956539999999999</v>
      </c>
      <c r="V2405">
        <v>-8.4456950000000003E-2</v>
      </c>
      <c r="W2405">
        <v>4.996871E-2</v>
      </c>
      <c r="X2405">
        <v>0.99517350000000004</v>
      </c>
      <c r="Y2405">
        <v>2.6375610000000001E-2</v>
      </c>
      <c r="Z2405">
        <v>-5.2580400000000005E-4</v>
      </c>
      <c r="AA2405">
        <v>0.99965199999999999</v>
      </c>
      <c r="AB2405">
        <v>23</v>
      </c>
      <c r="AC2405">
        <v>-41.491699999999902</v>
      </c>
      <c r="AD2405">
        <v>-1.1050582340418</v>
      </c>
      <c r="AE2405">
        <v>2.4714000000000098</v>
      </c>
      <c r="AF2405">
        <v>1.09897565975999</v>
      </c>
      <c r="AG2405">
        <v>-1.1050582340418</v>
      </c>
      <c r="AH2405">
        <v>41.521338115758397</v>
      </c>
      <c r="AI2405">
        <v>91.523989422654495</v>
      </c>
      <c r="AJ2405">
        <v>88.483864621140995</v>
      </c>
      <c r="AK2405">
        <v>41.550576652129699</v>
      </c>
    </row>
    <row r="2406" spans="1:37" x14ac:dyDescent="0.2">
      <c r="A2406" t="str">
        <f>"20200111155545579"</f>
        <v>20200111155545579</v>
      </c>
      <c r="B2406" t="str">
        <f>"1578729345574340"</f>
        <v>1578729345574340</v>
      </c>
      <c r="C2406" t="s">
        <v>37</v>
      </c>
      <c r="D2406">
        <v>4.4667149999999998</v>
      </c>
      <c r="E2406">
        <v>0.54201469999999996</v>
      </c>
      <c r="F2406" t="s">
        <v>59</v>
      </c>
      <c r="G2406">
        <v>-354.491999999999</v>
      </c>
      <c r="H2406" s="1">
        <v>8.5363519999999996E-7</v>
      </c>
      <c r="I2406">
        <v>287.11439999999999</v>
      </c>
      <c r="J2406">
        <v>-312.99040000000002</v>
      </c>
      <c r="K2406">
        <v>1.1050599999999999</v>
      </c>
      <c r="L2406">
        <v>284.64490000000001</v>
      </c>
      <c r="M2406">
        <v>-0.99937039999999999</v>
      </c>
      <c r="N2406">
        <v>0</v>
      </c>
      <c r="O2406">
        <v>3.2921279999999997E-2</v>
      </c>
      <c r="P2406">
        <v>-0.99817670000000003</v>
      </c>
      <c r="Q2406">
        <v>3.6851210000000002E-2</v>
      </c>
      <c r="R2406">
        <v>-4.7806800000000003E-2</v>
      </c>
      <c r="S2406">
        <v>-3.0182500000000001</v>
      </c>
      <c r="T2406">
        <v>-8.0067630000000001E-2</v>
      </c>
      <c r="U2406">
        <v>0.1792908</v>
      </c>
      <c r="V2406">
        <v>-8.0653719999999998E-2</v>
      </c>
      <c r="W2406">
        <v>5.0010619999999999E-2</v>
      </c>
      <c r="X2406">
        <v>0.99548680000000001</v>
      </c>
      <c r="Y2406">
        <v>2.6401629999999999E-2</v>
      </c>
      <c r="Z2406">
        <v>-5.2233399999999995E-4</v>
      </c>
      <c r="AA2406">
        <v>0.99965130000000002</v>
      </c>
      <c r="AB2406">
        <v>23</v>
      </c>
      <c r="AC2406">
        <v>-41.501599999999897</v>
      </c>
      <c r="AD2406">
        <v>-1.1050591463647901</v>
      </c>
      <c r="AE2406">
        <v>2.46949999999998</v>
      </c>
      <c r="AF2406">
        <v>1.10097798212849</v>
      </c>
      <c r="AG2406">
        <v>-1.1050591463647901</v>
      </c>
      <c r="AH2406">
        <v>41.531064934914397</v>
      </c>
      <c r="AI2406">
        <v>91.523632227302201</v>
      </c>
      <c r="AJ2406">
        <v>88.481459098780604</v>
      </c>
      <c r="AK2406">
        <v>41.560349647977802</v>
      </c>
    </row>
    <row r="2407" spans="1:37" x14ac:dyDescent="0.2">
      <c r="A2407" t="str">
        <f>"20200111155545593"</f>
        <v>20200111155545593</v>
      </c>
      <c r="B2407" t="str">
        <f>"1578729345585076"</f>
        <v>1578729345585076</v>
      </c>
      <c r="C2407" t="s">
        <v>37</v>
      </c>
      <c r="D2407">
        <v>4.5465599999999897</v>
      </c>
      <c r="E2407">
        <v>0.54148890000000005</v>
      </c>
      <c r="F2407" t="s">
        <v>59</v>
      </c>
      <c r="G2407">
        <v>-356.46510000000001</v>
      </c>
      <c r="H2407" s="1">
        <v>1.903597E-6</v>
      </c>
      <c r="I2407">
        <v>287.30360000000002</v>
      </c>
      <c r="J2407">
        <v>-313.13900000000001</v>
      </c>
      <c r="K2407">
        <v>1.105062</v>
      </c>
      <c r="L2407">
        <v>284.6497</v>
      </c>
      <c r="M2407">
        <v>-0.99937369999999903</v>
      </c>
      <c r="N2407">
        <v>0</v>
      </c>
      <c r="O2407">
        <v>3.2823140000000001E-2</v>
      </c>
      <c r="P2407">
        <v>-0.99827219999999905</v>
      </c>
      <c r="Q2407">
        <v>3.6211130000000001E-2</v>
      </c>
      <c r="R2407">
        <v>-4.6273670000000003E-2</v>
      </c>
      <c r="S2407">
        <v>-3.0171509999999899</v>
      </c>
      <c r="T2407">
        <v>-7.669115E-2</v>
      </c>
      <c r="U2407">
        <v>0.18450929999999999</v>
      </c>
      <c r="V2407">
        <v>-7.9027029999999998E-2</v>
      </c>
      <c r="W2407">
        <v>4.9367679999999997E-2</v>
      </c>
      <c r="X2407">
        <v>0.99564929999999996</v>
      </c>
      <c r="Y2407">
        <v>2.8243230000000001E-2</v>
      </c>
      <c r="Z2407">
        <v>-4.7459439999999998E-4</v>
      </c>
      <c r="AA2407">
        <v>0.99960090000000001</v>
      </c>
      <c r="AB2407">
        <v>23</v>
      </c>
      <c r="AC2407">
        <v>-43.326099999999997</v>
      </c>
      <c r="AD2407">
        <v>-1.105060096403</v>
      </c>
      <c r="AE2407">
        <v>2.6539000000000201</v>
      </c>
      <c r="AF2407">
        <v>1.2294499609368701</v>
      </c>
      <c r="AG2407">
        <v>-1.105060096403</v>
      </c>
      <c r="AH2407">
        <v>43.361764676381</v>
      </c>
      <c r="AI2407">
        <v>91.459261639286893</v>
      </c>
      <c r="AJ2407">
        <v>88.375909581374003</v>
      </c>
      <c r="AK2407">
        <v>43.393263772997599</v>
      </c>
    </row>
    <row r="2408" spans="1:37" x14ac:dyDescent="0.2">
      <c r="A2408" t="str">
        <f>"20200111155545607"</f>
        <v>20200111155545607</v>
      </c>
      <c r="B2408" t="str">
        <f>"1578729345594836"</f>
        <v>1578729345594836</v>
      </c>
      <c r="C2408" t="s">
        <v>37</v>
      </c>
      <c r="D2408">
        <v>4.4793320000000003</v>
      </c>
      <c r="E2408">
        <v>0.54080139999999999</v>
      </c>
      <c r="F2408" t="s">
        <v>59</v>
      </c>
      <c r="G2408">
        <v>-356.68619999999999</v>
      </c>
      <c r="H2408" s="1">
        <v>2.0212939999999999E-6</v>
      </c>
      <c r="I2408">
        <v>287.31990000000002</v>
      </c>
      <c r="J2408">
        <v>-313.27099999999899</v>
      </c>
      <c r="K2408">
        <v>1.1050610000000001</v>
      </c>
      <c r="L2408">
        <v>284.654</v>
      </c>
      <c r="M2408">
        <v>-0.99937670000000001</v>
      </c>
      <c r="N2408">
        <v>0</v>
      </c>
      <c r="O2408">
        <v>3.2735599999999997E-2</v>
      </c>
      <c r="P2408">
        <v>-0.99835929999999995</v>
      </c>
      <c r="Q2408">
        <v>3.5883949999999998E-2</v>
      </c>
      <c r="R2408">
        <v>-4.4627E-2</v>
      </c>
      <c r="S2408">
        <v>-3.0165709999999999</v>
      </c>
      <c r="T2408">
        <v>-7.6548930000000001E-2</v>
      </c>
      <c r="U2408">
        <v>0.18496699999999999</v>
      </c>
      <c r="V2408">
        <v>-7.7296710000000005E-2</v>
      </c>
      <c r="W2408">
        <v>4.903859E-2</v>
      </c>
      <c r="X2408">
        <v>0.99580139999999995</v>
      </c>
      <c r="Y2408">
        <v>2.8493500000000001E-2</v>
      </c>
      <c r="Z2408">
        <v>-4.6841370000000001E-4</v>
      </c>
      <c r="AA2408">
        <v>0.99959390000000004</v>
      </c>
      <c r="AB2408">
        <v>23</v>
      </c>
      <c r="AC2408">
        <v>-43.415199999999999</v>
      </c>
      <c r="AD2408">
        <v>-1.1050589787059999</v>
      </c>
      <c r="AE2408">
        <v>2.6659000000000201</v>
      </c>
      <c r="AF2408">
        <v>1.2423224089165801</v>
      </c>
      <c r="AG2408">
        <v>-1.1050589787059999</v>
      </c>
      <c r="AH2408">
        <v>43.451159946396203</v>
      </c>
      <c r="AI2408">
        <v>91.456249362234104</v>
      </c>
      <c r="AJ2408">
        <v>88.3622889493939</v>
      </c>
      <c r="AK2408">
        <v>43.482960122344799</v>
      </c>
    </row>
    <row r="2409" spans="1:37" x14ac:dyDescent="0.2">
      <c r="A2409" t="str">
        <f>"20200111155545624"</f>
        <v>20200111155545624</v>
      </c>
      <c r="B2409" t="str">
        <f>"1578729345615331"</f>
        <v>1578729345615331</v>
      </c>
      <c r="C2409" t="s">
        <v>37</v>
      </c>
      <c r="D2409">
        <v>4.4294330000000004</v>
      </c>
      <c r="E2409">
        <v>0.53222809999999998</v>
      </c>
      <c r="F2409" t="s">
        <v>59</v>
      </c>
      <c r="G2409">
        <v>-357.24380000000002</v>
      </c>
      <c r="H2409" s="1">
        <v>2.3179919999999999E-6</v>
      </c>
      <c r="I2409">
        <v>287.34199999999998</v>
      </c>
      <c r="J2409">
        <v>-313.44159999999999</v>
      </c>
      <c r="K2409">
        <v>1.105056</v>
      </c>
      <c r="L2409">
        <v>284.65949999999998</v>
      </c>
      <c r="M2409">
        <v>-0.9993805</v>
      </c>
      <c r="N2409">
        <v>0</v>
      </c>
      <c r="O2409">
        <v>3.2622089999999999E-2</v>
      </c>
      <c r="P2409">
        <v>-0.99851599999999996</v>
      </c>
      <c r="Q2409">
        <v>3.523631E-2</v>
      </c>
      <c r="R2409">
        <v>-4.1525560000000003E-2</v>
      </c>
      <c r="S2409">
        <v>-3.0158999999999998</v>
      </c>
      <c r="T2409">
        <v>-7.5791120000000003E-2</v>
      </c>
      <c r="U2409">
        <v>0.18435670000000001</v>
      </c>
      <c r="V2409">
        <v>-7.4089260000000004E-2</v>
      </c>
      <c r="W2409">
        <v>4.8389910000000001E-2</v>
      </c>
      <c r="X2409">
        <v>0.99607690000000004</v>
      </c>
      <c r="Y2409">
        <v>2.8419059999999999E-2</v>
      </c>
      <c r="Z2409">
        <v>-4.6197149999999999E-4</v>
      </c>
      <c r="AA2409">
        <v>0.99959599999999904</v>
      </c>
      <c r="AB2409">
        <v>23</v>
      </c>
      <c r="AC2409">
        <v>-43.802199999999999</v>
      </c>
      <c r="AD2409">
        <v>-1.1050536820079999</v>
      </c>
      <c r="AE2409">
        <v>2.6825000000000001</v>
      </c>
      <c r="AF2409">
        <v>1.25123467977481</v>
      </c>
      <c r="AG2409">
        <v>-1.1050536820079999</v>
      </c>
      <c r="AH2409">
        <v>43.838601443921199</v>
      </c>
      <c r="AI2409">
        <v>91.443379752563999</v>
      </c>
      <c r="AJ2409">
        <v>88.3651164443298</v>
      </c>
      <c r="AK2409">
        <v>43.870373926181202</v>
      </c>
    </row>
    <row r="2410" spans="1:37" x14ac:dyDescent="0.2">
      <c r="A2410" t="str">
        <f>"20200111155545639"</f>
        <v>20200111155545639</v>
      </c>
      <c r="B2410" t="str">
        <f>"1578729345634852"</f>
        <v>1578729345634852</v>
      </c>
      <c r="C2410" t="s">
        <v>37</v>
      </c>
      <c r="D2410">
        <v>4.4972199999999898</v>
      </c>
      <c r="E2410">
        <v>0.5333213</v>
      </c>
      <c r="F2410" t="s">
        <v>59</v>
      </c>
      <c r="G2410">
        <v>-382.4554</v>
      </c>
      <c r="H2410" s="1">
        <v>-2.30161899999999E-7</v>
      </c>
      <c r="I2410">
        <v>287.55349999999999</v>
      </c>
      <c r="J2410">
        <v>-313.59519999999998</v>
      </c>
      <c r="K2410">
        <v>1.105051</v>
      </c>
      <c r="L2410">
        <v>284.6644</v>
      </c>
      <c r="M2410">
        <v>-0.99938379999999905</v>
      </c>
      <c r="N2410">
        <v>0</v>
      </c>
      <c r="O2410">
        <v>3.2519480000000003E-2</v>
      </c>
      <c r="P2410">
        <v>-0.99860749999999998</v>
      </c>
      <c r="Q2410">
        <v>3.4132679999999999E-2</v>
      </c>
      <c r="R2410">
        <v>-4.0227190000000003E-2</v>
      </c>
      <c r="S2410">
        <v>-3.0114139999999998</v>
      </c>
      <c r="T2410">
        <v>-4.8219079999999997E-2</v>
      </c>
      <c r="U2410">
        <v>0.1262817</v>
      </c>
      <c r="V2410">
        <v>-7.2691870000000006E-2</v>
      </c>
      <c r="W2410">
        <v>4.7284430000000002E-2</v>
      </c>
      <c r="X2410">
        <v>0.99623289999999998</v>
      </c>
      <c r="Y2410">
        <v>9.3845830000000002E-3</v>
      </c>
      <c r="Z2410">
        <v>-4.4523570000000001E-4</v>
      </c>
      <c r="AA2410">
        <v>0.99995590000000001</v>
      </c>
      <c r="AB2410">
        <v>23</v>
      </c>
      <c r="AC2410">
        <v>-68.860200000000006</v>
      </c>
      <c r="AD2410">
        <v>-1.1050512301619</v>
      </c>
      <c r="AE2410">
        <v>2.88909999999998</v>
      </c>
      <c r="AF2410">
        <v>0.64791182469835995</v>
      </c>
      <c r="AG2410">
        <v>-1.1050512301619</v>
      </c>
      <c r="AH2410">
        <v>68.900021176589206</v>
      </c>
      <c r="AI2410">
        <v>90.918817498163506</v>
      </c>
      <c r="AJ2410">
        <v>89.461226306733707</v>
      </c>
      <c r="AK2410">
        <v>68.911928184373906</v>
      </c>
    </row>
    <row r="2411" spans="1:37" x14ac:dyDescent="0.2">
      <c r="A2411" t="str">
        <f>"20200111155545651"</f>
        <v>20200111155545651</v>
      </c>
      <c r="B2411" t="str">
        <f>"1578729345644613"</f>
        <v>1578729345644613</v>
      </c>
      <c r="C2411" t="s">
        <v>37</v>
      </c>
      <c r="D2411">
        <v>4.5747780000000002</v>
      </c>
      <c r="E2411">
        <v>0.53382339999999995</v>
      </c>
      <c r="F2411" t="s">
        <v>59</v>
      </c>
      <c r="G2411">
        <v>-373.53789999999998</v>
      </c>
      <c r="H2411" s="1">
        <v>3.458932E-7</v>
      </c>
      <c r="I2411">
        <v>287.42320000000001</v>
      </c>
      <c r="J2411">
        <v>-313.72559999999999</v>
      </c>
      <c r="K2411">
        <v>1.1050420000000001</v>
      </c>
      <c r="L2411">
        <v>284.66849999999999</v>
      </c>
      <c r="M2411">
        <v>-0.99938689999999997</v>
      </c>
      <c r="N2411">
        <v>0</v>
      </c>
      <c r="O2411">
        <v>3.2431939999999999E-2</v>
      </c>
      <c r="P2411">
        <v>-0.9987087</v>
      </c>
      <c r="Q2411">
        <v>3.2813750000000003E-2</v>
      </c>
      <c r="R2411">
        <v>-3.8792630000000002E-2</v>
      </c>
      <c r="S2411">
        <v>-3.0116580000000002</v>
      </c>
      <c r="T2411">
        <v>-5.5520299999999898E-2</v>
      </c>
      <c r="U2411">
        <v>0.13861080000000001</v>
      </c>
      <c r="V2411">
        <v>-7.1173669999999994E-2</v>
      </c>
      <c r="W2411">
        <v>4.5964560000000002E-2</v>
      </c>
      <c r="X2411">
        <v>0.99640430000000002</v>
      </c>
      <c r="Y2411">
        <v>1.355464E-2</v>
      </c>
      <c r="Z2411">
        <v>-4.72518E-4</v>
      </c>
      <c r="AA2411">
        <v>0.99990800000000002</v>
      </c>
      <c r="AB2411">
        <v>23</v>
      </c>
      <c r="AC2411">
        <v>-59.812299999999901</v>
      </c>
      <c r="AD2411">
        <v>-1.1050416541068</v>
      </c>
      <c r="AE2411">
        <v>2.7547000000000099</v>
      </c>
      <c r="AF2411">
        <v>0.812976015039377</v>
      </c>
      <c r="AG2411">
        <v>-1.1050416541068</v>
      </c>
      <c r="AH2411">
        <v>59.849792701964802</v>
      </c>
      <c r="AI2411">
        <v>91.057667679331402</v>
      </c>
      <c r="AJ2411">
        <v>89.221764557189701</v>
      </c>
      <c r="AK2411">
        <v>59.8655137247355</v>
      </c>
    </row>
    <row r="2412" spans="1:37" x14ac:dyDescent="0.2">
      <c r="A2412" t="str">
        <f>"20200111155545669"</f>
        <v>20200111155545669</v>
      </c>
      <c r="B2412" t="str">
        <f>"1578729345665108"</f>
        <v>1578729345665108</v>
      </c>
      <c r="C2412" t="s">
        <v>37</v>
      </c>
      <c r="D2412">
        <v>4.5350380000000001</v>
      </c>
      <c r="E2412">
        <v>0.53292329999999999</v>
      </c>
      <c r="F2412" t="s">
        <v>59</v>
      </c>
      <c r="G2412">
        <v>-370.96260000000001</v>
      </c>
      <c r="H2412" s="1">
        <v>-1.0245529999999899E-6</v>
      </c>
      <c r="I2412">
        <v>287.46010000000001</v>
      </c>
      <c r="J2412">
        <v>-313.89</v>
      </c>
      <c r="K2412">
        <v>1.105024</v>
      </c>
      <c r="L2412">
        <v>284.67380000000003</v>
      </c>
      <c r="M2412">
        <v>-0.99939049999999996</v>
      </c>
      <c r="N2412">
        <v>0</v>
      </c>
      <c r="O2412">
        <v>3.2321700000000002E-2</v>
      </c>
      <c r="P2412">
        <v>-0.99891839999999998</v>
      </c>
      <c r="Q2412">
        <v>2.9359030000000001E-2</v>
      </c>
      <c r="R2412">
        <v>-3.6061250000000003E-2</v>
      </c>
      <c r="S2412">
        <v>-3.0115050000000001</v>
      </c>
      <c r="T2412">
        <v>-5.8141470000000001E-2</v>
      </c>
      <c r="U2412">
        <v>0.14688109999999999</v>
      </c>
      <c r="V2412">
        <v>-6.8340250000000005E-2</v>
      </c>
      <c r="W2412">
        <v>4.2510869999999999E-2</v>
      </c>
      <c r="X2412">
        <v>0.99675599999999998</v>
      </c>
      <c r="Y2412">
        <v>1.6406779999999999E-2</v>
      </c>
      <c r="Z2412">
        <v>-4.6516910000000001E-4</v>
      </c>
      <c r="AA2412">
        <v>0.99986529999999996</v>
      </c>
      <c r="AB2412">
        <v>23</v>
      </c>
      <c r="AC2412">
        <v>-57.072600000000001</v>
      </c>
      <c r="AD2412">
        <v>-1.105025024553</v>
      </c>
      <c r="AE2412">
        <v>2.7862999999999798</v>
      </c>
      <c r="AF2412">
        <v>0.93964863312777203</v>
      </c>
      <c r="AG2412">
        <v>-1.105025024553</v>
      </c>
      <c r="AH2412">
        <v>57.1114822746136</v>
      </c>
      <c r="AI2412">
        <v>91.108302642415893</v>
      </c>
      <c r="AJ2412">
        <v>89.0574041922672</v>
      </c>
      <c r="AK2412">
        <v>57.129899592613697</v>
      </c>
    </row>
    <row r="2413" spans="1:37" x14ac:dyDescent="0.2">
      <c r="A2413" t="str">
        <f>"20200111155545683"</f>
        <v>20200111155545683</v>
      </c>
      <c r="B2413" t="str">
        <f>"1578729345674868"</f>
        <v>1578729345674868</v>
      </c>
      <c r="C2413" t="s">
        <v>37</v>
      </c>
      <c r="D2413">
        <v>4.385732</v>
      </c>
      <c r="E2413">
        <v>0.53258989999999995</v>
      </c>
      <c r="F2413" t="s">
        <v>59</v>
      </c>
      <c r="G2413">
        <v>-361.7704</v>
      </c>
      <c r="H2413" s="1">
        <v>-5.9464819999999897E-7</v>
      </c>
      <c r="I2413">
        <v>287.01990000000001</v>
      </c>
      <c r="J2413">
        <v>-314.03969999999998</v>
      </c>
      <c r="K2413">
        <v>1.1050169999999999</v>
      </c>
      <c r="L2413">
        <v>284.67849999999999</v>
      </c>
      <c r="M2413">
        <v>-0.99939359999999999</v>
      </c>
      <c r="N2413">
        <v>0</v>
      </c>
      <c r="O2413">
        <v>3.2221529999999998E-2</v>
      </c>
      <c r="P2413">
        <v>-0.99899199999999999</v>
      </c>
      <c r="Q2413">
        <v>2.812183E-2</v>
      </c>
      <c r="R2413">
        <v>-3.4989029999999997E-2</v>
      </c>
      <c r="S2413">
        <v>-3.01065099999999</v>
      </c>
      <c r="T2413">
        <v>-6.9482329999999995E-2</v>
      </c>
      <c r="U2413">
        <v>0.14752199999999999</v>
      </c>
      <c r="V2413">
        <v>-6.7170199999999999E-2</v>
      </c>
      <c r="W2413">
        <v>4.127219E-2</v>
      </c>
      <c r="X2413">
        <v>0.99688759999999998</v>
      </c>
      <c r="Y2413">
        <v>1.6734280000000001E-2</v>
      </c>
      <c r="Z2413">
        <v>-5.4995019999999996E-4</v>
      </c>
      <c r="AA2413">
        <v>0.99985979999999997</v>
      </c>
      <c r="AB2413">
        <v>22</v>
      </c>
      <c r="AC2413">
        <v>-47.730699999999999</v>
      </c>
      <c r="AD2413">
        <v>-1.1050175946481999</v>
      </c>
      <c r="AE2413">
        <v>2.3414000000000201</v>
      </c>
      <c r="AF2413">
        <v>0.80166522127314499</v>
      </c>
      <c r="AG2413">
        <v>-1.1050175946481999</v>
      </c>
      <c r="AH2413">
        <v>47.755827276015701</v>
      </c>
      <c r="AI2413">
        <v>91.325338462599106</v>
      </c>
      <c r="AJ2413">
        <v>89.038280297141497</v>
      </c>
      <c r="AK2413">
        <v>47.775336417738899</v>
      </c>
    </row>
    <row r="2414" spans="1:37" x14ac:dyDescent="0.2">
      <c r="A2414" t="str">
        <f>"20200111155545697"</f>
        <v>20200111155545697</v>
      </c>
      <c r="B2414" t="str">
        <f>"1578729345684627"</f>
        <v>1578729345684627</v>
      </c>
      <c r="C2414" t="s">
        <v>37</v>
      </c>
      <c r="D2414">
        <v>4.4383049999999997</v>
      </c>
      <c r="E2414">
        <v>0.53238479999999999</v>
      </c>
      <c r="F2414" t="s">
        <v>59</v>
      </c>
      <c r="G2414">
        <v>-359.54430000000002</v>
      </c>
      <c r="H2414" s="1">
        <v>3.5422339999999998E-6</v>
      </c>
      <c r="I2414">
        <v>286.91550000000001</v>
      </c>
      <c r="J2414">
        <v>-314.1823</v>
      </c>
      <c r="K2414">
        <v>1.1050070000000001</v>
      </c>
      <c r="L2414">
        <v>284.68299999999999</v>
      </c>
      <c r="M2414">
        <v>-0.99939669999999903</v>
      </c>
      <c r="N2414">
        <v>0</v>
      </c>
      <c r="O2414">
        <v>3.2126179999999997E-2</v>
      </c>
      <c r="P2414">
        <v>-0.99906410000000001</v>
      </c>
      <c r="Q2414">
        <v>2.7071649999999999E-2</v>
      </c>
      <c r="R2414">
        <v>-3.373309E-2</v>
      </c>
      <c r="S2414">
        <v>-3.0102540000000002</v>
      </c>
      <c r="T2414">
        <v>-7.3099609999999995E-2</v>
      </c>
      <c r="U2414">
        <v>0.14797969999999999</v>
      </c>
      <c r="V2414">
        <v>-6.5822469999999994E-2</v>
      </c>
      <c r="W2414">
        <v>4.0221159999999999E-2</v>
      </c>
      <c r="X2414">
        <v>0.99702039999999903</v>
      </c>
      <c r="Y2414">
        <v>1.6988130000000001E-2</v>
      </c>
      <c r="Z2414">
        <v>-5.732542E-4</v>
      </c>
      <c r="AA2414">
        <v>0.99985550000000001</v>
      </c>
      <c r="AB2414">
        <v>22</v>
      </c>
      <c r="AC2414">
        <v>-45.362000000000002</v>
      </c>
      <c r="AD2414">
        <v>-1.105003457766</v>
      </c>
      <c r="AE2414">
        <v>2.2325000000000101</v>
      </c>
      <c r="AF2414">
        <v>0.77345489065607498</v>
      </c>
      <c r="AG2414">
        <v>-1.105003457766</v>
      </c>
      <c r="AH2414">
        <v>45.383443778490197</v>
      </c>
      <c r="AI2414">
        <v>91.394568930454199</v>
      </c>
      <c r="AJ2414">
        <v>89.023621669012996</v>
      </c>
      <c r="AK2414">
        <v>45.403482623086703</v>
      </c>
    </row>
    <row r="2415" spans="1:37" x14ac:dyDescent="0.2">
      <c r="A2415" t="str">
        <f>"20200111155545713"</f>
        <v>20200111155545713</v>
      </c>
      <c r="B2415" t="str">
        <f>"1578729345705123"</f>
        <v>1578729345705123</v>
      </c>
      <c r="C2415" t="s">
        <v>37</v>
      </c>
      <c r="D2415">
        <v>4.5150699999999997</v>
      </c>
      <c r="E2415">
        <v>0.53199649999999998</v>
      </c>
      <c r="F2415" t="s">
        <v>59</v>
      </c>
      <c r="G2415">
        <v>-358.05410000000001</v>
      </c>
      <c r="H2415" s="1">
        <v>2.7492019999999999E-6</v>
      </c>
      <c r="I2415">
        <v>286.87200000000001</v>
      </c>
      <c r="J2415">
        <v>-314.34070000000003</v>
      </c>
      <c r="K2415">
        <v>1.105002</v>
      </c>
      <c r="L2415">
        <v>284.68799999999999</v>
      </c>
      <c r="M2415">
        <v>-0.99940019999999996</v>
      </c>
      <c r="N2415">
        <v>0</v>
      </c>
      <c r="O2415">
        <v>3.2020050000000001E-2</v>
      </c>
      <c r="P2415">
        <v>-0.99917230000000001</v>
      </c>
      <c r="Q2415">
        <v>2.593883E-2</v>
      </c>
      <c r="R2415">
        <v>-3.1336559999999999E-2</v>
      </c>
      <c r="S2415">
        <v>-3.0099490000000002</v>
      </c>
      <c r="T2415">
        <v>-7.5811859999999995E-2</v>
      </c>
      <c r="U2415">
        <v>0.150177</v>
      </c>
      <c r="V2415">
        <v>-6.3324439999999996E-2</v>
      </c>
      <c r="W2415">
        <v>3.9088129999999999E-2</v>
      </c>
      <c r="X2415">
        <v>0.99722730000000004</v>
      </c>
      <c r="Y2415">
        <v>1.782744E-2</v>
      </c>
      <c r="Z2415">
        <v>-5.8133350000000002E-4</v>
      </c>
      <c r="AA2415">
        <v>0.99984089999999903</v>
      </c>
      <c r="AB2415">
        <v>22</v>
      </c>
      <c r="AC2415">
        <v>-43.713399999999901</v>
      </c>
      <c r="AD2415">
        <v>-1.104999250798</v>
      </c>
      <c r="AE2415">
        <v>2.1840000000000201</v>
      </c>
      <c r="AF2415">
        <v>0.78255409472848703</v>
      </c>
      <c r="AG2415">
        <v>-1.104999250798</v>
      </c>
      <c r="AH2415">
        <v>43.733043466221801</v>
      </c>
      <c r="AI2415">
        <v>91.447148275664603</v>
      </c>
      <c r="AJ2415">
        <v>88.974865256128297</v>
      </c>
      <c r="AK2415">
        <v>43.753999875141503</v>
      </c>
    </row>
    <row r="2416" spans="1:37" x14ac:dyDescent="0.2">
      <c r="A2416" t="str">
        <f>"20200111155545728"</f>
        <v>20200111155545728</v>
      </c>
      <c r="B2416" t="str">
        <f>"1578729345724644"</f>
        <v>1578729345724644</v>
      </c>
      <c r="C2416" t="s">
        <v>37</v>
      </c>
      <c r="D2416">
        <v>4.5661800000000001</v>
      </c>
      <c r="E2416">
        <v>0.53165790000000002</v>
      </c>
      <c r="F2416" t="s">
        <v>59</v>
      </c>
      <c r="G2416">
        <v>-355.93699999999899</v>
      </c>
      <c r="H2416" s="1">
        <v>1.6225759999999999E-6</v>
      </c>
      <c r="I2416">
        <v>286.81529999999998</v>
      </c>
      <c r="J2416">
        <v>-314.48750000000001</v>
      </c>
      <c r="K2416">
        <v>1.104997</v>
      </c>
      <c r="L2416">
        <v>284.69260000000003</v>
      </c>
      <c r="M2416">
        <v>-0.9994035</v>
      </c>
      <c r="N2416">
        <v>0</v>
      </c>
      <c r="O2416">
        <v>3.192159E-2</v>
      </c>
      <c r="P2416">
        <v>-0.9992143</v>
      </c>
      <c r="Q2416">
        <v>2.568061E-2</v>
      </c>
      <c r="R2416">
        <v>-3.0192630000000002E-2</v>
      </c>
      <c r="S2416">
        <v>-3.0093990000000002</v>
      </c>
      <c r="T2416">
        <v>-7.9944370000000001E-2</v>
      </c>
      <c r="U2416">
        <v>0.15390009999999901</v>
      </c>
      <c r="V2416">
        <v>-6.208346E-2</v>
      </c>
      <c r="W2416">
        <v>3.882178E-2</v>
      </c>
      <c r="X2416">
        <v>0.99731559999999897</v>
      </c>
      <c r="Y2416">
        <v>1.9168830000000001E-2</v>
      </c>
      <c r="Z2416">
        <v>-5.9268570000000004E-4</v>
      </c>
      <c r="AA2416">
        <v>0.99981609999999999</v>
      </c>
      <c r="AB2416">
        <v>22</v>
      </c>
      <c r="AC2416">
        <v>-41.449499999999901</v>
      </c>
      <c r="AD2416">
        <v>-1.104995377424</v>
      </c>
      <c r="AE2416">
        <v>2.1226999999999498</v>
      </c>
      <c r="AF2416">
        <v>0.79780367792617801</v>
      </c>
      <c r="AG2416">
        <v>-1.104995377424</v>
      </c>
      <c r="AH2416">
        <v>41.466745463123601</v>
      </c>
      <c r="AI2416">
        <v>91.526159940138598</v>
      </c>
      <c r="AJ2416">
        <v>88.897787992980199</v>
      </c>
      <c r="AK2416">
        <v>41.489136949280201</v>
      </c>
    </row>
    <row r="2417" spans="1:37" x14ac:dyDescent="0.2">
      <c r="A2417" t="str">
        <f>"20200111155545742"</f>
        <v>20200111155545742</v>
      </c>
      <c r="B2417" t="str">
        <f>"1578729345734405"</f>
        <v>1578729345734405</v>
      </c>
      <c r="C2417" t="s">
        <v>37</v>
      </c>
      <c r="D2417">
        <v>4.3513599999999997</v>
      </c>
      <c r="E2417">
        <v>0.5233179</v>
      </c>
      <c r="F2417" t="s">
        <v>59</v>
      </c>
      <c r="G2417">
        <v>-356.07369999999997</v>
      </c>
      <c r="H2417" s="1">
        <v>1.69532E-6</v>
      </c>
      <c r="I2417">
        <v>286.8297</v>
      </c>
      <c r="J2417">
        <v>-314.62900000000002</v>
      </c>
      <c r="K2417">
        <v>1.1049959999999901</v>
      </c>
      <c r="L2417">
        <v>284.69709999999998</v>
      </c>
      <c r="M2417">
        <v>-0.99940680000000004</v>
      </c>
      <c r="N2417">
        <v>0</v>
      </c>
      <c r="O2417">
        <v>3.1826050000000002E-2</v>
      </c>
      <c r="P2417">
        <v>-0.99924740000000001</v>
      </c>
      <c r="Q2417">
        <v>2.526716E-2</v>
      </c>
      <c r="R2417">
        <v>-2.943904E-2</v>
      </c>
      <c r="S2417">
        <v>-3.0090939999999899</v>
      </c>
      <c r="T2417">
        <v>-7.995534E-2</v>
      </c>
      <c r="U2417">
        <v>0.15463260000000001</v>
      </c>
      <c r="V2417">
        <v>-6.1236060000000002E-2</v>
      </c>
      <c r="W2417">
        <v>3.8390090000000002E-2</v>
      </c>
      <c r="X2417">
        <v>0.99738470000000001</v>
      </c>
      <c r="Y2417">
        <v>1.9512160000000001E-2</v>
      </c>
      <c r="Z2417">
        <v>-5.8572989999999998E-4</v>
      </c>
      <c r="AA2417">
        <v>0.99980939999999996</v>
      </c>
      <c r="AB2417">
        <v>22</v>
      </c>
      <c r="AC2417">
        <v>-41.444699999999898</v>
      </c>
      <c r="AD2417">
        <v>-1.1049943046799999</v>
      </c>
      <c r="AE2417">
        <v>2.13260000000002</v>
      </c>
      <c r="AF2417">
        <v>0.81180862703271195</v>
      </c>
      <c r="AG2417">
        <v>-1.1049943046799999</v>
      </c>
      <c r="AH2417">
        <v>41.462183702041898</v>
      </c>
      <c r="AI2417">
        <v>91.526316230272002</v>
      </c>
      <c r="AJ2417">
        <v>88.878320879415</v>
      </c>
      <c r="AK2417">
        <v>41.484849318783397</v>
      </c>
    </row>
    <row r="2418" spans="1:37" x14ac:dyDescent="0.2">
      <c r="A2418" t="str">
        <f>"20200111155545757"</f>
        <v>20200111155545757</v>
      </c>
      <c r="B2418" t="str">
        <f>"1578729345754900"</f>
        <v>1578729345754900</v>
      </c>
      <c r="C2418" t="s">
        <v>37</v>
      </c>
      <c r="D2418">
        <v>4.5395029999999998</v>
      </c>
      <c r="E2418">
        <v>0.52616640000000003</v>
      </c>
      <c r="F2418" t="s">
        <v>59</v>
      </c>
      <c r="G2418">
        <v>-367.80259999999998</v>
      </c>
      <c r="H2418" s="1">
        <v>2.6153779999999998E-6</v>
      </c>
      <c r="I2418">
        <v>286.30919999999998</v>
      </c>
      <c r="J2418">
        <v>-314.78539999999998</v>
      </c>
      <c r="K2418">
        <v>1.1049929999999999</v>
      </c>
      <c r="L2418">
        <v>284.70190000000002</v>
      </c>
      <c r="M2418">
        <v>-0.99941059999999904</v>
      </c>
      <c r="N2418">
        <v>0</v>
      </c>
      <c r="O2418">
        <v>3.1719610000000002E-2</v>
      </c>
      <c r="P2418">
        <v>-0.99924799999999903</v>
      </c>
      <c r="Q2418">
        <v>2.5873500000000001E-2</v>
      </c>
      <c r="R2418">
        <v>-2.8879889999999998E-2</v>
      </c>
      <c r="S2418">
        <v>-3.0065309999999998</v>
      </c>
      <c r="T2418">
        <v>-6.2478300000000001E-2</v>
      </c>
      <c r="U2418">
        <v>9.1156009999999996E-2</v>
      </c>
      <c r="V2418">
        <v>-6.0571260000000002E-2</v>
      </c>
      <c r="W2418">
        <v>3.8957569999999997E-2</v>
      </c>
      <c r="X2418">
        <v>0.99740329999999999</v>
      </c>
      <c r="Y2418">
        <v>-1.410475E-3</v>
      </c>
      <c r="Z2418">
        <v>-6.7348369999999905E-4</v>
      </c>
      <c r="AA2418">
        <v>0.99999879999999997</v>
      </c>
      <c r="AB2418">
        <v>22</v>
      </c>
      <c r="AC2418">
        <v>-53.017200000000003</v>
      </c>
      <c r="AD2418">
        <v>-1.1049903846219999</v>
      </c>
      <c r="AE2418">
        <v>1.60729999999995</v>
      </c>
      <c r="AF2418">
        <v>-7.5306058905956402E-2</v>
      </c>
      <c r="AG2418">
        <v>-1.1049903846219999</v>
      </c>
      <c r="AH2418">
        <v>53.018495069507701</v>
      </c>
      <c r="AI2418">
        <v>91.193961786717196</v>
      </c>
      <c r="AJ2418">
        <v>90.081381345129202</v>
      </c>
      <c r="AK2418">
        <v>53.030062174091597</v>
      </c>
    </row>
    <row r="2419" spans="1:37" x14ac:dyDescent="0.2">
      <c r="A2419" t="str">
        <f>"20200111155545772"</f>
        <v>20200111155545772</v>
      </c>
      <c r="B2419" t="str">
        <f>"1578729345764660"</f>
        <v>1578729345764660</v>
      </c>
      <c r="C2419" t="s">
        <v>37</v>
      </c>
      <c r="D2419">
        <v>4.4500760000000001</v>
      </c>
      <c r="E2419">
        <v>0.52611569999999996</v>
      </c>
      <c r="F2419" t="s">
        <v>59</v>
      </c>
      <c r="G2419">
        <v>-376.00110000000001</v>
      </c>
      <c r="H2419" s="1">
        <v>1.6566979999999999E-6</v>
      </c>
      <c r="I2419">
        <v>287.05590000000001</v>
      </c>
      <c r="J2419">
        <v>-314.93060000000003</v>
      </c>
      <c r="K2419">
        <v>1.1049850000000001</v>
      </c>
      <c r="L2419">
        <v>284.70639999999997</v>
      </c>
      <c r="M2419">
        <v>-0.99941460000000004</v>
      </c>
      <c r="N2419">
        <v>0</v>
      </c>
      <c r="O2419">
        <v>3.162367E-2</v>
      </c>
      <c r="P2419">
        <v>-0.99922040000000001</v>
      </c>
      <c r="Q2419">
        <v>2.6841980000000001E-2</v>
      </c>
      <c r="R2419">
        <v>-2.8951540000000001E-2</v>
      </c>
      <c r="S2419">
        <v>-3.0070189999999899</v>
      </c>
      <c r="T2419">
        <v>-5.4279090000000002E-2</v>
      </c>
      <c r="U2419">
        <v>0.1156311</v>
      </c>
      <c r="V2419">
        <v>-6.0546280000000001E-2</v>
      </c>
      <c r="W2419">
        <v>3.9858570000000003E-2</v>
      </c>
      <c r="X2419">
        <v>0.99736930000000001</v>
      </c>
      <c r="Y2419">
        <v>6.8071379999999999E-3</v>
      </c>
      <c r="Z2419">
        <v>-5.0905639999999995E-4</v>
      </c>
      <c r="AA2419">
        <v>0.99997669999999905</v>
      </c>
      <c r="AB2419">
        <v>22</v>
      </c>
      <c r="AC2419">
        <v>-61.070499999999903</v>
      </c>
      <c r="AD2419">
        <v>-1.104983343302</v>
      </c>
      <c r="AE2419">
        <v>2.3495000000000301</v>
      </c>
      <c r="AF2419">
        <v>0.41675055138240702</v>
      </c>
      <c r="AG2419">
        <v>-1.104983343302</v>
      </c>
      <c r="AH2419">
        <v>61.0942850025871</v>
      </c>
      <c r="AI2419">
        <v>91.0361445007497</v>
      </c>
      <c r="AJ2419">
        <v>89.609166760044701</v>
      </c>
      <c r="AK2419">
        <v>61.105698009174098</v>
      </c>
    </row>
    <row r="2420" spans="1:37" x14ac:dyDescent="0.2">
      <c r="A2420" t="str">
        <f>"20200111155545785"</f>
        <v>20200111155545785</v>
      </c>
      <c r="B2420" t="str">
        <f>"1578729345774420"</f>
        <v>1578729345774420</v>
      </c>
      <c r="C2420" t="s">
        <v>37</v>
      </c>
      <c r="D2420">
        <v>4.375858</v>
      </c>
      <c r="E2420">
        <v>0.52600590000000003</v>
      </c>
      <c r="F2420" t="s">
        <v>59</v>
      </c>
      <c r="G2420">
        <v>-379.64980000000003</v>
      </c>
      <c r="H2420" s="1">
        <v>3.5983459999999999E-6</v>
      </c>
      <c r="I2420">
        <v>287.1866</v>
      </c>
      <c r="J2420">
        <v>-315.06139999999999</v>
      </c>
      <c r="K2420">
        <v>1.1049739999999999</v>
      </c>
      <c r="L2420">
        <v>284.71050000000002</v>
      </c>
      <c r="M2420">
        <v>-0.99941840000000004</v>
      </c>
      <c r="N2420">
        <v>0</v>
      </c>
      <c r="O2420">
        <v>3.1536950000000001E-2</v>
      </c>
      <c r="P2420">
        <v>-0.99915799999999999</v>
      </c>
      <c r="Q2420">
        <v>2.8594799999999899E-2</v>
      </c>
      <c r="R2420">
        <v>-2.9425969999999999E-2</v>
      </c>
      <c r="S2420">
        <v>-3.00705</v>
      </c>
      <c r="T2420">
        <v>-5.1340820000000002E-2</v>
      </c>
      <c r="U2420">
        <v>0.1152344</v>
      </c>
      <c r="V2420">
        <v>-6.093258E-2</v>
      </c>
      <c r="W2420">
        <v>4.1530879999999999E-2</v>
      </c>
      <c r="X2420">
        <v>0.99727749999999904</v>
      </c>
      <c r="Y2420">
        <v>6.76138E-3</v>
      </c>
      <c r="Z2420">
        <v>-4.8041119999999999E-4</v>
      </c>
      <c r="AA2420">
        <v>0.99997709999999995</v>
      </c>
      <c r="AB2420">
        <v>22</v>
      </c>
      <c r="AC2420">
        <v>-64.588399999999993</v>
      </c>
      <c r="AD2420">
        <v>-1.1049704016539901</v>
      </c>
      <c r="AE2420">
        <v>2.47609999999997</v>
      </c>
      <c r="AF2420">
        <v>0.43764769289087102</v>
      </c>
      <c r="AG2420">
        <v>-1.1049704016539901</v>
      </c>
      <c r="AH2420">
        <v>64.615478804609594</v>
      </c>
      <c r="AI2420">
        <v>90.979680406354802</v>
      </c>
      <c r="AJ2420">
        <v>89.611935363684793</v>
      </c>
      <c r="AK2420">
        <v>64.626407885945298</v>
      </c>
    </row>
    <row r="2421" spans="1:37" x14ac:dyDescent="0.2">
      <c r="A2421" t="str">
        <f>"20200111155545802"</f>
        <v>20200111155545802</v>
      </c>
      <c r="B2421" t="str">
        <f>"1578729345794915"</f>
        <v>1578729345794915</v>
      </c>
      <c r="C2421" t="s">
        <v>37</v>
      </c>
      <c r="D2421">
        <v>4.4519120000000001</v>
      </c>
      <c r="E2421">
        <v>0.52569619999999995</v>
      </c>
      <c r="F2421" t="s">
        <v>59</v>
      </c>
      <c r="G2421">
        <v>-389.9864</v>
      </c>
      <c r="H2421" s="1">
        <v>-1.5440519999999999E-6</v>
      </c>
      <c r="I2421">
        <v>287.51850000000002</v>
      </c>
      <c r="J2421">
        <v>-315.2328</v>
      </c>
      <c r="K2421">
        <v>1.104962</v>
      </c>
      <c r="L2421">
        <v>284.71570000000003</v>
      </c>
      <c r="M2421">
        <v>-0.99942369999999903</v>
      </c>
      <c r="N2421">
        <v>0</v>
      </c>
      <c r="O2421">
        <v>3.142226E-2</v>
      </c>
      <c r="P2421">
        <v>-0.99901059999999997</v>
      </c>
      <c r="Q2421">
        <v>3.2429340000000001E-2</v>
      </c>
      <c r="R2421">
        <v>-3.044009E-2</v>
      </c>
      <c r="S2421">
        <v>-3.0071409999999998</v>
      </c>
      <c r="T2421">
        <v>-4.4348600000000002E-2</v>
      </c>
      <c r="U2421">
        <v>0.11270139999999999</v>
      </c>
      <c r="V2421">
        <v>-6.1828050000000002E-2</v>
      </c>
      <c r="W2421">
        <v>4.5228129999999998E-2</v>
      </c>
      <c r="X2421">
        <v>0.99706159999999999</v>
      </c>
      <c r="Y2421">
        <v>6.0330919999999899E-3</v>
      </c>
      <c r="Z2421">
        <v>-4.1866379999999903E-4</v>
      </c>
      <c r="AA2421">
        <v>0.99998169999999897</v>
      </c>
      <c r="AB2421">
        <v>22</v>
      </c>
      <c r="AC2421">
        <v>-74.753600000000006</v>
      </c>
      <c r="AD2421">
        <v>-1.104963544052</v>
      </c>
      <c r="AE2421">
        <v>2.8027999999999902</v>
      </c>
      <c r="AF2421">
        <v>0.45219632491893103</v>
      </c>
      <c r="AG2421">
        <v>-1.104963544052</v>
      </c>
      <c r="AH2421">
        <v>74.788440479482603</v>
      </c>
      <c r="AI2421">
        <v>90.846440763713304</v>
      </c>
      <c r="AJ2421">
        <v>89.653574468972707</v>
      </c>
      <c r="AK2421">
        <v>74.797969593452706</v>
      </c>
    </row>
    <row r="2422" spans="1:37" x14ac:dyDescent="0.2">
      <c r="A2422" t="str">
        <f>"20200111155545816"</f>
        <v>20200111155545816</v>
      </c>
      <c r="B2422" t="str">
        <f>"1578729345804677"</f>
        <v>1578729345804677</v>
      </c>
      <c r="C2422" t="s">
        <v>37</v>
      </c>
      <c r="D2422">
        <v>4.6047599999999997</v>
      </c>
      <c r="E2422">
        <v>0.52622919999999995</v>
      </c>
      <c r="F2422" t="s">
        <v>61</v>
      </c>
      <c r="G2422">
        <v>-422.71710000000002</v>
      </c>
      <c r="H2422" s="1">
        <v>3.1389550000000002E-6</v>
      </c>
      <c r="I2422">
        <v>288.54759999999999</v>
      </c>
      <c r="J2422">
        <v>-315.37400000000002</v>
      </c>
      <c r="K2422">
        <v>1.104941</v>
      </c>
      <c r="L2422">
        <v>284.7201</v>
      </c>
      <c r="M2422">
        <v>-0.9994286</v>
      </c>
      <c r="N2422">
        <v>0</v>
      </c>
      <c r="O2422">
        <v>3.1325459999999999E-2</v>
      </c>
      <c r="P2422">
        <v>-0.99891830000000004</v>
      </c>
      <c r="Q2422">
        <v>3.4758959999999998E-2</v>
      </c>
      <c r="R2422">
        <v>-3.0890549999999999E-2</v>
      </c>
      <c r="S2422">
        <v>-3.0072329999999998</v>
      </c>
      <c r="T2422">
        <v>-3.0914899999999999E-2</v>
      </c>
      <c r="U2422">
        <v>0.10720830000000001</v>
      </c>
      <c r="V2422">
        <v>-6.2178299999999999E-2</v>
      </c>
      <c r="W2422">
        <v>4.7419699999999898E-2</v>
      </c>
      <c r="X2422">
        <v>0.99693790000000004</v>
      </c>
      <c r="Y2422">
        <v>4.3033380000000003E-3</v>
      </c>
      <c r="Z2422">
        <v>-2.9975029999999999E-4</v>
      </c>
      <c r="AA2422">
        <v>0.99999069999999901</v>
      </c>
      <c r="AB2422">
        <v>22</v>
      </c>
      <c r="AC2422">
        <v>-107.34310000000001</v>
      </c>
      <c r="AD2422">
        <v>-1.104937861045</v>
      </c>
      <c r="AE2422">
        <v>3.8274999999999801</v>
      </c>
      <c r="AF2422">
        <v>0.46272931317072102</v>
      </c>
      <c r="AG2422">
        <v>-1.104937861045</v>
      </c>
      <c r="AH2422">
        <v>107.398954220348</v>
      </c>
      <c r="AI2422">
        <v>90.589442006039704</v>
      </c>
      <c r="AJ2422">
        <v>89.753142171228106</v>
      </c>
      <c r="AK2422">
        <v>107.40563473914401</v>
      </c>
    </row>
    <row r="2423" spans="1:37" x14ac:dyDescent="0.2">
      <c r="A2423" t="str">
        <f>"20200111155545832"</f>
        <v>20200111155545832</v>
      </c>
      <c r="B2423" t="str">
        <f>"1578729345825172"</f>
        <v>1578729345825172</v>
      </c>
      <c r="C2423" t="s">
        <v>37</v>
      </c>
      <c r="D2423">
        <v>4.6228790000000002</v>
      </c>
      <c r="E2423">
        <v>0.52619890000000002</v>
      </c>
      <c r="F2423" t="s">
        <v>59</v>
      </c>
      <c r="G2423">
        <v>-449.5086</v>
      </c>
      <c r="H2423">
        <v>7.4166319999999994E-2</v>
      </c>
      <c r="I2423">
        <v>289.64049999999997</v>
      </c>
      <c r="J2423">
        <v>-315.5292</v>
      </c>
      <c r="K2423">
        <v>1.1049169999999999</v>
      </c>
      <c r="L2423">
        <v>284.72489999999999</v>
      </c>
      <c r="M2423">
        <v>-0.99943389999999999</v>
      </c>
      <c r="N2423">
        <v>0</v>
      </c>
      <c r="O2423">
        <v>3.121815E-2</v>
      </c>
      <c r="P2423">
        <v>-0.99878630000000002</v>
      </c>
      <c r="Q2423">
        <v>3.7946460000000001E-2</v>
      </c>
      <c r="R2423">
        <v>-3.1400119999999997E-2</v>
      </c>
      <c r="S2423">
        <v>-3.0074459999999998</v>
      </c>
      <c r="T2423">
        <v>-2.3111099999999999E-2</v>
      </c>
      <c r="U2423">
        <v>0.110321</v>
      </c>
      <c r="V2423">
        <v>-6.2576900000000005E-2</v>
      </c>
      <c r="W2423">
        <v>5.0435899999999999E-2</v>
      </c>
      <c r="X2423">
        <v>0.99676500000000001</v>
      </c>
      <c r="Y2423">
        <v>5.4412530000000001E-3</v>
      </c>
      <c r="Z2423">
        <v>-2.1887130000000001E-4</v>
      </c>
      <c r="AA2423">
        <v>0.99998519999999902</v>
      </c>
      <c r="AB2423">
        <v>22</v>
      </c>
      <c r="AC2423">
        <v>-133.9794</v>
      </c>
      <c r="AD2423">
        <v>-1.0307506799999999</v>
      </c>
      <c r="AE2423">
        <v>4.91559999999998</v>
      </c>
      <c r="AF2423">
        <v>0.73024255113648695</v>
      </c>
      <c r="AG2423">
        <v>-1.0307506799999999</v>
      </c>
      <c r="AH2423">
        <v>134.059631462982</v>
      </c>
      <c r="AI2423">
        <v>90.440517575892599</v>
      </c>
      <c r="AJ2423">
        <v>89.687904539671806</v>
      </c>
      <c r="AK2423">
        <v>134.065582791179</v>
      </c>
    </row>
    <row r="2424" spans="1:37" x14ac:dyDescent="0.2">
      <c r="A2424" t="str">
        <f>"20200111155545847"</f>
        <v>20200111155545847</v>
      </c>
      <c r="B2424" t="str">
        <f>"1578729345844692"</f>
        <v>1578729345844692</v>
      </c>
      <c r="C2424" t="s">
        <v>37</v>
      </c>
      <c r="D2424">
        <v>4.3596170000000001</v>
      </c>
      <c r="E2424">
        <v>0.52590809999999999</v>
      </c>
      <c r="F2424" t="s">
        <v>39</v>
      </c>
      <c r="G2424">
        <v>-549.04700000000003</v>
      </c>
      <c r="H2424">
        <v>-0.05</v>
      </c>
      <c r="I2424">
        <v>293.13400000000001</v>
      </c>
      <c r="J2424">
        <v>-315.68360000000001</v>
      </c>
      <c r="K2424">
        <v>1.1049009999999999</v>
      </c>
      <c r="L2424">
        <v>284.7296</v>
      </c>
      <c r="M2424">
        <v>-0.99943950000000004</v>
      </c>
      <c r="N2424">
        <v>0</v>
      </c>
      <c r="O2424">
        <v>3.1111159999999999E-2</v>
      </c>
      <c r="P2424">
        <v>-0.99858670000000005</v>
      </c>
      <c r="Q2424">
        <v>4.1952330000000003E-2</v>
      </c>
      <c r="R2424">
        <v>-3.2628299999999999E-2</v>
      </c>
      <c r="S2424">
        <v>-3.0076290000000001</v>
      </c>
      <c r="T2424">
        <v>-1.487494E-2</v>
      </c>
      <c r="U2424">
        <v>0.1083069</v>
      </c>
      <c r="V2424">
        <v>-6.3691949999999997E-2</v>
      </c>
      <c r="W2424">
        <v>5.4259170000000002E-2</v>
      </c>
      <c r="X2424">
        <v>0.99649349999999903</v>
      </c>
      <c r="Y2424">
        <v>4.876905E-3</v>
      </c>
      <c r="Z2424">
        <v>-1.4173239999999999E-4</v>
      </c>
      <c r="AA2424">
        <v>0.99998809999999905</v>
      </c>
      <c r="AB2424">
        <v>22</v>
      </c>
      <c r="AC2424">
        <v>-233.36340000000001</v>
      </c>
      <c r="AD2424">
        <v>-1.154901</v>
      </c>
      <c r="AE2424">
        <v>8.4044000000000096</v>
      </c>
      <c r="AF2424">
        <v>1.13954244074176</v>
      </c>
      <c r="AG2424">
        <v>-1.154901</v>
      </c>
      <c r="AH2424">
        <v>233.50619766331201</v>
      </c>
      <c r="AI2424">
        <v>90.283374172697293</v>
      </c>
      <c r="AJ2424">
        <v>89.720390915643407</v>
      </c>
      <c r="AK2424">
        <v>233.51183417649699</v>
      </c>
    </row>
    <row r="2425" spans="1:37" x14ac:dyDescent="0.2">
      <c r="A2425" t="str">
        <f>"20200111155545862"</f>
        <v>20200111155545862</v>
      </c>
      <c r="B2425" t="str">
        <f>"1578729345854452"</f>
        <v>1578729345854452</v>
      </c>
      <c r="C2425" t="s">
        <v>37</v>
      </c>
      <c r="D2425">
        <v>4.3325849999999999</v>
      </c>
      <c r="E2425">
        <v>0.52537049999999996</v>
      </c>
      <c r="F2425" t="s">
        <v>48</v>
      </c>
      <c r="G2425">
        <v>0</v>
      </c>
      <c r="H2425">
        <v>0</v>
      </c>
      <c r="I2425">
        <v>0</v>
      </c>
      <c r="J2425">
        <v>-315.8304</v>
      </c>
      <c r="K2425">
        <v>1.104881</v>
      </c>
      <c r="L2425">
        <v>284.73399999999998</v>
      </c>
      <c r="M2425">
        <v>-0.99944500000000003</v>
      </c>
      <c r="N2425">
        <v>0</v>
      </c>
      <c r="O2425">
        <v>3.100992E-2</v>
      </c>
      <c r="P2425">
        <v>-0.99846509999999999</v>
      </c>
      <c r="Q2425">
        <v>4.3970499999999899E-2</v>
      </c>
      <c r="R2425">
        <v>-3.3682900000000002E-2</v>
      </c>
      <c r="S2425">
        <v>-3.0078740000000002</v>
      </c>
      <c r="T2425">
        <v>-7.2762969999999897E-3</v>
      </c>
      <c r="U2425">
        <v>0.1020813</v>
      </c>
      <c r="V2425">
        <v>-6.4640900000000001E-2</v>
      </c>
      <c r="W2425">
        <v>5.6098380000000003E-2</v>
      </c>
      <c r="X2425">
        <v>0.99633059999999996</v>
      </c>
      <c r="Y2425">
        <v>2.9078939999999998E-3</v>
      </c>
      <c r="Z2425" s="1">
        <v>-7.1464350000000003E-5</v>
      </c>
      <c r="AA2425">
        <v>0.99999579999999999</v>
      </c>
      <c r="AB2425">
        <v>22</v>
      </c>
      <c r="AC2425">
        <v>-3.0078740000000002</v>
      </c>
      <c r="AD2425">
        <v>-7.2762969999999897E-3</v>
      </c>
      <c r="AE2425">
        <v>0.1020813</v>
      </c>
      <c r="AF2425">
        <v>8.7513095758942304E-3</v>
      </c>
      <c r="AG2425">
        <v>-7.2762969999999897E-3</v>
      </c>
      <c r="AH2425">
        <v>3.0095754049697301</v>
      </c>
      <c r="AI2425">
        <v>90.138524036669693</v>
      </c>
      <c r="AJ2425">
        <v>89.833394541346394</v>
      </c>
      <c r="AK2425">
        <v>3.0095969245259502</v>
      </c>
    </row>
    <row r="2426" spans="1:37" x14ac:dyDescent="0.2">
      <c r="A2426" t="str">
        <f>"20200111155545875"</f>
        <v>20200111155545875</v>
      </c>
      <c r="B2426" t="str">
        <f>"1578729345865187"</f>
        <v>1578729345865187</v>
      </c>
      <c r="C2426" t="s">
        <v>37</v>
      </c>
      <c r="D2426">
        <v>4.3767719999999999</v>
      </c>
      <c r="E2426">
        <v>0.52494830000000003</v>
      </c>
      <c r="F2426" t="s">
        <v>48</v>
      </c>
      <c r="G2426">
        <v>0</v>
      </c>
      <c r="H2426">
        <v>0</v>
      </c>
      <c r="I2426">
        <v>0</v>
      </c>
      <c r="J2426">
        <v>-315.9676</v>
      </c>
      <c r="K2426">
        <v>1.10486</v>
      </c>
      <c r="L2426">
        <v>284.73820000000001</v>
      </c>
      <c r="M2426">
        <v>-0.99944979999999894</v>
      </c>
      <c r="N2426">
        <v>0</v>
      </c>
      <c r="O2426">
        <v>3.0916880000000001E-2</v>
      </c>
      <c r="P2426">
        <v>-0.99834100000000003</v>
      </c>
      <c r="Q2426">
        <v>4.608835E-2</v>
      </c>
      <c r="R2426">
        <v>-3.451514E-2</v>
      </c>
      <c r="S2426">
        <v>-3.008057</v>
      </c>
      <c r="T2426">
        <v>-5.2498579999999996E-3</v>
      </c>
      <c r="U2426">
        <v>9.4543459999999996E-2</v>
      </c>
      <c r="V2426">
        <v>-6.537664E-2</v>
      </c>
      <c r="W2426">
        <v>5.804405E-2</v>
      </c>
      <c r="X2426">
        <v>0.99617109999999998</v>
      </c>
      <c r="Y2426">
        <v>4.9574530000000001E-4</v>
      </c>
      <c r="Z2426" s="1">
        <v>-5.35032E-5</v>
      </c>
      <c r="AA2426">
        <v>0.99999989999999905</v>
      </c>
      <c r="AB2426">
        <v>23</v>
      </c>
      <c r="AC2426">
        <v>-3.008057</v>
      </c>
      <c r="AD2426">
        <v>-5.2498579999999996E-3</v>
      </c>
      <c r="AE2426">
        <v>9.4543459999999996E-2</v>
      </c>
      <c r="AF2426">
        <v>1.49180794289667E-3</v>
      </c>
      <c r="AG2426">
        <v>-5.2498579999999996E-3</v>
      </c>
      <c r="AH2426">
        <v>3.0095328597342799</v>
      </c>
      <c r="AI2426">
        <v>90.099947193935293</v>
      </c>
      <c r="AJ2426">
        <v>89.971598817505793</v>
      </c>
      <c r="AK2426">
        <v>3.0095378084218098</v>
      </c>
    </row>
    <row r="2427" spans="1:37" x14ac:dyDescent="0.2">
      <c r="A2427" t="str">
        <f>"20200111155545889"</f>
        <v>20200111155545889</v>
      </c>
      <c r="B2427" t="str">
        <f>"1578729345884709"</f>
        <v>1578729345884709</v>
      </c>
      <c r="C2427" t="s">
        <v>37</v>
      </c>
      <c r="D2427">
        <v>4.4233599999999997</v>
      </c>
      <c r="E2427">
        <v>0.52424229999999905</v>
      </c>
      <c r="F2427" t="s">
        <v>48</v>
      </c>
      <c r="G2427">
        <v>0</v>
      </c>
      <c r="H2427">
        <v>0</v>
      </c>
      <c r="I2427">
        <v>0</v>
      </c>
      <c r="J2427">
        <v>-316.09980000000002</v>
      </c>
      <c r="K2427">
        <v>1.104843</v>
      </c>
      <c r="L2427">
        <v>284.74220000000003</v>
      </c>
      <c r="M2427">
        <v>-0.99945439999999997</v>
      </c>
      <c r="N2427">
        <v>0</v>
      </c>
      <c r="O2427">
        <v>3.0828299999999999E-2</v>
      </c>
      <c r="P2427">
        <v>-0.99825439999999999</v>
      </c>
      <c r="Q2427">
        <v>4.7376479999999999E-2</v>
      </c>
      <c r="R2427">
        <v>-3.5259690000000003E-2</v>
      </c>
      <c r="S2427">
        <v>-3.0082089999999999</v>
      </c>
      <c r="T2427">
        <v>-2.62618099999999E-3</v>
      </c>
      <c r="U2427">
        <v>8.8409420000000002E-2</v>
      </c>
      <c r="V2427">
        <v>-6.6030140000000001E-2</v>
      </c>
      <c r="W2427">
        <v>5.9168399999999899E-2</v>
      </c>
      <c r="X2427">
        <v>0.9960618</v>
      </c>
      <c r="Y2427">
        <v>-1.454405E-3</v>
      </c>
      <c r="Z2427" s="1">
        <v>-2.7537799999999999E-5</v>
      </c>
      <c r="AA2427">
        <v>0.99999889999999902</v>
      </c>
      <c r="AB2427">
        <v>23</v>
      </c>
      <c r="AC2427">
        <v>-3.0082089999999999</v>
      </c>
      <c r="AD2427">
        <v>-2.62618099999999E-3</v>
      </c>
      <c r="AE2427">
        <v>8.8409420000000002E-2</v>
      </c>
      <c r="AF2427">
        <v>-4.3770899027093298E-3</v>
      </c>
      <c r="AG2427">
        <v>-2.62618099999999E-3</v>
      </c>
      <c r="AH2427">
        <v>3.0095023941961201</v>
      </c>
      <c r="AI2427">
        <v>90.049997930052399</v>
      </c>
      <c r="AJ2427">
        <v>90.083332248421897</v>
      </c>
      <c r="AK2427">
        <v>3.0095067231050998</v>
      </c>
    </row>
    <row r="2428" spans="1:37" x14ac:dyDescent="0.2">
      <c r="A2428" t="str">
        <f>"20200111155545903"</f>
        <v>20200111155545903</v>
      </c>
      <c r="B2428" t="str">
        <f>"1578729345894467"</f>
        <v>1578729345894467</v>
      </c>
      <c r="C2428" t="s">
        <v>37</v>
      </c>
      <c r="D2428">
        <v>4.5432329999999999</v>
      </c>
      <c r="E2428">
        <v>0.52409850000000002</v>
      </c>
      <c r="F2428" t="s">
        <v>48</v>
      </c>
      <c r="G2428">
        <v>0</v>
      </c>
      <c r="H2428">
        <v>0</v>
      </c>
      <c r="I2428">
        <v>0</v>
      </c>
      <c r="J2428">
        <v>-316.24290000000002</v>
      </c>
      <c r="K2428">
        <v>1.1048169999999999</v>
      </c>
      <c r="L2428">
        <v>284.74650000000003</v>
      </c>
      <c r="M2428">
        <v>-0.99945949999999995</v>
      </c>
      <c r="N2428">
        <v>0</v>
      </c>
      <c r="O2428">
        <v>3.0732369999999998E-2</v>
      </c>
      <c r="P2428">
        <v>-0.99825549999999996</v>
      </c>
      <c r="Q2428">
        <v>4.6688630000000002E-2</v>
      </c>
      <c r="R2428">
        <v>-3.6139289999999998E-2</v>
      </c>
      <c r="S2428">
        <v>-3.0083310000000001</v>
      </c>
      <c r="T2428">
        <v>-5.0917860000000001E-3</v>
      </c>
      <c r="U2428">
        <v>8.0383300000000005E-2</v>
      </c>
      <c r="V2428">
        <v>-6.6813880000000006E-2</v>
      </c>
      <c r="W2428">
        <v>5.8307289999999998E-2</v>
      </c>
      <c r="X2428">
        <v>0.99606030000000001</v>
      </c>
      <c r="Y2428">
        <v>-4.0253750000000003E-3</v>
      </c>
      <c r="Z2428" s="1">
        <v>-5.5405170000000001E-5</v>
      </c>
      <c r="AA2428">
        <v>0.99999189999999905</v>
      </c>
      <c r="AB2428">
        <v>23</v>
      </c>
      <c r="AC2428">
        <v>-3.0083310000000001</v>
      </c>
      <c r="AD2428">
        <v>-5.0917860000000001E-3</v>
      </c>
      <c r="AE2428">
        <v>8.0383300000000005E-2</v>
      </c>
      <c r="AF2428">
        <v>-1.2114079045570599E-2</v>
      </c>
      <c r="AG2428">
        <v>-5.0917860000000001E-3</v>
      </c>
      <c r="AH2428">
        <v>3.0093717412812402</v>
      </c>
      <c r="AI2428">
        <v>90.096942229478003</v>
      </c>
      <c r="AJ2428">
        <v>90.230640117824905</v>
      </c>
      <c r="AK2428">
        <v>3.0094004310523101</v>
      </c>
    </row>
    <row r="2429" spans="1:37" x14ac:dyDescent="0.2">
      <c r="A2429" t="str">
        <f>"20200111155545916"</f>
        <v>20200111155545916</v>
      </c>
      <c r="B2429" t="str">
        <f>"1578729345905203"</f>
        <v>1578729345905203</v>
      </c>
      <c r="C2429" t="s">
        <v>37</v>
      </c>
      <c r="D2429">
        <v>4.6937889999999998</v>
      </c>
      <c r="E2429">
        <v>0.52373559999999997</v>
      </c>
      <c r="F2429" t="s">
        <v>48</v>
      </c>
      <c r="G2429">
        <v>0</v>
      </c>
      <c r="H2429">
        <v>0</v>
      </c>
      <c r="I2429">
        <v>0</v>
      </c>
      <c r="J2429">
        <v>-316.38490000000002</v>
      </c>
      <c r="K2429">
        <v>1.104795</v>
      </c>
      <c r="L2429">
        <v>284.75080000000003</v>
      </c>
      <c r="M2429">
        <v>-0.99946440000000003</v>
      </c>
      <c r="N2429">
        <v>0</v>
      </c>
      <c r="O2429">
        <v>3.0637770000000002E-2</v>
      </c>
      <c r="P2429">
        <v>-0.99828449999999902</v>
      </c>
      <c r="Q2429">
        <v>4.5614250000000002E-2</v>
      </c>
      <c r="R2429">
        <v>-3.670992E-2</v>
      </c>
      <c r="S2429">
        <v>-3.0084529999999998</v>
      </c>
      <c r="T2429">
        <v>-9.3580480000000008E-3</v>
      </c>
      <c r="U2429">
        <v>7.6568600000000001E-2</v>
      </c>
      <c r="V2429">
        <v>-6.7290320000000001E-2</v>
      </c>
      <c r="W2429">
        <v>5.7065280000000003E-2</v>
      </c>
      <c r="X2429">
        <v>0.99610019999999999</v>
      </c>
      <c r="Y2429">
        <v>-5.1987409999999998E-3</v>
      </c>
      <c r="Z2429">
        <v>-1.033558E-4</v>
      </c>
      <c r="AA2429">
        <v>0.9999865</v>
      </c>
      <c r="AB2429">
        <v>23</v>
      </c>
      <c r="AC2429">
        <v>-3.0084529999999998</v>
      </c>
      <c r="AD2429">
        <v>-9.3580480000000008E-3</v>
      </c>
      <c r="AE2429">
        <v>7.6568600000000001E-2</v>
      </c>
      <c r="AF2429">
        <v>-1.5645584459073401E-2</v>
      </c>
      <c r="AG2429">
        <v>-9.3580480000000008E-3</v>
      </c>
      <c r="AH2429">
        <v>3.0093574523172602</v>
      </c>
      <c r="AI2429">
        <v>90.178166830986598</v>
      </c>
      <c r="AJ2429">
        <v>90.297876837578499</v>
      </c>
      <c r="AK2429">
        <v>3.0094126724649901</v>
      </c>
    </row>
    <row r="2430" spans="1:37" x14ac:dyDescent="0.2">
      <c r="A2430" t="str">
        <f>"20200111155545929"</f>
        <v>20200111155545929</v>
      </c>
      <c r="B2430" t="str">
        <f>"1578729345924724"</f>
        <v>1578729345924724</v>
      </c>
      <c r="C2430" t="s">
        <v>37</v>
      </c>
      <c r="D2430">
        <v>4.4792329999999998</v>
      </c>
      <c r="E2430">
        <v>0.52328719999999995</v>
      </c>
      <c r="F2430" t="s">
        <v>39</v>
      </c>
      <c r="G2430">
        <v>-543.86149999999998</v>
      </c>
      <c r="H2430">
        <v>-0.05</v>
      </c>
      <c r="I2430">
        <v>290.16410000000002</v>
      </c>
      <c r="J2430">
        <v>-316.51150000000001</v>
      </c>
      <c r="K2430">
        <v>1.10477</v>
      </c>
      <c r="L2430">
        <v>284.75450000000001</v>
      </c>
      <c r="M2430">
        <v>-0.99946869999999999</v>
      </c>
      <c r="N2430">
        <v>0</v>
      </c>
      <c r="O2430">
        <v>3.055368E-2</v>
      </c>
      <c r="P2430">
        <v>-0.99836469999999899</v>
      </c>
      <c r="Q2430">
        <v>4.3898350000000003E-2</v>
      </c>
      <c r="R2430">
        <v>-3.6624539999999997E-2</v>
      </c>
      <c r="S2430">
        <v>-3.0085139999999999</v>
      </c>
      <c r="T2430">
        <v>-1.5272859999999999E-2</v>
      </c>
      <c r="U2430">
        <v>7.1594240000000003E-2</v>
      </c>
      <c r="V2430">
        <v>-6.7123520000000006E-2</v>
      </c>
      <c r="W2430">
        <v>5.520713E-2</v>
      </c>
      <c r="X2430">
        <v>0.99621610000000005</v>
      </c>
      <c r="Y2430">
        <v>-6.767159E-3</v>
      </c>
      <c r="Z2430">
        <v>-1.722363E-4</v>
      </c>
      <c r="AA2430">
        <v>0.99997709999999995</v>
      </c>
      <c r="AB2430">
        <v>23</v>
      </c>
      <c r="AC2430">
        <v>-227.35</v>
      </c>
      <c r="AD2430">
        <v>-1.1547700000000001</v>
      </c>
      <c r="AE2430">
        <v>5.40960000000001</v>
      </c>
      <c r="AF2430">
        <v>-1.5397127238995301</v>
      </c>
      <c r="AG2430">
        <v>-1.1547700000000001</v>
      </c>
      <c r="AH2430">
        <v>227.403273222986</v>
      </c>
      <c r="AI2430">
        <v>90.290942874943397</v>
      </c>
      <c r="AJ2430">
        <v>90.3879350170007</v>
      </c>
      <c r="AK2430">
        <v>227.41141765872899</v>
      </c>
    </row>
    <row r="2431" spans="1:37" x14ac:dyDescent="0.2">
      <c r="A2431" t="str">
        <f>"20200111155545942"</f>
        <v>20200111155545942</v>
      </c>
      <c r="B2431" t="str">
        <f>"1578729345934484"</f>
        <v>1578729345934484</v>
      </c>
      <c r="C2431" t="s">
        <v>37</v>
      </c>
      <c r="D2431">
        <v>4.5808150000000003</v>
      </c>
      <c r="E2431">
        <v>0.52330909999999997</v>
      </c>
      <c r="F2431" t="s">
        <v>59</v>
      </c>
      <c r="G2431">
        <v>-441.1986</v>
      </c>
      <c r="H2431" s="1">
        <v>-1.028379E-6</v>
      </c>
      <c r="I2431">
        <v>287.57749999999999</v>
      </c>
      <c r="J2431">
        <v>-316.64420000000001</v>
      </c>
      <c r="K2431">
        <v>1.1047530000000001</v>
      </c>
      <c r="L2431">
        <v>284.75850000000003</v>
      </c>
      <c r="M2431">
        <v>-0.999472899999999</v>
      </c>
      <c r="N2431">
        <v>0</v>
      </c>
      <c r="O2431">
        <v>3.0465180000000001E-2</v>
      </c>
      <c r="P2431">
        <v>-0.99841800000000003</v>
      </c>
      <c r="Q2431">
        <v>4.2422969999999997E-2</v>
      </c>
      <c r="R2431">
        <v>-3.6905010000000002E-2</v>
      </c>
      <c r="S2431">
        <v>-3.0085449999999998</v>
      </c>
      <c r="T2431">
        <v>-2.665675E-2</v>
      </c>
      <c r="U2431">
        <v>6.8115229999999999E-2</v>
      </c>
      <c r="V2431">
        <v>-6.7317589999999997E-2</v>
      </c>
      <c r="W2431">
        <v>5.358686E-2</v>
      </c>
      <c r="X2431">
        <v>0.9962915</v>
      </c>
      <c r="Y2431">
        <v>-7.8335060000000005E-3</v>
      </c>
      <c r="Z2431">
        <v>-3.0455320000000001E-4</v>
      </c>
      <c r="AA2431">
        <v>0.999969199999999</v>
      </c>
      <c r="AB2431">
        <v>23</v>
      </c>
      <c r="AC2431">
        <v>-124.5544</v>
      </c>
      <c r="AD2431">
        <v>-1.1047540283790001</v>
      </c>
      <c r="AE2431">
        <v>2.81899999999996</v>
      </c>
      <c r="AF2431">
        <v>-0.97704274570170402</v>
      </c>
      <c r="AG2431">
        <v>-1.1047540283790001</v>
      </c>
      <c r="AH2431">
        <v>124.57266968632101</v>
      </c>
      <c r="AI2431">
        <v>90.508090076403604</v>
      </c>
      <c r="AJ2431">
        <v>90.449370460116199</v>
      </c>
      <c r="AK2431">
        <v>124.581399601896</v>
      </c>
    </row>
    <row r="2432" spans="1:37" x14ac:dyDescent="0.2">
      <c r="A2432" t="str">
        <f>"20200111155545955"</f>
        <v>20200111155545955</v>
      </c>
      <c r="B2432" t="str">
        <f>"1578729345945219"</f>
        <v>1578729345945219</v>
      </c>
      <c r="C2432" t="s">
        <v>37</v>
      </c>
      <c r="D2432">
        <v>4.6947749999999999</v>
      </c>
      <c r="E2432">
        <v>0.52328189999999997</v>
      </c>
      <c r="F2432" t="s">
        <v>61</v>
      </c>
      <c r="G2432">
        <v>-416.13119999999998</v>
      </c>
      <c r="H2432" s="1">
        <v>3.08637499999999E-6</v>
      </c>
      <c r="I2432">
        <v>286.98360000000002</v>
      </c>
      <c r="J2432">
        <v>-316.78230000000002</v>
      </c>
      <c r="K2432">
        <v>1.1047359999999999</v>
      </c>
      <c r="L2432">
        <v>284.76260000000002</v>
      </c>
      <c r="M2432">
        <v>-0.99947739999999996</v>
      </c>
      <c r="N2432">
        <v>0</v>
      </c>
      <c r="O2432">
        <v>3.037225E-2</v>
      </c>
      <c r="P2432">
        <v>-0.99844569999999999</v>
      </c>
      <c r="Q2432">
        <v>4.1811590000000003E-2</v>
      </c>
      <c r="R2432">
        <v>-3.6853089999999998E-2</v>
      </c>
      <c r="S2432">
        <v>-3.0086979999999999</v>
      </c>
      <c r="T2432">
        <v>-3.3409950000000001E-2</v>
      </c>
      <c r="U2432">
        <v>6.7291260000000006E-2</v>
      </c>
      <c r="V2432">
        <v>-6.7173010000000005E-2</v>
      </c>
      <c r="W2432">
        <v>5.2833100000000001E-2</v>
      </c>
      <c r="X2432">
        <v>0.99634149999999999</v>
      </c>
      <c r="Y2432">
        <v>-8.0144840000000005E-3</v>
      </c>
      <c r="Z2432">
        <v>-3.8165930000000001E-4</v>
      </c>
      <c r="AA2432">
        <v>0.99996779999999996</v>
      </c>
      <c r="AB2432">
        <v>23</v>
      </c>
      <c r="AC2432">
        <v>-99.348899999999901</v>
      </c>
      <c r="AD2432">
        <v>-1.1047329136249999</v>
      </c>
      <c r="AE2432">
        <v>2.2210000000000001</v>
      </c>
      <c r="AF2432">
        <v>-0.79756059430526705</v>
      </c>
      <c r="AG2432">
        <v>-1.1047329136249999</v>
      </c>
      <c r="AH2432">
        <v>99.358241993813493</v>
      </c>
      <c r="AI2432">
        <v>90.637006906733006</v>
      </c>
      <c r="AJ2432">
        <v>90.459910255992796</v>
      </c>
      <c r="AK2432">
        <v>99.367584200347906</v>
      </c>
    </row>
    <row r="2433" spans="1:37" x14ac:dyDescent="0.2">
      <c r="A2433" t="str">
        <f>"20200111155545970"</f>
        <v>20200111155545970</v>
      </c>
      <c r="B2433" t="str">
        <f>"1578729345964740"</f>
        <v>1578729345964740</v>
      </c>
      <c r="C2433" t="s">
        <v>37</v>
      </c>
      <c r="D2433">
        <v>4.6074440000000001</v>
      </c>
      <c r="E2433">
        <v>0.52288780000000001</v>
      </c>
      <c r="F2433" t="s">
        <v>61</v>
      </c>
      <c r="G2433">
        <v>-406.96660000000003</v>
      </c>
      <c r="H2433" s="1">
        <v>4.8668179999999998E-6</v>
      </c>
      <c r="I2433">
        <v>286.77510000000001</v>
      </c>
      <c r="J2433">
        <v>-316.9264</v>
      </c>
      <c r="K2433">
        <v>1.104724</v>
      </c>
      <c r="L2433">
        <v>284.76690000000002</v>
      </c>
      <c r="M2433">
        <v>-0.99948189999999903</v>
      </c>
      <c r="N2433">
        <v>0</v>
      </c>
      <c r="O2433">
        <v>3.0275110000000001E-2</v>
      </c>
      <c r="P2433">
        <v>-0.99853440000000004</v>
      </c>
      <c r="Q2433">
        <v>4.0043879999999997E-2</v>
      </c>
      <c r="R2433">
        <v>-3.6413330000000001E-2</v>
      </c>
      <c r="S2433">
        <v>-3.0086979999999999</v>
      </c>
      <c r="T2433">
        <v>-3.6855699999999998E-2</v>
      </c>
      <c r="U2433">
        <v>6.7138669999999998E-2</v>
      </c>
      <c r="V2433">
        <v>-6.6638939999999994E-2</v>
      </c>
      <c r="W2433">
        <v>5.0929740000000001E-2</v>
      </c>
      <c r="X2433">
        <v>0.99647649999999999</v>
      </c>
      <c r="Y2433">
        <v>-7.9674380000000003E-3</v>
      </c>
      <c r="Z2433">
        <v>-4.1954150000000001E-4</v>
      </c>
      <c r="AA2433">
        <v>0.99996819999999897</v>
      </c>
      <c r="AB2433">
        <v>23</v>
      </c>
      <c r="AC2433">
        <v>-90.040199999999999</v>
      </c>
      <c r="AD2433">
        <v>-1.1047191331820001</v>
      </c>
      <c r="AE2433">
        <v>2.00819999999998</v>
      </c>
      <c r="AF2433">
        <v>-0.71875216494508098</v>
      </c>
      <c r="AG2433">
        <v>-1.1047191331820001</v>
      </c>
      <c r="AH2433">
        <v>90.046174936122199</v>
      </c>
      <c r="AI2433">
        <v>90.702867752300605</v>
      </c>
      <c r="AJ2433">
        <v>90.457327488171202</v>
      </c>
      <c r="AK2433">
        <v>90.055819521364398</v>
      </c>
    </row>
    <row r="2434" spans="1:37" x14ac:dyDescent="0.2">
      <c r="A2434" t="str">
        <f>"20200111155545984"</f>
        <v>20200111155545984</v>
      </c>
      <c r="B2434" t="str">
        <f>"1578729345974500"</f>
        <v>1578729345974500</v>
      </c>
      <c r="C2434" t="s">
        <v>37</v>
      </c>
      <c r="D2434">
        <v>4.5548699999999904</v>
      </c>
      <c r="E2434">
        <v>0.52278259999999999</v>
      </c>
      <c r="F2434" t="s">
        <v>59</v>
      </c>
      <c r="G2434">
        <v>-388.90859999999998</v>
      </c>
      <c r="H2434" s="1">
        <v>3.2039240000000002E-6</v>
      </c>
      <c r="I2434">
        <v>286.3279</v>
      </c>
      <c r="J2434">
        <v>-317.06760000000003</v>
      </c>
      <c r="K2434">
        <v>1.104708</v>
      </c>
      <c r="L2434">
        <v>284.77109999999999</v>
      </c>
      <c r="M2434">
        <v>-0.99948609999999904</v>
      </c>
      <c r="N2434">
        <v>0</v>
      </c>
      <c r="O2434">
        <v>3.0179520000000001E-2</v>
      </c>
      <c r="P2434">
        <v>-0.99855879999999997</v>
      </c>
      <c r="Q2434">
        <v>3.9574199999999997E-2</v>
      </c>
      <c r="R2434">
        <v>-3.62537E-2</v>
      </c>
      <c r="S2434">
        <v>-3.0086059999999999</v>
      </c>
      <c r="T2434">
        <v>-4.6173449999999998E-2</v>
      </c>
      <c r="U2434">
        <v>6.5246579999999998E-2</v>
      </c>
      <c r="V2434">
        <v>-6.6384840000000001E-2</v>
      </c>
      <c r="W2434">
        <v>5.0333509999999998E-2</v>
      </c>
      <c r="X2434">
        <v>0.99652369999999901</v>
      </c>
      <c r="Y2434">
        <v>-8.49795699999999E-3</v>
      </c>
      <c r="Z2434">
        <v>-5.2822169999999996E-4</v>
      </c>
      <c r="AA2434">
        <v>0.99996379999999996</v>
      </c>
      <c r="AB2434">
        <v>23</v>
      </c>
      <c r="AC2434">
        <v>-71.840999999999894</v>
      </c>
      <c r="AD2434">
        <v>-1.1047047960759999</v>
      </c>
      <c r="AE2434">
        <v>1.5568</v>
      </c>
      <c r="AF2434">
        <v>-0.61201801997313798</v>
      </c>
      <c r="AG2434">
        <v>-1.1047047960759999</v>
      </c>
      <c r="AH2434">
        <v>71.838279912728296</v>
      </c>
      <c r="AI2434">
        <v>90.880973733442403</v>
      </c>
      <c r="AJ2434">
        <v>90.488113040096394</v>
      </c>
      <c r="AK2434">
        <v>71.849379952528096</v>
      </c>
    </row>
    <row r="2435" spans="1:37" x14ac:dyDescent="0.2">
      <c r="A2435" t="str">
        <f>"20200111155545996"</f>
        <v>20200111155545996</v>
      </c>
      <c r="B2435" t="str">
        <f>"1578729345994995"</f>
        <v>1578729345994995</v>
      </c>
      <c r="C2435" t="s">
        <v>37</v>
      </c>
      <c r="D2435">
        <v>4.579358</v>
      </c>
      <c r="E2435">
        <v>0.52278519999999995</v>
      </c>
      <c r="F2435" t="s">
        <v>59</v>
      </c>
      <c r="G2435">
        <v>-384.00630000000001</v>
      </c>
      <c r="H2435" s="1">
        <v>5.951605E-7</v>
      </c>
      <c r="I2435">
        <v>286.21190000000001</v>
      </c>
      <c r="J2435">
        <v>-317.20659999999998</v>
      </c>
      <c r="K2435">
        <v>1.1046959999999999</v>
      </c>
      <c r="L2435">
        <v>284.77510000000001</v>
      </c>
      <c r="M2435">
        <v>-0.99949030000000005</v>
      </c>
      <c r="N2435">
        <v>0</v>
      </c>
      <c r="O2435">
        <v>3.0084880000000001E-2</v>
      </c>
      <c r="P2435">
        <v>-0.99857770000000001</v>
      </c>
      <c r="Q2435">
        <v>3.9008470000000003E-2</v>
      </c>
      <c r="R2435">
        <v>-3.6345429999999998E-2</v>
      </c>
      <c r="S2435">
        <v>-3.0086059999999999</v>
      </c>
      <c r="T2435">
        <v>-4.9651859999999999E-2</v>
      </c>
      <c r="U2435">
        <v>6.4758300000000005E-2</v>
      </c>
      <c r="V2435">
        <v>-6.6383300000000006E-2</v>
      </c>
      <c r="W2435">
        <v>4.964963E-2</v>
      </c>
      <c r="X2435">
        <v>0.99655819999999995</v>
      </c>
      <c r="Y2435">
        <v>-8.564739E-3</v>
      </c>
      <c r="Z2435">
        <v>-5.6699989999999998E-4</v>
      </c>
      <c r="AA2435">
        <v>0.99996319999999905</v>
      </c>
      <c r="AB2435">
        <v>23</v>
      </c>
      <c r="AC2435">
        <v>-66.799700000000001</v>
      </c>
      <c r="AD2435">
        <v>-1.1046954048394999</v>
      </c>
      <c r="AE2435">
        <v>1.4368000000000001</v>
      </c>
      <c r="AF2435">
        <v>-0.57346924100656604</v>
      </c>
      <c r="AG2435">
        <v>-1.1046954048394999</v>
      </c>
      <c r="AH2435">
        <v>66.794428988552397</v>
      </c>
      <c r="AI2435">
        <v>90.947478453881104</v>
      </c>
      <c r="AJ2435">
        <v>90.491905693231203</v>
      </c>
      <c r="AK2435">
        <v>66.806024899066003</v>
      </c>
    </row>
    <row r="2436" spans="1:37" x14ac:dyDescent="0.2">
      <c r="A2436" t="str">
        <f>"20200111155546010"</f>
        <v>20200111155546010</v>
      </c>
      <c r="B2436" t="str">
        <f>"1578729346004756"</f>
        <v>1578729346004756</v>
      </c>
      <c r="C2436" t="s">
        <v>37</v>
      </c>
      <c r="D2436">
        <v>4.7946689999999998</v>
      </c>
      <c r="E2436">
        <v>0.52254509999999998</v>
      </c>
      <c r="F2436" t="s">
        <v>59</v>
      </c>
      <c r="G2436">
        <v>-378.67419999999998</v>
      </c>
      <c r="H2436" s="1">
        <v>3.07918799999999E-6</v>
      </c>
      <c r="I2436">
        <v>286.09379999999999</v>
      </c>
      <c r="J2436">
        <v>-317.33780000000002</v>
      </c>
      <c r="K2436">
        <v>1.1046860000000001</v>
      </c>
      <c r="L2436">
        <v>284.779</v>
      </c>
      <c r="M2436">
        <v>-0.99949409999999905</v>
      </c>
      <c r="N2436">
        <v>0</v>
      </c>
      <c r="O2436">
        <v>2.9996149999999999E-2</v>
      </c>
      <c r="P2436">
        <v>-0.99861999999999995</v>
      </c>
      <c r="Q2436">
        <v>3.7991089999999998E-2</v>
      </c>
      <c r="R2436">
        <v>-3.6270429999999999E-2</v>
      </c>
      <c r="S2436">
        <v>-3.0087280000000001</v>
      </c>
      <c r="T2436">
        <v>-5.4072740000000001E-2</v>
      </c>
      <c r="U2436">
        <v>6.4544679999999993E-2</v>
      </c>
      <c r="V2436">
        <v>-6.6220150000000005E-2</v>
      </c>
      <c r="W2436">
        <v>4.8532310000000002E-2</v>
      </c>
      <c r="X2436">
        <v>0.99662410000000001</v>
      </c>
      <c r="Y2436">
        <v>-8.5468109999999996E-3</v>
      </c>
      <c r="Z2436">
        <v>-6.1569649999999995E-4</v>
      </c>
      <c r="AA2436">
        <v>0.9999633</v>
      </c>
      <c r="AB2436">
        <v>23</v>
      </c>
      <c r="AC2436">
        <v>-61.336399999999898</v>
      </c>
      <c r="AD2436">
        <v>-1.1046829208119999</v>
      </c>
      <c r="AE2436">
        <v>1.31479999999999</v>
      </c>
      <c r="AF2436">
        <v>-0.52557999257926002</v>
      </c>
      <c r="AG2436">
        <v>-1.1046829208119999</v>
      </c>
      <c r="AH2436">
        <v>61.3283536988111</v>
      </c>
      <c r="AI2436">
        <v>91.031896307489902</v>
      </c>
      <c r="AJ2436">
        <v>90.491009074446296</v>
      </c>
      <c r="AK2436">
        <v>61.340553682621803</v>
      </c>
    </row>
    <row r="2437" spans="1:37" x14ac:dyDescent="0.2">
      <c r="A2437" t="str">
        <f>"20200111155546026"</f>
        <v>20200111155546026</v>
      </c>
      <c r="B2437" t="str">
        <f>"1578729346014516"</f>
        <v>1578729346014516</v>
      </c>
      <c r="C2437" t="s">
        <v>37</v>
      </c>
      <c r="D2437">
        <v>4.6378760000000003</v>
      </c>
      <c r="E2437">
        <v>0.52247639999999995</v>
      </c>
      <c r="F2437" t="s">
        <v>59</v>
      </c>
      <c r="G2437">
        <v>-374.86599999999999</v>
      </c>
      <c r="H2437" s="1">
        <v>1.052643E-6</v>
      </c>
      <c r="I2437">
        <v>285.98570000000001</v>
      </c>
      <c r="J2437">
        <v>-317.49630000000002</v>
      </c>
      <c r="K2437">
        <v>1.104671</v>
      </c>
      <c r="L2437">
        <v>284.78359999999998</v>
      </c>
      <c r="M2437">
        <v>-0.99949840000000001</v>
      </c>
      <c r="N2437">
        <v>0</v>
      </c>
      <c r="O2437">
        <v>2.988884E-2</v>
      </c>
      <c r="P2437">
        <v>-0.99871049999999995</v>
      </c>
      <c r="Q2437">
        <v>3.6197960000000001E-2</v>
      </c>
      <c r="R2437">
        <v>-3.5599819999999997E-2</v>
      </c>
      <c r="S2437">
        <v>-3.0086360000000001</v>
      </c>
      <c r="T2437">
        <v>-5.7773350000000001E-2</v>
      </c>
      <c r="U2437">
        <v>6.3110349999999996E-2</v>
      </c>
      <c r="V2437">
        <v>-6.5445299999999998E-2</v>
      </c>
      <c r="W2437">
        <v>4.6626170000000002E-2</v>
      </c>
      <c r="X2437">
        <v>0.99676620000000005</v>
      </c>
      <c r="Y2437">
        <v>-8.9143429999999999E-3</v>
      </c>
      <c r="Z2437">
        <v>-6.5931850000000005E-4</v>
      </c>
      <c r="AA2437">
        <v>0.99996010000000002</v>
      </c>
      <c r="AB2437">
        <v>23</v>
      </c>
      <c r="AC2437">
        <v>-57.369699999999902</v>
      </c>
      <c r="AD2437">
        <v>-1.1046699473569901</v>
      </c>
      <c r="AE2437">
        <v>1.2021000000000299</v>
      </c>
      <c r="AF2437">
        <v>-0.51305474576313204</v>
      </c>
      <c r="AG2437">
        <v>-1.1046699473569901</v>
      </c>
      <c r="AH2437">
        <v>57.358740066439701</v>
      </c>
      <c r="AI2437">
        <v>91.103276872516304</v>
      </c>
      <c r="AJ2437">
        <v>90.512477917681906</v>
      </c>
      <c r="AK2437">
        <v>57.371670560252397</v>
      </c>
    </row>
    <row r="2438" spans="1:37" x14ac:dyDescent="0.2">
      <c r="A2438" t="str">
        <f>"20200111155546040"</f>
        <v>20200111155546040</v>
      </c>
      <c r="B2438" t="str">
        <f>"1578729346035011"</f>
        <v>1578729346035011</v>
      </c>
      <c r="C2438" t="s">
        <v>37</v>
      </c>
      <c r="D2438">
        <v>4.6407879999999997</v>
      </c>
      <c r="E2438">
        <v>0.52235580000000004</v>
      </c>
      <c r="F2438" t="s">
        <v>59</v>
      </c>
      <c r="G2438">
        <v>-368.93439999999998</v>
      </c>
      <c r="H2438" s="1">
        <v>3.21765E-6</v>
      </c>
      <c r="I2438">
        <v>285.8861</v>
      </c>
      <c r="J2438">
        <v>-317.64120000000003</v>
      </c>
      <c r="K2438">
        <v>1.1046659999999999</v>
      </c>
      <c r="L2438">
        <v>284.78789999999998</v>
      </c>
      <c r="M2438">
        <v>-0.99950229999999995</v>
      </c>
      <c r="N2438">
        <v>0</v>
      </c>
      <c r="O2438">
        <v>2.9790730000000001E-2</v>
      </c>
      <c r="P2438">
        <v>-0.99872059999999996</v>
      </c>
      <c r="Q2438">
        <v>3.6275950000000001E-2</v>
      </c>
      <c r="R2438">
        <v>-3.5234050000000003E-2</v>
      </c>
      <c r="S2438">
        <v>-3.0085139999999999</v>
      </c>
      <c r="T2438">
        <v>-6.4609890000000003E-2</v>
      </c>
      <c r="U2438">
        <v>6.4483639999999995E-2</v>
      </c>
      <c r="V2438">
        <v>-6.4981929999999993E-2</v>
      </c>
      <c r="W2438">
        <v>4.6607589999999997E-2</v>
      </c>
      <c r="X2438">
        <v>0.99679739999999994</v>
      </c>
      <c r="Y2438">
        <v>-8.3574169999999903E-3</v>
      </c>
      <c r="Z2438">
        <v>-7.2926130000000003E-4</v>
      </c>
      <c r="AA2438">
        <v>0.99996479999999999</v>
      </c>
      <c r="AB2438">
        <v>23</v>
      </c>
      <c r="AC2438">
        <v>-51.293199999999899</v>
      </c>
      <c r="AD2438">
        <v>-1.1046627823499999</v>
      </c>
      <c r="AE2438">
        <v>1.0982000000000101</v>
      </c>
      <c r="AF2438">
        <v>-0.43023216351080401</v>
      </c>
      <c r="AG2438">
        <v>-1.1046627823499999</v>
      </c>
      <c r="AH2438">
        <v>51.279376421195401</v>
      </c>
      <c r="AI2438">
        <v>91.234034135625393</v>
      </c>
      <c r="AJ2438">
        <v>90.480698294903405</v>
      </c>
      <c r="AK2438">
        <v>51.293077756397899</v>
      </c>
    </row>
    <row r="2439" spans="1:37" x14ac:dyDescent="0.2">
      <c r="A2439" t="str">
        <f>"20200111155546052"</f>
        <v>20200111155546052</v>
      </c>
      <c r="B2439" t="str">
        <f>"1578729346044772"</f>
        <v>1578729346044772</v>
      </c>
      <c r="C2439" t="s">
        <v>37</v>
      </c>
      <c r="D2439">
        <v>4.712656</v>
      </c>
      <c r="E2439">
        <v>0.52230540000000003</v>
      </c>
      <c r="F2439" t="s">
        <v>59</v>
      </c>
      <c r="G2439">
        <v>-367.20589999999999</v>
      </c>
      <c r="H2439" s="1">
        <v>2.297843E-6</v>
      </c>
      <c r="I2439">
        <v>285.84969999999998</v>
      </c>
      <c r="J2439">
        <v>-317.77569999999997</v>
      </c>
      <c r="K2439">
        <v>1.104665</v>
      </c>
      <c r="L2439">
        <v>284.79180000000002</v>
      </c>
      <c r="M2439">
        <v>-0.9995058</v>
      </c>
      <c r="N2439">
        <v>0</v>
      </c>
      <c r="O2439">
        <v>2.9700029999999999E-2</v>
      </c>
      <c r="P2439">
        <v>-0.99873129999999999</v>
      </c>
      <c r="Q2439">
        <v>3.6515619999999999E-2</v>
      </c>
      <c r="R2439">
        <v>-3.4676829999999999E-2</v>
      </c>
      <c r="S2439">
        <v>-3.0085139999999999</v>
      </c>
      <c r="T2439">
        <v>-6.7051650000000004E-2</v>
      </c>
      <c r="U2439">
        <v>6.4453129999999997E-2</v>
      </c>
      <c r="V2439">
        <v>-6.4334539999999996E-2</v>
      </c>
      <c r="W2439">
        <v>4.6766210000000003E-2</v>
      </c>
      <c r="X2439">
        <v>0.99683199999999905</v>
      </c>
      <c r="Y2439">
        <v>-8.2761610000000006E-3</v>
      </c>
      <c r="Z2439">
        <v>-7.5388940000000002E-4</v>
      </c>
      <c r="AA2439">
        <v>0.99996549999999995</v>
      </c>
      <c r="AB2439">
        <v>23</v>
      </c>
      <c r="AC2439">
        <v>-49.430199999999999</v>
      </c>
      <c r="AD2439">
        <v>-1.1046627021569999</v>
      </c>
      <c r="AE2439">
        <v>1.0578999999999601</v>
      </c>
      <c r="AF2439">
        <v>-0.410518087932422</v>
      </c>
      <c r="AG2439">
        <v>-1.1046627021569999</v>
      </c>
      <c r="AH2439">
        <v>49.415145110164801</v>
      </c>
      <c r="AI2439">
        <v>91.280574763526701</v>
      </c>
      <c r="AJ2439">
        <v>90.475975790854093</v>
      </c>
      <c r="AK2439">
        <v>49.429195533052102</v>
      </c>
    </row>
    <row r="2440" spans="1:37" x14ac:dyDescent="0.2">
      <c r="A2440" t="str">
        <f>"20200111155546066"</f>
        <v>20200111155546066</v>
      </c>
      <c r="B2440" t="str">
        <f>"1578729346054533"</f>
        <v>1578729346054533</v>
      </c>
      <c r="C2440" t="s">
        <v>37</v>
      </c>
      <c r="D2440">
        <v>4.7351409999999996</v>
      </c>
      <c r="E2440">
        <v>0.52218310000000001</v>
      </c>
      <c r="F2440" t="s">
        <v>59</v>
      </c>
      <c r="G2440">
        <v>-367.23070000000001</v>
      </c>
      <c r="H2440" s="1">
        <v>2.311025E-6</v>
      </c>
      <c r="I2440">
        <v>285.8723</v>
      </c>
      <c r="J2440">
        <v>-317.90629999999999</v>
      </c>
      <c r="K2440">
        <v>1.104663</v>
      </c>
      <c r="L2440">
        <v>284.79559999999998</v>
      </c>
      <c r="M2440">
        <v>-0.99950930000000004</v>
      </c>
      <c r="N2440">
        <v>0</v>
      </c>
      <c r="O2440">
        <v>2.961138E-2</v>
      </c>
      <c r="P2440">
        <v>-0.99872119999999998</v>
      </c>
      <c r="Q2440">
        <v>3.7309500000000002E-2</v>
      </c>
      <c r="R2440">
        <v>-3.4118610000000001E-2</v>
      </c>
      <c r="S2440">
        <v>-3.0085449999999998</v>
      </c>
      <c r="T2440">
        <v>-6.720102E-2</v>
      </c>
      <c r="U2440">
        <v>6.5734860000000006E-2</v>
      </c>
      <c r="V2440">
        <v>-6.3688289999999995E-2</v>
      </c>
      <c r="W2440">
        <v>4.7487340000000003E-2</v>
      </c>
      <c r="X2440">
        <v>0.99683940000000004</v>
      </c>
      <c r="Y2440">
        <v>-7.7619439999999998E-3</v>
      </c>
      <c r="Z2440">
        <v>-7.4783509999999903E-4</v>
      </c>
      <c r="AA2440">
        <v>0.99996960000000001</v>
      </c>
      <c r="AB2440">
        <v>23</v>
      </c>
      <c r="AC2440">
        <v>-49.324399999999997</v>
      </c>
      <c r="AD2440">
        <v>-1.1046606889749999</v>
      </c>
      <c r="AE2440">
        <v>1.07670000000001</v>
      </c>
      <c r="AF2440">
        <v>-0.38421931858458902</v>
      </c>
      <c r="AG2440">
        <v>-1.1046606889749999</v>
      </c>
      <c r="AH2440">
        <v>49.309931832852698</v>
      </c>
      <c r="AI2440">
        <v>91.283309216983994</v>
      </c>
      <c r="AJ2440">
        <v>90.446435414473896</v>
      </c>
      <c r="AK2440">
        <v>49.323800310632201</v>
      </c>
    </row>
    <row r="2441" spans="1:37" x14ac:dyDescent="0.2">
      <c r="A2441" t="str">
        <f>"20200111155546082"</f>
        <v>20200111155546082</v>
      </c>
      <c r="B2441" t="str">
        <f>"1578729346075031"</f>
        <v>1578729346075031</v>
      </c>
      <c r="C2441" t="s">
        <v>37</v>
      </c>
      <c r="D2441">
        <v>4.7535259999999999</v>
      </c>
      <c r="E2441">
        <v>0.52214240000000001</v>
      </c>
      <c r="F2441" t="s">
        <v>59</v>
      </c>
      <c r="G2441">
        <v>-368.50409999999999</v>
      </c>
      <c r="H2441" s="1">
        <v>2.988681E-6</v>
      </c>
      <c r="I2441">
        <v>285.91090000000003</v>
      </c>
      <c r="J2441">
        <v>-318.0693</v>
      </c>
      <c r="K2441">
        <v>1.104668</v>
      </c>
      <c r="L2441">
        <v>284.80029999999999</v>
      </c>
      <c r="M2441">
        <v>-0.99951350000000005</v>
      </c>
      <c r="N2441">
        <v>0</v>
      </c>
      <c r="O2441">
        <v>2.9501079999999999E-2</v>
      </c>
      <c r="P2441">
        <v>-0.99869319999999895</v>
      </c>
      <c r="Q2441">
        <v>3.9021889999999997E-2</v>
      </c>
      <c r="R2441">
        <v>-3.3011449999999998E-2</v>
      </c>
      <c r="S2441">
        <v>-3.0085449999999998</v>
      </c>
      <c r="T2441">
        <v>-6.5683130000000006E-2</v>
      </c>
      <c r="U2441">
        <v>6.6314699999999893E-2</v>
      </c>
      <c r="V2441">
        <v>-6.247076E-2</v>
      </c>
      <c r="W2441">
        <v>4.9114320000000003E-2</v>
      </c>
      <c r="X2441">
        <v>0.99683759999999999</v>
      </c>
      <c r="Y2441">
        <v>-7.4594589999999999E-3</v>
      </c>
      <c r="Z2441">
        <v>-7.2523770000000002E-4</v>
      </c>
      <c r="AA2441">
        <v>0.99997190000000002</v>
      </c>
      <c r="AB2441">
        <v>23</v>
      </c>
      <c r="AC2441">
        <v>-50.434800000000003</v>
      </c>
      <c r="AD2441">
        <v>-1.104665011319</v>
      </c>
      <c r="AE2441">
        <v>1.11060000000003</v>
      </c>
      <c r="AF2441">
        <v>-0.37765964339549302</v>
      </c>
      <c r="AG2441">
        <v>-1.104665011319</v>
      </c>
      <c r="AH2441">
        <v>50.4214343437705</v>
      </c>
      <c r="AI2441">
        <v>91.255036585514802</v>
      </c>
      <c r="AJ2441">
        <v>90.429140886422005</v>
      </c>
      <c r="AK2441">
        <v>50.434947733458003</v>
      </c>
    </row>
    <row r="2442" spans="1:37" x14ac:dyDescent="0.2">
      <c r="A2442" t="str">
        <f>"20200111155546096"</f>
        <v>20200111155546096</v>
      </c>
      <c r="B2442" t="str">
        <f>"1578729346084787"</f>
        <v>1578729346084787</v>
      </c>
      <c r="C2442" t="s">
        <v>37</v>
      </c>
      <c r="D2442">
        <v>4.8875779999999898</v>
      </c>
      <c r="E2442">
        <v>0.52206390000000003</v>
      </c>
      <c r="F2442" t="s">
        <v>59</v>
      </c>
      <c r="G2442">
        <v>-371.83960000000002</v>
      </c>
      <c r="H2442" s="1">
        <v>-5.5785819999999998E-7</v>
      </c>
      <c r="I2442">
        <v>286.0378</v>
      </c>
      <c r="J2442">
        <v>-318.21910000000003</v>
      </c>
      <c r="K2442">
        <v>1.104668</v>
      </c>
      <c r="L2442">
        <v>284.80459999999999</v>
      </c>
      <c r="M2442">
        <v>-0.99951710000000005</v>
      </c>
      <c r="N2442">
        <v>0</v>
      </c>
      <c r="O2442">
        <v>2.9400490000000001E-2</v>
      </c>
      <c r="P2442">
        <v>-0.99867839999999997</v>
      </c>
      <c r="Q2442">
        <v>3.9729130000000001E-2</v>
      </c>
      <c r="R2442">
        <v>-3.2608829999999998E-2</v>
      </c>
      <c r="S2442">
        <v>-3.0086059999999999</v>
      </c>
      <c r="T2442">
        <v>-6.1809419999999997E-2</v>
      </c>
      <c r="U2442">
        <v>6.9244379999999994E-2</v>
      </c>
      <c r="V2442">
        <v>-6.1967790000000002E-2</v>
      </c>
      <c r="W2442">
        <v>4.9751549999999999E-2</v>
      </c>
      <c r="X2442">
        <v>0.99683739999999998</v>
      </c>
      <c r="Y2442">
        <v>-6.3872449999999997E-3</v>
      </c>
      <c r="Z2442">
        <v>-6.6937490000000001E-4</v>
      </c>
      <c r="AA2442">
        <v>0.99997939999999996</v>
      </c>
      <c r="AB2442">
        <v>23</v>
      </c>
      <c r="AC2442">
        <v>-53.6204999999999</v>
      </c>
      <c r="AD2442">
        <v>-1.1046685578581901</v>
      </c>
      <c r="AE2442">
        <v>1.2332000000000101</v>
      </c>
      <c r="AF2442">
        <v>-0.34373606990981798</v>
      </c>
      <c r="AG2442">
        <v>-1.1046685578581901</v>
      </c>
      <c r="AH2442">
        <v>53.610834864160303</v>
      </c>
      <c r="AI2442">
        <v>91.180406732543403</v>
      </c>
      <c r="AJ2442">
        <v>90.367357759830995</v>
      </c>
      <c r="AK2442">
        <v>53.623316401922999</v>
      </c>
    </row>
    <row r="2443" spans="1:37" x14ac:dyDescent="0.2">
      <c r="A2443" t="str">
        <f>"20200111155546110"</f>
        <v>20200111155546110</v>
      </c>
      <c r="B2443" t="str">
        <f>"1578729346105284"</f>
        <v>1578729346105284</v>
      </c>
      <c r="C2443" t="s">
        <v>37</v>
      </c>
      <c r="D2443">
        <v>4.7486689999999996</v>
      </c>
      <c r="E2443">
        <v>0.52188780000000001</v>
      </c>
      <c r="F2443" t="s">
        <v>59</v>
      </c>
      <c r="G2443">
        <v>-373.2783</v>
      </c>
      <c r="H2443" s="1">
        <v>2.077576E-7</v>
      </c>
      <c r="I2443">
        <v>286.08069999999998</v>
      </c>
      <c r="J2443">
        <v>-318.35849999999999</v>
      </c>
      <c r="K2443">
        <v>1.104665</v>
      </c>
      <c r="L2443">
        <v>284.80860000000001</v>
      </c>
      <c r="M2443">
        <v>-0.99952050000000003</v>
      </c>
      <c r="N2443">
        <v>0</v>
      </c>
      <c r="O2443">
        <v>2.9306619999999999E-2</v>
      </c>
      <c r="P2443">
        <v>-0.99867680000000003</v>
      </c>
      <c r="Q2443">
        <v>3.9979309999999997E-2</v>
      </c>
      <c r="R2443">
        <v>-3.235035E-2</v>
      </c>
      <c r="S2443">
        <v>-3.0086360000000001</v>
      </c>
      <c r="T2443">
        <v>-6.0363170000000001E-2</v>
      </c>
      <c r="U2443">
        <v>6.9732669999999997E-2</v>
      </c>
      <c r="V2443">
        <v>-6.1615929999999999E-2</v>
      </c>
      <c r="W2443">
        <v>4.994299E-2</v>
      </c>
      <c r="X2443">
        <v>0.996849599999999</v>
      </c>
      <c r="Y2443">
        <v>-6.1317709999999899E-3</v>
      </c>
      <c r="Z2443">
        <v>-6.4926320000000004E-4</v>
      </c>
      <c r="AA2443">
        <v>0.99998099999999901</v>
      </c>
      <c r="AB2443">
        <v>23</v>
      </c>
      <c r="AC2443">
        <v>-54.919800000000002</v>
      </c>
      <c r="AD2443">
        <v>-1.1046647922424</v>
      </c>
      <c r="AE2443">
        <v>1.27209999999996</v>
      </c>
      <c r="AF2443">
        <v>-0.33790392977752798</v>
      </c>
      <c r="AG2443">
        <v>-1.1046647922424</v>
      </c>
      <c r="AH2443">
        <v>54.911286656655498</v>
      </c>
      <c r="AI2443">
        <v>91.152456993695594</v>
      </c>
      <c r="AJ2443">
        <v>90.352572774484898</v>
      </c>
      <c r="AK2443">
        <v>54.923436397027899</v>
      </c>
    </row>
    <row r="2444" spans="1:37" x14ac:dyDescent="0.2">
      <c r="A2444" t="str">
        <f>"20200111155546127"</f>
        <v>20200111155546127</v>
      </c>
      <c r="B2444" t="str">
        <f>"1578729346115044"</f>
        <v>1578729346115044</v>
      </c>
      <c r="C2444" t="s">
        <v>37</v>
      </c>
      <c r="D2444">
        <v>4.836411</v>
      </c>
      <c r="E2444">
        <v>0.52180190000000004</v>
      </c>
      <c r="F2444" t="s">
        <v>59</v>
      </c>
      <c r="G2444">
        <v>-372.8322</v>
      </c>
      <c r="H2444" s="1">
        <v>-2.9607389999999901E-8</v>
      </c>
      <c r="I2444">
        <v>286.06119999999999</v>
      </c>
      <c r="J2444">
        <v>-318.53359999999998</v>
      </c>
      <c r="K2444">
        <v>1.1046639999999901</v>
      </c>
      <c r="L2444">
        <v>284.81360000000001</v>
      </c>
      <c r="M2444">
        <v>-0.99952459999999899</v>
      </c>
      <c r="N2444">
        <v>0</v>
      </c>
      <c r="O2444">
        <v>2.9188370000000002E-2</v>
      </c>
      <c r="P2444">
        <v>-0.99869219999999903</v>
      </c>
      <c r="Q2444">
        <v>4.0023360000000001E-2</v>
      </c>
      <c r="R2444">
        <v>-3.1813710000000002E-2</v>
      </c>
      <c r="S2444">
        <v>-3.008667</v>
      </c>
      <c r="T2444">
        <v>-6.101227E-2</v>
      </c>
      <c r="U2444">
        <v>6.9183350000000005E-2</v>
      </c>
      <c r="V2444">
        <v>-6.0961929999999998E-2</v>
      </c>
      <c r="W2444">
        <v>4.9918709999999998E-2</v>
      </c>
      <c r="X2444">
        <v>0.99689099999999997</v>
      </c>
      <c r="Y2444">
        <v>-6.1960089999999997E-3</v>
      </c>
      <c r="Z2444">
        <v>-6.5449279999999996E-4</v>
      </c>
      <c r="AA2444">
        <v>0.9999806</v>
      </c>
      <c r="AB2444">
        <v>23</v>
      </c>
      <c r="AC2444">
        <v>-54.2986</v>
      </c>
      <c r="AD2444">
        <v>-1.10466402960739</v>
      </c>
      <c r="AE2444">
        <v>1.2475999999999701</v>
      </c>
      <c r="AF2444">
        <v>-0.33775767708712701</v>
      </c>
      <c r="AG2444">
        <v>-1.10466402960739</v>
      </c>
      <c r="AH2444">
        <v>54.289421951083199</v>
      </c>
      <c r="AI2444">
        <v>91.1656530357902</v>
      </c>
      <c r="AJ2444">
        <v>90.356456912302704</v>
      </c>
      <c r="AK2444">
        <v>54.301709905393402</v>
      </c>
    </row>
    <row r="2445" spans="1:37" x14ac:dyDescent="0.2">
      <c r="A2445" t="str">
        <f>"20200111155546141"</f>
        <v>20200111155546141</v>
      </c>
      <c r="B2445" t="str">
        <f>"1578729346134564"</f>
        <v>1578729346134564</v>
      </c>
      <c r="C2445" t="s">
        <v>37</v>
      </c>
      <c r="D2445">
        <v>4.7871589999999999</v>
      </c>
      <c r="E2445">
        <v>0.52166959999999996</v>
      </c>
      <c r="F2445" t="s">
        <v>59</v>
      </c>
      <c r="G2445">
        <v>-372.2466</v>
      </c>
      <c r="H2445" s="1">
        <v>-3.4124099999999998E-7</v>
      </c>
      <c r="I2445">
        <v>286.06180000000001</v>
      </c>
      <c r="J2445">
        <v>-318.68650000000002</v>
      </c>
      <c r="K2445">
        <v>1.10466</v>
      </c>
      <c r="L2445">
        <v>284.81799999999998</v>
      </c>
      <c r="M2445">
        <v>-0.99952830000000004</v>
      </c>
      <c r="N2445">
        <v>0</v>
      </c>
      <c r="O2445">
        <v>2.9085E-2</v>
      </c>
      <c r="P2445">
        <v>-0.99870740000000002</v>
      </c>
      <c r="Q2445">
        <v>3.9716559999999998E-2</v>
      </c>
      <c r="R2445">
        <v>-3.1726709999999998E-2</v>
      </c>
      <c r="S2445">
        <v>-3.0086059999999999</v>
      </c>
      <c r="T2445">
        <v>-6.1875099999999898E-2</v>
      </c>
      <c r="U2445">
        <v>6.9915770000000002E-2</v>
      </c>
      <c r="V2445">
        <v>-6.0772409999999999E-2</v>
      </c>
      <c r="W2445">
        <v>4.9558190000000002E-2</v>
      </c>
      <c r="X2445">
        <v>0.99692060000000005</v>
      </c>
      <c r="Y2445">
        <v>-5.8486909999999996E-3</v>
      </c>
      <c r="Z2445">
        <v>-6.5806250000000001E-4</v>
      </c>
      <c r="AA2445">
        <v>0.999982699999999</v>
      </c>
      <c r="AB2445">
        <v>23</v>
      </c>
      <c r="AC2445">
        <v>-53.560099999999899</v>
      </c>
      <c r="AD2445">
        <v>-1.1046603412410001</v>
      </c>
      <c r="AE2445">
        <v>1.24380000000002</v>
      </c>
      <c r="AF2445">
        <v>-0.314463811297155</v>
      </c>
      <c r="AG2445">
        <v>-1.1046603412410001</v>
      </c>
      <c r="AH2445">
        <v>53.550849382003598</v>
      </c>
      <c r="AI2445">
        <v>91.181723728157394</v>
      </c>
      <c r="AJ2445">
        <v>90.336451098514004</v>
      </c>
      <c r="AK2445">
        <v>53.563164875613502</v>
      </c>
    </row>
    <row r="2446" spans="1:37" x14ac:dyDescent="0.2">
      <c r="A2446" t="str">
        <f>"20200111155546160"</f>
        <v>20200111155546160</v>
      </c>
      <c r="B2446" t="str">
        <f>"1578729346155060"</f>
        <v>1578729346155060</v>
      </c>
      <c r="C2446" t="s">
        <v>37</v>
      </c>
      <c r="D2446">
        <v>4.8321860000000001</v>
      </c>
      <c r="E2446">
        <v>0.521594</v>
      </c>
      <c r="F2446" t="s">
        <v>59</v>
      </c>
      <c r="G2446">
        <v>-369.56270000000001</v>
      </c>
      <c r="H2446" s="1">
        <v>3.55203E-6</v>
      </c>
      <c r="I2446">
        <v>285.98169999999999</v>
      </c>
      <c r="J2446">
        <v>-318.8777</v>
      </c>
      <c r="K2446">
        <v>1.1046479999999901</v>
      </c>
      <c r="L2446">
        <v>284.82339999999999</v>
      </c>
      <c r="M2446">
        <v>-0.99953239999999999</v>
      </c>
      <c r="N2446">
        <v>0</v>
      </c>
      <c r="O2446">
        <v>2.8956559999999999E-2</v>
      </c>
      <c r="P2446">
        <v>-0.9987568</v>
      </c>
      <c r="Q2446">
        <v>3.8564880000000003E-2</v>
      </c>
      <c r="R2446">
        <v>-3.1584500000000001E-2</v>
      </c>
      <c r="S2446">
        <v>-3.008667</v>
      </c>
      <c r="T2446">
        <v>-6.5325980000000006E-2</v>
      </c>
      <c r="U2446">
        <v>6.8817139999999999E-2</v>
      </c>
      <c r="V2446">
        <v>-6.0503139999999997E-2</v>
      </c>
      <c r="W2446">
        <v>4.8346569999999998E-2</v>
      </c>
      <c r="X2446">
        <v>0.99699649999999995</v>
      </c>
      <c r="Y2446">
        <v>-6.0847430000000001E-3</v>
      </c>
      <c r="Z2446">
        <v>-6.9451979999999897E-4</v>
      </c>
      <c r="AA2446">
        <v>0.99998120000000001</v>
      </c>
      <c r="AB2446">
        <v>23</v>
      </c>
      <c r="AC2446">
        <v>-50.685000000000002</v>
      </c>
      <c r="AD2446">
        <v>-1.1046444479699999</v>
      </c>
      <c r="AE2446">
        <v>1.1582999999999899</v>
      </c>
      <c r="AF2446">
        <v>-0.309772755795095</v>
      </c>
      <c r="AG2446">
        <v>-1.1046444479699999</v>
      </c>
      <c r="AH2446">
        <v>50.673229449295697</v>
      </c>
      <c r="AI2446">
        <v>91.248790744574805</v>
      </c>
      <c r="AJ2446">
        <v>90.350252995923299</v>
      </c>
      <c r="AK2446">
        <v>50.686214904425697</v>
      </c>
    </row>
    <row r="2447" spans="1:37" x14ac:dyDescent="0.2">
      <c r="A2447" t="str">
        <f>"20200111155546175"</f>
        <v>20200111155546175</v>
      </c>
      <c r="B2447" t="str">
        <f>"1578729346164819"</f>
        <v>1578729346164819</v>
      </c>
      <c r="C2447" t="s">
        <v>37</v>
      </c>
      <c r="D2447">
        <v>4.8326750000000001</v>
      </c>
      <c r="E2447">
        <v>0.52152489999999996</v>
      </c>
      <c r="F2447" t="s">
        <v>59</v>
      </c>
      <c r="G2447">
        <v>-366.23770000000002</v>
      </c>
      <c r="H2447" s="1">
        <v>1.7825839999999899E-6</v>
      </c>
      <c r="I2447">
        <v>285.90429999999998</v>
      </c>
      <c r="J2447">
        <v>-319.03469999999999</v>
      </c>
      <c r="K2447">
        <v>1.1046400000000001</v>
      </c>
      <c r="L2447">
        <v>284.82780000000002</v>
      </c>
      <c r="M2447">
        <v>-0.99953599999999998</v>
      </c>
      <c r="N2447">
        <v>0</v>
      </c>
      <c r="O2447">
        <v>2.8850460000000001E-2</v>
      </c>
      <c r="P2447">
        <v>-0.99879519999999899</v>
      </c>
      <c r="Q2447">
        <v>3.7288870000000002E-2</v>
      </c>
      <c r="R2447">
        <v>-3.1901989999999998E-2</v>
      </c>
      <c r="S2447">
        <v>-3.008575</v>
      </c>
      <c r="T2447">
        <v>-7.01735E-2</v>
      </c>
      <c r="U2447">
        <v>6.8664550000000005E-2</v>
      </c>
      <c r="V2447">
        <v>-6.0715669999999999E-2</v>
      </c>
      <c r="W2447">
        <v>4.7026760000000001E-2</v>
      </c>
      <c r="X2447">
        <v>0.99704669999999895</v>
      </c>
      <c r="Y2447">
        <v>-6.0273409999999899E-3</v>
      </c>
      <c r="Z2447">
        <v>-7.4292360000000003E-4</v>
      </c>
      <c r="AA2447">
        <v>0.99998159999999903</v>
      </c>
      <c r="AB2447">
        <v>23</v>
      </c>
      <c r="AC2447">
        <v>-47.203000000000003</v>
      </c>
      <c r="AD2447">
        <v>-1.1046382174160001</v>
      </c>
      <c r="AE2447">
        <v>1.0764999999999501</v>
      </c>
      <c r="AF2447">
        <v>-0.28568502614269398</v>
      </c>
      <c r="AG2447">
        <v>-1.1046382174160001</v>
      </c>
      <c r="AH2447">
        <v>47.188579088474803</v>
      </c>
      <c r="AI2447">
        <v>91.3409683604973</v>
      </c>
      <c r="AJ2447">
        <v>90.346870929514097</v>
      </c>
      <c r="AK2447">
        <v>47.202371104794899</v>
      </c>
    </row>
    <row r="2448" spans="1:37" x14ac:dyDescent="0.2">
      <c r="A2448" t="str">
        <f>"20200111155546194"</f>
        <v>20200111155546194</v>
      </c>
      <c r="B2448" t="str">
        <f>"1578729346184339"</f>
        <v>1578729346184339</v>
      </c>
      <c r="C2448" t="s">
        <v>37</v>
      </c>
      <c r="D2448">
        <v>4.8868869999999998</v>
      </c>
      <c r="E2448">
        <v>0.52139789999999997</v>
      </c>
      <c r="F2448" t="s">
        <v>59</v>
      </c>
      <c r="G2448">
        <v>-363.3621</v>
      </c>
      <c r="H2448" s="1">
        <v>2.5232869999999998E-7</v>
      </c>
      <c r="I2448">
        <v>285.81560000000002</v>
      </c>
      <c r="J2448">
        <v>-319.23039999999997</v>
      </c>
      <c r="K2448">
        <v>1.1046279999999999</v>
      </c>
      <c r="L2448">
        <v>284.83330000000001</v>
      </c>
      <c r="M2448">
        <v>-0.99954019999999999</v>
      </c>
      <c r="N2448">
        <v>0</v>
      </c>
      <c r="O2448">
        <v>2.871862E-2</v>
      </c>
      <c r="P2448">
        <v>-0.99888390000000005</v>
      </c>
      <c r="Q2448">
        <v>3.4565619999999998E-2</v>
      </c>
      <c r="R2448">
        <v>-3.2189410000000002E-2</v>
      </c>
      <c r="S2448">
        <v>-3.0085449999999998</v>
      </c>
      <c r="T2448">
        <v>-7.4973109999999996E-2</v>
      </c>
      <c r="U2448">
        <v>6.7047120000000002E-2</v>
      </c>
      <c r="V2448">
        <v>-6.0873139999999999E-2</v>
      </c>
      <c r="W2448">
        <v>4.4256360000000002E-2</v>
      </c>
      <c r="X2448">
        <v>0.99716389999999999</v>
      </c>
      <c r="Y2448">
        <v>-6.4311100000000003E-3</v>
      </c>
      <c r="Z2448">
        <v>-7.9548209999999995E-4</v>
      </c>
      <c r="AA2448">
        <v>0.99997899999999995</v>
      </c>
      <c r="AB2448">
        <v>23</v>
      </c>
      <c r="AC2448">
        <v>-44.131700000000002</v>
      </c>
      <c r="AD2448">
        <v>-1.1046277476713</v>
      </c>
      <c r="AE2448">
        <v>0.98230000000000905</v>
      </c>
      <c r="AF2448">
        <v>-0.28538798467665599</v>
      </c>
      <c r="AG2448">
        <v>-1.1046277476713</v>
      </c>
      <c r="AH2448">
        <v>44.114082755158599</v>
      </c>
      <c r="AI2448">
        <v>91.434371006561506</v>
      </c>
      <c r="AJ2448">
        <v>90.370659388457696</v>
      </c>
      <c r="AK2448">
        <v>44.128833500237697</v>
      </c>
    </row>
    <row r="2449" spans="1:37" x14ac:dyDescent="0.2">
      <c r="A2449" t="str">
        <f>"20200111155546210"</f>
        <v>20200111155546210</v>
      </c>
      <c r="B2449" t="str">
        <f>"1578729346205811"</f>
        <v>1578729346205811</v>
      </c>
      <c r="C2449" t="s">
        <v>37</v>
      </c>
      <c r="D2449">
        <v>4.9292800000000003</v>
      </c>
      <c r="E2449">
        <v>0.52119020000000005</v>
      </c>
      <c r="F2449" t="s">
        <v>59</v>
      </c>
      <c r="G2449">
        <v>-358.43199999999899</v>
      </c>
      <c r="H2449" s="1">
        <v>2.9502869999999998E-6</v>
      </c>
      <c r="I2449">
        <v>285.68430000000001</v>
      </c>
      <c r="J2449">
        <v>-319.39830000000001</v>
      </c>
      <c r="K2449">
        <v>1.104622</v>
      </c>
      <c r="L2449">
        <v>284.837999999999</v>
      </c>
      <c r="M2449">
        <v>-0.99954399999999999</v>
      </c>
      <c r="N2449">
        <v>0</v>
      </c>
      <c r="O2449">
        <v>2.8601669999999999E-2</v>
      </c>
      <c r="P2449">
        <v>-0.99890440000000003</v>
      </c>
      <c r="Q2449">
        <v>3.3651019999999997E-2</v>
      </c>
      <c r="R2449">
        <v>-3.2524789999999998E-2</v>
      </c>
      <c r="S2449">
        <v>-3.00839199999999</v>
      </c>
      <c r="T2449">
        <v>-8.4770680000000001E-2</v>
      </c>
      <c r="U2449">
        <v>6.5307619999999997E-2</v>
      </c>
      <c r="V2449">
        <v>-6.1092029999999999E-2</v>
      </c>
      <c r="W2449">
        <v>4.330502E-2</v>
      </c>
      <c r="X2449">
        <v>0.99719230000000003</v>
      </c>
      <c r="Y2449">
        <v>-6.8877080000000002E-3</v>
      </c>
      <c r="Z2449">
        <v>-9.0258820000000003E-4</v>
      </c>
      <c r="AA2449">
        <v>0.99997590000000003</v>
      </c>
      <c r="AB2449">
        <v>23</v>
      </c>
      <c r="AC2449">
        <v>-39.033699999999897</v>
      </c>
      <c r="AD2449">
        <v>-1.104619049713</v>
      </c>
      <c r="AE2449">
        <v>0.84630000000004202</v>
      </c>
      <c r="AF2449">
        <v>-0.27031122427765802</v>
      </c>
      <c r="AG2449">
        <v>-1.104619049713</v>
      </c>
      <c r="AH2449">
        <v>39.010709449383199</v>
      </c>
      <c r="AI2449">
        <v>91.621902945812394</v>
      </c>
      <c r="AJ2449">
        <v>90.397004941995306</v>
      </c>
      <c r="AK2449">
        <v>39.027281523918099</v>
      </c>
    </row>
    <row r="2450" spans="1:37" x14ac:dyDescent="0.2">
      <c r="A2450" t="str">
        <f>"20200111155546224"</f>
        <v>20200111155546224</v>
      </c>
      <c r="B2450" t="str">
        <f>"1578729346214596"</f>
        <v>1578729346214596</v>
      </c>
      <c r="C2450" t="s">
        <v>37</v>
      </c>
      <c r="D2450">
        <v>4.8697470000000003</v>
      </c>
      <c r="E2450">
        <v>0.52118980000000004</v>
      </c>
      <c r="F2450" t="s">
        <v>59</v>
      </c>
      <c r="G2450">
        <v>-356.78250000000003</v>
      </c>
      <c r="H2450" s="1">
        <v>2.0725079999999999E-6</v>
      </c>
      <c r="I2450">
        <v>285.61470000000003</v>
      </c>
      <c r="J2450">
        <v>-319.54309999999998</v>
      </c>
      <c r="K2450">
        <v>1.104622</v>
      </c>
      <c r="L2450">
        <v>284.84199999999998</v>
      </c>
      <c r="M2450">
        <v>-0.99954719999999997</v>
      </c>
      <c r="N2450">
        <v>0</v>
      </c>
      <c r="O2450">
        <v>2.8495739999999999E-2</v>
      </c>
      <c r="P2450">
        <v>-0.99891640000000004</v>
      </c>
      <c r="Q2450">
        <v>3.2901130000000001E-2</v>
      </c>
      <c r="R2450">
        <v>-3.2916510000000003E-2</v>
      </c>
      <c r="S2450">
        <v>-3.0083310000000001</v>
      </c>
      <c r="T2450">
        <v>-8.8889480000000007E-2</v>
      </c>
      <c r="U2450">
        <v>6.25E-2</v>
      </c>
      <c r="V2450">
        <v>-6.1378919999999997E-2</v>
      </c>
      <c r="W2450">
        <v>4.2525170000000001E-2</v>
      </c>
      <c r="X2450">
        <v>0.99720819999999999</v>
      </c>
      <c r="Y2450">
        <v>-7.7124089999999999E-3</v>
      </c>
      <c r="Z2450">
        <v>-9.5550769999999999E-4</v>
      </c>
      <c r="AA2450">
        <v>0.99996980000000002</v>
      </c>
      <c r="AB2450">
        <v>23</v>
      </c>
      <c r="AC2450">
        <v>-37.239400000000003</v>
      </c>
      <c r="AD2450">
        <v>-1.1046199274920001</v>
      </c>
      <c r="AE2450">
        <v>0.77270000000004202</v>
      </c>
      <c r="AF2450">
        <v>-0.28857382623110001</v>
      </c>
      <c r="AG2450">
        <v>-1.1046199274920001</v>
      </c>
      <c r="AH2450">
        <v>37.213566720997399</v>
      </c>
      <c r="AI2450">
        <v>91.700175120557603</v>
      </c>
      <c r="AJ2450">
        <v>90.444293099983</v>
      </c>
      <c r="AK2450">
        <v>37.231075839082699</v>
      </c>
    </row>
    <row r="2451" spans="1:37" x14ac:dyDescent="0.2">
      <c r="A2451" t="str">
        <f>"20200111155546238"</f>
        <v>20200111155546238</v>
      </c>
      <c r="B2451" t="str">
        <f>"1578729346235092"</f>
        <v>1578729346235092</v>
      </c>
      <c r="C2451" t="s">
        <v>37</v>
      </c>
      <c r="D2451">
        <v>4.8849549999999997</v>
      </c>
      <c r="E2451">
        <v>0.52107510000000001</v>
      </c>
      <c r="F2451" t="s">
        <v>59</v>
      </c>
      <c r="G2451">
        <v>-355.75580000000002</v>
      </c>
      <c r="H2451" s="1">
        <v>1.526182E-6</v>
      </c>
      <c r="I2451">
        <v>285.5804</v>
      </c>
      <c r="J2451">
        <v>-319.69080000000002</v>
      </c>
      <c r="K2451">
        <v>1.1046260000000001</v>
      </c>
      <c r="L2451">
        <v>284.84609999999998</v>
      </c>
      <c r="M2451">
        <v>-0.99955079999999996</v>
      </c>
      <c r="N2451">
        <v>0</v>
      </c>
      <c r="O2451">
        <v>2.838166E-2</v>
      </c>
      <c r="P2451">
        <v>-0.99888519999999903</v>
      </c>
      <c r="Q2451">
        <v>3.3572749999999998E-2</v>
      </c>
      <c r="R2451">
        <v>-3.3189110000000001E-2</v>
      </c>
      <c r="S2451">
        <v>-3.0083009999999999</v>
      </c>
      <c r="T2451">
        <v>-9.1764209999999999E-2</v>
      </c>
      <c r="U2451">
        <v>6.1340329999999998E-2</v>
      </c>
      <c r="V2451">
        <v>-6.1536979999999998E-2</v>
      </c>
      <c r="W2451">
        <v>4.3168779999999997E-2</v>
      </c>
      <c r="X2451">
        <v>0.99717080000000002</v>
      </c>
      <c r="Y2451">
        <v>-7.9822739999999993E-3</v>
      </c>
      <c r="Z2451">
        <v>-9.870476E-4</v>
      </c>
      <c r="AA2451">
        <v>0.99996759999999996</v>
      </c>
      <c r="AB2451">
        <v>23</v>
      </c>
      <c r="AC2451">
        <v>-36.064999999999998</v>
      </c>
      <c r="AD2451">
        <v>-1.104624473818</v>
      </c>
      <c r="AE2451">
        <v>0.73430000000001805</v>
      </c>
      <c r="AF2451">
        <v>-0.28935649902124999</v>
      </c>
      <c r="AG2451">
        <v>-1.104624473818</v>
      </c>
      <c r="AH2451">
        <v>36.037518396825</v>
      </c>
      <c r="AI2451">
        <v>91.755627875437995</v>
      </c>
      <c r="AJ2451">
        <v>90.460035835983604</v>
      </c>
      <c r="AK2451">
        <v>36.055605037402799</v>
      </c>
    </row>
    <row r="2452" spans="1:37" x14ac:dyDescent="0.2">
      <c r="A2452" t="str">
        <f>"20200111155546252"</f>
        <v>20200111155546252</v>
      </c>
      <c r="B2452" t="str">
        <f>"1578729346244852"</f>
        <v>1578729346244852</v>
      </c>
      <c r="C2452" t="s">
        <v>37</v>
      </c>
      <c r="D2452">
        <v>4.8235839999999897</v>
      </c>
      <c r="E2452">
        <v>0.52106009999999903</v>
      </c>
      <c r="F2452" t="s">
        <v>59</v>
      </c>
      <c r="G2452">
        <v>-356.19490000000002</v>
      </c>
      <c r="H2452" s="1">
        <v>1.7598380000000001E-6</v>
      </c>
      <c r="I2452">
        <v>285.56560000000002</v>
      </c>
      <c r="J2452">
        <v>-319.83870000000002</v>
      </c>
      <c r="K2452">
        <v>1.104635</v>
      </c>
      <c r="L2452">
        <v>284.85019999999997</v>
      </c>
      <c r="M2452">
        <v>-0.99955459999999996</v>
      </c>
      <c r="N2452">
        <v>0</v>
      </c>
      <c r="O2452">
        <v>2.825387E-2</v>
      </c>
      <c r="P2452">
        <v>-0.99885979999999996</v>
      </c>
      <c r="Q2452">
        <v>3.3870610000000002E-2</v>
      </c>
      <c r="R2452">
        <v>-3.3646570000000001E-2</v>
      </c>
      <c r="S2452">
        <v>-3.008362</v>
      </c>
      <c r="T2452">
        <v>-9.1033939999999994E-2</v>
      </c>
      <c r="U2452">
        <v>5.9295649999999998E-2</v>
      </c>
      <c r="V2452">
        <v>-6.1867190000000002E-2</v>
      </c>
      <c r="W2452">
        <v>4.3441269999999997E-2</v>
      </c>
      <c r="X2452">
        <v>0.99713859999999999</v>
      </c>
      <c r="Y2452">
        <v>-8.5342760000000004E-3</v>
      </c>
      <c r="Z2452">
        <v>-9.836694999999999E-4</v>
      </c>
      <c r="AA2452">
        <v>0.99996309999999999</v>
      </c>
      <c r="AB2452">
        <v>23</v>
      </c>
      <c r="AC2452">
        <v>-36.356200000000001</v>
      </c>
      <c r="AD2452">
        <v>-1.104633240162</v>
      </c>
      <c r="AE2452">
        <v>0.715400000000045</v>
      </c>
      <c r="AF2452">
        <v>-0.311848620024751</v>
      </c>
      <c r="AG2452">
        <v>-1.104633240162</v>
      </c>
      <c r="AH2452">
        <v>36.3283741828009</v>
      </c>
      <c r="AI2452">
        <v>91.741586278186105</v>
      </c>
      <c r="AJ2452">
        <v>90.491824127025396</v>
      </c>
      <c r="AK2452">
        <v>36.346502375368601</v>
      </c>
    </row>
    <row r="2453" spans="1:37" x14ac:dyDescent="0.2">
      <c r="A2453" t="str">
        <f>"20200111155546266"</f>
        <v>20200111155546266</v>
      </c>
      <c r="B2453" t="str">
        <f>"1578729346254613"</f>
        <v>1578729346254613</v>
      </c>
      <c r="C2453" t="s">
        <v>37</v>
      </c>
      <c r="D2453">
        <v>4.9376959999999999</v>
      </c>
      <c r="E2453">
        <v>0.52109780000000006</v>
      </c>
      <c r="F2453" t="s">
        <v>59</v>
      </c>
      <c r="G2453">
        <v>-356.38560000000001</v>
      </c>
      <c r="H2453" s="1">
        <v>1.8613229999999899E-6</v>
      </c>
      <c r="I2453">
        <v>285.55279999999999</v>
      </c>
      <c r="J2453">
        <v>-319.97859999999997</v>
      </c>
      <c r="K2453">
        <v>1.104646</v>
      </c>
      <c r="L2453">
        <v>284.85399999999998</v>
      </c>
      <c r="M2453">
        <v>-0.99955849999999902</v>
      </c>
      <c r="N2453">
        <v>0</v>
      </c>
      <c r="O2453">
        <v>2.8120369999999999E-2</v>
      </c>
      <c r="P2453">
        <v>-0.99885219999999897</v>
      </c>
      <c r="Q2453">
        <v>3.3441489999999997E-2</v>
      </c>
      <c r="R2453">
        <v>-3.4288930000000002E-2</v>
      </c>
      <c r="S2453">
        <v>-3.0084230000000001</v>
      </c>
      <c r="T2453">
        <v>-9.0929869999999996E-2</v>
      </c>
      <c r="U2453">
        <v>5.7830810000000003E-2</v>
      </c>
      <c r="V2453">
        <v>-6.2377149999999999E-2</v>
      </c>
      <c r="W2453">
        <v>4.2989180000000002E-2</v>
      </c>
      <c r="X2453">
        <v>0.99712639999999997</v>
      </c>
      <c r="Y2453">
        <v>-8.8877629999999999E-3</v>
      </c>
      <c r="Z2453">
        <v>-9.8383970000000005E-4</v>
      </c>
      <c r="AA2453">
        <v>0.99995999999999996</v>
      </c>
      <c r="AB2453">
        <v>23</v>
      </c>
      <c r="AC2453">
        <v>-36.406999999999996</v>
      </c>
      <c r="AD2453">
        <v>-1.1046441386770001</v>
      </c>
      <c r="AE2453">
        <v>0.69879999999994802</v>
      </c>
      <c r="AF2453">
        <v>-0.32500271304584299</v>
      </c>
      <c r="AG2453">
        <v>-1.1046441386770001</v>
      </c>
      <c r="AH2453">
        <v>36.378774457733698</v>
      </c>
      <c r="AI2453">
        <v>91.739186738829602</v>
      </c>
      <c r="AJ2453">
        <v>90.511858595498893</v>
      </c>
      <c r="AK2453">
        <v>36.396992959353902</v>
      </c>
    </row>
    <row r="2454" spans="1:37" x14ac:dyDescent="0.2">
      <c r="A2454" t="str">
        <f>"20200111155546281"</f>
        <v>20200111155546281</v>
      </c>
      <c r="B2454" t="str">
        <f>"1578729346275108"</f>
        <v>1578729346275108</v>
      </c>
      <c r="C2454" t="s">
        <v>37</v>
      </c>
      <c r="D2454">
        <v>4.9034559999999896</v>
      </c>
      <c r="E2454">
        <v>0.52106770000000002</v>
      </c>
      <c r="F2454" t="s">
        <v>59</v>
      </c>
      <c r="G2454">
        <v>-355.92950000000002</v>
      </c>
      <c r="H2454" s="1">
        <v>1.6186019999999999E-6</v>
      </c>
      <c r="I2454">
        <v>285.52679999999998</v>
      </c>
      <c r="J2454">
        <v>-320.14909999999998</v>
      </c>
      <c r="K2454">
        <v>1.10466</v>
      </c>
      <c r="L2454">
        <v>284.85860000000002</v>
      </c>
      <c r="M2454">
        <v>-0.99956399999999901</v>
      </c>
      <c r="N2454">
        <v>0</v>
      </c>
      <c r="O2454">
        <v>2.7937610000000002E-2</v>
      </c>
      <c r="P2454">
        <v>-0.99885619999999997</v>
      </c>
      <c r="Q2454">
        <v>3.2429109999999997E-2</v>
      </c>
      <c r="R2454">
        <v>-3.5138809999999999E-2</v>
      </c>
      <c r="S2454">
        <v>-3.0085139999999999</v>
      </c>
      <c r="T2454">
        <v>-9.2441079999999995E-2</v>
      </c>
      <c r="U2454">
        <v>5.6304930000000003E-2</v>
      </c>
      <c r="V2454">
        <v>-6.3046530000000003E-2</v>
      </c>
      <c r="W2454">
        <v>4.1951090000000003E-2</v>
      </c>
      <c r="X2454">
        <v>0.99712849999999997</v>
      </c>
      <c r="Y2454">
        <v>-9.2118559999999992E-3</v>
      </c>
      <c r="Z2454">
        <v>-9.9952469999999992E-4</v>
      </c>
      <c r="AA2454">
        <v>0.99995710000000004</v>
      </c>
      <c r="AB2454">
        <v>23</v>
      </c>
      <c r="AC2454">
        <v>-35.7804</v>
      </c>
      <c r="AD2454">
        <v>-1.104658381398</v>
      </c>
      <c r="AE2454">
        <v>0.66819999999995605</v>
      </c>
      <c r="AF2454">
        <v>-0.33140956356698398</v>
      </c>
      <c r="AG2454">
        <v>-1.104658381398</v>
      </c>
      <c r="AH2454">
        <v>35.751036719453502</v>
      </c>
      <c r="AI2454">
        <v>91.769722545311197</v>
      </c>
      <c r="AJ2454">
        <v>90.531112581699801</v>
      </c>
      <c r="AK2454">
        <v>35.769634174172502</v>
      </c>
    </row>
    <row r="2455" spans="1:37" x14ac:dyDescent="0.2">
      <c r="A2455" t="str">
        <f>"20200111155546294"</f>
        <v>20200111155546294</v>
      </c>
      <c r="B2455" t="str">
        <f>"1578729346284868"</f>
        <v>1578729346284868</v>
      </c>
      <c r="C2455" t="s">
        <v>37</v>
      </c>
      <c r="D2455">
        <v>4.9028830000000001</v>
      </c>
      <c r="E2455">
        <v>0.52102950000000003</v>
      </c>
      <c r="F2455" t="s">
        <v>59</v>
      </c>
      <c r="G2455">
        <v>-354.59960000000001</v>
      </c>
      <c r="H2455" s="1">
        <v>9.1090190000000005E-7</v>
      </c>
      <c r="I2455">
        <v>285.46949999999998</v>
      </c>
      <c r="J2455">
        <v>-320.27710000000002</v>
      </c>
      <c r="K2455">
        <v>1.104676</v>
      </c>
      <c r="L2455">
        <v>284.8621</v>
      </c>
      <c r="M2455">
        <v>-0.99956849999999997</v>
      </c>
      <c r="N2455">
        <v>0</v>
      </c>
      <c r="O2455">
        <v>2.7781170000000001E-2</v>
      </c>
      <c r="P2455">
        <v>-0.99885480000000004</v>
      </c>
      <c r="Q2455">
        <v>3.1120829999999999E-2</v>
      </c>
      <c r="R2455">
        <v>-3.6342050000000001E-2</v>
      </c>
      <c r="S2455">
        <v>-3.0084529999999998</v>
      </c>
      <c r="T2455">
        <v>-9.6466419999999997E-2</v>
      </c>
      <c r="U2455">
        <v>5.334473E-2</v>
      </c>
      <c r="V2455">
        <v>-6.4094620000000005E-2</v>
      </c>
      <c r="W2455">
        <v>4.0623760000000002E-2</v>
      </c>
      <c r="X2455">
        <v>0.99711659999999902</v>
      </c>
      <c r="Y2455">
        <v>-1.0036659999999999E-2</v>
      </c>
      <c r="Z2455">
        <v>-1.051267E-3</v>
      </c>
      <c r="AA2455">
        <v>0.99994910000000004</v>
      </c>
      <c r="AB2455">
        <v>23</v>
      </c>
      <c r="AC2455">
        <v>-34.322499999999899</v>
      </c>
      <c r="AD2455">
        <v>-1.1046750890981001</v>
      </c>
      <c r="AE2455">
        <v>0.60739999999998395</v>
      </c>
      <c r="AF2455">
        <v>-0.346038721495044</v>
      </c>
      <c r="AG2455">
        <v>-1.1046750890981001</v>
      </c>
      <c r="AH2455">
        <v>34.290616354686897</v>
      </c>
      <c r="AI2455">
        <v>91.845056346292395</v>
      </c>
      <c r="AJ2455">
        <v>90.5781723230224</v>
      </c>
      <c r="AK2455">
        <v>34.310150390716302</v>
      </c>
    </row>
    <row r="2456" spans="1:37" x14ac:dyDescent="0.2">
      <c r="A2456" t="str">
        <f>"20200111155546316"</f>
        <v>20200111155546316</v>
      </c>
      <c r="B2456" t="str">
        <f>"1578729346304388"</f>
        <v>1578729346304388</v>
      </c>
      <c r="C2456" t="s">
        <v>37</v>
      </c>
      <c r="D2456">
        <v>4.843737</v>
      </c>
      <c r="E2456">
        <v>0.52095809999999998</v>
      </c>
      <c r="F2456" t="s">
        <v>59</v>
      </c>
      <c r="G2456">
        <v>-353.79480000000001</v>
      </c>
      <c r="H2456" s="1">
        <v>4.8263009999999997E-7</v>
      </c>
      <c r="I2456">
        <v>285.41489999999999</v>
      </c>
      <c r="J2456">
        <v>-320.50540000000001</v>
      </c>
      <c r="K2456">
        <v>1.104708</v>
      </c>
      <c r="L2456">
        <v>284.86810000000003</v>
      </c>
      <c r="M2456">
        <v>-0.99957750000000001</v>
      </c>
      <c r="N2456">
        <v>0</v>
      </c>
      <c r="O2456">
        <v>2.7461989999999999E-2</v>
      </c>
      <c r="P2456">
        <v>-0.99884869999999903</v>
      </c>
      <c r="Q2456">
        <v>3.0417199999999998E-2</v>
      </c>
      <c r="R2456">
        <v>-3.7094059999999998E-2</v>
      </c>
      <c r="S2456">
        <v>-3.0083310000000001</v>
      </c>
      <c r="T2456">
        <v>-9.9148390000000003E-2</v>
      </c>
      <c r="U2456">
        <v>4.9621579999999998E-2</v>
      </c>
      <c r="V2456">
        <v>-6.4531089999999999E-2</v>
      </c>
      <c r="W2456">
        <v>3.9890499999999898E-2</v>
      </c>
      <c r="X2456">
        <v>0.99711810000000001</v>
      </c>
      <c r="Y2456">
        <v>-1.0952399999999999E-2</v>
      </c>
      <c r="Z2456">
        <v>-1.0851109999999999E-3</v>
      </c>
      <c r="AA2456">
        <v>0.99993940000000003</v>
      </c>
      <c r="AB2456">
        <v>23</v>
      </c>
      <c r="AC2456">
        <v>-33.289400000000001</v>
      </c>
      <c r="AD2456">
        <v>-1.1047075173698999</v>
      </c>
      <c r="AE2456">
        <v>0.54679999999996198</v>
      </c>
      <c r="AF2456">
        <v>-0.367236551399859</v>
      </c>
      <c r="AG2456">
        <v>-1.1047075173698999</v>
      </c>
      <c r="AH2456">
        <v>33.255248417616201</v>
      </c>
      <c r="AI2456">
        <v>91.902495392326401</v>
      </c>
      <c r="AJ2456">
        <v>90.632689582591098</v>
      </c>
      <c r="AK2456">
        <v>33.275618532207403</v>
      </c>
    </row>
    <row r="2457" spans="1:37" x14ac:dyDescent="0.2">
      <c r="A2457" t="str">
        <f>"20200111155546330"</f>
        <v>20200111155546330</v>
      </c>
      <c r="B2457" t="str">
        <f>"1578729346324884"</f>
        <v>1578729346324884</v>
      </c>
      <c r="C2457" t="s">
        <v>37</v>
      </c>
      <c r="D2457">
        <v>4.8213549999999996</v>
      </c>
      <c r="E2457">
        <v>0.5209762</v>
      </c>
      <c r="F2457" t="s">
        <v>59</v>
      </c>
      <c r="G2457">
        <v>-353.10399999999998</v>
      </c>
      <c r="H2457" s="1">
        <v>1.15007999999999E-7</v>
      </c>
      <c r="I2457">
        <v>285.37240000000003</v>
      </c>
      <c r="J2457">
        <v>-320.6617</v>
      </c>
      <c r="K2457">
        <v>1.104732</v>
      </c>
      <c r="L2457">
        <v>284.87209999999999</v>
      </c>
      <c r="M2457">
        <v>-0.9995849</v>
      </c>
      <c r="N2457">
        <v>0</v>
      </c>
      <c r="O2457">
        <v>2.720063E-2</v>
      </c>
      <c r="P2457">
        <v>-0.99885170000000001</v>
      </c>
      <c r="Q2457">
        <v>2.9879180000000002E-2</v>
      </c>
      <c r="R2457">
        <v>-3.7452029999999997E-2</v>
      </c>
      <c r="S2457">
        <v>-3.0083009999999999</v>
      </c>
      <c r="T2457">
        <v>-0.1019458</v>
      </c>
      <c r="U2457">
        <v>4.653931E-2</v>
      </c>
      <c r="V2457">
        <v>-6.4630950000000006E-2</v>
      </c>
      <c r="W2457">
        <v>3.9330660000000003E-2</v>
      </c>
      <c r="X2457">
        <v>0.99713390000000002</v>
      </c>
      <c r="Y2457">
        <v>-1.171355E-2</v>
      </c>
      <c r="Z2457">
        <v>-1.119774E-3</v>
      </c>
      <c r="AA2457">
        <v>0.99993069999999895</v>
      </c>
      <c r="AB2457">
        <v>23</v>
      </c>
      <c r="AC2457">
        <v>-32.442300000000003</v>
      </c>
      <c r="AD2457">
        <v>-1.104731884992</v>
      </c>
      <c r="AE2457">
        <v>0.50030000000003805</v>
      </c>
      <c r="AF2457">
        <v>-0.38193314348912399</v>
      </c>
      <c r="AG2457">
        <v>-1.104731884992</v>
      </c>
      <c r="AH2457">
        <v>32.406336252121598</v>
      </c>
      <c r="AI2457">
        <v>91.952321331682796</v>
      </c>
      <c r="AJ2457">
        <v>90.675242763413706</v>
      </c>
      <c r="AK2457">
        <v>32.427410238089998</v>
      </c>
    </row>
    <row r="2458" spans="1:37" x14ac:dyDescent="0.2">
      <c r="A2458" t="str">
        <f>"20200111155546345"</f>
        <v>20200111155546345</v>
      </c>
      <c r="B2458" t="str">
        <f>"1578729346334644"</f>
        <v>1578729346334644</v>
      </c>
      <c r="C2458" t="s">
        <v>37</v>
      </c>
      <c r="D2458">
        <v>4.8567269999999896</v>
      </c>
      <c r="E2458">
        <v>0.5210243</v>
      </c>
      <c r="F2458" t="s">
        <v>59</v>
      </c>
      <c r="G2458">
        <v>-352.55489999999998</v>
      </c>
      <c r="H2458" s="1">
        <v>-1.771919E-7</v>
      </c>
      <c r="I2458">
        <v>285.35359999999997</v>
      </c>
      <c r="J2458">
        <v>-320.80509999999998</v>
      </c>
      <c r="K2458">
        <v>1.1047549999999999</v>
      </c>
      <c r="L2458">
        <v>284.87580000000003</v>
      </c>
      <c r="M2458">
        <v>-0.99959219999999904</v>
      </c>
      <c r="N2458">
        <v>0</v>
      </c>
      <c r="O2458">
        <v>2.6933809999999999E-2</v>
      </c>
      <c r="P2458">
        <v>-0.99884459999999997</v>
      </c>
      <c r="Q2458">
        <v>2.9334010000000001E-2</v>
      </c>
      <c r="R2458">
        <v>-3.8068280000000003E-2</v>
      </c>
      <c r="S2458">
        <v>-3.00827</v>
      </c>
      <c r="T2458">
        <v>-0.104202</v>
      </c>
      <c r="U2458">
        <v>4.5410159999999998E-2</v>
      </c>
      <c r="V2458">
        <v>-6.4983289999999999E-2</v>
      </c>
      <c r="W2458">
        <v>3.8758880000000002E-2</v>
      </c>
      <c r="X2458">
        <v>0.99713339999999995</v>
      </c>
      <c r="Y2458">
        <v>-1.1820809999999999E-2</v>
      </c>
      <c r="Z2458">
        <v>-1.1371789999999899E-3</v>
      </c>
      <c r="AA2458">
        <v>0.99992950000000003</v>
      </c>
      <c r="AB2458">
        <v>24</v>
      </c>
      <c r="AC2458">
        <v>-31.7498</v>
      </c>
      <c r="AD2458">
        <v>-1.1047551771919</v>
      </c>
      <c r="AE2458">
        <v>0.47779999999994499</v>
      </c>
      <c r="AF2458">
        <v>-0.37709845462751201</v>
      </c>
      <c r="AG2458">
        <v>-1.1047551771919</v>
      </c>
      <c r="AH2458">
        <v>31.712763149003099</v>
      </c>
      <c r="AI2458">
        <v>91.995024931065402</v>
      </c>
      <c r="AJ2458">
        <v>90.681275596988996</v>
      </c>
      <c r="AK2458">
        <v>31.734240715523399</v>
      </c>
    </row>
    <row r="2459" spans="1:37" x14ac:dyDescent="0.2">
      <c r="A2459" t="str">
        <f>"20200111155546360"</f>
        <v>20200111155546360</v>
      </c>
      <c r="B2459" t="str">
        <f>"1578729346355140"</f>
        <v>1578729346355140</v>
      </c>
      <c r="C2459" t="s">
        <v>37</v>
      </c>
      <c r="D2459">
        <v>4.748329</v>
      </c>
      <c r="E2459">
        <v>0.52118319999999996</v>
      </c>
      <c r="F2459" t="s">
        <v>59</v>
      </c>
      <c r="G2459">
        <v>-352.07769999999999</v>
      </c>
      <c r="H2459" s="1">
        <v>-4.3116439999999998E-7</v>
      </c>
      <c r="I2459">
        <v>285.33159999999998</v>
      </c>
      <c r="J2459">
        <v>-320.95870000000002</v>
      </c>
      <c r="K2459">
        <v>1.104778</v>
      </c>
      <c r="L2459">
        <v>284.87959999999998</v>
      </c>
      <c r="M2459">
        <v>-0.99960099999999996</v>
      </c>
      <c r="N2459">
        <v>0</v>
      </c>
      <c r="O2459">
        <v>2.661823E-2</v>
      </c>
      <c r="P2459">
        <v>-0.99885879999999905</v>
      </c>
      <c r="Q2459">
        <v>2.8820450000000001E-2</v>
      </c>
      <c r="R2459">
        <v>-3.8087540000000003E-2</v>
      </c>
      <c r="S2459">
        <v>-3.00827</v>
      </c>
      <c r="T2459">
        <v>-0.1062723</v>
      </c>
      <c r="U2459">
        <v>4.3853759999999999E-2</v>
      </c>
      <c r="V2459">
        <v>-6.4690810000000001E-2</v>
      </c>
      <c r="W2459">
        <v>3.8208539999999999E-2</v>
      </c>
      <c r="X2459">
        <v>0.99717359999999899</v>
      </c>
      <c r="Y2459">
        <v>-1.2021469999999999E-2</v>
      </c>
      <c r="Z2459">
        <v>-1.152166E-3</v>
      </c>
      <c r="AA2459">
        <v>0.99992709999999996</v>
      </c>
      <c r="AB2459">
        <v>24</v>
      </c>
      <c r="AC2459">
        <v>-31.1189999999999</v>
      </c>
      <c r="AD2459">
        <v>-1.10477843116439</v>
      </c>
      <c r="AE2459">
        <v>0.45199999999999801</v>
      </c>
      <c r="AF2459">
        <v>-0.37605599094237702</v>
      </c>
      <c r="AG2459">
        <v>-1.10477843116439</v>
      </c>
      <c r="AH2459">
        <v>31.080839473926702</v>
      </c>
      <c r="AI2459">
        <v>92.035590958898197</v>
      </c>
      <c r="AJ2459">
        <v>90.693204243688598</v>
      </c>
      <c r="AK2459">
        <v>31.1027416137917</v>
      </c>
    </row>
    <row r="2460" spans="1:37" x14ac:dyDescent="0.2">
      <c r="A2460" t="str">
        <f>"20200111155546372"</f>
        <v>20200111155546372</v>
      </c>
      <c r="B2460" t="str">
        <f>"1578729346364900"</f>
        <v>1578729346364900</v>
      </c>
      <c r="C2460" t="s">
        <v>37</v>
      </c>
      <c r="D2460">
        <v>4.7834269999999997</v>
      </c>
      <c r="E2460">
        <v>0.52118319999999996</v>
      </c>
      <c r="F2460" t="s">
        <v>59</v>
      </c>
      <c r="G2460">
        <v>-351.89940000000001</v>
      </c>
      <c r="H2460" s="1">
        <v>-5.2602989999999996E-7</v>
      </c>
      <c r="I2460">
        <v>285.34410000000003</v>
      </c>
      <c r="J2460">
        <v>-321.10849999999999</v>
      </c>
      <c r="K2460">
        <v>1.1047990000000001</v>
      </c>
      <c r="L2460">
        <v>284.88330000000002</v>
      </c>
      <c r="M2460">
        <v>-0.99961080000000002</v>
      </c>
      <c r="N2460">
        <v>0</v>
      </c>
      <c r="O2460">
        <v>2.6264699999999998E-2</v>
      </c>
      <c r="P2460">
        <v>-0.99893690000000002</v>
      </c>
      <c r="Q2460">
        <v>2.7054060000000001E-2</v>
      </c>
      <c r="R2460">
        <v>-3.7329759999999997E-2</v>
      </c>
      <c r="S2460">
        <v>-3.0082399999999998</v>
      </c>
      <c r="T2460">
        <v>-0.1074132</v>
      </c>
      <c r="U2460">
        <v>4.5166020000000001E-2</v>
      </c>
      <c r="V2460">
        <v>-6.3584829999999995E-2</v>
      </c>
      <c r="W2460">
        <v>3.6391630000000001E-2</v>
      </c>
      <c r="X2460">
        <v>0.99731270000000005</v>
      </c>
      <c r="Y2460">
        <v>-1.123178E-2</v>
      </c>
      <c r="Z2460">
        <v>-1.1378269999999999E-3</v>
      </c>
      <c r="AA2460">
        <v>0.9999363</v>
      </c>
      <c r="AB2460">
        <v>24</v>
      </c>
      <c r="AC2460">
        <v>-30.790900000000001</v>
      </c>
      <c r="AD2460">
        <v>-1.1047995260298999</v>
      </c>
      <c r="AE2460">
        <v>0.46080000000000598</v>
      </c>
      <c r="AF2460">
        <v>-0.34766099627380098</v>
      </c>
      <c r="AG2460">
        <v>-1.1047995260298999</v>
      </c>
      <c r="AH2460">
        <v>30.752797147431199</v>
      </c>
      <c r="AI2460">
        <v>92.057344547316504</v>
      </c>
      <c r="AJ2460">
        <v>90.647702359015</v>
      </c>
      <c r="AK2460">
        <v>30.7745996326857</v>
      </c>
    </row>
    <row r="2461" spans="1:37" x14ac:dyDescent="0.2">
      <c r="A2461" t="str">
        <f>"20200111155546389"</f>
        <v>20200111155546389</v>
      </c>
      <c r="B2461" t="str">
        <f>"1578729346384419"</f>
        <v>1578729346384419</v>
      </c>
      <c r="C2461" t="s">
        <v>37</v>
      </c>
      <c r="D2461">
        <v>4.7719719999999999</v>
      </c>
      <c r="E2461">
        <v>0.53818330000000003</v>
      </c>
      <c r="F2461" t="s">
        <v>59</v>
      </c>
      <c r="G2461">
        <v>-350.5702</v>
      </c>
      <c r="H2461" s="1">
        <v>-1.2333839999999999E-6</v>
      </c>
      <c r="I2461">
        <v>285.34589999999997</v>
      </c>
      <c r="J2461">
        <v>-321.2697</v>
      </c>
      <c r="K2461">
        <v>1.1048180000000001</v>
      </c>
      <c r="L2461">
        <v>284.88709999999998</v>
      </c>
      <c r="M2461">
        <v>-0.99962199999999901</v>
      </c>
      <c r="N2461">
        <v>0</v>
      </c>
      <c r="O2461">
        <v>2.5853109999999999E-2</v>
      </c>
      <c r="P2461">
        <v>-0.99895750000000005</v>
      </c>
      <c r="Q2461">
        <v>2.6677780000000002E-2</v>
      </c>
      <c r="R2461">
        <v>-3.7044210000000001E-2</v>
      </c>
      <c r="S2461">
        <v>-3.008057</v>
      </c>
      <c r="T2461">
        <v>-0.11280080000000001</v>
      </c>
      <c r="U2461">
        <v>4.7241209999999999E-2</v>
      </c>
      <c r="V2461">
        <v>-6.289198E-2</v>
      </c>
      <c r="W2461">
        <v>3.5949420000000003E-2</v>
      </c>
      <c r="X2461">
        <v>0.997372699999999</v>
      </c>
      <c r="Y2461">
        <v>-1.0128069999999999E-2</v>
      </c>
      <c r="Z2461">
        <v>-1.1588130000000001E-3</v>
      </c>
      <c r="AA2461">
        <v>0.99994799999999995</v>
      </c>
      <c r="AB2461">
        <v>24</v>
      </c>
      <c r="AC2461">
        <v>-29.3005</v>
      </c>
      <c r="AD2461">
        <v>-1.1048192333839999</v>
      </c>
      <c r="AE2461">
        <v>0.45879999999999599</v>
      </c>
      <c r="AF2461">
        <v>-0.29847129252745602</v>
      </c>
      <c r="AG2461">
        <v>-1.1048192333839999</v>
      </c>
      <c r="AH2461">
        <v>29.260974979650999</v>
      </c>
      <c r="AI2461">
        <v>92.162201887716805</v>
      </c>
      <c r="AJ2461">
        <v>90.584414986571105</v>
      </c>
      <c r="AK2461">
        <v>29.283346246811998</v>
      </c>
    </row>
    <row r="2462" spans="1:37" x14ac:dyDescent="0.2">
      <c r="A2462" t="str">
        <f>"20200111155546406"</f>
        <v>20200111155546406</v>
      </c>
      <c r="B2462" t="str">
        <f>"1578729346395156"</f>
        <v>1578729346395156</v>
      </c>
      <c r="C2462" t="s">
        <v>37</v>
      </c>
      <c r="D2462">
        <v>4.7786839999999904</v>
      </c>
      <c r="E2462">
        <v>0.53858039999999996</v>
      </c>
      <c r="F2462" t="s">
        <v>59</v>
      </c>
      <c r="G2462">
        <v>-358.39159999999998</v>
      </c>
      <c r="H2462" s="1">
        <v>2.928813E-6</v>
      </c>
      <c r="I2462">
        <v>287.1653</v>
      </c>
      <c r="J2462">
        <v>-321.45690000000002</v>
      </c>
      <c r="K2462">
        <v>1.104841</v>
      </c>
      <c r="L2462">
        <v>284.89139999999998</v>
      </c>
      <c r="M2462">
        <v>-0.99963639999999998</v>
      </c>
      <c r="N2462">
        <v>0</v>
      </c>
      <c r="O2462">
        <v>2.533258E-2</v>
      </c>
      <c r="P2462">
        <v>-0.99896989999999997</v>
      </c>
      <c r="Q2462">
        <v>2.707501E-2</v>
      </c>
      <c r="R2462">
        <v>-3.6414530000000001E-2</v>
      </c>
      <c r="S2462">
        <v>-3.0124209999999998</v>
      </c>
      <c r="T2462">
        <v>-8.9654919999999999E-2</v>
      </c>
      <c r="U2462">
        <v>0.1848755</v>
      </c>
      <c r="V2462">
        <v>-6.1747030000000001E-2</v>
      </c>
      <c r="W2462">
        <v>3.6246760000000003E-2</v>
      </c>
      <c r="X2462">
        <v>0.99743340000000003</v>
      </c>
      <c r="Y2462">
        <v>3.5945400000000002E-2</v>
      </c>
      <c r="Z2462">
        <v>-2.1861450000000001E-4</v>
      </c>
      <c r="AA2462">
        <v>0.99935370000000001</v>
      </c>
      <c r="AB2462">
        <v>24</v>
      </c>
      <c r="AC2462">
        <v>-36.9346999999999</v>
      </c>
      <c r="AD2462">
        <v>-1.1048380711870001</v>
      </c>
      <c r="AE2462">
        <v>2.2739000000000198</v>
      </c>
      <c r="AF2462">
        <v>1.3362878297626399</v>
      </c>
      <c r="AG2462">
        <v>-1.1048380711870001</v>
      </c>
      <c r="AH2462">
        <v>36.947516105081696</v>
      </c>
      <c r="AI2462">
        <v>91.711681401580705</v>
      </c>
      <c r="AJ2462">
        <v>87.928675492252196</v>
      </c>
      <c r="AK2462">
        <v>36.988177552601698</v>
      </c>
    </row>
    <row r="2463" spans="1:37" x14ac:dyDescent="0.2">
      <c r="A2463" t="str">
        <f>"20200111155546429"</f>
        <v>20200111155546429</v>
      </c>
      <c r="B2463" t="str">
        <f>"1578729346424435"</f>
        <v>1578729346424435</v>
      </c>
      <c r="C2463" t="s">
        <v>37</v>
      </c>
      <c r="D2463">
        <v>4.7509329999999999</v>
      </c>
      <c r="E2463">
        <v>0.53939799999999904</v>
      </c>
      <c r="F2463" t="s">
        <v>59</v>
      </c>
      <c r="G2463">
        <v>-357.81400000000002</v>
      </c>
      <c r="H2463" s="1">
        <v>2.6214349999999999E-6</v>
      </c>
      <c r="I2463">
        <v>287.18220000000002</v>
      </c>
      <c r="J2463">
        <v>-321.69510000000002</v>
      </c>
      <c r="K2463">
        <v>1.104854</v>
      </c>
      <c r="L2463">
        <v>284.89659999999998</v>
      </c>
      <c r="M2463">
        <v>-0.99965609999999905</v>
      </c>
      <c r="N2463">
        <v>0</v>
      </c>
      <c r="O2463">
        <v>2.4604979999999999E-2</v>
      </c>
      <c r="P2463">
        <v>-0.99899660000000001</v>
      </c>
      <c r="Q2463">
        <v>2.806877E-2</v>
      </c>
      <c r="R2463">
        <v>-3.490422E-2</v>
      </c>
      <c r="S2463">
        <v>-3.0125120000000001</v>
      </c>
      <c r="T2463">
        <v>-9.154582E-2</v>
      </c>
      <c r="U2463">
        <v>0.1898193</v>
      </c>
      <c r="V2463">
        <v>-5.9516369999999999E-2</v>
      </c>
      <c r="W2463">
        <v>3.7062089999999999E-2</v>
      </c>
      <c r="X2463">
        <v>0.99753910000000001</v>
      </c>
      <c r="Y2463">
        <v>3.830298E-2</v>
      </c>
      <c r="Z2463">
        <v>-1.6535089999999999E-4</v>
      </c>
      <c r="AA2463">
        <v>0.99926610000000005</v>
      </c>
      <c r="AB2463">
        <v>24</v>
      </c>
      <c r="AC2463">
        <v>-36.118899999999996</v>
      </c>
      <c r="AD2463">
        <v>-1.104851378565</v>
      </c>
      <c r="AE2463">
        <v>2.28560000000004</v>
      </c>
      <c r="AF2463">
        <v>1.39486662985454</v>
      </c>
      <c r="AG2463">
        <v>-1.104851378565</v>
      </c>
      <c r="AH2463">
        <v>36.130530957187503</v>
      </c>
      <c r="AI2463">
        <v>91.750223985098401</v>
      </c>
      <c r="AJ2463">
        <v>87.789119098975206</v>
      </c>
      <c r="AK2463">
        <v>36.174322616077902</v>
      </c>
    </row>
    <row r="2464" spans="1:37" x14ac:dyDescent="0.2">
      <c r="A2464" t="str">
        <f>"20200111155546450"</f>
        <v>20200111155546450</v>
      </c>
      <c r="B2464" t="str">
        <f>"1578729346444932"</f>
        <v>1578729346444932</v>
      </c>
      <c r="C2464" t="s">
        <v>37</v>
      </c>
      <c r="D2464">
        <v>4.7991149999999996</v>
      </c>
      <c r="E2464">
        <v>0.53946099999999997</v>
      </c>
      <c r="F2464" t="s">
        <v>59</v>
      </c>
      <c r="G2464">
        <v>-361.27620000000002</v>
      </c>
      <c r="H2464" s="1">
        <v>-8.5767069999999902E-7</v>
      </c>
      <c r="I2464">
        <v>287.53989999999999</v>
      </c>
      <c r="J2464">
        <v>-321.9282</v>
      </c>
      <c r="K2464">
        <v>1.1048450000000001</v>
      </c>
      <c r="L2464">
        <v>284.90159999999997</v>
      </c>
      <c r="M2464">
        <v>-0.99967659999999903</v>
      </c>
      <c r="N2464">
        <v>0</v>
      </c>
      <c r="O2464">
        <v>2.3836960000000001E-2</v>
      </c>
      <c r="P2464">
        <v>-0.99906039999999996</v>
      </c>
      <c r="Q2464">
        <v>2.783132E-2</v>
      </c>
      <c r="R2464">
        <v>-3.32229E-2</v>
      </c>
      <c r="S2464">
        <v>-3.0123899999999999</v>
      </c>
      <c r="T2464">
        <v>-8.4087010000000004E-2</v>
      </c>
      <c r="U2464">
        <v>0.20117189999999999</v>
      </c>
      <c r="V2464">
        <v>-5.707367E-2</v>
      </c>
      <c r="W2464">
        <v>3.6600340000000002E-2</v>
      </c>
      <c r="X2464">
        <v>0.9976988</v>
      </c>
      <c r="Y2464">
        <v>4.2821860000000003E-2</v>
      </c>
      <c r="Z2464" s="1">
        <v>-6.7477930000000002E-5</v>
      </c>
      <c r="AA2464">
        <v>0.99908269999999899</v>
      </c>
      <c r="AB2464">
        <v>24</v>
      </c>
      <c r="AC2464">
        <v>-39.347999999999999</v>
      </c>
      <c r="AD2464">
        <v>-1.1048458576707001</v>
      </c>
      <c r="AE2464">
        <v>2.6383000000000099</v>
      </c>
      <c r="AF2464">
        <v>1.6982438387861301</v>
      </c>
      <c r="AG2464">
        <v>-1.1048458576707001</v>
      </c>
      <c r="AH2464">
        <v>39.3688100064888</v>
      </c>
      <c r="AI2464">
        <v>91.606033440477304</v>
      </c>
      <c r="AJ2464">
        <v>87.529975656122005</v>
      </c>
      <c r="AK2464">
        <v>39.420907115795799</v>
      </c>
    </row>
    <row r="2465" spans="1:37" x14ac:dyDescent="0.2">
      <c r="A2465" t="str">
        <f>"20200111155546465"</f>
        <v>20200111155546465</v>
      </c>
      <c r="B2465" t="str">
        <f>"1578729346454692"</f>
        <v>1578729346454692</v>
      </c>
      <c r="C2465" t="s">
        <v>37</v>
      </c>
      <c r="D2465">
        <v>4.836392</v>
      </c>
      <c r="E2465">
        <v>0.53962209999999999</v>
      </c>
      <c r="F2465" t="s">
        <v>59</v>
      </c>
      <c r="G2465">
        <v>-361.84629999999999</v>
      </c>
      <c r="H2465" s="1">
        <v>-5.5425459999999999E-7</v>
      </c>
      <c r="I2465">
        <v>287.64299999999997</v>
      </c>
      <c r="J2465">
        <v>-322.08449999999999</v>
      </c>
      <c r="K2465">
        <v>1.1048279999999999</v>
      </c>
      <c r="L2465">
        <v>284.90480000000002</v>
      </c>
      <c r="M2465">
        <v>-0.999691</v>
      </c>
      <c r="N2465">
        <v>0</v>
      </c>
      <c r="O2465">
        <v>2.329875E-2</v>
      </c>
      <c r="P2465">
        <v>-0.99907449999999998</v>
      </c>
      <c r="Q2465">
        <v>2.7887060000000002E-2</v>
      </c>
      <c r="R2465">
        <v>-3.2752120000000003E-2</v>
      </c>
      <c r="S2465">
        <v>-3.0119929999999999</v>
      </c>
      <c r="T2465">
        <v>-8.3365199999999903E-2</v>
      </c>
      <c r="U2465">
        <v>0.20684810000000001</v>
      </c>
      <c r="V2465">
        <v>-5.6067239999999997E-2</v>
      </c>
      <c r="W2465">
        <v>3.6477410000000002E-2</v>
      </c>
      <c r="X2465">
        <v>0.99776039999999899</v>
      </c>
      <c r="Y2465">
        <v>4.5241629999999998E-2</v>
      </c>
      <c r="Z2465" s="1">
        <v>-1.8590070000000001E-5</v>
      </c>
      <c r="AA2465">
        <v>0.99897610000000003</v>
      </c>
      <c r="AB2465">
        <v>24</v>
      </c>
      <c r="AC2465">
        <v>-39.761800000000001</v>
      </c>
      <c r="AD2465">
        <v>-1.1048285542545999</v>
      </c>
      <c r="AE2465">
        <v>2.73819999999994</v>
      </c>
      <c r="AF2465">
        <v>1.8096310684008801</v>
      </c>
      <c r="AG2465">
        <v>-1.1048285542545999</v>
      </c>
      <c r="AH2465">
        <v>39.784233468323301</v>
      </c>
      <c r="AI2465">
        <v>91.5890821211201</v>
      </c>
      <c r="AJ2465">
        <v>87.395631506715702</v>
      </c>
      <c r="AK2465">
        <v>39.840690799734801</v>
      </c>
    </row>
    <row r="2466" spans="1:37" x14ac:dyDescent="0.2">
      <c r="A2466" t="str">
        <f>"20200111155546479"</f>
        <v>20200111155546479</v>
      </c>
      <c r="B2466" t="str">
        <f>"1578729346475187"</f>
        <v>1578729346475187</v>
      </c>
      <c r="C2466" t="s">
        <v>37</v>
      </c>
      <c r="D2466">
        <v>4.751385</v>
      </c>
      <c r="E2466">
        <v>0.53963899999999998</v>
      </c>
      <c r="F2466" t="s">
        <v>59</v>
      </c>
      <c r="G2466">
        <v>-363.1678</v>
      </c>
      <c r="H2466" s="1">
        <v>1.4898700000000001E-7</v>
      </c>
      <c r="I2466">
        <v>287.76710000000003</v>
      </c>
      <c r="J2466">
        <v>-322.23579999999998</v>
      </c>
      <c r="K2466">
        <v>1.104808</v>
      </c>
      <c r="L2466">
        <v>284.90780000000001</v>
      </c>
      <c r="M2466">
        <v>-0.999704699999999</v>
      </c>
      <c r="N2466">
        <v>0</v>
      </c>
      <c r="O2466">
        <v>2.276661E-2</v>
      </c>
      <c r="P2466">
        <v>-0.99906649999999997</v>
      </c>
      <c r="Q2466">
        <v>2.860385E-2</v>
      </c>
      <c r="R2466">
        <v>-3.2369210000000002E-2</v>
      </c>
      <c r="S2466">
        <v>-3.0119020000000001</v>
      </c>
      <c r="T2466">
        <v>-8.0997109999999997E-2</v>
      </c>
      <c r="U2466">
        <v>0.20983889999999999</v>
      </c>
      <c r="V2466">
        <v>-5.5155530000000001E-2</v>
      </c>
      <c r="W2466">
        <v>3.7002050000000002E-2</v>
      </c>
      <c r="X2466">
        <v>0.99779189999999995</v>
      </c>
      <c r="Y2466">
        <v>4.6762400000000003E-2</v>
      </c>
      <c r="Z2466" s="1">
        <v>1.6643319999999998E-5</v>
      </c>
      <c r="AA2466">
        <v>0.99890599999999996</v>
      </c>
      <c r="AB2466">
        <v>24</v>
      </c>
      <c r="AC2466">
        <v>-40.932000000000002</v>
      </c>
      <c r="AD2466">
        <v>-1.1048078510129999</v>
      </c>
      <c r="AE2466">
        <v>2.8593000000000099</v>
      </c>
      <c r="AF2466">
        <v>1.92524652646947</v>
      </c>
      <c r="AG2466">
        <v>-1.1048078510129999</v>
      </c>
      <c r="AH2466">
        <v>40.956795501373698</v>
      </c>
      <c r="AI2466">
        <v>91.543473064295995</v>
      </c>
      <c r="AJ2466">
        <v>87.308691769685893</v>
      </c>
      <c r="AK2466">
        <v>41.016902275972598</v>
      </c>
    </row>
    <row r="2467" spans="1:37" x14ac:dyDescent="0.2">
      <c r="A2467" t="str">
        <f>"20200111155546495"</f>
        <v>20200111155546495</v>
      </c>
      <c r="B2467" t="str">
        <f>"1578729346484948"</f>
        <v>1578729346484948</v>
      </c>
      <c r="C2467" t="s">
        <v>37</v>
      </c>
      <c r="D2467">
        <v>4.8031550000000003</v>
      </c>
      <c r="E2467">
        <v>0.53965779999999997</v>
      </c>
      <c r="F2467" t="s">
        <v>59</v>
      </c>
      <c r="G2467">
        <v>-365.3295</v>
      </c>
      <c r="H2467" s="1">
        <v>1.299317E-6</v>
      </c>
      <c r="I2467">
        <v>287.92680000000001</v>
      </c>
      <c r="J2467">
        <v>-322.41829999999999</v>
      </c>
      <c r="K2467">
        <v>1.1047769999999999</v>
      </c>
      <c r="L2467">
        <v>284.91129999999998</v>
      </c>
      <c r="M2467">
        <v>-0.99972179999999999</v>
      </c>
      <c r="N2467">
        <v>0</v>
      </c>
      <c r="O2467">
        <v>2.2111459999999999E-2</v>
      </c>
      <c r="P2467">
        <v>-0.99903580000000003</v>
      </c>
      <c r="Q2467">
        <v>2.9889200000000001E-2</v>
      </c>
      <c r="R2467">
        <v>-3.2157709999999999E-2</v>
      </c>
      <c r="S2467">
        <v>-3.011841</v>
      </c>
      <c r="T2467">
        <v>-7.7215549999999994E-2</v>
      </c>
      <c r="U2467">
        <v>0.21099850000000001</v>
      </c>
      <c r="V2467">
        <v>-5.4291329999999999E-2</v>
      </c>
      <c r="W2467">
        <v>3.8015090000000001E-2</v>
      </c>
      <c r="X2467">
        <v>0.99780119999999894</v>
      </c>
      <c r="Y2467">
        <v>4.7801429999999999E-2</v>
      </c>
      <c r="Z2467" s="1">
        <v>4.5933000000000002E-5</v>
      </c>
      <c r="AA2467">
        <v>0.99885679999999999</v>
      </c>
      <c r="AB2467">
        <v>24</v>
      </c>
      <c r="AC2467">
        <v>-42.911200000000001</v>
      </c>
      <c r="AD2467">
        <v>-1.1047757006829999</v>
      </c>
      <c r="AE2467">
        <v>3.01550000000003</v>
      </c>
      <c r="AF2467">
        <v>2.06453970453942</v>
      </c>
      <c r="AG2467">
        <v>-1.1047757006829999</v>
      </c>
      <c r="AH2467">
        <v>42.9390656138319</v>
      </c>
      <c r="AI2467">
        <v>91.472133386953004</v>
      </c>
      <c r="AJ2467">
        <v>87.247299532454093</v>
      </c>
      <c r="AK2467">
        <v>43.002862803880902</v>
      </c>
    </row>
    <row r="2468" spans="1:37" x14ac:dyDescent="0.2">
      <c r="A2468" t="str">
        <f>"20200111155546518"</f>
        <v>20200111155546518</v>
      </c>
      <c r="B2468" t="str">
        <f>"1578729346515205"</f>
        <v>1578729346515205</v>
      </c>
      <c r="C2468" t="s">
        <v>37</v>
      </c>
      <c r="D2468">
        <v>4.7682690000000001</v>
      </c>
      <c r="E2468">
        <v>0.53941709999999998</v>
      </c>
      <c r="F2468" t="s">
        <v>59</v>
      </c>
      <c r="G2468">
        <v>-367.66660000000002</v>
      </c>
      <c r="H2468" s="1">
        <v>2.5429799999999999E-6</v>
      </c>
      <c r="I2468">
        <v>288.0908</v>
      </c>
      <c r="J2468">
        <v>-322.6551</v>
      </c>
      <c r="K2468">
        <v>1.1047129999999901</v>
      </c>
      <c r="L2468">
        <v>284.91570000000002</v>
      </c>
      <c r="M2468">
        <v>-0.99974359999999995</v>
      </c>
      <c r="N2468">
        <v>0</v>
      </c>
      <c r="O2468">
        <v>2.125463E-2</v>
      </c>
      <c r="P2468">
        <v>-0.99899179999999999</v>
      </c>
      <c r="Q2468">
        <v>3.0580099999999999E-2</v>
      </c>
      <c r="R2468">
        <v>-3.2870070000000001E-2</v>
      </c>
      <c r="S2468">
        <v>-3.0119319999999998</v>
      </c>
      <c r="T2468">
        <v>-7.3538779999999998E-2</v>
      </c>
      <c r="U2468">
        <v>0.21163939999999901</v>
      </c>
      <c r="V2468">
        <v>-5.4148439999999999E-2</v>
      </c>
      <c r="W2468">
        <v>3.8314800000000003E-2</v>
      </c>
      <c r="X2468">
        <v>0.9977975</v>
      </c>
      <c r="Y2468">
        <v>4.8867130000000002E-2</v>
      </c>
      <c r="Z2468" s="1">
        <v>7.7619160000000001E-5</v>
      </c>
      <c r="AA2468">
        <v>0.99880530000000001</v>
      </c>
      <c r="AB2468">
        <v>24</v>
      </c>
      <c r="AC2468">
        <v>-45.011499999999998</v>
      </c>
      <c r="AD2468">
        <v>-1.1047104570199999</v>
      </c>
      <c r="AE2468">
        <v>3.17509999999998</v>
      </c>
      <c r="AF2468">
        <v>2.2163223426638199</v>
      </c>
      <c r="AG2468">
        <v>-1.1047104570199999</v>
      </c>
      <c r="AH2468">
        <v>45.041822007738403</v>
      </c>
      <c r="AI2468">
        <v>91.403276243363706</v>
      </c>
      <c r="AJ2468">
        <v>87.1829830061682</v>
      </c>
      <c r="AK2468">
        <v>45.109845928546697</v>
      </c>
    </row>
    <row r="2469" spans="1:37" x14ac:dyDescent="0.2">
      <c r="A2469" t="str">
        <f>"20200111155546532"</f>
        <v>20200111155546532</v>
      </c>
      <c r="B2469" t="str">
        <f>"1578729346524964"</f>
        <v>1578729346524964</v>
      </c>
      <c r="C2469" t="s">
        <v>37</v>
      </c>
      <c r="D2469">
        <v>4.898409</v>
      </c>
      <c r="E2469">
        <v>0.53940790000000005</v>
      </c>
      <c r="F2469" t="s">
        <v>59</v>
      </c>
      <c r="G2469">
        <v>-369.69830000000002</v>
      </c>
      <c r="H2469" s="1">
        <v>3.6241460000000002E-6</v>
      </c>
      <c r="I2469">
        <v>288.15679999999998</v>
      </c>
      <c r="J2469">
        <v>-322.81880000000001</v>
      </c>
      <c r="K2469">
        <v>1.1046579999999999</v>
      </c>
      <c r="L2469">
        <v>284.91849999999999</v>
      </c>
      <c r="M2469">
        <v>-0.99975820000000004</v>
      </c>
      <c r="N2469">
        <v>0</v>
      </c>
      <c r="O2469">
        <v>2.0662360000000001E-2</v>
      </c>
      <c r="P2469">
        <v>-0.99897250000000004</v>
      </c>
      <c r="Q2469">
        <v>3.0090229999999999E-2</v>
      </c>
      <c r="R2469">
        <v>-3.3889219999999998E-2</v>
      </c>
      <c r="S2469">
        <v>-3.012054</v>
      </c>
      <c r="T2469">
        <v>-7.0731760000000005E-2</v>
      </c>
      <c r="U2469">
        <v>0.2075195</v>
      </c>
      <c r="V2469">
        <v>-5.4574490000000003E-2</v>
      </c>
      <c r="W2469">
        <v>3.7519530000000002E-2</v>
      </c>
      <c r="X2469">
        <v>0.99780449999999998</v>
      </c>
      <c r="Y2469">
        <v>4.8097130000000002E-2</v>
      </c>
      <c r="Z2469" s="1">
        <v>7.9511169999999895E-5</v>
      </c>
      <c r="AA2469">
        <v>0.99884269999999997</v>
      </c>
      <c r="AB2469">
        <v>24</v>
      </c>
      <c r="AC2469">
        <v>-46.8795</v>
      </c>
      <c r="AD2469">
        <v>-1.1046543758539999</v>
      </c>
      <c r="AE2469">
        <v>3.2382999999999802</v>
      </c>
      <c r="AF2469">
        <v>2.2676869461574301</v>
      </c>
      <c r="AG2469">
        <v>-1.1046543758539999</v>
      </c>
      <c r="AH2469">
        <v>46.910480726314397</v>
      </c>
      <c r="AI2469">
        <v>91.347386696073201</v>
      </c>
      <c r="AJ2469">
        <v>87.232434546747797</v>
      </c>
      <c r="AK2469">
        <v>46.978248874875902</v>
      </c>
    </row>
    <row r="2470" spans="1:37" x14ac:dyDescent="0.2">
      <c r="A2470" t="str">
        <f>"20200111155546551"</f>
        <v>20200111155546551</v>
      </c>
      <c r="B2470" t="str">
        <f>"1578729346544484"</f>
        <v>1578729346544484</v>
      </c>
      <c r="C2470" t="s">
        <v>37</v>
      </c>
      <c r="D2470">
        <v>4.80471</v>
      </c>
      <c r="E2470">
        <v>0.539296</v>
      </c>
      <c r="F2470" t="s">
        <v>59</v>
      </c>
      <c r="G2470">
        <v>-368.84070000000003</v>
      </c>
      <c r="H2470" s="1">
        <v>3.1677810000000001E-6</v>
      </c>
      <c r="I2470">
        <v>288.03829999999999</v>
      </c>
      <c r="J2470">
        <v>-323.0197</v>
      </c>
      <c r="K2470">
        <v>1.104581</v>
      </c>
      <c r="L2470">
        <v>284.92189999999999</v>
      </c>
      <c r="M2470">
        <v>-0.999776</v>
      </c>
      <c r="N2470">
        <v>0</v>
      </c>
      <c r="O2470">
        <v>1.993791E-2</v>
      </c>
      <c r="P2470">
        <v>-0.99897760000000002</v>
      </c>
      <c r="Q2470">
        <v>2.8750169999999999E-2</v>
      </c>
      <c r="R2470">
        <v>-3.4890749999999998E-2</v>
      </c>
      <c r="S2470">
        <v>-3.0122070000000001</v>
      </c>
      <c r="T2470">
        <v>-7.2301389999999993E-2</v>
      </c>
      <c r="U2470">
        <v>0.20419309999999999</v>
      </c>
      <c r="V2470">
        <v>-5.4850610000000001E-2</v>
      </c>
      <c r="W2470">
        <v>3.5777870000000003E-2</v>
      </c>
      <c r="X2470">
        <v>0.9978534</v>
      </c>
      <c r="Y2470">
        <v>4.7719150000000002E-2</v>
      </c>
      <c r="Z2470" s="1">
        <v>9.4101739999999997E-5</v>
      </c>
      <c r="AA2470">
        <v>0.99886079999999999</v>
      </c>
      <c r="AB2470">
        <v>24</v>
      </c>
      <c r="AC2470">
        <v>-45.820999999999998</v>
      </c>
      <c r="AD2470">
        <v>-1.1045778322190001</v>
      </c>
      <c r="AE2470">
        <v>3.1163999999999898</v>
      </c>
      <c r="AF2470">
        <v>2.2009093838265299</v>
      </c>
      <c r="AG2470">
        <v>-1.1045778322190001</v>
      </c>
      <c r="AH2470">
        <v>45.847507228773303</v>
      </c>
      <c r="AI2470">
        <v>91.3785406544295</v>
      </c>
      <c r="AJ2470">
        <v>87.251626249874406</v>
      </c>
      <c r="AK2470">
        <v>45.9135929044511</v>
      </c>
    </row>
    <row r="2471" spans="1:37" x14ac:dyDescent="0.2">
      <c r="A2471" t="str">
        <f>"20200111155546565"</f>
        <v>20200111155546565</v>
      </c>
      <c r="B2471" t="str">
        <f>"1578729346555219"</f>
        <v>1578729346555219</v>
      </c>
      <c r="C2471" t="s">
        <v>37</v>
      </c>
      <c r="D2471">
        <v>4.758019</v>
      </c>
      <c r="E2471">
        <v>0.53923769999999904</v>
      </c>
      <c r="F2471" t="s">
        <v>59</v>
      </c>
      <c r="G2471">
        <v>-366.12040000000002</v>
      </c>
      <c r="H2471" s="1">
        <v>1.720183E-6</v>
      </c>
      <c r="I2471">
        <v>287.78469999999999</v>
      </c>
      <c r="J2471">
        <v>-323.1848</v>
      </c>
      <c r="K2471">
        <v>1.1045290000000001</v>
      </c>
      <c r="L2471">
        <v>284.92469999999997</v>
      </c>
      <c r="M2471">
        <v>-0.99979010000000001</v>
      </c>
      <c r="N2471">
        <v>0</v>
      </c>
      <c r="O2471">
        <v>1.9347039999999999E-2</v>
      </c>
      <c r="P2471">
        <v>-0.99895400000000001</v>
      </c>
      <c r="Q2471">
        <v>2.8829279999999999E-2</v>
      </c>
      <c r="R2471">
        <v>-3.5503569999999998E-2</v>
      </c>
      <c r="S2471">
        <v>-3.0122070000000001</v>
      </c>
      <c r="T2471">
        <v>-7.7196360000000006E-2</v>
      </c>
      <c r="U2471">
        <v>0.20007320000000001</v>
      </c>
      <c r="V2471">
        <v>-5.4872549999999999E-2</v>
      </c>
      <c r="W2471">
        <v>3.5510060000000003E-2</v>
      </c>
      <c r="X2471">
        <v>0.99786169999999996</v>
      </c>
      <c r="Y2471">
        <v>4.6948410000000003E-2</v>
      </c>
      <c r="Z2471">
        <v>1.0572789999999999E-4</v>
      </c>
      <c r="AA2471">
        <v>0.99889729999999999</v>
      </c>
      <c r="AB2471">
        <v>25</v>
      </c>
      <c r="AC2471">
        <v>-42.935600000000001</v>
      </c>
      <c r="AD2471">
        <v>-1.1045272798170001</v>
      </c>
      <c r="AE2471">
        <v>2.8600000000000101</v>
      </c>
      <c r="AF2471">
        <v>2.02743321700616</v>
      </c>
      <c r="AG2471">
        <v>-1.1045272798170001</v>
      </c>
      <c r="AH2471">
        <v>42.954595914408202</v>
      </c>
      <c r="AI2471">
        <v>91.471332210290598</v>
      </c>
      <c r="AJ2471">
        <v>87.29767637706</v>
      </c>
      <c r="AK2471">
        <v>43.016598844299303</v>
      </c>
    </row>
    <row r="2472" spans="1:37" x14ac:dyDescent="0.2">
      <c r="A2472" t="str">
        <f>"20200111155546579"</f>
        <v>20200111155546579</v>
      </c>
      <c r="B2472" t="str">
        <f>"1578729346574740"</f>
        <v>1578729346574740</v>
      </c>
      <c r="C2472" t="s">
        <v>37</v>
      </c>
      <c r="D2472">
        <v>4.815124</v>
      </c>
      <c r="E2472">
        <v>0.53902659999999902</v>
      </c>
      <c r="F2472" t="s">
        <v>59</v>
      </c>
      <c r="G2472">
        <v>-366.25209999999998</v>
      </c>
      <c r="H2472" s="1">
        <v>1.790291E-6</v>
      </c>
      <c r="I2472">
        <v>287.75049999999999</v>
      </c>
      <c r="J2472">
        <v>-323.3424</v>
      </c>
      <c r="K2472">
        <v>1.104474</v>
      </c>
      <c r="L2472">
        <v>284.92720000000003</v>
      </c>
      <c r="M2472">
        <v>-0.99980290000000005</v>
      </c>
      <c r="N2472">
        <v>0</v>
      </c>
      <c r="O2472">
        <v>1.8786879999999999E-2</v>
      </c>
      <c r="P2472">
        <v>-0.99891609999999997</v>
      </c>
      <c r="Q2472">
        <v>2.9702349999999999E-2</v>
      </c>
      <c r="R2472">
        <v>-3.5837910000000001E-2</v>
      </c>
      <c r="S2472">
        <v>-3.0124209999999998</v>
      </c>
      <c r="T2472">
        <v>-7.7258110000000005E-2</v>
      </c>
      <c r="U2472">
        <v>0.19766239999999999</v>
      </c>
      <c r="V2472">
        <v>-5.4647389999999997E-2</v>
      </c>
      <c r="W2472">
        <v>3.6044720000000002E-2</v>
      </c>
      <c r="X2472">
        <v>0.99785489999999999</v>
      </c>
      <c r="Y2472">
        <v>4.6707350000000002E-2</v>
      </c>
      <c r="Z2472">
        <v>1.170626E-4</v>
      </c>
      <c r="AA2472">
        <v>0.99890859999999904</v>
      </c>
      <c r="AB2472">
        <v>25</v>
      </c>
      <c r="AC2472">
        <v>-42.909700000000001</v>
      </c>
      <c r="AD2472">
        <v>-1.1044722097090001</v>
      </c>
      <c r="AE2472">
        <v>2.8232999999999602</v>
      </c>
      <c r="AF2472">
        <v>2.0153162696700502</v>
      </c>
      <c r="AG2472">
        <v>-1.1044722097090001</v>
      </c>
      <c r="AH2472">
        <v>42.926851405120203</v>
      </c>
      <c r="AI2472">
        <v>91.472226772301696</v>
      </c>
      <c r="AJ2472">
        <v>87.312069478953603</v>
      </c>
      <c r="AK2472">
        <v>42.988323183000396</v>
      </c>
    </row>
    <row r="2473" spans="1:37" x14ac:dyDescent="0.2">
      <c r="A2473" t="str">
        <f>"20200111155546595"</f>
        <v>20200111155546595</v>
      </c>
      <c r="B2473" t="str">
        <f>"1578729346584500"</f>
        <v>1578729346584500</v>
      </c>
      <c r="C2473" t="s">
        <v>37</v>
      </c>
      <c r="D2473">
        <v>4.7839239999999998</v>
      </c>
      <c r="E2473">
        <v>0.53897779999999995</v>
      </c>
      <c r="F2473" t="s">
        <v>59</v>
      </c>
      <c r="G2473">
        <v>-367.96769999999998</v>
      </c>
      <c r="H2473" s="1">
        <v>2.703222E-6</v>
      </c>
      <c r="I2473">
        <v>287.81279999999998</v>
      </c>
      <c r="J2473">
        <v>-323.5127</v>
      </c>
      <c r="K2473">
        <v>1.1044240000000001</v>
      </c>
      <c r="L2473">
        <v>284.9298</v>
      </c>
      <c r="M2473">
        <v>-0.99981640000000005</v>
      </c>
      <c r="N2473">
        <v>0</v>
      </c>
      <c r="O2473">
        <v>1.8187499999999999E-2</v>
      </c>
      <c r="P2473">
        <v>-0.99889039999999996</v>
      </c>
      <c r="Q2473">
        <v>3.0591449999999999E-2</v>
      </c>
      <c r="R2473">
        <v>-3.581082E-2</v>
      </c>
      <c r="S2473">
        <v>-3.012451</v>
      </c>
      <c r="T2473">
        <v>-7.4557899999999996E-2</v>
      </c>
      <c r="U2473">
        <v>0.19479369999999999</v>
      </c>
      <c r="V2473">
        <v>-5.4022090000000002E-2</v>
      </c>
      <c r="W2473">
        <v>3.6566519999999998E-2</v>
      </c>
      <c r="X2473">
        <v>0.99787000000000003</v>
      </c>
      <c r="Y2473">
        <v>4.6358910000000003E-2</v>
      </c>
      <c r="Z2473">
        <v>1.2347930000000001E-4</v>
      </c>
      <c r="AA2473">
        <v>0.9989249</v>
      </c>
      <c r="AB2473">
        <v>25</v>
      </c>
      <c r="AC2473">
        <v>-44.454999999999899</v>
      </c>
      <c r="AD2473">
        <v>-1.1044212967780001</v>
      </c>
      <c r="AE2473">
        <v>2.88299999999998</v>
      </c>
      <c r="AF2473">
        <v>2.0727091706745799</v>
      </c>
      <c r="AG2473">
        <v>-1.1044212967780001</v>
      </c>
      <c r="AH2473">
        <v>44.472748341951103</v>
      </c>
      <c r="AI2473">
        <v>91.421029885285193</v>
      </c>
      <c r="AJ2473">
        <v>87.331588044483397</v>
      </c>
      <c r="AK2473">
        <v>44.534719206406699</v>
      </c>
    </row>
    <row r="2474" spans="1:37" x14ac:dyDescent="0.2">
      <c r="A2474" t="str">
        <f>"20200111155546609"</f>
        <v>20200111155546609</v>
      </c>
      <c r="B2474" t="str">
        <f>"1578729346604996"</f>
        <v>1578729346604996</v>
      </c>
      <c r="C2474" t="s">
        <v>37</v>
      </c>
      <c r="D2474">
        <v>4.8046089999999904</v>
      </c>
      <c r="E2474">
        <v>0.53884390000000004</v>
      </c>
      <c r="F2474" t="s">
        <v>59</v>
      </c>
      <c r="G2474">
        <v>-369.25729999999999</v>
      </c>
      <c r="H2474" s="1">
        <v>3.3894679999999999E-6</v>
      </c>
      <c r="I2474">
        <v>287.88209999999998</v>
      </c>
      <c r="J2474">
        <v>-323.67720000000003</v>
      </c>
      <c r="K2474">
        <v>1.104374</v>
      </c>
      <c r="L2474">
        <v>284.93220000000002</v>
      </c>
      <c r="M2474">
        <v>-0.99982859999999996</v>
      </c>
      <c r="N2474">
        <v>0</v>
      </c>
      <c r="O2474">
        <v>1.7614069999999999E-2</v>
      </c>
      <c r="P2474">
        <v>-0.99887680000000001</v>
      </c>
      <c r="Q2474">
        <v>3.0755999999999999E-2</v>
      </c>
      <c r="R2474">
        <v>-3.604897E-2</v>
      </c>
      <c r="S2474">
        <v>-3.0125120000000001</v>
      </c>
      <c r="T2474">
        <v>-7.2731729999999994E-2</v>
      </c>
      <c r="U2474">
        <v>0.1944275</v>
      </c>
      <c r="V2474">
        <v>-5.3687470000000001E-2</v>
      </c>
      <c r="W2474">
        <v>3.6382099999999903E-2</v>
      </c>
      <c r="X2474">
        <v>0.99789479999999997</v>
      </c>
      <c r="Y2474">
        <v>4.6809740000000002E-2</v>
      </c>
      <c r="Z2474">
        <v>1.397127E-4</v>
      </c>
      <c r="AA2474">
        <v>0.99890380000000001</v>
      </c>
      <c r="AB2474">
        <v>25</v>
      </c>
      <c r="AC2474">
        <v>-45.580099999999902</v>
      </c>
      <c r="AD2474">
        <v>-1.1043706105319999</v>
      </c>
      <c r="AE2474">
        <v>2.9498999999999498</v>
      </c>
      <c r="AF2474">
        <v>2.1453240425462199</v>
      </c>
      <c r="AG2474">
        <v>-1.1043706105319999</v>
      </c>
      <c r="AH2474">
        <v>45.598331978651899</v>
      </c>
      <c r="AI2474">
        <v>91.385873771297398</v>
      </c>
      <c r="AJ2474">
        <v>87.306317281656902</v>
      </c>
      <c r="AK2474">
        <v>45.662127950066903</v>
      </c>
    </row>
    <row r="2475" spans="1:37" x14ac:dyDescent="0.2">
      <c r="A2475" t="str">
        <f>"20200111155546623"</f>
        <v>20200111155546623</v>
      </c>
      <c r="B2475" t="str">
        <f>"1578729346614756"</f>
        <v>1578729346614756</v>
      </c>
      <c r="C2475" t="s">
        <v>37</v>
      </c>
      <c r="D2475">
        <v>4.8200769999999897</v>
      </c>
      <c r="E2475">
        <v>0.53877189999999997</v>
      </c>
      <c r="F2475" t="s">
        <v>59</v>
      </c>
      <c r="G2475">
        <v>-370.0847</v>
      </c>
      <c r="H2475" s="1">
        <v>-1.491737E-6</v>
      </c>
      <c r="I2475">
        <v>287.89999999999998</v>
      </c>
      <c r="J2475">
        <v>-323.82729999999998</v>
      </c>
      <c r="K2475">
        <v>1.10433</v>
      </c>
      <c r="L2475">
        <v>284.93430000000001</v>
      </c>
      <c r="M2475">
        <v>-0.99983949999999999</v>
      </c>
      <c r="N2475">
        <v>0</v>
      </c>
      <c r="O2475">
        <v>1.7093629999999999E-2</v>
      </c>
      <c r="P2475">
        <v>-0.99886239999999904</v>
      </c>
      <c r="Q2475">
        <v>3.0889590000000001E-2</v>
      </c>
      <c r="R2475">
        <v>-3.6332799999999998E-2</v>
      </c>
      <c r="S2475">
        <v>-3.012543</v>
      </c>
      <c r="T2475">
        <v>-7.169056E-2</v>
      </c>
      <c r="U2475">
        <v>0.19265750000000001</v>
      </c>
      <c r="V2475">
        <v>-5.3451329999999998E-2</v>
      </c>
      <c r="W2475">
        <v>3.6200549999999998E-2</v>
      </c>
      <c r="X2475">
        <v>0.99791409999999903</v>
      </c>
      <c r="Y2475">
        <v>4.6744689999999998E-2</v>
      </c>
      <c r="Z2475">
        <v>1.4930769999999999E-4</v>
      </c>
      <c r="AA2475">
        <v>0.99890689999999904</v>
      </c>
      <c r="AB2475">
        <v>25</v>
      </c>
      <c r="AC2475">
        <v>-46.257399999999997</v>
      </c>
      <c r="AD2475">
        <v>-1.104331491737</v>
      </c>
      <c r="AE2475">
        <v>2.9656999999999698</v>
      </c>
      <c r="AF2475">
        <v>2.1733148097438901</v>
      </c>
      <c r="AG2475">
        <v>-1.104331491737</v>
      </c>
      <c r="AH2475">
        <v>46.275070102988501</v>
      </c>
      <c r="AI2475">
        <v>91.365571111260095</v>
      </c>
      <c r="AJ2475">
        <v>87.311071959209102</v>
      </c>
      <c r="AK2475">
        <v>46.339237783355799</v>
      </c>
    </row>
    <row r="2476" spans="1:37" x14ac:dyDescent="0.2">
      <c r="A2476" t="str">
        <f>"20200111155546635"</f>
        <v>20200111155546635</v>
      </c>
      <c r="B2476" t="str">
        <f>"1578729346624516"</f>
        <v>1578729346624516</v>
      </c>
      <c r="C2476" t="s">
        <v>37</v>
      </c>
      <c r="D2476">
        <v>4.8142040000000001</v>
      </c>
      <c r="E2476">
        <v>0.53870299999999904</v>
      </c>
      <c r="F2476" t="s">
        <v>59</v>
      </c>
      <c r="G2476">
        <v>-370.166</v>
      </c>
      <c r="H2476" s="1">
        <v>-1.4484420000000001E-6</v>
      </c>
      <c r="I2476">
        <v>287.87520000000001</v>
      </c>
      <c r="J2476">
        <v>-323.9742</v>
      </c>
      <c r="K2476">
        <v>1.104295</v>
      </c>
      <c r="L2476">
        <v>284.93630000000002</v>
      </c>
      <c r="M2476">
        <v>-0.99984959999999901</v>
      </c>
      <c r="N2476">
        <v>0</v>
      </c>
      <c r="O2476">
        <v>1.6587290000000001E-2</v>
      </c>
      <c r="P2476">
        <v>-0.99885829999999998</v>
      </c>
      <c r="Q2476">
        <v>3.0957129999999999E-2</v>
      </c>
      <c r="R2476">
        <v>-3.638628E-2</v>
      </c>
      <c r="S2476">
        <v>-3.0125730000000002</v>
      </c>
      <c r="T2476">
        <v>-7.1794869999999997E-2</v>
      </c>
      <c r="U2476">
        <v>0.19119259999999999</v>
      </c>
      <c r="V2476">
        <v>-5.2998770000000001E-2</v>
      </c>
      <c r="W2476">
        <v>3.596514E-2</v>
      </c>
      <c r="X2476">
        <v>0.99794669999999897</v>
      </c>
      <c r="Y2476">
        <v>4.6766019999999998E-2</v>
      </c>
      <c r="Z2476">
        <v>1.618287E-4</v>
      </c>
      <c r="AA2476">
        <v>0.99890579999999995</v>
      </c>
      <c r="AB2476">
        <v>25</v>
      </c>
      <c r="AC2476">
        <v>-46.191800000000001</v>
      </c>
      <c r="AD2476">
        <v>-1.1042964484419999</v>
      </c>
      <c r="AE2476">
        <v>2.9388999999999799</v>
      </c>
      <c r="AF2476">
        <v>2.1710532285534199</v>
      </c>
      <c r="AG2476">
        <v>-1.1042964484419999</v>
      </c>
      <c r="AH2476">
        <v>46.207890970394601</v>
      </c>
      <c r="AI2476">
        <v>91.367511068690405</v>
      </c>
      <c r="AJ2476">
        <v>87.309966502665802</v>
      </c>
      <c r="AK2476">
        <v>46.272044807844097</v>
      </c>
    </row>
    <row r="2477" spans="1:37" x14ac:dyDescent="0.2">
      <c r="A2477" t="str">
        <f>"20200111155546651"</f>
        <v>20200111155546651</v>
      </c>
      <c r="B2477" t="str">
        <f>"1578729346645011"</f>
        <v>1578729346645011</v>
      </c>
      <c r="C2477" t="s">
        <v>37</v>
      </c>
      <c r="D2477">
        <v>4.9159499999999996</v>
      </c>
      <c r="E2477">
        <v>0.53868629999999995</v>
      </c>
      <c r="F2477" t="s">
        <v>59</v>
      </c>
      <c r="G2477">
        <v>-370.46080000000001</v>
      </c>
      <c r="H2477" s="1">
        <v>-1.2915789999999999E-6</v>
      </c>
      <c r="I2477">
        <v>287.87720000000002</v>
      </c>
      <c r="J2477">
        <v>-324.14850000000001</v>
      </c>
      <c r="K2477">
        <v>1.104258</v>
      </c>
      <c r="L2477">
        <v>284.93869999999998</v>
      </c>
      <c r="M2477">
        <v>-0.999861</v>
      </c>
      <c r="N2477">
        <v>0</v>
      </c>
      <c r="O2477">
        <v>1.599043E-2</v>
      </c>
      <c r="P2477">
        <v>-0.99888259999999995</v>
      </c>
      <c r="Q2477">
        <v>3.109404E-2</v>
      </c>
      <c r="R2477">
        <v>-3.5598680000000001E-2</v>
      </c>
      <c r="S2477">
        <v>-3.0125730000000002</v>
      </c>
      <c r="T2477">
        <v>-7.1564199999999994E-2</v>
      </c>
      <c r="U2477">
        <v>0.19058229999999901</v>
      </c>
      <c r="V2477">
        <v>-5.1615800000000003E-2</v>
      </c>
      <c r="W2477">
        <v>3.5754040000000001E-2</v>
      </c>
      <c r="X2477">
        <v>0.99802679999999999</v>
      </c>
      <c r="Y2477">
        <v>4.7160550000000002E-2</v>
      </c>
      <c r="Z2477">
        <v>1.8014849999999999E-4</v>
      </c>
      <c r="AA2477">
        <v>0.99888729999999903</v>
      </c>
      <c r="AB2477">
        <v>25</v>
      </c>
      <c r="AC2477">
        <v>-46.312299999999901</v>
      </c>
      <c r="AD2477">
        <v>-1.1042592915789999</v>
      </c>
      <c r="AE2477">
        <v>2.9385000000000301</v>
      </c>
      <c r="AF2477">
        <v>2.1963187907438302</v>
      </c>
      <c r="AG2477">
        <v>-1.1042592915789999</v>
      </c>
      <c r="AH2477">
        <v>46.327134489403797</v>
      </c>
      <c r="AI2477">
        <v>91.363919372204094</v>
      </c>
      <c r="AJ2477">
        <v>87.285702080710806</v>
      </c>
      <c r="AK2477">
        <v>46.392311807161697</v>
      </c>
    </row>
    <row r="2478" spans="1:37" x14ac:dyDescent="0.2">
      <c r="A2478" t="str">
        <f>"20200111155546664"</f>
        <v>20200111155546664</v>
      </c>
      <c r="B2478" t="str">
        <f>"1578729346655281"</f>
        <v>1578729346655281</v>
      </c>
      <c r="C2478" t="s">
        <v>37</v>
      </c>
      <c r="D2478">
        <v>4.8465489999999898</v>
      </c>
      <c r="E2478">
        <v>0.53864469999999898</v>
      </c>
      <c r="F2478" t="s">
        <v>59</v>
      </c>
      <c r="G2478">
        <v>-371.24529999999999</v>
      </c>
      <c r="H2478" s="1">
        <v>-8.7408419999999904E-7</v>
      </c>
      <c r="I2478">
        <v>287.95209999999997</v>
      </c>
      <c r="J2478">
        <v>-324.29849999999999</v>
      </c>
      <c r="K2478">
        <v>1.1042239999999901</v>
      </c>
      <c r="L2478">
        <v>284.94049999999999</v>
      </c>
      <c r="M2478">
        <v>-0.99987029999999999</v>
      </c>
      <c r="N2478">
        <v>0</v>
      </c>
      <c r="O2478">
        <v>1.547888E-2</v>
      </c>
      <c r="P2478">
        <v>-0.99887680000000001</v>
      </c>
      <c r="Q2478">
        <v>3.150567E-2</v>
      </c>
      <c r="R2478">
        <v>-3.5392720000000003E-2</v>
      </c>
      <c r="S2478">
        <v>-3.0124209999999998</v>
      </c>
      <c r="T2478">
        <v>-7.0630910000000005E-2</v>
      </c>
      <c r="U2478">
        <v>0.192749</v>
      </c>
      <c r="V2478">
        <v>-5.0899340000000001E-2</v>
      </c>
      <c r="W2478">
        <v>3.5874120000000002E-2</v>
      </c>
      <c r="X2478">
        <v>0.99805929999999998</v>
      </c>
      <c r="Y2478">
        <v>4.8390099999999998E-2</v>
      </c>
      <c r="Z2478">
        <v>2.0417959999999901E-4</v>
      </c>
      <c r="AA2478">
        <v>0.99882850000000001</v>
      </c>
      <c r="AB2478">
        <v>25</v>
      </c>
      <c r="AC2478">
        <v>-46.946800000000003</v>
      </c>
      <c r="AD2478">
        <v>-1.10422487408419</v>
      </c>
      <c r="AE2478">
        <v>3.0115999999999801</v>
      </c>
      <c r="AF2478">
        <v>2.2832901146720301</v>
      </c>
      <c r="AG2478">
        <v>-1.10422487408419</v>
      </c>
      <c r="AH2478">
        <v>46.961917974062999</v>
      </c>
      <c r="AI2478">
        <v>91.345370169740306</v>
      </c>
      <c r="AJ2478">
        <v>87.216469127315506</v>
      </c>
      <c r="AK2478">
        <v>47.0303568572781</v>
      </c>
    </row>
    <row r="2479" spans="1:37" x14ac:dyDescent="0.2">
      <c r="A2479" t="str">
        <f>"20200111155546676"</f>
        <v>20200111155546676</v>
      </c>
      <c r="B2479" t="str">
        <f>"1578729346674800"</f>
        <v>1578729346674800</v>
      </c>
      <c r="C2479" t="s">
        <v>37</v>
      </c>
      <c r="D2479">
        <v>4.843191</v>
      </c>
      <c r="E2479">
        <v>0.53853430000000002</v>
      </c>
      <c r="F2479" t="s">
        <v>59</v>
      </c>
      <c r="G2479">
        <v>-372.28449999999998</v>
      </c>
      <c r="H2479" s="1">
        <v>-3.2105970000000001E-7</v>
      </c>
      <c r="I2479">
        <v>288.0163</v>
      </c>
      <c r="J2479">
        <v>-324.45089999999999</v>
      </c>
      <c r="K2479">
        <v>1.104196</v>
      </c>
      <c r="L2479">
        <v>284.94240000000002</v>
      </c>
      <c r="M2479">
        <v>-0.99987950000000003</v>
      </c>
      <c r="N2479">
        <v>0</v>
      </c>
      <c r="O2479">
        <v>1.496018E-2</v>
      </c>
      <c r="P2479">
        <v>-0.99888250000000001</v>
      </c>
      <c r="Q2479">
        <v>3.1646849999999997E-2</v>
      </c>
      <c r="R2479">
        <v>-3.5110210000000003E-2</v>
      </c>
      <c r="S2479">
        <v>-3.0123899999999999</v>
      </c>
      <c r="T2479">
        <v>-6.9319130000000007E-2</v>
      </c>
      <c r="U2479">
        <v>0.1930847</v>
      </c>
      <c r="V2479">
        <v>-5.0099570000000003E-2</v>
      </c>
      <c r="W2479">
        <v>3.5726880000000003E-2</v>
      </c>
      <c r="X2479">
        <v>0.99810499999999902</v>
      </c>
      <c r="Y2479">
        <v>4.9019790000000001E-2</v>
      </c>
      <c r="Z2479">
        <v>2.195454E-4</v>
      </c>
      <c r="AA2479">
        <v>0.99879779999999996</v>
      </c>
      <c r="AB2479">
        <v>26</v>
      </c>
      <c r="AC2479">
        <v>-47.833599999999898</v>
      </c>
      <c r="AD2479">
        <v>-1.1041963210596999</v>
      </c>
      <c r="AE2479">
        <v>3.0738999999999801</v>
      </c>
      <c r="AF2479">
        <v>2.35669991723725</v>
      </c>
      <c r="AG2479">
        <v>-1.1041963210596999</v>
      </c>
      <c r="AH2479">
        <v>47.848840700462702</v>
      </c>
      <c r="AI2479">
        <v>91.320366475671804</v>
      </c>
      <c r="AJ2479">
        <v>87.180288416740098</v>
      </c>
      <c r="AK2479">
        <v>47.919566362745798</v>
      </c>
    </row>
    <row r="2480" spans="1:37" x14ac:dyDescent="0.2">
      <c r="A2480" t="str">
        <f>"20200111155546696"</f>
        <v>20200111155546696</v>
      </c>
      <c r="B2480" t="str">
        <f>"1578729346684560"</f>
        <v>1578729346684560</v>
      </c>
      <c r="C2480" t="s">
        <v>37</v>
      </c>
      <c r="D2480">
        <v>4.8838949999999999</v>
      </c>
      <c r="E2480">
        <v>0.53844639999999999</v>
      </c>
      <c r="F2480" t="s">
        <v>59</v>
      </c>
      <c r="G2480">
        <v>-372.12380000000002</v>
      </c>
      <c r="H2480" s="1">
        <v>-4.0662409999999901E-7</v>
      </c>
      <c r="I2480">
        <v>287.9966</v>
      </c>
      <c r="J2480">
        <v>-324.65910000000002</v>
      </c>
      <c r="K2480">
        <v>1.1041609999999999</v>
      </c>
      <c r="L2480">
        <v>284.94479999999999</v>
      </c>
      <c r="M2480">
        <v>-0.99989130000000004</v>
      </c>
      <c r="N2480">
        <v>0</v>
      </c>
      <c r="O2480">
        <v>1.4255439999999999E-2</v>
      </c>
      <c r="P2480">
        <v>-0.99890840000000003</v>
      </c>
      <c r="Q2480">
        <v>3.1210729999999999E-2</v>
      </c>
      <c r="R2480">
        <v>-3.475814E-2</v>
      </c>
      <c r="S2480">
        <v>-3.0123599999999899</v>
      </c>
      <c r="T2480">
        <v>-6.9772120000000007E-2</v>
      </c>
      <c r="U2480">
        <v>0.1929932</v>
      </c>
      <c r="V2480">
        <v>-4.9043429999999999E-2</v>
      </c>
      <c r="W2480">
        <v>3.4921519999999998E-2</v>
      </c>
      <c r="X2480">
        <v>0.99818600000000002</v>
      </c>
      <c r="Y2480">
        <v>4.9693699999999903E-2</v>
      </c>
      <c r="Z2480">
        <v>2.4507739999999999E-4</v>
      </c>
      <c r="AA2480">
        <v>0.99876450000000006</v>
      </c>
      <c r="AB2480">
        <v>26</v>
      </c>
      <c r="AC2480">
        <v>-47.464699999999901</v>
      </c>
      <c r="AD2480">
        <v>-1.1041614066240999</v>
      </c>
      <c r="AE2480">
        <v>3.0518000000000098</v>
      </c>
      <c r="AF2480">
        <v>2.3735757229836301</v>
      </c>
      <c r="AG2480">
        <v>-1.1041614066240999</v>
      </c>
      <c r="AH2480">
        <v>47.477794731032397</v>
      </c>
      <c r="AI2480">
        <v>91.330590829627297</v>
      </c>
      <c r="AJ2480">
        <v>87.137972777778501</v>
      </c>
      <c r="AK2480">
        <v>47.549910900512401</v>
      </c>
    </row>
    <row r="2481" spans="1:37" x14ac:dyDescent="0.2">
      <c r="A2481" t="str">
        <f>"20200111155546709"</f>
        <v>20200111155546709</v>
      </c>
      <c r="B2481" t="str">
        <f>"1578729346705057"</f>
        <v>1578729346705057</v>
      </c>
      <c r="C2481" t="s">
        <v>37</v>
      </c>
      <c r="D2481">
        <v>4.8575470000000003</v>
      </c>
      <c r="E2481">
        <v>0.53852919999999904</v>
      </c>
      <c r="F2481" t="s">
        <v>59</v>
      </c>
      <c r="G2481">
        <v>-371.24880000000002</v>
      </c>
      <c r="H2481" s="1">
        <v>-8.7223740000000003E-7</v>
      </c>
      <c r="I2481">
        <v>287.93729999999999</v>
      </c>
      <c r="J2481">
        <v>-324.82</v>
      </c>
      <c r="K2481">
        <v>1.1041379999999901</v>
      </c>
      <c r="L2481">
        <v>284.94659999999999</v>
      </c>
      <c r="M2481">
        <v>-0.99989989999999995</v>
      </c>
      <c r="N2481">
        <v>0</v>
      </c>
      <c r="O2481">
        <v>1.371442E-2</v>
      </c>
      <c r="P2481">
        <v>-0.99889719999999904</v>
      </c>
      <c r="Q2481">
        <v>3.126089E-2</v>
      </c>
      <c r="R2481">
        <v>-3.5036970000000001E-2</v>
      </c>
      <c r="S2481">
        <v>-3.012238</v>
      </c>
      <c r="T2481">
        <v>-7.13892E-2</v>
      </c>
      <c r="U2481">
        <v>0.1934814</v>
      </c>
      <c r="V2481">
        <v>-4.8782010000000001E-2</v>
      </c>
      <c r="W2481">
        <v>3.470326E-2</v>
      </c>
      <c r="X2481">
        <v>0.99820640000000005</v>
      </c>
      <c r="Y2481">
        <v>5.0397119999999997E-2</v>
      </c>
      <c r="Z2481">
        <v>2.7189400000000001E-4</v>
      </c>
      <c r="AA2481">
        <v>0.99872919999999998</v>
      </c>
      <c r="AB2481">
        <v>26</v>
      </c>
      <c r="AC2481">
        <v>-46.428800000000003</v>
      </c>
      <c r="AD2481">
        <v>-1.1041388722373999</v>
      </c>
      <c r="AE2481">
        <v>2.9906999999999999</v>
      </c>
      <c r="AF2481">
        <v>2.35234593637042</v>
      </c>
      <c r="AG2481">
        <v>-1.1041388722373999</v>
      </c>
      <c r="AH2481">
        <v>46.439294111408998</v>
      </c>
      <c r="AI2481">
        <v>91.360262305428094</v>
      </c>
      <c r="AJ2481">
        <v>87.1002057804711</v>
      </c>
      <c r="AK2481">
        <v>46.511941387341501</v>
      </c>
    </row>
    <row r="2482" spans="1:37" x14ac:dyDescent="0.2">
      <c r="A2482" t="str">
        <f>"20200111155546722"</f>
        <v>20200111155546722</v>
      </c>
      <c r="B2482" t="str">
        <f>"1578729346714816"</f>
        <v>1578729346714816</v>
      </c>
      <c r="C2482" t="s">
        <v>37</v>
      </c>
      <c r="D2482">
        <v>4.9257140000000001</v>
      </c>
      <c r="E2482">
        <v>0.53849179999999996</v>
      </c>
      <c r="F2482" t="s">
        <v>59</v>
      </c>
      <c r="G2482">
        <v>-371.00569999999999</v>
      </c>
      <c r="H2482" s="1">
        <v>-1.0016169999999999E-6</v>
      </c>
      <c r="I2482">
        <v>287.91309999999999</v>
      </c>
      <c r="J2482">
        <v>-324.97559999999999</v>
      </c>
      <c r="K2482">
        <v>1.1041159999999901</v>
      </c>
      <c r="L2482">
        <v>284.94819999999999</v>
      </c>
      <c r="M2482">
        <v>-0.99990769999999995</v>
      </c>
      <c r="N2482">
        <v>0</v>
      </c>
      <c r="O2482">
        <v>1.319323E-2</v>
      </c>
      <c r="P2482">
        <v>-0.99888069999999896</v>
      </c>
      <c r="Q2482">
        <v>3.1380140000000001E-2</v>
      </c>
      <c r="R2482">
        <v>-3.5391579999999999E-2</v>
      </c>
      <c r="S2482">
        <v>-3.0123599999999899</v>
      </c>
      <c r="T2482">
        <v>-7.2015049999999997E-2</v>
      </c>
      <c r="U2482">
        <v>0.1934814</v>
      </c>
      <c r="V2482">
        <v>-4.8616109999999997E-2</v>
      </c>
      <c r="W2482">
        <v>3.4573180000000002E-2</v>
      </c>
      <c r="X2482">
        <v>0.99821899999999997</v>
      </c>
      <c r="Y2482">
        <v>5.0914639999999997E-2</v>
      </c>
      <c r="Z2482">
        <v>2.928869E-4</v>
      </c>
      <c r="AA2482">
        <v>0.99870289999999995</v>
      </c>
      <c r="AB2482">
        <v>26</v>
      </c>
      <c r="AC2482">
        <v>-46.030099999999997</v>
      </c>
      <c r="AD2482">
        <v>-1.1041170016169899</v>
      </c>
      <c r="AE2482">
        <v>2.9649000000000001</v>
      </c>
      <c r="AF2482">
        <v>2.35600308530453</v>
      </c>
      <c r="AG2482">
        <v>-1.1041170016169899</v>
      </c>
      <c r="AH2482">
        <v>46.0388307055428</v>
      </c>
      <c r="AI2482">
        <v>91.372026496359695</v>
      </c>
      <c r="AJ2482">
        <v>87.0704863828214</v>
      </c>
      <c r="AK2482">
        <v>46.112295080865998</v>
      </c>
    </row>
    <row r="2483" spans="1:37" x14ac:dyDescent="0.2">
      <c r="A2483" t="str">
        <f>"20200111155546734"</f>
        <v>20200111155546734</v>
      </c>
      <c r="B2483" t="str">
        <f>"1578729346724577"</f>
        <v>1578729346724577</v>
      </c>
      <c r="C2483" t="s">
        <v>37</v>
      </c>
      <c r="D2483">
        <v>4.9901279999999897</v>
      </c>
      <c r="E2483">
        <v>0.5384989</v>
      </c>
      <c r="F2483" t="s">
        <v>59</v>
      </c>
      <c r="G2483">
        <v>-371.20499999999998</v>
      </c>
      <c r="H2483" s="1">
        <v>-8.9554839999999996E-7</v>
      </c>
      <c r="I2483">
        <v>287.89400000000001</v>
      </c>
      <c r="J2483">
        <v>-325.12380000000002</v>
      </c>
      <c r="K2483">
        <v>1.1040989999999999</v>
      </c>
      <c r="L2483">
        <v>284.94970000000001</v>
      </c>
      <c r="M2483">
        <v>-0.99991479999999999</v>
      </c>
      <c r="N2483">
        <v>0</v>
      </c>
      <c r="O2483">
        <v>1.269961E-2</v>
      </c>
      <c r="P2483">
        <v>-0.99887300000000001</v>
      </c>
      <c r="Q2483">
        <v>3.1389299999999898E-2</v>
      </c>
      <c r="R2483">
        <v>-3.5602200000000001E-2</v>
      </c>
      <c r="S2483">
        <v>-3.012451</v>
      </c>
      <c r="T2483">
        <v>-7.1947689999999995E-2</v>
      </c>
      <c r="U2483">
        <v>0.1919556</v>
      </c>
      <c r="V2483">
        <v>-4.8333719999999997E-2</v>
      </c>
      <c r="W2483">
        <v>3.4359189999999998E-2</v>
      </c>
      <c r="X2483">
        <v>0.99824009999999996</v>
      </c>
      <c r="Y2483">
        <v>5.0901830000000002E-2</v>
      </c>
      <c r="Z2483">
        <v>3.042287E-4</v>
      </c>
      <c r="AA2483">
        <v>0.99870360000000002</v>
      </c>
      <c r="AB2483">
        <v>26</v>
      </c>
      <c r="AC2483">
        <v>-46.081199999999903</v>
      </c>
      <c r="AD2483">
        <v>-1.1040998955483901</v>
      </c>
      <c r="AE2483">
        <v>2.9442999999999899</v>
      </c>
      <c r="AF2483">
        <v>2.3574987448150702</v>
      </c>
      <c r="AG2483">
        <v>-1.1040998955483901</v>
      </c>
      <c r="AH2483">
        <v>46.088524729791096</v>
      </c>
      <c r="AI2483">
        <v>91.370528063950601</v>
      </c>
      <c r="AJ2483">
        <v>87.071785071771004</v>
      </c>
      <c r="AK2483">
        <v>46.161985969840202</v>
      </c>
    </row>
    <row r="2484" spans="1:37" x14ac:dyDescent="0.2">
      <c r="A2484" t="str">
        <f>"20200111155546751"</f>
        <v>20200111155546751</v>
      </c>
      <c r="B2484" t="str">
        <f>"1578729346745075"</f>
        <v>1578729346745075</v>
      </c>
      <c r="C2484" t="s">
        <v>37</v>
      </c>
      <c r="D2484">
        <v>4.9113850000000001</v>
      </c>
      <c r="E2484">
        <v>0.53839389999999998</v>
      </c>
      <c r="F2484" t="s">
        <v>59</v>
      </c>
      <c r="G2484">
        <v>-371.55360000000002</v>
      </c>
      <c r="H2484" s="1">
        <v>-7.1006299999999896E-7</v>
      </c>
      <c r="I2484">
        <v>287.90210000000002</v>
      </c>
      <c r="J2484">
        <v>-325.32</v>
      </c>
      <c r="K2484">
        <v>1.1040749999999999</v>
      </c>
      <c r="L2484">
        <v>284.95150000000001</v>
      </c>
      <c r="M2484">
        <v>-0.99992359999999902</v>
      </c>
      <c r="N2484">
        <v>0</v>
      </c>
      <c r="O2484">
        <v>1.2050490000000001E-2</v>
      </c>
      <c r="P2484">
        <v>-0.99885630000000003</v>
      </c>
      <c r="Q2484">
        <v>3.0896630000000001E-2</v>
      </c>
      <c r="R2484">
        <v>-3.6494099999999897E-2</v>
      </c>
      <c r="S2484">
        <v>-3.012451</v>
      </c>
      <c r="T2484">
        <v>-7.1636080000000005E-2</v>
      </c>
      <c r="U2484">
        <v>0.1915588</v>
      </c>
      <c r="V2484">
        <v>-4.8576330000000001E-2</v>
      </c>
      <c r="W2484">
        <v>3.3592879999999999E-2</v>
      </c>
      <c r="X2484">
        <v>0.99825439999999999</v>
      </c>
      <c r="Y2484">
        <v>5.1418909999999998E-2</v>
      </c>
      <c r="Z2484">
        <v>3.2446809999999999E-4</v>
      </c>
      <c r="AA2484">
        <v>0.99867709999999998</v>
      </c>
      <c r="AB2484">
        <v>26</v>
      </c>
      <c r="AC2484">
        <v>-46.233600000000003</v>
      </c>
      <c r="AD2484">
        <v>-1.1040757100630001</v>
      </c>
      <c r="AE2484">
        <v>2.9506000000000001</v>
      </c>
      <c r="AF2484">
        <v>2.3918876156842299</v>
      </c>
      <c r="AG2484">
        <v>-1.1040757100630001</v>
      </c>
      <c r="AH2484">
        <v>46.2395371087635</v>
      </c>
      <c r="AI2484">
        <v>91.365983484421704</v>
      </c>
      <c r="AJ2484">
        <v>87.038832251425006</v>
      </c>
      <c r="AK2484">
        <v>46.3145214978232</v>
      </c>
    </row>
    <row r="2485" spans="1:37" x14ac:dyDescent="0.2">
      <c r="A2485" t="str">
        <f>"20200111155546764"</f>
        <v>20200111155546764</v>
      </c>
      <c r="B2485" t="str">
        <f>"1578729346754832"</f>
        <v>1578729346754832</v>
      </c>
      <c r="C2485" t="s">
        <v>37</v>
      </c>
      <c r="D2485">
        <v>4.9858570000000002</v>
      </c>
      <c r="E2485">
        <v>0.53829950000000004</v>
      </c>
      <c r="F2485" t="s">
        <v>59</v>
      </c>
      <c r="G2485">
        <v>-370.51609999999999</v>
      </c>
      <c r="H2485" s="1">
        <v>-1.2621449999999999E-6</v>
      </c>
      <c r="I2485">
        <v>287.77</v>
      </c>
      <c r="J2485">
        <v>-325.4753</v>
      </c>
      <c r="K2485">
        <v>1.10406</v>
      </c>
      <c r="L2485">
        <v>284.9529</v>
      </c>
      <c r="M2485">
        <v>-0.99993009999999904</v>
      </c>
      <c r="N2485">
        <v>0</v>
      </c>
      <c r="O2485">
        <v>1.1539550000000001E-2</v>
      </c>
      <c r="P2485">
        <v>-0.99882950000000004</v>
      </c>
      <c r="Q2485">
        <v>3.0944880000000001E-2</v>
      </c>
      <c r="R2485">
        <v>-3.7182420000000001E-2</v>
      </c>
      <c r="S2485">
        <v>-3.012543</v>
      </c>
      <c r="T2485">
        <v>-7.3592069999999996E-2</v>
      </c>
      <c r="U2485">
        <v>0.18786620000000001</v>
      </c>
      <c r="V2485">
        <v>-4.8753640000000001E-2</v>
      </c>
      <c r="W2485">
        <v>3.3439429999999999E-2</v>
      </c>
      <c r="X2485">
        <v>0.99825090000000005</v>
      </c>
      <c r="Y2485">
        <v>5.0707439999999999E-2</v>
      </c>
      <c r="Z2485">
        <v>3.3711180000000002E-4</v>
      </c>
      <c r="AA2485">
        <v>0.99871350000000003</v>
      </c>
      <c r="AB2485">
        <v>26</v>
      </c>
      <c r="AC2485">
        <v>-45.040799999999898</v>
      </c>
      <c r="AD2485">
        <v>-1.1040612621450001</v>
      </c>
      <c r="AE2485">
        <v>2.81709999999998</v>
      </c>
      <c r="AF2485">
        <v>2.2957860671960502</v>
      </c>
      <c r="AG2485">
        <v>-1.1040612621450001</v>
      </c>
      <c r="AH2485">
        <v>45.043349873168403</v>
      </c>
      <c r="AI2485">
        <v>91.402280933530804</v>
      </c>
      <c r="AJ2485">
        <v>87.082252382894197</v>
      </c>
      <c r="AK2485">
        <v>45.115329464978501</v>
      </c>
    </row>
    <row r="2486" spans="1:37" x14ac:dyDescent="0.2">
      <c r="A2486" t="str">
        <f>"20200111155546777"</f>
        <v>20200111155546777</v>
      </c>
      <c r="B2486" t="str">
        <f>"1578729346774352"</f>
        <v>1578729346774352</v>
      </c>
      <c r="C2486" t="s">
        <v>37</v>
      </c>
      <c r="D2486">
        <v>4.9651750000000003</v>
      </c>
      <c r="E2486">
        <v>0.53820590000000001</v>
      </c>
      <c r="F2486" t="s">
        <v>59</v>
      </c>
      <c r="G2486">
        <v>-370.64460000000003</v>
      </c>
      <c r="H2486" s="1">
        <v>-1.193782E-6</v>
      </c>
      <c r="I2486">
        <v>287.72840000000002</v>
      </c>
      <c r="J2486">
        <v>-325.63339999999999</v>
      </c>
      <c r="K2486">
        <v>1.1040479999999999</v>
      </c>
      <c r="L2486">
        <v>284.95429999999999</v>
      </c>
      <c r="M2486">
        <v>-0.99993659999999995</v>
      </c>
      <c r="N2486">
        <v>0</v>
      </c>
      <c r="O2486">
        <v>1.102129E-2</v>
      </c>
      <c r="P2486">
        <v>-0.99880079999999904</v>
      </c>
      <c r="Q2486">
        <v>3.0968909999999999E-2</v>
      </c>
      <c r="R2486">
        <v>-3.7926479999999999E-2</v>
      </c>
      <c r="S2486">
        <v>-3.0126650000000001</v>
      </c>
      <c r="T2486">
        <v>-7.3637839999999996E-2</v>
      </c>
      <c r="U2486">
        <v>0.1851196</v>
      </c>
      <c r="V2486">
        <v>-4.8980509999999998E-2</v>
      </c>
      <c r="W2486">
        <v>3.327024E-2</v>
      </c>
      <c r="X2486">
        <v>0.99824550000000001</v>
      </c>
      <c r="Y2486">
        <v>5.0315470000000001E-2</v>
      </c>
      <c r="Z2486">
        <v>3.4518279999999998E-4</v>
      </c>
      <c r="AA2486">
        <v>0.99873330000000005</v>
      </c>
      <c r="AB2486">
        <v>27</v>
      </c>
      <c r="AC2486">
        <v>-45.011200000000002</v>
      </c>
      <c r="AD2486">
        <v>-1.1040491937819901</v>
      </c>
      <c r="AE2486">
        <v>2.77410000000003</v>
      </c>
      <c r="AF2486">
        <v>2.27648426282081</v>
      </c>
      <c r="AG2486">
        <v>-1.1040491937819901</v>
      </c>
      <c r="AH2486">
        <v>45.012061898866698</v>
      </c>
      <c r="AI2486">
        <v>91.403267883281998</v>
      </c>
      <c r="AJ2486">
        <v>87.104733778716295</v>
      </c>
      <c r="AK2486">
        <v>45.0831123771259</v>
      </c>
    </row>
    <row r="2487" spans="1:37" x14ac:dyDescent="0.2">
      <c r="A2487" t="str">
        <f>"20200111155546790"</f>
        <v>20200111155546790</v>
      </c>
      <c r="B2487" t="str">
        <f>"1578729346785088"</f>
        <v>1578729346785088</v>
      </c>
      <c r="C2487" t="s">
        <v>37</v>
      </c>
      <c r="D2487">
        <v>4.9631160000000003</v>
      </c>
      <c r="E2487">
        <v>0.53813129999999998</v>
      </c>
      <c r="F2487" t="s">
        <v>59</v>
      </c>
      <c r="G2487">
        <v>-370.4436</v>
      </c>
      <c r="H2487" s="1">
        <v>-1.3007450000000001E-6</v>
      </c>
      <c r="I2487">
        <v>287.66129999999998</v>
      </c>
      <c r="J2487">
        <v>-325.79300000000001</v>
      </c>
      <c r="K2487">
        <v>1.104042</v>
      </c>
      <c r="L2487">
        <v>284.95549999999997</v>
      </c>
      <c r="M2487">
        <v>-0.99994249999999996</v>
      </c>
      <c r="N2487">
        <v>0</v>
      </c>
      <c r="O2487">
        <v>1.0500779999999999E-2</v>
      </c>
      <c r="P2487">
        <v>-0.99876860000000001</v>
      </c>
      <c r="Q2487">
        <v>3.0794559999999999E-2</v>
      </c>
      <c r="R2487">
        <v>-3.8898540000000002E-2</v>
      </c>
      <c r="S2487">
        <v>-3.012848</v>
      </c>
      <c r="T2487">
        <v>-7.4231619999999998E-2</v>
      </c>
      <c r="U2487">
        <v>0.1820068</v>
      </c>
      <c r="V2487">
        <v>-4.943231E-2</v>
      </c>
      <c r="W2487">
        <v>3.2920440000000002E-2</v>
      </c>
      <c r="X2487">
        <v>0.99823479999999998</v>
      </c>
      <c r="Y2487">
        <v>4.9803409999999999E-2</v>
      </c>
      <c r="Z2487">
        <v>3.5446179999999998E-4</v>
      </c>
      <c r="AA2487">
        <v>0.99875899999999995</v>
      </c>
      <c r="AB2487">
        <v>27</v>
      </c>
      <c r="AC2487">
        <v>-44.650599999999997</v>
      </c>
      <c r="AD2487">
        <v>-1.1040433007449999</v>
      </c>
      <c r="AE2487">
        <v>2.7058</v>
      </c>
      <c r="AF2487">
        <v>2.2354218676566502</v>
      </c>
      <c r="AG2487">
        <v>-1.1040433007449999</v>
      </c>
      <c r="AH2487">
        <v>44.6493530250251</v>
      </c>
      <c r="AI2487">
        <v>91.414691278910496</v>
      </c>
      <c r="AJ2487">
        <v>87.1338132752131</v>
      </c>
      <c r="AK2487">
        <v>44.718908171931503</v>
      </c>
    </row>
    <row r="2488" spans="1:37" x14ac:dyDescent="0.2">
      <c r="A2488" t="str">
        <f>"20200111155546804"</f>
        <v>20200111155546804</v>
      </c>
      <c r="B2488" t="str">
        <f>"1578729346794849"</f>
        <v>1578729346794849</v>
      </c>
      <c r="C2488" t="s">
        <v>37</v>
      </c>
      <c r="D2488">
        <v>5.002758</v>
      </c>
      <c r="E2488">
        <v>0.53807069999999901</v>
      </c>
      <c r="F2488" t="s">
        <v>59</v>
      </c>
      <c r="G2488">
        <v>-370.0367</v>
      </c>
      <c r="H2488" s="1">
        <v>-1.5172719999999999E-6</v>
      </c>
      <c r="I2488">
        <v>287.57440000000003</v>
      </c>
      <c r="J2488">
        <v>-325.95159999999998</v>
      </c>
      <c r="K2488">
        <v>1.1040350000000001</v>
      </c>
      <c r="L2488">
        <v>284.95670000000001</v>
      </c>
      <c r="M2488">
        <v>-0.99994819999999995</v>
      </c>
      <c r="N2488">
        <v>0</v>
      </c>
      <c r="O2488">
        <v>9.9844619999999995E-3</v>
      </c>
      <c r="P2488">
        <v>-0.99873330000000005</v>
      </c>
      <c r="Q2488">
        <v>3.0715630000000001E-2</v>
      </c>
      <c r="R2488">
        <v>-3.9860319999999998E-2</v>
      </c>
      <c r="S2488">
        <v>-3.0129999999999999</v>
      </c>
      <c r="T2488">
        <v>-7.5185539999999995E-2</v>
      </c>
      <c r="U2488">
        <v>0.17834469999999999</v>
      </c>
      <c r="V2488">
        <v>-4.9877770000000002E-2</v>
      </c>
      <c r="W2488">
        <v>3.2677379999999999E-2</v>
      </c>
      <c r="X2488">
        <v>0.99822060000000001</v>
      </c>
      <c r="Y2488">
        <v>4.9106209999999997E-2</v>
      </c>
      <c r="Z2488">
        <v>3.6318839999999902E-4</v>
      </c>
      <c r="AA2488">
        <v>0.9987935</v>
      </c>
      <c r="AB2488">
        <v>27</v>
      </c>
      <c r="AC2488">
        <v>-44.085099999999997</v>
      </c>
      <c r="AD2488">
        <v>-1.1040365172719999</v>
      </c>
      <c r="AE2488">
        <v>2.6177000000000099</v>
      </c>
      <c r="AF2488">
        <v>2.17604270454822</v>
      </c>
      <c r="AG2488">
        <v>-1.1040365172719999</v>
      </c>
      <c r="AH2488">
        <v>44.081489579868702</v>
      </c>
      <c r="AI2488">
        <v>91.432949034874696</v>
      </c>
      <c r="AJ2488">
        <v>87.173939909668306</v>
      </c>
      <c r="AK2488">
        <v>44.148972604847302</v>
      </c>
    </row>
    <row r="2489" spans="1:37" x14ac:dyDescent="0.2">
      <c r="A2489" t="str">
        <f>"20200111155546819"</f>
        <v>20200111155546819</v>
      </c>
      <c r="B2489" t="str">
        <f>"1578729346814368"</f>
        <v>1578729346814368</v>
      </c>
      <c r="C2489" t="s">
        <v>37</v>
      </c>
      <c r="D2489">
        <v>5.0042099999999996</v>
      </c>
      <c r="E2489">
        <v>0.53802329999999998</v>
      </c>
      <c r="F2489" t="s">
        <v>59</v>
      </c>
      <c r="G2489">
        <v>-369.8562</v>
      </c>
      <c r="H2489" s="1">
        <v>3.708181E-6</v>
      </c>
      <c r="I2489">
        <v>287.50909999999999</v>
      </c>
      <c r="J2489">
        <v>-326.12569999999999</v>
      </c>
      <c r="K2489">
        <v>1.104026</v>
      </c>
      <c r="L2489">
        <v>284.9579</v>
      </c>
      <c r="M2489">
        <v>-0.99995389999999995</v>
      </c>
      <c r="N2489">
        <v>0</v>
      </c>
      <c r="O2489">
        <v>9.4193799999999998E-3</v>
      </c>
      <c r="P2489">
        <v>-0.9987298</v>
      </c>
      <c r="Q2489">
        <v>2.988203E-2</v>
      </c>
      <c r="R2489">
        <v>-4.0570969999999998E-2</v>
      </c>
      <c r="S2489">
        <v>-3.01312299999999</v>
      </c>
      <c r="T2489">
        <v>-7.5768470000000004E-2</v>
      </c>
      <c r="U2489">
        <v>0.17517089999999999</v>
      </c>
      <c r="V2489">
        <v>-5.0023600000000001E-2</v>
      </c>
      <c r="W2489">
        <v>3.1677490000000003E-2</v>
      </c>
      <c r="X2489">
        <v>0.99824550000000001</v>
      </c>
      <c r="Y2489">
        <v>4.8619570000000001E-2</v>
      </c>
      <c r="Z2489">
        <v>3.7408009999999998E-4</v>
      </c>
      <c r="AA2489">
        <v>0.99881730000000002</v>
      </c>
      <c r="AB2489">
        <v>27</v>
      </c>
      <c r="AC2489">
        <v>-43.730499999999999</v>
      </c>
      <c r="AD2489">
        <v>-1.1040222918189999</v>
      </c>
      <c r="AE2489">
        <v>2.5511999999999899</v>
      </c>
      <c r="AF2489">
        <v>2.1378139657575401</v>
      </c>
      <c r="AG2489">
        <v>-1.1040222918189999</v>
      </c>
      <c r="AH2489">
        <v>43.724816676619099</v>
      </c>
      <c r="AI2489">
        <v>91.444647752313202</v>
      </c>
      <c r="AJ2489">
        <v>87.200897213898998</v>
      </c>
      <c r="AK2489">
        <v>43.790966045258401</v>
      </c>
    </row>
    <row r="2490" spans="1:37" x14ac:dyDescent="0.2">
      <c r="A2490" t="str">
        <f>"20200111155546830"</f>
        <v>20200111155546830</v>
      </c>
      <c r="B2490" t="str">
        <f>"1578729346825105"</f>
        <v>1578729346825105</v>
      </c>
      <c r="C2490" t="s">
        <v>37</v>
      </c>
      <c r="D2490">
        <v>5.0135509999999996</v>
      </c>
      <c r="E2490">
        <v>0.53800400000000004</v>
      </c>
      <c r="F2490" t="s">
        <v>59</v>
      </c>
      <c r="G2490">
        <v>-368.27510000000001</v>
      </c>
      <c r="H2490" s="1">
        <v>2.8667969999999999E-6</v>
      </c>
      <c r="I2490">
        <v>287.3741</v>
      </c>
      <c r="J2490">
        <v>-326.28440000000001</v>
      </c>
      <c r="K2490">
        <v>1.1040209999999999</v>
      </c>
      <c r="L2490">
        <v>284.95890000000003</v>
      </c>
      <c r="M2490">
        <v>-0.99995900000000004</v>
      </c>
      <c r="N2490">
        <v>0</v>
      </c>
      <c r="O2490">
        <v>8.9050750000000001E-3</v>
      </c>
      <c r="P2490">
        <v>-0.99871980000000005</v>
      </c>
      <c r="Q2490">
        <v>2.9656109999999999E-2</v>
      </c>
      <c r="R2490">
        <v>-4.0984609999999998E-2</v>
      </c>
      <c r="S2490">
        <v>-3.0131839999999999</v>
      </c>
      <c r="T2490">
        <v>-7.8924659999999994E-2</v>
      </c>
      <c r="U2490">
        <v>0.17272950000000001</v>
      </c>
      <c r="V2490">
        <v>-4.9923259999999997E-2</v>
      </c>
      <c r="W2490">
        <v>3.1318140000000001E-2</v>
      </c>
      <c r="X2490">
        <v>0.99826190000000004</v>
      </c>
      <c r="Y2490">
        <v>4.8324390000000002E-2</v>
      </c>
      <c r="Z2490">
        <v>3.992523E-4</v>
      </c>
      <c r="AA2490">
        <v>0.99883159999999904</v>
      </c>
      <c r="AB2490">
        <v>27</v>
      </c>
      <c r="AC2490">
        <v>-41.990699999999997</v>
      </c>
      <c r="AD2490">
        <v>-1.1040181332029999</v>
      </c>
      <c r="AE2490">
        <v>2.4151999999999698</v>
      </c>
      <c r="AF2490">
        <v>2.0397680213654499</v>
      </c>
      <c r="AG2490">
        <v>-1.1040181332029999</v>
      </c>
      <c r="AH2490">
        <v>41.981617749820998</v>
      </c>
      <c r="AI2490">
        <v>91.504623366105605</v>
      </c>
      <c r="AJ2490">
        <v>87.218347707404206</v>
      </c>
      <c r="AK2490">
        <v>42.045638757325499</v>
      </c>
    </row>
    <row r="2491" spans="1:37" x14ac:dyDescent="0.2">
      <c r="A2491" t="str">
        <f>"20200111155546844"</f>
        <v>20200111155546844</v>
      </c>
      <c r="B2491" t="str">
        <f>"1578729346834864"</f>
        <v>1578729346834864</v>
      </c>
      <c r="C2491" t="s">
        <v>37</v>
      </c>
      <c r="D2491">
        <v>5.0559139999999996</v>
      </c>
      <c r="E2491">
        <v>0.53797539999999999</v>
      </c>
      <c r="F2491" t="s">
        <v>59</v>
      </c>
      <c r="G2491">
        <v>-368.0557</v>
      </c>
      <c r="H2491" s="1">
        <v>2.7500689999999999E-6</v>
      </c>
      <c r="I2491">
        <v>287.33519999999999</v>
      </c>
      <c r="J2491">
        <v>-326.44209999999998</v>
      </c>
      <c r="K2491">
        <v>1.1040140000000001</v>
      </c>
      <c r="L2491">
        <v>284.95979999999997</v>
      </c>
      <c r="M2491">
        <v>-0.99996350000000001</v>
      </c>
      <c r="N2491">
        <v>0</v>
      </c>
      <c r="O2491">
        <v>8.3948040000000005E-3</v>
      </c>
      <c r="P2491">
        <v>-0.99872309999999997</v>
      </c>
      <c r="Q2491">
        <v>2.930228E-2</v>
      </c>
      <c r="R2491">
        <v>-4.115104E-2</v>
      </c>
      <c r="S2491">
        <v>-3.0132140000000001</v>
      </c>
      <c r="T2491">
        <v>-7.9639429999999997E-2</v>
      </c>
      <c r="U2491">
        <v>0.17141719999999999</v>
      </c>
      <c r="V2491">
        <v>-4.9579829999999998E-2</v>
      </c>
      <c r="W2491">
        <v>3.0839149999999999E-2</v>
      </c>
      <c r="X2491">
        <v>0.99829389999999996</v>
      </c>
      <c r="Y2491">
        <v>4.8399480000000002E-2</v>
      </c>
      <c r="Z2491">
        <v>4.1733019999999897E-4</v>
      </c>
      <c r="AA2491">
        <v>0.99882800000000005</v>
      </c>
      <c r="AB2491">
        <v>27</v>
      </c>
      <c r="AC2491">
        <v>-41.613599999999998</v>
      </c>
      <c r="AD2491">
        <v>-1.104011249931</v>
      </c>
      <c r="AE2491">
        <v>2.3754000000000102</v>
      </c>
      <c r="AF2491">
        <v>2.02455749627125</v>
      </c>
      <c r="AG2491">
        <v>-1.104011249931</v>
      </c>
      <c r="AH2491">
        <v>41.602887859495198</v>
      </c>
      <c r="AI2491">
        <v>91.518299141607699</v>
      </c>
      <c r="AJ2491">
        <v>87.213963559922405</v>
      </c>
      <c r="AK2491">
        <v>41.6667487589974</v>
      </c>
    </row>
    <row r="2492" spans="1:37" x14ac:dyDescent="0.2">
      <c r="A2492" t="str">
        <f>"20200111155546858"</f>
        <v>20200111155546858</v>
      </c>
      <c r="B2492" t="str">
        <f>"1578729346854385"</f>
        <v>1578729346854385</v>
      </c>
      <c r="C2492" t="s">
        <v>37</v>
      </c>
      <c r="D2492">
        <v>5.0355589999999903</v>
      </c>
      <c r="E2492">
        <v>0.53795360000000003</v>
      </c>
      <c r="F2492" t="s">
        <v>59</v>
      </c>
      <c r="G2492">
        <v>-367.79140000000001</v>
      </c>
      <c r="H2492" s="1">
        <v>2.6093889999999999E-6</v>
      </c>
      <c r="I2492">
        <v>287.30329999999998</v>
      </c>
      <c r="J2492">
        <v>-326.61500000000001</v>
      </c>
      <c r="K2492">
        <v>1.1040110000000001</v>
      </c>
      <c r="L2492">
        <v>284.96080000000001</v>
      </c>
      <c r="M2492">
        <v>-0.99996819999999897</v>
      </c>
      <c r="N2492">
        <v>0</v>
      </c>
      <c r="O2492">
        <v>7.8355330000000004E-3</v>
      </c>
      <c r="P2492">
        <v>-0.99874929999999995</v>
      </c>
      <c r="Q2492">
        <v>2.7821909999999998E-2</v>
      </c>
      <c r="R2492">
        <v>-4.1547630000000002E-2</v>
      </c>
      <c r="S2492">
        <v>-3.0132750000000001</v>
      </c>
      <c r="T2492">
        <v>-8.0453520000000001E-2</v>
      </c>
      <c r="U2492">
        <v>0.17077639999999999</v>
      </c>
      <c r="V2492">
        <v>-4.9416099999999998E-2</v>
      </c>
      <c r="W2492">
        <v>2.9230550000000001E-2</v>
      </c>
      <c r="X2492">
        <v>0.99835039999999997</v>
      </c>
      <c r="Y2492">
        <v>4.8744610000000001E-2</v>
      </c>
      <c r="Z2492">
        <v>4.4110729999999998E-4</v>
      </c>
      <c r="AA2492">
        <v>0.99881119999999901</v>
      </c>
      <c r="AB2492">
        <v>27</v>
      </c>
      <c r="AC2492">
        <v>-41.176400000000001</v>
      </c>
      <c r="AD2492">
        <v>-1.1040083906110001</v>
      </c>
      <c r="AE2492">
        <v>2.3424999999999701</v>
      </c>
      <c r="AF2492">
        <v>2.0183424553416001</v>
      </c>
      <c r="AG2492">
        <v>-1.1040083906110001</v>
      </c>
      <c r="AH2492">
        <v>41.163994770257901</v>
      </c>
      <c r="AI2492">
        <v>91.534448175632605</v>
      </c>
      <c r="AJ2492">
        <v>87.192936062494894</v>
      </c>
      <c r="AK2492">
        <v>41.228230694990899</v>
      </c>
    </row>
    <row r="2493" spans="1:37" x14ac:dyDescent="0.2">
      <c r="A2493" t="str">
        <f>"20200111155546870"</f>
        <v>20200111155546870</v>
      </c>
      <c r="B2493" t="str">
        <f>"1578729346865120"</f>
        <v>1578729346865120</v>
      </c>
      <c r="C2493" t="s">
        <v>37</v>
      </c>
      <c r="D2493">
        <v>5.0220699999999896</v>
      </c>
      <c r="E2493">
        <v>0.53792890000000004</v>
      </c>
      <c r="F2493" t="s">
        <v>59</v>
      </c>
      <c r="G2493">
        <v>-365.8578</v>
      </c>
      <c r="H2493" s="1">
        <v>1.5804280000000001E-6</v>
      </c>
      <c r="I2493">
        <v>287.17020000000002</v>
      </c>
      <c r="J2493">
        <v>-326.77089999999998</v>
      </c>
      <c r="K2493">
        <v>1.104001</v>
      </c>
      <c r="L2493">
        <v>284.9615</v>
      </c>
      <c r="M2493">
        <v>-0.99997219999999998</v>
      </c>
      <c r="N2493">
        <v>0</v>
      </c>
      <c r="O2493">
        <v>7.3316509999999998E-3</v>
      </c>
      <c r="P2493">
        <v>-0.99878009999999995</v>
      </c>
      <c r="Q2493">
        <v>2.670933E-2</v>
      </c>
      <c r="R2493">
        <v>-4.1532340000000001E-2</v>
      </c>
      <c r="S2493">
        <v>-3.0132140000000001</v>
      </c>
      <c r="T2493">
        <v>-8.4770200000000004E-2</v>
      </c>
      <c r="U2493">
        <v>0.1696472</v>
      </c>
      <c r="V2493">
        <v>-4.8896509999999997E-2</v>
      </c>
      <c r="W2493">
        <v>2.8016059999999999E-2</v>
      </c>
      <c r="X2493">
        <v>0.99841089999999999</v>
      </c>
      <c r="Y2493">
        <v>4.8874109999999998E-2</v>
      </c>
      <c r="Z2493">
        <v>4.8075940000000001E-4</v>
      </c>
      <c r="AA2493">
        <v>0.99880480000000005</v>
      </c>
      <c r="AB2493">
        <v>27</v>
      </c>
      <c r="AC2493">
        <v>-39.0869</v>
      </c>
      <c r="AD2493">
        <v>-1.103999419572</v>
      </c>
      <c r="AE2493">
        <v>2.2087000000000199</v>
      </c>
      <c r="AF2493">
        <v>1.9205415977770099</v>
      </c>
      <c r="AG2493">
        <v>-1.103999419572</v>
      </c>
      <c r="AH2493">
        <v>39.070972632566203</v>
      </c>
      <c r="AI2493">
        <v>91.6165827672597</v>
      </c>
      <c r="AJ2493">
        <v>87.185879383383906</v>
      </c>
      <c r="AK2493">
        <v>39.133721995255598</v>
      </c>
    </row>
    <row r="2494" spans="1:37" x14ac:dyDescent="0.2">
      <c r="A2494" t="str">
        <f>"20200111155546885"</f>
        <v>20200111155546885</v>
      </c>
      <c r="B2494" t="str">
        <f>"1578729346874880"</f>
        <v>1578729346874880</v>
      </c>
      <c r="C2494" t="s">
        <v>37</v>
      </c>
      <c r="D2494">
        <v>5.2980309999999999</v>
      </c>
      <c r="E2494">
        <v>0.53803140000000005</v>
      </c>
      <c r="F2494" t="s">
        <v>59</v>
      </c>
      <c r="G2494">
        <v>-364.56079999999997</v>
      </c>
      <c r="H2494" s="1">
        <v>8.9021659999999898E-7</v>
      </c>
      <c r="I2494">
        <v>287.08839999999998</v>
      </c>
      <c r="J2494">
        <v>-326.9513</v>
      </c>
      <c r="K2494">
        <v>1.1039889999999899</v>
      </c>
      <c r="L2494">
        <v>284.9622</v>
      </c>
      <c r="M2494">
        <v>-0.99997649999999905</v>
      </c>
      <c r="N2494">
        <v>0</v>
      </c>
      <c r="O2494">
        <v>6.7488579999999999E-3</v>
      </c>
      <c r="P2494">
        <v>-0.99886229999999998</v>
      </c>
      <c r="Q2494">
        <v>2.539458E-2</v>
      </c>
      <c r="R2494">
        <v>-4.0370040000000003E-2</v>
      </c>
      <c r="S2494">
        <v>-3.0130619999999899</v>
      </c>
      <c r="T2494">
        <v>-8.8024259999999993E-2</v>
      </c>
      <c r="U2494">
        <v>0.16958619999999999</v>
      </c>
      <c r="V2494">
        <v>-4.7151060000000002E-2</v>
      </c>
      <c r="W2494">
        <v>2.6592290000000001E-2</v>
      </c>
      <c r="X2494">
        <v>0.99853369999999997</v>
      </c>
      <c r="Y2494">
        <v>4.9437120000000001E-2</v>
      </c>
      <c r="Z2494">
        <v>5.2445439999999996E-4</v>
      </c>
      <c r="AA2494">
        <v>0.99877709999999997</v>
      </c>
      <c r="AB2494">
        <v>28</v>
      </c>
      <c r="AC2494">
        <v>-37.609499999999898</v>
      </c>
      <c r="AD2494">
        <v>-1.1039881097833999</v>
      </c>
      <c r="AE2494">
        <v>2.1261999999999799</v>
      </c>
      <c r="AF2494">
        <v>1.8707234351908999</v>
      </c>
      <c r="AG2494">
        <v>-1.1039881097833999</v>
      </c>
      <c r="AH2494">
        <v>37.590705871622298</v>
      </c>
      <c r="AI2494">
        <v>91.680137848468704</v>
      </c>
      <c r="AJ2494">
        <v>87.150992476982296</v>
      </c>
      <c r="AK2494">
        <v>37.653413707714897</v>
      </c>
    </row>
    <row r="2495" spans="1:37" x14ac:dyDescent="0.2">
      <c r="A2495" t="str">
        <f>"20200111155546899"</f>
        <v>20200111155546899</v>
      </c>
      <c r="B2495" t="str">
        <f>"1578729346894401"</f>
        <v>1578729346894401</v>
      </c>
      <c r="C2495" t="s">
        <v>37</v>
      </c>
      <c r="D2495">
        <v>5.0512819999999996</v>
      </c>
      <c r="E2495">
        <v>0.53805199999999997</v>
      </c>
      <c r="F2495" t="s">
        <v>59</v>
      </c>
      <c r="G2495">
        <v>-363.12439999999998</v>
      </c>
      <c r="H2495" s="1">
        <v>1.258572E-7</v>
      </c>
      <c r="I2495">
        <v>287.04860000000002</v>
      </c>
      <c r="J2495">
        <v>-327.12079999999997</v>
      </c>
      <c r="K2495">
        <v>1.103982</v>
      </c>
      <c r="L2495">
        <v>284.962999999999</v>
      </c>
      <c r="M2495">
        <v>-0.99998019999999999</v>
      </c>
      <c r="N2495">
        <v>0</v>
      </c>
      <c r="O2495">
        <v>6.2016850000000002E-3</v>
      </c>
      <c r="P2495">
        <v>-0.99889050000000001</v>
      </c>
      <c r="Q2495">
        <v>2.5281069999999999E-2</v>
      </c>
      <c r="R2495">
        <v>-3.9738259999999997E-2</v>
      </c>
      <c r="S2495">
        <v>-3.0127869999999999</v>
      </c>
      <c r="T2495">
        <v>-9.1949110000000001E-2</v>
      </c>
      <c r="U2495">
        <v>0.17376710000000001</v>
      </c>
      <c r="V2495">
        <v>-4.5972840000000001E-2</v>
      </c>
      <c r="W2495">
        <v>2.63834999999999E-2</v>
      </c>
      <c r="X2495">
        <v>0.99859419999999899</v>
      </c>
      <c r="Y2495">
        <v>5.1367379999999997E-2</v>
      </c>
      <c r="Z2495">
        <v>5.9396099999999995E-4</v>
      </c>
      <c r="AA2495">
        <v>0.9986796</v>
      </c>
      <c r="AB2495">
        <v>28</v>
      </c>
      <c r="AC2495">
        <v>-36.003599999999999</v>
      </c>
      <c r="AD2495">
        <v>-1.1039818741428</v>
      </c>
      <c r="AE2495">
        <v>2.0856000000000501</v>
      </c>
      <c r="AF2495">
        <v>1.86053330886396</v>
      </c>
      <c r="AG2495">
        <v>-1.1039818741428</v>
      </c>
      <c r="AH2495">
        <v>35.9821237028805</v>
      </c>
      <c r="AI2495">
        <v>91.755020246238203</v>
      </c>
      <c r="AJ2495">
        <v>87.040034223221298</v>
      </c>
      <c r="AK2495">
        <v>36.0471023293305</v>
      </c>
    </row>
    <row r="2496" spans="1:37" x14ac:dyDescent="0.2">
      <c r="A2496" t="str">
        <f>"20200111155546912"</f>
        <v>20200111155546912</v>
      </c>
      <c r="B2496" t="str">
        <f>"1578729346905136"</f>
        <v>1578729346905136</v>
      </c>
      <c r="C2496" t="s">
        <v>37</v>
      </c>
      <c r="D2496">
        <v>5.0193050000000001</v>
      </c>
      <c r="E2496">
        <v>0.5380431</v>
      </c>
      <c r="F2496" t="s">
        <v>59</v>
      </c>
      <c r="G2496">
        <v>-363.13830000000002</v>
      </c>
      <c r="H2496" s="1">
        <v>1.33253399999999E-7</v>
      </c>
      <c r="I2496">
        <v>287.06740000000002</v>
      </c>
      <c r="J2496">
        <v>-327.30329999999998</v>
      </c>
      <c r="K2496">
        <v>1.103974</v>
      </c>
      <c r="L2496">
        <v>284.96350000000001</v>
      </c>
      <c r="M2496">
        <v>-0.99998369999999903</v>
      </c>
      <c r="N2496">
        <v>0</v>
      </c>
      <c r="O2496">
        <v>5.6131380000000002E-3</v>
      </c>
      <c r="P2496">
        <v>-0.99891189999999996</v>
      </c>
      <c r="Q2496">
        <v>2.5123530000000002E-2</v>
      </c>
      <c r="R2496">
        <v>-3.9296490000000003E-2</v>
      </c>
      <c r="S2496">
        <v>-3.0126339999999998</v>
      </c>
      <c r="T2496">
        <v>-9.2341069999999997E-2</v>
      </c>
      <c r="U2496">
        <v>0.1760254</v>
      </c>
      <c r="V2496">
        <v>-4.494364E-2</v>
      </c>
      <c r="W2496">
        <v>2.6132289999999999E-2</v>
      </c>
      <c r="X2496">
        <v>0.99864769999999903</v>
      </c>
      <c r="Y2496">
        <v>5.2703029999999998E-2</v>
      </c>
      <c r="Z2496">
        <v>6.3497499999999997E-4</v>
      </c>
      <c r="AA2496">
        <v>0.99861</v>
      </c>
      <c r="AB2496">
        <v>28</v>
      </c>
      <c r="AC2496">
        <v>-35.835000000000001</v>
      </c>
      <c r="AD2496">
        <v>-1.1039738667465999</v>
      </c>
      <c r="AE2496">
        <v>2.1039000000000101</v>
      </c>
      <c r="AF2496">
        <v>1.9009220160145801</v>
      </c>
      <c r="AG2496">
        <v>-1.1039738667465999</v>
      </c>
      <c r="AH2496">
        <v>35.812372902712802</v>
      </c>
      <c r="AI2496">
        <v>91.763194624395297</v>
      </c>
      <c r="AJ2496">
        <v>86.961589426979202</v>
      </c>
      <c r="AK2496">
        <v>35.879775859561697</v>
      </c>
    </row>
    <row r="2497" spans="1:37" x14ac:dyDescent="0.2">
      <c r="A2497" t="str">
        <f>"20200111155546930"</f>
        <v>20200111155546930</v>
      </c>
      <c r="B2497" t="str">
        <f>"1578729346924656"</f>
        <v>1578729346924656</v>
      </c>
      <c r="C2497" t="s">
        <v>37</v>
      </c>
      <c r="D2497">
        <v>5.0767730000000002</v>
      </c>
      <c r="E2497">
        <v>0.53805459999999905</v>
      </c>
      <c r="F2497" t="s">
        <v>59</v>
      </c>
      <c r="G2497">
        <v>-362.99970000000002</v>
      </c>
      <c r="H2497" s="1">
        <v>5.95088499999999E-8</v>
      </c>
      <c r="I2497">
        <v>287.06119999999999</v>
      </c>
      <c r="J2497">
        <v>-327.51549999999997</v>
      </c>
      <c r="K2497">
        <v>1.103966</v>
      </c>
      <c r="L2497">
        <v>284.96409999999997</v>
      </c>
      <c r="M2497">
        <v>-0.99998729999999902</v>
      </c>
      <c r="N2497">
        <v>0</v>
      </c>
      <c r="O2497">
        <v>4.9304209999999999E-3</v>
      </c>
      <c r="P2497">
        <v>-0.99898899999999902</v>
      </c>
      <c r="Q2497">
        <v>2.4626680000000001E-2</v>
      </c>
      <c r="R2497">
        <v>-3.7610320000000003E-2</v>
      </c>
      <c r="S2497">
        <v>-3.0125120000000001</v>
      </c>
      <c r="T2497">
        <v>-9.3167070000000005E-2</v>
      </c>
      <c r="U2497">
        <v>0.17703250000000001</v>
      </c>
      <c r="V2497">
        <v>-4.2575109999999999E-2</v>
      </c>
      <c r="W2497">
        <v>2.5535970000000002E-2</v>
      </c>
      <c r="X2497">
        <v>0.99876690000000001</v>
      </c>
      <c r="Y2497">
        <v>5.3718630000000003E-2</v>
      </c>
      <c r="Z2497">
        <v>6.7744810000000002E-4</v>
      </c>
      <c r="AA2497">
        <v>0.99855590000000005</v>
      </c>
      <c r="AB2497">
        <v>28</v>
      </c>
      <c r="AC2497">
        <v>-35.484200000000001</v>
      </c>
      <c r="AD2497">
        <v>-1.1039659404911499</v>
      </c>
      <c r="AE2497">
        <v>2.09710000000001</v>
      </c>
      <c r="AF2497">
        <v>1.9202701637906701</v>
      </c>
      <c r="AG2497">
        <v>-1.1039659404911499</v>
      </c>
      <c r="AH2497">
        <v>35.459905260035299</v>
      </c>
      <c r="AI2497">
        <v>91.780594478750203</v>
      </c>
      <c r="AJ2497">
        <v>86.900273329840303</v>
      </c>
      <c r="AK2497">
        <v>35.529017145853999</v>
      </c>
    </row>
    <row r="2498" spans="1:37" x14ac:dyDescent="0.2">
      <c r="A2498" t="str">
        <f>"20200111155546944"</f>
        <v>20200111155546944</v>
      </c>
      <c r="B2498" t="str">
        <f>"1578729346934416"</f>
        <v>1578729346934416</v>
      </c>
      <c r="C2498" t="s">
        <v>37</v>
      </c>
      <c r="D2498">
        <v>5.0753629999999896</v>
      </c>
      <c r="E2498">
        <v>0.53803519999999905</v>
      </c>
      <c r="F2498" t="s">
        <v>59</v>
      </c>
      <c r="G2498">
        <v>-362.30119999999999</v>
      </c>
      <c r="H2498" s="1">
        <v>-3.1217620000000001E-7</v>
      </c>
      <c r="I2498">
        <v>287.0652</v>
      </c>
      <c r="J2498">
        <v>-327.69299999999998</v>
      </c>
      <c r="K2498">
        <v>1.1039620000000001</v>
      </c>
      <c r="L2498">
        <v>284.96440000000001</v>
      </c>
      <c r="M2498">
        <v>-0.99998999999999905</v>
      </c>
      <c r="N2498">
        <v>0</v>
      </c>
      <c r="O2498">
        <v>4.36217799999999E-3</v>
      </c>
      <c r="P2498">
        <v>-0.99897939999999996</v>
      </c>
      <c r="Q2498">
        <v>2.5251719999999998E-2</v>
      </c>
      <c r="R2498">
        <v>-3.7450490000000003E-2</v>
      </c>
      <c r="S2498">
        <v>-3.0122680000000002</v>
      </c>
      <c r="T2498">
        <v>-9.5597860000000007E-2</v>
      </c>
      <c r="U2498">
        <v>0.18194579999999999</v>
      </c>
      <c r="V2498">
        <v>-4.184918E-2</v>
      </c>
      <c r="W2498">
        <v>2.6082250000000001E-2</v>
      </c>
      <c r="X2498">
        <v>0.99878349999999905</v>
      </c>
      <c r="Y2498">
        <v>5.5911049999999997E-2</v>
      </c>
      <c r="Z2498">
        <v>7.4789799999999999E-4</v>
      </c>
      <c r="AA2498">
        <v>0.99843549999999903</v>
      </c>
      <c r="AB2498">
        <v>28</v>
      </c>
      <c r="AC2498">
        <v>-34.608199999999897</v>
      </c>
      <c r="AD2498">
        <v>-1.1039623121761999</v>
      </c>
      <c r="AE2498">
        <v>2.1007999999999898</v>
      </c>
      <c r="AF2498">
        <v>1.94783808816846</v>
      </c>
      <c r="AG2498">
        <v>-1.1039623121761999</v>
      </c>
      <c r="AH2498">
        <v>34.581975518265203</v>
      </c>
      <c r="AI2498">
        <v>91.825543847457794</v>
      </c>
      <c r="AJ2498">
        <v>86.776207755095101</v>
      </c>
      <c r="AK2498">
        <v>34.654376877247699</v>
      </c>
    </row>
    <row r="2499" spans="1:37" x14ac:dyDescent="0.2">
      <c r="A2499" t="str">
        <f>"20200111155546958"</f>
        <v>20200111155546958</v>
      </c>
      <c r="B2499" t="str">
        <f>"1578729346954912"</f>
        <v>1578729346954912</v>
      </c>
      <c r="C2499" t="s">
        <v>37</v>
      </c>
      <c r="D2499">
        <v>5.0852459999999997</v>
      </c>
      <c r="E2499">
        <v>0.53798679999999999</v>
      </c>
      <c r="F2499" t="s">
        <v>59</v>
      </c>
      <c r="G2499">
        <v>-362.9006</v>
      </c>
      <c r="H2499" s="1">
        <v>6.7875159999999997E-9</v>
      </c>
      <c r="I2499">
        <v>287.09280000000001</v>
      </c>
      <c r="J2499">
        <v>-327.87610000000001</v>
      </c>
      <c r="K2499">
        <v>1.1039589999999999</v>
      </c>
      <c r="L2499">
        <v>284.96469999999999</v>
      </c>
      <c r="M2499">
        <v>-0.99999249999999995</v>
      </c>
      <c r="N2499">
        <v>0</v>
      </c>
      <c r="O2499">
        <v>3.7784339999999998E-3</v>
      </c>
      <c r="P2499">
        <v>-0.99895149999999999</v>
      </c>
      <c r="Q2499">
        <v>2.6742459999999999E-2</v>
      </c>
      <c r="R2499">
        <v>-3.7159070000000002E-2</v>
      </c>
      <c r="S2499">
        <v>-3.0122990000000001</v>
      </c>
      <c r="T2499">
        <v>-9.445286E-2</v>
      </c>
      <c r="U2499">
        <v>0.18209839999999999</v>
      </c>
      <c r="V2499">
        <v>-4.0977020000000003E-2</v>
      </c>
      <c r="W2499">
        <v>2.7496989999999999E-2</v>
      </c>
      <c r="X2499">
        <v>0.998781699999999</v>
      </c>
      <c r="Y2499">
        <v>5.6543669999999997E-2</v>
      </c>
      <c r="Z2499">
        <v>7.6712419999999996E-4</v>
      </c>
      <c r="AA2499">
        <v>0.99839990000000001</v>
      </c>
      <c r="AB2499">
        <v>28</v>
      </c>
      <c r="AC2499">
        <v>-35.024499999999897</v>
      </c>
      <c r="AD2499">
        <v>-1.10395899321248</v>
      </c>
      <c r="AE2499">
        <v>2.1281000000000101</v>
      </c>
      <c r="AF2499">
        <v>1.9937734980961701</v>
      </c>
      <c r="AG2499">
        <v>-1.10395899321248</v>
      </c>
      <c r="AH2499">
        <v>34.997649069786299</v>
      </c>
      <c r="AI2499">
        <v>91.803805012074406</v>
      </c>
      <c r="AJ2499">
        <v>86.739453390667293</v>
      </c>
      <c r="AK2499">
        <v>35.071773531321803</v>
      </c>
    </row>
    <row r="2500" spans="1:37" x14ac:dyDescent="0.2">
      <c r="A2500" t="str">
        <f>"20200111155546971"</f>
        <v>20200111155546971</v>
      </c>
      <c r="B2500" t="str">
        <f>"1578729346964672"</f>
        <v>1578729346964672</v>
      </c>
      <c r="C2500" t="s">
        <v>37</v>
      </c>
      <c r="D2500">
        <v>5.0645860000000003</v>
      </c>
      <c r="E2500">
        <v>0.5379661</v>
      </c>
      <c r="F2500" t="s">
        <v>59</v>
      </c>
      <c r="G2500">
        <v>-364.70409999999998</v>
      </c>
      <c r="H2500" s="1">
        <v>9.6650289999999991E-7</v>
      </c>
      <c r="I2500">
        <v>287.19839999999999</v>
      </c>
      <c r="J2500">
        <v>-328.04500000000002</v>
      </c>
      <c r="K2500">
        <v>1.1039559999999999</v>
      </c>
      <c r="L2500">
        <v>284.96480000000003</v>
      </c>
      <c r="M2500">
        <v>-0.99999450000000001</v>
      </c>
      <c r="N2500">
        <v>0</v>
      </c>
      <c r="O2500">
        <v>3.2473670000000001E-3</v>
      </c>
      <c r="P2500">
        <v>-0.99891189999999996</v>
      </c>
      <c r="Q2500">
        <v>2.8268419999999999E-2</v>
      </c>
      <c r="R2500">
        <v>-3.7095309999999999E-2</v>
      </c>
      <c r="S2500">
        <v>-3.0123599999999899</v>
      </c>
      <c r="T2500">
        <v>-9.0298649999999994E-2</v>
      </c>
      <c r="U2500">
        <v>0.1827087</v>
      </c>
      <c r="V2500">
        <v>-4.0385259999999999E-2</v>
      </c>
      <c r="W2500">
        <v>2.8961250000000001E-2</v>
      </c>
      <c r="X2500">
        <v>0.9987644</v>
      </c>
      <c r="Y2500">
        <v>5.727587E-2</v>
      </c>
      <c r="Z2500">
        <v>7.6024259999999896E-4</v>
      </c>
      <c r="AA2500">
        <v>0.99835810000000003</v>
      </c>
      <c r="AB2500">
        <v>29</v>
      </c>
      <c r="AC2500">
        <v>-36.659099999999903</v>
      </c>
      <c r="AD2500">
        <v>-1.1039550334971</v>
      </c>
      <c r="AE2500">
        <v>2.2335999999999601</v>
      </c>
      <c r="AF2500">
        <v>2.1126338718170601</v>
      </c>
      <c r="AG2500">
        <v>-1.1039550334971</v>
      </c>
      <c r="AH2500">
        <v>36.633061922690899</v>
      </c>
      <c r="AI2500">
        <v>91.723252097871793</v>
      </c>
      <c r="AJ2500">
        <v>86.699400132142799</v>
      </c>
      <c r="AK2500">
        <v>36.7105320640282</v>
      </c>
    </row>
    <row r="2501" spans="1:37" x14ac:dyDescent="0.2">
      <c r="A2501" t="str">
        <f>"20200111155546986"</f>
        <v>20200111155546986</v>
      </c>
      <c r="B2501" t="str">
        <f>"1578729346974433"</f>
        <v>1578729346974433</v>
      </c>
      <c r="C2501" t="s">
        <v>37</v>
      </c>
      <c r="D2501">
        <v>5.0656879999999997</v>
      </c>
      <c r="E2501">
        <v>0.5379661</v>
      </c>
      <c r="F2501" t="s">
        <v>59</v>
      </c>
      <c r="G2501">
        <v>-366.6918</v>
      </c>
      <c r="H2501" s="1">
        <v>2.02424299999999E-6</v>
      </c>
      <c r="I2501">
        <v>287.30489999999998</v>
      </c>
      <c r="J2501">
        <v>-328.22969999999998</v>
      </c>
      <c r="K2501">
        <v>1.103952</v>
      </c>
      <c r="L2501">
        <v>284.9649</v>
      </c>
      <c r="M2501">
        <v>-0.9999962</v>
      </c>
      <c r="N2501">
        <v>0</v>
      </c>
      <c r="O2501">
        <v>2.6729109999999901E-3</v>
      </c>
      <c r="P2501">
        <v>-0.9988456</v>
      </c>
      <c r="Q2501">
        <v>3.0459050000000001E-2</v>
      </c>
      <c r="R2501">
        <v>-3.7148639999999997E-2</v>
      </c>
      <c r="S2501">
        <v>-3.0124819999999999</v>
      </c>
      <c r="T2501">
        <v>-8.6052299999999998E-2</v>
      </c>
      <c r="U2501">
        <v>0.1824036</v>
      </c>
      <c r="V2501">
        <v>-3.9867880000000001E-2</v>
      </c>
      <c r="W2501">
        <v>3.108841E-2</v>
      </c>
      <c r="X2501">
        <v>0.99872119999999998</v>
      </c>
      <c r="Y2501">
        <v>5.7747949999999999E-2</v>
      </c>
      <c r="Z2501">
        <v>7.4760479999999997E-4</v>
      </c>
      <c r="AA2501">
        <v>0.99833090000000002</v>
      </c>
      <c r="AB2501">
        <v>29</v>
      </c>
      <c r="AC2501">
        <v>-38.4621</v>
      </c>
      <c r="AD2501">
        <v>-1.1039499757569999</v>
      </c>
      <c r="AE2501">
        <v>2.3399999999999701</v>
      </c>
      <c r="AF2501">
        <v>2.2353511095238501</v>
      </c>
      <c r="AG2501">
        <v>-1.1039499757569999</v>
      </c>
      <c r="AH2501">
        <v>38.436669058677801</v>
      </c>
      <c r="AI2501">
        <v>91.642381753956499</v>
      </c>
      <c r="AJ2501">
        <v>86.671613684973593</v>
      </c>
      <c r="AK2501">
        <v>38.517437978896602</v>
      </c>
    </row>
    <row r="2502" spans="1:37" x14ac:dyDescent="0.2">
      <c r="A2502" t="str">
        <f>"20200111155547008"</f>
        <v>20200111155547008</v>
      </c>
      <c r="B2502" t="str">
        <f>"1578729347004689"</f>
        <v>1578729347004689</v>
      </c>
      <c r="C2502" t="s">
        <v>37</v>
      </c>
      <c r="D2502">
        <v>5.0624289999999998</v>
      </c>
      <c r="E2502">
        <v>0.52201969999999998</v>
      </c>
      <c r="F2502" t="s">
        <v>59</v>
      </c>
      <c r="G2502">
        <v>-369.97210000000001</v>
      </c>
      <c r="H2502" s="1">
        <v>-1.551635E-6</v>
      </c>
      <c r="I2502">
        <v>287.49259999999998</v>
      </c>
      <c r="J2502">
        <v>-328.5231</v>
      </c>
      <c r="K2502">
        <v>1.1039330000000001</v>
      </c>
      <c r="L2502">
        <v>284.9649</v>
      </c>
      <c r="M2502">
        <v>-0.99999830000000001</v>
      </c>
      <c r="N2502">
        <v>0</v>
      </c>
      <c r="O2502">
        <v>1.7806789999999901E-3</v>
      </c>
      <c r="P2502">
        <v>-0.99880100000000005</v>
      </c>
      <c r="Q2502">
        <v>3.0802590000000001E-2</v>
      </c>
      <c r="R2502">
        <v>-3.8052229999999999E-2</v>
      </c>
      <c r="S2502">
        <v>-3.0126949999999999</v>
      </c>
      <c r="T2502">
        <v>-7.9676150000000001E-2</v>
      </c>
      <c r="U2502">
        <v>0.18243409999999999</v>
      </c>
      <c r="V2502">
        <v>-3.9880430000000001E-2</v>
      </c>
      <c r="W2502">
        <v>3.13434E-2</v>
      </c>
      <c r="X2502">
        <v>0.99871270000000001</v>
      </c>
      <c r="Y2502">
        <v>5.8647060000000001E-2</v>
      </c>
      <c r="Z2502">
        <v>7.2762740000000003E-4</v>
      </c>
      <c r="AA2502">
        <v>0.99827849999999996</v>
      </c>
      <c r="AB2502">
        <v>29</v>
      </c>
      <c r="AC2502">
        <v>-41.448999999999998</v>
      </c>
      <c r="AD2502">
        <v>-1.1039345516350001</v>
      </c>
      <c r="AE2502">
        <v>2.5276999999999799</v>
      </c>
      <c r="AF2502">
        <v>2.45215563669572</v>
      </c>
      <c r="AG2502">
        <v>-1.1039345516350001</v>
      </c>
      <c r="AH2502">
        <v>41.424160092572301</v>
      </c>
      <c r="AI2502">
        <v>91.523878105176806</v>
      </c>
      <c r="AJ2502">
        <v>86.612257160335005</v>
      </c>
      <c r="AK2502">
        <v>41.511357218668898</v>
      </c>
    </row>
    <row r="2503" spans="1:37" x14ac:dyDescent="0.2">
      <c r="A2503" t="str">
        <f>"20200111155547021"</f>
        <v>20200111155547021</v>
      </c>
      <c r="B2503" t="str">
        <f>"1578729347014448"</f>
        <v>1578729347014448</v>
      </c>
      <c r="C2503" t="s">
        <v>37</v>
      </c>
      <c r="D2503">
        <v>5.1414150000000003</v>
      </c>
      <c r="E2503">
        <v>0.52064379999999999</v>
      </c>
      <c r="F2503" t="s">
        <v>59</v>
      </c>
      <c r="G2503">
        <v>-355.01369999999997</v>
      </c>
      <c r="H2503" s="1">
        <v>1.131259E-6</v>
      </c>
      <c r="I2503">
        <v>285.4033</v>
      </c>
      <c r="J2503">
        <v>-328.68180000000001</v>
      </c>
      <c r="K2503">
        <v>1.103918</v>
      </c>
      <c r="L2503">
        <v>284.96469999999999</v>
      </c>
      <c r="M2503">
        <v>-0.99999899999999997</v>
      </c>
      <c r="N2503">
        <v>0</v>
      </c>
      <c r="O2503">
        <v>1.309742E-3</v>
      </c>
      <c r="P2503">
        <v>-0.99880179999999996</v>
      </c>
      <c r="Q2503">
        <v>3.0119279999999998E-2</v>
      </c>
      <c r="R2503">
        <v>-3.857203E-2</v>
      </c>
      <c r="S2503">
        <v>-3.009369</v>
      </c>
      <c r="T2503">
        <v>-0.12540809999999999</v>
      </c>
      <c r="U2503">
        <v>4.9804689999999999E-2</v>
      </c>
      <c r="V2503">
        <v>-3.9928949999999998E-2</v>
      </c>
      <c r="W2503">
        <v>3.0617519999999999E-2</v>
      </c>
      <c r="X2503">
        <v>0.99873330000000005</v>
      </c>
      <c r="Y2503">
        <v>1.522596E-2</v>
      </c>
      <c r="Z2503">
        <v>2.6254039999999999E-4</v>
      </c>
      <c r="AA2503">
        <v>0.99988410000000005</v>
      </c>
      <c r="AB2503">
        <v>29</v>
      </c>
      <c r="AC2503">
        <v>-26.331899999999901</v>
      </c>
      <c r="AD2503">
        <v>-1.1039168687409999</v>
      </c>
      <c r="AE2503">
        <v>0.43860000000000798</v>
      </c>
      <c r="AF2503">
        <v>0.40340281848770398</v>
      </c>
      <c r="AG2503">
        <v>-1.1039168687409999</v>
      </c>
      <c r="AH2503">
        <v>26.286265186665901</v>
      </c>
      <c r="AI2503">
        <v>92.404495234086397</v>
      </c>
      <c r="AJ2503">
        <v>89.120777922577304</v>
      </c>
      <c r="AK2503">
        <v>26.3125275059387</v>
      </c>
    </row>
    <row r="2504" spans="1:37" x14ac:dyDescent="0.2">
      <c r="A2504" t="str">
        <f>"20200111155547033"</f>
        <v>20200111155547033</v>
      </c>
      <c r="B2504" t="str">
        <f>"1578729347025184"</f>
        <v>1578729347025184</v>
      </c>
      <c r="C2504" t="s">
        <v>37</v>
      </c>
      <c r="D2504">
        <v>5.0850200000000001</v>
      </c>
      <c r="E2504">
        <v>0.52017579999999997</v>
      </c>
      <c r="F2504" t="s">
        <v>59</v>
      </c>
      <c r="G2504">
        <v>-354.84589999999997</v>
      </c>
      <c r="H2504" s="1">
        <v>1.0419309999999999E-6</v>
      </c>
      <c r="I2504">
        <v>285.29109999999997</v>
      </c>
      <c r="J2504">
        <v>-328.85570000000001</v>
      </c>
      <c r="K2504">
        <v>1.103898</v>
      </c>
      <c r="L2504">
        <v>284.96449999999999</v>
      </c>
      <c r="M2504">
        <v>-0.99999959999999899</v>
      </c>
      <c r="N2504">
        <v>0</v>
      </c>
      <c r="O2504">
        <v>8.0900699999999896E-4</v>
      </c>
      <c r="P2504">
        <v>-0.99878659999999997</v>
      </c>
      <c r="Q2504">
        <v>2.9551830000000001E-2</v>
      </c>
      <c r="R2504">
        <v>-3.939554E-2</v>
      </c>
      <c r="S2504">
        <v>-3.0088499999999998</v>
      </c>
      <c r="T2504">
        <v>-0.1269499</v>
      </c>
      <c r="U2504">
        <v>3.753662E-2</v>
      </c>
      <c r="V2504">
        <v>-4.0250189999999998E-2</v>
      </c>
      <c r="W2504">
        <v>3.0008880000000002E-2</v>
      </c>
      <c r="X2504">
        <v>0.99873889999999999</v>
      </c>
      <c r="Y2504">
        <v>1.1655840000000001E-2</v>
      </c>
      <c r="Z2504">
        <v>2.1165639999999901E-4</v>
      </c>
      <c r="AA2504">
        <v>0.99993209999999999</v>
      </c>
      <c r="AB2504">
        <v>29</v>
      </c>
      <c r="AC2504">
        <v>-25.990199999999898</v>
      </c>
      <c r="AD2504">
        <v>-1.1038969580689999</v>
      </c>
      <c r="AE2504">
        <v>0.32659999999998401</v>
      </c>
      <c r="AF2504">
        <v>0.30502346077284098</v>
      </c>
      <c r="AG2504">
        <v>-1.1038969580689999</v>
      </c>
      <c r="AH2504">
        <v>25.943660602487899</v>
      </c>
      <c r="AI2504">
        <v>92.436284755464399</v>
      </c>
      <c r="AJ2504">
        <v>89.3263960693629</v>
      </c>
      <c r="AK2504">
        <v>25.968926686768199</v>
      </c>
    </row>
    <row r="2505" spans="1:37" x14ac:dyDescent="0.2">
      <c r="A2505" t="str">
        <f>"20200111155547047"</f>
        <v>20200111155547047</v>
      </c>
      <c r="B2505" t="str">
        <f>"1578729347044704"</f>
        <v>1578729347044704</v>
      </c>
      <c r="C2505" t="s">
        <v>37</v>
      </c>
      <c r="D2505">
        <v>5.1392110000000004</v>
      </c>
      <c r="E2505">
        <v>0.52024040000000005</v>
      </c>
      <c r="F2505" t="s">
        <v>59</v>
      </c>
      <c r="G2505">
        <v>-353.86500000000001</v>
      </c>
      <c r="H2505" s="1">
        <v>5.1997529999999997E-7</v>
      </c>
      <c r="I2505">
        <v>285.22019999999998</v>
      </c>
      <c r="J2505">
        <v>-329.03429999999997</v>
      </c>
      <c r="K2505">
        <v>1.103877</v>
      </c>
      <c r="L2505">
        <v>284.96420000000001</v>
      </c>
      <c r="M2505">
        <v>-0.99999979999999999</v>
      </c>
      <c r="N2505">
        <v>0</v>
      </c>
      <c r="O2505">
        <v>3.1035889999999998E-4</v>
      </c>
      <c r="P2505">
        <v>-0.99876540000000003</v>
      </c>
      <c r="Q2505">
        <v>2.9203969999999999E-2</v>
      </c>
      <c r="R2505">
        <v>-4.0187979999999998E-2</v>
      </c>
      <c r="S2505">
        <v>-3.0087890000000002</v>
      </c>
      <c r="T2505">
        <v>-0.13280620000000001</v>
      </c>
      <c r="U2505">
        <v>3.0761719999999999E-2</v>
      </c>
      <c r="V2505">
        <v>-4.0543540000000003E-2</v>
      </c>
      <c r="W2505">
        <v>2.962329E-2</v>
      </c>
      <c r="X2505">
        <v>0.99873849999999997</v>
      </c>
      <c r="Y2505">
        <v>9.9037359999999998E-3</v>
      </c>
      <c r="Z2505">
        <v>2.0476859999999999E-4</v>
      </c>
      <c r="AA2505">
        <v>0.99995089999999998</v>
      </c>
      <c r="AB2505">
        <v>29</v>
      </c>
      <c r="AC2505">
        <v>-24.8307</v>
      </c>
      <c r="AD2505">
        <v>-1.1038764800247001</v>
      </c>
      <c r="AE2505">
        <v>0.25599999999997097</v>
      </c>
      <c r="AF2505">
        <v>0.24780386357617201</v>
      </c>
      <c r="AG2505">
        <v>-1.1038764800247001</v>
      </c>
      <c r="AH2505">
        <v>24.781806031927701</v>
      </c>
      <c r="AI2505">
        <v>92.5503599968538</v>
      </c>
      <c r="AJ2505">
        <v>89.427094122044494</v>
      </c>
      <c r="AK2505">
        <v>24.807616980315601</v>
      </c>
    </row>
    <row r="2506" spans="1:37" x14ac:dyDescent="0.2">
      <c r="A2506" t="str">
        <f>"20200111155547060"</f>
        <v>20200111155547060</v>
      </c>
      <c r="B2506" t="str">
        <f>"1578729347054466"</f>
        <v>1578729347054466</v>
      </c>
      <c r="C2506" t="s">
        <v>37</v>
      </c>
      <c r="D2506">
        <v>5.0681949999999896</v>
      </c>
      <c r="E2506">
        <v>0.52007490000000001</v>
      </c>
      <c r="F2506" t="s">
        <v>59</v>
      </c>
      <c r="G2506">
        <v>-353.94040000000001</v>
      </c>
      <c r="H2506" s="1">
        <v>5.6011249999999997E-7</v>
      </c>
      <c r="I2506">
        <v>285.20519999999999</v>
      </c>
      <c r="J2506">
        <v>-329.20679999999999</v>
      </c>
      <c r="K2506">
        <v>1.103861</v>
      </c>
      <c r="L2506">
        <v>284.96379999999999</v>
      </c>
      <c r="M2506">
        <v>-0.99999989999999905</v>
      </c>
      <c r="N2506">
        <v>0</v>
      </c>
      <c r="O2506">
        <v>-1.5938430000000001E-4</v>
      </c>
      <c r="P2506">
        <v>-0.99872119999999998</v>
      </c>
      <c r="Q2506">
        <v>2.9757619999999999E-2</v>
      </c>
      <c r="R2506">
        <v>-4.0869589999999997E-2</v>
      </c>
      <c r="S2506">
        <v>-3.0087890000000002</v>
      </c>
      <c r="T2506">
        <v>-0.133354</v>
      </c>
      <c r="U2506">
        <v>2.9113770000000001E-2</v>
      </c>
      <c r="V2506">
        <v>-4.0755769999999997E-2</v>
      </c>
      <c r="W2506">
        <v>3.014472E-2</v>
      </c>
      <c r="X2506">
        <v>0.99871430000000005</v>
      </c>
      <c r="Y2506">
        <v>9.8253660000000003E-3</v>
      </c>
      <c r="Z2506">
        <v>2.2468609999999999E-4</v>
      </c>
      <c r="AA2506">
        <v>0.9999517</v>
      </c>
      <c r="AB2506">
        <v>29</v>
      </c>
      <c r="AC2506">
        <v>-24.733599999999999</v>
      </c>
      <c r="AD2506">
        <v>-1.1038604398875</v>
      </c>
      <c r="AE2506">
        <v>0.24139999999999801</v>
      </c>
      <c r="AF2506">
        <v>0.244854481176595</v>
      </c>
      <c r="AG2506">
        <v>-1.1038604398875</v>
      </c>
      <c r="AH2506">
        <v>24.684398608991099</v>
      </c>
      <c r="AI2506">
        <v>92.560375521003706</v>
      </c>
      <c r="AJ2506">
        <v>89.431678750380897</v>
      </c>
      <c r="AK2506">
        <v>24.7102811856778</v>
      </c>
    </row>
    <row r="2507" spans="1:37" x14ac:dyDescent="0.2">
      <c r="A2507" t="str">
        <f>"20200111155547074"</f>
        <v>20200111155547074</v>
      </c>
      <c r="B2507" t="str">
        <f>"1578729347065200"</f>
        <v>1578729347065200</v>
      </c>
      <c r="C2507" t="s">
        <v>37</v>
      </c>
      <c r="D2507">
        <v>5.1715279999999897</v>
      </c>
      <c r="E2507">
        <v>0.51957429999999905</v>
      </c>
      <c r="F2507" t="s">
        <v>59</v>
      </c>
      <c r="G2507">
        <v>-354.47239999999999</v>
      </c>
      <c r="H2507" s="1">
        <v>8.4322930000000002E-7</v>
      </c>
      <c r="I2507">
        <v>285.178</v>
      </c>
      <c r="J2507">
        <v>-329.40449999999998</v>
      </c>
      <c r="K2507">
        <v>1.103842</v>
      </c>
      <c r="L2507">
        <v>284.9633</v>
      </c>
      <c r="M2507">
        <v>-0.99999979999999999</v>
      </c>
      <c r="N2507">
        <v>0</v>
      </c>
      <c r="O2507">
        <v>-6.7298819999999997E-4</v>
      </c>
      <c r="P2507">
        <v>-0.99858250000000004</v>
      </c>
      <c r="Q2507">
        <v>3.238489E-2</v>
      </c>
      <c r="R2507">
        <v>-4.2241059999999997E-2</v>
      </c>
      <c r="S2507">
        <v>-3.0088200000000001</v>
      </c>
      <c r="T2507">
        <v>-0.13145560000000001</v>
      </c>
      <c r="U2507">
        <v>2.5512699999999999E-2</v>
      </c>
      <c r="V2507">
        <v>-4.1617670000000002E-2</v>
      </c>
      <c r="W2507">
        <v>3.2739810000000001E-2</v>
      </c>
      <c r="X2507">
        <v>0.99859699999999996</v>
      </c>
      <c r="Y2507">
        <v>9.1425989999999995E-3</v>
      </c>
      <c r="Z2507">
        <v>2.2901009999999901E-4</v>
      </c>
      <c r="AA2507">
        <v>0.99995820000000002</v>
      </c>
      <c r="AB2507">
        <v>30</v>
      </c>
      <c r="AC2507">
        <v>-25.067900000000002</v>
      </c>
      <c r="AD2507">
        <v>-1.1038411567706901</v>
      </c>
      <c r="AE2507">
        <v>0.21469999999999301</v>
      </c>
      <c r="AF2507">
        <v>0.23112223924980899</v>
      </c>
      <c r="AG2507">
        <v>-1.1038411567706901</v>
      </c>
      <c r="AH2507">
        <v>25.019241143931801</v>
      </c>
      <c r="AI2507">
        <v>92.526126077654197</v>
      </c>
      <c r="AJ2507">
        <v>89.470729263180303</v>
      </c>
      <c r="AK2507">
        <v>25.044646338231001</v>
      </c>
    </row>
    <row r="2508" spans="1:37" x14ac:dyDescent="0.2">
      <c r="A2508" t="str">
        <f>"20200111155547088"</f>
        <v>20200111155547088</v>
      </c>
      <c r="B2508" t="str">
        <f>"1578729347084721"</f>
        <v>1578729347084721</v>
      </c>
      <c r="C2508" t="s">
        <v>37</v>
      </c>
      <c r="D2508">
        <v>5.0988600000000002</v>
      </c>
      <c r="E2508">
        <v>0.51935019999999998</v>
      </c>
      <c r="F2508" t="s">
        <v>59</v>
      </c>
      <c r="G2508">
        <v>-356.48430000000002</v>
      </c>
      <c r="H2508" s="1">
        <v>1.913861E-6</v>
      </c>
      <c r="I2508">
        <v>285.11959999999999</v>
      </c>
      <c r="J2508">
        <v>-329.57420000000002</v>
      </c>
      <c r="K2508">
        <v>1.1038250000000001</v>
      </c>
      <c r="L2508">
        <v>284.96280000000002</v>
      </c>
      <c r="M2508">
        <v>-0.99999950000000004</v>
      </c>
      <c r="N2508">
        <v>0</v>
      </c>
      <c r="O2508">
        <v>-1.093145E-3</v>
      </c>
      <c r="P2508">
        <v>-0.99851859999999903</v>
      </c>
      <c r="Q2508">
        <v>3.3266450000000003E-2</v>
      </c>
      <c r="R2508">
        <v>-4.3060500000000002E-2</v>
      </c>
      <c r="S2508">
        <v>-3.0090029999999999</v>
      </c>
      <c r="T2508">
        <v>-0.12265429999999999</v>
      </c>
      <c r="U2508">
        <v>1.7364500000000001E-2</v>
      </c>
      <c r="V2508">
        <v>-4.2016919999999999E-2</v>
      </c>
      <c r="W2508">
        <v>3.3598599999999999E-2</v>
      </c>
      <c r="X2508">
        <v>0.99855179999999999</v>
      </c>
      <c r="Y2508">
        <v>6.8572750000000003E-3</v>
      </c>
      <c r="Z2508">
        <v>1.8424089999999999E-4</v>
      </c>
      <c r="AA2508">
        <v>0.99997649999999905</v>
      </c>
      <c r="AB2508">
        <v>30</v>
      </c>
      <c r="AC2508">
        <v>-26.9101</v>
      </c>
      <c r="AD2508">
        <v>-1.1038230861389999</v>
      </c>
      <c r="AE2508">
        <v>0.15679999999997499</v>
      </c>
      <c r="AF2508">
        <v>0.18590376270747899</v>
      </c>
      <c r="AG2508">
        <v>-1.1038230861389999</v>
      </c>
      <c r="AH2508">
        <v>26.864712792874499</v>
      </c>
      <c r="AI2508">
        <v>92.352801550013197</v>
      </c>
      <c r="AJ2508">
        <v>89.603519640609605</v>
      </c>
      <c r="AK2508">
        <v>26.888022966706099</v>
      </c>
    </row>
    <row r="2509" spans="1:37" x14ac:dyDescent="0.2">
      <c r="A2509" t="str">
        <f>"20200111155547101"</f>
        <v>20200111155547101</v>
      </c>
      <c r="B2509" t="str">
        <f>"1578729347094481"</f>
        <v>1578729347094481</v>
      </c>
      <c r="C2509" t="s">
        <v>37</v>
      </c>
      <c r="D2509">
        <v>5.0515379999999999</v>
      </c>
      <c r="E2509">
        <v>0.51932679999999998</v>
      </c>
      <c r="F2509" t="s">
        <v>59</v>
      </c>
      <c r="G2509">
        <v>-356.3999</v>
      </c>
      <c r="H2509" s="1">
        <v>1.868944E-6</v>
      </c>
      <c r="I2509">
        <v>285.075999999999</v>
      </c>
      <c r="J2509">
        <v>-329.74209999999999</v>
      </c>
      <c r="K2509">
        <v>1.103804</v>
      </c>
      <c r="L2509">
        <v>284.96230000000003</v>
      </c>
      <c r="M2509">
        <v>-0.99999889999999902</v>
      </c>
      <c r="N2509">
        <v>0</v>
      </c>
      <c r="O2509">
        <v>-1.4978070000000001E-3</v>
      </c>
      <c r="P2509">
        <v>-0.99846659999999898</v>
      </c>
      <c r="Q2509">
        <v>3.380876E-2</v>
      </c>
      <c r="R2509">
        <v>-4.383273E-2</v>
      </c>
      <c r="S2509">
        <v>-3.009125</v>
      </c>
      <c r="T2509">
        <v>-0.123819</v>
      </c>
      <c r="U2509">
        <v>1.269531E-2</v>
      </c>
      <c r="V2509">
        <v>-4.2384709999999999E-2</v>
      </c>
      <c r="W2509">
        <v>3.4120909999999997E-2</v>
      </c>
      <c r="X2509">
        <v>0.99851849999999998</v>
      </c>
      <c r="Y2509">
        <v>5.7105899999999998E-3</v>
      </c>
      <c r="Z2509">
        <v>1.790443E-4</v>
      </c>
      <c r="AA2509">
        <v>0.99998369999999903</v>
      </c>
      <c r="AB2509">
        <v>30</v>
      </c>
      <c r="AC2509">
        <v>-26.657800000000002</v>
      </c>
      <c r="AD2509">
        <v>-1.103802131056</v>
      </c>
      <c r="AE2509">
        <v>0.113699999999937</v>
      </c>
      <c r="AF2509">
        <v>0.15336517343824399</v>
      </c>
      <c r="AG2509">
        <v>-1.103802131056</v>
      </c>
      <c r="AH2509">
        <v>26.6119747789736</v>
      </c>
      <c r="AI2509">
        <v>92.375093365884794</v>
      </c>
      <c r="AJ2509">
        <v>89.669807297039796</v>
      </c>
      <c r="AK2509">
        <v>26.635298039587902</v>
      </c>
    </row>
    <row r="2510" spans="1:37" x14ac:dyDescent="0.2">
      <c r="A2510" t="str">
        <f>"20200111155547114"</f>
        <v>20200111155547114</v>
      </c>
      <c r="B2510" t="str">
        <f>"1578729347105216"</f>
        <v>1578729347105216</v>
      </c>
      <c r="C2510" t="s">
        <v>37</v>
      </c>
      <c r="D2510">
        <v>5.0838019999999897</v>
      </c>
      <c r="E2510">
        <v>0.51938149999999905</v>
      </c>
      <c r="F2510" t="s">
        <v>59</v>
      </c>
      <c r="G2510">
        <v>-357.0206</v>
      </c>
      <c r="H2510" s="1">
        <v>2.1992390000000001E-6</v>
      </c>
      <c r="I2510">
        <v>285.05410000000001</v>
      </c>
      <c r="J2510">
        <v>-329.9332</v>
      </c>
      <c r="K2510">
        <v>1.103774</v>
      </c>
      <c r="L2510">
        <v>284.96159999999998</v>
      </c>
      <c r="M2510">
        <v>-0.99999819999999995</v>
      </c>
      <c r="N2510">
        <v>0</v>
      </c>
      <c r="O2510">
        <v>-1.93274299999999E-3</v>
      </c>
      <c r="P2510">
        <v>-0.99843570000000004</v>
      </c>
      <c r="Q2510">
        <v>3.3983090000000001E-2</v>
      </c>
      <c r="R2510">
        <v>-4.4405109999999998E-2</v>
      </c>
      <c r="S2510">
        <v>-3.0092159999999999</v>
      </c>
      <c r="T2510">
        <v>-0.1217651</v>
      </c>
      <c r="U2510">
        <v>1.013184E-2</v>
      </c>
      <c r="V2510">
        <v>-4.2521120000000003E-2</v>
      </c>
      <c r="W2510">
        <v>3.4276750000000002E-2</v>
      </c>
      <c r="X2510">
        <v>0.99850740000000004</v>
      </c>
      <c r="Y2510">
        <v>5.2937280000000001E-3</v>
      </c>
      <c r="Z2510">
        <v>1.8523319999999999E-4</v>
      </c>
      <c r="AA2510">
        <v>0.99998600000000004</v>
      </c>
      <c r="AB2510">
        <v>30</v>
      </c>
      <c r="AC2510">
        <v>-27.087399999999999</v>
      </c>
      <c r="AD2510">
        <v>-1.103771800761</v>
      </c>
      <c r="AE2510">
        <v>9.2500000000029503E-2</v>
      </c>
      <c r="AF2510">
        <v>0.14461268811262801</v>
      </c>
      <c r="AG2510">
        <v>-1.103771800761</v>
      </c>
      <c r="AH2510">
        <v>27.042269008703698</v>
      </c>
      <c r="AI2510">
        <v>92.337284572788903</v>
      </c>
      <c r="AJ2510">
        <v>89.693604937201897</v>
      </c>
      <c r="AK2510">
        <v>27.0651720511216</v>
      </c>
    </row>
    <row r="2511" spans="1:37" x14ac:dyDescent="0.2">
      <c r="A2511" t="str">
        <f>"20200111155547130"</f>
        <v>20200111155547130</v>
      </c>
      <c r="B2511" t="str">
        <f>"1578729347124736"</f>
        <v>1578729347124736</v>
      </c>
      <c r="C2511" t="s">
        <v>37</v>
      </c>
      <c r="D2511">
        <v>5.0826120000000001</v>
      </c>
      <c r="E2511">
        <v>0.51954309999999904</v>
      </c>
      <c r="F2511" t="s">
        <v>59</v>
      </c>
      <c r="G2511">
        <v>-357.21679999999998</v>
      </c>
      <c r="H2511" s="1">
        <v>2.3036299999999998E-6</v>
      </c>
      <c r="I2511">
        <v>285.0421</v>
      </c>
      <c r="J2511">
        <v>-330.14819999999997</v>
      </c>
      <c r="K2511">
        <v>1.103742</v>
      </c>
      <c r="L2511">
        <v>284.96069999999997</v>
      </c>
      <c r="M2511">
        <v>-0.99999699999999903</v>
      </c>
      <c r="N2511">
        <v>0</v>
      </c>
      <c r="O2511">
        <v>-2.3958109999999999E-3</v>
      </c>
      <c r="P2511">
        <v>-0.99841959999999996</v>
      </c>
      <c r="Q2511">
        <v>3.3896719999999998E-2</v>
      </c>
      <c r="R2511">
        <v>-4.4828119999999999E-2</v>
      </c>
      <c r="S2511">
        <v>-3.0092469999999998</v>
      </c>
      <c r="T2511">
        <v>-0.12174059999999901</v>
      </c>
      <c r="U2511">
        <v>8.8806149999999997E-3</v>
      </c>
      <c r="V2511">
        <v>-4.247985E-2</v>
      </c>
      <c r="W2511">
        <v>3.4174759999999998E-2</v>
      </c>
      <c r="X2511">
        <v>0.99851270000000003</v>
      </c>
      <c r="Y2511">
        <v>5.3405600000000003E-3</v>
      </c>
      <c r="Z2511">
        <v>2.0486699999999999E-4</v>
      </c>
      <c r="AA2511">
        <v>0.99998569999999998</v>
      </c>
      <c r="AB2511">
        <v>30</v>
      </c>
      <c r="AC2511">
        <v>-27.0686</v>
      </c>
      <c r="AD2511">
        <v>-1.1037396963699999</v>
      </c>
      <c r="AE2511">
        <v>8.1400000000030504E-2</v>
      </c>
      <c r="AF2511">
        <v>0.14600826550318899</v>
      </c>
      <c r="AG2511">
        <v>-1.1037396963699999</v>
      </c>
      <c r="AH2511">
        <v>27.0233971571563</v>
      </c>
      <c r="AI2511">
        <v>92.338846359009196</v>
      </c>
      <c r="AJ2511">
        <v>89.690432112046395</v>
      </c>
      <c r="AK2511">
        <v>27.046322368195298</v>
      </c>
    </row>
    <row r="2512" spans="1:37" x14ac:dyDescent="0.2">
      <c r="A2512" t="str">
        <f>"20200111155547143"</f>
        <v>20200111155547143</v>
      </c>
      <c r="B2512" t="str">
        <f>"1578729347134495"</f>
        <v>1578729347134495</v>
      </c>
      <c r="C2512" t="s">
        <v>37</v>
      </c>
      <c r="D2512">
        <v>5.0610530000000002</v>
      </c>
      <c r="E2512">
        <v>0.51960770000000001</v>
      </c>
      <c r="F2512" t="s">
        <v>59</v>
      </c>
      <c r="G2512">
        <v>-357.36</v>
      </c>
      <c r="H2512" s="1">
        <v>2.3798239999999999E-6</v>
      </c>
      <c r="I2512">
        <v>285.03960000000001</v>
      </c>
      <c r="J2512">
        <v>-330.31610000000001</v>
      </c>
      <c r="K2512">
        <v>1.103715</v>
      </c>
      <c r="L2512">
        <v>284.95999999999998</v>
      </c>
      <c r="M2512">
        <v>-0.9999962</v>
      </c>
      <c r="N2512">
        <v>0</v>
      </c>
      <c r="O2512">
        <v>-2.742548E-3</v>
      </c>
      <c r="P2512">
        <v>-0.99845239999999902</v>
      </c>
      <c r="Q2512">
        <v>3.3262699999999902E-2</v>
      </c>
      <c r="R2512">
        <v>-4.4570270000000002E-2</v>
      </c>
      <c r="S2512">
        <v>-3.009277</v>
      </c>
      <c r="T2512">
        <v>-0.1220598</v>
      </c>
      <c r="U2512">
        <v>8.7280269999999993E-3</v>
      </c>
      <c r="V2512">
        <v>-4.1873689999999998E-2</v>
      </c>
      <c r="W2512">
        <v>3.3531400000000003E-2</v>
      </c>
      <c r="X2512">
        <v>0.99856009999999995</v>
      </c>
      <c r="Y2512">
        <v>5.6359979999999997E-3</v>
      </c>
      <c r="Z2512">
        <v>2.254491E-4</v>
      </c>
      <c r="AA2512">
        <v>0.99998410000000004</v>
      </c>
      <c r="AB2512">
        <v>30</v>
      </c>
      <c r="AC2512">
        <v>-27.043900000000001</v>
      </c>
      <c r="AD2512">
        <v>-1.1037126201759999</v>
      </c>
      <c r="AE2512">
        <v>7.9600000000027593E-2</v>
      </c>
      <c r="AF2512">
        <v>0.15351320645745001</v>
      </c>
      <c r="AG2512">
        <v>-1.1037126201759999</v>
      </c>
      <c r="AH2512">
        <v>26.998611213798199</v>
      </c>
      <c r="AI2512">
        <v>92.340930105953305</v>
      </c>
      <c r="AJ2512">
        <v>89.674221611874898</v>
      </c>
      <c r="AK2512">
        <v>27.021597941763599</v>
      </c>
    </row>
    <row r="2513" spans="1:37" x14ac:dyDescent="0.2">
      <c r="A2513" t="str">
        <f>"20200111155547156"</f>
        <v>20200111155547156</v>
      </c>
      <c r="B2513" t="str">
        <f>"1578729347145233"</f>
        <v>1578729347145233</v>
      </c>
      <c r="C2513" t="s">
        <v>37</v>
      </c>
      <c r="D2513">
        <v>5.045445</v>
      </c>
      <c r="E2513">
        <v>0.51958159999999998</v>
      </c>
      <c r="F2513" t="s">
        <v>59</v>
      </c>
      <c r="G2513">
        <v>-356.9511</v>
      </c>
      <c r="H2513" s="1">
        <v>2.1622700000000001E-6</v>
      </c>
      <c r="I2513">
        <v>285.04829999999998</v>
      </c>
      <c r="J2513">
        <v>-330.49930000000001</v>
      </c>
      <c r="K2513">
        <v>1.103691</v>
      </c>
      <c r="L2513">
        <v>284.95920000000001</v>
      </c>
      <c r="M2513">
        <v>-0.99999519999999997</v>
      </c>
      <c r="N2513">
        <v>0</v>
      </c>
      <c r="O2513">
        <v>-3.103948E-3</v>
      </c>
      <c r="P2513">
        <v>-0.99846049999999997</v>
      </c>
      <c r="Q2513">
        <v>3.2797890000000003E-2</v>
      </c>
      <c r="R2513">
        <v>-4.4732859999999999E-2</v>
      </c>
      <c r="S2513">
        <v>-3.009277</v>
      </c>
      <c r="T2513">
        <v>-0.124699399999999</v>
      </c>
      <c r="U2513">
        <v>9.9792479999999996E-3</v>
      </c>
      <c r="V2513">
        <v>-4.1673420000000003E-2</v>
      </c>
      <c r="W2513">
        <v>3.3058169999999998E-2</v>
      </c>
      <c r="X2513">
        <v>0.99858419999999903</v>
      </c>
      <c r="Y2513">
        <v>6.4118919999999998E-3</v>
      </c>
      <c r="Z2513">
        <v>2.6135850000000001E-4</v>
      </c>
      <c r="AA2513">
        <v>0.99997939999999996</v>
      </c>
      <c r="AB2513">
        <v>30</v>
      </c>
      <c r="AC2513">
        <v>-26.451799999999899</v>
      </c>
      <c r="AD2513">
        <v>-1.10368883772999</v>
      </c>
      <c r="AE2513">
        <v>8.9099999999973506E-2</v>
      </c>
      <c r="AF2513">
        <v>0.17090704619496799</v>
      </c>
      <c r="AG2513">
        <v>-1.10368883772999</v>
      </c>
      <c r="AH2513">
        <v>26.4054263737107</v>
      </c>
      <c r="AI2513">
        <v>92.393394513323997</v>
      </c>
      <c r="AJ2513">
        <v>89.629162750069597</v>
      </c>
      <c r="AK2513">
        <v>26.429034795966899</v>
      </c>
    </row>
    <row r="2514" spans="1:37" x14ac:dyDescent="0.2">
      <c r="A2514" t="str">
        <f>"20200111155547169"</f>
        <v>20200111155547169</v>
      </c>
      <c r="B2514" t="str">
        <f>"1578729347164423"</f>
        <v>1578729347164423</v>
      </c>
      <c r="C2514" t="s">
        <v>37</v>
      </c>
      <c r="D2514">
        <v>5.1020959999999898</v>
      </c>
      <c r="E2514">
        <v>0.51970179999999999</v>
      </c>
      <c r="F2514" t="s">
        <v>59</v>
      </c>
      <c r="G2514">
        <v>-356.74829999999997</v>
      </c>
      <c r="H2514" s="1">
        <v>2.0543340000000001E-6</v>
      </c>
      <c r="I2514">
        <v>285.0401</v>
      </c>
      <c r="J2514">
        <v>-330.67779999999999</v>
      </c>
      <c r="K2514">
        <v>1.103667</v>
      </c>
      <c r="L2514">
        <v>284.95830000000001</v>
      </c>
      <c r="M2514">
        <v>-0.99999400000000005</v>
      </c>
      <c r="N2514">
        <v>0</v>
      </c>
      <c r="O2514">
        <v>-3.4374609999999902E-3</v>
      </c>
      <c r="P2514">
        <v>-0.99848440000000005</v>
      </c>
      <c r="Q2514">
        <v>3.2483249999999998E-2</v>
      </c>
      <c r="R2514">
        <v>-4.4425949999999999E-2</v>
      </c>
      <c r="S2514">
        <v>-3.0092159999999999</v>
      </c>
      <c r="T2514">
        <v>-0.126528</v>
      </c>
      <c r="U2514">
        <v>9.2773439999999999E-3</v>
      </c>
      <c r="V2514">
        <v>-4.1031489999999997E-2</v>
      </c>
      <c r="W2514">
        <v>3.2738860000000002E-2</v>
      </c>
      <c r="X2514">
        <v>0.99862129999999905</v>
      </c>
      <c r="Y2514">
        <v>6.5115980000000004E-3</v>
      </c>
      <c r="Z2514">
        <v>2.8130549999999999E-4</v>
      </c>
      <c r="AA2514">
        <v>0.99997879999999995</v>
      </c>
      <c r="AB2514">
        <v>30</v>
      </c>
      <c r="AC2514">
        <v>-26.0704999999999</v>
      </c>
      <c r="AD2514">
        <v>-1.1036649456659999</v>
      </c>
      <c r="AE2514">
        <v>8.1799999999986994E-2</v>
      </c>
      <c r="AF2514">
        <v>0.17110920061814</v>
      </c>
      <c r="AG2514">
        <v>-1.1036649456659999</v>
      </c>
      <c r="AH2514">
        <v>26.0234272104294</v>
      </c>
      <c r="AI2514">
        <v>92.428431376416796</v>
      </c>
      <c r="AJ2514">
        <v>89.623274303118095</v>
      </c>
      <c r="AK2514">
        <v>26.047382180314099</v>
      </c>
    </row>
    <row r="2515" spans="1:37" x14ac:dyDescent="0.2">
      <c r="A2515" t="str">
        <f>"20200111155547181"</f>
        <v>20200111155547181</v>
      </c>
      <c r="B2515" t="str">
        <f>"1578729347175158"</f>
        <v>1578729347175158</v>
      </c>
      <c r="C2515" t="s">
        <v>37</v>
      </c>
      <c r="D2515">
        <v>5.0509539999999999</v>
      </c>
      <c r="E2515">
        <v>0.51970640000000001</v>
      </c>
      <c r="F2515" t="s">
        <v>59</v>
      </c>
      <c r="G2515">
        <v>-356.24119999999999</v>
      </c>
      <c r="H2515" s="1">
        <v>1.784467E-6</v>
      </c>
      <c r="I2515">
        <v>285.05110000000002</v>
      </c>
      <c r="J2515">
        <v>-330.85320000000002</v>
      </c>
      <c r="K2515">
        <v>1.1036440000000001</v>
      </c>
      <c r="L2515">
        <v>284.95749999999998</v>
      </c>
      <c r="M2515">
        <v>-0.99999300000000002</v>
      </c>
      <c r="N2515">
        <v>0</v>
      </c>
      <c r="O2515">
        <v>-3.7569119999999998E-3</v>
      </c>
      <c r="P2515">
        <v>-0.99848999999999999</v>
      </c>
      <c r="Q2515">
        <v>3.2620059999999999E-2</v>
      </c>
      <c r="R2515">
        <v>-4.4202520000000002E-2</v>
      </c>
      <c r="S2515">
        <v>-3.009277</v>
      </c>
      <c r="T2515">
        <v>-0.12992129999999999</v>
      </c>
      <c r="U2515">
        <v>1.0925290000000001E-2</v>
      </c>
      <c r="V2515">
        <v>-4.0487990000000001E-2</v>
      </c>
      <c r="W2515">
        <v>3.28723E-2</v>
      </c>
      <c r="X2515">
        <v>0.99863919999999995</v>
      </c>
      <c r="Y2515">
        <v>7.3770040000000004E-3</v>
      </c>
      <c r="Z2515">
        <v>3.2129460000000001E-4</v>
      </c>
      <c r="AA2515">
        <v>0.9999728</v>
      </c>
      <c r="AB2515">
        <v>31</v>
      </c>
      <c r="AC2515">
        <v>-25.387999999999899</v>
      </c>
      <c r="AD2515">
        <v>-1.1036422155329999</v>
      </c>
      <c r="AE2515">
        <v>9.3600000000037598E-2</v>
      </c>
      <c r="AF2515">
        <v>0.188623373545354</v>
      </c>
      <c r="AG2515">
        <v>-1.1036422155329999</v>
      </c>
      <c r="AH2515">
        <v>25.339584875677598</v>
      </c>
      <c r="AI2515">
        <v>92.493819617688303</v>
      </c>
      <c r="AJ2515">
        <v>89.573508261153904</v>
      </c>
      <c r="AK2515">
        <v>25.364308912103699</v>
      </c>
    </row>
    <row r="2516" spans="1:37" x14ac:dyDescent="0.2">
      <c r="A2516" t="str">
        <f>"20200111155547194"</f>
        <v>20200111155547194</v>
      </c>
      <c r="B2516" t="str">
        <f>"1578729347184918"</f>
        <v>1578729347184918</v>
      </c>
      <c r="C2516" t="s">
        <v>37</v>
      </c>
      <c r="D2516">
        <v>5.0797819999999998</v>
      </c>
      <c r="E2516">
        <v>0.51976290000000003</v>
      </c>
      <c r="F2516" t="s">
        <v>59</v>
      </c>
      <c r="G2516">
        <v>-356.3741</v>
      </c>
      <c r="H2516" s="1">
        <v>1.855197E-6</v>
      </c>
      <c r="I2516">
        <v>285.05529999999999</v>
      </c>
      <c r="J2516">
        <v>-331.03199999999998</v>
      </c>
      <c r="K2516">
        <v>1.1036159999999999</v>
      </c>
      <c r="L2516">
        <v>284.95650000000001</v>
      </c>
      <c r="M2516">
        <v>-0.99999169999999904</v>
      </c>
      <c r="N2516">
        <v>0</v>
      </c>
      <c r="O2516">
        <v>-4.0693350000000003E-3</v>
      </c>
      <c r="P2516">
        <v>-0.99850169999999905</v>
      </c>
      <c r="Q2516">
        <v>3.260681E-2</v>
      </c>
      <c r="R2516">
        <v>-4.3948750000000002E-2</v>
      </c>
      <c r="S2516">
        <v>-3.0093079999999999</v>
      </c>
      <c r="T2516">
        <v>-0.13013640000000001</v>
      </c>
      <c r="U2516">
        <v>1.153564E-2</v>
      </c>
      <c r="V2516">
        <v>-3.992134E-2</v>
      </c>
      <c r="W2516">
        <v>3.2857530000000003E-2</v>
      </c>
      <c r="X2516">
        <v>0.99866239999999995</v>
      </c>
      <c r="Y2516">
        <v>7.8913890000000004E-3</v>
      </c>
      <c r="Z2516">
        <v>3.4644379999999999E-4</v>
      </c>
      <c r="AA2516">
        <v>0.99996879999999999</v>
      </c>
      <c r="AB2516">
        <v>31</v>
      </c>
      <c r="AC2516">
        <v>-25.342099999999999</v>
      </c>
      <c r="AD2516">
        <v>-1.1036141448029999</v>
      </c>
      <c r="AE2516">
        <v>9.8799999999982901E-2</v>
      </c>
      <c r="AF2516">
        <v>0.20154246218476901</v>
      </c>
      <c r="AG2516">
        <v>-1.1036141448029999</v>
      </c>
      <c r="AH2516">
        <v>25.2935200810374</v>
      </c>
      <c r="AI2516">
        <v>92.498282090635499</v>
      </c>
      <c r="AJ2516">
        <v>89.543468522424106</v>
      </c>
      <c r="AK2516">
        <v>25.318387421684601</v>
      </c>
    </row>
    <row r="2517" spans="1:37" x14ac:dyDescent="0.2">
      <c r="A2517" t="str">
        <f>"20200111155547209"</f>
        <v>20200111155547209</v>
      </c>
      <c r="B2517" t="str">
        <f>"1578729347204439"</f>
        <v>1578729347204439</v>
      </c>
      <c r="C2517" t="s">
        <v>37</v>
      </c>
      <c r="D2517">
        <v>5.1617169999999897</v>
      </c>
      <c r="E2517">
        <v>0.51990619999999999</v>
      </c>
      <c r="F2517" t="s">
        <v>59</v>
      </c>
      <c r="G2517">
        <v>-356.39409999999998</v>
      </c>
      <c r="H2517" s="1">
        <v>1.865837E-6</v>
      </c>
      <c r="I2517">
        <v>285.06380000000001</v>
      </c>
      <c r="J2517">
        <v>-331.2303</v>
      </c>
      <c r="K2517">
        <v>1.103596</v>
      </c>
      <c r="L2517">
        <v>284.9554</v>
      </c>
      <c r="M2517">
        <v>-0.9999903</v>
      </c>
      <c r="N2517">
        <v>0</v>
      </c>
      <c r="O2517">
        <v>-4.4053649999999996E-3</v>
      </c>
      <c r="P2517">
        <v>-0.99857619999999903</v>
      </c>
      <c r="Q2517">
        <v>3.1598849999999998E-2</v>
      </c>
      <c r="R2517">
        <v>-4.2979839999999998E-2</v>
      </c>
      <c r="S2517">
        <v>-3.0093380000000001</v>
      </c>
      <c r="T2517">
        <v>-0.13094909999999901</v>
      </c>
      <c r="U2517">
        <v>1.272583E-2</v>
      </c>
      <c r="V2517">
        <v>-3.8614450000000002E-2</v>
      </c>
      <c r="W2517">
        <v>3.1850980000000001E-2</v>
      </c>
      <c r="X2517">
        <v>0.99874649999999998</v>
      </c>
      <c r="Y2517">
        <v>8.6217009999999903E-3</v>
      </c>
      <c r="Z2517">
        <v>3.7909869999999999E-4</v>
      </c>
      <c r="AA2517">
        <v>0.99996269999999998</v>
      </c>
      <c r="AB2517">
        <v>31</v>
      </c>
      <c r="AC2517">
        <v>-25.163799999999899</v>
      </c>
      <c r="AD2517">
        <v>-1.103594134163</v>
      </c>
      <c r="AE2517">
        <v>0.108400000000017</v>
      </c>
      <c r="AF2517">
        <v>0.21883377761835199</v>
      </c>
      <c r="AG2517">
        <v>-1.103594134163</v>
      </c>
      <c r="AH2517">
        <v>25.114773784204001</v>
      </c>
      <c r="AI2517">
        <v>92.515978858948699</v>
      </c>
      <c r="AJ2517">
        <v>89.500774536810397</v>
      </c>
      <c r="AK2517">
        <v>25.139961624213498</v>
      </c>
    </row>
    <row r="2518" spans="1:37" x14ac:dyDescent="0.2">
      <c r="A2518" t="str">
        <f>"20200111155547222"</f>
        <v>20200111155547222</v>
      </c>
      <c r="B2518" t="str">
        <f>"1578729347215174"</f>
        <v>1578729347215174</v>
      </c>
      <c r="C2518" t="s">
        <v>37</v>
      </c>
      <c r="D2518">
        <v>5.0976999999999997</v>
      </c>
      <c r="E2518">
        <v>0.51997360000000004</v>
      </c>
      <c r="F2518" t="s">
        <v>59</v>
      </c>
      <c r="G2518">
        <v>-355.9778</v>
      </c>
      <c r="H2518" s="1">
        <v>1.6442939999999999E-6</v>
      </c>
      <c r="I2518">
        <v>285.09320000000002</v>
      </c>
      <c r="J2518">
        <v>-331.41039999999998</v>
      </c>
      <c r="K2518">
        <v>1.1035820000000001</v>
      </c>
      <c r="L2518">
        <v>284.95440000000002</v>
      </c>
      <c r="M2518">
        <v>-0.99998889999999996</v>
      </c>
      <c r="N2518">
        <v>0</v>
      </c>
      <c r="O2518">
        <v>-4.7044469999999996E-3</v>
      </c>
      <c r="P2518">
        <v>-0.99859549999999997</v>
      </c>
      <c r="Q2518">
        <v>3.1282119999999997E-2</v>
      </c>
      <c r="R2518">
        <v>-4.2759289999999998E-2</v>
      </c>
      <c r="S2518">
        <v>-3.0092469999999998</v>
      </c>
      <c r="T2518">
        <v>-0.13419500000000001</v>
      </c>
      <c r="U2518">
        <v>1.6754149999999999E-2</v>
      </c>
      <c r="V2518">
        <v>-3.809382E-2</v>
      </c>
      <c r="W2518">
        <v>3.1535470000000003E-2</v>
      </c>
      <c r="X2518">
        <v>0.99877640000000001</v>
      </c>
      <c r="Y2518">
        <v>1.0256919999999999E-2</v>
      </c>
      <c r="Z2518">
        <v>4.3826979999999998E-4</v>
      </c>
      <c r="AA2518">
        <v>0.99994729999999998</v>
      </c>
      <c r="AB2518">
        <v>31</v>
      </c>
      <c r="AC2518">
        <v>-24.567399999999999</v>
      </c>
      <c r="AD2518">
        <v>-1.103580355706</v>
      </c>
      <c r="AE2518">
        <v>0.138800000000003</v>
      </c>
      <c r="AF2518">
        <v>0.25386225882928098</v>
      </c>
      <c r="AG2518">
        <v>-1.103580355706</v>
      </c>
      <c r="AH2518">
        <v>24.517005027069199</v>
      </c>
      <c r="AI2518">
        <v>92.577168825759301</v>
      </c>
      <c r="AJ2518">
        <v>89.406749878445495</v>
      </c>
      <c r="AK2518">
        <v>24.543143057589301</v>
      </c>
    </row>
    <row r="2519" spans="1:37" x14ac:dyDescent="0.2">
      <c r="A2519" t="str">
        <f>"20200111155547236"</f>
        <v>20200111155547236</v>
      </c>
      <c r="B2519" t="str">
        <f>"1578729347224935"</f>
        <v>1578729347224935</v>
      </c>
      <c r="C2519" t="s">
        <v>37</v>
      </c>
      <c r="D2519">
        <v>5.2080250000000001</v>
      </c>
      <c r="E2519">
        <v>0.51997360000000004</v>
      </c>
      <c r="F2519" t="s">
        <v>59</v>
      </c>
      <c r="G2519">
        <v>-355.87950000000001</v>
      </c>
      <c r="H2519" s="1">
        <v>1.5919759999999999E-6</v>
      </c>
      <c r="I2519">
        <v>285.10000000000002</v>
      </c>
      <c r="J2519">
        <v>-331.60879999999997</v>
      </c>
      <c r="K2519">
        <v>1.1035680000000001</v>
      </c>
      <c r="L2519">
        <v>284.95319999999998</v>
      </c>
      <c r="M2519">
        <v>-0.99998729999999902</v>
      </c>
      <c r="N2519">
        <v>0</v>
      </c>
      <c r="O2519">
        <v>-5.0276130000000002E-3</v>
      </c>
      <c r="P2519">
        <v>-0.99861089999999997</v>
      </c>
      <c r="Q2519">
        <v>3.0980440000000001E-2</v>
      </c>
      <c r="R2519">
        <v>-4.2623090000000002E-2</v>
      </c>
      <c r="S2519">
        <v>-3.0092469999999998</v>
      </c>
      <c r="T2519">
        <v>-0.13572010000000001</v>
      </c>
      <c r="U2519">
        <v>1.791382E-2</v>
      </c>
      <c r="V2519">
        <v>-3.7634099999999997E-2</v>
      </c>
      <c r="W2519">
        <v>3.1237589999999999E-2</v>
      </c>
      <c r="X2519">
        <v>0.998803199999999</v>
      </c>
      <c r="Y2519">
        <v>1.096401E-2</v>
      </c>
      <c r="Z2519">
        <v>4.7374989999999899E-4</v>
      </c>
      <c r="AA2519">
        <v>0.99993980000000005</v>
      </c>
      <c r="AB2519">
        <v>31</v>
      </c>
      <c r="AC2519">
        <v>-24.270700000000001</v>
      </c>
      <c r="AD2519">
        <v>-1.103566408024</v>
      </c>
      <c r="AE2519">
        <v>0.14680000000004101</v>
      </c>
      <c r="AF2519">
        <v>0.26826723361786697</v>
      </c>
      <c r="AG2519">
        <v>-1.103566408024</v>
      </c>
      <c r="AH2519">
        <v>24.219584560527601</v>
      </c>
      <c r="AI2519">
        <v>92.608720347590193</v>
      </c>
      <c r="AJ2519">
        <v>89.365391603606696</v>
      </c>
      <c r="AK2519">
        <v>24.246197689742999</v>
      </c>
    </row>
    <row r="2520" spans="1:37" x14ac:dyDescent="0.2">
      <c r="A2520" t="str">
        <f>"20200111155547250"</f>
        <v>20200111155547250</v>
      </c>
      <c r="B2520" t="str">
        <f>"1578729347244454"</f>
        <v>1578729347244454</v>
      </c>
      <c r="C2520" t="s">
        <v>37</v>
      </c>
      <c r="D2520">
        <v>5.3534940000000004</v>
      </c>
      <c r="E2520">
        <v>0.51997159999999998</v>
      </c>
      <c r="F2520" t="s">
        <v>59</v>
      </c>
      <c r="G2520">
        <v>-355.9117</v>
      </c>
      <c r="H2520" s="1">
        <v>1.609092E-6</v>
      </c>
      <c r="I2520">
        <v>285.10210000000001</v>
      </c>
      <c r="J2520">
        <v>-331.80779999999999</v>
      </c>
      <c r="K2520">
        <v>1.1035569999999999</v>
      </c>
      <c r="L2520">
        <v>284.95190000000002</v>
      </c>
      <c r="M2520">
        <v>-0.99998580000000004</v>
      </c>
      <c r="N2520">
        <v>0</v>
      </c>
      <c r="O2520">
        <v>-5.3463740000000001E-3</v>
      </c>
      <c r="P2520">
        <v>-0.99860210000000005</v>
      </c>
      <c r="Q2520">
        <v>3.1214599999999901E-2</v>
      </c>
      <c r="R2520">
        <v>-4.2660110000000001E-2</v>
      </c>
      <c r="S2520">
        <v>-3.0091549999999998</v>
      </c>
      <c r="T2520">
        <v>-0.13664279999999901</v>
      </c>
      <c r="U2520">
        <v>1.843262E-2</v>
      </c>
      <c r="V2520">
        <v>-3.7352349999999999E-2</v>
      </c>
      <c r="W2520">
        <v>3.1475889999999999E-2</v>
      </c>
      <c r="X2520">
        <v>0.99880630000000004</v>
      </c>
      <c r="Y2520">
        <v>1.1454270000000001E-2</v>
      </c>
      <c r="Z2520">
        <v>5.025737E-4</v>
      </c>
      <c r="AA2520">
        <v>0.99993430000000005</v>
      </c>
      <c r="AB2520">
        <v>31</v>
      </c>
      <c r="AC2520">
        <v>-24.103899999999999</v>
      </c>
      <c r="AD2520">
        <v>-1.10355539090799</v>
      </c>
      <c r="AE2520">
        <v>0.15019999999998301</v>
      </c>
      <c r="AF2520">
        <v>0.27848259883960302</v>
      </c>
      <c r="AG2520">
        <v>-1.10355539090799</v>
      </c>
      <c r="AH2520">
        <v>24.052338143834799</v>
      </c>
      <c r="AI2520">
        <v>92.626793505864299</v>
      </c>
      <c r="AJ2520">
        <v>89.336648081474095</v>
      </c>
      <c r="AK2520">
        <v>24.079251592274002</v>
      </c>
    </row>
    <row r="2521" spans="1:37" x14ac:dyDescent="0.2">
      <c r="A2521" t="str">
        <f>"20200111155547265"</f>
        <v>20200111155547265</v>
      </c>
      <c r="B2521" t="str">
        <f>"1578729347255229"</f>
        <v>1578729347255229</v>
      </c>
      <c r="C2521" t="s">
        <v>37</v>
      </c>
      <c r="D2521">
        <v>5.0910359999999999</v>
      </c>
      <c r="E2521">
        <v>0.51996350000000002</v>
      </c>
      <c r="F2521" t="s">
        <v>59</v>
      </c>
      <c r="G2521">
        <v>-356.16030000000001</v>
      </c>
      <c r="H2521" s="1">
        <v>1.7414259999999901E-6</v>
      </c>
      <c r="I2521">
        <v>285.09840000000003</v>
      </c>
      <c r="J2521">
        <v>-332.01940000000002</v>
      </c>
      <c r="K2521">
        <v>1.103545</v>
      </c>
      <c r="L2521">
        <v>284.95049999999998</v>
      </c>
      <c r="M2521">
        <v>-0.99998379999999998</v>
      </c>
      <c r="N2521">
        <v>0</v>
      </c>
      <c r="O2521">
        <v>-5.682543E-3</v>
      </c>
      <c r="P2521">
        <v>-0.99860839999999995</v>
      </c>
      <c r="Q2521">
        <v>3.0992970000000002E-2</v>
      </c>
      <c r="R2521">
        <v>-4.2674549999999999E-2</v>
      </c>
      <c r="S2521">
        <v>-3.0092469999999998</v>
      </c>
      <c r="T2521">
        <v>-0.1363666</v>
      </c>
      <c r="U2521">
        <v>1.8096919999999999E-2</v>
      </c>
      <c r="V2521">
        <v>-3.7030639999999997E-2</v>
      </c>
      <c r="W2521">
        <v>3.1260940000000001E-2</v>
      </c>
      <c r="X2521">
        <v>0.99882510000000002</v>
      </c>
      <c r="Y2521">
        <v>1.167819E-2</v>
      </c>
      <c r="Z2521">
        <v>5.2184050000000004E-4</v>
      </c>
      <c r="AA2521">
        <v>0.99993169999999898</v>
      </c>
      <c r="AB2521">
        <v>31</v>
      </c>
      <c r="AC2521">
        <v>-24.140899999999899</v>
      </c>
      <c r="AD2521">
        <v>-1.1035432585739999</v>
      </c>
      <c r="AE2521">
        <v>0.14790000000004899</v>
      </c>
      <c r="AF2521">
        <v>0.28448487266775502</v>
      </c>
      <c r="AG2521">
        <v>-1.1035432585739999</v>
      </c>
      <c r="AH2521">
        <v>24.089333593418399</v>
      </c>
      <c r="AI2521">
        <v>92.622729137562601</v>
      </c>
      <c r="AJ2521">
        <v>89.323392455692002</v>
      </c>
      <c r="AK2521">
        <v>24.1162752584498</v>
      </c>
    </row>
    <row r="2522" spans="1:37" x14ac:dyDescent="0.2">
      <c r="A2522" t="str">
        <f>"20200111155547279"</f>
        <v>20200111155547279</v>
      </c>
      <c r="B2522" t="str">
        <f>"1578729347274751"</f>
        <v>1578729347274751</v>
      </c>
      <c r="C2522" t="s">
        <v>37</v>
      </c>
      <c r="D2522">
        <v>5.1528619999999998</v>
      </c>
      <c r="E2522">
        <v>0.51999139999999999</v>
      </c>
      <c r="F2522" t="s">
        <v>59</v>
      </c>
      <c r="G2522">
        <v>-356.19240000000002</v>
      </c>
      <c r="H2522" s="1">
        <v>1.7584909999999999E-6</v>
      </c>
      <c r="I2522">
        <v>285.09410000000003</v>
      </c>
      <c r="J2522">
        <v>-332.22059999999999</v>
      </c>
      <c r="K2522">
        <v>1.1035360000000001</v>
      </c>
      <c r="L2522">
        <v>284.94909999999999</v>
      </c>
      <c r="M2522">
        <v>-0.99998199999999904</v>
      </c>
      <c r="N2522">
        <v>0</v>
      </c>
      <c r="O2522">
        <v>-6.0001179999999996E-3</v>
      </c>
      <c r="P2522">
        <v>-0.99859819999999999</v>
      </c>
      <c r="Q2522">
        <v>3.086376E-2</v>
      </c>
      <c r="R2522">
        <v>-4.3002739999999998E-2</v>
      </c>
      <c r="S2522">
        <v>-3.0092159999999999</v>
      </c>
      <c r="T2522">
        <v>-0.13737650000000001</v>
      </c>
      <c r="U2522">
        <v>1.7883300000000001E-2</v>
      </c>
      <c r="V2522">
        <v>-3.7041730000000002E-2</v>
      </c>
      <c r="W2522">
        <v>3.1138929999999999E-2</v>
      </c>
      <c r="X2522">
        <v>0.99882850000000001</v>
      </c>
      <c r="Y2522">
        <v>1.1923980000000001E-2</v>
      </c>
      <c r="Z2522">
        <v>5.4580429999999999E-4</v>
      </c>
      <c r="AA2522">
        <v>0.99992879999999995</v>
      </c>
      <c r="AB2522">
        <v>32</v>
      </c>
      <c r="AC2522">
        <v>-23.971800000000002</v>
      </c>
      <c r="AD2522">
        <v>-1.1035342415089999</v>
      </c>
      <c r="AE2522">
        <v>0.14500000000003799</v>
      </c>
      <c r="AF2522">
        <v>0.28822024668511897</v>
      </c>
      <c r="AG2522">
        <v>-1.1035342415089999</v>
      </c>
      <c r="AH2522">
        <v>23.919809651502501</v>
      </c>
      <c r="AI2522">
        <v>92.641261556920497</v>
      </c>
      <c r="AJ2522">
        <v>89.309651506083796</v>
      </c>
      <c r="AK2522">
        <v>23.946986292577499</v>
      </c>
    </row>
    <row r="2523" spans="1:37" x14ac:dyDescent="0.2">
      <c r="A2523" t="str">
        <f>"20200111155547293"</f>
        <v>20200111155547293</v>
      </c>
      <c r="B2523" t="str">
        <f>"1578729347284509"</f>
        <v>1578729347284509</v>
      </c>
      <c r="C2523" t="s">
        <v>37</v>
      </c>
      <c r="D2523">
        <v>5.1326989999999997</v>
      </c>
      <c r="E2523">
        <v>0.51994079999999998</v>
      </c>
      <c r="F2523" t="s">
        <v>59</v>
      </c>
      <c r="G2523">
        <v>-356.4599</v>
      </c>
      <c r="H2523" s="1">
        <v>1.9008549999999999E-6</v>
      </c>
      <c r="I2523">
        <v>285.0872</v>
      </c>
      <c r="J2523">
        <v>-332.41829999999999</v>
      </c>
      <c r="K2523">
        <v>1.1035280000000001</v>
      </c>
      <c r="L2523">
        <v>284.94760000000002</v>
      </c>
      <c r="M2523">
        <v>-0.99998019999999999</v>
      </c>
      <c r="N2523">
        <v>0</v>
      </c>
      <c r="O2523">
        <v>-6.3107830000000004E-3</v>
      </c>
      <c r="P2523">
        <v>-0.99858840000000004</v>
      </c>
      <c r="Q2523">
        <v>3.0499080000000001E-2</v>
      </c>
      <c r="R2523">
        <v>-4.3488310000000002E-2</v>
      </c>
      <c r="S2523">
        <v>-3.0092159999999999</v>
      </c>
      <c r="T2523">
        <v>-0.1369997</v>
      </c>
      <c r="U2523">
        <v>1.715088E-2</v>
      </c>
      <c r="V2523">
        <v>-3.721646E-2</v>
      </c>
      <c r="W2523">
        <v>3.078291E-2</v>
      </c>
      <c r="X2523">
        <v>0.99883299999999997</v>
      </c>
      <c r="Y2523">
        <v>1.199097E-2</v>
      </c>
      <c r="Z2523">
        <v>5.599693E-4</v>
      </c>
      <c r="AA2523">
        <v>0.99992789999999998</v>
      </c>
      <c r="AB2523">
        <v>32</v>
      </c>
      <c r="AC2523">
        <v>-24.041599999999999</v>
      </c>
      <c r="AD2523">
        <v>-1.103526099145</v>
      </c>
      <c r="AE2523">
        <v>0.139599999999973</v>
      </c>
      <c r="AF2523">
        <v>0.29070606323606202</v>
      </c>
      <c r="AG2523">
        <v>-1.103526099145</v>
      </c>
      <c r="AH2523">
        <v>23.9896987108995</v>
      </c>
      <c r="AI2523">
        <v>92.633556051829004</v>
      </c>
      <c r="AJ2523">
        <v>89.305726366921903</v>
      </c>
      <c r="AK2523">
        <v>24.016825854105399</v>
      </c>
    </row>
    <row r="2524" spans="1:37" x14ac:dyDescent="0.2">
      <c r="A2524" t="str">
        <f>"20200111155547310"</f>
        <v>20200111155547310</v>
      </c>
      <c r="B2524" t="str">
        <f>"1578729347305005"</f>
        <v>1578729347305005</v>
      </c>
      <c r="C2524" t="s">
        <v>37</v>
      </c>
      <c r="D2524">
        <v>5.0624729999999998</v>
      </c>
      <c r="E2524">
        <v>0.51986120000000002</v>
      </c>
      <c r="F2524" t="s">
        <v>59</v>
      </c>
      <c r="G2524">
        <v>-356.43020000000001</v>
      </c>
      <c r="H2524" s="1">
        <v>1.8850369999999999E-6</v>
      </c>
      <c r="I2524">
        <v>285.06889999999999</v>
      </c>
      <c r="J2524">
        <v>-332.66149999999999</v>
      </c>
      <c r="K2524">
        <v>1.103521</v>
      </c>
      <c r="L2524">
        <v>284.94569999999999</v>
      </c>
      <c r="M2524">
        <v>-0.99997769999999997</v>
      </c>
      <c r="N2524">
        <v>0</v>
      </c>
      <c r="O2524">
        <v>-6.6921419999999999E-3</v>
      </c>
      <c r="P2524">
        <v>-0.99858480000000005</v>
      </c>
      <c r="Q2524">
        <v>2.964429E-2</v>
      </c>
      <c r="R2524">
        <v>-4.4162550000000002E-2</v>
      </c>
      <c r="S2524">
        <v>-3.009125</v>
      </c>
      <c r="T2524">
        <v>-0.138292</v>
      </c>
      <c r="U2524">
        <v>1.5197749999999999E-2</v>
      </c>
      <c r="V2524">
        <v>-3.7508430000000002E-2</v>
      </c>
      <c r="W2524">
        <v>2.9939770000000001E-2</v>
      </c>
      <c r="X2524">
        <v>0.99884769999999901</v>
      </c>
      <c r="Y2524">
        <v>1.1723000000000001E-2</v>
      </c>
      <c r="Z2524">
        <v>5.7662640000000003E-4</v>
      </c>
      <c r="AA2524">
        <v>0.99993109999999996</v>
      </c>
      <c r="AB2524">
        <v>32</v>
      </c>
      <c r="AC2524">
        <v>-23.768699999999999</v>
      </c>
      <c r="AD2524">
        <v>-1.1035191149629999</v>
      </c>
      <c r="AE2524">
        <v>0.12319999999999701</v>
      </c>
      <c r="AF2524">
        <v>0.28165365274373499</v>
      </c>
      <c r="AG2524">
        <v>-1.1035191149629999</v>
      </c>
      <c r="AH2524">
        <v>23.716224238244401</v>
      </c>
      <c r="AI2524">
        <v>92.663871275368393</v>
      </c>
      <c r="AJ2524">
        <v>89.319587856288706</v>
      </c>
      <c r="AK2524">
        <v>23.743554395580301</v>
      </c>
    </row>
    <row r="2525" spans="1:37" x14ac:dyDescent="0.2">
      <c r="A2525" t="str">
        <f>"20200111155547325"</f>
        <v>20200111155547325</v>
      </c>
      <c r="B2525" t="str">
        <f>"1578729347314766"</f>
        <v>1578729347314766</v>
      </c>
      <c r="C2525" t="s">
        <v>37</v>
      </c>
      <c r="D2525">
        <v>5.0977269999999999</v>
      </c>
      <c r="E2525">
        <v>0.51982309999999998</v>
      </c>
      <c r="F2525" t="s">
        <v>59</v>
      </c>
      <c r="G2525">
        <v>-356.231999999999</v>
      </c>
      <c r="H2525" s="1">
        <v>1.77959E-6</v>
      </c>
      <c r="I2525">
        <v>285.04379999999998</v>
      </c>
      <c r="J2525">
        <v>-332.86669999999998</v>
      </c>
      <c r="K2525">
        <v>1.103518</v>
      </c>
      <c r="L2525">
        <v>284.94409999999999</v>
      </c>
      <c r="M2525">
        <v>-0.99997539999999996</v>
      </c>
      <c r="N2525">
        <v>0</v>
      </c>
      <c r="O2525">
        <v>-7.013778E-3</v>
      </c>
      <c r="P2525">
        <v>-0.99855830000000001</v>
      </c>
      <c r="Q2525">
        <v>2.9537000000000001E-2</v>
      </c>
      <c r="R2525">
        <v>-4.4820510000000001E-2</v>
      </c>
      <c r="S2525">
        <v>-3.008972</v>
      </c>
      <c r="T2525">
        <v>-0.140873</v>
      </c>
      <c r="U2525">
        <v>1.2512209999999999E-2</v>
      </c>
      <c r="V2525">
        <v>-3.7845749999999997E-2</v>
      </c>
      <c r="W2525">
        <v>2.984349E-2</v>
      </c>
      <c r="X2525">
        <v>0.9988378</v>
      </c>
      <c r="Y2525">
        <v>1.1151980000000001E-2</v>
      </c>
      <c r="Z2525">
        <v>5.8909739999999896E-4</v>
      </c>
      <c r="AA2525">
        <v>0.99993770000000004</v>
      </c>
      <c r="AB2525">
        <v>32</v>
      </c>
      <c r="AC2525">
        <v>-23.365299999999898</v>
      </c>
      <c r="AD2525">
        <v>-1.10351622041</v>
      </c>
      <c r="AE2525">
        <v>9.9699999999984301E-2</v>
      </c>
      <c r="AF2525">
        <v>0.262989969995158</v>
      </c>
      <c r="AG2525">
        <v>-1.10351622041</v>
      </c>
      <c r="AH2525">
        <v>23.312027986393701</v>
      </c>
      <c r="AI2525">
        <v>92.710002145641994</v>
      </c>
      <c r="AJ2525">
        <v>89.353656569040893</v>
      </c>
      <c r="AK2525">
        <v>23.3396135488879</v>
      </c>
    </row>
    <row r="2526" spans="1:37" x14ac:dyDescent="0.2">
      <c r="A2526" t="str">
        <f>"20200111155547339"</f>
        <v>20200111155547339</v>
      </c>
      <c r="B2526" t="str">
        <f>"1578729347335262"</f>
        <v>1578729347335262</v>
      </c>
      <c r="C2526" t="s">
        <v>37</v>
      </c>
      <c r="D2526">
        <v>5.0800460000000003</v>
      </c>
      <c r="E2526">
        <v>0.51973579999999997</v>
      </c>
      <c r="F2526" t="s">
        <v>59</v>
      </c>
      <c r="G2526">
        <v>-356.34370000000001</v>
      </c>
      <c r="H2526" s="1">
        <v>1.839019E-6</v>
      </c>
      <c r="I2526">
        <v>285.02480000000003</v>
      </c>
      <c r="J2526">
        <v>-333.07240000000002</v>
      </c>
      <c r="K2526">
        <v>1.1035139999999899</v>
      </c>
      <c r="L2526">
        <v>284.94240000000002</v>
      </c>
      <c r="M2526">
        <v>-0.99997320000000001</v>
      </c>
      <c r="N2526">
        <v>0</v>
      </c>
      <c r="O2526">
        <v>-7.3355349999999998E-3</v>
      </c>
      <c r="P2526">
        <v>-0.99851749999999995</v>
      </c>
      <c r="Q2526">
        <v>2.9481520000000001E-2</v>
      </c>
      <c r="R2526">
        <v>-4.5760389999999998E-2</v>
      </c>
      <c r="S2526">
        <v>-3.008972</v>
      </c>
      <c r="T2526">
        <v>-0.14143420000000001</v>
      </c>
      <c r="U2526">
        <v>1.0345460000000001E-2</v>
      </c>
      <c r="V2526">
        <v>-3.8464480000000002E-2</v>
      </c>
      <c r="W2526">
        <v>2.979917E-2</v>
      </c>
      <c r="X2526">
        <v>0.99881549999999997</v>
      </c>
      <c r="Y2526">
        <v>1.075361E-2</v>
      </c>
      <c r="Z2526">
        <v>5.9720019999999995E-4</v>
      </c>
      <c r="AA2526">
        <v>0.999942</v>
      </c>
      <c r="AB2526">
        <v>32</v>
      </c>
      <c r="AC2526">
        <v>-23.2713</v>
      </c>
      <c r="AD2526">
        <v>-1.1035121609809999</v>
      </c>
      <c r="AE2526">
        <v>8.2400000000006898E-2</v>
      </c>
      <c r="AF2526">
        <v>0.25253735129853</v>
      </c>
      <c r="AG2526">
        <v>-1.1035121609809999</v>
      </c>
      <c r="AH2526">
        <v>23.2178623075839</v>
      </c>
      <c r="AI2526">
        <v>92.720978910776907</v>
      </c>
      <c r="AJ2526">
        <v>89.3768266154309</v>
      </c>
      <c r="AK2526">
        <v>23.245443517755501</v>
      </c>
    </row>
    <row r="2527" spans="1:37" x14ac:dyDescent="0.2">
      <c r="A2527" t="str">
        <f>"20200111155547351"</f>
        <v>20200111155547351</v>
      </c>
      <c r="B2527" t="str">
        <f>"1578729347345021"</f>
        <v>1578729347345021</v>
      </c>
      <c r="C2527" t="s">
        <v>37</v>
      </c>
      <c r="D2527">
        <v>5.5064010000000003</v>
      </c>
      <c r="E2527">
        <v>0.51973579999999997</v>
      </c>
      <c r="F2527" t="s">
        <v>59</v>
      </c>
      <c r="G2527">
        <v>-356.55599999999998</v>
      </c>
      <c r="H2527" s="1">
        <v>1.95199999999999E-6</v>
      </c>
      <c r="I2527">
        <v>284.99529999999999</v>
      </c>
      <c r="J2527">
        <v>-333.26670000000001</v>
      </c>
      <c r="K2527">
        <v>1.1035079999999999</v>
      </c>
      <c r="L2527">
        <v>284.94069999999999</v>
      </c>
      <c r="M2527">
        <v>-0.9999709</v>
      </c>
      <c r="N2527">
        <v>0</v>
      </c>
      <c r="O2527">
        <v>-7.6400069999999999E-3</v>
      </c>
      <c r="P2527">
        <v>-0.99848590000000004</v>
      </c>
      <c r="Q2527">
        <v>2.957479E-2</v>
      </c>
      <c r="R2527">
        <v>-4.6384410000000001E-2</v>
      </c>
      <c r="S2527">
        <v>-3.008972</v>
      </c>
      <c r="T2527">
        <v>-0.14139350000000001</v>
      </c>
      <c r="U2527">
        <v>6.7749019999999898E-3</v>
      </c>
      <c r="V2527">
        <v>-3.8785359999999998E-2</v>
      </c>
      <c r="W2527">
        <v>2.9904500000000001E-2</v>
      </c>
      <c r="X2527">
        <v>0.99880000000000002</v>
      </c>
      <c r="Y2527">
        <v>9.8721599999999996E-3</v>
      </c>
      <c r="Z2527">
        <v>5.9062980000000001E-4</v>
      </c>
      <c r="AA2527">
        <v>0.99995109999999998</v>
      </c>
      <c r="AB2527">
        <v>32</v>
      </c>
      <c r="AC2527">
        <v>-23.289299999999901</v>
      </c>
      <c r="AD2527">
        <v>-1.1035060480000001</v>
      </c>
      <c r="AE2527">
        <v>5.4599999999993501E-2</v>
      </c>
      <c r="AF2527">
        <v>0.23200792715186699</v>
      </c>
      <c r="AG2527">
        <v>-1.1035060480000001</v>
      </c>
      <c r="AH2527">
        <v>23.2360361079872</v>
      </c>
      <c r="AI2527">
        <v>92.718864141124897</v>
      </c>
      <c r="AJ2527">
        <v>89.427930252618594</v>
      </c>
      <c r="AK2527">
        <v>23.2633816821184</v>
      </c>
    </row>
    <row r="2528" spans="1:37" x14ac:dyDescent="0.2">
      <c r="A2528" t="str">
        <f>"20200111155547366"</f>
        <v>20200111155547366</v>
      </c>
      <c r="B2528" t="str">
        <f>"1578729347354782"</f>
        <v>1578729347354782</v>
      </c>
      <c r="C2528" t="s">
        <v>37</v>
      </c>
      <c r="D2528">
        <v>5.0759860000000003</v>
      </c>
      <c r="E2528">
        <v>0.51978119999999906</v>
      </c>
      <c r="F2528" t="s">
        <v>59</v>
      </c>
      <c r="G2528">
        <v>-356.79079999999999</v>
      </c>
      <c r="H2528" s="1">
        <v>2.0769349999999999E-6</v>
      </c>
      <c r="I2528">
        <v>284.97840000000002</v>
      </c>
      <c r="J2528">
        <v>-333.46170000000001</v>
      </c>
      <c r="K2528">
        <v>1.103507</v>
      </c>
      <c r="L2528">
        <v>284.93900000000002</v>
      </c>
      <c r="M2528">
        <v>-0.99996839999999998</v>
      </c>
      <c r="N2528">
        <v>0</v>
      </c>
      <c r="O2528">
        <v>-7.9448379999999992E-3</v>
      </c>
      <c r="P2528">
        <v>-0.99845329999999999</v>
      </c>
      <c r="Q2528">
        <v>2.933916E-2</v>
      </c>
      <c r="R2528">
        <v>-4.722755E-2</v>
      </c>
      <c r="S2528">
        <v>-3.008972</v>
      </c>
      <c r="T2528">
        <v>-0.14114979999999999</v>
      </c>
      <c r="U2528">
        <v>4.8217770000000002E-3</v>
      </c>
      <c r="V2528">
        <v>-3.9323810000000001E-2</v>
      </c>
      <c r="W2528">
        <v>2.968144E-2</v>
      </c>
      <c r="X2528">
        <v>0.99878559999999905</v>
      </c>
      <c r="Y2528">
        <v>9.5280319999999901E-3</v>
      </c>
      <c r="Z2528">
        <v>5.9583759999999998E-4</v>
      </c>
      <c r="AA2528">
        <v>0.99995440000000002</v>
      </c>
      <c r="AB2528">
        <v>32</v>
      </c>
      <c r="AC2528">
        <v>-23.329099999999901</v>
      </c>
      <c r="AD2528">
        <v>-1.103504923065</v>
      </c>
      <c r="AE2528">
        <v>3.9400000000000497E-2</v>
      </c>
      <c r="AF2528">
        <v>0.22424295388277199</v>
      </c>
      <c r="AG2528">
        <v>-1.103504923065</v>
      </c>
      <c r="AH2528">
        <v>23.275972105735999</v>
      </c>
      <c r="AI2528">
        <v>92.714212763476397</v>
      </c>
      <c r="AJ2528">
        <v>89.448024026570394</v>
      </c>
      <c r="AK2528">
        <v>23.3031947484588</v>
      </c>
    </row>
    <row r="2529" spans="1:37" x14ac:dyDescent="0.2">
      <c r="A2529" t="str">
        <f>"20200111155547379"</f>
        <v>20200111155547379</v>
      </c>
      <c r="B2529" t="str">
        <f>"1578729347374301"</f>
        <v>1578729347374301</v>
      </c>
      <c r="C2529" t="s">
        <v>37</v>
      </c>
      <c r="D2529">
        <v>5.075291</v>
      </c>
      <c r="E2529">
        <v>0.51973059999999904</v>
      </c>
      <c r="F2529" t="s">
        <v>59</v>
      </c>
      <c r="G2529">
        <v>-357.58890000000002</v>
      </c>
      <c r="H2529" s="1">
        <v>2.501666E-6</v>
      </c>
      <c r="I2529">
        <v>284.96100000000001</v>
      </c>
      <c r="J2529">
        <v>-333.65289999999999</v>
      </c>
      <c r="K2529">
        <v>1.1035059999999901</v>
      </c>
      <c r="L2529">
        <v>284.93729999999999</v>
      </c>
      <c r="M2529">
        <v>-0.99996589999999996</v>
      </c>
      <c r="N2529">
        <v>0</v>
      </c>
      <c r="O2529">
        <v>-8.2435900000000003E-3</v>
      </c>
      <c r="P2529">
        <v>-0.99843780000000004</v>
      </c>
      <c r="Q2529">
        <v>2.9067900000000001E-2</v>
      </c>
      <c r="R2529">
        <v>-4.7719110000000002E-2</v>
      </c>
      <c r="S2529">
        <v>-3.0088200000000001</v>
      </c>
      <c r="T2529">
        <v>-0.13761389999999901</v>
      </c>
      <c r="U2529">
        <v>2.746582E-3</v>
      </c>
      <c r="V2529">
        <v>-3.9516990000000002E-2</v>
      </c>
      <c r="W2529">
        <v>2.9423580000000001E-2</v>
      </c>
      <c r="X2529">
        <v>0.99878559999999905</v>
      </c>
      <c r="Y2529">
        <v>9.1382289999999994E-3</v>
      </c>
      <c r="Z2529">
        <v>5.8570349999999998E-4</v>
      </c>
      <c r="AA2529">
        <v>0.99995809999999996</v>
      </c>
      <c r="AB2529">
        <v>33</v>
      </c>
      <c r="AC2529">
        <v>-23.936</v>
      </c>
      <c r="AD2529">
        <v>-1.103503498334</v>
      </c>
      <c r="AE2529">
        <v>2.3700000000019299E-2</v>
      </c>
      <c r="AF2529">
        <v>0.220549030484431</v>
      </c>
      <c r="AG2529">
        <v>-1.103503498334</v>
      </c>
      <c r="AH2529">
        <v>23.884227398242299</v>
      </c>
      <c r="AI2529">
        <v>92.645196412529799</v>
      </c>
      <c r="AJ2529">
        <v>89.470940832006704</v>
      </c>
      <c r="AK2529">
        <v>23.9107231228299</v>
      </c>
    </row>
    <row r="2530" spans="1:37" x14ac:dyDescent="0.2">
      <c r="A2530" t="str">
        <f>"20200111155547403"</f>
        <v>20200111155547403</v>
      </c>
      <c r="B2530" t="str">
        <f>"1578729347394799"</f>
        <v>1578729347394799</v>
      </c>
      <c r="C2530" t="s">
        <v>37</v>
      </c>
      <c r="D2530">
        <v>5.0368300000000001</v>
      </c>
      <c r="E2530">
        <v>0.51970280000000002</v>
      </c>
      <c r="F2530" t="s">
        <v>59</v>
      </c>
      <c r="G2530">
        <v>-359.04719999999998</v>
      </c>
      <c r="H2530" s="1">
        <v>3.2776850000000002E-6</v>
      </c>
      <c r="I2530">
        <v>284.94940000000003</v>
      </c>
      <c r="J2530">
        <v>-334.0179</v>
      </c>
      <c r="K2530">
        <v>1.103504</v>
      </c>
      <c r="L2530">
        <v>284.93369999999999</v>
      </c>
      <c r="M2530">
        <v>-0.99996130000000005</v>
      </c>
      <c r="N2530">
        <v>0</v>
      </c>
      <c r="O2530">
        <v>-8.8136759999999995E-3</v>
      </c>
      <c r="P2530">
        <v>-0.99841769999999996</v>
      </c>
      <c r="Q2530">
        <v>2.9027190000000001E-2</v>
      </c>
      <c r="R2530">
        <v>-4.8161990000000002E-2</v>
      </c>
      <c r="S2530">
        <v>-3.0086059999999999</v>
      </c>
      <c r="T2530">
        <v>-0.1307383</v>
      </c>
      <c r="U2530">
        <v>1.4343260000000001E-3</v>
      </c>
      <c r="V2530">
        <v>-3.9390790000000002E-2</v>
      </c>
      <c r="W2530">
        <v>2.941119E-2</v>
      </c>
      <c r="X2530">
        <v>0.99879089999999904</v>
      </c>
      <c r="Y2530">
        <v>9.2733290000000003E-3</v>
      </c>
      <c r="Z2530">
        <v>5.8420209999999995E-4</v>
      </c>
      <c r="AA2530">
        <v>0.99995679999999998</v>
      </c>
      <c r="AB2530">
        <v>33</v>
      </c>
      <c r="AC2530">
        <v>-25.0292999999999</v>
      </c>
      <c r="AD2530">
        <v>-1.103500722315</v>
      </c>
      <c r="AE2530">
        <v>1.5700000000038E-2</v>
      </c>
      <c r="AF2530">
        <v>0.235841075999973</v>
      </c>
      <c r="AG2530">
        <v>-1.103500722315</v>
      </c>
      <c r="AH2530">
        <v>24.979634481557401</v>
      </c>
      <c r="AI2530">
        <v>92.529342094730893</v>
      </c>
      <c r="AJ2530">
        <v>89.459067472736194</v>
      </c>
      <c r="AK2530">
        <v>25.005108951762001</v>
      </c>
    </row>
    <row r="2531" spans="1:37" x14ac:dyDescent="0.2">
      <c r="A2531" t="str">
        <f>"20200111155547419"</f>
        <v>20200111155547419</v>
      </c>
      <c r="B2531" t="str">
        <f>"1578729347414318"</f>
        <v>1578729347414318</v>
      </c>
      <c r="C2531" t="s">
        <v>37</v>
      </c>
      <c r="D2531">
        <v>5.0513250000000003</v>
      </c>
      <c r="E2531">
        <v>0.51972499999999999</v>
      </c>
      <c r="F2531" t="s">
        <v>59</v>
      </c>
      <c r="G2531">
        <v>-359.25259999999997</v>
      </c>
      <c r="H2531" s="1">
        <v>3.38698699999999E-6</v>
      </c>
      <c r="I2531">
        <v>284.93119999999999</v>
      </c>
      <c r="J2531">
        <v>-334.24220000000003</v>
      </c>
      <c r="K2531">
        <v>1.1035029999999999</v>
      </c>
      <c r="L2531">
        <v>284.93150000000003</v>
      </c>
      <c r="M2531">
        <v>-0.99995800000000001</v>
      </c>
      <c r="N2531">
        <v>0</v>
      </c>
      <c r="O2531">
        <v>-9.1640509999999994E-3</v>
      </c>
      <c r="P2531">
        <v>-0.9983957</v>
      </c>
      <c r="Q2531">
        <v>2.9208080000000001E-2</v>
      </c>
      <c r="R2531">
        <v>-4.8509820000000002E-2</v>
      </c>
      <c r="S2531">
        <v>-3.0085449999999998</v>
      </c>
      <c r="T2531">
        <v>-0.13156189999999901</v>
      </c>
      <c r="U2531">
        <v>-3.0517579999999998E-4</v>
      </c>
      <c r="V2531">
        <v>-3.9389609999999999E-2</v>
      </c>
      <c r="W2531">
        <v>2.9609469999999999E-2</v>
      </c>
      <c r="X2531">
        <v>0.99878509999999998</v>
      </c>
      <c r="Y2531">
        <v>9.0452169999999995E-3</v>
      </c>
      <c r="Z2531">
        <v>5.9821929999999998E-4</v>
      </c>
      <c r="AA2531">
        <v>0.99995889999999998</v>
      </c>
      <c r="AB2531">
        <v>33</v>
      </c>
      <c r="AC2531">
        <v>-25.010399999999901</v>
      </c>
      <c r="AD2531">
        <v>-1.1034996130129999</v>
      </c>
      <c r="AE2531">
        <v>-3.0000000003838003E-4</v>
      </c>
      <c r="AF2531">
        <v>0.22845186442839799</v>
      </c>
      <c r="AG2531">
        <v>-1.1034996130129999</v>
      </c>
      <c r="AH2531">
        <v>24.960760974225401</v>
      </c>
      <c r="AI2531">
        <v>92.531256360003994</v>
      </c>
      <c r="AJ2531">
        <v>89.475618463704805</v>
      </c>
      <c r="AK2531">
        <v>24.9861859847136</v>
      </c>
    </row>
    <row r="2532" spans="1:37" x14ac:dyDescent="0.2">
      <c r="A2532" t="str">
        <f>"20200111155547432"</f>
        <v>20200111155547432</v>
      </c>
      <c r="B2532" t="str">
        <f>"1578729347425054"</f>
        <v>1578729347425054</v>
      </c>
      <c r="C2532" t="s">
        <v>37</v>
      </c>
      <c r="D2532">
        <v>5.1453030000000002</v>
      </c>
      <c r="E2532">
        <v>0.51980749999999998</v>
      </c>
      <c r="F2532" t="s">
        <v>59</v>
      </c>
      <c r="G2532">
        <v>-359.50330000000002</v>
      </c>
      <c r="H2532" s="1">
        <v>3.5203980000000002E-6</v>
      </c>
      <c r="I2532">
        <v>284.92039999999997</v>
      </c>
      <c r="J2532">
        <v>-334.45659999999998</v>
      </c>
      <c r="K2532">
        <v>1.103505</v>
      </c>
      <c r="L2532">
        <v>284.92919999999998</v>
      </c>
      <c r="M2532">
        <v>-0.99995480000000003</v>
      </c>
      <c r="N2532">
        <v>0</v>
      </c>
      <c r="O2532">
        <v>-9.4977369999999992E-3</v>
      </c>
      <c r="P2532">
        <v>-0.99838439999999995</v>
      </c>
      <c r="Q2532">
        <v>2.9216490000000001E-2</v>
      </c>
      <c r="R2532">
        <v>-4.8734E-2</v>
      </c>
      <c r="S2532">
        <v>-3.008667</v>
      </c>
      <c r="T2532">
        <v>-0.13142989999999999</v>
      </c>
      <c r="U2532">
        <v>-1.3122559999999999E-3</v>
      </c>
      <c r="V2532">
        <v>-3.9280519999999999E-2</v>
      </c>
      <c r="W2532">
        <v>2.9635680000000001E-2</v>
      </c>
      <c r="X2532">
        <v>0.99878869999999897</v>
      </c>
      <c r="Y2532">
        <v>9.0439149999999996E-3</v>
      </c>
      <c r="Z2532">
        <v>6.1213629999999999E-4</v>
      </c>
      <c r="AA2532">
        <v>0.99995889999999998</v>
      </c>
      <c r="AB2532">
        <v>33</v>
      </c>
      <c r="AC2532">
        <v>-25.046700000000001</v>
      </c>
      <c r="AD2532">
        <v>-1.103501479602</v>
      </c>
      <c r="AE2532">
        <v>-8.8000000000079091E-3</v>
      </c>
      <c r="AF2532">
        <v>0.22864357213268099</v>
      </c>
      <c r="AG2532">
        <v>-1.103501479602</v>
      </c>
      <c r="AH2532">
        <v>24.997132279107099</v>
      </c>
      <c r="AI2532">
        <v>92.527582513944907</v>
      </c>
      <c r="AJ2532">
        <v>89.475942030972803</v>
      </c>
      <c r="AK2532">
        <v>25.022522166595099</v>
      </c>
    </row>
    <row r="2533" spans="1:37" x14ac:dyDescent="0.2">
      <c r="A2533" t="str">
        <f>"20200111155547447"</f>
        <v>20200111155547447</v>
      </c>
      <c r="B2533" t="str">
        <f>"1578729347444574"</f>
        <v>1578729347444574</v>
      </c>
      <c r="C2533" t="s">
        <v>37</v>
      </c>
      <c r="D2533">
        <v>5.1101239999999999</v>
      </c>
      <c r="E2533">
        <v>0.51993999999999996</v>
      </c>
      <c r="F2533" t="s">
        <v>59</v>
      </c>
      <c r="G2533">
        <v>-359.7122</v>
      </c>
      <c r="H2533" s="1">
        <v>3.6315709999999999E-6</v>
      </c>
      <c r="I2533">
        <v>284.91919999999999</v>
      </c>
      <c r="J2533">
        <v>-334.66759999999999</v>
      </c>
      <c r="K2533">
        <v>1.103505</v>
      </c>
      <c r="L2533">
        <v>284.92700000000002</v>
      </c>
      <c r="M2533">
        <v>-0.99995159999999905</v>
      </c>
      <c r="N2533">
        <v>0</v>
      </c>
      <c r="O2533">
        <v>-9.8260589999999998E-3</v>
      </c>
      <c r="P2533">
        <v>-0.99837369999999903</v>
      </c>
      <c r="Q2533">
        <v>2.9409310000000001E-2</v>
      </c>
      <c r="R2533">
        <v>-4.8835179999999999E-2</v>
      </c>
      <c r="S2533">
        <v>-3.0086059999999999</v>
      </c>
      <c r="T2533">
        <v>-0.13145609999999999</v>
      </c>
      <c r="U2533">
        <v>-1.190186E-3</v>
      </c>
      <c r="V2533">
        <v>-3.9054039999999998E-2</v>
      </c>
      <c r="W2533">
        <v>2.9846830000000001E-2</v>
      </c>
      <c r="X2533">
        <v>0.99879119999999999</v>
      </c>
      <c r="Y2533">
        <v>9.412129E-3</v>
      </c>
      <c r="Z2533">
        <v>6.3464909999999997E-4</v>
      </c>
      <c r="AA2533">
        <v>0.9999555</v>
      </c>
      <c r="AB2533">
        <v>33</v>
      </c>
      <c r="AC2533">
        <v>-25.044599999999999</v>
      </c>
      <c r="AD2533">
        <v>-1.103501368429</v>
      </c>
      <c r="AE2533">
        <v>-7.8000000000315499E-3</v>
      </c>
      <c r="AF2533">
        <v>0.23782840138688699</v>
      </c>
      <c r="AG2533">
        <v>-1.103501368429</v>
      </c>
      <c r="AH2533">
        <v>24.9949421094529</v>
      </c>
      <c r="AI2533">
        <v>92.527794776296702</v>
      </c>
      <c r="AJ2533">
        <v>89.454843608871002</v>
      </c>
      <c r="AK2533">
        <v>25.020419834078201</v>
      </c>
    </row>
    <row r="2534" spans="1:37" x14ac:dyDescent="0.2">
      <c r="A2534" t="str">
        <f>"20200111155547461"</f>
        <v>20200111155547461</v>
      </c>
      <c r="B2534" t="str">
        <f>"1578729347454843"</f>
        <v>1578729347454843</v>
      </c>
      <c r="C2534" t="s">
        <v>37</v>
      </c>
      <c r="D2534">
        <v>5.021503</v>
      </c>
      <c r="E2534">
        <v>0.52005729999999994</v>
      </c>
      <c r="F2534" t="s">
        <v>59</v>
      </c>
      <c r="G2534">
        <v>-360.02109999999999</v>
      </c>
      <c r="H2534" s="1">
        <v>-1.5255709999999899E-6</v>
      </c>
      <c r="I2534">
        <v>284.92259999999999</v>
      </c>
      <c r="J2534">
        <v>-334.88350000000003</v>
      </c>
      <c r="K2534">
        <v>1.1035029999999999</v>
      </c>
      <c r="L2534">
        <v>284.9246</v>
      </c>
      <c r="M2534">
        <v>-0.99994830000000001</v>
      </c>
      <c r="N2534">
        <v>0</v>
      </c>
      <c r="O2534">
        <v>-1.016189E-2</v>
      </c>
      <c r="P2534">
        <v>-0.99835339999999995</v>
      </c>
      <c r="Q2534">
        <v>2.9808270000000001E-2</v>
      </c>
      <c r="R2534">
        <v>-4.9011020000000002E-2</v>
      </c>
      <c r="S2534">
        <v>-3.008759</v>
      </c>
      <c r="T2534">
        <v>-0.13095560000000001</v>
      </c>
      <c r="U2534">
        <v>-5.1879879999999995E-4</v>
      </c>
      <c r="V2534">
        <v>-3.8895440000000003E-2</v>
      </c>
      <c r="W2534">
        <v>3.026483E-2</v>
      </c>
      <c r="X2534">
        <v>0.99878480000000003</v>
      </c>
      <c r="Y2534">
        <v>9.9704129999999992E-3</v>
      </c>
      <c r="Z2534">
        <v>6.5895660000000003E-4</v>
      </c>
      <c r="AA2534">
        <v>0.99995009999999995</v>
      </c>
      <c r="AB2534">
        <v>33</v>
      </c>
      <c r="AC2534">
        <v>-25.1375999999999</v>
      </c>
      <c r="AD2534">
        <v>-1.1035045255710001</v>
      </c>
      <c r="AE2534">
        <v>-2.0000000000095402E-3</v>
      </c>
      <c r="AF2534">
        <v>0.25295817474517401</v>
      </c>
      <c r="AG2534">
        <v>-1.1035045255710001</v>
      </c>
      <c r="AH2534">
        <v>25.087975752522901</v>
      </c>
      <c r="AI2534">
        <v>92.518426259817801</v>
      </c>
      <c r="AJ2534">
        <v>89.422315103190101</v>
      </c>
      <c r="AK2534">
        <v>25.113507071600001</v>
      </c>
    </row>
    <row r="2535" spans="1:37" x14ac:dyDescent="0.2">
      <c r="A2535" t="str">
        <f>"20200111155547474"</f>
        <v>20200111155547474</v>
      </c>
      <c r="B2535" t="str">
        <f>"1578729347464602"</f>
        <v>1578729347464602</v>
      </c>
      <c r="C2535" t="s">
        <v>37</v>
      </c>
      <c r="D2535">
        <v>4.9682589999999998</v>
      </c>
      <c r="E2535">
        <v>0.52009079999999996</v>
      </c>
      <c r="F2535" t="s">
        <v>59</v>
      </c>
      <c r="G2535">
        <v>-360.35120000000001</v>
      </c>
      <c r="H2535" s="1">
        <v>-1.349924E-6</v>
      </c>
      <c r="I2535">
        <v>284.92399999999998</v>
      </c>
      <c r="J2535">
        <v>-335.07459999999998</v>
      </c>
      <c r="K2535">
        <v>1.1035059999999901</v>
      </c>
      <c r="L2535">
        <v>284.92239999999998</v>
      </c>
      <c r="M2535">
        <v>-0.99994530000000004</v>
      </c>
      <c r="N2535">
        <v>0</v>
      </c>
      <c r="O2535">
        <v>-1.045886E-2</v>
      </c>
      <c r="P2535">
        <v>-0.99835689999999999</v>
      </c>
      <c r="Q2535">
        <v>3.0015699999999999E-2</v>
      </c>
      <c r="R2535">
        <v>-4.8813589999999997E-2</v>
      </c>
      <c r="S2535">
        <v>-3.0088810000000001</v>
      </c>
      <c r="T2535">
        <v>-0.13037380000000001</v>
      </c>
      <c r="U2535" s="1">
        <v>-6.1035159999999999E-5</v>
      </c>
      <c r="V2535">
        <v>-3.8402239999999997E-2</v>
      </c>
      <c r="W2535">
        <v>3.049027E-2</v>
      </c>
      <c r="X2535">
        <v>0.99879709999999999</v>
      </c>
      <c r="Y2535">
        <v>1.041899E-2</v>
      </c>
      <c r="Z2535">
        <v>6.7858039999999897E-4</v>
      </c>
      <c r="AA2535">
        <v>0.99994550000000004</v>
      </c>
      <c r="AB2535">
        <v>33</v>
      </c>
      <c r="AC2535">
        <v>-25.276599999999998</v>
      </c>
      <c r="AD2535">
        <v>-1.10350734992399</v>
      </c>
      <c r="AE2535">
        <v>1.6000000000531099E-3</v>
      </c>
      <c r="AF2535">
        <v>0.26545838206882699</v>
      </c>
      <c r="AG2535">
        <v>-1.10350734992399</v>
      </c>
      <c r="AH2535">
        <v>25.227118943459001</v>
      </c>
      <c r="AI2535">
        <v>92.504548382499294</v>
      </c>
      <c r="AJ2535">
        <v>89.397113732159198</v>
      </c>
      <c r="AK2535">
        <v>25.252638016876102</v>
      </c>
    </row>
    <row r="2536" spans="1:37" x14ac:dyDescent="0.2">
      <c r="A2536" t="str">
        <f>"20200111155547489"</f>
        <v>20200111155547489</v>
      </c>
      <c r="B2536" t="str">
        <f>"1578729347485097"</f>
        <v>1578729347485097</v>
      </c>
      <c r="C2536" t="s">
        <v>37</v>
      </c>
      <c r="D2536">
        <v>4.9800149999999999</v>
      </c>
      <c r="E2536">
        <v>0.52015109999999998</v>
      </c>
      <c r="F2536" t="s">
        <v>59</v>
      </c>
      <c r="G2536">
        <v>-360.67239999999998</v>
      </c>
      <c r="H2536" s="1">
        <v>-1.1789770000000001E-6</v>
      </c>
      <c r="I2536">
        <v>284.92860000000002</v>
      </c>
      <c r="J2536">
        <v>-335.29349999999999</v>
      </c>
      <c r="K2536">
        <v>1.1035010000000001</v>
      </c>
      <c r="L2536">
        <v>284.91989999999998</v>
      </c>
      <c r="M2536">
        <v>-0.99994150000000004</v>
      </c>
      <c r="N2536">
        <v>0</v>
      </c>
      <c r="O2536">
        <v>-1.0798149999999999E-2</v>
      </c>
      <c r="P2536">
        <v>-0.99836389999999997</v>
      </c>
      <c r="Q2536">
        <v>3.030826E-2</v>
      </c>
      <c r="R2536">
        <v>-4.8482730000000002E-2</v>
      </c>
      <c r="S2536">
        <v>-3.0089109999999999</v>
      </c>
      <c r="T2536">
        <v>-0.12971260000000001</v>
      </c>
      <c r="U2536">
        <v>7.3242190000000001E-4</v>
      </c>
      <c r="V2536">
        <v>-3.7732719999999997E-2</v>
      </c>
      <c r="W2536">
        <v>3.0802920000000001E-2</v>
      </c>
      <c r="X2536">
        <v>0.99881299999999995</v>
      </c>
      <c r="Y2536">
        <v>1.102129E-2</v>
      </c>
      <c r="Z2536">
        <v>7.0273089999999905E-4</v>
      </c>
      <c r="AA2536">
        <v>0.99993899999999902</v>
      </c>
      <c r="AB2536">
        <v>33</v>
      </c>
      <c r="AC2536">
        <v>-25.378899999999899</v>
      </c>
      <c r="AD2536">
        <v>-1.1035021789770001</v>
      </c>
      <c r="AE2536">
        <v>8.7000000000330095E-3</v>
      </c>
      <c r="AF2536">
        <v>0.28221116636577998</v>
      </c>
      <c r="AG2536">
        <v>-1.1035021789770001</v>
      </c>
      <c r="AH2536">
        <v>25.329438464666001</v>
      </c>
      <c r="AI2536">
        <v>92.494415567149304</v>
      </c>
      <c r="AJ2536">
        <v>89.361658184225405</v>
      </c>
      <c r="AK2536">
        <v>25.355035261989499</v>
      </c>
    </row>
    <row r="2537" spans="1:37" x14ac:dyDescent="0.2">
      <c r="A2537" t="str">
        <f>"20200111155547511"</f>
        <v>20200111155547511</v>
      </c>
      <c r="B2537" t="str">
        <f>"1578729347504617"</f>
        <v>1578729347504617</v>
      </c>
      <c r="C2537" t="s">
        <v>37</v>
      </c>
      <c r="D2537">
        <v>4.9775419999999997</v>
      </c>
      <c r="E2537">
        <v>0.52020859999999902</v>
      </c>
      <c r="F2537" t="s">
        <v>59</v>
      </c>
      <c r="G2537">
        <v>-361.03930000000003</v>
      </c>
      <c r="H2537" s="1">
        <v>-9.8373429999999991E-7</v>
      </c>
      <c r="I2537">
        <v>284.93889999999999</v>
      </c>
      <c r="J2537">
        <v>-335.63479999999998</v>
      </c>
      <c r="K2537">
        <v>1.1035029999999999</v>
      </c>
      <c r="L2537">
        <v>284.91570000000002</v>
      </c>
      <c r="M2537">
        <v>-0.99993569999999998</v>
      </c>
      <c r="N2537">
        <v>0</v>
      </c>
      <c r="O2537">
        <v>-1.132652E-2</v>
      </c>
      <c r="P2537">
        <v>-0.99837529999999997</v>
      </c>
      <c r="Q2537">
        <v>2.9893610000000001E-2</v>
      </c>
      <c r="R2537">
        <v>-4.8509450000000003E-2</v>
      </c>
      <c r="S2537">
        <v>-3.0089419999999998</v>
      </c>
      <c r="T2537">
        <v>-0.1289679</v>
      </c>
      <c r="U2537">
        <v>2.2277829999999901E-3</v>
      </c>
      <c r="V2537">
        <v>-3.7231159999999999E-2</v>
      </c>
      <c r="W2537">
        <v>3.0421630000000002E-2</v>
      </c>
      <c r="X2537">
        <v>0.9988435</v>
      </c>
      <c r="Y2537">
        <v>1.2045409999999999E-2</v>
      </c>
      <c r="Z2537">
        <v>7.4326619999999998E-4</v>
      </c>
      <c r="AA2537">
        <v>0.99992719999999902</v>
      </c>
      <c r="AB2537">
        <v>34</v>
      </c>
      <c r="AC2537">
        <v>-25.404499999999999</v>
      </c>
      <c r="AD2537">
        <v>-1.1035039837342999</v>
      </c>
      <c r="AE2537">
        <v>2.31999999999743E-2</v>
      </c>
      <c r="AF2537">
        <v>0.31035755012512301</v>
      </c>
      <c r="AG2537">
        <v>-1.1035039837342999</v>
      </c>
      <c r="AH2537">
        <v>25.3547681923894</v>
      </c>
      <c r="AI2537">
        <v>92.491898856422495</v>
      </c>
      <c r="AJ2537">
        <v>89.298700363085601</v>
      </c>
      <c r="AK2537">
        <v>25.380668094848101</v>
      </c>
    </row>
    <row r="2538" spans="1:37" x14ac:dyDescent="0.2">
      <c r="A2538" t="str">
        <f>"20200111155547525"</f>
        <v>20200111155547525</v>
      </c>
      <c r="B2538" t="str">
        <f>"1578729347514378"</f>
        <v>1578729347514378</v>
      </c>
      <c r="C2538" t="s">
        <v>37</v>
      </c>
      <c r="D2538">
        <v>5.0100519999999999</v>
      </c>
      <c r="E2538">
        <v>0.52022270000000004</v>
      </c>
      <c r="F2538" t="s">
        <v>59</v>
      </c>
      <c r="G2538">
        <v>-361.06139999999999</v>
      </c>
      <c r="H2538" s="1">
        <v>-9.7197680000000009E-7</v>
      </c>
      <c r="I2538">
        <v>284.93639999999999</v>
      </c>
      <c r="J2538">
        <v>-335.84469999999999</v>
      </c>
      <c r="K2538">
        <v>1.103502</v>
      </c>
      <c r="L2538">
        <v>284.91309999999999</v>
      </c>
      <c r="M2538">
        <v>-0.99993209999999999</v>
      </c>
      <c r="N2538">
        <v>0</v>
      </c>
      <c r="O2538">
        <v>-1.1651150000000001E-2</v>
      </c>
      <c r="P2538">
        <v>-0.99836990000000003</v>
      </c>
      <c r="Q2538">
        <v>2.978304E-2</v>
      </c>
      <c r="R2538">
        <v>-4.8689879999999998E-2</v>
      </c>
      <c r="S2538">
        <v>-3.0088810000000001</v>
      </c>
      <c r="T2538">
        <v>-0.13058439999999999</v>
      </c>
      <c r="U2538">
        <v>2.4414060000000001E-3</v>
      </c>
      <c r="V2538">
        <v>-3.70879E-2</v>
      </c>
      <c r="W2538">
        <v>3.033108E-2</v>
      </c>
      <c r="X2538">
        <v>0.99885159999999995</v>
      </c>
      <c r="Y2538">
        <v>1.2439820000000001E-2</v>
      </c>
      <c r="Z2538">
        <v>7.752255E-4</v>
      </c>
      <c r="AA2538">
        <v>0.99992230000000004</v>
      </c>
      <c r="AB2538">
        <v>34</v>
      </c>
      <c r="AC2538">
        <v>-25.216699999999999</v>
      </c>
      <c r="AD2538">
        <v>-1.1035029719767999</v>
      </c>
      <c r="AE2538">
        <v>2.3300000000006E-2</v>
      </c>
      <c r="AF2538">
        <v>0.31649588791733002</v>
      </c>
      <c r="AG2538">
        <v>-1.1035029719767999</v>
      </c>
      <c r="AH2538">
        <v>25.166522853009599</v>
      </c>
      <c r="AI2538">
        <v>92.510501741108499</v>
      </c>
      <c r="AJ2538">
        <v>89.279482397916794</v>
      </c>
      <c r="AK2538">
        <v>25.1926926105028</v>
      </c>
    </row>
    <row r="2539" spans="1:37" x14ac:dyDescent="0.2">
      <c r="A2539" t="str">
        <f>"20200111155547537"</f>
        <v>20200111155547537</v>
      </c>
      <c r="B2539" t="str">
        <f>"1578729347534873"</f>
        <v>1578729347534873</v>
      </c>
      <c r="C2539" t="s">
        <v>37</v>
      </c>
      <c r="D2539">
        <v>4.9223800000000004</v>
      </c>
      <c r="E2539">
        <v>0.52029219999999998</v>
      </c>
      <c r="F2539" t="s">
        <v>59</v>
      </c>
      <c r="G2539">
        <v>-361.16809999999998</v>
      </c>
      <c r="H2539" s="1">
        <v>-9.1520580000000001E-7</v>
      </c>
      <c r="I2539">
        <v>284.93049999999999</v>
      </c>
      <c r="J2539">
        <v>-336.04790000000003</v>
      </c>
      <c r="K2539">
        <v>1.103502</v>
      </c>
      <c r="L2539">
        <v>284.91050000000001</v>
      </c>
      <c r="M2539">
        <v>-0.99992839999999905</v>
      </c>
      <c r="N2539">
        <v>0</v>
      </c>
      <c r="O2539">
        <v>-1.1965170000000001E-2</v>
      </c>
      <c r="P2539">
        <v>-0.998362999999999</v>
      </c>
      <c r="Q2539">
        <v>2.96772999999999E-2</v>
      </c>
      <c r="R2539">
        <v>-4.8900939999999997E-2</v>
      </c>
      <c r="S2539">
        <v>-3.0088810000000001</v>
      </c>
      <c r="T2539">
        <v>-0.13111639999999999</v>
      </c>
      <c r="U2539">
        <v>2.0751950000000002E-3</v>
      </c>
      <c r="V2539">
        <v>-3.6985129999999998E-2</v>
      </c>
      <c r="W2539">
        <v>3.0245290000000001E-2</v>
      </c>
      <c r="X2539">
        <v>0.99885800000000002</v>
      </c>
      <c r="Y2539">
        <v>1.2631470000000001E-2</v>
      </c>
      <c r="Z2539">
        <v>7.9623089999999997E-4</v>
      </c>
      <c r="AA2539">
        <v>0.99991989999999997</v>
      </c>
      <c r="AB2539">
        <v>34</v>
      </c>
      <c r="AC2539">
        <v>-25.120199999999901</v>
      </c>
      <c r="AD2539">
        <v>-1.1035029152058</v>
      </c>
      <c r="AE2539">
        <v>1.99999999999818E-2</v>
      </c>
      <c r="AF2539">
        <v>0.31994861610226</v>
      </c>
      <c r="AG2539">
        <v>-1.1035029152058</v>
      </c>
      <c r="AH2539">
        <v>25.0697841061566</v>
      </c>
      <c r="AI2539">
        <v>92.520170677691993</v>
      </c>
      <c r="AJ2539">
        <v>89.2688126027181</v>
      </c>
      <c r="AK2539">
        <v>25.096098520091001</v>
      </c>
    </row>
    <row r="2540" spans="1:37" x14ac:dyDescent="0.2">
      <c r="A2540" t="str">
        <f>"20200111155547555"</f>
        <v>20200111155547555</v>
      </c>
      <c r="B2540" t="str">
        <f>"1578729347544634"</f>
        <v>1578729347544634</v>
      </c>
      <c r="C2540" t="s">
        <v>37</v>
      </c>
      <c r="D2540">
        <v>4.9839469999999997</v>
      </c>
      <c r="E2540">
        <v>0.52036450000000001</v>
      </c>
      <c r="F2540" t="s">
        <v>59</v>
      </c>
      <c r="G2540">
        <v>-361.25659999999999</v>
      </c>
      <c r="H2540" s="1">
        <v>-8.6810050000000001E-7</v>
      </c>
      <c r="I2540">
        <v>284.92739999999998</v>
      </c>
      <c r="J2540">
        <v>-336.31189999999998</v>
      </c>
      <c r="K2540">
        <v>1.103507</v>
      </c>
      <c r="L2540">
        <v>284.90699999999998</v>
      </c>
      <c r="M2540">
        <v>-0.99992329999999996</v>
      </c>
      <c r="N2540">
        <v>0</v>
      </c>
      <c r="O2540">
        <v>-1.237242E-2</v>
      </c>
      <c r="P2540">
        <v>-0.99833899999999998</v>
      </c>
      <c r="Q2540">
        <v>2.9852159999999999E-2</v>
      </c>
      <c r="R2540">
        <v>-4.9279650000000001E-2</v>
      </c>
      <c r="S2540">
        <v>-3.0089419999999998</v>
      </c>
      <c r="T2540">
        <v>-0.13171549999999899</v>
      </c>
      <c r="U2540">
        <v>2.0141600000000001E-3</v>
      </c>
      <c r="V2540">
        <v>-3.6957740000000003E-2</v>
      </c>
      <c r="W2540">
        <v>3.0446419999999998E-2</v>
      </c>
      <c r="X2540">
        <v>0.99885290000000004</v>
      </c>
      <c r="Y2540">
        <v>1.301745E-2</v>
      </c>
      <c r="Z2540">
        <v>8.2611130000000003E-4</v>
      </c>
      <c r="AA2540">
        <v>0.99991489999999905</v>
      </c>
      <c r="AB2540">
        <v>34</v>
      </c>
      <c r="AC2540">
        <v>-24.944700000000001</v>
      </c>
      <c r="AD2540">
        <v>-1.1035078681004999</v>
      </c>
      <c r="AE2540">
        <v>2.0399999999994999E-2</v>
      </c>
      <c r="AF2540">
        <v>0.32838214413644301</v>
      </c>
      <c r="AG2540">
        <v>-1.1035078681004999</v>
      </c>
      <c r="AH2540">
        <v>24.893820737701301</v>
      </c>
      <c r="AI2540">
        <v>92.537958702662493</v>
      </c>
      <c r="AJ2540">
        <v>89.244237358872994</v>
      </c>
      <c r="AK2540">
        <v>24.920430882477799</v>
      </c>
    </row>
    <row r="2541" spans="1:37" x14ac:dyDescent="0.2">
      <c r="A2541" t="str">
        <f>"20200111155547568"</f>
        <v>20200111155547568</v>
      </c>
      <c r="B2541" t="str">
        <f>"1578729347565130"</f>
        <v>1578729347565130</v>
      </c>
      <c r="C2541" t="s">
        <v>37</v>
      </c>
      <c r="D2541">
        <v>5.0155919999999998</v>
      </c>
      <c r="E2541">
        <v>0.5204242</v>
      </c>
      <c r="F2541" t="s">
        <v>59</v>
      </c>
      <c r="G2541">
        <v>-361.64170000000001</v>
      </c>
      <c r="H2541" s="1">
        <v>-6.6317069999999997E-7</v>
      </c>
      <c r="I2541">
        <v>284.92059999999998</v>
      </c>
      <c r="J2541">
        <v>-336.50599999999997</v>
      </c>
      <c r="K2541">
        <v>1.1035090000000001</v>
      </c>
      <c r="L2541">
        <v>284.90440000000001</v>
      </c>
      <c r="M2541">
        <v>-0.99991969999999997</v>
      </c>
      <c r="N2541">
        <v>0</v>
      </c>
      <c r="O2541">
        <v>-1.26719E-2</v>
      </c>
      <c r="P2541">
        <v>-0.99831380000000003</v>
      </c>
      <c r="Q2541">
        <v>3.0013120000000001E-2</v>
      </c>
      <c r="R2541">
        <v>-4.968914E-2</v>
      </c>
      <c r="S2541">
        <v>-3.0090029999999999</v>
      </c>
      <c r="T2541">
        <v>-0.13108900000000001</v>
      </c>
      <c r="U2541">
        <v>1.617432E-3</v>
      </c>
      <c r="V2541">
        <v>-3.7068990000000003E-2</v>
      </c>
      <c r="W2541">
        <v>3.0627060000000001E-2</v>
      </c>
      <c r="X2541">
        <v>0.99884329999999999</v>
      </c>
      <c r="Y2541">
        <v>1.318486E-2</v>
      </c>
      <c r="Z2541">
        <v>8.3885369999999999E-4</v>
      </c>
      <c r="AA2541">
        <v>0.99991269999999999</v>
      </c>
      <c r="AB2541">
        <v>34</v>
      </c>
      <c r="AC2541">
        <v>-25.1357</v>
      </c>
      <c r="AD2541">
        <v>-1.1035096631707</v>
      </c>
      <c r="AE2541">
        <v>1.6199999999969301E-2</v>
      </c>
      <c r="AF2541">
        <v>0.33407189112282298</v>
      </c>
      <c r="AG2541">
        <v>-1.1035096631707</v>
      </c>
      <c r="AH2541">
        <v>25.085127642650001</v>
      </c>
      <c r="AI2541">
        <v>92.518628352678903</v>
      </c>
      <c r="AJ2541">
        <v>89.237006954089495</v>
      </c>
      <c r="AK2541">
        <v>25.111610192363099</v>
      </c>
    </row>
    <row r="2542" spans="1:37" x14ac:dyDescent="0.2">
      <c r="A2542" t="str">
        <f>"20200111155547581"</f>
        <v>20200111155547581</v>
      </c>
      <c r="B2542" t="str">
        <f>"1578729347574889"</f>
        <v>1578729347574889</v>
      </c>
      <c r="C2542" t="s">
        <v>37</v>
      </c>
      <c r="D2542">
        <v>5.0709679999999997</v>
      </c>
      <c r="E2542">
        <v>0.52037370000000005</v>
      </c>
      <c r="F2542" t="s">
        <v>59</v>
      </c>
      <c r="G2542">
        <v>-361.97480000000002</v>
      </c>
      <c r="H2542" s="1">
        <v>-4.8592509999999997E-7</v>
      </c>
      <c r="I2542">
        <v>284.9119</v>
      </c>
      <c r="J2542">
        <v>-336.71100000000001</v>
      </c>
      <c r="K2542">
        <v>1.1035109999999999</v>
      </c>
      <c r="L2542">
        <v>284.9015</v>
      </c>
      <c r="M2542">
        <v>-0.99991549999999996</v>
      </c>
      <c r="N2542">
        <v>0</v>
      </c>
      <c r="O2542">
        <v>-1.298771E-2</v>
      </c>
      <c r="P2542">
        <v>-0.99828859999999997</v>
      </c>
      <c r="Q2542">
        <v>3.0362960000000001E-2</v>
      </c>
      <c r="R2542">
        <v>-4.99835E-2</v>
      </c>
      <c r="S2542">
        <v>-3.009064</v>
      </c>
      <c r="T2542">
        <v>-0.13037670000000001</v>
      </c>
      <c r="U2542">
        <v>8.8500979999999905E-4</v>
      </c>
      <c r="V2542">
        <v>-3.7048560000000001E-2</v>
      </c>
      <c r="W2542">
        <v>3.099739E-2</v>
      </c>
      <c r="X2542">
        <v>0.99883259999999996</v>
      </c>
      <c r="Y2542">
        <v>1.325718E-2</v>
      </c>
      <c r="Z2542">
        <v>8.4952520000000002E-4</v>
      </c>
      <c r="AA2542">
        <v>0.99991180000000002</v>
      </c>
      <c r="AB2542">
        <v>34</v>
      </c>
      <c r="AC2542">
        <v>-25.2638</v>
      </c>
      <c r="AD2542">
        <v>-1.1035114859251001</v>
      </c>
      <c r="AE2542">
        <v>1.04000000000041E-2</v>
      </c>
      <c r="AF2542">
        <v>0.337873452172817</v>
      </c>
      <c r="AG2542">
        <v>-1.1035114859251001</v>
      </c>
      <c r="AH2542">
        <v>25.213429303019101</v>
      </c>
      <c r="AI2542">
        <v>92.505829737628602</v>
      </c>
      <c r="AJ2542">
        <v>89.232251831572498</v>
      </c>
      <c r="AK2542">
        <v>25.239827917154901</v>
      </c>
    </row>
    <row r="2543" spans="1:37" x14ac:dyDescent="0.2">
      <c r="A2543" t="str">
        <f>"20200111155547593"</f>
        <v>20200111155547593</v>
      </c>
      <c r="B2543" t="str">
        <f>"1578729347584650"</f>
        <v>1578729347584650</v>
      </c>
      <c r="C2543" t="s">
        <v>37</v>
      </c>
      <c r="D2543">
        <v>4.9171459999999998</v>
      </c>
      <c r="E2543">
        <v>0.52043969999999995</v>
      </c>
      <c r="F2543" t="s">
        <v>59</v>
      </c>
      <c r="G2543">
        <v>-362.45310000000001</v>
      </c>
      <c r="H2543" s="1">
        <v>-2.3137269999999999E-7</v>
      </c>
      <c r="I2543">
        <v>284.89890000000003</v>
      </c>
      <c r="J2543">
        <v>-336.9101</v>
      </c>
      <c r="K2543">
        <v>1.1035159999999999</v>
      </c>
      <c r="L2543">
        <v>284.89870000000002</v>
      </c>
      <c r="M2543">
        <v>-0.99991149999999995</v>
      </c>
      <c r="N2543">
        <v>0</v>
      </c>
      <c r="O2543">
        <v>-1.329434E-2</v>
      </c>
      <c r="P2543">
        <v>-0.99825379999999997</v>
      </c>
      <c r="Q2543">
        <v>3.0422190000000002E-2</v>
      </c>
      <c r="R2543">
        <v>-5.0638250000000003E-2</v>
      </c>
      <c r="S2543">
        <v>-3.009064</v>
      </c>
      <c r="T2543">
        <v>-0.12899249999999901</v>
      </c>
      <c r="U2543">
        <v>-3.0517579999999998E-4</v>
      </c>
      <c r="V2543">
        <v>-3.7398059999999997E-2</v>
      </c>
      <c r="W2543">
        <v>3.1076980000000001E-2</v>
      </c>
      <c r="X2543">
        <v>0.99881710000000001</v>
      </c>
      <c r="Y2543">
        <v>1.3168640000000001E-2</v>
      </c>
      <c r="Z2543">
        <v>8.5175460000000002E-4</v>
      </c>
      <c r="AA2543">
        <v>0.99991289999999999</v>
      </c>
      <c r="AB2543">
        <v>35</v>
      </c>
      <c r="AC2543">
        <v>-25.542999999999999</v>
      </c>
      <c r="AD2543">
        <v>-1.1035162313726901</v>
      </c>
      <c r="AE2543">
        <v>2.0000000000663901E-4</v>
      </c>
      <c r="AF2543">
        <v>0.33914435981771202</v>
      </c>
      <c r="AG2543">
        <v>-1.1035162313726901</v>
      </c>
      <c r="AH2543">
        <v>25.493158604287899</v>
      </c>
      <c r="AI2543">
        <v>92.478382298870898</v>
      </c>
      <c r="AJ2543">
        <v>89.237819269034702</v>
      </c>
      <c r="AK2543">
        <v>25.519284915394401</v>
      </c>
    </row>
    <row r="2544" spans="1:37" x14ac:dyDescent="0.2">
      <c r="A2544" t="str">
        <f>"20200111155547607"</f>
        <v>20200111155547607</v>
      </c>
      <c r="B2544" t="str">
        <f>"1578729347594410"</f>
        <v>1578729347594410</v>
      </c>
      <c r="C2544" t="s">
        <v>37</v>
      </c>
      <c r="D2544">
        <v>4.9017480000000004</v>
      </c>
      <c r="E2544">
        <v>0.52046040000000005</v>
      </c>
      <c r="F2544" t="s">
        <v>59</v>
      </c>
      <c r="G2544">
        <v>-362.70179999999999</v>
      </c>
      <c r="H2544" s="1">
        <v>-9.9055229999999904E-8</v>
      </c>
      <c r="I2544">
        <v>284.88350000000003</v>
      </c>
      <c r="J2544">
        <v>-337.10840000000002</v>
      </c>
      <c r="K2544">
        <v>1.1035189999999999</v>
      </c>
      <c r="L2544">
        <v>284.89580000000001</v>
      </c>
      <c r="M2544">
        <v>-0.9999074</v>
      </c>
      <c r="N2544">
        <v>0</v>
      </c>
      <c r="O2544">
        <v>-1.359954E-2</v>
      </c>
      <c r="P2544">
        <v>-0.99823439999999997</v>
      </c>
      <c r="Q2544">
        <v>3.0277459999999999E-2</v>
      </c>
      <c r="R2544">
        <v>-5.1106489999999997E-2</v>
      </c>
      <c r="S2544">
        <v>-3.0090939999999899</v>
      </c>
      <c r="T2544">
        <v>-0.12874659999999999</v>
      </c>
      <c r="U2544">
        <v>-1.77002E-3</v>
      </c>
      <c r="V2544">
        <v>-3.7561570000000002E-2</v>
      </c>
      <c r="W2544">
        <v>3.095258E-2</v>
      </c>
      <c r="X2544">
        <v>0.9988148</v>
      </c>
      <c r="Y2544">
        <v>1.298705E-2</v>
      </c>
      <c r="Z2544">
        <v>8.5929189999999996E-4</v>
      </c>
      <c r="AA2544">
        <v>0.99991529999999995</v>
      </c>
      <c r="AB2544">
        <v>35</v>
      </c>
      <c r="AC2544">
        <v>-25.5933999999999</v>
      </c>
      <c r="AD2544">
        <v>-1.1035190990552299</v>
      </c>
      <c r="AE2544">
        <v>-1.22999999999819E-2</v>
      </c>
      <c r="AF2544">
        <v>0.33513659325320799</v>
      </c>
      <c r="AG2544">
        <v>-1.1035190990552299</v>
      </c>
      <c r="AH2544">
        <v>25.543712034645999</v>
      </c>
      <c r="AI2544">
        <v>92.4734958420608</v>
      </c>
      <c r="AJ2544">
        <v>89.248315567787202</v>
      </c>
      <c r="AK2544">
        <v>25.569733972942199</v>
      </c>
    </row>
    <row r="2545" spans="1:37" x14ac:dyDescent="0.2">
      <c r="A2545" t="str">
        <f>"20200111155547620"</f>
        <v>20200111155547620</v>
      </c>
      <c r="B2545" t="str">
        <f>"1578729347614906"</f>
        <v>1578729347614906</v>
      </c>
      <c r="C2545" t="s">
        <v>37</v>
      </c>
      <c r="D2545">
        <v>5.1367370000000001</v>
      </c>
      <c r="E2545">
        <v>0.52052699999999996</v>
      </c>
      <c r="F2545" t="s">
        <v>59</v>
      </c>
      <c r="G2545">
        <v>-362.839</v>
      </c>
      <c r="H2545" s="1">
        <v>-2.6032919999999901E-8</v>
      </c>
      <c r="I2545">
        <v>284.86950000000002</v>
      </c>
      <c r="J2545">
        <v>-337.32029999999997</v>
      </c>
      <c r="K2545">
        <v>1.1035189999999999</v>
      </c>
      <c r="L2545">
        <v>284.89269999999999</v>
      </c>
      <c r="M2545">
        <v>-0.99990279999999998</v>
      </c>
      <c r="N2545">
        <v>0</v>
      </c>
      <c r="O2545">
        <v>-1.3925130000000001E-2</v>
      </c>
      <c r="P2545">
        <v>-0.99820640000000005</v>
      </c>
      <c r="Q2545">
        <v>3.0308660000000001E-2</v>
      </c>
      <c r="R2545">
        <v>-5.1630750000000003E-2</v>
      </c>
      <c r="S2545">
        <v>-3.0090330000000001</v>
      </c>
      <c r="T2545">
        <v>-0.12905</v>
      </c>
      <c r="U2545">
        <v>-3.0822750000000002E-3</v>
      </c>
      <c r="V2545">
        <v>-3.7761070000000001E-2</v>
      </c>
      <c r="W2545">
        <v>3.1005959999999999E-2</v>
      </c>
      <c r="X2545">
        <v>0.99880559999999996</v>
      </c>
      <c r="Y2545">
        <v>1.2876250000000001E-2</v>
      </c>
      <c r="Z2545">
        <v>8.7291339999999895E-4</v>
      </c>
      <c r="AA2545">
        <v>0.99991669999999999</v>
      </c>
      <c r="AB2545">
        <v>35</v>
      </c>
      <c r="AC2545">
        <v>-25.518699999999999</v>
      </c>
      <c r="AD2545">
        <v>-1.10351902603292</v>
      </c>
      <c r="AE2545">
        <v>-2.31999999999743E-2</v>
      </c>
      <c r="AF2545">
        <v>0.33153358126210403</v>
      </c>
      <c r="AG2545">
        <v>-1.10351902603292</v>
      </c>
      <c r="AH2545">
        <v>25.468921837205698</v>
      </c>
      <c r="AI2545">
        <v>92.480753439000097</v>
      </c>
      <c r="AJ2545">
        <v>89.254212553841299</v>
      </c>
      <c r="AK2545">
        <v>25.494973000691999</v>
      </c>
    </row>
    <row r="2546" spans="1:37" x14ac:dyDescent="0.2">
      <c r="A2546" t="str">
        <f>"20200111155547633"</f>
        <v>20200111155547633</v>
      </c>
      <c r="B2546" t="str">
        <f>"1578729347624665"</f>
        <v>1578729347624665</v>
      </c>
      <c r="C2546" t="s">
        <v>37</v>
      </c>
      <c r="D2546">
        <v>4.9002089999999896</v>
      </c>
      <c r="E2546">
        <v>0.52061550000000001</v>
      </c>
      <c r="F2546" t="s">
        <v>59</v>
      </c>
      <c r="G2546">
        <v>-363.16739999999999</v>
      </c>
      <c r="H2546" s="1">
        <v>1.48732399999999E-7</v>
      </c>
      <c r="I2546">
        <v>284.85890000000001</v>
      </c>
      <c r="J2546">
        <v>-337.53219999999999</v>
      </c>
      <c r="K2546">
        <v>1.1035159999999999</v>
      </c>
      <c r="L2546">
        <v>284.8895</v>
      </c>
      <c r="M2546">
        <v>-0.99989819999999996</v>
      </c>
      <c r="N2546">
        <v>0</v>
      </c>
      <c r="O2546">
        <v>-1.425072E-2</v>
      </c>
      <c r="P2546">
        <v>-0.9981643</v>
      </c>
      <c r="Q2546">
        <v>3.05058E-2</v>
      </c>
      <c r="R2546">
        <v>-5.232411E-2</v>
      </c>
      <c r="S2546">
        <v>-3.0090939999999899</v>
      </c>
      <c r="T2546">
        <v>-0.12847049999999999</v>
      </c>
      <c r="U2546">
        <v>-3.9367680000000002E-3</v>
      </c>
      <c r="V2546">
        <v>-3.8129910000000003E-2</v>
      </c>
      <c r="W2546">
        <v>3.1225200000000002E-2</v>
      </c>
      <c r="X2546">
        <v>0.99878480000000003</v>
      </c>
      <c r="Y2546">
        <v>1.291781E-2</v>
      </c>
      <c r="Z2546">
        <v>8.8375879999999995E-4</v>
      </c>
      <c r="AA2546">
        <v>0.99991620000000003</v>
      </c>
      <c r="AB2546">
        <v>35</v>
      </c>
      <c r="AC2546">
        <v>-25.635200000000001</v>
      </c>
      <c r="AD2546">
        <v>-1.1035158512676</v>
      </c>
      <c r="AE2546">
        <v>-3.0599999999992598E-2</v>
      </c>
      <c r="AF2546">
        <v>0.33410415125247001</v>
      </c>
      <c r="AG2546">
        <v>-1.1035158512676</v>
      </c>
      <c r="AH2546">
        <v>25.585621904458399</v>
      </c>
      <c r="AI2546">
        <v>92.469443952924493</v>
      </c>
      <c r="AJ2546">
        <v>89.251858332704998</v>
      </c>
      <c r="AK2546">
        <v>25.611587632471899</v>
      </c>
    </row>
    <row r="2547" spans="1:37" x14ac:dyDescent="0.2">
      <c r="A2547" t="str">
        <f>"20200111155547647"</f>
        <v>20200111155547647</v>
      </c>
      <c r="B2547" t="str">
        <f>"1578729347644186"</f>
        <v>1578729347644186</v>
      </c>
      <c r="C2547" t="s">
        <v>37</v>
      </c>
      <c r="D2547">
        <v>4.8881230000000002</v>
      </c>
      <c r="E2547">
        <v>0.52069259999999995</v>
      </c>
      <c r="F2547" t="s">
        <v>59</v>
      </c>
      <c r="G2547">
        <v>-363.45800000000003</v>
      </c>
      <c r="H2547" s="1">
        <v>3.0340519999999999E-7</v>
      </c>
      <c r="I2547">
        <v>284.84350000000001</v>
      </c>
      <c r="J2547">
        <v>-337.73860000000002</v>
      </c>
      <c r="K2547">
        <v>1.103521</v>
      </c>
      <c r="L2547">
        <v>284.88630000000001</v>
      </c>
      <c r="M2547">
        <v>-0.9998937</v>
      </c>
      <c r="N2547">
        <v>0</v>
      </c>
      <c r="O2547">
        <v>-1.456761E-2</v>
      </c>
      <c r="P2547">
        <v>-0.998138999999999</v>
      </c>
      <c r="Q2547">
        <v>3.0645510000000001E-2</v>
      </c>
      <c r="R2547">
        <v>-5.272292E-2</v>
      </c>
      <c r="S2547">
        <v>-3.0091549999999998</v>
      </c>
      <c r="T2547">
        <v>-0.12808259999999999</v>
      </c>
      <c r="U2547">
        <v>-5.3405759999999997E-3</v>
      </c>
      <c r="V2547">
        <v>-3.821306E-2</v>
      </c>
      <c r="W2547">
        <v>3.1386770000000001E-2</v>
      </c>
      <c r="X2547">
        <v>0.99877660000000001</v>
      </c>
      <c r="Y2547">
        <v>1.276826E-2</v>
      </c>
      <c r="Z2547">
        <v>8.9137399999999903E-4</v>
      </c>
      <c r="AA2547">
        <v>0.99991810000000003</v>
      </c>
      <c r="AB2547">
        <v>35</v>
      </c>
      <c r="AC2547">
        <v>-25.7194</v>
      </c>
      <c r="AD2547">
        <v>-1.1035206965947999</v>
      </c>
      <c r="AE2547">
        <v>-4.2799999999999699E-2</v>
      </c>
      <c r="AF2547">
        <v>0.33126496347790002</v>
      </c>
      <c r="AG2547">
        <v>-1.1035206965947999</v>
      </c>
      <c r="AH2547">
        <v>25.6700374918344</v>
      </c>
      <c r="AI2547">
        <v>92.461348915025795</v>
      </c>
      <c r="AJ2547">
        <v>89.260654339859698</v>
      </c>
      <c r="AK2547">
        <v>25.695881367176799</v>
      </c>
    </row>
    <row r="2548" spans="1:37" x14ac:dyDescent="0.2">
      <c r="A2548" t="str">
        <f>"20200111155547660"</f>
        <v>20200111155547660</v>
      </c>
      <c r="B2548" t="str">
        <f>"1578729347654922"</f>
        <v>1578729347654922</v>
      </c>
      <c r="C2548" t="s">
        <v>37</v>
      </c>
      <c r="D2548">
        <v>4.9303349999999897</v>
      </c>
      <c r="E2548">
        <v>0.52074909999999996</v>
      </c>
      <c r="F2548" t="s">
        <v>59</v>
      </c>
      <c r="G2548">
        <v>-363.73059999999998</v>
      </c>
      <c r="H2548" s="1">
        <v>4.4844999999999902E-7</v>
      </c>
      <c r="I2548">
        <v>284.8349</v>
      </c>
      <c r="J2548">
        <v>-337.94850000000002</v>
      </c>
      <c r="K2548">
        <v>1.1035280000000001</v>
      </c>
      <c r="L2548">
        <v>284.88310000000001</v>
      </c>
      <c r="M2548">
        <v>-0.99988889999999997</v>
      </c>
      <c r="N2548">
        <v>0</v>
      </c>
      <c r="O2548">
        <v>-1.4889619999999999E-2</v>
      </c>
      <c r="P2548">
        <v>-0.99811439999999996</v>
      </c>
      <c r="Q2548">
        <v>3.1068490000000001E-2</v>
      </c>
      <c r="R2548">
        <v>-5.2940979999999999E-2</v>
      </c>
      <c r="S2548">
        <v>-3.0092469999999998</v>
      </c>
      <c r="T2548">
        <v>-0.12776089999999901</v>
      </c>
      <c r="U2548">
        <v>-5.9509280000000003E-3</v>
      </c>
      <c r="V2548">
        <v>-3.8110610000000003E-2</v>
      </c>
      <c r="W2548">
        <v>3.1832869999999999E-2</v>
      </c>
      <c r="X2548">
        <v>0.99876640000000005</v>
      </c>
      <c r="Y2548">
        <v>1.2887249999999999E-2</v>
      </c>
      <c r="Z2548">
        <v>9.0529819999999998E-4</v>
      </c>
      <c r="AA2548">
        <v>0.99991659999999905</v>
      </c>
      <c r="AB2548">
        <v>35</v>
      </c>
      <c r="AC2548">
        <v>-25.7820999999999</v>
      </c>
      <c r="AD2548">
        <v>-1.10352755155</v>
      </c>
      <c r="AE2548">
        <v>-4.8200000000008403E-2</v>
      </c>
      <c r="AF2548">
        <v>0.33507724307892101</v>
      </c>
      <c r="AG2548">
        <v>-1.10352755155</v>
      </c>
      <c r="AH2548">
        <v>25.732816740294901</v>
      </c>
      <c r="AI2548">
        <v>92.455362951317795</v>
      </c>
      <c r="AJ2548">
        <v>89.253971026024402</v>
      </c>
      <c r="AK2548">
        <v>25.758647231666899</v>
      </c>
    </row>
    <row r="2549" spans="1:37" x14ac:dyDescent="0.2">
      <c r="A2549" t="str">
        <f>"20200111155547673"</f>
        <v>20200111155547673</v>
      </c>
      <c r="B2549" t="str">
        <f>"1578729347664681"</f>
        <v>1578729347664681</v>
      </c>
      <c r="C2549" t="s">
        <v>37</v>
      </c>
      <c r="D2549">
        <v>5.0315859999999999</v>
      </c>
      <c r="E2549">
        <v>0.52072969999999996</v>
      </c>
      <c r="F2549" t="s">
        <v>59</v>
      </c>
      <c r="G2549">
        <v>-364.20800000000003</v>
      </c>
      <c r="H2549" s="1">
        <v>7.0250219999999998E-7</v>
      </c>
      <c r="I2549">
        <v>284.82979999999998</v>
      </c>
      <c r="J2549">
        <v>-338.17140000000001</v>
      </c>
      <c r="K2549">
        <v>1.1035330000000001</v>
      </c>
      <c r="L2549">
        <v>284.87950000000001</v>
      </c>
      <c r="M2549">
        <v>-0.99988379999999999</v>
      </c>
      <c r="N2549">
        <v>0</v>
      </c>
      <c r="O2549">
        <v>-1.5231069999999999E-2</v>
      </c>
      <c r="P2549">
        <v>-0.99810880000000002</v>
      </c>
      <c r="Q2549">
        <v>3.1102749999999998E-2</v>
      </c>
      <c r="R2549">
        <v>-5.3027480000000002E-2</v>
      </c>
      <c r="S2549">
        <v>-3.0092469999999998</v>
      </c>
      <c r="T2549">
        <v>-0.12646060000000001</v>
      </c>
      <c r="U2549">
        <v>-6.1035159999999998E-3</v>
      </c>
      <c r="V2549">
        <v>-3.7856689999999998E-2</v>
      </c>
      <c r="W2549">
        <v>3.1894350000000002E-2</v>
      </c>
      <c r="X2549">
        <v>0.9987741</v>
      </c>
      <c r="Y2549">
        <v>1.3177960000000001E-2</v>
      </c>
      <c r="Z2549">
        <v>9.1653920000000003E-4</v>
      </c>
      <c r="AA2549">
        <v>0.99991269999999999</v>
      </c>
      <c r="AB2549">
        <v>35</v>
      </c>
      <c r="AC2549">
        <v>-26.0366</v>
      </c>
      <c r="AD2549">
        <v>-1.1035322974977999</v>
      </c>
      <c r="AE2549">
        <v>-4.9700000000029797E-2</v>
      </c>
      <c r="AF2549">
        <v>0.34624912432645899</v>
      </c>
      <c r="AG2549">
        <v>-1.1035322974977999</v>
      </c>
      <c r="AH2549">
        <v>25.987652862066</v>
      </c>
      <c r="AI2549">
        <v>92.431315363835793</v>
      </c>
      <c r="AJ2549">
        <v>89.236659046958295</v>
      </c>
      <c r="AK2549">
        <v>26.013376813996398</v>
      </c>
    </row>
    <row r="2550" spans="1:37" x14ac:dyDescent="0.2">
      <c r="A2550" t="str">
        <f>"20200111155547687"</f>
        <v>20200111155547687</v>
      </c>
      <c r="B2550" t="str">
        <f>"1578729347674442"</f>
        <v>1578729347674442</v>
      </c>
      <c r="C2550" t="s">
        <v>37</v>
      </c>
      <c r="D2550">
        <v>4.8738190000000001</v>
      </c>
      <c r="E2550">
        <v>0.52075559999999999</v>
      </c>
      <c r="F2550" t="s">
        <v>59</v>
      </c>
      <c r="G2550">
        <v>-364.46820000000002</v>
      </c>
      <c r="H2550" s="1">
        <v>8.4096099999999996E-7</v>
      </c>
      <c r="I2550">
        <v>284.82080000000002</v>
      </c>
      <c r="J2550">
        <v>-338.36799999999999</v>
      </c>
      <c r="K2550">
        <v>1.1035360000000001</v>
      </c>
      <c r="L2550">
        <v>284.87630000000001</v>
      </c>
      <c r="M2550">
        <v>-0.99987909999999902</v>
      </c>
      <c r="N2550">
        <v>0</v>
      </c>
      <c r="O2550">
        <v>-1.5531629999999999E-2</v>
      </c>
      <c r="P2550">
        <v>-0.99808850000000005</v>
      </c>
      <c r="Q2550">
        <v>3.1172769999999999E-2</v>
      </c>
      <c r="R2550">
        <v>-5.3364849999999998E-2</v>
      </c>
      <c r="S2550">
        <v>-3.009277</v>
      </c>
      <c r="T2550">
        <v>-0.1262829</v>
      </c>
      <c r="U2550">
        <v>-6.7138669999999897E-3</v>
      </c>
      <c r="V2550">
        <v>-3.7894669999999998E-2</v>
      </c>
      <c r="W2550">
        <v>3.1991569999999997E-2</v>
      </c>
      <c r="X2550">
        <v>0.99876949999999998</v>
      </c>
      <c r="Y2550">
        <v>1.3275469999999999E-2</v>
      </c>
      <c r="Z2550">
        <v>9.298946E-4</v>
      </c>
      <c r="AA2550">
        <v>0.99991140000000001</v>
      </c>
      <c r="AB2550">
        <v>35</v>
      </c>
      <c r="AC2550">
        <v>-26.100199999999901</v>
      </c>
      <c r="AD2550">
        <v>-1.1035351590389999</v>
      </c>
      <c r="AE2550">
        <v>-5.5499999999994998E-2</v>
      </c>
      <c r="AF2550">
        <v>0.34926109924597698</v>
      </c>
      <c r="AG2550">
        <v>-1.1035351590389999</v>
      </c>
      <c r="AH2550">
        <v>26.051343011396501</v>
      </c>
      <c r="AI2550">
        <v>92.425382000667099</v>
      </c>
      <c r="AJ2550">
        <v>89.231901858916203</v>
      </c>
      <c r="AK2550">
        <v>26.0770444234027</v>
      </c>
    </row>
    <row r="2551" spans="1:37" x14ac:dyDescent="0.2">
      <c r="A2551" t="str">
        <f>"20200111155547700"</f>
        <v>20200111155547700</v>
      </c>
      <c r="B2551" t="str">
        <f>"1578729347694937"</f>
        <v>1578729347694937</v>
      </c>
      <c r="C2551" t="s">
        <v>37</v>
      </c>
      <c r="D2551">
        <v>4.8974269999999898</v>
      </c>
      <c r="E2551">
        <v>0.52084679999999905</v>
      </c>
      <c r="F2551" t="s">
        <v>59</v>
      </c>
      <c r="G2551">
        <v>-364.70299999999997</v>
      </c>
      <c r="H2551" s="1">
        <v>9.6591619999999898E-7</v>
      </c>
      <c r="I2551">
        <v>284.81009999999998</v>
      </c>
      <c r="J2551">
        <v>-338.5992</v>
      </c>
      <c r="K2551">
        <v>1.1035459999999999</v>
      </c>
      <c r="L2551">
        <v>284.87240000000003</v>
      </c>
      <c r="M2551">
        <v>-0.99987329999999996</v>
      </c>
      <c r="N2551">
        <v>0</v>
      </c>
      <c r="O2551">
        <v>-1.588442E-2</v>
      </c>
      <c r="P2551">
        <v>-0.99812469999999998</v>
      </c>
      <c r="Q2551">
        <v>3.1021819999999999E-2</v>
      </c>
      <c r="R2551">
        <v>-5.276952E-2</v>
      </c>
      <c r="S2551">
        <v>-3.0092469999999998</v>
      </c>
      <c r="T2551">
        <v>-0.12609890000000001</v>
      </c>
      <c r="U2551">
        <v>-7.5683590000000002E-3</v>
      </c>
      <c r="V2551">
        <v>-3.6946100000000003E-2</v>
      </c>
      <c r="W2551">
        <v>3.1876710000000003E-2</v>
      </c>
      <c r="X2551">
        <v>0.99880869999999999</v>
      </c>
      <c r="Y2551">
        <v>1.334402E-2</v>
      </c>
      <c r="Z2551">
        <v>9.4476E-4</v>
      </c>
      <c r="AA2551">
        <v>0.99991049999999904</v>
      </c>
      <c r="AB2551">
        <v>36</v>
      </c>
      <c r="AC2551">
        <v>-26.1038</v>
      </c>
      <c r="AD2551">
        <v>-1.1035450340838</v>
      </c>
      <c r="AE2551">
        <v>-6.2300000000050197E-2</v>
      </c>
      <c r="AF2551">
        <v>0.35172320915024102</v>
      </c>
      <c r="AG2551">
        <v>-1.1035450340838</v>
      </c>
      <c r="AH2551">
        <v>26.054931147089</v>
      </c>
      <c r="AI2551">
        <v>92.425067046009104</v>
      </c>
      <c r="AJ2551">
        <v>89.226594331051302</v>
      </c>
      <c r="AK2551">
        <v>26.080662528732901</v>
      </c>
    </row>
    <row r="2552" spans="1:37" x14ac:dyDescent="0.2">
      <c r="A2552" t="str">
        <f>"20200111155547714"</f>
        <v>20200111155547714</v>
      </c>
      <c r="B2552" t="str">
        <f>"1578729347704698"</f>
        <v>1578729347704698</v>
      </c>
      <c r="C2552" t="s">
        <v>37</v>
      </c>
      <c r="D2552">
        <v>5.0103489999999997</v>
      </c>
      <c r="E2552">
        <v>0.52072269999999998</v>
      </c>
      <c r="F2552" t="s">
        <v>59</v>
      </c>
      <c r="G2552">
        <v>-364.78699999999998</v>
      </c>
      <c r="H2552" s="1">
        <v>1.0106309999999999E-6</v>
      </c>
      <c r="I2552">
        <v>284.82889999999998</v>
      </c>
      <c r="J2552">
        <v>-338.81830000000002</v>
      </c>
      <c r="K2552">
        <v>1.1035569999999999</v>
      </c>
      <c r="L2552">
        <v>284.86869999999999</v>
      </c>
      <c r="M2552">
        <v>-0.99986810000000004</v>
      </c>
      <c r="N2552">
        <v>0</v>
      </c>
      <c r="O2552">
        <v>-1.62185E-2</v>
      </c>
      <c r="P2552">
        <v>-0.99811709999999998</v>
      </c>
      <c r="Q2552">
        <v>3.0928239999999999E-2</v>
      </c>
      <c r="R2552">
        <v>-5.2971810000000001E-2</v>
      </c>
      <c r="S2552">
        <v>-3.0093079999999999</v>
      </c>
      <c r="T2552">
        <v>-0.12681099999999901</v>
      </c>
      <c r="U2552">
        <v>-5.0048829999999999E-3</v>
      </c>
      <c r="V2552">
        <v>-3.6814699999999999E-2</v>
      </c>
      <c r="W2552">
        <v>3.1826670000000001E-2</v>
      </c>
      <c r="X2552">
        <v>0.99881520000000001</v>
      </c>
      <c r="Y2552">
        <v>1.4528289999999999E-2</v>
      </c>
      <c r="Z2552">
        <v>9.8908529999999989E-4</v>
      </c>
      <c r="AA2552">
        <v>0.99989399999999995</v>
      </c>
      <c r="AB2552">
        <v>36</v>
      </c>
      <c r="AC2552">
        <v>-25.968699999999899</v>
      </c>
      <c r="AD2552">
        <v>-1.1035559893689999</v>
      </c>
      <c r="AE2552">
        <v>-3.9800000000013797E-2</v>
      </c>
      <c r="AF2552">
        <v>0.38069127197650898</v>
      </c>
      <c r="AG2552">
        <v>-1.1035559893689999</v>
      </c>
      <c r="AH2552">
        <v>25.919123213634599</v>
      </c>
      <c r="AI2552">
        <v>92.437741734710997</v>
      </c>
      <c r="AJ2552">
        <v>89.158519571708098</v>
      </c>
      <c r="AK2552">
        <v>25.945398625378701</v>
      </c>
    </row>
    <row r="2553" spans="1:37" x14ac:dyDescent="0.2">
      <c r="A2553" t="str">
        <f>"20200111155547728"</f>
        <v>20200111155547728</v>
      </c>
      <c r="B2553" t="str">
        <f>"1578729347725193"</f>
        <v>1578729347725193</v>
      </c>
      <c r="C2553" t="s">
        <v>37</v>
      </c>
      <c r="D2553">
        <v>4.996855</v>
      </c>
      <c r="E2553">
        <v>0.48035729999999999</v>
      </c>
      <c r="F2553" t="s">
        <v>59</v>
      </c>
      <c r="G2553">
        <v>-364.85180000000003</v>
      </c>
      <c r="H2553" s="1">
        <v>1.045109E-6</v>
      </c>
      <c r="I2553">
        <v>284.81029999999998</v>
      </c>
      <c r="J2553">
        <v>-339.0376</v>
      </c>
      <c r="K2553">
        <v>1.1035680000000001</v>
      </c>
      <c r="L2553">
        <v>284.86489999999998</v>
      </c>
      <c r="M2553">
        <v>-0.99986269999999999</v>
      </c>
      <c r="N2553">
        <v>0</v>
      </c>
      <c r="O2553">
        <v>-1.6551880000000001E-2</v>
      </c>
      <c r="P2553">
        <v>-0.99811839999999996</v>
      </c>
      <c r="Q2553">
        <v>3.1025629999999998E-2</v>
      </c>
      <c r="R2553">
        <v>-5.2889940000000003E-2</v>
      </c>
      <c r="S2553">
        <v>-3.009277</v>
      </c>
      <c r="T2553">
        <v>-0.1275626</v>
      </c>
      <c r="U2553">
        <v>-6.7443850000000003E-3</v>
      </c>
      <c r="V2553">
        <v>-3.640065E-2</v>
      </c>
      <c r="W2553">
        <v>3.1979180000000003E-2</v>
      </c>
      <c r="X2553">
        <v>0.99882549999999903</v>
      </c>
      <c r="Y2553">
        <v>1.4283260000000001E-2</v>
      </c>
      <c r="Z2553">
        <v>1.003884E-3</v>
      </c>
      <c r="AA2553">
        <v>0.99989749999999999</v>
      </c>
      <c r="AB2553">
        <v>36</v>
      </c>
      <c r="AC2553">
        <v>-25.8142</v>
      </c>
      <c r="AD2553">
        <v>-1.1035669548910001</v>
      </c>
      <c r="AE2553">
        <v>-5.4599999999993501E-2</v>
      </c>
      <c r="AF2553">
        <v>0.37200128737428001</v>
      </c>
      <c r="AG2553">
        <v>-1.1035669548910001</v>
      </c>
      <c r="AH2553">
        <v>25.764480565235001</v>
      </c>
      <c r="AI2553">
        <v>92.452388873919503</v>
      </c>
      <c r="AJ2553">
        <v>89.1727905111251</v>
      </c>
      <c r="AK2553">
        <v>25.790787188027199</v>
      </c>
    </row>
    <row r="2554" spans="1:37" x14ac:dyDescent="0.2">
      <c r="A2554" t="str">
        <f>"20200111155547742"</f>
        <v>20200111155547742</v>
      </c>
      <c r="B2554" t="str">
        <f>"1578729347734954"</f>
        <v>1578729347734954</v>
      </c>
      <c r="C2554" t="s">
        <v>37</v>
      </c>
      <c r="D2554">
        <v>4.9633560000000001</v>
      </c>
      <c r="E2554">
        <v>0.47857499999999997</v>
      </c>
      <c r="F2554" t="s">
        <v>59</v>
      </c>
      <c r="G2554">
        <v>-371.87450000000001</v>
      </c>
      <c r="H2554" s="1">
        <v>-5.3926730000000004E-7</v>
      </c>
      <c r="I2554">
        <v>281.27480000000003</v>
      </c>
      <c r="J2554">
        <v>-339.26659999999998</v>
      </c>
      <c r="K2554">
        <v>1.103583</v>
      </c>
      <c r="L2554">
        <v>284.86079999999998</v>
      </c>
      <c r="M2554">
        <v>-0.99985669999999904</v>
      </c>
      <c r="N2554">
        <v>0</v>
      </c>
      <c r="O2554">
        <v>-1.68991E-2</v>
      </c>
      <c r="P2554">
        <v>-0.99811260000000002</v>
      </c>
      <c r="Q2554">
        <v>3.1281999999999997E-2</v>
      </c>
      <c r="R2554">
        <v>-5.2849800000000002E-2</v>
      </c>
      <c r="S2554">
        <v>-2.99145499999999</v>
      </c>
      <c r="T2554">
        <v>-0.1005355</v>
      </c>
      <c r="U2554">
        <v>-0.32705689999999998</v>
      </c>
      <c r="V2554">
        <v>-3.6014480000000001E-2</v>
      </c>
      <c r="W2554">
        <v>3.2306120000000001E-2</v>
      </c>
      <c r="X2554">
        <v>0.99882890000000002</v>
      </c>
      <c r="Y2554">
        <v>-9.1826450000000004E-2</v>
      </c>
      <c r="Z2554">
        <v>-9.7207559999999997E-4</v>
      </c>
      <c r="AA2554">
        <v>0.99577459999999995</v>
      </c>
      <c r="AB2554">
        <v>36</v>
      </c>
      <c r="AC2554">
        <v>-32.607900000000001</v>
      </c>
      <c r="AD2554">
        <v>-1.1035835392672999</v>
      </c>
      <c r="AE2554">
        <v>-3.5859999999999501</v>
      </c>
      <c r="AF2554">
        <v>-3.0310131836747498</v>
      </c>
      <c r="AG2554">
        <v>-1.1035835392672999</v>
      </c>
      <c r="AH2554">
        <v>32.6269188401779</v>
      </c>
      <c r="AI2554">
        <v>91.928953076605396</v>
      </c>
      <c r="AJ2554">
        <v>95.307496125733607</v>
      </c>
      <c r="AK2554">
        <v>32.785984361481397</v>
      </c>
    </row>
    <row r="2555" spans="1:37" x14ac:dyDescent="0.2">
      <c r="A2555" t="str">
        <f>"20200111155547757"</f>
        <v>20200111155547757</v>
      </c>
      <c r="B2555" t="str">
        <f>"1578729347744714"</f>
        <v>1578729347744714</v>
      </c>
      <c r="C2555" t="s">
        <v>37</v>
      </c>
      <c r="D2555">
        <v>4.9533559999999897</v>
      </c>
      <c r="E2555">
        <v>0.47783439999999999</v>
      </c>
      <c r="F2555" t="s">
        <v>59</v>
      </c>
      <c r="G2555">
        <v>-377.44159999999999</v>
      </c>
      <c r="H2555" s="1">
        <v>2.4232439999999999E-6</v>
      </c>
      <c r="I2555">
        <v>280.51780000000002</v>
      </c>
      <c r="J2555">
        <v>-339.50510000000003</v>
      </c>
      <c r="K2555">
        <v>1.1036049999999999</v>
      </c>
      <c r="L2555">
        <v>284.85649999999998</v>
      </c>
      <c r="M2555">
        <v>-0.99985049999999998</v>
      </c>
      <c r="N2555">
        <v>0</v>
      </c>
      <c r="O2555">
        <v>-1.7259360000000001E-2</v>
      </c>
      <c r="P2555">
        <v>-0.99814579999999997</v>
      </c>
      <c r="Q2555">
        <v>3.087403E-2</v>
      </c>
      <c r="R2555">
        <v>-5.246166E-2</v>
      </c>
      <c r="S2555">
        <v>-2.9903869999999899</v>
      </c>
      <c r="T2555">
        <v>-8.6447599999999999E-2</v>
      </c>
      <c r="U2555">
        <v>-0.34021000000000001</v>
      </c>
      <c r="V2555">
        <v>-3.5265159999999997E-2</v>
      </c>
      <c r="W2555">
        <v>3.1993470000000003E-2</v>
      </c>
      <c r="X2555">
        <v>0.99886569999999997</v>
      </c>
      <c r="Y2555">
        <v>-9.5840720000000004E-2</v>
      </c>
      <c r="Z2555">
        <v>-8.8347079999999997E-4</v>
      </c>
      <c r="AA2555">
        <v>0.99539630000000001</v>
      </c>
      <c r="AB2555">
        <v>36</v>
      </c>
      <c r="AC2555">
        <v>-37.936499999999903</v>
      </c>
      <c r="AD2555">
        <v>-1.103602576756</v>
      </c>
      <c r="AE2555">
        <v>-4.3386999999999603</v>
      </c>
      <c r="AF2555">
        <v>-3.6802194028987301</v>
      </c>
      <c r="AG2555">
        <v>-1.103602576756</v>
      </c>
      <c r="AH2555">
        <v>37.974010936451997</v>
      </c>
      <c r="AI2555">
        <v>91.656905633185005</v>
      </c>
      <c r="AJ2555">
        <v>95.535485170907606</v>
      </c>
      <c r="AK2555">
        <v>38.167885192956</v>
      </c>
    </row>
    <row r="2556" spans="1:37" x14ac:dyDescent="0.2">
      <c r="A2556" t="str">
        <f>"20200111155547772"</f>
        <v>20200111155547772</v>
      </c>
      <c r="B2556" t="str">
        <f>"1578729347765210"</f>
        <v>1578729347765210</v>
      </c>
      <c r="C2556" t="s">
        <v>37</v>
      </c>
      <c r="D2556">
        <v>5.0828319999999998</v>
      </c>
      <c r="E2556">
        <v>0.47809929999999901</v>
      </c>
      <c r="F2556" t="s">
        <v>59</v>
      </c>
      <c r="G2556">
        <v>-381.55349999999999</v>
      </c>
      <c r="H2556" s="1">
        <v>-7.1011659999999996E-7</v>
      </c>
      <c r="I2556">
        <v>280.0136</v>
      </c>
      <c r="J2556">
        <v>-339.73759999999999</v>
      </c>
      <c r="K2556">
        <v>1.103629</v>
      </c>
      <c r="L2556">
        <v>284.85219999999998</v>
      </c>
      <c r="M2556">
        <v>-0.99984419999999996</v>
      </c>
      <c r="N2556">
        <v>0</v>
      </c>
      <c r="O2556">
        <v>-1.7608209999999999E-2</v>
      </c>
      <c r="P2556">
        <v>-0.99814579999999997</v>
      </c>
      <c r="Q2556">
        <v>3.052993E-2</v>
      </c>
      <c r="R2556">
        <v>-5.2659610000000003E-2</v>
      </c>
      <c r="S2556">
        <v>-2.9898989999999999</v>
      </c>
      <c r="T2556">
        <v>-7.8473210000000002E-2</v>
      </c>
      <c r="U2556">
        <v>-0.34436040000000001</v>
      </c>
      <c r="V2556">
        <v>-3.5114899999999998E-2</v>
      </c>
      <c r="W2556">
        <v>3.1775200000000003E-2</v>
      </c>
      <c r="X2556">
        <v>0.99887800000000004</v>
      </c>
      <c r="Y2556">
        <v>-9.6880949999999993E-2</v>
      </c>
      <c r="Z2556">
        <v>-8.0655739999999998E-4</v>
      </c>
      <c r="AA2556">
        <v>0.99529559999999995</v>
      </c>
      <c r="AB2556">
        <v>36</v>
      </c>
      <c r="AC2556">
        <v>-41.815899999999999</v>
      </c>
      <c r="AD2556">
        <v>-1.1036297101165999</v>
      </c>
      <c r="AE2556">
        <v>-4.83859999999998</v>
      </c>
      <c r="AF2556">
        <v>-4.0987288046780304</v>
      </c>
      <c r="AG2556">
        <v>-1.1036297101165999</v>
      </c>
      <c r="AH2556">
        <v>41.865839024332303</v>
      </c>
      <c r="AI2556">
        <v>91.502848567627197</v>
      </c>
      <c r="AJ2556">
        <v>95.591524319094702</v>
      </c>
      <c r="AK2556">
        <v>42.080471166119999</v>
      </c>
    </row>
    <row r="2557" spans="1:37" x14ac:dyDescent="0.2">
      <c r="A2557" t="str">
        <f>"20200111155547785"</f>
        <v>20200111155547785</v>
      </c>
      <c r="B2557" t="str">
        <f>"1578729347774969"</f>
        <v>1578729347774969</v>
      </c>
      <c r="C2557" t="s">
        <v>37</v>
      </c>
      <c r="D2557">
        <v>4.9747370000000002</v>
      </c>
      <c r="E2557">
        <v>0.47777599999999998</v>
      </c>
      <c r="F2557" t="s">
        <v>59</v>
      </c>
      <c r="G2557">
        <v>-385.55990000000003</v>
      </c>
      <c r="H2557">
        <v>5.7997060000000003E-2</v>
      </c>
      <c r="I2557">
        <v>279.60829999999999</v>
      </c>
      <c r="J2557">
        <v>-339.96129999999999</v>
      </c>
      <c r="K2557">
        <v>1.103658</v>
      </c>
      <c r="L2557">
        <v>284.84800000000001</v>
      </c>
      <c r="M2557">
        <v>-0.99983820000000001</v>
      </c>
      <c r="N2557">
        <v>0</v>
      </c>
      <c r="O2557">
        <v>-1.794196E-2</v>
      </c>
      <c r="P2557">
        <v>-0.99815880000000001</v>
      </c>
      <c r="Q2557">
        <v>2.9996459999999999E-2</v>
      </c>
      <c r="R2557">
        <v>-5.2721770000000001E-2</v>
      </c>
      <c r="S2557">
        <v>-2.9896240000000001</v>
      </c>
      <c r="T2557">
        <v>-6.8221089999999998E-2</v>
      </c>
      <c r="U2557">
        <v>-0.34213259999999901</v>
      </c>
      <c r="V2557">
        <v>-3.484334E-2</v>
      </c>
      <c r="W2557">
        <v>3.1392009999999998E-2</v>
      </c>
      <c r="X2557">
        <v>0.998899599999999</v>
      </c>
      <c r="Y2557">
        <v>-9.5833959999999996E-2</v>
      </c>
      <c r="Z2557">
        <v>-6.8181610000000005E-4</v>
      </c>
      <c r="AA2557">
        <v>0.99539709999999904</v>
      </c>
      <c r="AB2557">
        <v>36</v>
      </c>
      <c r="AC2557">
        <v>-45.598599999999998</v>
      </c>
      <c r="AD2557">
        <v>-1.0456609400000001</v>
      </c>
      <c r="AE2557">
        <v>-5.2397000000000196</v>
      </c>
      <c r="AF2557">
        <v>-4.4184343845386103</v>
      </c>
      <c r="AG2557">
        <v>-1.0456609400000001</v>
      </c>
      <c r="AH2557">
        <v>45.661571406930904</v>
      </c>
      <c r="AI2557">
        <v>91.305760974075298</v>
      </c>
      <c r="AJ2557">
        <v>95.527008873101906</v>
      </c>
      <c r="AK2557">
        <v>45.886763587794803</v>
      </c>
    </row>
    <row r="2558" spans="1:37" x14ac:dyDescent="0.2">
      <c r="A2558" t="str">
        <f>"20200111155547799"</f>
        <v>20200111155547799</v>
      </c>
      <c r="B2558" t="str">
        <f>"1578729347794490"</f>
        <v>1578729347794490</v>
      </c>
      <c r="C2558" t="s">
        <v>37</v>
      </c>
      <c r="D2558">
        <v>4.9931849999999898</v>
      </c>
      <c r="E2558">
        <v>0.47783559999999897</v>
      </c>
      <c r="F2558" t="s">
        <v>59</v>
      </c>
      <c r="G2558">
        <v>-385.29309999999998</v>
      </c>
      <c r="H2558">
        <v>3.2589029999999998E-2</v>
      </c>
      <c r="I2558">
        <v>279.61630000000002</v>
      </c>
      <c r="J2558">
        <v>-340.18869999999998</v>
      </c>
      <c r="K2558">
        <v>1.103688</v>
      </c>
      <c r="L2558">
        <v>284.84370000000001</v>
      </c>
      <c r="M2558">
        <v>-0.99983169999999899</v>
      </c>
      <c r="N2558">
        <v>0</v>
      </c>
      <c r="O2558">
        <v>-1.827875E-2</v>
      </c>
      <c r="P2558">
        <v>-0.998166</v>
      </c>
      <c r="Q2558">
        <v>2.9521459999999999E-2</v>
      </c>
      <c r="R2558">
        <v>-5.2850580000000001E-2</v>
      </c>
      <c r="S2558">
        <v>-2.9893800000000001</v>
      </c>
      <c r="T2558">
        <v>-7.0631029999999997E-2</v>
      </c>
      <c r="U2558">
        <v>-0.34500120000000001</v>
      </c>
      <c r="V2558">
        <v>-3.4635029999999997E-2</v>
      </c>
      <c r="W2558">
        <v>3.1100329999999999E-2</v>
      </c>
      <c r="X2558">
        <v>0.99891600000000003</v>
      </c>
      <c r="Y2558">
        <v>-9.6449049999999995E-2</v>
      </c>
      <c r="Z2558">
        <v>-7.0523089999999895E-4</v>
      </c>
      <c r="AA2558">
        <v>0.99533769999999999</v>
      </c>
      <c r="AB2558">
        <v>36</v>
      </c>
      <c r="AC2558">
        <v>-45.104399999999998</v>
      </c>
      <c r="AD2558">
        <v>-1.07109897</v>
      </c>
      <c r="AE2558">
        <v>-5.2273999999999798</v>
      </c>
      <c r="AF2558">
        <v>-4.3996254137742898</v>
      </c>
      <c r="AG2558">
        <v>-1.07109897</v>
      </c>
      <c r="AH2558">
        <v>45.167281455511699</v>
      </c>
      <c r="AI2558">
        <v>91.352063334364999</v>
      </c>
      <c r="AJ2558">
        <v>95.563478842320507</v>
      </c>
      <c r="AK2558">
        <v>45.393691972194503</v>
      </c>
    </row>
    <row r="2559" spans="1:37" x14ac:dyDescent="0.2">
      <c r="A2559" t="str">
        <f>"20200111155547812"</f>
        <v>20200111155547812</v>
      </c>
      <c r="B2559" t="str">
        <f>"1578729347805226"</f>
        <v>1578729347805226</v>
      </c>
      <c r="C2559" t="s">
        <v>37</v>
      </c>
      <c r="D2559">
        <v>4.998615</v>
      </c>
      <c r="E2559">
        <v>0.47779250000000001</v>
      </c>
      <c r="F2559" t="s">
        <v>59</v>
      </c>
      <c r="G2559">
        <v>-385.50650000000002</v>
      </c>
      <c r="H2559">
        <v>2.148806E-2</v>
      </c>
      <c r="I2559">
        <v>279.61630000000002</v>
      </c>
      <c r="J2559">
        <v>-340.40379999999999</v>
      </c>
      <c r="K2559">
        <v>1.103729</v>
      </c>
      <c r="L2559">
        <v>284.83949999999999</v>
      </c>
      <c r="M2559">
        <v>-0.99982559999999998</v>
      </c>
      <c r="N2559">
        <v>0</v>
      </c>
      <c r="O2559">
        <v>-1.8592129999999998E-2</v>
      </c>
      <c r="P2559">
        <v>-0.99819659999999999</v>
      </c>
      <c r="Q2559">
        <v>2.859865E-2</v>
      </c>
      <c r="R2559">
        <v>-5.2784829999999998E-2</v>
      </c>
      <c r="S2559">
        <v>-2.9893489999999998</v>
      </c>
      <c r="T2559">
        <v>-7.1386340000000006E-2</v>
      </c>
      <c r="U2559">
        <v>-0.34481809999999902</v>
      </c>
      <c r="V2559">
        <v>-3.42552E-2</v>
      </c>
      <c r="W2559">
        <v>3.0402099999999901E-2</v>
      </c>
      <c r="X2559">
        <v>0.99895059999999902</v>
      </c>
      <c r="Y2559">
        <v>-9.6077800000000005E-2</v>
      </c>
      <c r="Z2559">
        <v>-7.0090959999999998E-4</v>
      </c>
      <c r="AA2559">
        <v>0.99537359999999897</v>
      </c>
      <c r="AB2559">
        <v>36</v>
      </c>
      <c r="AC2559">
        <v>-45.102699999999999</v>
      </c>
      <c r="AD2559">
        <v>-1.0822409399999999</v>
      </c>
      <c r="AE2559">
        <v>-5.2231999999999603</v>
      </c>
      <c r="AF2559">
        <v>-4.3812514376984097</v>
      </c>
      <c r="AG2559">
        <v>-1.0822409399999999</v>
      </c>
      <c r="AH2559">
        <v>45.166353685640097</v>
      </c>
      <c r="AI2559">
        <v>91.366203983337002</v>
      </c>
      <c r="AJ2559">
        <v>95.540502276586693</v>
      </c>
      <c r="AK2559">
        <v>45.391255929626801</v>
      </c>
    </row>
    <row r="2560" spans="1:37" x14ac:dyDescent="0.2">
      <c r="A2560" t="str">
        <f>"20200111155547825"</f>
        <v>20200111155547825</v>
      </c>
      <c r="B2560" t="str">
        <f>"1578729347814986"</f>
        <v>1578729347814986</v>
      </c>
      <c r="C2560" t="s">
        <v>37</v>
      </c>
      <c r="D2560">
        <v>4.9726330000000001</v>
      </c>
      <c r="E2560">
        <v>0.47769709999999899</v>
      </c>
      <c r="F2560" t="s">
        <v>59</v>
      </c>
      <c r="G2560">
        <v>-384.97660000000002</v>
      </c>
      <c r="H2560" s="1">
        <v>1.111514E-6</v>
      </c>
      <c r="I2560">
        <v>279.69560000000001</v>
      </c>
      <c r="J2560">
        <v>-340.6189</v>
      </c>
      <c r="K2560">
        <v>1.103774</v>
      </c>
      <c r="L2560">
        <v>284.83530000000002</v>
      </c>
      <c r="M2560">
        <v>-0.99981919999999902</v>
      </c>
      <c r="N2560">
        <v>0</v>
      </c>
      <c r="O2560">
        <v>-1.8902229999999999E-2</v>
      </c>
      <c r="P2560">
        <v>-0.99818850000000003</v>
      </c>
      <c r="Q2560">
        <v>2.8300059999999998E-2</v>
      </c>
      <c r="R2560">
        <v>-5.3091720000000002E-2</v>
      </c>
      <c r="S2560">
        <v>-2.989258</v>
      </c>
      <c r="T2560">
        <v>-7.4021100000000006E-2</v>
      </c>
      <c r="U2560">
        <v>-0.34497070000000002</v>
      </c>
      <c r="V2560">
        <v>-3.4252379999999999E-2</v>
      </c>
      <c r="W2560">
        <v>3.0352520000000001E-2</v>
      </c>
      <c r="X2560">
        <v>0.99895219999999996</v>
      </c>
      <c r="Y2560">
        <v>-9.5821199999999995E-2</v>
      </c>
      <c r="Z2560">
        <v>-7.1597809999999996E-4</v>
      </c>
      <c r="AA2560">
        <v>0.99539829999999996</v>
      </c>
      <c r="AB2560">
        <v>36</v>
      </c>
      <c r="AC2560">
        <v>-44.357700000000001</v>
      </c>
      <c r="AD2560">
        <v>-1.1037728884860001</v>
      </c>
      <c r="AE2560">
        <v>-5.1397000000000004</v>
      </c>
      <c r="AF2560">
        <v>-4.2976946616949201</v>
      </c>
      <c r="AG2560">
        <v>-1.1037728884860001</v>
      </c>
      <c r="AH2560">
        <v>44.419787123405598</v>
      </c>
      <c r="AI2560">
        <v>91.416818135117595</v>
      </c>
      <c r="AJ2560">
        <v>95.526269383543706</v>
      </c>
      <c r="AK2560">
        <v>44.640855525887801</v>
      </c>
    </row>
    <row r="2561" spans="1:37" x14ac:dyDescent="0.2">
      <c r="A2561" t="str">
        <f>"20200111155547840"</f>
        <v>20200111155547840</v>
      </c>
      <c r="B2561" t="str">
        <f>"1578729347834506"</f>
        <v>1578729347834506</v>
      </c>
      <c r="C2561" t="s">
        <v>37</v>
      </c>
      <c r="D2561">
        <v>5.0544190000000002</v>
      </c>
      <c r="E2561">
        <v>0.47788059999999899</v>
      </c>
      <c r="F2561" t="s">
        <v>59</v>
      </c>
      <c r="G2561">
        <v>-384.78109999999998</v>
      </c>
      <c r="H2561" s="1">
        <v>1.007497E-6</v>
      </c>
      <c r="I2561">
        <v>279.7133</v>
      </c>
      <c r="J2561">
        <v>-340.85649999999998</v>
      </c>
      <c r="K2561">
        <v>1.103826</v>
      </c>
      <c r="L2561">
        <v>284.83049999999997</v>
      </c>
      <c r="M2561">
        <v>-0.99981209999999898</v>
      </c>
      <c r="N2561">
        <v>0</v>
      </c>
      <c r="O2561">
        <v>-1.9241189999999998E-2</v>
      </c>
      <c r="P2561">
        <v>-0.99819040000000003</v>
      </c>
      <c r="Q2561">
        <v>2.8116619999999998E-2</v>
      </c>
      <c r="R2561">
        <v>-5.3156179999999997E-2</v>
      </c>
      <c r="S2561">
        <v>-2.9891359999999998</v>
      </c>
      <c r="T2561">
        <v>-7.470918E-2</v>
      </c>
      <c r="U2561">
        <v>-0.34667969999999998</v>
      </c>
      <c r="V2561">
        <v>-3.3978370000000001E-2</v>
      </c>
      <c r="W2561">
        <v>3.0471680000000001E-2</v>
      </c>
      <c r="X2561">
        <v>0.99895789999999995</v>
      </c>
      <c r="Y2561">
        <v>-9.6049540000000003E-2</v>
      </c>
      <c r="Z2561">
        <v>-7.1704479999999996E-4</v>
      </c>
      <c r="AA2561">
        <v>0.99537629999999999</v>
      </c>
      <c r="AB2561">
        <v>37</v>
      </c>
      <c r="AC2561">
        <v>-43.924599999999998</v>
      </c>
      <c r="AD2561">
        <v>-1.1038249925029999</v>
      </c>
      <c r="AE2561">
        <v>-5.1171999999999596</v>
      </c>
      <c r="AF2561">
        <v>-4.2684292483809596</v>
      </c>
      <c r="AG2561">
        <v>-1.1038249925029999</v>
      </c>
      <c r="AH2561">
        <v>43.987522652435899</v>
      </c>
      <c r="AI2561">
        <v>91.430763737598497</v>
      </c>
      <c r="AJ2561">
        <v>95.5424732665319</v>
      </c>
      <c r="AK2561">
        <v>44.207918600190503</v>
      </c>
    </row>
    <row r="2562" spans="1:37" x14ac:dyDescent="0.2">
      <c r="A2562" t="str">
        <f>"20200111155547854"</f>
        <v>20200111155547854</v>
      </c>
      <c r="B2562" t="str">
        <f>"1578729347845242"</f>
        <v>1578729347845242</v>
      </c>
      <c r="C2562" t="s">
        <v>37</v>
      </c>
      <c r="D2562">
        <v>5.0078680000000002</v>
      </c>
      <c r="E2562">
        <v>0.477705199999999</v>
      </c>
      <c r="F2562" t="s">
        <v>59</v>
      </c>
      <c r="G2562">
        <v>-385.78910000000002</v>
      </c>
      <c r="H2562" s="1">
        <v>1.543879E-6</v>
      </c>
      <c r="I2562">
        <v>279.63889999999998</v>
      </c>
      <c r="J2562">
        <v>-341.09120000000001</v>
      </c>
      <c r="K2562">
        <v>1.1038809999999999</v>
      </c>
      <c r="L2562">
        <v>284.82569999999998</v>
      </c>
      <c r="M2562">
        <v>-0.99980480000000005</v>
      </c>
      <c r="N2562">
        <v>0</v>
      </c>
      <c r="O2562">
        <v>-1.9568189999999999E-2</v>
      </c>
      <c r="P2562">
        <v>-0.99819619999999998</v>
      </c>
      <c r="Q2562">
        <v>2.7646299999999902E-2</v>
      </c>
      <c r="R2562">
        <v>-5.3292539999999999E-2</v>
      </c>
      <c r="S2562">
        <v>-2.9891049999999999</v>
      </c>
      <c r="T2562">
        <v>-7.3431129999999997E-2</v>
      </c>
      <c r="U2562">
        <v>-0.34536739999999999</v>
      </c>
      <c r="V2562">
        <v>-3.3787009999999999E-2</v>
      </c>
      <c r="W2562">
        <v>3.033632E-2</v>
      </c>
      <c r="X2562">
        <v>0.99896849999999904</v>
      </c>
      <c r="Y2562">
        <v>-9.5295030000000003E-2</v>
      </c>
      <c r="Z2562">
        <v>-6.8757009999999904E-4</v>
      </c>
      <c r="AA2562">
        <v>0.99544880000000002</v>
      </c>
      <c r="AB2562">
        <v>37</v>
      </c>
      <c r="AC2562">
        <v>-44.697899999999997</v>
      </c>
      <c r="AD2562">
        <v>-1.1038794561209999</v>
      </c>
      <c r="AE2562">
        <v>-5.1867999999999999</v>
      </c>
      <c r="AF2562">
        <v>-4.3085536565913003</v>
      </c>
      <c r="AG2562">
        <v>-1.1038794561209999</v>
      </c>
      <c r="AH2562">
        <v>44.7638986525616</v>
      </c>
      <c r="AI2562">
        <v>91.406134116202495</v>
      </c>
      <c r="AJ2562">
        <v>95.497819278915202</v>
      </c>
      <c r="AK2562">
        <v>44.984317345516999</v>
      </c>
    </row>
    <row r="2563" spans="1:37" x14ac:dyDescent="0.2">
      <c r="A2563" t="str">
        <f>"20200111155547868"</f>
        <v>20200111155547868</v>
      </c>
      <c r="B2563" t="str">
        <f>"1578729347864761"</f>
        <v>1578729347864761</v>
      </c>
      <c r="C2563" t="s">
        <v>37</v>
      </c>
      <c r="D2563">
        <v>4.9969109999999999</v>
      </c>
      <c r="E2563">
        <v>0.47740719999999998</v>
      </c>
      <c r="F2563" t="s">
        <v>59</v>
      </c>
      <c r="G2563">
        <v>-385.27089999999998</v>
      </c>
      <c r="H2563" s="1">
        <v>1.2681420000000001E-6</v>
      </c>
      <c r="I2563">
        <v>279.69690000000003</v>
      </c>
      <c r="J2563">
        <v>-341.32199999999898</v>
      </c>
      <c r="K2563">
        <v>1.103936</v>
      </c>
      <c r="L2563">
        <v>284.820999999999</v>
      </c>
      <c r="M2563">
        <v>-0.99979759999999995</v>
      </c>
      <c r="N2563">
        <v>0</v>
      </c>
      <c r="O2563">
        <v>-1.98824999999999E-2</v>
      </c>
      <c r="P2563">
        <v>-0.99820129999999996</v>
      </c>
      <c r="Q2563">
        <v>2.77554E-2</v>
      </c>
      <c r="R2563">
        <v>-5.3141720000000003E-2</v>
      </c>
      <c r="S2563">
        <v>-2.988953</v>
      </c>
      <c r="T2563">
        <v>-7.4682349999999995E-2</v>
      </c>
      <c r="U2563">
        <v>-0.34698489999999999</v>
      </c>
      <c r="V2563">
        <v>-3.3322110000000002E-2</v>
      </c>
      <c r="W2563">
        <v>3.079053E-2</v>
      </c>
      <c r="X2563">
        <v>0.99897029999999998</v>
      </c>
      <c r="Y2563">
        <v>-9.5518660000000005E-2</v>
      </c>
      <c r="Z2563">
        <v>-6.9426009999999996E-4</v>
      </c>
      <c r="AA2563">
        <v>0.99542739999999996</v>
      </c>
      <c r="AB2563">
        <v>37</v>
      </c>
      <c r="AC2563">
        <v>-43.948900000000002</v>
      </c>
      <c r="AD2563">
        <v>-1.103934731858</v>
      </c>
      <c r="AE2563">
        <v>-5.1240999999999399</v>
      </c>
      <c r="AF2563">
        <v>-4.2466254973453896</v>
      </c>
      <c r="AG2563">
        <v>-1.103934731858</v>
      </c>
      <c r="AH2563">
        <v>44.014694296765697</v>
      </c>
      <c r="AI2563">
        <v>91.430099036021602</v>
      </c>
      <c r="AJ2563">
        <v>95.510953256746404</v>
      </c>
      <c r="AK2563">
        <v>44.232858985652797</v>
      </c>
    </row>
    <row r="2564" spans="1:37" x14ac:dyDescent="0.2">
      <c r="A2564" t="str">
        <f>"20200111155547882"</f>
        <v>20200111155547882</v>
      </c>
      <c r="B2564" t="str">
        <f>"1578729347874522"</f>
        <v>1578729347874522</v>
      </c>
      <c r="C2564" t="s">
        <v>37</v>
      </c>
      <c r="D2564">
        <v>5.3675709999999999</v>
      </c>
      <c r="E2564">
        <v>0.47692230000000002</v>
      </c>
      <c r="F2564" t="s">
        <v>59</v>
      </c>
      <c r="G2564">
        <v>-385.94560000000001</v>
      </c>
      <c r="H2564">
        <v>2.484956E-2</v>
      </c>
      <c r="I2564">
        <v>279.61630000000002</v>
      </c>
      <c r="J2564">
        <v>-341.54039999999998</v>
      </c>
      <c r="K2564">
        <v>1.103982</v>
      </c>
      <c r="L2564">
        <v>284.81639999999999</v>
      </c>
      <c r="M2564">
        <v>-0.99979079999999998</v>
      </c>
      <c r="N2564">
        <v>0</v>
      </c>
      <c r="O2564">
        <v>-2.0173590000000002E-2</v>
      </c>
      <c r="P2564">
        <v>-0.99819340000000001</v>
      </c>
      <c r="Q2564">
        <v>2.7552940000000001E-2</v>
      </c>
      <c r="R2564">
        <v>-5.3396270000000003E-2</v>
      </c>
      <c r="S2564">
        <v>-2.988861</v>
      </c>
      <c r="T2564">
        <v>-7.2276469999999995E-2</v>
      </c>
      <c r="U2564">
        <v>-0.34860229999999998</v>
      </c>
      <c r="V2564">
        <v>-3.3285769999999999E-2</v>
      </c>
      <c r="W2564">
        <v>3.0923510000000001E-2</v>
      </c>
      <c r="X2564">
        <v>0.9989673</v>
      </c>
      <c r="Y2564">
        <v>-9.5765290000000003E-2</v>
      </c>
      <c r="Z2564">
        <v>-6.6786320000000005E-4</v>
      </c>
      <c r="AA2564">
        <v>0.9954037</v>
      </c>
      <c r="AB2564">
        <v>37</v>
      </c>
      <c r="AC2564">
        <v>-44.405200000000001</v>
      </c>
      <c r="AD2564">
        <v>-1.07913244</v>
      </c>
      <c r="AE2564">
        <v>-5.20009999999996</v>
      </c>
      <c r="AF2564">
        <v>-4.3007187554000801</v>
      </c>
      <c r="AG2564">
        <v>-1.07913244</v>
      </c>
      <c r="AH2564">
        <v>44.4751573954752</v>
      </c>
      <c r="AI2564">
        <v>91.383484865592294</v>
      </c>
      <c r="AJ2564">
        <v>95.523291618000698</v>
      </c>
      <c r="AK2564">
        <v>44.695641107253401</v>
      </c>
    </row>
    <row r="2565" spans="1:37" x14ac:dyDescent="0.2">
      <c r="A2565" t="str">
        <f>"20200111155547895"</f>
        <v>20200111155547895</v>
      </c>
      <c r="B2565" t="str">
        <f>"1578729347885258"</f>
        <v>1578729347885258</v>
      </c>
      <c r="C2565" t="s">
        <v>37</v>
      </c>
      <c r="D2565">
        <v>5.0269069999999996</v>
      </c>
      <c r="E2565">
        <v>0.47677989999999998</v>
      </c>
      <c r="F2565" t="s">
        <v>59</v>
      </c>
      <c r="G2565">
        <v>-385.49930000000001</v>
      </c>
      <c r="H2565">
        <v>4.9716389999999999E-2</v>
      </c>
      <c r="I2565">
        <v>279.61630000000002</v>
      </c>
      <c r="J2565">
        <v>-341.7586</v>
      </c>
      <c r="K2565">
        <v>1.1040190000000001</v>
      </c>
      <c r="L2565">
        <v>284.81169999999997</v>
      </c>
      <c r="M2565">
        <v>-0.99978389999999995</v>
      </c>
      <c r="N2565">
        <v>0</v>
      </c>
      <c r="O2565">
        <v>-2.0452700000000001E-2</v>
      </c>
      <c r="P2565">
        <v>-0.9982065</v>
      </c>
      <c r="Q2565">
        <v>2.7031699999999999E-2</v>
      </c>
      <c r="R2565">
        <v>-5.3418260000000002E-2</v>
      </c>
      <c r="S2565">
        <v>-2.988464</v>
      </c>
      <c r="T2565">
        <v>-7.1672319999999998E-2</v>
      </c>
      <c r="U2565">
        <v>-0.35351559999999999</v>
      </c>
      <c r="V2565">
        <v>-3.3027300000000002E-2</v>
      </c>
      <c r="W2565">
        <v>3.074764E-2</v>
      </c>
      <c r="X2565">
        <v>0.99898140000000002</v>
      </c>
      <c r="Y2565">
        <v>-9.7116800000000003E-2</v>
      </c>
      <c r="Z2565">
        <v>-6.7179070000000004E-4</v>
      </c>
      <c r="AA2565">
        <v>0.99527279999999996</v>
      </c>
      <c r="AB2565">
        <v>37</v>
      </c>
      <c r="AC2565">
        <v>-43.740699999999997</v>
      </c>
      <c r="AD2565">
        <v>-1.0543026099999999</v>
      </c>
      <c r="AE2565">
        <v>-5.1953999999999496</v>
      </c>
      <c r="AF2565">
        <v>-4.2972297533320702</v>
      </c>
      <c r="AG2565">
        <v>-1.0543026099999999</v>
      </c>
      <c r="AH2565">
        <v>43.8127108846558</v>
      </c>
      <c r="AI2565">
        <v>91.371910555715303</v>
      </c>
      <c r="AJ2565">
        <v>95.601756267642997</v>
      </c>
      <c r="AK2565">
        <v>44.035569402572897</v>
      </c>
    </row>
    <row r="2566" spans="1:37" x14ac:dyDescent="0.2">
      <c r="A2566" t="str">
        <f>"20200111155547908"</f>
        <v>20200111155547908</v>
      </c>
      <c r="B2566" t="str">
        <f>"1578729347904777"</f>
        <v>1578729347904777</v>
      </c>
      <c r="C2566" t="s">
        <v>37</v>
      </c>
      <c r="D2566">
        <v>5.0551529999999998</v>
      </c>
      <c r="E2566">
        <v>0.47662149999999998</v>
      </c>
      <c r="F2566" t="s">
        <v>59</v>
      </c>
      <c r="G2566">
        <v>-385.54090000000002</v>
      </c>
      <c r="H2566">
        <v>4.5030859999999999E-2</v>
      </c>
      <c r="I2566">
        <v>279.61630000000002</v>
      </c>
      <c r="J2566">
        <v>-341.97730000000001</v>
      </c>
      <c r="K2566">
        <v>1.1040559999999999</v>
      </c>
      <c r="L2566">
        <v>284.80700000000002</v>
      </c>
      <c r="M2566">
        <v>-0.99977700000000003</v>
      </c>
      <c r="N2566">
        <v>0</v>
      </c>
      <c r="O2566">
        <v>-2.072005E-2</v>
      </c>
      <c r="P2566">
        <v>-0.99821729999999997</v>
      </c>
      <c r="Q2566">
        <v>2.6586909999999998E-2</v>
      </c>
      <c r="R2566">
        <v>-5.3439710000000001E-2</v>
      </c>
      <c r="S2566">
        <v>-2.9883730000000002</v>
      </c>
      <c r="T2566">
        <v>-7.2281600000000001E-2</v>
      </c>
      <c r="U2566">
        <v>-0.35461429999999999</v>
      </c>
      <c r="V2566">
        <v>-3.2780160000000003E-2</v>
      </c>
      <c r="W2566">
        <v>3.0653739999999999E-2</v>
      </c>
      <c r="X2566">
        <v>0.9989924</v>
      </c>
      <c r="Y2566">
        <v>-9.7214709999999996E-2</v>
      </c>
      <c r="Z2566">
        <v>-6.7224750000000001E-4</v>
      </c>
      <c r="AA2566">
        <v>0.99526320000000001</v>
      </c>
      <c r="AB2566">
        <v>37</v>
      </c>
      <c r="AC2566">
        <v>-43.563600000000001</v>
      </c>
      <c r="AD2566">
        <v>-1.0590251399999999</v>
      </c>
      <c r="AE2566">
        <v>-5.1906999999999899</v>
      </c>
      <c r="AF2566">
        <v>-4.2844416191761203</v>
      </c>
      <c r="AG2566">
        <v>-1.0590251399999999</v>
      </c>
      <c r="AH2566">
        <v>43.636373153465797</v>
      </c>
      <c r="AI2566">
        <v>91.383606147028999</v>
      </c>
      <c r="AJ2566">
        <v>95.607618144365006</v>
      </c>
      <c r="AK2566">
        <v>43.8589903694076</v>
      </c>
    </row>
    <row r="2567" spans="1:37" x14ac:dyDescent="0.2">
      <c r="A2567" t="str">
        <f>"20200111155547921"</f>
        <v>20200111155547921</v>
      </c>
      <c r="B2567" t="str">
        <f>"1578729347914538"</f>
        <v>1578729347914538</v>
      </c>
      <c r="C2567" t="s">
        <v>37</v>
      </c>
      <c r="D2567">
        <v>5.0733800000000002</v>
      </c>
      <c r="E2567">
        <v>0.476562299999999</v>
      </c>
      <c r="F2567" t="s">
        <v>59</v>
      </c>
      <c r="G2567">
        <v>-385.53750000000002</v>
      </c>
      <c r="H2567">
        <v>3.6760420000000002E-2</v>
      </c>
      <c r="I2567">
        <v>279.61630000000002</v>
      </c>
      <c r="J2567">
        <v>-342.19560000000001</v>
      </c>
      <c r="K2567">
        <v>1.1040889999999901</v>
      </c>
      <c r="L2567">
        <v>284.8023</v>
      </c>
      <c r="M2567">
        <v>-0.999770099999999</v>
      </c>
      <c r="N2567">
        <v>0</v>
      </c>
      <c r="O2567">
        <v>-2.0978259999999999E-2</v>
      </c>
      <c r="P2567">
        <v>-0.99822670000000002</v>
      </c>
      <c r="Q2567">
        <v>2.6204140000000001E-2</v>
      </c>
      <c r="R2567">
        <v>-5.3454939999999999E-2</v>
      </c>
      <c r="S2567">
        <v>-2.9882200000000001</v>
      </c>
      <c r="T2567">
        <v>-7.3216199999999995E-2</v>
      </c>
      <c r="U2567">
        <v>-0.35607909999999998</v>
      </c>
      <c r="V2567">
        <v>-3.2536299999999997E-2</v>
      </c>
      <c r="W2567">
        <v>3.062229E-2</v>
      </c>
      <c r="X2567">
        <v>0.99900129999999998</v>
      </c>
      <c r="Y2567">
        <v>-9.7444089999999997E-2</v>
      </c>
      <c r="Z2567">
        <v>-6.7745309999999999E-4</v>
      </c>
      <c r="AA2567">
        <v>0.99524069999999998</v>
      </c>
      <c r="AB2567">
        <v>37</v>
      </c>
      <c r="AC2567">
        <v>-43.341900000000003</v>
      </c>
      <c r="AD2567">
        <v>-1.0673285800000001</v>
      </c>
      <c r="AE2567">
        <v>-5.1859999999999697</v>
      </c>
      <c r="AF2567">
        <v>-4.2730573878641902</v>
      </c>
      <c r="AG2567">
        <v>-1.0673285800000001</v>
      </c>
      <c r="AH2567">
        <v>43.415199333988802</v>
      </c>
      <c r="AI2567">
        <v>91.401518826707104</v>
      </c>
      <c r="AJ2567">
        <v>95.621122617533302</v>
      </c>
      <c r="AK2567">
        <v>43.638030924271099</v>
      </c>
    </row>
    <row r="2568" spans="1:37" x14ac:dyDescent="0.2">
      <c r="A2568" t="str">
        <f>"20200111155547935"</f>
        <v>20200111155547935</v>
      </c>
      <c r="B2568" t="str">
        <f>"1578729347925273"</f>
        <v>1578729347925273</v>
      </c>
      <c r="C2568" t="s">
        <v>37</v>
      </c>
      <c r="D2568">
        <v>5.0924769999999997</v>
      </c>
      <c r="E2568">
        <v>0.47649849999999999</v>
      </c>
      <c r="F2568" t="s">
        <v>59</v>
      </c>
      <c r="G2568">
        <v>-385.67500000000001</v>
      </c>
      <c r="H2568">
        <v>2.382958E-2</v>
      </c>
      <c r="I2568">
        <v>279.61630000000002</v>
      </c>
      <c r="J2568">
        <v>-342.423</v>
      </c>
      <c r="K2568">
        <v>1.10412</v>
      </c>
      <c r="L2568">
        <v>284.79730000000001</v>
      </c>
      <c r="M2568">
        <v>-0.99976299999999996</v>
      </c>
      <c r="N2568">
        <v>0</v>
      </c>
      <c r="O2568">
        <v>-2.123046E-2</v>
      </c>
      <c r="P2568">
        <v>-0.99822869999999997</v>
      </c>
      <c r="Q2568">
        <v>2.5676830000000001E-2</v>
      </c>
      <c r="R2568">
        <v>-5.3672089999999999E-2</v>
      </c>
      <c r="S2568">
        <v>-2.9881899999999999</v>
      </c>
      <c r="T2568">
        <v>-7.4242589999999997E-2</v>
      </c>
      <c r="U2568">
        <v>-0.35641479999999998</v>
      </c>
      <c r="V2568">
        <v>-3.2499779999999999E-2</v>
      </c>
      <c r="W2568">
        <v>3.0463099999999899E-2</v>
      </c>
      <c r="X2568">
        <v>0.99900739999999999</v>
      </c>
      <c r="Y2568">
        <v>-9.7303909999999993E-2</v>
      </c>
      <c r="Z2568">
        <v>-6.7897580000000001E-4</v>
      </c>
      <c r="AA2568">
        <v>0.99525450000000004</v>
      </c>
      <c r="AB2568">
        <v>37</v>
      </c>
      <c r="AC2568">
        <v>-43.252000000000002</v>
      </c>
      <c r="AD2568">
        <v>-1.0802904200000001</v>
      </c>
      <c r="AE2568">
        <v>-5.1809999999999796</v>
      </c>
      <c r="AF2568">
        <v>-4.2589424185714302</v>
      </c>
      <c r="AG2568">
        <v>-1.0802904200000001</v>
      </c>
      <c r="AH2568">
        <v>43.325601797601998</v>
      </c>
      <c r="AI2568">
        <v>91.421481474121606</v>
      </c>
      <c r="AJ2568">
        <v>95.614185393435605</v>
      </c>
      <c r="AK2568">
        <v>43.547828752311197</v>
      </c>
    </row>
    <row r="2569" spans="1:37" x14ac:dyDescent="0.2">
      <c r="A2569" t="str">
        <f>"20200111155547948"</f>
        <v>20200111155547948</v>
      </c>
      <c r="B2569" t="str">
        <f>"1578729347944793"</f>
        <v>1578729347944793</v>
      </c>
      <c r="C2569" t="s">
        <v>37</v>
      </c>
      <c r="D2569">
        <v>5.1521540000000003</v>
      </c>
      <c r="E2569">
        <v>0.47647919999999999</v>
      </c>
      <c r="F2569" t="s">
        <v>59</v>
      </c>
      <c r="G2569">
        <v>-385.70299999999997</v>
      </c>
      <c r="H2569">
        <v>1.607666E-4</v>
      </c>
      <c r="I2569">
        <v>279.61630000000002</v>
      </c>
      <c r="J2569">
        <v>-342.6311</v>
      </c>
      <c r="K2569">
        <v>1.1041430000000001</v>
      </c>
      <c r="L2569">
        <v>284.79270000000002</v>
      </c>
      <c r="M2569">
        <v>-0.9997568</v>
      </c>
      <c r="N2569">
        <v>0</v>
      </c>
      <c r="O2569">
        <v>-2.144687E-2</v>
      </c>
      <c r="P2569">
        <v>-0.99823660000000003</v>
      </c>
      <c r="Q2569">
        <v>2.5377130000000001E-2</v>
      </c>
      <c r="R2569">
        <v>-5.3664219999999999E-2</v>
      </c>
      <c r="S2569">
        <v>-2.9880680000000002</v>
      </c>
      <c r="T2569">
        <v>-7.6217770000000004E-2</v>
      </c>
      <c r="U2569">
        <v>-0.35769649999999997</v>
      </c>
      <c r="V2569">
        <v>-3.2273929999999999E-2</v>
      </c>
      <c r="W2569">
        <v>3.050218E-2</v>
      </c>
      <c r="X2569">
        <v>0.9990135</v>
      </c>
      <c r="Y2569">
        <v>-9.7512899999999902E-2</v>
      </c>
      <c r="Z2569">
        <v>-6.9420449999999998E-4</v>
      </c>
      <c r="AA2569">
        <v>0.99523399999999995</v>
      </c>
      <c r="AB2569">
        <v>37</v>
      </c>
      <c r="AC2569">
        <v>-43.071899999999999</v>
      </c>
      <c r="AD2569">
        <v>-1.1039822334</v>
      </c>
      <c r="AE2569">
        <v>-5.1764000000000001</v>
      </c>
      <c r="AF2569">
        <v>-4.2486882608852197</v>
      </c>
      <c r="AG2569">
        <v>-1.1039822334</v>
      </c>
      <c r="AH2569">
        <v>43.145070945510398</v>
      </c>
      <c r="AI2569">
        <v>91.458693686698894</v>
      </c>
      <c r="AJ2569">
        <v>95.624039460064097</v>
      </c>
      <c r="AK2569">
        <v>43.367813820885303</v>
      </c>
    </row>
    <row r="2570" spans="1:37" x14ac:dyDescent="0.2">
      <c r="A2570" t="str">
        <f>"20200111155547960"</f>
        <v>20200111155547960</v>
      </c>
      <c r="B2570" t="str">
        <f>"1578729347954554"</f>
        <v>1578729347954554</v>
      </c>
      <c r="C2570" t="s">
        <v>37</v>
      </c>
      <c r="D2570">
        <v>5.0241449999999999</v>
      </c>
      <c r="E2570">
        <v>0.47640919999999998</v>
      </c>
      <c r="F2570" t="s">
        <v>59</v>
      </c>
      <c r="G2570">
        <v>-385.65129999999999</v>
      </c>
      <c r="H2570" s="1">
        <v>1.4705769999999999E-6</v>
      </c>
      <c r="I2570">
        <v>279.6454</v>
      </c>
      <c r="J2570">
        <v>-342.84249999999997</v>
      </c>
      <c r="K2570">
        <v>1.10416</v>
      </c>
      <c r="L2570">
        <v>284.78800000000001</v>
      </c>
      <c r="M2570">
        <v>-0.99975029999999998</v>
      </c>
      <c r="N2570">
        <v>0</v>
      </c>
      <c r="O2570">
        <v>-2.165798E-2</v>
      </c>
      <c r="P2570">
        <v>-0.9982356</v>
      </c>
      <c r="Q2570">
        <v>2.4968379999999998E-2</v>
      </c>
      <c r="R2570">
        <v>-5.3872089999999997E-2</v>
      </c>
      <c r="S2570">
        <v>-2.9880680000000002</v>
      </c>
      <c r="T2570">
        <v>-7.6690670000000002E-2</v>
      </c>
      <c r="U2570">
        <v>-0.35751339999999998</v>
      </c>
      <c r="V2570">
        <v>-3.226971E-2</v>
      </c>
      <c r="W2570">
        <v>3.0442130000000001E-2</v>
      </c>
      <c r="X2570">
        <v>0.99901549999999995</v>
      </c>
      <c r="Y2570">
        <v>-9.7242389999999998E-2</v>
      </c>
      <c r="Z2570">
        <v>-6.8965940000000005E-4</v>
      </c>
      <c r="AA2570">
        <v>0.99526049999999999</v>
      </c>
      <c r="AB2570">
        <v>37</v>
      </c>
      <c r="AC2570">
        <v>-42.808799999999998</v>
      </c>
      <c r="AD2570">
        <v>-1.1041585294230001</v>
      </c>
      <c r="AE2570">
        <v>-5.1426000000000096</v>
      </c>
      <c r="AF2570">
        <v>-4.2114656435265401</v>
      </c>
      <c r="AG2570">
        <v>-1.1041585294230001</v>
      </c>
      <c r="AH2570">
        <v>42.882016204048398</v>
      </c>
      <c r="AI2570">
        <v>91.467909958228802</v>
      </c>
      <c r="AJ2570">
        <v>95.6090614541598</v>
      </c>
      <c r="AK2570">
        <v>43.102470029558297</v>
      </c>
    </row>
    <row r="2571" spans="1:37" x14ac:dyDescent="0.2">
      <c r="A2571" t="str">
        <f>"20200111155547973"</f>
        <v>20200111155547973</v>
      </c>
      <c r="B2571" t="str">
        <f>"1578729347965290"</f>
        <v>1578729347965290</v>
      </c>
      <c r="C2571" t="s">
        <v>37</v>
      </c>
      <c r="D2571">
        <v>5.0482319999999996</v>
      </c>
      <c r="E2571">
        <v>0.47633760000000003</v>
      </c>
      <c r="F2571" t="s">
        <v>59</v>
      </c>
      <c r="G2571">
        <v>-385.31</v>
      </c>
      <c r="H2571" s="1">
        <v>1.288927E-6</v>
      </c>
      <c r="I2571">
        <v>279.68799999999999</v>
      </c>
      <c r="J2571">
        <v>-343.05849999999998</v>
      </c>
      <c r="K2571">
        <v>1.104187</v>
      </c>
      <c r="L2571">
        <v>284.78309999999999</v>
      </c>
      <c r="M2571">
        <v>-0.99974379999999996</v>
      </c>
      <c r="N2571">
        <v>0</v>
      </c>
      <c r="O2571">
        <v>-2.1854789999999999E-2</v>
      </c>
      <c r="P2571">
        <v>-0.99823729999999999</v>
      </c>
      <c r="Q2571">
        <v>2.464307E-2</v>
      </c>
      <c r="R2571">
        <v>-5.3994090000000002E-2</v>
      </c>
      <c r="S2571">
        <v>-2.987946</v>
      </c>
      <c r="T2571">
        <v>-7.7686909999999998E-2</v>
      </c>
      <c r="U2571">
        <v>-0.35882570000000003</v>
      </c>
      <c r="V2571">
        <v>-3.2193439999999997E-2</v>
      </c>
      <c r="W2571">
        <v>3.049313E-2</v>
      </c>
      <c r="X2571">
        <v>0.99901640000000003</v>
      </c>
      <c r="Y2571">
        <v>-9.7481490000000004E-2</v>
      </c>
      <c r="Z2571">
        <v>-6.9662789999999902E-4</v>
      </c>
      <c r="AA2571">
        <v>0.99523709999999899</v>
      </c>
      <c r="AB2571">
        <v>37</v>
      </c>
      <c r="AC2571">
        <v>-42.2515</v>
      </c>
      <c r="AD2571">
        <v>-1.104185711073</v>
      </c>
      <c r="AE2571">
        <v>-5.0951000000000004</v>
      </c>
      <c r="AF2571">
        <v>-4.1676637591429504</v>
      </c>
      <c r="AG2571">
        <v>-1.104185711073</v>
      </c>
      <c r="AH2571">
        <v>42.324270613236003</v>
      </c>
      <c r="AI2571">
        <v>91.487244369296803</v>
      </c>
      <c r="AJ2571">
        <v>95.623775846581793</v>
      </c>
      <c r="AK2571">
        <v>42.543301825742702</v>
      </c>
    </row>
    <row r="2572" spans="1:37" x14ac:dyDescent="0.2">
      <c r="A2572" t="str">
        <f>"20200111155547985"</f>
        <v>20200111155547985</v>
      </c>
      <c r="B2572" t="str">
        <f>"1578729347975050"</f>
        <v>1578729347975050</v>
      </c>
      <c r="C2572" t="s">
        <v>37</v>
      </c>
      <c r="D2572">
        <v>5.113048</v>
      </c>
      <c r="E2572">
        <v>0.47621160000000001</v>
      </c>
      <c r="F2572" t="s">
        <v>59</v>
      </c>
      <c r="G2572">
        <v>-385.32510000000002</v>
      </c>
      <c r="H2572" s="1">
        <v>1.2969550000000001E-6</v>
      </c>
      <c r="I2572">
        <v>279.69220000000001</v>
      </c>
      <c r="J2572">
        <v>-343.25599999999997</v>
      </c>
      <c r="K2572">
        <v>1.1042160000000001</v>
      </c>
      <c r="L2572">
        <v>284.77870000000001</v>
      </c>
      <c r="M2572">
        <v>-0.99973799999999902</v>
      </c>
      <c r="N2572">
        <v>0</v>
      </c>
      <c r="O2572">
        <v>-2.202289E-2</v>
      </c>
      <c r="P2572">
        <v>-0.99823109999999904</v>
      </c>
      <c r="Q2572">
        <v>2.451439E-2</v>
      </c>
      <c r="R2572">
        <v>-5.4166680000000002E-2</v>
      </c>
      <c r="S2572">
        <v>-2.9877009999999999</v>
      </c>
      <c r="T2572">
        <v>-7.8051690000000007E-2</v>
      </c>
      <c r="U2572">
        <v>-0.3598633</v>
      </c>
      <c r="V2572">
        <v>-3.219702E-2</v>
      </c>
      <c r="W2572">
        <v>3.072476E-2</v>
      </c>
      <c r="X2572">
        <v>0.99900919999999904</v>
      </c>
      <c r="Y2572">
        <v>-9.7664210000000001E-2</v>
      </c>
      <c r="Z2572">
        <v>-6.979458E-4</v>
      </c>
      <c r="AA2572">
        <v>0.99521919999999897</v>
      </c>
      <c r="AB2572">
        <v>37</v>
      </c>
      <c r="AC2572">
        <v>-42.069099999999999</v>
      </c>
      <c r="AD2572">
        <v>-1.104214703045</v>
      </c>
      <c r="AE2572">
        <v>-5.0865</v>
      </c>
      <c r="AF2572">
        <v>-4.1559431763455903</v>
      </c>
      <c r="AG2572">
        <v>-1.104214703045</v>
      </c>
      <c r="AH2572">
        <v>42.142302911050201</v>
      </c>
      <c r="AI2572">
        <v>91.4936810611932</v>
      </c>
      <c r="AJ2572">
        <v>95.632121131008503</v>
      </c>
      <c r="AK2572">
        <v>42.361124258477197</v>
      </c>
    </row>
    <row r="2573" spans="1:37" x14ac:dyDescent="0.2">
      <c r="A2573" t="str">
        <f>"20200111155547999"</f>
        <v>20200111155547999</v>
      </c>
      <c r="B2573" t="str">
        <f>"1578729347994570"</f>
        <v>1578729347994570</v>
      </c>
      <c r="C2573" t="s">
        <v>37</v>
      </c>
      <c r="D2573">
        <v>5.5840969999999999</v>
      </c>
      <c r="E2573">
        <v>0.47614869999999998</v>
      </c>
      <c r="F2573" t="s">
        <v>59</v>
      </c>
      <c r="G2573">
        <v>-385.65260000000001</v>
      </c>
      <c r="H2573" s="1">
        <v>1.4712749999999999E-6</v>
      </c>
      <c r="I2573">
        <v>279.65159999999997</v>
      </c>
      <c r="J2573">
        <v>-343.48259999999999</v>
      </c>
      <c r="K2573">
        <v>1.104252</v>
      </c>
      <c r="L2573">
        <v>284.77350000000001</v>
      </c>
      <c r="M2573">
        <v>-0.99973120000000004</v>
      </c>
      <c r="N2573">
        <v>0</v>
      </c>
      <c r="O2573">
        <v>-2.2204379999999999E-2</v>
      </c>
      <c r="P2573">
        <v>-0.99821789999999999</v>
      </c>
      <c r="Q2573">
        <v>2.4154510000000001E-2</v>
      </c>
      <c r="R2573">
        <v>-5.4570939999999998E-2</v>
      </c>
      <c r="S2573">
        <v>-2.9876099999999899</v>
      </c>
      <c r="T2573">
        <v>-7.7811839999999993E-2</v>
      </c>
      <c r="U2573">
        <v>-0.361297599999999</v>
      </c>
      <c r="V2573">
        <v>-3.2418469999999998E-2</v>
      </c>
      <c r="W2573">
        <v>3.0793399999999999E-2</v>
      </c>
      <c r="X2573">
        <v>0.99899989999999905</v>
      </c>
      <c r="Y2573">
        <v>-9.7958110000000001E-2</v>
      </c>
      <c r="Z2573">
        <v>-6.9490980000000001E-4</v>
      </c>
      <c r="AA2573">
        <v>0.99519029999999997</v>
      </c>
      <c r="AB2573">
        <v>37</v>
      </c>
      <c r="AC2573">
        <v>-42.17</v>
      </c>
      <c r="AD2573">
        <v>-1.104250528725</v>
      </c>
      <c r="AE2573">
        <v>-5.1219000000000303</v>
      </c>
      <c r="AF2573">
        <v>-4.1814321296840404</v>
      </c>
      <c r="AG2573">
        <v>-1.104250528725</v>
      </c>
      <c r="AH2573">
        <v>42.244788035130497</v>
      </c>
      <c r="AI2573">
        <v>91.490054311742298</v>
      </c>
      <c r="AJ2573">
        <v>95.652782016150496</v>
      </c>
      <c r="AK2573">
        <v>42.465584418661301</v>
      </c>
    </row>
    <row r="2574" spans="1:37" x14ac:dyDescent="0.2">
      <c r="A2574" t="str">
        <f>"20200111155548012"</f>
        <v>20200111155548012</v>
      </c>
      <c r="B2574" t="str">
        <f>"1578729348005305"</f>
        <v>1578729348005305</v>
      </c>
      <c r="C2574" t="s">
        <v>37</v>
      </c>
      <c r="D2574">
        <v>5.0777970000000003</v>
      </c>
      <c r="E2574">
        <v>0.47696279999999902</v>
      </c>
      <c r="F2574" t="s">
        <v>59</v>
      </c>
      <c r="G2574">
        <v>-385.27050000000003</v>
      </c>
      <c r="H2574" s="1">
        <v>1.2678899999999999E-6</v>
      </c>
      <c r="I2574">
        <v>279.69490000000002</v>
      </c>
      <c r="J2574">
        <v>-343.7038</v>
      </c>
      <c r="K2574">
        <v>1.1042989999999999</v>
      </c>
      <c r="L2574">
        <v>284.76839999999999</v>
      </c>
      <c r="M2574">
        <v>-0.99972469999999902</v>
      </c>
      <c r="N2574">
        <v>0</v>
      </c>
      <c r="O2574">
        <v>-2.235736E-2</v>
      </c>
      <c r="P2574">
        <v>-0.99820140000000002</v>
      </c>
      <c r="Q2574">
        <v>2.4050559999999999E-2</v>
      </c>
      <c r="R2574">
        <v>-5.4918649999999999E-2</v>
      </c>
      <c r="S2574">
        <v>-2.9874269999999998</v>
      </c>
      <c r="T2574">
        <v>-7.8943250000000006E-2</v>
      </c>
      <c r="U2574">
        <v>-0.36306759999999999</v>
      </c>
      <c r="V2574">
        <v>-3.2612929999999998E-2</v>
      </c>
      <c r="W2574">
        <v>3.1150850000000001E-2</v>
      </c>
      <c r="X2574">
        <v>0.9989825</v>
      </c>
      <c r="Y2574">
        <v>-9.8393300000000003E-2</v>
      </c>
      <c r="Z2574">
        <v>-7.0673169999999996E-4</v>
      </c>
      <c r="AA2574">
        <v>0.99514729999999996</v>
      </c>
      <c r="AB2574">
        <v>37</v>
      </c>
      <c r="AC2574">
        <v>-41.566699999999997</v>
      </c>
      <c r="AD2574">
        <v>-1.10429773210999</v>
      </c>
      <c r="AE2574">
        <v>-5.0734999999999602</v>
      </c>
      <c r="AF2574">
        <v>-4.1400074345651996</v>
      </c>
      <c r="AG2574">
        <v>-1.10429773210999</v>
      </c>
      <c r="AH2574">
        <v>41.640783907966402</v>
      </c>
      <c r="AI2574">
        <v>91.511656898206994</v>
      </c>
      <c r="AJ2574">
        <v>95.677798675187503</v>
      </c>
      <c r="AK2574">
        <v>41.8606500129818</v>
      </c>
    </row>
    <row r="2575" spans="1:37" x14ac:dyDescent="0.2">
      <c r="A2575" t="str">
        <f>"20200111155548035"</f>
        <v>20200111155548035</v>
      </c>
      <c r="B2575" t="str">
        <f>"1578729348024826"</f>
        <v>1578729348024826</v>
      </c>
      <c r="C2575" t="s">
        <v>37</v>
      </c>
      <c r="D2575">
        <v>5.2489179999999998</v>
      </c>
      <c r="E2575">
        <v>0.47637020000000002</v>
      </c>
      <c r="F2575" t="s">
        <v>60</v>
      </c>
      <c r="G2575">
        <v>-512.82650000000001</v>
      </c>
      <c r="H2575">
        <v>4.103567</v>
      </c>
      <c r="I2575">
        <v>264.94580000000002</v>
      </c>
      <c r="J2575">
        <v>-344.07819999999998</v>
      </c>
      <c r="K2575">
        <v>1.1043780000000001</v>
      </c>
      <c r="L2575">
        <v>284.75979999999998</v>
      </c>
      <c r="M2575">
        <v>-0.99971309999999902</v>
      </c>
      <c r="N2575">
        <v>0</v>
      </c>
      <c r="O2575">
        <v>-2.2596229999999998E-2</v>
      </c>
      <c r="P2575">
        <v>-0.99818240000000003</v>
      </c>
      <c r="Q2575">
        <v>2.421251E-2</v>
      </c>
      <c r="R2575">
        <v>-5.5186300000000001E-2</v>
      </c>
      <c r="S2575">
        <v>-2.9848939999999899</v>
      </c>
      <c r="T2575">
        <v>5.2936199999999899E-2</v>
      </c>
      <c r="U2575">
        <v>-0.34985349999999998</v>
      </c>
      <c r="V2575">
        <v>-3.264003E-2</v>
      </c>
      <c r="W2575">
        <v>3.212168E-2</v>
      </c>
      <c r="X2575">
        <v>0.99895080000000003</v>
      </c>
      <c r="Y2575">
        <v>-9.3927060000000007E-2</v>
      </c>
      <c r="Z2575">
        <v>4.3078369999999998E-4</v>
      </c>
      <c r="AA2575">
        <v>0.99557899999999999</v>
      </c>
      <c r="AB2575">
        <v>37</v>
      </c>
      <c r="AC2575">
        <v>-168.7483</v>
      </c>
      <c r="AD2575">
        <v>2.9991889999999999</v>
      </c>
      <c r="AE2575">
        <v>-19.813999999999901</v>
      </c>
      <c r="AF2575">
        <v>-15.9907623162273</v>
      </c>
      <c r="AG2575">
        <v>2.9991889999999999</v>
      </c>
      <c r="AH2575">
        <v>169.10025725877799</v>
      </c>
      <c r="AI2575">
        <v>88.988411457215705</v>
      </c>
      <c r="AJ2575">
        <v>95.402042404455003</v>
      </c>
      <c r="AK2575">
        <v>169.88112496418401</v>
      </c>
    </row>
    <row r="2576" spans="1:37" x14ac:dyDescent="0.2">
      <c r="A2576" t="str">
        <f>"20200111155548049"</f>
        <v>20200111155548049</v>
      </c>
      <c r="B2576" t="str">
        <f>"1578729348045323"</f>
        <v>1578729348045323</v>
      </c>
      <c r="C2576" t="s">
        <v>37</v>
      </c>
      <c r="D2576">
        <v>5.1002869999999998</v>
      </c>
      <c r="E2576">
        <v>0.48865940000000002</v>
      </c>
      <c r="F2576" t="s">
        <v>60</v>
      </c>
      <c r="G2576">
        <v>-512.82650000000001</v>
      </c>
      <c r="H2576">
        <v>3.9116119999999999</v>
      </c>
      <c r="I2576">
        <v>264.6671</v>
      </c>
      <c r="J2576">
        <v>-344.29719999999998</v>
      </c>
      <c r="K2576">
        <v>1.1044179999999999</v>
      </c>
      <c r="L2576">
        <v>284.75470000000001</v>
      </c>
      <c r="M2576">
        <v>-0.999706599999999</v>
      </c>
      <c r="N2576">
        <v>0</v>
      </c>
      <c r="O2576">
        <v>-2.272453E-2</v>
      </c>
      <c r="P2576">
        <v>-0.99818300000000004</v>
      </c>
      <c r="Q2576">
        <v>2.394392E-2</v>
      </c>
      <c r="R2576">
        <v>-5.5300599999999998E-2</v>
      </c>
      <c r="S2576">
        <v>-2.9846499999999998</v>
      </c>
      <c r="T2576">
        <v>4.9652809999999999E-2</v>
      </c>
      <c r="U2576">
        <v>-0.3553772</v>
      </c>
      <c r="V2576">
        <v>-3.262458E-2</v>
      </c>
      <c r="W2576">
        <v>3.2321370000000002E-2</v>
      </c>
      <c r="X2576">
        <v>0.99894490000000002</v>
      </c>
      <c r="Y2576">
        <v>-9.5626760000000005E-2</v>
      </c>
      <c r="Z2576">
        <v>4.1602019999999998E-4</v>
      </c>
      <c r="AA2576">
        <v>0.995417199999999</v>
      </c>
      <c r="AB2576">
        <v>37</v>
      </c>
      <c r="AC2576">
        <v>-168.52930000000001</v>
      </c>
      <c r="AD2576">
        <v>2.807194</v>
      </c>
      <c r="AE2576">
        <v>-20.087599999999998</v>
      </c>
      <c r="AF2576">
        <v>-16.248083552277301</v>
      </c>
      <c r="AG2576">
        <v>2.807194</v>
      </c>
      <c r="AH2576">
        <v>168.89606923169799</v>
      </c>
      <c r="AI2576">
        <v>89.052158993707707</v>
      </c>
      <c r="AJ2576">
        <v>95.495039425139296</v>
      </c>
      <c r="AK2576">
        <v>169.69903582281799</v>
      </c>
    </row>
    <row r="2577" spans="1:37" x14ac:dyDescent="0.2">
      <c r="A2577" t="str">
        <f>"20200111155548062"</f>
        <v>20200111155548062</v>
      </c>
      <c r="B2577" t="str">
        <f>"1578729348055082"</f>
        <v>1578729348055082</v>
      </c>
      <c r="C2577" t="s">
        <v>37</v>
      </c>
      <c r="D2577">
        <v>5.1048549999999997</v>
      </c>
      <c r="E2577">
        <v>0.4900002</v>
      </c>
      <c r="F2577" t="s">
        <v>59</v>
      </c>
      <c r="G2577">
        <v>-383.8415</v>
      </c>
      <c r="H2577" s="1">
        <v>5.0745159999999999E-7</v>
      </c>
      <c r="I2577">
        <v>281.24400000000003</v>
      </c>
      <c r="J2577">
        <v>-344.52480000000003</v>
      </c>
      <c r="K2577">
        <v>1.10446</v>
      </c>
      <c r="L2577">
        <v>284.74939999999998</v>
      </c>
      <c r="M2577">
        <v>-0.99969969999999997</v>
      </c>
      <c r="N2577">
        <v>0</v>
      </c>
      <c r="O2577">
        <v>-2.2852089999999999E-2</v>
      </c>
      <c r="P2577">
        <v>-0.99817900000000004</v>
      </c>
      <c r="Q2577">
        <v>2.358348E-2</v>
      </c>
      <c r="R2577">
        <v>-5.55258E-2</v>
      </c>
      <c r="S2577">
        <v>-2.9927060000000001</v>
      </c>
      <c r="T2577">
        <v>-8.3582160000000003E-2</v>
      </c>
      <c r="U2577">
        <v>-0.26568599999999998</v>
      </c>
      <c r="V2577">
        <v>-3.2720680000000002E-2</v>
      </c>
      <c r="W2577">
        <v>3.2434320000000003E-2</v>
      </c>
      <c r="X2577">
        <v>0.99893809999999905</v>
      </c>
      <c r="Y2577">
        <v>-6.5626959999999998E-2</v>
      </c>
      <c r="Z2577">
        <v>-2.7778569999999998E-4</v>
      </c>
      <c r="AA2577">
        <v>0.99784419999999996</v>
      </c>
      <c r="AB2577">
        <v>37</v>
      </c>
      <c r="AC2577">
        <v>-39.316699999999898</v>
      </c>
      <c r="AD2577">
        <v>-1.1044594925483999</v>
      </c>
      <c r="AE2577">
        <v>-3.5053999999999501</v>
      </c>
      <c r="AF2577">
        <v>-2.60394194820767</v>
      </c>
      <c r="AG2577">
        <v>-1.1044594925483999</v>
      </c>
      <c r="AH2577">
        <v>39.355729123869203</v>
      </c>
      <c r="AI2577">
        <v>91.603992946188001</v>
      </c>
      <c r="AJ2577">
        <v>93.785414388759094</v>
      </c>
      <c r="AK2577">
        <v>39.457239631171397</v>
      </c>
    </row>
    <row r="2578" spans="1:37" x14ac:dyDescent="0.2">
      <c r="A2578" t="str">
        <f>"20200111155548075"</f>
        <v>20200111155548075</v>
      </c>
      <c r="B2578" t="str">
        <f>"1578729348064842"</f>
        <v>1578729348064842</v>
      </c>
      <c r="C2578" t="s">
        <v>37</v>
      </c>
      <c r="D2578">
        <v>5.1182720000000002</v>
      </c>
      <c r="E2578">
        <v>0.49065409999999998</v>
      </c>
      <c r="F2578" t="s">
        <v>59</v>
      </c>
      <c r="G2578">
        <v>-385.46589999999998</v>
      </c>
      <c r="H2578" s="1">
        <v>1.371908E-6</v>
      </c>
      <c r="I2578">
        <v>281.25439999999998</v>
      </c>
      <c r="J2578">
        <v>-344.73989999999998</v>
      </c>
      <c r="K2578">
        <v>1.10449</v>
      </c>
      <c r="L2578">
        <v>284.74439999999998</v>
      </c>
      <c r="M2578">
        <v>-0.99969300000000005</v>
      </c>
      <c r="N2578">
        <v>0</v>
      </c>
      <c r="O2578">
        <v>-2.2965590000000001E-2</v>
      </c>
      <c r="P2578">
        <v>-0.99820259999999905</v>
      </c>
      <c r="Q2578">
        <v>2.310924E-2</v>
      </c>
      <c r="R2578">
        <v>-5.5296390000000001E-2</v>
      </c>
      <c r="S2578">
        <v>-2.9931950000000001</v>
      </c>
      <c r="T2578">
        <v>-8.0746650000000003E-2</v>
      </c>
      <c r="U2578">
        <v>-0.25552370000000002</v>
      </c>
      <c r="V2578">
        <v>-3.2375859999999999E-2</v>
      </c>
      <c r="W2578">
        <v>3.2386190000000002E-2</v>
      </c>
      <c r="X2578">
        <v>0.99895089999999997</v>
      </c>
      <c r="Y2578">
        <v>-6.2138899999999997E-2</v>
      </c>
      <c r="Z2578">
        <v>-2.183446E-4</v>
      </c>
      <c r="AA2578">
        <v>0.998067499999999</v>
      </c>
      <c r="AB2578">
        <v>37</v>
      </c>
      <c r="AC2578">
        <v>-40.725999999999999</v>
      </c>
      <c r="AD2578">
        <v>-1.1044886280920001</v>
      </c>
      <c r="AE2578">
        <v>-3.49</v>
      </c>
      <c r="AF2578">
        <v>-2.55187917878406</v>
      </c>
      <c r="AG2578">
        <v>-1.1044886280920001</v>
      </c>
      <c r="AH2578">
        <v>40.765646908299097</v>
      </c>
      <c r="AI2578">
        <v>91.548939563436306</v>
      </c>
      <c r="AJ2578">
        <v>93.581971178295703</v>
      </c>
      <c r="AK2578">
        <v>40.860371392399401</v>
      </c>
    </row>
    <row r="2579" spans="1:37" x14ac:dyDescent="0.2">
      <c r="A2579" t="str">
        <f>"20200111155548089"</f>
        <v>20200111155548089</v>
      </c>
      <c r="B2579" t="str">
        <f>"1578729348085337"</f>
        <v>1578729348085337</v>
      </c>
      <c r="C2579" t="s">
        <v>37</v>
      </c>
      <c r="D2579">
        <v>5.0973169999999897</v>
      </c>
      <c r="E2579">
        <v>0.492201099999999</v>
      </c>
      <c r="F2579" t="s">
        <v>59</v>
      </c>
      <c r="G2579">
        <v>-385.31029999999998</v>
      </c>
      <c r="H2579" s="1">
        <v>1.289075E-6</v>
      </c>
      <c r="I2579">
        <v>281.36439999999999</v>
      </c>
      <c r="J2579">
        <v>-344.95650000000001</v>
      </c>
      <c r="K2579">
        <v>1.104514</v>
      </c>
      <c r="L2579">
        <v>284.73930000000001</v>
      </c>
      <c r="M2579">
        <v>-0.99968670000000004</v>
      </c>
      <c r="N2579">
        <v>0</v>
      </c>
      <c r="O2579">
        <v>-2.307298E-2</v>
      </c>
      <c r="P2579">
        <v>-0.9982181</v>
      </c>
      <c r="Q2579">
        <v>2.278614E-2</v>
      </c>
      <c r="R2579">
        <v>-5.5152859999999998E-2</v>
      </c>
      <c r="S2579">
        <v>-2.993439</v>
      </c>
      <c r="T2579">
        <v>-8.1493380000000004E-2</v>
      </c>
      <c r="U2579">
        <v>-0.24938959999999999</v>
      </c>
      <c r="V2579">
        <v>-3.2123319999999997E-2</v>
      </c>
      <c r="W2579">
        <v>3.2464350000000003E-2</v>
      </c>
      <c r="X2579">
        <v>0.99895659999999897</v>
      </c>
      <c r="Y2579">
        <v>-5.999438E-2</v>
      </c>
      <c r="Z2579">
        <v>-1.8830649999999999E-4</v>
      </c>
      <c r="AA2579">
        <v>0.998198699999999</v>
      </c>
      <c r="AB2579">
        <v>37</v>
      </c>
      <c r="AC2579">
        <v>-40.3537999999999</v>
      </c>
      <c r="AD2579">
        <v>-1.1045127109249999</v>
      </c>
      <c r="AE2579">
        <v>-3.3749000000000202</v>
      </c>
      <c r="AF2579">
        <v>-2.4410591784043598</v>
      </c>
      <c r="AG2579">
        <v>-1.1045127109249999</v>
      </c>
      <c r="AH2579">
        <v>40.390879885620699</v>
      </c>
      <c r="AI2579">
        <v>91.563545514072203</v>
      </c>
      <c r="AJ2579">
        <v>93.458515355381493</v>
      </c>
      <c r="AK2579">
        <v>40.479647925540398</v>
      </c>
    </row>
    <row r="2580" spans="1:37" x14ac:dyDescent="0.2">
      <c r="A2580" t="str">
        <f>"20200111155548102"</f>
        <v>20200111155548102</v>
      </c>
      <c r="B2580" t="str">
        <f>"1578729348095097"</f>
        <v>1578729348095097</v>
      </c>
      <c r="C2580" t="s">
        <v>37</v>
      </c>
      <c r="D2580">
        <v>5.1038709999999998</v>
      </c>
      <c r="E2580">
        <v>0.49210929999999897</v>
      </c>
      <c r="F2580" t="s">
        <v>59</v>
      </c>
      <c r="G2580">
        <v>-386.31380000000001</v>
      </c>
      <c r="H2580" s="1">
        <v>1.823116E-6</v>
      </c>
      <c r="I2580">
        <v>281.47239999999999</v>
      </c>
      <c r="J2580">
        <v>-345.17840000000001</v>
      </c>
      <c r="K2580">
        <v>1.1045370000000001</v>
      </c>
      <c r="L2580">
        <v>284.73410000000001</v>
      </c>
      <c r="M2580">
        <v>-0.99968049999999997</v>
      </c>
      <c r="N2580">
        <v>0</v>
      </c>
      <c r="O2580">
        <v>-2.3178009999999999E-2</v>
      </c>
      <c r="P2580">
        <v>-0.99827469999999996</v>
      </c>
      <c r="Q2580">
        <v>2.2417980000000001E-2</v>
      </c>
      <c r="R2580">
        <v>-5.4269419999999999E-2</v>
      </c>
      <c r="S2580">
        <v>-2.9941409999999999</v>
      </c>
      <c r="T2580">
        <v>-7.9963090000000001E-2</v>
      </c>
      <c r="U2580">
        <v>-0.2365112</v>
      </c>
      <c r="V2580">
        <v>-3.113202E-2</v>
      </c>
      <c r="W2580">
        <v>3.2488169999999997E-2</v>
      </c>
      <c r="X2580">
        <v>0.99898709999999902</v>
      </c>
      <c r="Y2580">
        <v>-5.5606219999999998E-2</v>
      </c>
      <c r="Z2580">
        <v>-1.234575E-4</v>
      </c>
      <c r="AA2580">
        <v>0.99845280000000003</v>
      </c>
      <c r="AB2580">
        <v>37</v>
      </c>
      <c r="AC2580">
        <v>-41.135399999999997</v>
      </c>
      <c r="AD2580">
        <v>-1.1045351768839999</v>
      </c>
      <c r="AE2580">
        <v>-3.26170000000001</v>
      </c>
      <c r="AF2580">
        <v>-2.30568649530563</v>
      </c>
      <c r="AG2580">
        <v>-1.1045351768839999</v>
      </c>
      <c r="AH2580">
        <v>41.170453649927403</v>
      </c>
      <c r="AI2580">
        <v>91.534379199633094</v>
      </c>
      <c r="AJ2580">
        <v>93.205411669449504</v>
      </c>
      <c r="AK2580">
        <v>41.249756870949298</v>
      </c>
    </row>
    <row r="2581" spans="1:37" x14ac:dyDescent="0.2">
      <c r="A2581" t="str">
        <f>"20200111155548117"</f>
        <v>20200111155548117</v>
      </c>
      <c r="B2581" t="str">
        <f>"1578729348114618"</f>
        <v>1578729348114618</v>
      </c>
      <c r="C2581" t="s">
        <v>37</v>
      </c>
      <c r="D2581">
        <v>5.1656079999999998</v>
      </c>
      <c r="E2581">
        <v>0.49256909999999998</v>
      </c>
      <c r="F2581" t="s">
        <v>59</v>
      </c>
      <c r="G2581">
        <v>-385.46589999999998</v>
      </c>
      <c r="H2581" s="1">
        <v>1.371879E-6</v>
      </c>
      <c r="I2581">
        <v>281.57530000000003</v>
      </c>
      <c r="J2581">
        <v>-345.42219999999998</v>
      </c>
      <c r="K2581">
        <v>1.1045579999999999</v>
      </c>
      <c r="L2581">
        <v>284.72829999999999</v>
      </c>
      <c r="M2581">
        <v>-0.99967379999999995</v>
      </c>
      <c r="N2581">
        <v>0</v>
      </c>
      <c r="O2581">
        <v>-2.3286270000000001E-2</v>
      </c>
      <c r="P2581">
        <v>-0.99829749999999995</v>
      </c>
      <c r="Q2581">
        <v>2.1760890000000001E-2</v>
      </c>
      <c r="R2581">
        <v>-5.4119229999999997E-2</v>
      </c>
      <c r="S2581">
        <v>-2.9943240000000002</v>
      </c>
      <c r="T2581">
        <v>-8.2093360000000004E-2</v>
      </c>
      <c r="U2581">
        <v>-0.2347717</v>
      </c>
      <c r="V2581">
        <v>-3.0872179999999999E-2</v>
      </c>
      <c r="W2581">
        <v>3.223463E-2</v>
      </c>
      <c r="X2581">
        <v>0.99900339999999999</v>
      </c>
      <c r="Y2581">
        <v>-5.4916390000000002E-2</v>
      </c>
      <c r="Z2581">
        <v>-1.143356E-4</v>
      </c>
      <c r="AA2581">
        <v>0.99849089999999996</v>
      </c>
      <c r="AB2581">
        <v>37</v>
      </c>
      <c r="AC2581">
        <v>-40.043700000000001</v>
      </c>
      <c r="AD2581">
        <v>-1.104556628121</v>
      </c>
      <c r="AE2581">
        <v>-3.1529999999999601</v>
      </c>
      <c r="AF2581">
        <v>-2.2179480513069798</v>
      </c>
      <c r="AG2581">
        <v>-1.104556628121</v>
      </c>
      <c r="AH2581">
        <v>40.075961614966303</v>
      </c>
      <c r="AI2581">
        <v>91.576351201784306</v>
      </c>
      <c r="AJ2581">
        <v>93.167723274258293</v>
      </c>
      <c r="AK2581">
        <v>40.1524848330371</v>
      </c>
    </row>
    <row r="2582" spans="1:37" x14ac:dyDescent="0.2">
      <c r="A2582" t="str">
        <f>"20200111155548132"</f>
        <v>20200111155548132</v>
      </c>
      <c r="B2582" t="str">
        <f>"1578729348125354"</f>
        <v>1578729348125354</v>
      </c>
      <c r="C2582" t="s">
        <v>37</v>
      </c>
      <c r="D2582">
        <v>5.0371790000000001</v>
      </c>
      <c r="E2582">
        <v>0.492604599999999</v>
      </c>
      <c r="F2582" t="s">
        <v>59</v>
      </c>
      <c r="G2582">
        <v>-384.40109999999999</v>
      </c>
      <c r="H2582" s="1">
        <v>8.0527239999999998E-7</v>
      </c>
      <c r="I2582">
        <v>281.72430000000003</v>
      </c>
      <c r="J2582">
        <v>-345.66590000000002</v>
      </c>
      <c r="K2582">
        <v>1.104571</v>
      </c>
      <c r="L2582">
        <v>284.7226</v>
      </c>
      <c r="M2582">
        <v>-0.99966759999999999</v>
      </c>
      <c r="N2582">
        <v>0</v>
      </c>
      <c r="O2582">
        <v>-2.338633E-2</v>
      </c>
      <c r="P2582">
        <v>-0.99831930000000002</v>
      </c>
      <c r="Q2582">
        <v>2.169689E-2</v>
      </c>
      <c r="R2582">
        <v>-5.3740070000000001E-2</v>
      </c>
      <c r="S2582">
        <v>-2.9943849999999999</v>
      </c>
      <c r="T2582">
        <v>-8.4852810000000001E-2</v>
      </c>
      <c r="U2582">
        <v>-0.2307739</v>
      </c>
      <c r="V2582">
        <v>-3.0391709999999999E-2</v>
      </c>
      <c r="W2582">
        <v>3.2538690000000002E-2</v>
      </c>
      <c r="X2582">
        <v>0.99900829999999996</v>
      </c>
      <c r="Y2582">
        <v>-5.3489439999999999E-2</v>
      </c>
      <c r="Z2582" s="1">
        <v>-9.5163060000000001E-5</v>
      </c>
      <c r="AA2582">
        <v>0.99856840000000002</v>
      </c>
      <c r="AB2582">
        <v>37</v>
      </c>
      <c r="AC2582">
        <v>-38.735199999999899</v>
      </c>
      <c r="AD2582">
        <v>-1.1045701947276001</v>
      </c>
      <c r="AE2582">
        <v>-2.9982999999999702</v>
      </c>
      <c r="AF2582">
        <v>-2.0898630910398199</v>
      </c>
      <c r="AG2582">
        <v>-1.1045701947276001</v>
      </c>
      <c r="AH2582">
        <v>38.763395091130697</v>
      </c>
      <c r="AI2582">
        <v>91.629846584272698</v>
      </c>
      <c r="AJ2582">
        <v>93.086017679089196</v>
      </c>
      <c r="AK2582">
        <v>38.835401401884198</v>
      </c>
    </row>
    <row r="2583" spans="1:37" x14ac:dyDescent="0.2">
      <c r="A2583" t="str">
        <f>"20200111155548147"</f>
        <v>20200111155548147</v>
      </c>
      <c r="B2583" t="str">
        <f>"1578729348144874"</f>
        <v>1578729348144874</v>
      </c>
      <c r="C2583" t="s">
        <v>37</v>
      </c>
      <c r="D2583">
        <v>5.0472789999999996</v>
      </c>
      <c r="E2583">
        <v>0.4925271</v>
      </c>
      <c r="F2583" t="s">
        <v>59</v>
      </c>
      <c r="G2583">
        <v>-384.51859999999999</v>
      </c>
      <c r="H2583" s="1">
        <v>8.6781059999999999E-7</v>
      </c>
      <c r="I2583">
        <v>281.7491</v>
      </c>
      <c r="J2583">
        <v>-345.90609999999998</v>
      </c>
      <c r="K2583">
        <v>1.1045830000000001</v>
      </c>
      <c r="L2583">
        <v>284.71679999999998</v>
      </c>
      <c r="M2583">
        <v>-0.99966169999999999</v>
      </c>
      <c r="N2583">
        <v>0</v>
      </c>
      <c r="O2583">
        <v>-2.3479980000000001E-2</v>
      </c>
      <c r="P2583">
        <v>-0.99833729999999998</v>
      </c>
      <c r="Q2583">
        <v>2.1605059999999999E-2</v>
      </c>
      <c r="R2583">
        <v>-5.3443850000000001E-2</v>
      </c>
      <c r="S2583">
        <v>-2.9945979999999999</v>
      </c>
      <c r="T2583">
        <v>-8.5135459999999996E-2</v>
      </c>
      <c r="U2583">
        <v>-0.229187</v>
      </c>
      <c r="V2583">
        <v>-3.0000849999999999E-2</v>
      </c>
      <c r="W2583">
        <v>3.2785559999999998E-2</v>
      </c>
      <c r="X2583">
        <v>0.99901209999999996</v>
      </c>
      <c r="Y2583">
        <v>-5.286449E-2</v>
      </c>
      <c r="Z2583" s="1">
        <v>-8.3945979999999998E-5</v>
      </c>
      <c r="AA2583">
        <v>0.99860170000000004</v>
      </c>
      <c r="AB2583">
        <v>37</v>
      </c>
      <c r="AC2583">
        <v>-38.612499999999997</v>
      </c>
      <c r="AD2583">
        <v>-1.1045821321893901</v>
      </c>
      <c r="AE2583">
        <v>-2.9676999999999798</v>
      </c>
      <c r="AF2583">
        <v>-2.05852953852389</v>
      </c>
      <c r="AG2583">
        <v>-1.1045821321893901</v>
      </c>
      <c r="AH2583">
        <v>38.640103867693803</v>
      </c>
      <c r="AI2583">
        <v>91.635117668094495</v>
      </c>
      <c r="AJ2583">
        <v>93.049517208486506</v>
      </c>
      <c r="AK2583">
        <v>38.710660966378398</v>
      </c>
    </row>
    <row r="2584" spans="1:37" x14ac:dyDescent="0.2">
      <c r="A2584" t="str">
        <f>"20200111155548160"</f>
        <v>20200111155548160</v>
      </c>
      <c r="B2584" t="str">
        <f>"1578729348154635"</f>
        <v>1578729348154635</v>
      </c>
      <c r="C2584" t="s">
        <v>37</v>
      </c>
      <c r="D2584">
        <v>5.0211870000000003</v>
      </c>
      <c r="E2584">
        <v>0.49251840000000002</v>
      </c>
      <c r="F2584" t="s">
        <v>59</v>
      </c>
      <c r="G2584">
        <v>-384.55169999999998</v>
      </c>
      <c r="H2584" s="1">
        <v>8.8538839999999998E-7</v>
      </c>
      <c r="I2584">
        <v>281.76190000000003</v>
      </c>
      <c r="J2584">
        <v>-346.11160000000001</v>
      </c>
      <c r="K2584">
        <v>1.104592</v>
      </c>
      <c r="L2584">
        <v>284.71190000000001</v>
      </c>
      <c r="M2584">
        <v>-0.99965659999999901</v>
      </c>
      <c r="N2584">
        <v>0</v>
      </c>
      <c r="O2584">
        <v>-2.3556770000000001E-2</v>
      </c>
      <c r="P2584">
        <v>-0.99834999999999996</v>
      </c>
      <c r="Q2584">
        <v>2.1723389999999999E-2</v>
      </c>
      <c r="R2584">
        <v>-5.3152419999999999E-2</v>
      </c>
      <c r="S2584">
        <v>-2.9945979999999999</v>
      </c>
      <c r="T2584">
        <v>-8.5592630000000003E-2</v>
      </c>
      <c r="U2584">
        <v>-0.22897339999999999</v>
      </c>
      <c r="V2584">
        <v>-2.963176E-2</v>
      </c>
      <c r="W2584">
        <v>3.3178739999999998E-2</v>
      </c>
      <c r="X2584">
        <v>0.99901010000000001</v>
      </c>
      <c r="Y2584">
        <v>-5.2716850000000003E-2</v>
      </c>
      <c r="Z2584" s="1">
        <v>-8.0098219999999898E-5</v>
      </c>
      <c r="AA2584">
        <v>0.99860949999999904</v>
      </c>
      <c r="AB2584">
        <v>37</v>
      </c>
      <c r="AC2584">
        <v>-38.440099999999902</v>
      </c>
      <c r="AD2584">
        <v>-1.1045911146116001</v>
      </c>
      <c r="AE2584">
        <v>-2.9499999999999802</v>
      </c>
      <c r="AF2584">
        <v>-2.0419208248473502</v>
      </c>
      <c r="AG2584">
        <v>-1.1045911146116001</v>
      </c>
      <c r="AH2584">
        <v>38.4673511663783</v>
      </c>
      <c r="AI2584">
        <v>91.642486898192701</v>
      </c>
      <c r="AJ2584">
        <v>93.038518209814598</v>
      </c>
      <c r="AK2584">
        <v>38.537341215279703</v>
      </c>
    </row>
    <row r="2585" spans="1:37" x14ac:dyDescent="0.2">
      <c r="A2585" t="str">
        <f>"20200111155548173"</f>
        <v>20200111155548173</v>
      </c>
      <c r="B2585" t="str">
        <f>"1578729348165371"</f>
        <v>1578729348165371</v>
      </c>
      <c r="C2585" t="s">
        <v>37</v>
      </c>
      <c r="D2585">
        <v>5.0974519999999997</v>
      </c>
      <c r="E2585">
        <v>0.49235779999999901</v>
      </c>
      <c r="F2585" t="s">
        <v>59</v>
      </c>
      <c r="G2585">
        <v>-384.61880000000002</v>
      </c>
      <c r="H2585" s="1">
        <v>9.2112550000000002E-7</v>
      </c>
      <c r="I2585">
        <v>281.77870000000001</v>
      </c>
      <c r="J2585">
        <v>-346.34390000000002</v>
      </c>
      <c r="K2585">
        <v>1.104603</v>
      </c>
      <c r="L2585">
        <v>284.70639999999997</v>
      </c>
      <c r="M2585">
        <v>-0.99965139999999997</v>
      </c>
      <c r="N2585">
        <v>0</v>
      </c>
      <c r="O2585">
        <v>-2.3640060000000001E-2</v>
      </c>
      <c r="P2585">
        <v>-0.9983573</v>
      </c>
      <c r="Q2585">
        <v>2.1803079999999999E-2</v>
      </c>
      <c r="R2585">
        <v>-5.2986079999999998E-2</v>
      </c>
      <c r="S2585">
        <v>-2.99472</v>
      </c>
      <c r="T2585">
        <v>-8.5904359999999999E-2</v>
      </c>
      <c r="U2585">
        <v>-0.22811889999999899</v>
      </c>
      <c r="V2585">
        <v>-2.9381310000000001E-2</v>
      </c>
      <c r="W2585">
        <v>3.3539029999999997E-2</v>
      </c>
      <c r="X2585">
        <v>0.99900540000000004</v>
      </c>
      <c r="Y2585">
        <v>-5.2347280000000003E-2</v>
      </c>
      <c r="Z2585" s="1">
        <v>-7.2709339999999995E-5</v>
      </c>
      <c r="AA2585">
        <v>0.99862890000000004</v>
      </c>
      <c r="AB2585">
        <v>37</v>
      </c>
      <c r="AC2585">
        <v>-38.274900000000002</v>
      </c>
      <c r="AD2585">
        <v>-1.1046020788744999</v>
      </c>
      <c r="AE2585">
        <v>-2.92769999999995</v>
      </c>
      <c r="AF2585">
        <v>-2.0203253175679401</v>
      </c>
      <c r="AG2585">
        <v>-1.1046020788744999</v>
      </c>
      <c r="AH2585">
        <v>38.301702560617201</v>
      </c>
      <c r="AI2585">
        <v>91.649631913594106</v>
      </c>
      <c r="AJ2585">
        <v>93.019420244457606</v>
      </c>
      <c r="AK2585">
        <v>38.370851947584597</v>
      </c>
    </row>
    <row r="2586" spans="1:37" x14ac:dyDescent="0.2">
      <c r="A2586" t="str">
        <f>"20200111155548187"</f>
        <v>20200111155548187</v>
      </c>
      <c r="B2586" t="str">
        <f>"1578729348184890"</f>
        <v>1578729348184890</v>
      </c>
      <c r="C2586" t="s">
        <v>37</v>
      </c>
      <c r="D2586">
        <v>4.9970660000000002</v>
      </c>
      <c r="E2586">
        <v>0.49218719999999999</v>
      </c>
      <c r="F2586" t="s">
        <v>59</v>
      </c>
      <c r="G2586">
        <v>-384.91820000000001</v>
      </c>
      <c r="H2586" s="1">
        <v>1.0804230000000001E-6</v>
      </c>
      <c r="I2586">
        <v>281.75420000000003</v>
      </c>
      <c r="J2586">
        <v>-346.5591</v>
      </c>
      <c r="K2586">
        <v>1.104611</v>
      </c>
      <c r="L2586">
        <v>284.70119999999997</v>
      </c>
      <c r="M2586">
        <v>-0.99964679999999995</v>
      </c>
      <c r="N2586">
        <v>0</v>
      </c>
      <c r="O2586">
        <v>-2.3714809999999999E-2</v>
      </c>
      <c r="P2586">
        <v>-0.99836360000000002</v>
      </c>
      <c r="Q2586">
        <v>2.179559E-2</v>
      </c>
      <c r="R2586">
        <v>-5.2874320000000002E-2</v>
      </c>
      <c r="S2586">
        <v>-2.994659</v>
      </c>
      <c r="T2586">
        <v>-8.5754159999999996E-2</v>
      </c>
      <c r="U2586">
        <v>-0.229187</v>
      </c>
      <c r="V2586">
        <v>-2.919339E-2</v>
      </c>
      <c r="W2586">
        <v>3.3773030000000002E-2</v>
      </c>
      <c r="X2586">
        <v>0.99900309999999903</v>
      </c>
      <c r="Y2586">
        <v>-5.2628170000000002E-2</v>
      </c>
      <c r="Z2586" s="1">
        <v>-7.4460810000000004E-5</v>
      </c>
      <c r="AA2586">
        <v>0.99861420000000001</v>
      </c>
      <c r="AB2586">
        <v>37</v>
      </c>
      <c r="AC2586">
        <v>-38.359099999999998</v>
      </c>
      <c r="AD2586">
        <v>-1.1046099195770001</v>
      </c>
      <c r="AE2586">
        <v>-2.9469999999999401</v>
      </c>
      <c r="AF2586">
        <v>-2.0347494619787501</v>
      </c>
      <c r="AG2586">
        <v>-1.1046099195770001</v>
      </c>
      <c r="AH2586">
        <v>38.386558123820798</v>
      </c>
      <c r="AI2586">
        <v>91.6459765176958</v>
      </c>
      <c r="AJ2586">
        <v>93.034227544673698</v>
      </c>
      <c r="AK2586">
        <v>38.456315645689799</v>
      </c>
    </row>
    <row r="2587" spans="1:37" x14ac:dyDescent="0.2">
      <c r="A2587" t="str">
        <f>"20200111155548200"</f>
        <v>20200111155548200</v>
      </c>
      <c r="B2587" t="str">
        <f>"1578729348194649"</f>
        <v>1578729348194649</v>
      </c>
      <c r="C2587" t="s">
        <v>37</v>
      </c>
      <c r="D2587">
        <v>5.0625679999999997</v>
      </c>
      <c r="E2587">
        <v>0.49259730000000002</v>
      </c>
      <c r="F2587" t="s">
        <v>59</v>
      </c>
      <c r="G2587">
        <v>-384.8125</v>
      </c>
      <c r="H2587" s="1">
        <v>1.0241789999999999E-6</v>
      </c>
      <c r="I2587">
        <v>281.76069999999999</v>
      </c>
      <c r="J2587">
        <v>-346.7842</v>
      </c>
      <c r="K2587">
        <v>1.104614</v>
      </c>
      <c r="L2587">
        <v>284.69580000000002</v>
      </c>
      <c r="M2587">
        <v>-0.99964229999999998</v>
      </c>
      <c r="N2587">
        <v>0</v>
      </c>
      <c r="O2587">
        <v>-2.3790990000000001E-2</v>
      </c>
      <c r="P2587">
        <v>-0.99835469999999904</v>
      </c>
      <c r="Q2587">
        <v>2.19155999999999E-2</v>
      </c>
      <c r="R2587">
        <v>-5.2988889999999997E-2</v>
      </c>
      <c r="S2587">
        <v>-2.9945979999999999</v>
      </c>
      <c r="T2587">
        <v>-8.6472270000000004E-2</v>
      </c>
      <c r="U2587">
        <v>-0.23019410000000001</v>
      </c>
      <c r="V2587">
        <v>-2.9232089999999999E-2</v>
      </c>
      <c r="W2587">
        <v>3.413045E-2</v>
      </c>
      <c r="X2587">
        <v>0.99898980000000004</v>
      </c>
      <c r="Y2587">
        <v>-5.2887129999999997E-2</v>
      </c>
      <c r="Z2587" s="1">
        <v>-7.6621250000000001E-5</v>
      </c>
      <c r="AA2587">
        <v>0.998600499999999</v>
      </c>
      <c r="AB2587">
        <v>37</v>
      </c>
      <c r="AC2587">
        <v>-38.028300000000002</v>
      </c>
      <c r="AD2587">
        <v>-1.1046129758209999</v>
      </c>
      <c r="AE2587">
        <v>-2.93510000000003</v>
      </c>
      <c r="AF2587">
        <v>-2.02776990522031</v>
      </c>
      <c r="AG2587">
        <v>-1.1046129758209999</v>
      </c>
      <c r="AH2587">
        <v>38.055450191033202</v>
      </c>
      <c r="AI2587">
        <v>91.660269798519096</v>
      </c>
      <c r="AJ2587">
        <v>93.0500989095991</v>
      </c>
      <c r="AK2587">
        <v>38.125441766058003</v>
      </c>
    </row>
    <row r="2588" spans="1:37" x14ac:dyDescent="0.2">
      <c r="A2588" t="str">
        <f>"20200111155548214"</f>
        <v>20200111155548214</v>
      </c>
      <c r="B2588" t="str">
        <f>"1578729348204410"</f>
        <v>1578729348204410</v>
      </c>
      <c r="C2588" t="s">
        <v>37</v>
      </c>
      <c r="D2588">
        <v>5.0586539999999998</v>
      </c>
      <c r="E2588">
        <v>0.49259730000000002</v>
      </c>
      <c r="F2588" t="s">
        <v>59</v>
      </c>
      <c r="G2588">
        <v>-384.29880000000003</v>
      </c>
      <c r="H2588" s="1">
        <v>7.5082039999999996E-7</v>
      </c>
      <c r="I2588">
        <v>281.84699999999998</v>
      </c>
      <c r="J2588">
        <v>-346.99959999999999</v>
      </c>
      <c r="K2588">
        <v>1.104622</v>
      </c>
      <c r="L2588">
        <v>284.69060000000002</v>
      </c>
      <c r="M2588">
        <v>-0.99963789999999997</v>
      </c>
      <c r="N2588">
        <v>0</v>
      </c>
      <c r="O2588">
        <v>-2.3860200000000002E-2</v>
      </c>
      <c r="P2588">
        <v>-0.99834769999999995</v>
      </c>
      <c r="Q2588">
        <v>2.2357350000000002E-2</v>
      </c>
      <c r="R2588">
        <v>-5.2934149999999999E-2</v>
      </c>
      <c r="S2588">
        <v>-2.9948429999999999</v>
      </c>
      <c r="T2588">
        <v>-8.818281E-2</v>
      </c>
      <c r="U2588">
        <v>-0.22741700000000001</v>
      </c>
      <c r="V2588">
        <v>-2.910807E-2</v>
      </c>
      <c r="W2588">
        <v>3.477761E-2</v>
      </c>
      <c r="X2588">
        <v>0.998971099999999</v>
      </c>
      <c r="Y2588">
        <v>-5.1891029999999998E-2</v>
      </c>
      <c r="Z2588" s="1">
        <v>-6.1454539999999995E-5</v>
      </c>
      <c r="AA2588">
        <v>0.99865280000000001</v>
      </c>
      <c r="AB2588">
        <v>36</v>
      </c>
      <c r="AC2588">
        <v>-37.299199999999999</v>
      </c>
      <c r="AD2588">
        <v>-1.1046212491795999</v>
      </c>
      <c r="AE2588">
        <v>-2.8436000000000301</v>
      </c>
      <c r="AF2588">
        <v>-1.9510537734920199</v>
      </c>
      <c r="AG2588">
        <v>-1.1046212491795999</v>
      </c>
      <c r="AH2588">
        <v>37.323887563172697</v>
      </c>
      <c r="AI2588">
        <v>91.692895676006302</v>
      </c>
      <c r="AJ2588">
        <v>92.992332798054704</v>
      </c>
      <c r="AK2588">
        <v>37.391167162306502</v>
      </c>
    </row>
    <row r="2589" spans="1:37" x14ac:dyDescent="0.2">
      <c r="A2589" t="str">
        <f>"20200111155548226"</f>
        <v>20200111155548226</v>
      </c>
      <c r="B2589" t="str">
        <f>"1578729348215146"</f>
        <v>1578729348215146</v>
      </c>
      <c r="C2589" t="s">
        <v>37</v>
      </c>
      <c r="D2589">
        <v>5.7397049999999998</v>
      </c>
      <c r="E2589">
        <v>0.53402659999999902</v>
      </c>
      <c r="F2589" t="s">
        <v>59</v>
      </c>
      <c r="G2589">
        <v>-385.08269999999999</v>
      </c>
      <c r="H2589" s="1">
        <v>1.16798E-6</v>
      </c>
      <c r="I2589">
        <v>281.80180000000001</v>
      </c>
      <c r="J2589">
        <v>-347.20749999999998</v>
      </c>
      <c r="K2589">
        <v>1.1046309999999999</v>
      </c>
      <c r="L2589">
        <v>284.68560000000002</v>
      </c>
      <c r="M2589">
        <v>-0.99963409999999997</v>
      </c>
      <c r="N2589">
        <v>0</v>
      </c>
      <c r="O2589">
        <v>-2.3924770000000001E-2</v>
      </c>
      <c r="P2589">
        <v>-0.99833289999999997</v>
      </c>
      <c r="Q2589">
        <v>2.2584710000000001E-2</v>
      </c>
      <c r="R2589">
        <v>-5.3115830000000003E-2</v>
      </c>
      <c r="S2589">
        <v>-2.9948730000000001</v>
      </c>
      <c r="T2589">
        <v>-8.6867810000000004E-2</v>
      </c>
      <c r="U2589">
        <v>-0.22717289999999901</v>
      </c>
      <c r="V2589">
        <v>-2.922483E-2</v>
      </c>
      <c r="W2589">
        <v>3.518839E-2</v>
      </c>
      <c r="X2589">
        <v>0.99895330000000004</v>
      </c>
      <c r="Y2589">
        <v>-5.174521E-2</v>
      </c>
      <c r="Z2589" s="1">
        <v>-5.6556369999999997E-5</v>
      </c>
      <c r="AA2589">
        <v>0.99866029999999995</v>
      </c>
      <c r="AB2589">
        <v>36</v>
      </c>
      <c r="AC2589">
        <v>-37.8752</v>
      </c>
      <c r="AD2589">
        <v>-1.1046298320200001</v>
      </c>
      <c r="AE2589">
        <v>-2.8837999999999999</v>
      </c>
      <c r="AF2589">
        <v>-1.9750764845925</v>
      </c>
      <c r="AG2589">
        <v>-1.1046298320200001</v>
      </c>
      <c r="AH2589">
        <v>37.901303783730299</v>
      </c>
      <c r="AI2589">
        <v>91.667146573717801</v>
      </c>
      <c r="AJ2589">
        <v>92.983044589683303</v>
      </c>
      <c r="AK2589">
        <v>37.9688024922092</v>
      </c>
    </row>
    <row r="2590" spans="1:37" x14ac:dyDescent="0.2">
      <c r="A2590" t="str">
        <f>"20200111155548240"</f>
        <v>20200111155548240</v>
      </c>
      <c r="B2590" t="str">
        <f>"1578729348234666"</f>
        <v>1578729348234666</v>
      </c>
      <c r="C2590" t="s">
        <v>37</v>
      </c>
      <c r="D2590">
        <v>4.8619240000000001</v>
      </c>
      <c r="E2590">
        <v>0.55343180000000003</v>
      </c>
      <c r="F2590" t="s">
        <v>48</v>
      </c>
      <c r="G2590">
        <v>0</v>
      </c>
      <c r="H2590">
        <v>0</v>
      </c>
      <c r="I2590">
        <v>0</v>
      </c>
      <c r="J2590">
        <v>-347.42579999999998</v>
      </c>
      <c r="K2590">
        <v>1.104636</v>
      </c>
      <c r="L2590">
        <v>284.68020000000001</v>
      </c>
      <c r="M2590">
        <v>-0.99963019999999903</v>
      </c>
      <c r="N2590">
        <v>0</v>
      </c>
      <c r="O2590">
        <v>-2.3990299999999999E-2</v>
      </c>
      <c r="P2590">
        <v>-0.99831809999999999</v>
      </c>
      <c r="Q2590">
        <v>2.3004739999999999E-2</v>
      </c>
      <c r="R2590">
        <v>-5.3214780000000003E-2</v>
      </c>
      <c r="S2590">
        <v>-3.0110169999999998</v>
      </c>
      <c r="T2590">
        <v>-1.321805E-2</v>
      </c>
      <c r="U2590">
        <v>0.1072388</v>
      </c>
      <c r="V2590">
        <v>-2.9258030000000001E-2</v>
      </c>
      <c r="W2590">
        <v>3.578978E-2</v>
      </c>
      <c r="X2590">
        <v>0.99893089999999995</v>
      </c>
      <c r="Y2590">
        <v>5.9558920000000001E-2</v>
      </c>
      <c r="Z2590">
        <v>2.3597989999999999E-4</v>
      </c>
      <c r="AA2590">
        <v>0.99822469999999996</v>
      </c>
      <c r="AB2590">
        <v>36</v>
      </c>
      <c r="AC2590">
        <v>-3.0110169999999998</v>
      </c>
      <c r="AD2590">
        <v>-1.321805E-2</v>
      </c>
      <c r="AE2590">
        <v>0.1072388</v>
      </c>
      <c r="AF2590">
        <v>0.17944559951157399</v>
      </c>
      <c r="AG2590">
        <v>-1.321805E-2</v>
      </c>
      <c r="AH2590">
        <v>3.0075194742057301</v>
      </c>
      <c r="AI2590">
        <v>90.251366338508006</v>
      </c>
      <c r="AJ2590">
        <v>86.585458236234899</v>
      </c>
      <c r="AK2590">
        <v>3.0128970821713401</v>
      </c>
    </row>
    <row r="2591" spans="1:37" x14ac:dyDescent="0.2">
      <c r="A2591" t="str">
        <f>"20200111155548253"</f>
        <v>20200111155548253</v>
      </c>
      <c r="B2591" t="str">
        <f>"1578729348244425"</f>
        <v>1578729348244425</v>
      </c>
      <c r="C2591" t="s">
        <v>37</v>
      </c>
      <c r="D2591">
        <v>4.8211129999999898</v>
      </c>
      <c r="E2591">
        <v>0.55826989999999999</v>
      </c>
      <c r="F2591" t="s">
        <v>64</v>
      </c>
      <c r="G2591">
        <v>-511.82040000000001</v>
      </c>
      <c r="H2591">
        <v>0.67493999999999998</v>
      </c>
      <c r="I2591">
        <v>298.94069999999999</v>
      </c>
      <c r="J2591">
        <v>-347.64049999999997</v>
      </c>
      <c r="K2591">
        <v>1.104641</v>
      </c>
      <c r="L2591">
        <v>284.67500000000001</v>
      </c>
      <c r="M2591">
        <v>-0.99962680000000004</v>
      </c>
      <c r="N2591">
        <v>0</v>
      </c>
      <c r="O2591">
        <v>-2.4050220000000001E-2</v>
      </c>
      <c r="P2591">
        <v>-0.9983033</v>
      </c>
      <c r="Q2591">
        <v>2.3410420000000001E-2</v>
      </c>
      <c r="R2591">
        <v>-5.3318909999999997E-2</v>
      </c>
      <c r="S2591">
        <v>-3.019196</v>
      </c>
      <c r="T2591">
        <v>-7.8899859999999999E-3</v>
      </c>
      <c r="U2591">
        <v>0.26190189999999902</v>
      </c>
      <c r="V2591">
        <v>-2.93022E-2</v>
      </c>
      <c r="W2591">
        <v>3.6355890000000002E-2</v>
      </c>
      <c r="X2591">
        <v>0.99890919999999905</v>
      </c>
      <c r="Y2591">
        <v>0.11035779999999901</v>
      </c>
      <c r="Z2591">
        <v>2.0667609999999999E-4</v>
      </c>
      <c r="AA2591">
        <v>0.99389189999999905</v>
      </c>
      <c r="AB2591">
        <v>36</v>
      </c>
      <c r="AC2591">
        <v>-164.1799</v>
      </c>
      <c r="AD2591">
        <v>-0.429701</v>
      </c>
      <c r="AE2591">
        <v>14.265699999999899</v>
      </c>
      <c r="AF2591">
        <v>18.210343304695101</v>
      </c>
      <c r="AG2591">
        <v>-0.429701</v>
      </c>
      <c r="AH2591">
        <v>163.78816768952601</v>
      </c>
      <c r="AI2591">
        <v>90.149395555520698</v>
      </c>
      <c r="AJ2591">
        <v>83.6557798581442</v>
      </c>
      <c r="AK2591">
        <v>164.79795241845801</v>
      </c>
    </row>
    <row r="2592" spans="1:37" x14ac:dyDescent="0.2">
      <c r="A2592" t="str">
        <f>"20200111155548266"</f>
        <v>20200111155548266</v>
      </c>
      <c r="B2592" t="str">
        <f>"1578729348255162"</f>
        <v>1578729348255162</v>
      </c>
      <c r="C2592" t="s">
        <v>37</v>
      </c>
      <c r="D2592">
        <v>4.7634650000000001</v>
      </c>
      <c r="E2592">
        <v>0.56107769999999901</v>
      </c>
      <c r="F2592" t="s">
        <v>64</v>
      </c>
      <c r="G2592">
        <v>-511.8202</v>
      </c>
      <c r="H2592">
        <v>8.8329969999999994E-2</v>
      </c>
      <c r="I2592">
        <v>300.94690000000003</v>
      </c>
      <c r="J2592">
        <v>-347.85219999999998</v>
      </c>
      <c r="K2592">
        <v>1.104649</v>
      </c>
      <c r="L2592">
        <v>284.66989999999998</v>
      </c>
      <c r="M2592">
        <v>-0.999623699999999</v>
      </c>
      <c r="N2592">
        <v>0</v>
      </c>
      <c r="O2592">
        <v>-2.4105399999999999E-2</v>
      </c>
      <c r="P2592">
        <v>-0.99827659999999996</v>
      </c>
      <c r="Q2592">
        <v>2.381484E-2</v>
      </c>
      <c r="R2592">
        <v>-5.3639760000000002E-2</v>
      </c>
      <c r="S2592">
        <v>-3.021576</v>
      </c>
      <c r="T2592">
        <v>-1.8702630000000001E-2</v>
      </c>
      <c r="U2592">
        <v>0.29946899999999999</v>
      </c>
      <c r="V2592">
        <v>-2.9567389999999999E-2</v>
      </c>
      <c r="W2592">
        <v>3.6906260000000003E-2</v>
      </c>
      <c r="X2592">
        <v>0.99888120000000002</v>
      </c>
      <c r="Y2592">
        <v>0.1225855</v>
      </c>
      <c r="Z2592">
        <v>5.2733779999999996E-4</v>
      </c>
      <c r="AA2592">
        <v>0.99245779999999995</v>
      </c>
      <c r="AB2592">
        <v>36</v>
      </c>
      <c r="AC2592">
        <v>-163.96799999999999</v>
      </c>
      <c r="AD2592">
        <v>-1.01631903</v>
      </c>
      <c r="AE2592">
        <v>16.277000000000001</v>
      </c>
      <c r="AF2592">
        <v>20.2243530289788</v>
      </c>
      <c r="AG2592">
        <v>-1.01631903</v>
      </c>
      <c r="AH2592">
        <v>163.52172824031101</v>
      </c>
      <c r="AI2592">
        <v>90.353407060729495</v>
      </c>
      <c r="AJ2592">
        <v>82.949467534876604</v>
      </c>
      <c r="AK2592">
        <v>164.77078917851199</v>
      </c>
    </row>
    <row r="2593" spans="1:37" x14ac:dyDescent="0.2">
      <c r="A2593" t="str">
        <f>"20200111155548282"</f>
        <v>20200111155548282</v>
      </c>
      <c r="B2593" t="str">
        <f>"1578729348274681"</f>
        <v>1578729348274681</v>
      </c>
      <c r="C2593" t="s">
        <v>37</v>
      </c>
      <c r="D2593">
        <v>4.720008</v>
      </c>
      <c r="E2593">
        <v>0.56509229999999999</v>
      </c>
      <c r="F2593" t="s">
        <v>39</v>
      </c>
      <c r="G2593">
        <v>-473.16050000000001</v>
      </c>
      <c r="H2593">
        <v>-0.05</v>
      </c>
      <c r="I2593">
        <v>297.95080000000002</v>
      </c>
      <c r="J2593">
        <v>-348.09809999999999</v>
      </c>
      <c r="K2593">
        <v>1.104654</v>
      </c>
      <c r="L2593">
        <v>284.66390000000001</v>
      </c>
      <c r="M2593">
        <v>-0.99962009999999901</v>
      </c>
      <c r="N2593">
        <v>0</v>
      </c>
      <c r="O2593">
        <v>-2.4165300000000001E-2</v>
      </c>
      <c r="P2593">
        <v>-0.99825540000000001</v>
      </c>
      <c r="Q2593">
        <v>2.467867E-2</v>
      </c>
      <c r="R2593">
        <v>-5.3640119999999999E-2</v>
      </c>
      <c r="S2593">
        <v>-3.0230709999999998</v>
      </c>
      <c r="T2593">
        <v>-2.7855990000000001E-2</v>
      </c>
      <c r="U2593">
        <v>0.32040409999999903</v>
      </c>
      <c r="V2593">
        <v>-2.950767E-2</v>
      </c>
      <c r="W2593">
        <v>3.7926939999999999E-2</v>
      </c>
      <c r="X2593">
        <v>0.99884470000000003</v>
      </c>
      <c r="Y2593">
        <v>0.1293916</v>
      </c>
      <c r="Z2593">
        <v>8.1657819999999995E-4</v>
      </c>
      <c r="AA2593">
        <v>0.99159319999999895</v>
      </c>
      <c r="AB2593">
        <v>36</v>
      </c>
      <c r="AC2593">
        <v>-125.0624</v>
      </c>
      <c r="AD2593">
        <v>-1.1546540000000001</v>
      </c>
      <c r="AE2593">
        <v>13.286899999999999</v>
      </c>
      <c r="AF2593">
        <v>16.304080899664601</v>
      </c>
      <c r="AG2593">
        <v>-1.1546540000000001</v>
      </c>
      <c r="AH2593">
        <v>124.694251819249</v>
      </c>
      <c r="AI2593">
        <v>90.526059468461696</v>
      </c>
      <c r="AJ2593">
        <v>82.550695343905403</v>
      </c>
      <c r="AK2593">
        <v>125.760934779465</v>
      </c>
    </row>
    <row r="2594" spans="1:37" x14ac:dyDescent="0.2">
      <c r="A2594" t="str">
        <f>"20200111155548303"</f>
        <v>20200111155548303</v>
      </c>
      <c r="B2594" t="str">
        <f>"1578729348295178"</f>
        <v>1578729348295178</v>
      </c>
      <c r="C2594" t="s">
        <v>37</v>
      </c>
      <c r="D2594">
        <v>4.8332499999999996</v>
      </c>
      <c r="E2594">
        <v>0.56549099999999997</v>
      </c>
      <c r="F2594" t="s">
        <v>39</v>
      </c>
      <c r="G2594">
        <v>-447.54379999999998</v>
      </c>
      <c r="H2594">
        <v>-0.05</v>
      </c>
      <c r="I2594">
        <v>296.23129999999998</v>
      </c>
      <c r="J2594">
        <v>-348.45150000000001</v>
      </c>
      <c r="K2594">
        <v>1.1046559999999901</v>
      </c>
      <c r="L2594">
        <v>284.65530000000001</v>
      </c>
      <c r="M2594">
        <v>-0.99961549999999999</v>
      </c>
      <c r="N2594">
        <v>0</v>
      </c>
      <c r="O2594">
        <v>-2.423983E-2</v>
      </c>
      <c r="P2594">
        <v>-0.9982491</v>
      </c>
      <c r="Q2594">
        <v>2.5027730000000002E-2</v>
      </c>
      <c r="R2594">
        <v>-5.359589E-2</v>
      </c>
      <c r="S2594">
        <v>-3.0250240000000002</v>
      </c>
      <c r="T2594">
        <v>-3.5123229999999998E-2</v>
      </c>
      <c r="U2594">
        <v>0.35186770000000001</v>
      </c>
      <c r="V2594">
        <v>-2.9388460000000002E-2</v>
      </c>
      <c r="W2594">
        <v>3.8475380000000003E-2</v>
      </c>
      <c r="X2594">
        <v>0.99882729999999997</v>
      </c>
      <c r="Y2594">
        <v>0.139574799999999</v>
      </c>
      <c r="Z2594">
        <v>1.0881389999999999E-3</v>
      </c>
      <c r="AA2594">
        <v>0.99021099999999995</v>
      </c>
      <c r="AB2594">
        <v>36</v>
      </c>
      <c r="AC2594">
        <v>-99.092299999999895</v>
      </c>
      <c r="AD2594">
        <v>-1.1546559999999999</v>
      </c>
      <c r="AE2594">
        <v>11.575999999999899</v>
      </c>
      <c r="AF2594">
        <v>13.9729246309963</v>
      </c>
      <c r="AG2594">
        <v>-1.1546559999999999</v>
      </c>
      <c r="AH2594">
        <v>98.769322905686707</v>
      </c>
      <c r="AI2594">
        <v>90.663178967966005</v>
      </c>
      <c r="AJ2594">
        <v>81.947784389795601</v>
      </c>
      <c r="AK2594">
        <v>99.759485766866604</v>
      </c>
    </row>
    <row r="2595" spans="1:37" x14ac:dyDescent="0.2">
      <c r="A2595" t="str">
        <f>"20200111155548317"</f>
        <v>20200111155548317</v>
      </c>
      <c r="B2595" t="str">
        <f>"1578729348304938"</f>
        <v>1578729348304938</v>
      </c>
      <c r="C2595" t="s">
        <v>37</v>
      </c>
      <c r="D2595">
        <v>5.4227419999999897</v>
      </c>
      <c r="E2595">
        <v>0.56785600000000003</v>
      </c>
      <c r="F2595" t="s">
        <v>61</v>
      </c>
      <c r="G2595">
        <v>-417.82639999999998</v>
      </c>
      <c r="H2595" s="1">
        <v>2.228727E-6</v>
      </c>
      <c r="I2595">
        <v>292.77679999999998</v>
      </c>
      <c r="J2595">
        <v>-348.67340000000002</v>
      </c>
      <c r="K2595">
        <v>1.1046559999999901</v>
      </c>
      <c r="L2595">
        <v>284.6499</v>
      </c>
      <c r="M2595">
        <v>-0.99961309999999903</v>
      </c>
      <c r="N2595">
        <v>0</v>
      </c>
      <c r="O2595">
        <v>-2.4281090000000002E-2</v>
      </c>
      <c r="P2595">
        <v>-0.99822440000000001</v>
      </c>
      <c r="Q2595">
        <v>2.5427439999999999E-2</v>
      </c>
      <c r="R2595">
        <v>-5.3870080000000001E-2</v>
      </c>
      <c r="S2595">
        <v>-3.0255130000000001</v>
      </c>
      <c r="T2595">
        <v>-4.8175099999999998E-2</v>
      </c>
      <c r="U2595">
        <v>0.35418699999999997</v>
      </c>
      <c r="V2595">
        <v>-2.9621249999999998E-2</v>
      </c>
      <c r="W2595">
        <v>3.8987599999999997E-2</v>
      </c>
      <c r="X2595">
        <v>0.99880059999999904</v>
      </c>
      <c r="Y2595">
        <v>0.1403365</v>
      </c>
      <c r="Z2595">
        <v>1.498844E-3</v>
      </c>
      <c r="AA2595">
        <v>0.9901027</v>
      </c>
      <c r="AB2595">
        <v>36</v>
      </c>
      <c r="AC2595">
        <v>-69.152999999999906</v>
      </c>
      <c r="AD2595">
        <v>-1.10465377127299</v>
      </c>
      <c r="AE2595">
        <v>8.1268999999999707</v>
      </c>
      <c r="AF2595">
        <v>9.8013013634315005</v>
      </c>
      <c r="AG2595">
        <v>-1.10465377127299</v>
      </c>
      <c r="AH2595">
        <v>68.9179135303187</v>
      </c>
      <c r="AI2595">
        <v>90.909142821083293</v>
      </c>
      <c r="AJ2595">
        <v>81.905842796587606</v>
      </c>
      <c r="AK2595">
        <v>69.620144884535307</v>
      </c>
    </row>
    <row r="2596" spans="1:37" x14ac:dyDescent="0.2">
      <c r="A2596" t="str">
        <f>"20200111155548330"</f>
        <v>20200111155548330</v>
      </c>
      <c r="B2596" t="str">
        <f>"1578729348324458"</f>
        <v>1578729348324458</v>
      </c>
      <c r="C2596" t="s">
        <v>37</v>
      </c>
      <c r="D2596">
        <v>4.8022470000000004</v>
      </c>
      <c r="E2596">
        <v>0.56807680000000005</v>
      </c>
      <c r="F2596" t="s">
        <v>61</v>
      </c>
      <c r="G2596">
        <v>-409.00830000000002</v>
      </c>
      <c r="H2596">
        <v>8.0000199999999994E-2</v>
      </c>
      <c r="I2596">
        <v>292.06490000000002</v>
      </c>
      <c r="J2596">
        <v>-348.87920000000003</v>
      </c>
      <c r="K2596">
        <v>1.1046549999999999</v>
      </c>
      <c r="L2596">
        <v>284.64479999999998</v>
      </c>
      <c r="M2596">
        <v>-0.99961109999999898</v>
      </c>
      <c r="N2596">
        <v>0</v>
      </c>
      <c r="O2596">
        <v>-2.43127E-2</v>
      </c>
      <c r="P2596">
        <v>-0.99822469999999996</v>
      </c>
      <c r="Q2596">
        <v>2.5430230000000002E-2</v>
      </c>
      <c r="R2596">
        <v>-5.3859039999999997E-2</v>
      </c>
      <c r="S2596">
        <v>-3.0267330000000001</v>
      </c>
      <c r="T2596">
        <v>-5.1402450000000002E-2</v>
      </c>
      <c r="U2596">
        <v>0.3719788</v>
      </c>
      <c r="V2596">
        <v>-2.9577800000000001E-2</v>
      </c>
      <c r="W2596">
        <v>3.9083840000000002E-2</v>
      </c>
      <c r="X2596">
        <v>0.99879810000000002</v>
      </c>
      <c r="Y2596">
        <v>0.14605319999999999</v>
      </c>
      <c r="Z2596">
        <v>1.6469429999999899E-3</v>
      </c>
      <c r="AA2596">
        <v>0.98927540000000003</v>
      </c>
      <c r="AB2596">
        <v>36</v>
      </c>
      <c r="AC2596">
        <v>-60.129100000000001</v>
      </c>
      <c r="AD2596">
        <v>-1.0246548</v>
      </c>
      <c r="AE2596">
        <v>7.4201000000000397</v>
      </c>
      <c r="AF2596">
        <v>8.8774041046281802</v>
      </c>
      <c r="AG2596">
        <v>-1.0246548</v>
      </c>
      <c r="AH2596">
        <v>59.913765637512</v>
      </c>
      <c r="AI2596">
        <v>90.969206771603098</v>
      </c>
      <c r="AJ2596">
        <v>81.571823210751006</v>
      </c>
      <c r="AK2596">
        <v>60.576542769976101</v>
      </c>
    </row>
    <row r="2597" spans="1:37" x14ac:dyDescent="0.2">
      <c r="A2597" t="str">
        <f>"20200111155548343"</f>
        <v>20200111155548343</v>
      </c>
      <c r="B2597" t="str">
        <f>"1578729348335193"</f>
        <v>1578729348335193</v>
      </c>
      <c r="C2597" t="s">
        <v>37</v>
      </c>
      <c r="D2597">
        <v>4.7442880000000001</v>
      </c>
      <c r="E2597">
        <v>0.56805969999999995</v>
      </c>
      <c r="F2597" t="s">
        <v>39</v>
      </c>
      <c r="G2597">
        <v>-455.90460000000002</v>
      </c>
      <c r="H2597">
        <v>-0.05</v>
      </c>
      <c r="I2597">
        <v>297.90309999999999</v>
      </c>
      <c r="J2597">
        <v>-349.10680000000002</v>
      </c>
      <c r="K2597">
        <v>1.1046559999999901</v>
      </c>
      <c r="L2597">
        <v>284.63920000000002</v>
      </c>
      <c r="M2597">
        <v>-0.99960890000000002</v>
      </c>
      <c r="N2597">
        <v>0</v>
      </c>
      <c r="O2597">
        <v>-2.4343599999999899E-2</v>
      </c>
      <c r="P2597">
        <v>-0.99821740000000003</v>
      </c>
      <c r="Q2597">
        <v>2.5603529999999999E-2</v>
      </c>
      <c r="R2597">
        <v>-5.391497E-2</v>
      </c>
      <c r="S2597">
        <v>-3.0263979999999999</v>
      </c>
      <c r="T2597">
        <v>-3.265059E-2</v>
      </c>
      <c r="U2597">
        <v>0.37490839999999998</v>
      </c>
      <c r="V2597">
        <v>-2.960225E-2</v>
      </c>
      <c r="W2597">
        <v>3.9353050000000001E-2</v>
      </c>
      <c r="X2597">
        <v>0.99878679999999997</v>
      </c>
      <c r="Y2597">
        <v>0.14705470000000001</v>
      </c>
      <c r="Z2597">
        <v>1.0519430000000001E-3</v>
      </c>
      <c r="AA2597">
        <v>0.9891278</v>
      </c>
      <c r="AB2597">
        <v>36</v>
      </c>
      <c r="AC2597">
        <v>-106.7978</v>
      </c>
      <c r="AD2597">
        <v>-1.1546559999999999</v>
      </c>
      <c r="AE2597">
        <v>13.2638999999999</v>
      </c>
      <c r="AF2597">
        <v>15.8582321938717</v>
      </c>
      <c r="AG2597">
        <v>-1.1546559999999999</v>
      </c>
      <c r="AH2597">
        <v>106.43097105229</v>
      </c>
      <c r="AI2597">
        <v>90.614783772652302</v>
      </c>
      <c r="AJ2597">
        <v>81.525268365842393</v>
      </c>
      <c r="AK2597">
        <v>107.612119939747</v>
      </c>
    </row>
    <row r="2598" spans="1:37" x14ac:dyDescent="0.2">
      <c r="A2598" t="str">
        <f>"20200111155548357"</f>
        <v>20200111155548357</v>
      </c>
      <c r="B2598" t="str">
        <f>"1578729348354713"</f>
        <v>1578729348354713</v>
      </c>
      <c r="C2598" t="s">
        <v>37</v>
      </c>
      <c r="D2598">
        <v>4.8702309999999898</v>
      </c>
      <c r="E2598">
        <v>0.56825930000000002</v>
      </c>
      <c r="F2598" t="s">
        <v>61</v>
      </c>
      <c r="G2598">
        <v>-432.05450000000002</v>
      </c>
      <c r="H2598">
        <v>7.9999769999999998E-2</v>
      </c>
      <c r="I2598">
        <v>294.89429999999999</v>
      </c>
      <c r="J2598">
        <v>-349.33920000000001</v>
      </c>
      <c r="K2598">
        <v>1.1046559999999901</v>
      </c>
      <c r="L2598">
        <v>284.6336</v>
      </c>
      <c r="M2598">
        <v>-0.99960709999999997</v>
      </c>
      <c r="N2598">
        <v>0</v>
      </c>
      <c r="O2598">
        <v>-2.43704E-2</v>
      </c>
      <c r="P2598">
        <v>-0.99821299999999902</v>
      </c>
      <c r="Q2598">
        <v>2.564404E-2</v>
      </c>
      <c r="R2598">
        <v>-5.3978730000000003E-2</v>
      </c>
      <c r="S2598">
        <v>-3.02648899999999</v>
      </c>
      <c r="T2598">
        <v>-3.7386299999999997E-2</v>
      </c>
      <c r="U2598">
        <v>0.37417600000000001</v>
      </c>
      <c r="V2598">
        <v>-2.9637819999999999E-2</v>
      </c>
      <c r="W2598">
        <v>3.9484560000000002E-2</v>
      </c>
      <c r="X2598">
        <v>0.99878049999999996</v>
      </c>
      <c r="Y2598">
        <v>0.14683879999999999</v>
      </c>
      <c r="Z2598">
        <v>1.203492E-3</v>
      </c>
      <c r="AA2598">
        <v>0.98915969999999998</v>
      </c>
      <c r="AB2598">
        <v>36</v>
      </c>
      <c r="AC2598">
        <v>-82.715299999999999</v>
      </c>
      <c r="AD2598">
        <v>-1.0246562299999999</v>
      </c>
      <c r="AE2598">
        <v>10.2606999999999</v>
      </c>
      <c r="AF2598">
        <v>12.2717955384294</v>
      </c>
      <c r="AG2598">
        <v>-1.0246562299999999</v>
      </c>
      <c r="AH2598">
        <v>82.428189886672101</v>
      </c>
      <c r="AI2598">
        <v>90.704437878935806</v>
      </c>
      <c r="AJ2598">
        <v>81.532080965316595</v>
      </c>
      <c r="AK2598">
        <v>83.342986352301807</v>
      </c>
    </row>
    <row r="2599" spans="1:37" x14ac:dyDescent="0.2">
      <c r="A2599" t="str">
        <f>"20200111155548371"</f>
        <v>20200111155548371</v>
      </c>
      <c r="B2599" t="str">
        <f>"1578729348364474"</f>
        <v>1578729348364474</v>
      </c>
      <c r="C2599" t="s">
        <v>37</v>
      </c>
      <c r="D2599">
        <v>4.6813139999999898</v>
      </c>
      <c r="E2599">
        <v>0.56842809999999999</v>
      </c>
      <c r="F2599" t="s">
        <v>61</v>
      </c>
      <c r="G2599">
        <v>-425.45639999999997</v>
      </c>
      <c r="H2599" s="1">
        <v>1.3758619999999901E-6</v>
      </c>
      <c r="I2599">
        <v>294.07089999999999</v>
      </c>
      <c r="J2599">
        <v>-349.54390000000001</v>
      </c>
      <c r="K2599">
        <v>1.1046590000000001</v>
      </c>
      <c r="L2599">
        <v>284.62849999999997</v>
      </c>
      <c r="M2599">
        <v>-0.99960569999999904</v>
      </c>
      <c r="N2599">
        <v>0</v>
      </c>
      <c r="O2599">
        <v>-2.4387430000000002E-2</v>
      </c>
      <c r="P2599">
        <v>-0.99821079999999995</v>
      </c>
      <c r="Q2599">
        <v>2.59384E-2</v>
      </c>
      <c r="R2599">
        <v>-5.38784E-2</v>
      </c>
      <c r="S2599">
        <v>-3.02679399999999</v>
      </c>
      <c r="T2599">
        <v>-4.3926479999999997E-2</v>
      </c>
      <c r="U2599">
        <v>0.37527470000000002</v>
      </c>
      <c r="V2599">
        <v>-2.9520230000000001E-2</v>
      </c>
      <c r="W2599">
        <v>3.9849049999999997E-2</v>
      </c>
      <c r="X2599">
        <v>0.99876949999999998</v>
      </c>
      <c r="Y2599">
        <v>0.1471922</v>
      </c>
      <c r="Z2599">
        <v>1.4166339999999999E-3</v>
      </c>
      <c r="AA2599">
        <v>0.98910689999999901</v>
      </c>
      <c r="AB2599">
        <v>36</v>
      </c>
      <c r="AC2599">
        <v>-75.912499999999895</v>
      </c>
      <c r="AD2599">
        <v>-1.1046576241379999</v>
      </c>
      <c r="AE2599">
        <v>9.4424000000000099</v>
      </c>
      <c r="AF2599">
        <v>11.2887272259714</v>
      </c>
      <c r="AG2599">
        <v>-1.1046576241379999</v>
      </c>
      <c r="AH2599">
        <v>75.643846001222897</v>
      </c>
      <c r="AI2599">
        <v>90.827491372154498</v>
      </c>
      <c r="AJ2599">
        <v>81.512092723238595</v>
      </c>
      <c r="AK2599">
        <v>76.489522607385098</v>
      </c>
    </row>
    <row r="2600" spans="1:37" x14ac:dyDescent="0.2">
      <c r="A2600" t="str">
        <f>"20200111155548386"</f>
        <v>20200111155548386</v>
      </c>
      <c r="B2600" t="str">
        <f>"1578729348375209"</f>
        <v>1578729348375209</v>
      </c>
      <c r="C2600" t="s">
        <v>37</v>
      </c>
      <c r="D2600">
        <v>4.6451969999999996</v>
      </c>
      <c r="E2600">
        <v>0.56854289999999996</v>
      </c>
      <c r="F2600" t="s">
        <v>61</v>
      </c>
      <c r="G2600">
        <v>-422.01830000000001</v>
      </c>
      <c r="H2600" s="1">
        <v>1.755125E-6</v>
      </c>
      <c r="I2600">
        <v>293.64879999999999</v>
      </c>
      <c r="J2600">
        <v>-349.78199999999998</v>
      </c>
      <c r="K2600">
        <v>1.104662</v>
      </c>
      <c r="L2600">
        <v>284.62270000000001</v>
      </c>
      <c r="M2600">
        <v>-0.99960419999999905</v>
      </c>
      <c r="N2600">
        <v>0</v>
      </c>
      <c r="O2600">
        <v>-2.4403660000000001E-2</v>
      </c>
      <c r="P2600">
        <v>-0.99820319999999996</v>
      </c>
      <c r="Q2600">
        <v>2.60758E-2</v>
      </c>
      <c r="R2600">
        <v>-5.3949459999999998E-2</v>
      </c>
      <c r="S2600">
        <v>-3.0269469999999998</v>
      </c>
      <c r="T2600">
        <v>-4.6136860000000002E-2</v>
      </c>
      <c r="U2600">
        <v>0.3767395</v>
      </c>
      <c r="V2600">
        <v>-2.957475E-2</v>
      </c>
      <c r="W2600">
        <v>4.0062979999999998E-2</v>
      </c>
      <c r="X2600">
        <v>0.99875939999999996</v>
      </c>
      <c r="Y2600">
        <v>0.14767169999999999</v>
      </c>
      <c r="Z2600">
        <v>1.49168E-3</v>
      </c>
      <c r="AA2600">
        <v>0.98903529999999995</v>
      </c>
      <c r="AB2600">
        <v>36</v>
      </c>
      <c r="AC2600">
        <v>-72.2363</v>
      </c>
      <c r="AD2600">
        <v>-1.104660244875</v>
      </c>
      <c r="AE2600">
        <v>9.02609999999998</v>
      </c>
      <c r="AF2600">
        <v>10.7839310748959</v>
      </c>
      <c r="AG2600">
        <v>-1.104660244875</v>
      </c>
      <c r="AH2600">
        <v>71.977917750101398</v>
      </c>
      <c r="AI2600">
        <v>90.869557608402999</v>
      </c>
      <c r="AJ2600">
        <v>81.479165684093601</v>
      </c>
      <c r="AK2600">
        <v>72.789656458353093</v>
      </c>
    </row>
    <row r="2601" spans="1:37" x14ac:dyDescent="0.2">
      <c r="A2601" t="str">
        <f>"20200111155548401"</f>
        <v>20200111155548401</v>
      </c>
      <c r="B2601" t="str">
        <f>"1578729348394730"</f>
        <v>1578729348394730</v>
      </c>
      <c r="C2601" t="s">
        <v>37</v>
      </c>
      <c r="D2601">
        <v>4.7247069999999898</v>
      </c>
      <c r="E2601">
        <v>0.56869740000000002</v>
      </c>
      <c r="F2601" t="s">
        <v>61</v>
      </c>
      <c r="G2601">
        <v>-419.2124</v>
      </c>
      <c r="H2601" s="1">
        <v>2.1752529999999999E-6</v>
      </c>
      <c r="I2601">
        <v>293.2758</v>
      </c>
      <c r="J2601">
        <v>-350.02960000000002</v>
      </c>
      <c r="K2601">
        <v>1.104668</v>
      </c>
      <c r="L2601">
        <v>284.61669999999998</v>
      </c>
      <c r="M2601">
        <v>-0.99960289999999996</v>
      </c>
      <c r="N2601">
        <v>0</v>
      </c>
      <c r="O2601">
        <v>-2.441629E-2</v>
      </c>
      <c r="P2601">
        <v>-0.99821719999999903</v>
      </c>
      <c r="Q2601">
        <v>2.6185730000000001E-2</v>
      </c>
      <c r="R2601">
        <v>-5.3637740000000003E-2</v>
      </c>
      <c r="S2601">
        <v>-3.0270389999999998</v>
      </c>
      <c r="T2601">
        <v>-4.816115E-2</v>
      </c>
      <c r="U2601">
        <v>0.37725829999999999</v>
      </c>
      <c r="V2601">
        <v>-2.9248779999999999E-2</v>
      </c>
      <c r="W2601">
        <v>4.0245450000000002E-2</v>
      </c>
      <c r="X2601">
        <v>0.99876169999999997</v>
      </c>
      <c r="Y2601">
        <v>0.14784559999999999</v>
      </c>
      <c r="Z2601">
        <v>1.5586370000000001E-3</v>
      </c>
      <c r="AA2601">
        <v>0.98900919999999903</v>
      </c>
      <c r="AB2601">
        <v>36</v>
      </c>
      <c r="AC2601">
        <v>-69.182799999999901</v>
      </c>
      <c r="AD2601">
        <v>-1.104665824747</v>
      </c>
      <c r="AE2601">
        <v>8.65910000000002</v>
      </c>
      <c r="AF2601">
        <v>10.343276079364999</v>
      </c>
      <c r="AG2601">
        <v>-1.104665824747</v>
      </c>
      <c r="AH2601">
        <v>68.933423055021095</v>
      </c>
      <c r="AI2601">
        <v>90.907930651236995</v>
      </c>
      <c r="AJ2601">
        <v>81.466582270500595</v>
      </c>
      <c r="AK2601">
        <v>69.713846979784805</v>
      </c>
    </row>
    <row r="2602" spans="1:37" x14ac:dyDescent="0.2">
      <c r="A2602" t="str">
        <f>"20200111155548415"</f>
        <v>20200111155548415</v>
      </c>
      <c r="B2602" t="str">
        <f>"1578729348404491"</f>
        <v>1578729348404491</v>
      </c>
      <c r="C2602" t="s">
        <v>37</v>
      </c>
      <c r="D2602">
        <v>4.9077479999999998</v>
      </c>
      <c r="E2602">
        <v>0.56839289999999998</v>
      </c>
      <c r="F2602" t="s">
        <v>61</v>
      </c>
      <c r="G2602">
        <v>-408.50599999999997</v>
      </c>
      <c r="H2602">
        <v>8.0000020000000005E-2</v>
      </c>
      <c r="I2602">
        <v>291.94209999999998</v>
      </c>
      <c r="J2602">
        <v>-350.2577</v>
      </c>
      <c r="K2602">
        <v>1.104673</v>
      </c>
      <c r="L2602">
        <v>284.61110000000002</v>
      </c>
      <c r="M2602">
        <v>-0.99960179999999998</v>
      </c>
      <c r="N2602">
        <v>0</v>
      </c>
      <c r="O2602">
        <v>-2.4423980000000001E-2</v>
      </c>
      <c r="P2602">
        <v>-0.99821260000000001</v>
      </c>
      <c r="Q2602">
        <v>2.7585470000000001E-2</v>
      </c>
      <c r="R2602">
        <v>-5.301732E-2</v>
      </c>
      <c r="S2602">
        <v>-3.0270999999999999</v>
      </c>
      <c r="T2602">
        <v>-5.3043130000000001E-2</v>
      </c>
      <c r="U2602">
        <v>0.37921139999999998</v>
      </c>
      <c r="V2602">
        <v>-2.8620320000000001E-2</v>
      </c>
      <c r="W2602">
        <v>4.1704779999999997E-2</v>
      </c>
      <c r="X2602">
        <v>0.99872000000000005</v>
      </c>
      <c r="Y2602">
        <v>0.14847439999999901</v>
      </c>
      <c r="Z2602">
        <v>1.722129E-3</v>
      </c>
      <c r="AA2602">
        <v>0.98891469999999904</v>
      </c>
      <c r="AB2602">
        <v>36</v>
      </c>
      <c r="AC2602">
        <v>-58.248299999999901</v>
      </c>
      <c r="AD2602">
        <v>-1.0246729800000001</v>
      </c>
      <c r="AE2602">
        <v>7.3309999999999498</v>
      </c>
      <c r="AF2602">
        <v>8.7489448205716407</v>
      </c>
      <c r="AG2602">
        <v>-1.0246729800000001</v>
      </c>
      <c r="AH2602">
        <v>58.034171211032898</v>
      </c>
      <c r="AI2602">
        <v>91.000230583026294</v>
      </c>
      <c r="AJ2602">
        <v>81.426929439997494</v>
      </c>
      <c r="AK2602">
        <v>58.698884302351303</v>
      </c>
    </row>
    <row r="2603" spans="1:37" x14ac:dyDescent="0.2">
      <c r="A2603" t="str">
        <f>"20200111155548438"</f>
        <v>20200111155548438</v>
      </c>
      <c r="B2603" t="str">
        <f>"1578729348434746"</f>
        <v>1578729348434746</v>
      </c>
      <c r="C2603" t="s">
        <v>37</v>
      </c>
      <c r="D2603">
        <v>4.7997129999999997</v>
      </c>
      <c r="E2603">
        <v>0.56851799999999997</v>
      </c>
      <c r="F2603" t="s">
        <v>61</v>
      </c>
      <c r="G2603">
        <v>-415.9914</v>
      </c>
      <c r="H2603" s="1">
        <v>2.04724799999999E-6</v>
      </c>
      <c r="I2603">
        <v>292.82979999999998</v>
      </c>
      <c r="J2603">
        <v>-350.62490000000003</v>
      </c>
      <c r="K2603">
        <v>1.1046819999999999</v>
      </c>
      <c r="L2603">
        <v>284.60210000000001</v>
      </c>
      <c r="M2603">
        <v>-0.99960059999999995</v>
      </c>
      <c r="N2603">
        <v>0</v>
      </c>
      <c r="O2603">
        <v>-2.4430500000000001E-2</v>
      </c>
      <c r="P2603">
        <v>-0.99820940000000002</v>
      </c>
      <c r="Q2603">
        <v>2.8206680000000001E-2</v>
      </c>
      <c r="R2603">
        <v>-5.2753210000000002E-2</v>
      </c>
      <c r="S2603">
        <v>-3.0268549999999999</v>
      </c>
      <c r="T2603">
        <v>-5.0867080000000002E-2</v>
      </c>
      <c r="U2603">
        <v>0.37844850000000002</v>
      </c>
      <c r="V2603">
        <v>-2.8349450000000002E-2</v>
      </c>
      <c r="W2603">
        <v>4.2411310000000001E-2</v>
      </c>
      <c r="X2603">
        <v>0.99869789999999903</v>
      </c>
      <c r="Y2603">
        <v>0.1482475</v>
      </c>
      <c r="Z2603">
        <v>1.6498579999999999E-3</v>
      </c>
      <c r="AA2603">
        <v>0.98894889999999902</v>
      </c>
      <c r="AB2603">
        <v>36</v>
      </c>
      <c r="AC2603">
        <v>-65.366499999999903</v>
      </c>
      <c r="AD2603">
        <v>-1.1046799527519999</v>
      </c>
      <c r="AE2603">
        <v>8.2276999999999703</v>
      </c>
      <c r="AF2603">
        <v>9.8195804554527992</v>
      </c>
      <c r="AG2603">
        <v>-1.1046799527519999</v>
      </c>
      <c r="AH2603">
        <v>65.127648525865396</v>
      </c>
      <c r="AI2603">
        <v>90.960886015492704</v>
      </c>
      <c r="AJ2603">
        <v>81.4258472698491</v>
      </c>
      <c r="AK2603">
        <v>65.873022403923301</v>
      </c>
    </row>
    <row r="2604" spans="1:37" x14ac:dyDescent="0.2">
      <c r="A2604" t="str">
        <f>"20200111155548454"</f>
        <v>20200111155548454</v>
      </c>
      <c r="B2604" t="str">
        <f>"1578729348445481"</f>
        <v>1578729348445481</v>
      </c>
      <c r="C2604" t="s">
        <v>37</v>
      </c>
      <c r="D2604">
        <v>4.9473050000000001</v>
      </c>
      <c r="E2604">
        <v>0.56871000000000005</v>
      </c>
      <c r="F2604" t="s">
        <v>61</v>
      </c>
      <c r="G2604">
        <v>-406.14940000000001</v>
      </c>
      <c r="H2604">
        <v>8.0000189999999999E-2</v>
      </c>
      <c r="I2604">
        <v>291.56849999999997</v>
      </c>
      <c r="J2604">
        <v>-350.86930000000001</v>
      </c>
      <c r="K2604">
        <v>1.1046879999999999</v>
      </c>
      <c r="L2604">
        <v>284.59609999999998</v>
      </c>
      <c r="M2604">
        <v>-0.99959979999999904</v>
      </c>
      <c r="N2604">
        <v>0</v>
      </c>
      <c r="O2604">
        <v>-2.4432189999999999E-2</v>
      </c>
      <c r="P2604">
        <v>-0.99820929999999997</v>
      </c>
      <c r="Q2604">
        <v>2.8455660000000001E-2</v>
      </c>
      <c r="R2604">
        <v>-5.2617579999999997E-2</v>
      </c>
      <c r="S2604">
        <v>-3.0270389999999998</v>
      </c>
      <c r="T2604">
        <v>-5.5862670000000003E-2</v>
      </c>
      <c r="U2604">
        <v>0.3797913</v>
      </c>
      <c r="V2604">
        <v>-2.8210989999999998E-2</v>
      </c>
      <c r="W2604">
        <v>4.270906E-2</v>
      </c>
      <c r="X2604">
        <v>0.99868919999999906</v>
      </c>
      <c r="Y2604">
        <v>0.14866860000000001</v>
      </c>
      <c r="Z2604">
        <v>1.815606E-3</v>
      </c>
      <c r="AA2604">
        <v>0.98888539999999903</v>
      </c>
      <c r="AB2604">
        <v>36</v>
      </c>
      <c r="AC2604">
        <v>-55.280099999999997</v>
      </c>
      <c r="AD2604">
        <v>-1.0246878100000001</v>
      </c>
      <c r="AE2604">
        <v>6.9723999999999897</v>
      </c>
      <c r="AF2604">
        <v>8.3182561181161603</v>
      </c>
      <c r="AG2604">
        <v>-1.0246878100000001</v>
      </c>
      <c r="AH2604">
        <v>55.074599658868998</v>
      </c>
      <c r="AI2604">
        <v>91.053940212478395</v>
      </c>
      <c r="AJ2604">
        <v>81.411181943263301</v>
      </c>
      <c r="AK2604">
        <v>55.708660884455199</v>
      </c>
    </row>
    <row r="2605" spans="1:37" x14ac:dyDescent="0.2">
      <c r="A2605" t="str">
        <f>"20200111155548467"</f>
        <v>20200111155548467</v>
      </c>
      <c r="B2605" t="str">
        <f>"1578729348465001"</f>
        <v>1578729348465001</v>
      </c>
      <c r="C2605" t="s">
        <v>37</v>
      </c>
      <c r="D2605">
        <v>4.7351510000000001</v>
      </c>
      <c r="E2605">
        <v>0.56869130000000001</v>
      </c>
      <c r="F2605" t="s">
        <v>61</v>
      </c>
      <c r="G2605">
        <v>-405.52659999999997</v>
      </c>
      <c r="H2605">
        <v>8.0000180000000004E-2</v>
      </c>
      <c r="I2605">
        <v>291.48719999999997</v>
      </c>
      <c r="J2605">
        <v>-351.10329999999999</v>
      </c>
      <c r="K2605">
        <v>1.1046929999999999</v>
      </c>
      <c r="L2605">
        <v>284.59039999999999</v>
      </c>
      <c r="M2605">
        <v>-0.99959920000000002</v>
      </c>
      <c r="N2605">
        <v>0</v>
      </c>
      <c r="O2605">
        <v>-2.443242E-2</v>
      </c>
      <c r="P2605">
        <v>-0.99819930000000001</v>
      </c>
      <c r="Q2605">
        <v>2.8771459999999999E-2</v>
      </c>
      <c r="R2605">
        <v>-5.2635260000000003E-2</v>
      </c>
      <c r="S2605">
        <v>-3.0271300000000001</v>
      </c>
      <c r="T2605">
        <v>-5.6751129999999997E-2</v>
      </c>
      <c r="U2605">
        <v>0.38165279999999902</v>
      </c>
      <c r="V2605">
        <v>-2.8228650000000001E-2</v>
      </c>
      <c r="W2605">
        <v>4.3067309999999998E-2</v>
      </c>
      <c r="X2605">
        <v>0.99867329999999999</v>
      </c>
      <c r="Y2605">
        <v>0.1492628</v>
      </c>
      <c r="Z2605">
        <v>1.8499039999999899E-3</v>
      </c>
      <c r="AA2605">
        <v>0.9887958</v>
      </c>
      <c r="AB2605">
        <v>36</v>
      </c>
      <c r="AC2605">
        <v>-54.423299999999898</v>
      </c>
      <c r="AD2605">
        <v>-1.0246928199999901</v>
      </c>
      <c r="AE2605">
        <v>6.8967999999999803</v>
      </c>
      <c r="AF2605">
        <v>8.2217011397116799</v>
      </c>
      <c r="AG2605">
        <v>-1.0246928199999901</v>
      </c>
      <c r="AH2605">
        <v>54.219610578292297</v>
      </c>
      <c r="AI2605">
        <v>91.070466046687699</v>
      </c>
      <c r="AJ2605">
        <v>81.3775250912676</v>
      </c>
      <c r="AK2605">
        <v>54.848997586717701</v>
      </c>
    </row>
    <row r="2606" spans="1:37" x14ac:dyDescent="0.2">
      <c r="A2606" t="str">
        <f>"20200111155548482"</f>
        <v>20200111155548482</v>
      </c>
      <c r="B2606" t="str">
        <f>"1578729348474761"</f>
        <v>1578729348474761</v>
      </c>
      <c r="C2606" t="s">
        <v>37</v>
      </c>
      <c r="D2606">
        <v>4.7622279999999897</v>
      </c>
      <c r="E2606">
        <v>0.56871629999999995</v>
      </c>
      <c r="F2606" t="s">
        <v>61</v>
      </c>
      <c r="G2606">
        <v>-403.22359999999998</v>
      </c>
      <c r="H2606">
        <v>7.9999849999999997E-2</v>
      </c>
      <c r="I2606">
        <v>291.1567</v>
      </c>
      <c r="J2606">
        <v>-351.33049999999997</v>
      </c>
      <c r="K2606">
        <v>1.1047</v>
      </c>
      <c r="L2606">
        <v>284.58479999999997</v>
      </c>
      <c r="M2606">
        <v>-0.9995984</v>
      </c>
      <c r="N2606">
        <v>0</v>
      </c>
      <c r="O2606">
        <v>-2.4431919999999999E-2</v>
      </c>
      <c r="P2606">
        <v>-0.99820409999999904</v>
      </c>
      <c r="Q2606">
        <v>2.8835599999999999E-2</v>
      </c>
      <c r="R2606">
        <v>-5.2510019999999998E-2</v>
      </c>
      <c r="S2606">
        <v>-3.0272220000000001</v>
      </c>
      <c r="T2606">
        <v>-5.9515599999999898E-2</v>
      </c>
      <c r="U2606">
        <v>0.3813782</v>
      </c>
      <c r="V2606">
        <v>-2.8103280000000001E-2</v>
      </c>
      <c r="W2606">
        <v>4.3168779999999997E-2</v>
      </c>
      <c r="X2606">
        <v>0.99867240000000002</v>
      </c>
      <c r="Y2606">
        <v>0.149167299999999</v>
      </c>
      <c r="Z2606">
        <v>1.9390079999999899E-3</v>
      </c>
      <c r="AA2606">
        <v>0.98881010000000003</v>
      </c>
      <c r="AB2606">
        <v>36</v>
      </c>
      <c r="AC2606">
        <v>-51.893099999999997</v>
      </c>
      <c r="AD2606">
        <v>-1.0247001499999999</v>
      </c>
      <c r="AE2606">
        <v>6.5719000000000198</v>
      </c>
      <c r="AF2606">
        <v>7.8349098537677904</v>
      </c>
      <c r="AG2606">
        <v>-1.0247001499999999</v>
      </c>
      <c r="AH2606">
        <v>51.697186308916102</v>
      </c>
      <c r="AI2606">
        <v>91.122705340948599</v>
      </c>
      <c r="AJ2606">
        <v>81.382181906512699</v>
      </c>
      <c r="AK2606">
        <v>52.297561081496497</v>
      </c>
    </row>
    <row r="2607" spans="1:37" x14ac:dyDescent="0.2">
      <c r="A2607" t="str">
        <f>"20200111155548495"</f>
        <v>20200111155548495</v>
      </c>
      <c r="B2607" t="str">
        <f>"1578729348484522"</f>
        <v>1578729348484522</v>
      </c>
      <c r="C2607" t="s">
        <v>37</v>
      </c>
      <c r="D2607">
        <v>4.7103060000000001</v>
      </c>
      <c r="E2607">
        <v>0.56872900000000004</v>
      </c>
      <c r="F2607" t="s">
        <v>61</v>
      </c>
      <c r="G2607">
        <v>-401.81990000000002</v>
      </c>
      <c r="H2607">
        <v>7.9999580000000001E-2</v>
      </c>
      <c r="I2607">
        <v>290.95479999999998</v>
      </c>
      <c r="J2607">
        <v>-351.54790000000003</v>
      </c>
      <c r="K2607">
        <v>1.1047119999999999</v>
      </c>
      <c r="L2607">
        <v>284.5795</v>
      </c>
      <c r="M2607">
        <v>-0.99959809999999905</v>
      </c>
      <c r="N2607">
        <v>0</v>
      </c>
      <c r="O2607">
        <v>-2.4431399999999999E-2</v>
      </c>
      <c r="P2607">
        <v>-0.99821159999999998</v>
      </c>
      <c r="Q2607">
        <v>2.88542E-2</v>
      </c>
      <c r="R2607">
        <v>-5.2355899999999997E-2</v>
      </c>
      <c r="S2607">
        <v>-3.0272220000000001</v>
      </c>
      <c r="T2607">
        <v>-6.1438560000000003E-2</v>
      </c>
      <c r="U2607">
        <v>0.38192749999999998</v>
      </c>
      <c r="V2607">
        <v>-2.7949410000000001E-2</v>
      </c>
      <c r="W2607">
        <v>4.3219760000000003E-2</v>
      </c>
      <c r="X2607">
        <v>0.99867459999999997</v>
      </c>
      <c r="Y2607">
        <v>0.14934129999999901</v>
      </c>
      <c r="Z2607">
        <v>2.0033709999999999E-3</v>
      </c>
      <c r="AA2607">
        <v>0.98878369999999904</v>
      </c>
      <c r="AB2607">
        <v>36</v>
      </c>
      <c r="AC2607">
        <v>-50.271999999999899</v>
      </c>
      <c r="AD2607">
        <v>-1.02471242</v>
      </c>
      <c r="AE2607">
        <v>6.3752999999999798</v>
      </c>
      <c r="AF2607">
        <v>7.5986318386720901</v>
      </c>
      <c r="AG2607">
        <v>-1.02471242</v>
      </c>
      <c r="AH2607">
        <v>50.080739257486897</v>
      </c>
      <c r="AI2607">
        <v>91.1589170067314</v>
      </c>
      <c r="AJ2607">
        <v>81.372451319435896</v>
      </c>
      <c r="AK2607">
        <v>50.664284125405104</v>
      </c>
    </row>
    <row r="2608" spans="1:37" x14ac:dyDescent="0.2">
      <c r="A2608" t="str">
        <f>"20200111155548509"</f>
        <v>20200111155548509</v>
      </c>
      <c r="B2608" t="str">
        <f>"1578729348505018"</f>
        <v>1578729348505018</v>
      </c>
      <c r="C2608" t="s">
        <v>37</v>
      </c>
      <c r="D2608">
        <v>4.7820130000000001</v>
      </c>
      <c r="E2608">
        <v>0.56859950000000004</v>
      </c>
      <c r="F2608" t="s">
        <v>61</v>
      </c>
      <c r="G2608">
        <v>-400.38929999999999</v>
      </c>
      <c r="H2608">
        <v>7.9999360000000005E-2</v>
      </c>
      <c r="I2608">
        <v>290.74579999999997</v>
      </c>
      <c r="J2608">
        <v>-351.77620000000002</v>
      </c>
      <c r="K2608">
        <v>1.1047180000000001</v>
      </c>
      <c r="L2608">
        <v>284.57389999999998</v>
      </c>
      <c r="M2608">
        <v>-0.99959769999999903</v>
      </c>
      <c r="N2608">
        <v>0</v>
      </c>
      <c r="O2608">
        <v>-2.4430739999999999E-2</v>
      </c>
      <c r="P2608">
        <v>-0.99821059999999995</v>
      </c>
      <c r="Q2608">
        <v>2.874326E-2</v>
      </c>
      <c r="R2608">
        <v>-5.2436089999999998E-2</v>
      </c>
      <c r="S2608">
        <v>-3.0272830000000002</v>
      </c>
      <c r="T2608">
        <v>-6.3513520000000004E-2</v>
      </c>
      <c r="U2608">
        <v>0.38220209999999999</v>
      </c>
      <c r="V2608">
        <v>-2.803046E-2</v>
      </c>
      <c r="W2608">
        <v>4.3139240000000002E-2</v>
      </c>
      <c r="X2608">
        <v>0.9986758</v>
      </c>
      <c r="Y2608">
        <v>0.149424</v>
      </c>
      <c r="Z2608">
        <v>2.0718139999999999E-3</v>
      </c>
      <c r="AA2608">
        <v>0.98877099999999996</v>
      </c>
      <c r="AB2608">
        <v>36</v>
      </c>
      <c r="AC2608">
        <v>-48.613099999999903</v>
      </c>
      <c r="AD2608">
        <v>-1.0247186399999999</v>
      </c>
      <c r="AE2608">
        <v>6.1718999999999902</v>
      </c>
      <c r="AF2608">
        <v>7.3546187329056201</v>
      </c>
      <c r="AG2608">
        <v>-1.0247186399999999</v>
      </c>
      <c r="AH2608">
        <v>48.426611533529403</v>
      </c>
      <c r="AI2608">
        <v>91.198472964890101</v>
      </c>
      <c r="AJ2608">
        <v>81.364397735663005</v>
      </c>
      <c r="AK2608">
        <v>48.9926236245512</v>
      </c>
    </row>
    <row r="2609" spans="1:37" x14ac:dyDescent="0.2">
      <c r="A2609" t="str">
        <f>"20200111155548522"</f>
        <v>20200111155548522</v>
      </c>
      <c r="B2609" t="str">
        <f>"1578729348514777"</f>
        <v>1578729348514777</v>
      </c>
      <c r="C2609" t="s">
        <v>37</v>
      </c>
      <c r="D2609">
        <v>4.7278219999999997</v>
      </c>
      <c r="E2609">
        <v>0.5686312</v>
      </c>
      <c r="F2609" t="s">
        <v>59</v>
      </c>
      <c r="G2609">
        <v>-398.45170000000002</v>
      </c>
      <c r="H2609">
        <v>8.0001030000000001E-2</v>
      </c>
      <c r="I2609">
        <v>290.4452</v>
      </c>
      <c r="J2609">
        <v>-351.98020000000002</v>
      </c>
      <c r="K2609">
        <v>1.104725</v>
      </c>
      <c r="L2609">
        <v>284.56889999999999</v>
      </c>
      <c r="M2609">
        <v>-0.99959739999999997</v>
      </c>
      <c r="N2609">
        <v>0</v>
      </c>
      <c r="O2609">
        <v>-2.4430420000000001E-2</v>
      </c>
      <c r="P2609">
        <v>-0.99822559999999905</v>
      </c>
      <c r="Q2609">
        <v>2.8529120000000002E-2</v>
      </c>
      <c r="R2609">
        <v>-5.226981E-2</v>
      </c>
      <c r="S2609">
        <v>-3.0272830000000002</v>
      </c>
      <c r="T2609">
        <v>-6.6461210000000007E-2</v>
      </c>
      <c r="U2609">
        <v>0.38079829999999998</v>
      </c>
      <c r="V2609">
        <v>-2.7863539999999999E-2</v>
      </c>
      <c r="W2609">
        <v>4.2950589999999997E-2</v>
      </c>
      <c r="X2609">
        <v>0.99868860000000004</v>
      </c>
      <c r="Y2609">
        <v>0.14896879999999901</v>
      </c>
      <c r="Z2609">
        <v>2.1630239999999999E-3</v>
      </c>
      <c r="AA2609">
        <v>0.98883949999999998</v>
      </c>
      <c r="AB2609">
        <v>36</v>
      </c>
      <c r="AC2609">
        <v>-46.471499999999899</v>
      </c>
      <c r="AD2609">
        <v>-1.0247239699999999</v>
      </c>
      <c r="AE2609">
        <v>5.8763000000000103</v>
      </c>
      <c r="AF2609">
        <v>7.00662900882726</v>
      </c>
      <c r="AG2609">
        <v>-1.0247239699999999</v>
      </c>
      <c r="AH2609">
        <v>46.291897261639903</v>
      </c>
      <c r="AI2609">
        <v>91.253824321848199</v>
      </c>
      <c r="AJ2609">
        <v>81.3931782437039</v>
      </c>
      <c r="AK2609">
        <v>46.830360465879998</v>
      </c>
    </row>
    <row r="2610" spans="1:37" x14ac:dyDescent="0.2">
      <c r="A2610" t="str">
        <f>"20200111155548536"</f>
        <v>20200111155548536</v>
      </c>
      <c r="B2610" t="str">
        <f>"1578729348524537"</f>
        <v>1578729348524537</v>
      </c>
      <c r="C2610" t="s">
        <v>37</v>
      </c>
      <c r="D2610">
        <v>4.6905669999999997</v>
      </c>
      <c r="E2610">
        <v>0.56870080000000001</v>
      </c>
      <c r="F2610" t="s">
        <v>59</v>
      </c>
      <c r="G2610">
        <v>-397.16370000000001</v>
      </c>
      <c r="H2610">
        <v>8.0000650000000006E-2</v>
      </c>
      <c r="I2610">
        <v>290.26299999999998</v>
      </c>
      <c r="J2610">
        <v>-352.1918</v>
      </c>
      <c r="K2610">
        <v>1.104735</v>
      </c>
      <c r="L2610">
        <v>284.56380000000001</v>
      </c>
      <c r="M2610">
        <v>-0.99959690000000001</v>
      </c>
      <c r="N2610">
        <v>0</v>
      </c>
      <c r="O2610">
        <v>-2.442973E-2</v>
      </c>
      <c r="P2610">
        <v>-0.99821939999999998</v>
      </c>
      <c r="Q2610">
        <v>2.8552480000000002E-2</v>
      </c>
      <c r="R2610">
        <v>-5.2371389999999997E-2</v>
      </c>
      <c r="S2610">
        <v>-3.0272830000000002</v>
      </c>
      <c r="T2610">
        <v>-6.8656330000000002E-2</v>
      </c>
      <c r="U2610">
        <v>0.38150020000000001</v>
      </c>
      <c r="V2610">
        <v>-2.7966350000000001E-2</v>
      </c>
      <c r="W2610">
        <v>4.2997760000000003E-2</v>
      </c>
      <c r="X2610">
        <v>0.99868369999999995</v>
      </c>
      <c r="Y2610">
        <v>0.14919099999999999</v>
      </c>
      <c r="Z2610">
        <v>2.2369099999999999E-3</v>
      </c>
      <c r="AA2610">
        <v>0.98880590000000002</v>
      </c>
      <c r="AB2610">
        <v>36</v>
      </c>
      <c r="AC2610">
        <v>-44.971899999999998</v>
      </c>
      <c r="AD2610">
        <v>-1.0247343499999999</v>
      </c>
      <c r="AE2610">
        <v>5.6991999999999603</v>
      </c>
      <c r="AF2610">
        <v>6.7927939246467597</v>
      </c>
      <c r="AG2610">
        <v>-1.0247343499999999</v>
      </c>
      <c r="AH2610">
        <v>44.796339902361801</v>
      </c>
      <c r="AI2610">
        <v>91.295629562195501</v>
      </c>
      <c r="AJ2610">
        <v>81.377513042592298</v>
      </c>
      <c r="AK2610">
        <v>45.3200198415526</v>
      </c>
    </row>
    <row r="2611" spans="1:37" x14ac:dyDescent="0.2">
      <c r="A2611" t="str">
        <f>"20200111155548549"</f>
        <v>20200111155548549</v>
      </c>
      <c r="B2611" t="str">
        <f>"1578729348545033"</f>
        <v>1578729348545033</v>
      </c>
      <c r="C2611" t="s">
        <v>37</v>
      </c>
      <c r="D2611">
        <v>4.7069010000000002</v>
      </c>
      <c r="E2611">
        <v>0.56886729999999996</v>
      </c>
      <c r="F2611" t="s">
        <v>59</v>
      </c>
      <c r="G2611">
        <v>-396.78179999999998</v>
      </c>
      <c r="H2611">
        <v>8.0000539999999995E-2</v>
      </c>
      <c r="I2611">
        <v>290.18650000000002</v>
      </c>
      <c r="J2611">
        <v>-352.41090000000003</v>
      </c>
      <c r="K2611">
        <v>1.104738</v>
      </c>
      <c r="L2611">
        <v>284.55840000000001</v>
      </c>
      <c r="M2611">
        <v>-0.99959679999999995</v>
      </c>
      <c r="N2611">
        <v>0</v>
      </c>
      <c r="O2611">
        <v>-2.44295E-2</v>
      </c>
      <c r="P2611">
        <v>-0.9982065</v>
      </c>
      <c r="Q2611">
        <v>2.8392190000000001E-2</v>
      </c>
      <c r="R2611">
        <v>-5.2707419999999998E-2</v>
      </c>
      <c r="S2611">
        <v>-3.0273439999999998</v>
      </c>
      <c r="T2611">
        <v>-6.9572209999999995E-2</v>
      </c>
      <c r="U2611">
        <v>0.38174439999999998</v>
      </c>
      <c r="V2611">
        <v>-2.830272E-2</v>
      </c>
      <c r="W2611">
        <v>4.2859599999999998E-2</v>
      </c>
      <c r="X2611">
        <v>0.99868009999999996</v>
      </c>
      <c r="Y2611">
        <v>0.1492656</v>
      </c>
      <c r="Z2611">
        <v>2.2675350000000002E-3</v>
      </c>
      <c r="AA2611">
        <v>0.98879450000000002</v>
      </c>
      <c r="AB2611">
        <v>36</v>
      </c>
      <c r="AC2611">
        <v>-44.370899999999899</v>
      </c>
      <c r="AD2611">
        <v>-1.0247374600000001</v>
      </c>
      <c r="AE2611">
        <v>5.6281000000000097</v>
      </c>
      <c r="AF2611">
        <v>6.7069717456879596</v>
      </c>
      <c r="AG2611">
        <v>-1.0247374600000001</v>
      </c>
      <c r="AH2611">
        <v>44.196948822194997</v>
      </c>
      <c r="AI2611">
        <v>91.313176209912797</v>
      </c>
      <c r="AJ2611">
        <v>81.371091007889504</v>
      </c>
      <c r="AK2611">
        <v>44.714693804733898</v>
      </c>
    </row>
    <row r="2612" spans="1:37" x14ac:dyDescent="0.2">
      <c r="A2612" t="str">
        <f>"20200111155548563"</f>
        <v>20200111155548563</v>
      </c>
      <c r="B2612" t="str">
        <f>"1578729348554795"</f>
        <v>1578729348554795</v>
      </c>
      <c r="C2612" t="s">
        <v>37</v>
      </c>
      <c r="D2612">
        <v>4.7031999999999998</v>
      </c>
      <c r="E2612">
        <v>0.56889480000000003</v>
      </c>
      <c r="F2612" t="s">
        <v>59</v>
      </c>
      <c r="G2612">
        <v>-395.9624</v>
      </c>
      <c r="H2612">
        <v>8.0000299999999996E-2</v>
      </c>
      <c r="I2612">
        <v>290.05189999999999</v>
      </c>
      <c r="J2612">
        <v>-352.62619999999998</v>
      </c>
      <c r="K2612">
        <v>1.104743</v>
      </c>
      <c r="L2612">
        <v>284.55309999999997</v>
      </c>
      <c r="M2612">
        <v>-0.9995965</v>
      </c>
      <c r="N2612">
        <v>0</v>
      </c>
      <c r="O2612">
        <v>-2.4429269999999999E-2</v>
      </c>
      <c r="P2612">
        <v>-0.99820049999999905</v>
      </c>
      <c r="Q2612">
        <v>2.8342059999999999E-2</v>
      </c>
      <c r="R2612">
        <v>-5.2848100000000002E-2</v>
      </c>
      <c r="S2612">
        <v>-3.0275880000000002</v>
      </c>
      <c r="T2612">
        <v>-7.1237209999999995E-2</v>
      </c>
      <c r="U2612">
        <v>0.38189699999999999</v>
      </c>
      <c r="V2612">
        <v>-2.8443710000000001E-2</v>
      </c>
      <c r="W2612">
        <v>4.2829109999999997E-2</v>
      </c>
      <c r="X2612">
        <v>0.99867739999999905</v>
      </c>
      <c r="Y2612">
        <v>0.1493024</v>
      </c>
      <c r="Z2612">
        <v>2.3220200000000002E-3</v>
      </c>
      <c r="AA2612">
        <v>0.98878880000000002</v>
      </c>
      <c r="AB2612">
        <v>36</v>
      </c>
      <c r="AC2612">
        <v>-43.336199999999998</v>
      </c>
      <c r="AD2612">
        <v>-1.0247427</v>
      </c>
      <c r="AE2612">
        <v>5.4988000000000099</v>
      </c>
      <c r="AF2612">
        <v>6.55233584868422</v>
      </c>
      <c r="AG2612">
        <v>-1.0247427</v>
      </c>
      <c r="AH2612">
        <v>43.165164935471097</v>
      </c>
      <c r="AI2612">
        <v>91.344551798439596</v>
      </c>
      <c r="AJ2612">
        <v>81.368574834688701</v>
      </c>
      <c r="AK2612">
        <v>43.671668923703599</v>
      </c>
    </row>
    <row r="2613" spans="1:37" x14ac:dyDescent="0.2">
      <c r="A2613" t="str">
        <f>"20200111155548577"</f>
        <v>20200111155548577</v>
      </c>
      <c r="B2613" t="str">
        <f>"1578729348564553"</f>
        <v>1578729348564553</v>
      </c>
      <c r="C2613" t="s">
        <v>37</v>
      </c>
      <c r="D2613">
        <v>4.684056</v>
      </c>
      <c r="E2613">
        <v>0.56893070000000001</v>
      </c>
      <c r="F2613" t="s">
        <v>59</v>
      </c>
      <c r="G2613">
        <v>-395.26609999999999</v>
      </c>
      <c r="H2613">
        <v>8.0000100000000005E-2</v>
      </c>
      <c r="I2613">
        <v>289.92759999999998</v>
      </c>
      <c r="J2613">
        <v>-352.8433</v>
      </c>
      <c r="K2613">
        <v>1.104749</v>
      </c>
      <c r="L2613">
        <v>284.5478</v>
      </c>
      <c r="M2613">
        <v>-0.99959619999999905</v>
      </c>
      <c r="N2613">
        <v>0</v>
      </c>
      <c r="O2613">
        <v>-2.4429019999999999E-2</v>
      </c>
      <c r="P2613">
        <v>-0.99818999999999902</v>
      </c>
      <c r="Q2613">
        <v>2.8399379999999998E-2</v>
      </c>
      <c r="R2613">
        <v>-5.3013810000000001E-2</v>
      </c>
      <c r="S2613">
        <v>-3.0277099999999999</v>
      </c>
      <c r="T2613">
        <v>-7.2763439999999999E-2</v>
      </c>
      <c r="U2613">
        <v>0.38162229999999903</v>
      </c>
      <c r="V2613">
        <v>-2.860934E-2</v>
      </c>
      <c r="W2613">
        <v>4.2904860000000003E-2</v>
      </c>
      <c r="X2613">
        <v>0.99866939999999904</v>
      </c>
      <c r="Y2613">
        <v>0.1492069</v>
      </c>
      <c r="Z2613">
        <v>2.3705240000000002E-3</v>
      </c>
      <c r="AA2613">
        <v>0.98880309999999905</v>
      </c>
      <c r="AB2613">
        <v>36</v>
      </c>
      <c r="AC2613">
        <v>-42.422800000000002</v>
      </c>
      <c r="AD2613">
        <v>-1.0247489000000001</v>
      </c>
      <c r="AE2613">
        <v>5.3797999999999799</v>
      </c>
      <c r="AF2613">
        <v>6.41096920189662</v>
      </c>
      <c r="AG2613">
        <v>-1.0247489000000001</v>
      </c>
      <c r="AH2613">
        <v>42.254434901878298</v>
      </c>
      <c r="AI2613">
        <v>91.373543931272295</v>
      </c>
      <c r="AJ2613">
        <v>81.372711150427904</v>
      </c>
      <c r="AK2613">
        <v>42.750297136894702</v>
      </c>
    </row>
    <row r="2614" spans="1:37" x14ac:dyDescent="0.2">
      <c r="A2614" t="str">
        <f>"20200111155548589"</f>
        <v>20200111155548589</v>
      </c>
      <c r="B2614" t="str">
        <f>"1578729348585050"</f>
        <v>1578729348585050</v>
      </c>
      <c r="C2614" t="s">
        <v>37</v>
      </c>
      <c r="D2614">
        <v>4.696796</v>
      </c>
      <c r="E2614">
        <v>0.56902989999999998</v>
      </c>
      <c r="F2614" t="s">
        <v>59</v>
      </c>
      <c r="G2614">
        <v>-394.94450000000001</v>
      </c>
      <c r="H2614">
        <v>8.0001470000000005E-2</v>
      </c>
      <c r="I2614">
        <v>289.85169999999999</v>
      </c>
      <c r="J2614">
        <v>-353.04849999999999</v>
      </c>
      <c r="K2614">
        <v>1.1047530000000001</v>
      </c>
      <c r="L2614">
        <v>284.5428</v>
      </c>
      <c r="M2614">
        <v>-0.99959589999999998</v>
      </c>
      <c r="N2614">
        <v>0</v>
      </c>
      <c r="O2614">
        <v>-2.4428999999999999E-2</v>
      </c>
      <c r="P2614">
        <v>-0.99817929999999999</v>
      </c>
      <c r="Q2614">
        <v>2.8212330000000001E-2</v>
      </c>
      <c r="R2614">
        <v>-5.33169E-2</v>
      </c>
      <c r="S2614">
        <v>-3.0278019999999999</v>
      </c>
      <c r="T2614">
        <v>-7.3696849999999994E-2</v>
      </c>
      <c r="U2614">
        <v>0.38143919999999998</v>
      </c>
      <c r="V2614">
        <v>-2.891289E-2</v>
      </c>
      <c r="W2614">
        <v>4.2732880000000001E-2</v>
      </c>
      <c r="X2614">
        <v>0.99866809999999995</v>
      </c>
      <c r="Y2614">
        <v>0.149143</v>
      </c>
      <c r="Z2614">
        <v>2.4000860000000001E-3</v>
      </c>
      <c r="AA2614">
        <v>0.98881269999999999</v>
      </c>
      <c r="AB2614">
        <v>36</v>
      </c>
      <c r="AC2614">
        <v>-41.896000000000001</v>
      </c>
      <c r="AD2614">
        <v>-1.0247515300000001</v>
      </c>
      <c r="AE2614">
        <v>5.3088999999999897</v>
      </c>
      <c r="AF2614">
        <v>6.3271753342841999</v>
      </c>
      <c r="AG2614">
        <v>-1.0247515300000001</v>
      </c>
      <c r="AH2614">
        <v>41.729218895136697</v>
      </c>
      <c r="AI2614">
        <v>91.390848856858895</v>
      </c>
      <c r="AJ2614">
        <v>81.378222768130499</v>
      </c>
      <c r="AK2614">
        <v>42.218609321094902</v>
      </c>
    </row>
    <row r="2615" spans="1:37" x14ac:dyDescent="0.2">
      <c r="A2615" t="str">
        <f>"20200111155548602"</f>
        <v>20200111155548602</v>
      </c>
      <c r="B2615" t="str">
        <f>"1578729348594810"</f>
        <v>1578729348594810</v>
      </c>
      <c r="C2615" t="s">
        <v>37</v>
      </c>
      <c r="D2615">
        <v>4.595256</v>
      </c>
      <c r="E2615">
        <v>0.56905899999999998</v>
      </c>
      <c r="F2615" t="s">
        <v>59</v>
      </c>
      <c r="G2615">
        <v>-393.8648</v>
      </c>
      <c r="H2615">
        <v>8.0001149999999993E-2</v>
      </c>
      <c r="I2615">
        <v>289.68079999999998</v>
      </c>
      <c r="J2615">
        <v>-353.25060000000002</v>
      </c>
      <c r="K2615">
        <v>1.104759</v>
      </c>
      <c r="L2615">
        <v>284.53789999999998</v>
      </c>
      <c r="M2615">
        <v>-0.99959580000000003</v>
      </c>
      <c r="N2615">
        <v>0</v>
      </c>
      <c r="O2615">
        <v>-2.4429090000000001E-2</v>
      </c>
      <c r="P2615">
        <v>-0.99816800000000006</v>
      </c>
      <c r="Q2615">
        <v>2.814844E-2</v>
      </c>
      <c r="R2615">
        <v>-5.3557979999999998E-2</v>
      </c>
      <c r="S2615">
        <v>-3.0279849999999899</v>
      </c>
      <c r="T2615">
        <v>-7.6022030000000004E-2</v>
      </c>
      <c r="U2615">
        <v>0.38116459999999902</v>
      </c>
      <c r="V2615">
        <v>-2.9153910000000002E-2</v>
      </c>
      <c r="W2615">
        <v>4.2682850000000001E-2</v>
      </c>
      <c r="X2615">
        <v>0.99866319999999997</v>
      </c>
      <c r="Y2615">
        <v>0.14904419999999999</v>
      </c>
      <c r="Z2615">
        <v>2.4744189999999998E-3</v>
      </c>
      <c r="AA2615">
        <v>0.98882749999999997</v>
      </c>
      <c r="AB2615">
        <v>36</v>
      </c>
      <c r="AC2615">
        <v>-40.614199999999897</v>
      </c>
      <c r="AD2615">
        <v>-1.0247578500000001</v>
      </c>
      <c r="AE2615">
        <v>5.1428999999999903</v>
      </c>
      <c r="AF2615">
        <v>6.1297968963511398</v>
      </c>
      <c r="AG2615">
        <v>-1.0247578500000001</v>
      </c>
      <c r="AH2615">
        <v>40.451081160899001</v>
      </c>
      <c r="AI2615">
        <v>91.434805248680803</v>
      </c>
      <c r="AJ2615">
        <v>81.383181518926307</v>
      </c>
      <c r="AK2615">
        <v>40.9257193672548</v>
      </c>
    </row>
    <row r="2616" spans="1:37" x14ac:dyDescent="0.2">
      <c r="A2616" t="str">
        <f>"20200111155548616"</f>
        <v>20200111155548616</v>
      </c>
      <c r="B2616" t="str">
        <f>"1578729348604570"</f>
        <v>1578729348604570</v>
      </c>
      <c r="C2616" t="s">
        <v>37</v>
      </c>
      <c r="D2616">
        <v>4.6550500000000001</v>
      </c>
      <c r="E2616">
        <v>0.56912510000000005</v>
      </c>
      <c r="F2616" t="s">
        <v>59</v>
      </c>
      <c r="G2616">
        <v>-393.82209999999998</v>
      </c>
      <c r="H2616">
        <v>7.1544650000000001E-2</v>
      </c>
      <c r="I2616">
        <v>289.6379</v>
      </c>
      <c r="J2616">
        <v>-353.47239999999999</v>
      </c>
      <c r="K2616">
        <v>1.104765</v>
      </c>
      <c r="L2616">
        <v>284.53250000000003</v>
      </c>
      <c r="M2616">
        <v>-0.99959549999999997</v>
      </c>
      <c r="N2616">
        <v>0</v>
      </c>
      <c r="O2616">
        <v>-2.4429180000000002E-2</v>
      </c>
      <c r="P2616">
        <v>-0.99813539999999901</v>
      </c>
      <c r="Q2616">
        <v>2.8495960000000001E-2</v>
      </c>
      <c r="R2616">
        <v>-5.397967E-2</v>
      </c>
      <c r="S2616">
        <v>-3.0281069999999999</v>
      </c>
      <c r="T2616">
        <v>-7.7115299999999998E-2</v>
      </c>
      <c r="U2616">
        <v>0.38064579999999998</v>
      </c>
      <c r="V2616">
        <v>-2.9575839999999999E-2</v>
      </c>
      <c r="W2616">
        <v>4.3043489999999997E-2</v>
      </c>
      <c r="X2616">
        <v>0.99863539999999995</v>
      </c>
      <c r="Y2616">
        <v>0.14887110000000001</v>
      </c>
      <c r="Z2616">
        <v>2.5077250000000001E-3</v>
      </c>
      <c r="AA2616">
        <v>0.98885349999999905</v>
      </c>
      <c r="AB2616">
        <v>36</v>
      </c>
      <c r="AC2616">
        <v>-40.349699999999899</v>
      </c>
      <c r="AD2616">
        <v>-1.0332203499999999</v>
      </c>
      <c r="AE2616">
        <v>5.1053999999999702</v>
      </c>
      <c r="AF2616">
        <v>6.0857630909622804</v>
      </c>
      <c r="AG2616">
        <v>-1.0332203499999999</v>
      </c>
      <c r="AH2616">
        <v>40.186986243899497</v>
      </c>
      <c r="AI2616">
        <v>91.456173249041896</v>
      </c>
      <c r="AJ2616">
        <v>81.3887758840186</v>
      </c>
      <c r="AK2616">
        <v>40.658306901030002</v>
      </c>
    </row>
    <row r="2617" spans="1:37" x14ac:dyDescent="0.2">
      <c r="A2617" t="str">
        <f>"20200111155548629"</f>
        <v>20200111155548629</v>
      </c>
      <c r="B2617" t="str">
        <f>"1578729348625066"</f>
        <v>1578729348625066</v>
      </c>
      <c r="C2617" t="s">
        <v>37</v>
      </c>
      <c r="D2617">
        <v>4.5276579999999997</v>
      </c>
      <c r="E2617">
        <v>0.56930619999999998</v>
      </c>
      <c r="F2617" t="s">
        <v>59</v>
      </c>
      <c r="G2617">
        <v>-394.19349999999997</v>
      </c>
      <c r="H2617">
        <v>7.4383050000000006E-2</v>
      </c>
      <c r="I2617">
        <v>289.64069999999998</v>
      </c>
      <c r="J2617">
        <v>-353.68430000000001</v>
      </c>
      <c r="K2617">
        <v>1.1047659999999999</v>
      </c>
      <c r="L2617">
        <v>284.52730000000003</v>
      </c>
      <c r="M2617">
        <v>-0.99959549999999997</v>
      </c>
      <c r="N2617">
        <v>0</v>
      </c>
      <c r="O2617">
        <v>-2.442925E-2</v>
      </c>
      <c r="P2617">
        <v>-0.99812350000000005</v>
      </c>
      <c r="Q2617">
        <v>2.866231E-2</v>
      </c>
      <c r="R2617">
        <v>-5.4116320000000002E-2</v>
      </c>
      <c r="S2617">
        <v>-3.0282900000000001</v>
      </c>
      <c r="T2617">
        <v>-7.6625940000000003E-2</v>
      </c>
      <c r="U2617">
        <v>0.37988280000000002</v>
      </c>
      <c r="V2617">
        <v>-2.971275E-2</v>
      </c>
      <c r="W2617">
        <v>4.3221179999999998E-2</v>
      </c>
      <c r="X2617">
        <v>0.99862359999999994</v>
      </c>
      <c r="Y2617">
        <v>0.14861930000000001</v>
      </c>
      <c r="Z2617">
        <v>2.488536E-3</v>
      </c>
      <c r="AA2617">
        <v>0.98889139999999998</v>
      </c>
      <c r="AB2617">
        <v>36</v>
      </c>
      <c r="AC2617">
        <v>-40.5091999999999</v>
      </c>
      <c r="AD2617">
        <v>-1.0303829499999999</v>
      </c>
      <c r="AE2617">
        <v>5.1133999999999498</v>
      </c>
      <c r="AF2617">
        <v>6.0977047413498902</v>
      </c>
      <c r="AG2617">
        <v>-1.0303829499999999</v>
      </c>
      <c r="AH2617">
        <v>40.346484229370901</v>
      </c>
      <c r="AI2617">
        <v>91.446502480205893</v>
      </c>
      <c r="AJ2617">
        <v>81.405730191017</v>
      </c>
      <c r="AK2617">
        <v>40.8176736452141</v>
      </c>
    </row>
    <row r="2618" spans="1:37" x14ac:dyDescent="0.2">
      <c r="A2618" t="str">
        <f>"20200111155548642"</f>
        <v>20200111155548642</v>
      </c>
      <c r="B2618" t="str">
        <f>"1578729348634826"</f>
        <v>1578729348634826</v>
      </c>
      <c r="C2618" t="s">
        <v>37</v>
      </c>
      <c r="D2618">
        <v>4.6710769999999897</v>
      </c>
      <c r="E2618">
        <v>0.56941649999999999</v>
      </c>
      <c r="F2618" t="s">
        <v>59</v>
      </c>
      <c r="G2618">
        <v>-396.27719999999999</v>
      </c>
      <c r="H2618">
        <v>8.0000390000000005E-2</v>
      </c>
      <c r="I2618">
        <v>289.88729999999998</v>
      </c>
      <c r="J2618">
        <v>-353.8888</v>
      </c>
      <c r="K2618">
        <v>1.1047689999999999</v>
      </c>
      <c r="L2618">
        <v>284.52229999999997</v>
      </c>
      <c r="M2618">
        <v>-0.99959519999999902</v>
      </c>
      <c r="N2618">
        <v>0</v>
      </c>
      <c r="O2618">
        <v>-2.4429079999999999E-2</v>
      </c>
      <c r="P2618">
        <v>-0.99811479999999997</v>
      </c>
      <c r="Q2618">
        <v>2.8480760000000001E-2</v>
      </c>
      <c r="R2618">
        <v>-5.4366650000000002E-2</v>
      </c>
      <c r="S2618">
        <v>-3.0284119999999999</v>
      </c>
      <c r="T2618">
        <v>-7.2862270000000007E-2</v>
      </c>
      <c r="U2618">
        <v>0.38110349999999998</v>
      </c>
      <c r="V2618">
        <v>-2.9963440000000001E-2</v>
      </c>
      <c r="W2618">
        <v>4.3050159999999997E-2</v>
      </c>
      <c r="X2618">
        <v>0.9986235</v>
      </c>
      <c r="Y2618">
        <v>0.1490117</v>
      </c>
      <c r="Z2618">
        <v>2.3708850000000001E-3</v>
      </c>
      <c r="AA2618">
        <v>0.98883259999999995</v>
      </c>
      <c r="AB2618">
        <v>36</v>
      </c>
      <c r="AC2618">
        <v>-42.388399999999898</v>
      </c>
      <c r="AD2618">
        <v>-1.02476861</v>
      </c>
      <c r="AE2618">
        <v>5.3650000000000002</v>
      </c>
      <c r="AF2618">
        <v>6.3953393840480004</v>
      </c>
      <c r="AG2618">
        <v>-1.02476861</v>
      </c>
      <c r="AH2618">
        <v>42.220383977635599</v>
      </c>
      <c r="AI2618">
        <v>91.374728174570393</v>
      </c>
      <c r="AJ2618">
        <v>81.386591797974702</v>
      </c>
      <c r="AK2618">
        <v>42.7142990081798</v>
      </c>
    </row>
    <row r="2619" spans="1:37" x14ac:dyDescent="0.2">
      <c r="A2619" t="str">
        <f>"20200111155548662"</f>
        <v>20200111155548662</v>
      </c>
      <c r="B2619" t="str">
        <f>"1578729348655338"</f>
        <v>1578729348655338</v>
      </c>
      <c r="C2619" t="s">
        <v>37</v>
      </c>
      <c r="D2619">
        <v>4.6167109999999996</v>
      </c>
      <c r="E2619">
        <v>0.56971369999999999</v>
      </c>
      <c r="F2619" t="s">
        <v>59</v>
      </c>
      <c r="G2619">
        <v>-395.74279999999999</v>
      </c>
      <c r="H2619">
        <v>8.000024E-2</v>
      </c>
      <c r="I2619">
        <v>289.78870000000001</v>
      </c>
      <c r="J2619">
        <v>-354.19009999999997</v>
      </c>
      <c r="K2619">
        <v>1.104773</v>
      </c>
      <c r="L2619">
        <v>284.51490000000001</v>
      </c>
      <c r="M2619">
        <v>-0.99959500000000001</v>
      </c>
      <c r="N2619">
        <v>0</v>
      </c>
      <c r="O2619">
        <v>-2.4429409999999999E-2</v>
      </c>
      <c r="P2619">
        <v>-0.99811559999999899</v>
      </c>
      <c r="Q2619">
        <v>2.842366E-2</v>
      </c>
      <c r="R2619">
        <v>-5.4381180000000001E-2</v>
      </c>
      <c r="S2619">
        <v>-3.0285340000000001</v>
      </c>
      <c r="T2619">
        <v>-7.4151750000000002E-2</v>
      </c>
      <c r="U2619">
        <v>0.381073</v>
      </c>
      <c r="V2619">
        <v>-2.997731E-2</v>
      </c>
      <c r="W2619">
        <v>4.300586E-2</v>
      </c>
      <c r="X2619">
        <v>0.99862499999999998</v>
      </c>
      <c r="Y2619">
        <v>0.1489955</v>
      </c>
      <c r="Z2619">
        <v>2.4125470000000001E-3</v>
      </c>
      <c r="AA2619">
        <v>0.98883489999999996</v>
      </c>
      <c r="AB2619">
        <v>36</v>
      </c>
      <c r="AC2619">
        <v>-41.552700000000002</v>
      </c>
      <c r="AD2619">
        <v>-1.0247727600000001</v>
      </c>
      <c r="AE2619">
        <v>5.2737999999999898</v>
      </c>
      <c r="AF2619">
        <v>6.2836805920127201</v>
      </c>
      <c r="AG2619">
        <v>-1.0247727600000001</v>
      </c>
      <c r="AH2619">
        <v>41.386673794993698</v>
      </c>
      <c r="AI2619">
        <v>91.402342543685407</v>
      </c>
      <c r="AJ2619">
        <v>81.366796593488104</v>
      </c>
      <c r="AK2619">
        <v>41.873518705803697</v>
      </c>
    </row>
    <row r="2620" spans="1:37" x14ac:dyDescent="0.2">
      <c r="A2620" t="str">
        <f>"20200111155548673"</f>
        <v>20200111155548673</v>
      </c>
      <c r="B2620" t="str">
        <f>"1578729348665081"</f>
        <v>1578729348665081</v>
      </c>
      <c r="C2620" t="s">
        <v>37</v>
      </c>
      <c r="D2620">
        <v>4.7044290000000002</v>
      </c>
      <c r="E2620">
        <v>0.56976539999999998</v>
      </c>
      <c r="F2620" t="s">
        <v>59</v>
      </c>
      <c r="G2620">
        <v>-395.47500000000002</v>
      </c>
      <c r="H2620">
        <v>8.0000150000000006E-2</v>
      </c>
      <c r="I2620">
        <v>289.7439</v>
      </c>
      <c r="J2620">
        <v>-354.392</v>
      </c>
      <c r="K2620">
        <v>1.104776</v>
      </c>
      <c r="L2620">
        <v>284.51</v>
      </c>
      <c r="M2620">
        <v>-0.99959489999999995</v>
      </c>
      <c r="N2620">
        <v>0</v>
      </c>
      <c r="O2620">
        <v>-2.442946E-2</v>
      </c>
      <c r="P2620">
        <v>-0.99811510000000003</v>
      </c>
      <c r="Q2620">
        <v>2.8579810000000001E-2</v>
      </c>
      <c r="R2620">
        <v>-5.4308889999999999E-2</v>
      </c>
      <c r="S2620">
        <v>-3.0286869999999899</v>
      </c>
      <c r="T2620">
        <v>-7.5178030000000007E-2</v>
      </c>
      <c r="U2620">
        <v>0.383606</v>
      </c>
      <c r="V2620">
        <v>-2.9905190000000002E-2</v>
      </c>
      <c r="W2620">
        <v>4.3169730000000003E-2</v>
      </c>
      <c r="X2620">
        <v>0.99862009999999901</v>
      </c>
      <c r="Y2620">
        <v>0.14980170000000001</v>
      </c>
      <c r="Z2620">
        <v>2.4556449999999998E-3</v>
      </c>
      <c r="AA2620">
        <v>0.98871299999999995</v>
      </c>
      <c r="AB2620">
        <v>36</v>
      </c>
      <c r="AC2620">
        <v>-41.082999999999998</v>
      </c>
      <c r="AD2620">
        <v>-1.0247758499999999</v>
      </c>
      <c r="AE2620">
        <v>5.2339000000000002</v>
      </c>
      <c r="AF2620">
        <v>6.2322643564715801</v>
      </c>
      <c r="AG2620">
        <v>-1.0247758499999999</v>
      </c>
      <c r="AH2620">
        <v>40.917808781620799</v>
      </c>
      <c r="AI2620">
        <v>91.418307497068</v>
      </c>
      <c r="AJ2620">
        <v>81.339737861319605</v>
      </c>
      <c r="AK2620">
        <v>41.402395583359301</v>
      </c>
    </row>
    <row r="2621" spans="1:37" x14ac:dyDescent="0.2">
      <c r="A2621" t="str">
        <f>"20200111155548700"</f>
        <v>20200111155548700</v>
      </c>
      <c r="B2621" t="str">
        <f>"1578729348695337"</f>
        <v>1578729348695337</v>
      </c>
      <c r="C2621" t="s">
        <v>37</v>
      </c>
      <c r="D2621">
        <v>4.6850189999999996</v>
      </c>
      <c r="E2621">
        <v>0.57018369999999996</v>
      </c>
      <c r="F2621" t="s">
        <v>59</v>
      </c>
      <c r="G2621">
        <v>-395.99549999999999</v>
      </c>
      <c r="H2621">
        <v>8.0000310000000005E-2</v>
      </c>
      <c r="I2621">
        <v>289.78609999999998</v>
      </c>
      <c r="J2621">
        <v>-354.80419999999998</v>
      </c>
      <c r="K2621">
        <v>1.104789</v>
      </c>
      <c r="L2621">
        <v>284.49990000000003</v>
      </c>
      <c r="M2621">
        <v>-0.99959489999999995</v>
      </c>
      <c r="N2621">
        <v>0</v>
      </c>
      <c r="O2621">
        <v>-2.4429670000000001E-2</v>
      </c>
      <c r="P2621">
        <v>-0.99811909999999904</v>
      </c>
      <c r="Q2621">
        <v>2.882119E-2</v>
      </c>
      <c r="R2621">
        <v>-5.4111319999999997E-2</v>
      </c>
      <c r="S2621">
        <v>-3.0286559999999998</v>
      </c>
      <c r="T2621">
        <v>-7.4601769999999998E-2</v>
      </c>
      <c r="U2621">
        <v>0.3840942</v>
      </c>
      <c r="V2621">
        <v>-2.9707250000000001E-2</v>
      </c>
      <c r="W2621">
        <v>4.3424600000000001E-2</v>
      </c>
      <c r="X2621">
        <v>0.99861489999999997</v>
      </c>
      <c r="Y2621">
        <v>0.14996080000000001</v>
      </c>
      <c r="Z2621">
        <v>2.4387839999999998E-3</v>
      </c>
      <c r="AA2621">
        <v>0.98868889999999998</v>
      </c>
      <c r="AB2621">
        <v>35</v>
      </c>
      <c r="AC2621">
        <v>-41.191299999999998</v>
      </c>
      <c r="AD2621">
        <v>-1.0247886900000001</v>
      </c>
      <c r="AE2621">
        <v>5.2861999999999503</v>
      </c>
      <c r="AF2621">
        <v>6.2871907461838799</v>
      </c>
      <c r="AG2621">
        <v>-1.0247886900000001</v>
      </c>
      <c r="AH2621">
        <v>41.024868943589297</v>
      </c>
      <c r="AI2621">
        <v>91.414426723371193</v>
      </c>
      <c r="AJ2621">
        <v>81.2870312424741</v>
      </c>
      <c r="AK2621">
        <v>41.516488666272501</v>
      </c>
    </row>
    <row r="2622" spans="1:37" x14ac:dyDescent="0.2">
      <c r="A2622" t="str">
        <f>"20200111155548783"</f>
        <v>20200111155548783</v>
      </c>
      <c r="B2622" t="str">
        <f>"1578729348774902"</f>
        <v>1578729348774902</v>
      </c>
      <c r="C2622" t="s">
        <v>37</v>
      </c>
      <c r="D2622">
        <v>4.6534899999999997</v>
      </c>
      <c r="E2622">
        <v>0.57039390000000001</v>
      </c>
      <c r="F2622" t="s">
        <v>59</v>
      </c>
      <c r="G2622">
        <v>-397.5421</v>
      </c>
      <c r="H2622">
        <v>8.0000769999999999E-2</v>
      </c>
      <c r="I2622">
        <v>289.976</v>
      </c>
      <c r="J2622">
        <v>-356.12060000000002</v>
      </c>
      <c r="K2622">
        <v>1.104805</v>
      </c>
      <c r="L2622">
        <v>284.46769999999998</v>
      </c>
      <c r="M2622">
        <v>-0.99959439999999999</v>
      </c>
      <c r="N2622">
        <v>0</v>
      </c>
      <c r="O2622">
        <v>-2.4430199999999999E-2</v>
      </c>
      <c r="P2622">
        <v>-0.99818510000000005</v>
      </c>
      <c r="Q2622">
        <v>2.7841100000000001E-2</v>
      </c>
      <c r="R2622">
        <v>-5.3402869999999998E-2</v>
      </c>
      <c r="S2622">
        <v>-3.0288089999999999</v>
      </c>
      <c r="T2622">
        <v>-7.2625990000000001E-2</v>
      </c>
      <c r="U2622">
        <v>0.38809199999999999</v>
      </c>
      <c r="V2622">
        <v>-2.8996549999999999E-2</v>
      </c>
      <c r="W2622">
        <v>4.2470859999999999E-2</v>
      </c>
      <c r="X2622">
        <v>0.99867680000000003</v>
      </c>
      <c r="Y2622">
        <v>0.1512415</v>
      </c>
      <c r="Z2622">
        <v>2.389202E-3</v>
      </c>
      <c r="AA2622">
        <v>0.98849399999999998</v>
      </c>
      <c r="AB2622">
        <v>35</v>
      </c>
      <c r="AC2622">
        <v>-41.421499999999902</v>
      </c>
      <c r="AD2622">
        <v>-1.02480423</v>
      </c>
      <c r="AE2622">
        <v>5.50830000000001</v>
      </c>
      <c r="AF2622">
        <v>6.5147810812994198</v>
      </c>
      <c r="AG2622">
        <v>-1.02480423</v>
      </c>
      <c r="AH2622">
        <v>41.249740662367998</v>
      </c>
      <c r="AI2622">
        <v>91.405740652526504</v>
      </c>
      <c r="AJ2622">
        <v>81.0251181457499</v>
      </c>
      <c r="AK2622">
        <v>41.773600526644799</v>
      </c>
    </row>
    <row r="2623" spans="1:37" x14ac:dyDescent="0.2">
      <c r="A2623" t="str">
        <f>"20200111155548797"</f>
        <v>20200111155548797</v>
      </c>
      <c r="B2623" t="str">
        <f>"1578729348784663"</f>
        <v>1578729348784663</v>
      </c>
      <c r="C2623" t="s">
        <v>37</v>
      </c>
      <c r="D2623">
        <v>4.6753479999999996</v>
      </c>
      <c r="E2623">
        <v>0.57062409999999997</v>
      </c>
      <c r="F2623" t="s">
        <v>59</v>
      </c>
      <c r="G2623">
        <v>-397.02339999999998</v>
      </c>
      <c r="H2623">
        <v>8.0000619999999995E-2</v>
      </c>
      <c r="I2623">
        <v>289.76119999999997</v>
      </c>
      <c r="J2623">
        <v>-356.33390000000003</v>
      </c>
      <c r="K2623">
        <v>1.1048129999999901</v>
      </c>
      <c r="L2623">
        <v>284.46249999999998</v>
      </c>
      <c r="M2623">
        <v>-0.99959430000000005</v>
      </c>
      <c r="N2623">
        <v>0</v>
      </c>
      <c r="O2623">
        <v>-2.4430219999999999E-2</v>
      </c>
      <c r="P2623">
        <v>-0.99818300000000004</v>
      </c>
      <c r="Q2623">
        <v>2.786493E-2</v>
      </c>
      <c r="R2623">
        <v>-5.3427059999999998E-2</v>
      </c>
      <c r="S2623">
        <v>-3.02850299999999</v>
      </c>
      <c r="T2623">
        <v>-7.5878020000000004E-2</v>
      </c>
      <c r="U2623">
        <v>0.39193729999999999</v>
      </c>
      <c r="V2623">
        <v>-2.902128E-2</v>
      </c>
      <c r="W2623">
        <v>4.2497060000000003E-2</v>
      </c>
      <c r="X2623">
        <v>0.99867499999999998</v>
      </c>
      <c r="Y2623">
        <v>0.1524836</v>
      </c>
      <c r="Z2623">
        <v>2.5116969999999998E-3</v>
      </c>
      <c r="AA2623">
        <v>0.98830280000000004</v>
      </c>
      <c r="AB2623">
        <v>35</v>
      </c>
      <c r="AC2623">
        <v>-40.689499999999903</v>
      </c>
      <c r="AD2623">
        <v>-1.02481237999999</v>
      </c>
      <c r="AE2623">
        <v>5.2986999999999904</v>
      </c>
      <c r="AF2623">
        <v>6.2873563815588502</v>
      </c>
      <c r="AG2623">
        <v>-1.02481237999999</v>
      </c>
      <c r="AH2623">
        <v>40.522614235995498</v>
      </c>
      <c r="AI2623">
        <v>91.431573218878896</v>
      </c>
      <c r="AJ2623">
        <v>81.1804978460314</v>
      </c>
      <c r="AK2623">
        <v>41.020279804046098</v>
      </c>
    </row>
    <row r="2624" spans="1:37" x14ac:dyDescent="0.2">
      <c r="A2624" t="str">
        <f>"20200111155548809"</f>
        <v>20200111155548809</v>
      </c>
      <c r="B2624" t="str">
        <f>"1578729348805158"</f>
        <v>1578729348805158</v>
      </c>
      <c r="C2624" t="s">
        <v>37</v>
      </c>
      <c r="D2624">
        <v>4.8989519999999898</v>
      </c>
      <c r="E2624">
        <v>0.57079169999999901</v>
      </c>
      <c r="F2624" t="s">
        <v>59</v>
      </c>
      <c r="G2624">
        <v>-396.99790000000002</v>
      </c>
      <c r="H2624">
        <v>8.0000600000000005E-2</v>
      </c>
      <c r="I2624">
        <v>289.7466</v>
      </c>
      <c r="J2624">
        <v>-356.5222</v>
      </c>
      <c r="K2624">
        <v>1.104816</v>
      </c>
      <c r="L2624">
        <v>284.4579</v>
      </c>
      <c r="M2624">
        <v>-0.99959430000000005</v>
      </c>
      <c r="N2624">
        <v>0</v>
      </c>
      <c r="O2624">
        <v>-2.443035E-2</v>
      </c>
      <c r="P2624">
        <v>-0.99818999999999902</v>
      </c>
      <c r="Q2624">
        <v>2.7849490000000001E-2</v>
      </c>
      <c r="R2624">
        <v>-5.3307319999999998E-2</v>
      </c>
      <c r="S2624">
        <v>-3.0286249999999999</v>
      </c>
      <c r="T2624">
        <v>-7.6327199999999998E-2</v>
      </c>
      <c r="U2624">
        <v>0.39355469999999998</v>
      </c>
      <c r="V2624">
        <v>-2.8900820000000001E-2</v>
      </c>
      <c r="W2624">
        <v>4.2483720000000003E-2</v>
      </c>
      <c r="X2624">
        <v>0.99867899999999998</v>
      </c>
      <c r="Y2624">
        <v>0.15299689999999999</v>
      </c>
      <c r="Z2624">
        <v>2.532818E-3</v>
      </c>
      <c r="AA2624">
        <v>0.98822339999999997</v>
      </c>
      <c r="AB2624">
        <v>35</v>
      </c>
      <c r="AC2624">
        <v>-40.475700000000003</v>
      </c>
      <c r="AD2624">
        <v>-1.0248154</v>
      </c>
      <c r="AE2624">
        <v>5.2887000000000004</v>
      </c>
      <c r="AF2624">
        <v>6.2721093621872104</v>
      </c>
      <c r="AG2624">
        <v>-1.0248154</v>
      </c>
      <c r="AH2624">
        <v>40.308991222536797</v>
      </c>
      <c r="AI2624">
        <v>91.439064188868599</v>
      </c>
      <c r="AJ2624">
        <v>81.155657050671806</v>
      </c>
      <c r="AK2624">
        <v>40.8069157843846</v>
      </c>
    </row>
    <row r="2625" spans="1:37" x14ac:dyDescent="0.2">
      <c r="A2625" t="str">
        <f>"20200111155548822"</f>
        <v>20200111155548822</v>
      </c>
      <c r="B2625" t="str">
        <f>"1578729348814918"</f>
        <v>1578729348814918</v>
      </c>
      <c r="C2625" t="s">
        <v>37</v>
      </c>
      <c r="D2625">
        <v>4.7235430000000003</v>
      </c>
      <c r="E2625">
        <v>0.57089569999999901</v>
      </c>
      <c r="F2625" t="s">
        <v>59</v>
      </c>
      <c r="G2625">
        <v>-396.82560000000001</v>
      </c>
      <c r="H2625">
        <v>8.0000550000000004E-2</v>
      </c>
      <c r="I2625">
        <v>289.71620000000001</v>
      </c>
      <c r="J2625">
        <v>-356.7321</v>
      </c>
      <c r="K2625">
        <v>1.104819</v>
      </c>
      <c r="L2625">
        <v>284.45280000000002</v>
      </c>
      <c r="M2625">
        <v>-0.99959430000000005</v>
      </c>
      <c r="N2625">
        <v>0</v>
      </c>
      <c r="O2625">
        <v>-2.4430360000000002E-2</v>
      </c>
      <c r="P2625">
        <v>-0.99819840000000004</v>
      </c>
      <c r="Q2625">
        <v>2.7763449999999999E-2</v>
      </c>
      <c r="R2625">
        <v>-5.3194270000000002E-2</v>
      </c>
      <c r="S2625">
        <v>-3.0286559999999998</v>
      </c>
      <c r="T2625">
        <v>-7.7011109999999994E-2</v>
      </c>
      <c r="U2625">
        <v>0.39514159999999998</v>
      </c>
      <c r="V2625">
        <v>-2.878758E-2</v>
      </c>
      <c r="W2625">
        <v>4.2399390000000002E-2</v>
      </c>
      <c r="X2625">
        <v>0.99868590000000002</v>
      </c>
      <c r="Y2625">
        <v>0.15350359999999999</v>
      </c>
      <c r="Z2625">
        <v>2.561809E-3</v>
      </c>
      <c r="AA2625">
        <v>0.98814480000000005</v>
      </c>
      <c r="AB2625">
        <v>35</v>
      </c>
      <c r="AC2625">
        <v>-40.093499999999999</v>
      </c>
      <c r="AD2625">
        <v>-1.0248184499999999</v>
      </c>
      <c r="AE2625">
        <v>5.2633999999999901</v>
      </c>
      <c r="AF2625">
        <v>6.2374261921682601</v>
      </c>
      <c r="AG2625">
        <v>-1.0248184499999999</v>
      </c>
      <c r="AH2625">
        <v>39.927285814804698</v>
      </c>
      <c r="AI2625">
        <v>91.452683324283498</v>
      </c>
      <c r="AJ2625">
        <v>81.121038934679206</v>
      </c>
      <c r="AK2625">
        <v>40.424545648594702</v>
      </c>
    </row>
    <row r="2626" spans="1:37" x14ac:dyDescent="0.2">
      <c r="A2626" t="str">
        <f>"20200111155548835"</f>
        <v>20200111155548835</v>
      </c>
      <c r="B2626" t="str">
        <f>"1578729348824679"</f>
        <v>1578729348824679</v>
      </c>
      <c r="C2626" t="s">
        <v>37</v>
      </c>
      <c r="D2626">
        <v>4.723681</v>
      </c>
      <c r="E2626">
        <v>0.57103440000000005</v>
      </c>
      <c r="F2626" t="s">
        <v>59</v>
      </c>
      <c r="G2626">
        <v>-396.7192</v>
      </c>
      <c r="H2626">
        <v>8.0000520000000006E-2</v>
      </c>
      <c r="I2626">
        <v>289.6859</v>
      </c>
      <c r="J2626">
        <v>-356.93299999999999</v>
      </c>
      <c r="K2626">
        <v>1.104819</v>
      </c>
      <c r="L2626">
        <v>284.4479</v>
      </c>
      <c r="M2626">
        <v>-0.99959419999999899</v>
      </c>
      <c r="N2626">
        <v>0</v>
      </c>
      <c r="O2626">
        <v>-2.4430250000000001E-2</v>
      </c>
      <c r="P2626">
        <v>-0.99818809999999902</v>
      </c>
      <c r="Q2626">
        <v>2.767582E-2</v>
      </c>
      <c r="R2626">
        <v>-5.343026E-2</v>
      </c>
      <c r="S2626">
        <v>-3.0286559999999998</v>
      </c>
      <c r="T2626">
        <v>-7.7620629999999996E-2</v>
      </c>
      <c r="U2626">
        <v>0.3963623</v>
      </c>
      <c r="V2626">
        <v>-2.902389E-2</v>
      </c>
      <c r="W2626">
        <v>4.2313169999999997E-2</v>
      </c>
      <c r="X2626">
        <v>0.99868269999999904</v>
      </c>
      <c r="Y2626">
        <v>0.15389410000000001</v>
      </c>
      <c r="Z2626">
        <v>2.5869909999999999E-3</v>
      </c>
      <c r="AA2626">
        <v>0.98808399999999996</v>
      </c>
      <c r="AB2626">
        <v>35</v>
      </c>
      <c r="AC2626">
        <v>-39.786199999999901</v>
      </c>
      <c r="AD2626">
        <v>-1.02481848</v>
      </c>
      <c r="AE2626">
        <v>5.2379999999999898</v>
      </c>
      <c r="AF2626">
        <v>6.2044810129254202</v>
      </c>
      <c r="AG2626">
        <v>-1.02481848</v>
      </c>
      <c r="AH2626">
        <v>39.620503745354902</v>
      </c>
      <c r="AI2626">
        <v>91.463842171258605</v>
      </c>
      <c r="AJ2626">
        <v>81.099893148944503</v>
      </c>
      <c r="AK2626">
        <v>40.116457403319899</v>
      </c>
    </row>
    <row r="2627" spans="1:37" x14ac:dyDescent="0.2">
      <c r="A2627" t="str">
        <f>"20200111155548851"</f>
        <v>20200111155548851</v>
      </c>
      <c r="B2627" t="str">
        <f>"1578729348845174"</f>
        <v>1578729348845174</v>
      </c>
      <c r="C2627" t="s">
        <v>37</v>
      </c>
      <c r="D2627">
        <v>4.7806509999999998</v>
      </c>
      <c r="E2627">
        <v>0.57124160000000002</v>
      </c>
      <c r="F2627" t="s">
        <v>59</v>
      </c>
      <c r="G2627">
        <v>-396.62360000000001</v>
      </c>
      <c r="H2627">
        <v>7.8773010000000004E-2</v>
      </c>
      <c r="I2627">
        <v>289.64510000000001</v>
      </c>
      <c r="J2627">
        <v>-357.18169999999998</v>
      </c>
      <c r="K2627">
        <v>1.104819</v>
      </c>
      <c r="L2627">
        <v>284.4418</v>
      </c>
      <c r="M2627">
        <v>-0.99959419999999899</v>
      </c>
      <c r="N2627">
        <v>0</v>
      </c>
      <c r="O2627">
        <v>-2.4430259999999999E-2</v>
      </c>
      <c r="P2627">
        <v>-0.99818439999999997</v>
      </c>
      <c r="Q2627">
        <v>2.7688569999999999E-2</v>
      </c>
      <c r="R2627">
        <v>-5.3491789999999997E-2</v>
      </c>
      <c r="S2627">
        <v>-3.0288390000000001</v>
      </c>
      <c r="T2627">
        <v>-7.8298690000000004E-2</v>
      </c>
      <c r="U2627">
        <v>0.39660640000000003</v>
      </c>
      <c r="V2627">
        <v>-2.9085779999999999E-2</v>
      </c>
      <c r="W2627">
        <v>4.232698E-2</v>
      </c>
      <c r="X2627">
        <v>0.99868040000000002</v>
      </c>
      <c r="Y2627">
        <v>0.15396370000000001</v>
      </c>
      <c r="Z2627">
        <v>2.610308E-3</v>
      </c>
      <c r="AA2627">
        <v>0.98807309999999904</v>
      </c>
      <c r="AB2627">
        <v>35</v>
      </c>
      <c r="AC2627">
        <v>-39.441899999999997</v>
      </c>
      <c r="AD2627">
        <v>-1.0260459900000001</v>
      </c>
      <c r="AE2627">
        <v>5.2033000000000103</v>
      </c>
      <c r="AF2627">
        <v>6.16132769635042</v>
      </c>
      <c r="AG2627">
        <v>-1.0260459900000001</v>
      </c>
      <c r="AH2627">
        <v>39.276868582979503</v>
      </c>
      <c r="AI2627">
        <v>91.478350314978101</v>
      </c>
      <c r="AJ2627">
        <v>81.084716723008697</v>
      </c>
      <c r="AK2627">
        <v>39.7704304105456</v>
      </c>
    </row>
    <row r="2628" spans="1:37" x14ac:dyDescent="0.2">
      <c r="A2628" t="str">
        <f>"20200111155548866"</f>
        <v>20200111155548866</v>
      </c>
      <c r="B2628" t="str">
        <f>"1578729348854934"</f>
        <v>1578729348854934</v>
      </c>
      <c r="C2628" t="s">
        <v>37</v>
      </c>
      <c r="D2628">
        <v>4.8024360000000001</v>
      </c>
      <c r="E2628">
        <v>0.571411</v>
      </c>
      <c r="F2628" t="s">
        <v>59</v>
      </c>
      <c r="G2628">
        <v>-396.74619999999999</v>
      </c>
      <c r="H2628">
        <v>7.7004530000000002E-2</v>
      </c>
      <c r="I2628">
        <v>289.64330000000001</v>
      </c>
      <c r="J2628">
        <v>-357.4051</v>
      </c>
      <c r="K2628">
        <v>1.1048249999999999</v>
      </c>
      <c r="L2628">
        <v>284.43630000000002</v>
      </c>
      <c r="M2628">
        <v>-0.99959419999999899</v>
      </c>
      <c r="N2628">
        <v>0</v>
      </c>
      <c r="O2628">
        <v>-2.4430380000000002E-2</v>
      </c>
      <c r="P2628">
        <v>-0.99819530000000001</v>
      </c>
      <c r="Q2628">
        <v>2.7607989999999999E-2</v>
      </c>
      <c r="R2628">
        <v>-5.332692E-2</v>
      </c>
      <c r="S2628">
        <v>-3.0289919999999899</v>
      </c>
      <c r="T2628">
        <v>-7.868791E-2</v>
      </c>
      <c r="U2628">
        <v>0.39822390000000002</v>
      </c>
      <c r="V2628">
        <v>-2.892016E-2</v>
      </c>
      <c r="W2628">
        <v>4.2246939999999997E-2</v>
      </c>
      <c r="X2628">
        <v>0.99868860000000004</v>
      </c>
      <c r="Y2628">
        <v>0.15447529999999901</v>
      </c>
      <c r="Z2628">
        <v>2.6296789999999998E-3</v>
      </c>
      <c r="AA2628">
        <v>0.98799309999999996</v>
      </c>
      <c r="AB2628">
        <v>35</v>
      </c>
      <c r="AC2628">
        <v>-39.341099999999898</v>
      </c>
      <c r="AD2628">
        <v>-1.02782047</v>
      </c>
      <c r="AE2628">
        <v>5.2069999999999901</v>
      </c>
      <c r="AF2628">
        <v>6.1625328276843998</v>
      </c>
      <c r="AG2628">
        <v>-1.02782047</v>
      </c>
      <c r="AH2628">
        <v>39.175853297426599</v>
      </c>
      <c r="AI2628">
        <v>91.484623689126906</v>
      </c>
      <c r="AJ2628">
        <v>81.060379263408706</v>
      </c>
      <c r="AK2628">
        <v>39.670905048313799</v>
      </c>
    </row>
    <row r="2629" spans="1:37" x14ac:dyDescent="0.2">
      <c r="A2629" t="str">
        <f>"20200111155548879"</f>
        <v>20200111155548879</v>
      </c>
      <c r="B2629" t="str">
        <f>"1578729348874963"</f>
        <v>1578729348874963</v>
      </c>
      <c r="C2629" t="s">
        <v>37</v>
      </c>
      <c r="D2629">
        <v>4.7789519999999897</v>
      </c>
      <c r="E2629">
        <v>0.57163830000000004</v>
      </c>
      <c r="F2629" t="s">
        <v>59</v>
      </c>
      <c r="G2629">
        <v>-396.8168</v>
      </c>
      <c r="H2629">
        <v>7.4577939999999995E-2</v>
      </c>
      <c r="I2629">
        <v>289.64089999999999</v>
      </c>
      <c r="J2629">
        <v>-357.6189</v>
      </c>
      <c r="K2629">
        <v>1.1048249999999999</v>
      </c>
      <c r="L2629">
        <v>284.43110000000001</v>
      </c>
      <c r="M2629">
        <v>-0.99959419999999899</v>
      </c>
      <c r="N2629">
        <v>0</v>
      </c>
      <c r="O2629">
        <v>-2.4430380000000002E-2</v>
      </c>
      <c r="P2629">
        <v>-0.99819500000000005</v>
      </c>
      <c r="Q2629">
        <v>2.7347969999999999E-2</v>
      </c>
      <c r="R2629">
        <v>-5.346762E-2</v>
      </c>
      <c r="S2629">
        <v>-3.0289609999999998</v>
      </c>
      <c r="T2629">
        <v>-7.9178929999999995E-2</v>
      </c>
      <c r="U2629">
        <v>0.39999390000000001</v>
      </c>
      <c r="V2629">
        <v>-2.9060949999999999E-2</v>
      </c>
      <c r="W2629">
        <v>4.1987770000000001E-2</v>
      </c>
      <c r="X2629">
        <v>0.99869540000000001</v>
      </c>
      <c r="Y2629">
        <v>0.15504319999999999</v>
      </c>
      <c r="Z2629">
        <v>2.653398E-3</v>
      </c>
      <c r="AA2629">
        <v>0.98790409999999995</v>
      </c>
      <c r="AB2629">
        <v>35</v>
      </c>
      <c r="AC2629">
        <v>-39.197899999999997</v>
      </c>
      <c r="AD2629">
        <v>-1.03024706</v>
      </c>
      <c r="AE2629">
        <v>5.2097999999999702</v>
      </c>
      <c r="AF2629">
        <v>6.1617843542144497</v>
      </c>
      <c r="AG2629">
        <v>-1.03024706</v>
      </c>
      <c r="AH2629">
        <v>39.032411347026198</v>
      </c>
      <c r="AI2629">
        <v>91.493465190657403</v>
      </c>
      <c r="AJ2629">
        <v>81.029132079479695</v>
      </c>
      <c r="AK2629">
        <v>39.529206050665202</v>
      </c>
    </row>
    <row r="2630" spans="1:37" x14ac:dyDescent="0.2">
      <c r="A2630" t="str">
        <f>"20200111155548893"</f>
        <v>20200111155548893</v>
      </c>
      <c r="B2630" t="str">
        <f>"1578729348884723"</f>
        <v>1578729348884723</v>
      </c>
      <c r="C2630" t="s">
        <v>37</v>
      </c>
      <c r="D2630">
        <v>4.8960470000000003</v>
      </c>
      <c r="E2630">
        <v>0.57173099999999999</v>
      </c>
      <c r="F2630" t="s">
        <v>59</v>
      </c>
      <c r="G2630">
        <v>-396.84969999999998</v>
      </c>
      <c r="H2630">
        <v>6.3386499999999998E-2</v>
      </c>
      <c r="I2630">
        <v>289.62970000000001</v>
      </c>
      <c r="J2630">
        <v>-357.84379999999999</v>
      </c>
      <c r="K2630">
        <v>1.1048260000000001</v>
      </c>
      <c r="L2630">
        <v>284.42559999999997</v>
      </c>
      <c r="M2630">
        <v>-0.99959430000000005</v>
      </c>
      <c r="N2630">
        <v>0</v>
      </c>
      <c r="O2630">
        <v>-2.4430629999999998E-2</v>
      </c>
      <c r="P2630">
        <v>-0.99820769999999903</v>
      </c>
      <c r="Q2630">
        <v>2.7158600000000001E-2</v>
      </c>
      <c r="R2630">
        <v>-5.3330059999999999E-2</v>
      </c>
      <c r="S2630">
        <v>-3.0291139999999999</v>
      </c>
      <c r="T2630">
        <v>-8.0412269999999994E-2</v>
      </c>
      <c r="U2630">
        <v>0.40139770000000002</v>
      </c>
      <c r="V2630">
        <v>-2.892308E-2</v>
      </c>
      <c r="W2630">
        <v>4.1799120000000002E-2</v>
      </c>
      <c r="X2630">
        <v>0.99870729999999996</v>
      </c>
      <c r="Y2630">
        <v>0.15548480000000001</v>
      </c>
      <c r="Z2630">
        <v>2.7003420000000001E-3</v>
      </c>
      <c r="AA2630">
        <v>0.98783460000000001</v>
      </c>
      <c r="AB2630">
        <v>35</v>
      </c>
      <c r="AC2630">
        <v>-39.005899999999997</v>
      </c>
      <c r="AD2630">
        <v>-1.0414395000000001</v>
      </c>
      <c r="AE2630">
        <v>5.2041000000000404</v>
      </c>
      <c r="AF2630">
        <v>6.1512789162612203</v>
      </c>
      <c r="AG2630">
        <v>-1.0414395000000001</v>
      </c>
      <c r="AH2630">
        <v>38.839898862774199</v>
      </c>
      <c r="AI2630">
        <v>91.517042077838894</v>
      </c>
      <c r="AJ2630">
        <v>81.000513359327798</v>
      </c>
      <c r="AK2630">
        <v>39.337775384588397</v>
      </c>
    </row>
    <row r="2631" spans="1:37" x14ac:dyDescent="0.2">
      <c r="A2631" t="str">
        <f>"20200111155548907"</f>
        <v>20200111155548907</v>
      </c>
      <c r="B2631" t="str">
        <f>"1578729348894483"</f>
        <v>1578729348894483</v>
      </c>
      <c r="C2631" t="s">
        <v>37</v>
      </c>
      <c r="D2631">
        <v>4.7669449999999998</v>
      </c>
      <c r="E2631">
        <v>0.57189129999999999</v>
      </c>
      <c r="F2631" t="s">
        <v>59</v>
      </c>
      <c r="G2631">
        <v>-396.94310000000002</v>
      </c>
      <c r="H2631">
        <v>5.6660059999999998E-2</v>
      </c>
      <c r="I2631">
        <v>289.62299999999999</v>
      </c>
      <c r="J2631">
        <v>-358.05919999999998</v>
      </c>
      <c r="K2631">
        <v>1.1048229999999899</v>
      </c>
      <c r="L2631">
        <v>284.4203</v>
      </c>
      <c r="M2631">
        <v>-0.99959419999999899</v>
      </c>
      <c r="N2631">
        <v>0</v>
      </c>
      <c r="O2631">
        <v>-2.443062E-2</v>
      </c>
      <c r="P2631">
        <v>-0.99821909999999903</v>
      </c>
      <c r="Q2631">
        <v>2.6796560000000001E-2</v>
      </c>
      <c r="R2631">
        <v>-5.3298489999999997E-2</v>
      </c>
      <c r="S2631">
        <v>-3.029083</v>
      </c>
      <c r="T2631">
        <v>-8.1203220000000007E-2</v>
      </c>
      <c r="U2631">
        <v>0.40264889999999998</v>
      </c>
      <c r="V2631">
        <v>-2.8891139999999999E-2</v>
      </c>
      <c r="W2631">
        <v>4.143703E-2</v>
      </c>
      <c r="X2631">
        <v>0.99872329999999998</v>
      </c>
      <c r="Y2631">
        <v>0.15588569999999999</v>
      </c>
      <c r="Z2631">
        <v>2.732197E-3</v>
      </c>
      <c r="AA2631">
        <v>0.98777130000000002</v>
      </c>
      <c r="AB2631">
        <v>35</v>
      </c>
      <c r="AC2631">
        <v>-38.883899999999997</v>
      </c>
      <c r="AD2631">
        <v>-1.0481629400000001</v>
      </c>
      <c r="AE2631">
        <v>5.2026999999999903</v>
      </c>
      <c r="AF2631">
        <v>6.1468185737343797</v>
      </c>
      <c r="AG2631">
        <v>-1.0481629400000001</v>
      </c>
      <c r="AH2631">
        <v>38.717534108161502</v>
      </c>
      <c r="AI2631">
        <v>91.531563275370701</v>
      </c>
      <c r="AJ2631">
        <v>80.978976821521599</v>
      </c>
      <c r="AK2631">
        <v>39.216443892120601</v>
      </c>
    </row>
    <row r="2632" spans="1:37" x14ac:dyDescent="0.2">
      <c r="A2632" t="str">
        <f>"20200111155548920"</f>
        <v>20200111155548920</v>
      </c>
      <c r="B2632" t="str">
        <f>"1578729348914979"</f>
        <v>1578729348914979</v>
      </c>
      <c r="C2632" t="s">
        <v>37</v>
      </c>
      <c r="D2632">
        <v>4.7809489999999997</v>
      </c>
      <c r="E2632">
        <v>0.57226199999999905</v>
      </c>
      <c r="F2632" t="s">
        <v>59</v>
      </c>
      <c r="G2632">
        <v>-397.02179999999998</v>
      </c>
      <c r="H2632">
        <v>4.4852889999999999E-2</v>
      </c>
      <c r="I2632">
        <v>289.61630000000002</v>
      </c>
      <c r="J2632">
        <v>-358.27730000000003</v>
      </c>
      <c r="K2632">
        <v>1.1048279999999999</v>
      </c>
      <c r="L2632">
        <v>284.41500000000002</v>
      </c>
      <c r="M2632">
        <v>-0.99959419999999899</v>
      </c>
      <c r="N2632">
        <v>0</v>
      </c>
      <c r="O2632">
        <v>-2.443062E-2</v>
      </c>
      <c r="P2632">
        <v>-0.99822549999999899</v>
      </c>
      <c r="Q2632">
        <v>2.6761159999999999E-2</v>
      </c>
      <c r="R2632">
        <v>-5.3198519999999999E-2</v>
      </c>
      <c r="S2632">
        <v>-3.0291440000000001</v>
      </c>
      <c r="T2632">
        <v>-8.2407240000000007E-2</v>
      </c>
      <c r="U2632">
        <v>0.40396120000000002</v>
      </c>
      <c r="V2632">
        <v>-2.8791170000000001E-2</v>
      </c>
      <c r="W2632">
        <v>4.1401300000000002E-2</v>
      </c>
      <c r="X2632">
        <v>0.9987277</v>
      </c>
      <c r="Y2632">
        <v>0.15630150000000001</v>
      </c>
      <c r="Z2632">
        <v>2.7781889999999999E-3</v>
      </c>
      <c r="AA2632">
        <v>0.98770550000000001</v>
      </c>
      <c r="AB2632">
        <v>35</v>
      </c>
      <c r="AC2632">
        <v>-38.744499999999903</v>
      </c>
      <c r="AD2632">
        <v>-1.0599751100000001</v>
      </c>
      <c r="AE2632">
        <v>5.2012999999999998</v>
      </c>
      <c r="AF2632">
        <v>6.1418853493005097</v>
      </c>
      <c r="AG2632">
        <v>-1.0599751100000001</v>
      </c>
      <c r="AH2632">
        <v>38.577486018996197</v>
      </c>
      <c r="AI2632">
        <v>91.554326594133101</v>
      </c>
      <c r="AJ2632">
        <v>80.953914785185106</v>
      </c>
      <c r="AK2632">
        <v>39.0777267816799</v>
      </c>
    </row>
    <row r="2633" spans="1:37" x14ac:dyDescent="0.2">
      <c r="A2633" t="str">
        <f>"20200111155548934"</f>
        <v>20200111155548934</v>
      </c>
      <c r="B2633" t="str">
        <f>"1578729348924739"</f>
        <v>1578729348924739</v>
      </c>
      <c r="C2633" t="s">
        <v>37</v>
      </c>
      <c r="D2633">
        <v>4.7913600000000001</v>
      </c>
      <c r="E2633">
        <v>0.57243230000000001</v>
      </c>
      <c r="F2633" t="s">
        <v>59</v>
      </c>
      <c r="G2633">
        <v>-396.96899999999999</v>
      </c>
      <c r="H2633">
        <v>4.7911450000000001E-2</v>
      </c>
      <c r="I2633">
        <v>289.61630000000002</v>
      </c>
      <c r="J2633">
        <v>-358.48820000000001</v>
      </c>
      <c r="K2633">
        <v>1.1048309999999999</v>
      </c>
      <c r="L2633">
        <v>284.40989999999999</v>
      </c>
      <c r="M2633">
        <v>-0.99959419999999899</v>
      </c>
      <c r="N2633">
        <v>0</v>
      </c>
      <c r="O2633">
        <v>-2.4430739999999999E-2</v>
      </c>
      <c r="P2633">
        <v>-0.99822440000000001</v>
      </c>
      <c r="Q2633">
        <v>2.6785159999999999E-2</v>
      </c>
      <c r="R2633">
        <v>-5.3204069999999999E-2</v>
      </c>
      <c r="S2633">
        <v>-3.0292659999999998</v>
      </c>
      <c r="T2633">
        <v>-8.2748530000000001E-2</v>
      </c>
      <c r="U2633">
        <v>0.40722659999999899</v>
      </c>
      <c r="V2633">
        <v>-2.8796860000000001E-2</v>
      </c>
      <c r="W2633">
        <v>4.1425589999999998E-2</v>
      </c>
      <c r="X2633">
        <v>0.99872649999999996</v>
      </c>
      <c r="Y2633">
        <v>0.15734139999999999</v>
      </c>
      <c r="Z2633">
        <v>2.803523E-3</v>
      </c>
      <c r="AA2633">
        <v>0.98754030000000004</v>
      </c>
      <c r="AB2633">
        <v>35</v>
      </c>
      <c r="AC2633">
        <v>-38.480799999999903</v>
      </c>
      <c r="AD2633">
        <v>-1.0569195499999999</v>
      </c>
      <c r="AE2633">
        <v>5.2064000000000297</v>
      </c>
      <c r="AF2633">
        <v>6.1405119197629698</v>
      </c>
      <c r="AG2633">
        <v>-1.0569195499999999</v>
      </c>
      <c r="AH2633">
        <v>38.313718239470099</v>
      </c>
      <c r="AI2633">
        <v>91.560255159129497</v>
      </c>
      <c r="AJ2633">
        <v>80.894680387405899</v>
      </c>
      <c r="AK2633">
        <v>38.817057731175602</v>
      </c>
    </row>
    <row r="2634" spans="1:37" x14ac:dyDescent="0.2">
      <c r="A2634" t="str">
        <f>"20200111155548948"</f>
        <v>20200111155548948</v>
      </c>
      <c r="B2634" t="str">
        <f>"1578729348945235"</f>
        <v>1578729348945235</v>
      </c>
      <c r="C2634" t="s">
        <v>37</v>
      </c>
      <c r="D2634">
        <v>4.8716780000000002</v>
      </c>
      <c r="E2634">
        <v>0.57263549999999996</v>
      </c>
      <c r="F2634" t="s">
        <v>59</v>
      </c>
      <c r="G2634">
        <v>-397.09539999999998</v>
      </c>
      <c r="H2634">
        <v>5.1350060000000003E-2</v>
      </c>
      <c r="I2634">
        <v>289.61770000000001</v>
      </c>
      <c r="J2634">
        <v>-358.70319999999998</v>
      </c>
      <c r="K2634">
        <v>1.10483</v>
      </c>
      <c r="L2634">
        <v>284.40460000000002</v>
      </c>
      <c r="M2634">
        <v>-0.99959430000000005</v>
      </c>
      <c r="N2634">
        <v>0</v>
      </c>
      <c r="O2634">
        <v>-2.4431089999999999E-2</v>
      </c>
      <c r="P2634">
        <v>-0.99822659999999996</v>
      </c>
      <c r="Q2634">
        <v>2.709661E-2</v>
      </c>
      <c r="R2634">
        <v>-5.3008489999999998E-2</v>
      </c>
      <c r="S2634">
        <v>-3.0292970000000001</v>
      </c>
      <c r="T2634">
        <v>-8.2660910000000004E-2</v>
      </c>
      <c r="U2634">
        <v>0.4086304</v>
      </c>
      <c r="V2634">
        <v>-2.8600759999999999E-2</v>
      </c>
      <c r="W2634">
        <v>4.1735750000000002E-2</v>
      </c>
      <c r="X2634">
        <v>0.99871919999999903</v>
      </c>
      <c r="Y2634">
        <v>0.15778989999999901</v>
      </c>
      <c r="Z2634">
        <v>2.806542E-3</v>
      </c>
      <c r="AA2634">
        <v>0.98746869999999998</v>
      </c>
      <c r="AB2634">
        <v>35</v>
      </c>
      <c r="AC2634">
        <v>-38.392200000000003</v>
      </c>
      <c r="AD2634">
        <v>-1.0534799399999999</v>
      </c>
      <c r="AE2634">
        <v>5.2130999999999901</v>
      </c>
      <c r="AF2634">
        <v>6.1450643155323696</v>
      </c>
      <c r="AG2634">
        <v>-1.0534799399999999</v>
      </c>
      <c r="AH2634">
        <v>38.225102173179401</v>
      </c>
      <c r="AI2634">
        <v>91.558663938863603</v>
      </c>
      <c r="AJ2634">
        <v>80.867274793325805</v>
      </c>
      <c r="AK2634">
        <v>38.730221682505402</v>
      </c>
    </row>
    <row r="2635" spans="1:37" x14ac:dyDescent="0.2">
      <c r="A2635" t="str">
        <f>"20200111155548963"</f>
        <v>20200111155548963</v>
      </c>
      <c r="B2635" t="str">
        <f>"1578729348954994"</f>
        <v>1578729348954994</v>
      </c>
      <c r="C2635" t="s">
        <v>37</v>
      </c>
      <c r="D2635">
        <v>4.8538540000000001</v>
      </c>
      <c r="E2635">
        <v>0.57268039999999998</v>
      </c>
      <c r="F2635" t="s">
        <v>59</v>
      </c>
      <c r="G2635">
        <v>-397.24029999999999</v>
      </c>
      <c r="H2635">
        <v>6.2599669999999996E-2</v>
      </c>
      <c r="I2635">
        <v>289.62889999999999</v>
      </c>
      <c r="J2635">
        <v>-358.93130000000002</v>
      </c>
      <c r="K2635">
        <v>1.1048290000000001</v>
      </c>
      <c r="L2635">
        <v>284.399</v>
      </c>
      <c r="M2635">
        <v>-0.99959430000000005</v>
      </c>
      <c r="N2635">
        <v>0</v>
      </c>
      <c r="O2635">
        <v>-2.4431439999999999E-2</v>
      </c>
      <c r="P2635">
        <v>-0.998224</v>
      </c>
      <c r="Q2635">
        <v>2.693417E-2</v>
      </c>
      <c r="R2635">
        <v>-5.3139560000000002E-2</v>
      </c>
      <c r="S2635">
        <v>-3.0293269999999999</v>
      </c>
      <c r="T2635">
        <v>-8.1927780000000006E-2</v>
      </c>
      <c r="U2635">
        <v>0.41067500000000001</v>
      </c>
      <c r="V2635">
        <v>-2.873144E-2</v>
      </c>
      <c r="W2635">
        <v>4.1572820000000003E-2</v>
      </c>
      <c r="X2635">
        <v>0.99872229999999995</v>
      </c>
      <c r="Y2635">
        <v>0.15844439999999901</v>
      </c>
      <c r="Z2635">
        <v>2.7903259999999901E-3</v>
      </c>
      <c r="AA2635">
        <v>0.98736389999999996</v>
      </c>
      <c r="AB2635">
        <v>35</v>
      </c>
      <c r="AC2635">
        <v>-38.308999999999898</v>
      </c>
      <c r="AD2635">
        <v>-1.0422293300000001</v>
      </c>
      <c r="AE2635">
        <v>5.2298999999999802</v>
      </c>
      <c r="AF2635">
        <v>6.1599070463762304</v>
      </c>
      <c r="AG2635">
        <v>-1.0422293300000001</v>
      </c>
      <c r="AH2635">
        <v>38.142060271961</v>
      </c>
      <c r="AI2635">
        <v>91.545202646600501</v>
      </c>
      <c r="AJ2635">
        <v>80.825996560440899</v>
      </c>
      <c r="AK2635">
        <v>38.650322878162498</v>
      </c>
    </row>
    <row r="2636" spans="1:37" x14ac:dyDescent="0.2">
      <c r="A2636" t="str">
        <f>"20200111155548976"</f>
        <v>20200111155548976</v>
      </c>
      <c r="B2636" t="str">
        <f>"1578729348965264"</f>
        <v>1578729348965264</v>
      </c>
      <c r="C2636" t="s">
        <v>37</v>
      </c>
      <c r="D2636">
        <v>4.8207959999999996</v>
      </c>
      <c r="E2636">
        <v>0.57273890000000005</v>
      </c>
      <c r="F2636" t="s">
        <v>59</v>
      </c>
      <c r="G2636">
        <v>-397.45650000000001</v>
      </c>
      <c r="H2636">
        <v>5.6351020000000002E-2</v>
      </c>
      <c r="I2636">
        <v>289.62270000000001</v>
      </c>
      <c r="J2636">
        <v>-359.1422</v>
      </c>
      <c r="K2636">
        <v>1.1048309999999999</v>
      </c>
      <c r="L2636">
        <v>284.39389999999997</v>
      </c>
      <c r="M2636">
        <v>-0.99959430000000005</v>
      </c>
      <c r="N2636">
        <v>0</v>
      </c>
      <c r="O2636">
        <v>-2.4431439999999999E-2</v>
      </c>
      <c r="P2636">
        <v>-0.99822559999999905</v>
      </c>
      <c r="Q2636">
        <v>2.668135E-2</v>
      </c>
      <c r="R2636">
        <v>-5.3236230000000002E-2</v>
      </c>
      <c r="S2636">
        <v>-3.0294490000000001</v>
      </c>
      <c r="T2636">
        <v>-8.2447770000000004E-2</v>
      </c>
      <c r="U2636">
        <v>0.41076659999999998</v>
      </c>
      <c r="V2636">
        <v>-2.882794E-2</v>
      </c>
      <c r="W2636">
        <v>4.1318870000000001E-2</v>
      </c>
      <c r="X2636">
        <v>0.99873009999999995</v>
      </c>
      <c r="Y2636">
        <v>0.15846749999999901</v>
      </c>
      <c r="Z2636">
        <v>2.8082259999999901E-3</v>
      </c>
      <c r="AA2636">
        <v>0.98736019999999902</v>
      </c>
      <c r="AB2636">
        <v>35</v>
      </c>
      <c r="AC2636">
        <v>-38.314300000000003</v>
      </c>
      <c r="AD2636">
        <v>-1.04847998</v>
      </c>
      <c r="AE2636">
        <v>5.2288000000000299</v>
      </c>
      <c r="AF2636">
        <v>6.1588849737664404</v>
      </c>
      <c r="AG2636">
        <v>-1.04847998</v>
      </c>
      <c r="AH2636">
        <v>38.147055868305998</v>
      </c>
      <c r="AI2636">
        <v>91.554273541368701</v>
      </c>
      <c r="AJ2636">
        <v>80.828673647688504</v>
      </c>
      <c r="AK2636">
        <v>38.655258967030598</v>
      </c>
    </row>
    <row r="2637" spans="1:37" x14ac:dyDescent="0.2">
      <c r="A2637" t="str">
        <f>"20200111155549003"</f>
        <v>20200111155549003</v>
      </c>
      <c r="B2637" t="str">
        <f>"1578729348994542"</f>
        <v>1578729348994542</v>
      </c>
      <c r="C2637" t="s">
        <v>37</v>
      </c>
      <c r="D2637">
        <v>5.1059320000000001</v>
      </c>
      <c r="E2637">
        <v>0.54649910000000002</v>
      </c>
      <c r="F2637" t="s">
        <v>59</v>
      </c>
      <c r="G2637">
        <v>-397.63929999999999</v>
      </c>
      <c r="H2637">
        <v>4.9156770000000002E-2</v>
      </c>
      <c r="I2637">
        <v>289.61630000000002</v>
      </c>
      <c r="J2637">
        <v>-359.56709999999998</v>
      </c>
      <c r="K2637">
        <v>1.1048309999999999</v>
      </c>
      <c r="L2637">
        <v>284.38350000000003</v>
      </c>
      <c r="M2637">
        <v>-0.99959430000000005</v>
      </c>
      <c r="N2637">
        <v>0</v>
      </c>
      <c r="O2637">
        <v>-2.4431069999999999E-2</v>
      </c>
      <c r="P2637">
        <v>-0.9982162</v>
      </c>
      <c r="Q2637">
        <v>2.6289920000000001E-2</v>
      </c>
      <c r="R2637">
        <v>-5.3605559999999997E-2</v>
      </c>
      <c r="S2637">
        <v>-3.0295099999999899</v>
      </c>
      <c r="T2637">
        <v>-8.3075759999999998E-2</v>
      </c>
      <c r="U2637">
        <v>0.41098019999999902</v>
      </c>
      <c r="V2637">
        <v>-2.9197959999999998E-2</v>
      </c>
      <c r="W2637">
        <v>4.0925820000000002E-2</v>
      </c>
      <c r="X2637">
        <v>0.9987355</v>
      </c>
      <c r="Y2637">
        <v>0.1585318</v>
      </c>
      <c r="Z2637">
        <v>2.8304059999999902E-3</v>
      </c>
      <c r="AA2637">
        <v>0.98734979999999894</v>
      </c>
      <c r="AB2637">
        <v>35</v>
      </c>
      <c r="AC2637">
        <v>-38.072200000000002</v>
      </c>
      <c r="AD2637">
        <v>-1.0556742299999999</v>
      </c>
      <c r="AE2637">
        <v>5.2327999999999903</v>
      </c>
      <c r="AF2637">
        <v>6.1568361115918799</v>
      </c>
      <c r="AG2637">
        <v>-1.0556742299999999</v>
      </c>
      <c r="AH2637">
        <v>37.904374443636797</v>
      </c>
      <c r="AI2637">
        <v>91.574704130611494</v>
      </c>
      <c r="AJ2637">
        <v>80.773979244157402</v>
      </c>
      <c r="AK2637">
        <v>38.415656716348302</v>
      </c>
    </row>
    <row r="2638" spans="1:37" x14ac:dyDescent="0.2">
      <c r="A2638" t="str">
        <f>"20200111155549188"</f>
        <v>20200111155549188</v>
      </c>
      <c r="B2638" t="str">
        <f>"1578729349185110"</f>
        <v>1578729349185110</v>
      </c>
      <c r="C2638" t="s">
        <v>37</v>
      </c>
      <c r="D2638">
        <v>5.1256440000000003</v>
      </c>
      <c r="E2638">
        <v>0.54816980000000004</v>
      </c>
      <c r="F2638" t="s">
        <v>59</v>
      </c>
      <c r="G2638">
        <v>-385.91680000000002</v>
      </c>
      <c r="H2638" s="1">
        <v>1.6118190000000001E-6</v>
      </c>
      <c r="I2638">
        <v>286.11169999999998</v>
      </c>
      <c r="J2638">
        <v>-362.4151</v>
      </c>
      <c r="K2638">
        <v>1.1048370000000001</v>
      </c>
      <c r="L2638">
        <v>284.31380000000001</v>
      </c>
      <c r="M2638">
        <v>-0.99959449999999905</v>
      </c>
      <c r="N2638">
        <v>0</v>
      </c>
      <c r="O2638">
        <v>-2.4431399999999999E-2</v>
      </c>
      <c r="P2638">
        <v>-0.99809919999999996</v>
      </c>
      <c r="Q2638">
        <v>2.6003370000000001E-2</v>
      </c>
      <c r="R2638">
        <v>-5.5875899999999999E-2</v>
      </c>
      <c r="S2638">
        <v>-3.0193180000000002</v>
      </c>
      <c r="T2638">
        <v>-0.12659880000000001</v>
      </c>
      <c r="U2638">
        <v>0.1980286</v>
      </c>
      <c r="V2638">
        <v>-3.1469919999999998E-2</v>
      </c>
      <c r="W2638">
        <v>4.0618040000000001E-2</v>
      </c>
      <c r="X2638">
        <v>0.99867899999999998</v>
      </c>
      <c r="Y2638">
        <v>8.9708769999999993E-2</v>
      </c>
      <c r="Z2638">
        <v>2.90097599999999E-3</v>
      </c>
      <c r="AA2638">
        <v>0.99596379999999995</v>
      </c>
      <c r="AB2638">
        <v>35</v>
      </c>
      <c r="AC2638">
        <v>-23.5017</v>
      </c>
      <c r="AD2638">
        <v>-1.104835388181</v>
      </c>
      <c r="AE2638">
        <v>1.7978999999999701</v>
      </c>
      <c r="AF2638">
        <v>2.3664047139365301</v>
      </c>
      <c r="AG2638">
        <v>-1.104835388181</v>
      </c>
      <c r="AH2638">
        <v>23.399341358888702</v>
      </c>
      <c r="AI2638">
        <v>92.689600703758202</v>
      </c>
      <c r="AJ2638">
        <v>84.2252397895938</v>
      </c>
      <c r="AK2638">
        <v>23.5446322658673</v>
      </c>
    </row>
    <row r="2639" spans="1:37" x14ac:dyDescent="0.2">
      <c r="A2639" t="str">
        <f>"20200111155549200"</f>
        <v>20200111155549200</v>
      </c>
      <c r="B2639" t="str">
        <f>"1578729349194871"</f>
        <v>1578729349194871</v>
      </c>
      <c r="C2639" t="s">
        <v>37</v>
      </c>
      <c r="D2639">
        <v>5.0393369999999997</v>
      </c>
      <c r="E2639">
        <v>0.55010340000000002</v>
      </c>
      <c r="F2639" t="s">
        <v>59</v>
      </c>
      <c r="G2639">
        <v>-392.64030000000002</v>
      </c>
      <c r="H2639" s="1">
        <v>-1.3177209999999999E-7</v>
      </c>
      <c r="I2639">
        <v>286.36930000000001</v>
      </c>
      <c r="J2639">
        <v>-362.611999999999</v>
      </c>
      <c r="K2639">
        <v>1.1048359999999999</v>
      </c>
      <c r="L2639">
        <v>284.30900000000003</v>
      </c>
      <c r="M2639">
        <v>-0.9995946</v>
      </c>
      <c r="N2639">
        <v>0</v>
      </c>
      <c r="O2639">
        <v>-2.4431379999999999E-2</v>
      </c>
      <c r="P2639">
        <v>-0.99808390000000002</v>
      </c>
      <c r="Q2639">
        <v>2.6169850000000001E-2</v>
      </c>
      <c r="R2639">
        <v>-5.6071999999999997E-2</v>
      </c>
      <c r="S2639">
        <v>-3.0200809999999998</v>
      </c>
      <c r="T2639">
        <v>-0.110394699999999</v>
      </c>
      <c r="U2639">
        <v>0.20538329999999999</v>
      </c>
      <c r="V2639">
        <v>-3.1666380000000001E-2</v>
      </c>
      <c r="W2639">
        <v>4.0782409999999998E-2</v>
      </c>
      <c r="X2639">
        <v>0.9986661</v>
      </c>
      <c r="Y2639">
        <v>9.2129119999999995E-2</v>
      </c>
      <c r="Z2639">
        <v>2.5732620000000002E-3</v>
      </c>
      <c r="AA2639">
        <v>0.99574379999999996</v>
      </c>
      <c r="AB2639">
        <v>34</v>
      </c>
      <c r="AC2639">
        <v>-30.028300000000002</v>
      </c>
      <c r="AD2639">
        <v>-1.1048361317721</v>
      </c>
      <c r="AE2639">
        <v>2.0602999999999798</v>
      </c>
      <c r="AF2639">
        <v>2.7896373730516899</v>
      </c>
      <c r="AG2639">
        <v>-1.1048361317721</v>
      </c>
      <c r="AH2639">
        <v>29.9286678594666</v>
      </c>
      <c r="AI2639">
        <v>92.105034493129807</v>
      </c>
      <c r="AJ2639">
        <v>84.674872764290498</v>
      </c>
      <c r="AK2639">
        <v>30.078695107891001</v>
      </c>
    </row>
    <row r="2640" spans="1:37" x14ac:dyDescent="0.2">
      <c r="A2640" t="str">
        <f>"20200111155549214"</f>
        <v>20200111155549214</v>
      </c>
      <c r="B2640" t="str">
        <f>"1578729349204632"</f>
        <v>1578729349204632</v>
      </c>
      <c r="C2640" t="s">
        <v>37</v>
      </c>
      <c r="D2640">
        <v>5.3494799999999998</v>
      </c>
      <c r="E2640">
        <v>0.5519153</v>
      </c>
      <c r="F2640" t="s">
        <v>59</v>
      </c>
      <c r="G2640">
        <v>-397.31369999999998</v>
      </c>
      <c r="H2640" s="1">
        <v>2.3551699999999999E-6</v>
      </c>
      <c r="I2640">
        <v>286.85070000000002</v>
      </c>
      <c r="J2640">
        <v>-362.81979999999999</v>
      </c>
      <c r="K2640">
        <v>1.104835</v>
      </c>
      <c r="L2640">
        <v>284.30399999999997</v>
      </c>
      <c r="M2640">
        <v>-0.99959449999999905</v>
      </c>
      <c r="N2640">
        <v>0</v>
      </c>
      <c r="O2640">
        <v>-2.4431370000000001E-2</v>
      </c>
      <c r="P2640">
        <v>-0.99807570000000001</v>
      </c>
      <c r="Q2640">
        <v>2.6268710000000001E-2</v>
      </c>
      <c r="R2640">
        <v>-5.6168790000000003E-2</v>
      </c>
      <c r="S2640">
        <v>-3.020721</v>
      </c>
      <c r="T2640">
        <v>-9.6173880000000003E-2</v>
      </c>
      <c r="U2640">
        <v>0.22125239999999999</v>
      </c>
      <c r="V2640">
        <v>-3.1763399999999997E-2</v>
      </c>
      <c r="W2640">
        <v>4.0879119999999998E-2</v>
      </c>
      <c r="X2640">
        <v>0.99865910000000002</v>
      </c>
      <c r="Y2640">
        <v>9.7334729999999994E-2</v>
      </c>
      <c r="Z2640">
        <v>2.3238209999999998E-3</v>
      </c>
      <c r="AA2640">
        <v>0.99524899999999905</v>
      </c>
      <c r="AB2640">
        <v>34</v>
      </c>
      <c r="AC2640">
        <v>-34.493899999999996</v>
      </c>
      <c r="AD2640">
        <v>-1.1048326448300001</v>
      </c>
      <c r="AE2640">
        <v>2.54669999999998</v>
      </c>
      <c r="AF2640">
        <v>3.3853088817341899</v>
      </c>
      <c r="AG2640">
        <v>-1.1048326448300001</v>
      </c>
      <c r="AH2640">
        <v>34.386289752232798</v>
      </c>
      <c r="AI2640">
        <v>91.831434317774395</v>
      </c>
      <c r="AJ2640">
        <v>84.377384679601093</v>
      </c>
      <c r="AK2640">
        <v>34.570187941669403</v>
      </c>
    </row>
    <row r="2641" spans="1:37" x14ac:dyDescent="0.2">
      <c r="A2641" t="str">
        <f>"20200111155549227"</f>
        <v>20200111155549227</v>
      </c>
      <c r="B2641" t="str">
        <f>"1578729349225127"</f>
        <v>1578729349225127</v>
      </c>
      <c r="C2641" t="s">
        <v>37</v>
      </c>
      <c r="D2641">
        <v>5.0616810000000001</v>
      </c>
      <c r="E2641">
        <v>0.55323500000000003</v>
      </c>
      <c r="F2641" t="s">
        <v>59</v>
      </c>
      <c r="G2641">
        <v>-397.74650000000003</v>
      </c>
      <c r="H2641" s="1">
        <v>2.5855219999999998E-6</v>
      </c>
      <c r="I2641">
        <v>287.02440000000001</v>
      </c>
      <c r="J2641">
        <v>-363.02210000000002</v>
      </c>
      <c r="K2641">
        <v>1.1048340000000001</v>
      </c>
      <c r="L2641">
        <v>284.29899999999998</v>
      </c>
      <c r="M2641">
        <v>-0.9995946</v>
      </c>
      <c r="N2641">
        <v>0</v>
      </c>
      <c r="O2641">
        <v>-2.4431359999999999E-2</v>
      </c>
      <c r="P2641">
        <v>-0.99807819999999903</v>
      </c>
      <c r="Q2641">
        <v>2.6013939999999999E-2</v>
      </c>
      <c r="R2641">
        <v>-5.624212E-2</v>
      </c>
      <c r="S2641">
        <v>-3.0215450000000001</v>
      </c>
      <c r="T2641">
        <v>-9.5580219999999994E-2</v>
      </c>
      <c r="U2641">
        <v>0.23535159999999999</v>
      </c>
      <c r="V2641">
        <v>-3.18366E-2</v>
      </c>
      <c r="W2641">
        <v>4.0622810000000002E-2</v>
      </c>
      <c r="X2641">
        <v>0.99866719999999898</v>
      </c>
      <c r="Y2641">
        <v>0.1019301</v>
      </c>
      <c r="Z2641">
        <v>2.3810150000000002E-3</v>
      </c>
      <c r="AA2641">
        <v>0.99478869999999897</v>
      </c>
      <c r="AB2641">
        <v>34</v>
      </c>
      <c r="AC2641">
        <v>-34.724400000000003</v>
      </c>
      <c r="AD2641">
        <v>-1.104831414478</v>
      </c>
      <c r="AE2641">
        <v>2.7253999999999698</v>
      </c>
      <c r="AF2641">
        <v>3.5694499774290702</v>
      </c>
      <c r="AG2641">
        <v>-1.104831414478</v>
      </c>
      <c r="AH2641">
        <v>34.612615647328198</v>
      </c>
      <c r="AI2641">
        <v>91.818616793507303</v>
      </c>
      <c r="AJ2641">
        <v>84.112146423754396</v>
      </c>
      <c r="AK2641">
        <v>34.813715509055498</v>
      </c>
    </row>
    <row r="2642" spans="1:37" x14ac:dyDescent="0.2">
      <c r="A2642" t="str">
        <f>"20200111155549242"</f>
        <v>20200111155549242</v>
      </c>
      <c r="B2642" t="str">
        <f>"1578729349234887"</f>
        <v>1578729349234887</v>
      </c>
      <c r="C2642" t="s">
        <v>37</v>
      </c>
      <c r="D2642">
        <v>5.0396570000000001</v>
      </c>
      <c r="E2642">
        <v>0.55382019999999998</v>
      </c>
      <c r="F2642" t="s">
        <v>61</v>
      </c>
      <c r="G2642">
        <v>-401.8252</v>
      </c>
      <c r="H2642" s="1">
        <v>7.00505099999999E-6</v>
      </c>
      <c r="I2642">
        <v>287.46100000000001</v>
      </c>
      <c r="J2642">
        <v>-363.25290000000001</v>
      </c>
      <c r="K2642">
        <v>1.104833</v>
      </c>
      <c r="L2642">
        <v>284.29329999999999</v>
      </c>
      <c r="M2642">
        <v>-0.9995946</v>
      </c>
      <c r="N2642">
        <v>0</v>
      </c>
      <c r="O2642">
        <v>-2.4431580000000001E-2</v>
      </c>
      <c r="P2642">
        <v>-0.99807069999999998</v>
      </c>
      <c r="Q2642">
        <v>2.5918050000000002E-2</v>
      </c>
      <c r="R2642">
        <v>-5.6419669999999998E-2</v>
      </c>
      <c r="S2642">
        <v>-3.0218509999999998</v>
      </c>
      <c r="T2642">
        <v>-8.6040140000000001E-2</v>
      </c>
      <c r="U2642">
        <v>0.246246299999999</v>
      </c>
      <c r="V2642">
        <v>-3.2013859999999998E-2</v>
      </c>
      <c r="W2642">
        <v>4.052418E-2</v>
      </c>
      <c r="X2642">
        <v>0.99866559999999904</v>
      </c>
      <c r="Y2642">
        <v>0.1054963</v>
      </c>
      <c r="Z2642">
        <v>2.193628E-3</v>
      </c>
      <c r="AA2642">
        <v>0.99441729999999995</v>
      </c>
      <c r="AB2642">
        <v>34</v>
      </c>
      <c r="AC2642">
        <v>-38.572299999999899</v>
      </c>
      <c r="AD2642">
        <v>-1.104825994949</v>
      </c>
      <c r="AE2642">
        <v>3.1677000000000199</v>
      </c>
      <c r="AF2642">
        <v>4.1058912196113102</v>
      </c>
      <c r="AG2642">
        <v>-1.104825994949</v>
      </c>
      <c r="AH2642">
        <v>38.452048162168502</v>
      </c>
      <c r="AI2642">
        <v>91.636503884704396</v>
      </c>
      <c r="AJ2642">
        <v>83.905078682065195</v>
      </c>
      <c r="AK2642">
        <v>38.686418689924302</v>
      </c>
    </row>
    <row r="2643" spans="1:37" x14ac:dyDescent="0.2">
      <c r="A2643" t="str">
        <f>"20200111155549256"</f>
        <v>20200111155549256</v>
      </c>
      <c r="B2643" t="str">
        <f>"1578729349244648"</f>
        <v>1578729349244648</v>
      </c>
      <c r="C2643" t="s">
        <v>37</v>
      </c>
      <c r="D2643">
        <v>5.1228569999999998</v>
      </c>
      <c r="E2643">
        <v>0.55455109999999996</v>
      </c>
      <c r="F2643" t="s">
        <v>61</v>
      </c>
      <c r="G2643">
        <v>-403.34249999999997</v>
      </c>
      <c r="H2643" s="1">
        <v>6.3000519999999902E-6</v>
      </c>
      <c r="I2643">
        <v>287.61649999999997</v>
      </c>
      <c r="J2643">
        <v>-363.46350000000001</v>
      </c>
      <c r="K2643">
        <v>1.1048290000000001</v>
      </c>
      <c r="L2643">
        <v>284.28820000000002</v>
      </c>
      <c r="M2643">
        <v>-0.9995946</v>
      </c>
      <c r="N2643">
        <v>0</v>
      </c>
      <c r="O2643">
        <v>-2.4431560000000001E-2</v>
      </c>
      <c r="P2643">
        <v>-0.99807199999999996</v>
      </c>
      <c r="Q2643">
        <v>2.5859819999999999E-2</v>
      </c>
      <c r="R2643">
        <v>-5.6422470000000002E-2</v>
      </c>
      <c r="S2643">
        <v>-3.022125</v>
      </c>
      <c r="T2643">
        <v>-8.3286639999999995E-2</v>
      </c>
      <c r="U2643">
        <v>0.25051879999999999</v>
      </c>
      <c r="V2643">
        <v>-3.2017280000000002E-2</v>
      </c>
      <c r="W2643">
        <v>4.0464149999999997E-2</v>
      </c>
      <c r="X2643">
        <v>0.99866790000000005</v>
      </c>
      <c r="Y2643">
        <v>0.106888</v>
      </c>
      <c r="Z2643">
        <v>2.142283E-3</v>
      </c>
      <c r="AA2643">
        <v>0.99426879999999995</v>
      </c>
      <c r="AB2643">
        <v>34</v>
      </c>
      <c r="AC2643">
        <v>-39.878999999999898</v>
      </c>
      <c r="AD2643">
        <v>-1.104822699948</v>
      </c>
      <c r="AE2643">
        <v>3.3282999999999499</v>
      </c>
      <c r="AF2643">
        <v>4.2984402557230599</v>
      </c>
      <c r="AG2643">
        <v>-1.104822699948</v>
      </c>
      <c r="AH2643">
        <v>39.755466985200798</v>
      </c>
      <c r="AI2643">
        <v>91.582647077634505</v>
      </c>
      <c r="AJ2643">
        <v>83.8290386468138</v>
      </c>
      <c r="AK2643">
        <v>40.002429639232297</v>
      </c>
    </row>
    <row r="2644" spans="1:37" x14ac:dyDescent="0.2">
      <c r="A2644" t="str">
        <f>"20200111155549275"</f>
        <v>20200111155549275</v>
      </c>
      <c r="B2644" t="str">
        <f>"1578729349265143"</f>
        <v>1578729349265143</v>
      </c>
      <c r="C2644" t="s">
        <v>37</v>
      </c>
      <c r="D2644">
        <v>4.968515</v>
      </c>
      <c r="E2644">
        <v>0.55498239999999999</v>
      </c>
      <c r="F2644" t="s">
        <v>61</v>
      </c>
      <c r="G2644">
        <v>-405.68450000000001</v>
      </c>
      <c r="H2644" s="1">
        <v>5.2084470000000002E-6</v>
      </c>
      <c r="I2644">
        <v>287.87310000000002</v>
      </c>
      <c r="J2644">
        <v>-363.7611</v>
      </c>
      <c r="K2644">
        <v>1.10483</v>
      </c>
      <c r="L2644">
        <v>284.28089999999997</v>
      </c>
      <c r="M2644">
        <v>-0.99959469999999995</v>
      </c>
      <c r="N2644">
        <v>0</v>
      </c>
      <c r="O2644">
        <v>-2.4431660000000001E-2</v>
      </c>
      <c r="P2644">
        <v>-0.99806399999999995</v>
      </c>
      <c r="Q2644">
        <v>2.5975069999999999E-2</v>
      </c>
      <c r="R2644">
        <v>-5.6511770000000003E-2</v>
      </c>
      <c r="S2644">
        <v>-3.0223689999999999</v>
      </c>
      <c r="T2644">
        <v>-7.9088210000000006E-2</v>
      </c>
      <c r="U2644">
        <v>0.25662229999999903</v>
      </c>
      <c r="V2644">
        <v>-3.2106660000000002E-2</v>
      </c>
      <c r="W2644">
        <v>4.0576580000000001E-2</v>
      </c>
      <c r="X2644">
        <v>0.998660399999999</v>
      </c>
      <c r="Y2644">
        <v>0.1088793</v>
      </c>
      <c r="Z2644">
        <v>2.0600029999999999E-3</v>
      </c>
      <c r="AA2644">
        <v>0.99405279999999996</v>
      </c>
      <c r="AB2644">
        <v>34</v>
      </c>
      <c r="AC2644">
        <v>-41.923400000000001</v>
      </c>
      <c r="AD2644">
        <v>-1.1048247915530001</v>
      </c>
      <c r="AE2644">
        <v>3.59220000000004</v>
      </c>
      <c r="AF2644">
        <v>4.6123152172445296</v>
      </c>
      <c r="AG2644">
        <v>-1.1048247915530001</v>
      </c>
      <c r="AH2644">
        <v>41.794295824312698</v>
      </c>
      <c r="AI2644">
        <v>91.505117833112607</v>
      </c>
      <c r="AJ2644">
        <v>83.702462293813795</v>
      </c>
      <c r="AK2644">
        <v>42.062539782250603</v>
      </c>
    </row>
    <row r="2645" spans="1:37" x14ac:dyDescent="0.2">
      <c r="A2645" t="str">
        <f>"20200111155549289"</f>
        <v>20200111155549289</v>
      </c>
      <c r="B2645" t="str">
        <f>"1578729349284664"</f>
        <v>1578729349284664</v>
      </c>
      <c r="C2645" t="s">
        <v>37</v>
      </c>
      <c r="D2645">
        <v>4.985493</v>
      </c>
      <c r="E2645">
        <v>0.555454</v>
      </c>
      <c r="F2645" t="s">
        <v>61</v>
      </c>
      <c r="G2645">
        <v>-407.82339999999999</v>
      </c>
      <c r="H2645" s="1">
        <v>4.2195199999999997E-6</v>
      </c>
      <c r="I2645">
        <v>288.06869999999998</v>
      </c>
      <c r="J2645">
        <v>-363.9726</v>
      </c>
      <c r="K2645">
        <v>1.104835</v>
      </c>
      <c r="L2645">
        <v>284.2758</v>
      </c>
      <c r="M2645">
        <v>-0.99959469999999995</v>
      </c>
      <c r="N2645">
        <v>0</v>
      </c>
      <c r="O2645">
        <v>-2.4431649999999999E-2</v>
      </c>
      <c r="P2645">
        <v>-0.99806090000000003</v>
      </c>
      <c r="Q2645">
        <v>2.6161179999999999E-2</v>
      </c>
      <c r="R2645">
        <v>-5.648156E-2</v>
      </c>
      <c r="S2645">
        <v>-3.0225219999999999</v>
      </c>
      <c r="T2645">
        <v>-7.5787190000000004E-2</v>
      </c>
      <c r="U2645">
        <v>0.25982670000000002</v>
      </c>
      <c r="V2645">
        <v>-3.2075939999999997E-2</v>
      </c>
      <c r="W2645">
        <v>4.0760020000000001E-2</v>
      </c>
      <c r="X2645">
        <v>0.99865389999999998</v>
      </c>
      <c r="Y2645">
        <v>0.1099246</v>
      </c>
      <c r="Z2645">
        <v>1.9869419999999998E-3</v>
      </c>
      <c r="AA2645">
        <v>0.99393799999999899</v>
      </c>
      <c r="AB2645">
        <v>34</v>
      </c>
      <c r="AC2645">
        <v>-43.8507999999999</v>
      </c>
      <c r="AD2645">
        <v>-1.1048307804799999</v>
      </c>
      <c r="AE2645">
        <v>3.7928999999999702</v>
      </c>
      <c r="AF2645">
        <v>4.8601670660652401</v>
      </c>
      <c r="AG2645">
        <v>-1.1048307804799999</v>
      </c>
      <c r="AH2645">
        <v>43.717485408463801</v>
      </c>
      <c r="AI2645">
        <v>91.438813792375996</v>
      </c>
      <c r="AJ2645">
        <v>83.656353370557994</v>
      </c>
      <c r="AK2645">
        <v>44.000686419677699</v>
      </c>
    </row>
    <row r="2646" spans="1:37" x14ac:dyDescent="0.2">
      <c r="A2646" t="str">
        <f>"20200111155549310"</f>
        <v>20200111155549310</v>
      </c>
      <c r="B2646" t="str">
        <f>"1578729349305159"</f>
        <v>1578729349305159</v>
      </c>
      <c r="C2646" t="s">
        <v>37</v>
      </c>
      <c r="D2646">
        <v>5.0514130000000002</v>
      </c>
      <c r="E2646">
        <v>0.55574730000000006</v>
      </c>
      <c r="F2646" t="s">
        <v>61</v>
      </c>
      <c r="G2646">
        <v>-409.34399999999999</v>
      </c>
      <c r="H2646" s="1">
        <v>3.5104069999999999E-6</v>
      </c>
      <c r="I2646">
        <v>288.23719999999997</v>
      </c>
      <c r="J2646">
        <v>-364.27890000000002</v>
      </c>
      <c r="K2646">
        <v>1.10484</v>
      </c>
      <c r="L2646">
        <v>284.26830000000001</v>
      </c>
      <c r="M2646">
        <v>-0.99959469999999995</v>
      </c>
      <c r="N2646">
        <v>0</v>
      </c>
      <c r="O2646">
        <v>-2.4431620000000001E-2</v>
      </c>
      <c r="P2646">
        <v>-0.99804159999999997</v>
      </c>
      <c r="Q2646">
        <v>2.6691590000000001E-2</v>
      </c>
      <c r="R2646">
        <v>-5.6572020000000001E-2</v>
      </c>
      <c r="S2646">
        <v>-3.0227360000000001</v>
      </c>
      <c r="T2646">
        <v>-7.3606130000000006E-2</v>
      </c>
      <c r="U2646">
        <v>0.26391599999999998</v>
      </c>
      <c r="V2646">
        <v>-3.2167139999999997E-2</v>
      </c>
      <c r="W2646">
        <v>4.1286959999999998E-2</v>
      </c>
      <c r="X2646">
        <v>0.9986294</v>
      </c>
      <c r="Y2646">
        <v>0.111255199999999</v>
      </c>
      <c r="Z2646">
        <v>1.9456979999999901E-3</v>
      </c>
      <c r="AA2646">
        <v>0.99378999999999995</v>
      </c>
      <c r="AB2646">
        <v>34</v>
      </c>
      <c r="AC2646">
        <v>-45.065099999999902</v>
      </c>
      <c r="AD2646">
        <v>-1.1048364895930001</v>
      </c>
      <c r="AE2646">
        <v>3.9688999999999601</v>
      </c>
      <c r="AF2646">
        <v>5.0658245999253904</v>
      </c>
      <c r="AG2646">
        <v>-1.1048364895930001</v>
      </c>
      <c r="AH2646">
        <v>44.927871988249201</v>
      </c>
      <c r="AI2646">
        <v>91.399829200675796</v>
      </c>
      <c r="AJ2646">
        <v>83.566808028032</v>
      </c>
      <c r="AK2646">
        <v>45.226064652349002</v>
      </c>
    </row>
    <row r="2647" spans="1:37" x14ac:dyDescent="0.2">
      <c r="A2647" t="str">
        <f>"20200111155549324"</f>
        <v>20200111155549324</v>
      </c>
      <c r="B2647" t="str">
        <f>"1578729349314919"</f>
        <v>1578729349314919</v>
      </c>
      <c r="C2647" t="s">
        <v>37</v>
      </c>
      <c r="D2647">
        <v>5.0185339999999998</v>
      </c>
      <c r="E2647">
        <v>0.55576649999999905</v>
      </c>
      <c r="F2647" t="s">
        <v>61</v>
      </c>
      <c r="G2647">
        <v>-411.28</v>
      </c>
      <c r="H2647" s="1">
        <v>2.1015379999999999E-6</v>
      </c>
      <c r="I2647">
        <v>288.40550000000002</v>
      </c>
      <c r="J2647">
        <v>-364.50670000000002</v>
      </c>
      <c r="K2647">
        <v>1.10484</v>
      </c>
      <c r="L2647">
        <v>284.2627</v>
      </c>
      <c r="M2647">
        <v>-0.99959489999999995</v>
      </c>
      <c r="N2647">
        <v>0</v>
      </c>
      <c r="O2647">
        <v>-2.443184E-2</v>
      </c>
      <c r="P2647">
        <v>-0.99803609999999898</v>
      </c>
      <c r="Q2647">
        <v>2.667661E-2</v>
      </c>
      <c r="R2647">
        <v>-5.6681189999999999E-2</v>
      </c>
      <c r="S2647">
        <v>-3.0228579999999998</v>
      </c>
      <c r="T2647">
        <v>-7.1057319999999993E-2</v>
      </c>
      <c r="U2647">
        <v>0.26608280000000001</v>
      </c>
      <c r="V2647">
        <v>-3.2276220000000001E-2</v>
      </c>
      <c r="W2647">
        <v>4.126933E-2</v>
      </c>
      <c r="X2647">
        <v>0.99862659999999903</v>
      </c>
      <c r="Y2647">
        <v>0.1119613</v>
      </c>
      <c r="Z2647">
        <v>1.8864960000000001E-3</v>
      </c>
      <c r="AA2647">
        <v>0.99371080000000001</v>
      </c>
      <c r="AB2647">
        <v>34</v>
      </c>
      <c r="AC2647">
        <v>-46.7732999999999</v>
      </c>
      <c r="AD2647">
        <v>-1.104837898462</v>
      </c>
      <c r="AE2647">
        <v>4.1428000000000198</v>
      </c>
      <c r="AF2647">
        <v>5.2815187519365399</v>
      </c>
      <c r="AG2647">
        <v>-1.104837898462</v>
      </c>
      <c r="AH2647">
        <v>46.632291780265199</v>
      </c>
      <c r="AI2647">
        <v>91.3486102827666</v>
      </c>
      <c r="AJ2647">
        <v>83.538282595752705</v>
      </c>
      <c r="AK2647">
        <v>46.943431316731903</v>
      </c>
    </row>
    <row r="2648" spans="1:37" x14ac:dyDescent="0.2">
      <c r="A2648" t="str">
        <f>"20200111155549339"</f>
        <v>20200111155549339</v>
      </c>
      <c r="B2648" t="str">
        <f>"1578729349334440"</f>
        <v>1578729349334440</v>
      </c>
      <c r="C2648" t="s">
        <v>37</v>
      </c>
      <c r="D2648">
        <v>5.0363189999999998</v>
      </c>
      <c r="E2648">
        <v>0.55587019999999998</v>
      </c>
      <c r="F2648" t="s">
        <v>61</v>
      </c>
      <c r="G2648">
        <v>-411.48110000000003</v>
      </c>
      <c r="H2648" s="1">
        <v>2.1382069999999899E-6</v>
      </c>
      <c r="I2648">
        <v>288.39420000000001</v>
      </c>
      <c r="J2648">
        <v>-364.72789999999998</v>
      </c>
      <c r="K2648">
        <v>1.10484</v>
      </c>
      <c r="L2648">
        <v>284.25729999999999</v>
      </c>
      <c r="M2648">
        <v>-0.99959489999999995</v>
      </c>
      <c r="N2648">
        <v>0</v>
      </c>
      <c r="O2648">
        <v>-2.4431830000000002E-2</v>
      </c>
      <c r="P2648">
        <v>-0.99802789999999997</v>
      </c>
      <c r="Q2648">
        <v>2.6686700000000001E-2</v>
      </c>
      <c r="R2648">
        <v>-5.6822619999999997E-2</v>
      </c>
      <c r="S2648">
        <v>-3.022888</v>
      </c>
      <c r="T2648">
        <v>-7.1098330000000001E-2</v>
      </c>
      <c r="U2648">
        <v>0.26586909999999903</v>
      </c>
      <c r="V2648">
        <v>-3.2417639999999998E-2</v>
      </c>
      <c r="W2648">
        <v>4.1277429999999997E-2</v>
      </c>
      <c r="X2648">
        <v>0.99862169999999895</v>
      </c>
      <c r="Y2648">
        <v>0.1118907</v>
      </c>
      <c r="Z2648">
        <v>1.8867420000000001E-3</v>
      </c>
      <c r="AA2648">
        <v>0.99371869999999995</v>
      </c>
      <c r="AB2648">
        <v>34</v>
      </c>
      <c r="AC2648">
        <v>-46.7532</v>
      </c>
      <c r="AD2648">
        <v>-1.1048378617929999</v>
      </c>
      <c r="AE2648">
        <v>4.1369000000000202</v>
      </c>
      <c r="AF2648">
        <v>5.2751298951802097</v>
      </c>
      <c r="AG2648">
        <v>-1.1048378617929999</v>
      </c>
      <c r="AH2648">
        <v>46.612330457186502</v>
      </c>
      <c r="AI2648">
        <v>91.349200906650495</v>
      </c>
      <c r="AJ2648">
        <v>83.543292583653297</v>
      </c>
      <c r="AK2648">
        <v>46.922883679094497</v>
      </c>
    </row>
    <row r="2649" spans="1:37" x14ac:dyDescent="0.2">
      <c r="A2649" t="str">
        <f>"20200111155549352"</f>
        <v>20200111155549352</v>
      </c>
      <c r="B2649" t="str">
        <f>"1578729349345175"</f>
        <v>1578729349345175</v>
      </c>
      <c r="C2649" t="s">
        <v>37</v>
      </c>
      <c r="D2649">
        <v>5.0080080000000002</v>
      </c>
      <c r="E2649">
        <v>0.55594119999999903</v>
      </c>
      <c r="F2649" t="s">
        <v>61</v>
      </c>
      <c r="G2649">
        <v>-412.36779999999999</v>
      </c>
      <c r="H2649" s="1">
        <v>2.2900539999999999E-6</v>
      </c>
      <c r="I2649">
        <v>288.4563</v>
      </c>
      <c r="J2649">
        <v>-364.94589999999999</v>
      </c>
      <c r="K2649">
        <v>1.1048389999999999</v>
      </c>
      <c r="L2649">
        <v>284.25200000000001</v>
      </c>
      <c r="M2649">
        <v>-0.99959489999999995</v>
      </c>
      <c r="N2649">
        <v>0</v>
      </c>
      <c r="O2649">
        <v>-2.4431810000000002E-2</v>
      </c>
      <c r="P2649">
        <v>-0.99802199999999996</v>
      </c>
      <c r="Q2649">
        <v>2.6619730000000001E-2</v>
      </c>
      <c r="R2649">
        <v>-5.6951499999999898E-2</v>
      </c>
      <c r="S2649">
        <v>-3.02298</v>
      </c>
      <c r="T2649">
        <v>-7.0107219999999998E-2</v>
      </c>
      <c r="U2649">
        <v>0.26644899999999999</v>
      </c>
      <c r="V2649">
        <v>-3.254725E-2</v>
      </c>
      <c r="W2649">
        <v>4.1208349999999998E-2</v>
      </c>
      <c r="X2649">
        <v>0.99862030000000002</v>
      </c>
      <c r="Y2649">
        <v>0.112078199999999</v>
      </c>
      <c r="Z2649">
        <v>1.8625460000000001E-3</v>
      </c>
      <c r="AA2649">
        <v>0.99369759999999996</v>
      </c>
      <c r="AB2649">
        <v>34</v>
      </c>
      <c r="AC2649">
        <v>-47.421900000000001</v>
      </c>
      <c r="AD2649">
        <v>-1.1048367099459999</v>
      </c>
      <c r="AE2649">
        <v>4.2042999999999804</v>
      </c>
      <c r="AF2649">
        <v>5.3588849690995897</v>
      </c>
      <c r="AG2649">
        <v>-1.1048367099459999</v>
      </c>
      <c r="AH2649">
        <v>47.279548776208898</v>
      </c>
      <c r="AI2649">
        <v>91.330140288641601</v>
      </c>
      <c r="AJ2649">
        <v>83.533426457971004</v>
      </c>
      <c r="AK2649">
        <v>47.595105260411003</v>
      </c>
    </row>
    <row r="2650" spans="1:37" x14ac:dyDescent="0.2">
      <c r="A2650" t="str">
        <f>"20200111155549376"</f>
        <v>20200111155549376</v>
      </c>
      <c r="B2650" t="str">
        <f>"1578729349364694"</f>
        <v>1578729349364694</v>
      </c>
      <c r="C2650" t="s">
        <v>37</v>
      </c>
      <c r="D2650">
        <v>5.0908350000000002</v>
      </c>
      <c r="E2650">
        <v>0.555774199999999</v>
      </c>
      <c r="F2650" t="s">
        <v>61</v>
      </c>
      <c r="G2650">
        <v>-412.55450000000002</v>
      </c>
      <c r="H2650" s="1">
        <v>2.323626E-6</v>
      </c>
      <c r="I2650">
        <v>288.4511</v>
      </c>
      <c r="J2650">
        <v>-365.29090000000002</v>
      </c>
      <c r="K2650">
        <v>1.104838</v>
      </c>
      <c r="L2650">
        <v>284.24360000000001</v>
      </c>
      <c r="M2650">
        <v>-0.99959489999999995</v>
      </c>
      <c r="N2650">
        <v>0</v>
      </c>
      <c r="O2650">
        <v>-2.4431899999999999E-2</v>
      </c>
      <c r="P2650">
        <v>-0.99803339999999996</v>
      </c>
      <c r="Q2650">
        <v>2.622729E-2</v>
      </c>
      <c r="R2650">
        <v>-5.6937120000000001E-2</v>
      </c>
      <c r="S2650">
        <v>-3.02300999999999</v>
      </c>
      <c r="T2650">
        <v>-7.0154069999999999E-2</v>
      </c>
      <c r="U2650">
        <v>0.26663209999999998</v>
      </c>
      <c r="V2650">
        <v>-3.2531589999999999E-2</v>
      </c>
      <c r="W2650">
        <v>4.0812429999999997E-2</v>
      </c>
      <c r="X2650">
        <v>0.99863709999999895</v>
      </c>
      <c r="Y2650">
        <v>0.1121371</v>
      </c>
      <c r="Z2650">
        <v>1.864451E-3</v>
      </c>
      <c r="AA2650">
        <v>0.99369099999999999</v>
      </c>
      <c r="AB2650">
        <v>34</v>
      </c>
      <c r="AC2650">
        <v>-47.263599999999997</v>
      </c>
      <c r="AD2650">
        <v>-1.1048356763739999</v>
      </c>
      <c r="AE2650">
        <v>4.20749999999998</v>
      </c>
      <c r="AF2650">
        <v>5.3582014858478804</v>
      </c>
      <c r="AG2650">
        <v>-1.1048356763739999</v>
      </c>
      <c r="AH2650">
        <v>47.121134092761999</v>
      </c>
      <c r="AI2650">
        <v>91.334554362685594</v>
      </c>
      <c r="AJ2650">
        <v>83.512692258721401</v>
      </c>
      <c r="AK2650">
        <v>47.437667135123696</v>
      </c>
    </row>
    <row r="2651" spans="1:37" x14ac:dyDescent="0.2">
      <c r="A2651" t="str">
        <f>"20200111155549390"</f>
        <v>20200111155549390</v>
      </c>
      <c r="B2651" t="str">
        <f>"1578729349385191"</f>
        <v>1578729349385191</v>
      </c>
      <c r="C2651" t="s">
        <v>37</v>
      </c>
      <c r="D2651">
        <v>4.9470390000000002</v>
      </c>
      <c r="E2651">
        <v>0.55618819999999902</v>
      </c>
      <c r="F2651" t="s">
        <v>61</v>
      </c>
      <c r="G2651">
        <v>-411.6551</v>
      </c>
      <c r="H2651" s="1">
        <v>2.1762570000000001E-6</v>
      </c>
      <c r="I2651">
        <v>288.31200000000001</v>
      </c>
      <c r="J2651">
        <v>-365.50009999999997</v>
      </c>
      <c r="K2651">
        <v>1.104841</v>
      </c>
      <c r="L2651">
        <v>284.23840000000001</v>
      </c>
      <c r="M2651">
        <v>-0.99959500000000001</v>
      </c>
      <c r="N2651">
        <v>0</v>
      </c>
      <c r="O2651">
        <v>-2.4431890000000001E-2</v>
      </c>
      <c r="P2651">
        <v>-0.99803039999999998</v>
      </c>
      <c r="Q2651">
        <v>2.6269299999999999E-2</v>
      </c>
      <c r="R2651">
        <v>-5.6967940000000002E-2</v>
      </c>
      <c r="S2651">
        <v>-3.0229490000000001</v>
      </c>
      <c r="T2651">
        <v>-7.2035310000000005E-2</v>
      </c>
      <c r="U2651">
        <v>0.26525879999999902</v>
      </c>
      <c r="V2651">
        <v>-3.2562969999999997E-2</v>
      </c>
      <c r="W2651">
        <v>4.0851499999999999E-2</v>
      </c>
      <c r="X2651">
        <v>0.99863449999999998</v>
      </c>
      <c r="Y2651">
        <v>0.11168889999999999</v>
      </c>
      <c r="Z2651">
        <v>1.9091799999999999E-3</v>
      </c>
      <c r="AA2651">
        <v>0.9937414</v>
      </c>
      <c r="AB2651">
        <v>34</v>
      </c>
      <c r="AC2651">
        <v>-46.155000000000001</v>
      </c>
      <c r="AD2651">
        <v>-1.104838823743</v>
      </c>
      <c r="AE2651">
        <v>4.0735999999999901</v>
      </c>
      <c r="AF2651">
        <v>5.1972026921492196</v>
      </c>
      <c r="AG2651">
        <v>-1.104838823743</v>
      </c>
      <c r="AH2651">
        <v>46.015519871502498</v>
      </c>
      <c r="AI2651">
        <v>91.366728745738996</v>
      </c>
      <c r="AJ2651">
        <v>83.556061387456396</v>
      </c>
      <c r="AK2651">
        <v>46.321265674572999</v>
      </c>
    </row>
    <row r="2652" spans="1:37" x14ac:dyDescent="0.2">
      <c r="A2652" t="str">
        <f>"20200111155549405"</f>
        <v>20200111155549405</v>
      </c>
      <c r="B2652" t="str">
        <f>"1578729349394951"</f>
        <v>1578729349394951</v>
      </c>
      <c r="C2652" t="s">
        <v>37</v>
      </c>
      <c r="D2652">
        <v>4.9325060000000001</v>
      </c>
      <c r="E2652">
        <v>0.55675149999999995</v>
      </c>
      <c r="F2652" t="s">
        <v>61</v>
      </c>
      <c r="G2652">
        <v>-411.25380000000001</v>
      </c>
      <c r="H2652" s="1">
        <v>2.10615199999999E-6</v>
      </c>
      <c r="I2652">
        <v>288.2996</v>
      </c>
      <c r="J2652">
        <v>-365.73399999999998</v>
      </c>
      <c r="K2652">
        <v>1.10484</v>
      </c>
      <c r="L2652">
        <v>284.23270000000002</v>
      </c>
      <c r="M2652">
        <v>-0.99959509999999996</v>
      </c>
      <c r="N2652">
        <v>0</v>
      </c>
      <c r="O2652">
        <v>-2.4430549999999999E-2</v>
      </c>
      <c r="P2652">
        <v>-0.9980426</v>
      </c>
      <c r="Q2652">
        <v>2.5985020000000001E-2</v>
      </c>
      <c r="R2652">
        <v>-5.6885720000000001E-2</v>
      </c>
      <c r="S2652">
        <v>-3.023193</v>
      </c>
      <c r="T2652">
        <v>-7.3002699999999907E-2</v>
      </c>
      <c r="U2652">
        <v>0.268341099999999</v>
      </c>
      <c r="V2652">
        <v>-3.248144E-2</v>
      </c>
      <c r="W2652">
        <v>4.0565160000000003E-2</v>
      </c>
      <c r="X2652">
        <v>0.9986488</v>
      </c>
      <c r="Y2652">
        <v>0.1126846</v>
      </c>
      <c r="Z2652">
        <v>1.9465350000000001E-3</v>
      </c>
      <c r="AA2652">
        <v>0.99362890000000004</v>
      </c>
      <c r="AB2652">
        <v>34</v>
      </c>
      <c r="AC2652">
        <v>-45.519799999999897</v>
      </c>
      <c r="AD2652">
        <v>-1.1048378938479999</v>
      </c>
      <c r="AE2652">
        <v>4.0668999999999702</v>
      </c>
      <c r="AF2652">
        <v>5.1748535603737897</v>
      </c>
      <c r="AG2652">
        <v>-1.1048378938479999</v>
      </c>
      <c r="AH2652">
        <v>45.380321322198398</v>
      </c>
      <c r="AI2652">
        <v>91.385681647057694</v>
      </c>
      <c r="AJ2652">
        <v>83.494492210252005</v>
      </c>
      <c r="AK2652">
        <v>45.687781073816303</v>
      </c>
    </row>
    <row r="2653" spans="1:37" x14ac:dyDescent="0.2">
      <c r="A2653" t="str">
        <f>"20200111155549420"</f>
        <v>20200111155549420</v>
      </c>
      <c r="B2653" t="str">
        <f>"1578729349414471"</f>
        <v>1578729349414471</v>
      </c>
      <c r="C2653" t="s">
        <v>37</v>
      </c>
      <c r="D2653">
        <v>4.953932</v>
      </c>
      <c r="E2653">
        <v>0.55784119999999904</v>
      </c>
      <c r="F2653" t="s">
        <v>61</v>
      </c>
      <c r="G2653">
        <v>-410.7405</v>
      </c>
      <c r="H2653" s="1">
        <v>2.01531299999999E-6</v>
      </c>
      <c r="I2653">
        <v>288.29730000000001</v>
      </c>
      <c r="J2653">
        <v>-365.96089999999998</v>
      </c>
      <c r="K2653">
        <v>1.1048389999999999</v>
      </c>
      <c r="L2653">
        <v>284.22719999999998</v>
      </c>
      <c r="M2653">
        <v>-0.99959519999999902</v>
      </c>
      <c r="N2653">
        <v>0</v>
      </c>
      <c r="O2653">
        <v>-2.442633E-2</v>
      </c>
      <c r="P2653">
        <v>-0.99806049999999902</v>
      </c>
      <c r="Q2653">
        <v>2.5787870000000001E-2</v>
      </c>
      <c r="R2653">
        <v>-5.6660229999999999E-2</v>
      </c>
      <c r="S2653">
        <v>-3.0233759999999998</v>
      </c>
      <c r="T2653">
        <v>-7.4218989999999999E-2</v>
      </c>
      <c r="U2653">
        <v>0.27304079999999997</v>
      </c>
      <c r="V2653">
        <v>-3.2259790000000003E-2</v>
      </c>
      <c r="W2653">
        <v>4.0365999999999999E-2</v>
      </c>
      <c r="X2653">
        <v>0.99866409999999906</v>
      </c>
      <c r="Y2653">
        <v>0.1142055</v>
      </c>
      <c r="Z2653">
        <v>1.9972269999999999E-3</v>
      </c>
      <c r="AA2653">
        <v>0.99345519999999998</v>
      </c>
      <c r="AB2653">
        <v>34</v>
      </c>
      <c r="AC2653">
        <v>-44.779600000000002</v>
      </c>
      <c r="AD2653">
        <v>-1.1048369846870001</v>
      </c>
      <c r="AE2653">
        <v>4.0701000000000196</v>
      </c>
      <c r="AF2653">
        <v>5.1596878347653403</v>
      </c>
      <c r="AG2653">
        <v>-1.1048369846870001</v>
      </c>
      <c r="AH2653">
        <v>44.6398565328346</v>
      </c>
      <c r="AI2653">
        <v>91.408408754729706</v>
      </c>
      <c r="AJ2653">
        <v>83.406737902382503</v>
      </c>
      <c r="AK2653">
        <v>44.950637755064299</v>
      </c>
    </row>
    <row r="2654" spans="1:37" x14ac:dyDescent="0.2">
      <c r="A2654" t="str">
        <f>"20200111155549432"</f>
        <v>20200111155549432</v>
      </c>
      <c r="B2654" t="str">
        <f>"1578729349425208"</f>
        <v>1578729349425208</v>
      </c>
      <c r="C2654" t="s">
        <v>37</v>
      </c>
      <c r="D2654">
        <v>5.1251239999999996</v>
      </c>
      <c r="E2654">
        <v>0.5585696</v>
      </c>
      <c r="F2654" t="s">
        <v>61</v>
      </c>
      <c r="G2654">
        <v>-410.33800000000002</v>
      </c>
      <c r="H2654" s="1">
        <v>1.9373550000000001E-6</v>
      </c>
      <c r="I2654">
        <v>288.3723</v>
      </c>
      <c r="J2654">
        <v>-366.14789999999999</v>
      </c>
      <c r="K2654">
        <v>1.104832</v>
      </c>
      <c r="L2654">
        <v>284.2226</v>
      </c>
      <c r="M2654">
        <v>-0.99959540000000002</v>
      </c>
      <c r="N2654">
        <v>0</v>
      </c>
      <c r="O2654">
        <v>-2.441778E-2</v>
      </c>
      <c r="P2654">
        <v>-0.99806139999999999</v>
      </c>
      <c r="Q2654">
        <v>2.5676689999999999E-2</v>
      </c>
      <c r="R2654">
        <v>-5.6695740000000001E-2</v>
      </c>
      <c r="S2654">
        <v>-3.0238040000000002</v>
      </c>
      <c r="T2654">
        <v>-7.5282340000000003E-2</v>
      </c>
      <c r="U2654">
        <v>0.28244019999999997</v>
      </c>
      <c r="V2654">
        <v>-3.2303749999999999E-2</v>
      </c>
      <c r="W2654">
        <v>4.0253079999999997E-2</v>
      </c>
      <c r="X2654">
        <v>0.99866719999999898</v>
      </c>
      <c r="Y2654">
        <v>0.117244</v>
      </c>
      <c r="Z2654">
        <v>2.062791E-3</v>
      </c>
      <c r="AA2654">
        <v>0.99310100000000001</v>
      </c>
      <c r="AB2654">
        <v>34</v>
      </c>
      <c r="AC2654">
        <v>-44.190100000000001</v>
      </c>
      <c r="AD2654">
        <v>-1.1048300626450001</v>
      </c>
      <c r="AE2654">
        <v>4.1496999999999904</v>
      </c>
      <c r="AF2654">
        <v>5.2243642992755097</v>
      </c>
      <c r="AG2654">
        <v>-1.1048300626450001</v>
      </c>
      <c r="AH2654">
        <v>44.048290931554597</v>
      </c>
      <c r="AI2654">
        <v>91.426809165507905</v>
      </c>
      <c r="AJ2654">
        <v>83.236011046251903</v>
      </c>
      <c r="AK2654">
        <v>44.370785048156897</v>
      </c>
    </row>
    <row r="2655" spans="1:37" x14ac:dyDescent="0.2">
      <c r="A2655" t="str">
        <f>"20200111155549454"</f>
        <v>20200111155549454</v>
      </c>
      <c r="B2655" t="str">
        <f>"1578729349444727"</f>
        <v>1578729349444727</v>
      </c>
      <c r="C2655" t="s">
        <v>37</v>
      </c>
      <c r="D2655">
        <v>4.8709189999999998</v>
      </c>
      <c r="E2655">
        <v>0.55932079999999995</v>
      </c>
      <c r="F2655" t="s">
        <v>61</v>
      </c>
      <c r="G2655">
        <v>-410.18889999999999</v>
      </c>
      <c r="H2655" s="1">
        <v>1.906865E-6</v>
      </c>
      <c r="I2655">
        <v>288.41849999999999</v>
      </c>
      <c r="J2655">
        <v>-366.48610000000002</v>
      </c>
      <c r="K2655">
        <v>1.1048229999999899</v>
      </c>
      <c r="L2655">
        <v>284.21440000000001</v>
      </c>
      <c r="M2655">
        <v>-0.99959609999999999</v>
      </c>
      <c r="N2655">
        <v>0</v>
      </c>
      <c r="O2655">
        <v>-2.4391719999999999E-2</v>
      </c>
      <c r="P2655">
        <v>-0.99806530000000004</v>
      </c>
      <c r="Q2655">
        <v>2.6022460000000001E-2</v>
      </c>
      <c r="R2655">
        <v>-5.6468829999999998E-2</v>
      </c>
      <c r="S2655">
        <v>-3.0241389999999999</v>
      </c>
      <c r="T2655">
        <v>-7.5864669999999995E-2</v>
      </c>
      <c r="U2655">
        <v>0.2881165</v>
      </c>
      <c r="V2655">
        <v>-3.2101869999999998E-2</v>
      </c>
      <c r="W2655">
        <v>4.0595640000000002E-2</v>
      </c>
      <c r="X2655">
        <v>0.99865979999999999</v>
      </c>
      <c r="Y2655">
        <v>0.1190541</v>
      </c>
      <c r="Z2655">
        <v>2.1003300000000001E-3</v>
      </c>
      <c r="AA2655">
        <v>0.99288549999999998</v>
      </c>
      <c r="AB2655">
        <v>34</v>
      </c>
      <c r="AC2655">
        <v>-43.702799999999897</v>
      </c>
      <c r="AD2655">
        <v>-1.104821093135</v>
      </c>
      <c r="AE2655">
        <v>4.20409999999998</v>
      </c>
      <c r="AF2655">
        <v>5.2656143854471402</v>
      </c>
      <c r="AG2655">
        <v>-1.104821093135</v>
      </c>
      <c r="AH2655">
        <v>43.559655042001303</v>
      </c>
      <c r="AI2655">
        <v>91.442408451704694</v>
      </c>
      <c r="AJ2655">
        <v>83.107367408009395</v>
      </c>
      <c r="AK2655">
        <v>43.890669531031499</v>
      </c>
    </row>
    <row r="2656" spans="1:37" x14ac:dyDescent="0.2">
      <c r="A2656" t="str">
        <f>"20200111155549470"</f>
        <v>20200111155549470</v>
      </c>
      <c r="B2656" t="str">
        <f>"1578729349465223"</f>
        <v>1578729349465223</v>
      </c>
      <c r="C2656" t="s">
        <v>37</v>
      </c>
      <c r="D2656">
        <v>4.8908420000000001</v>
      </c>
      <c r="E2656">
        <v>0.55986530000000001</v>
      </c>
      <c r="F2656" t="s">
        <v>61</v>
      </c>
      <c r="G2656">
        <v>-410.51139999999998</v>
      </c>
      <c r="H2656" s="1">
        <v>1.956697E-6</v>
      </c>
      <c r="I2656">
        <v>288.50290000000001</v>
      </c>
      <c r="J2656">
        <v>-366.71260000000001</v>
      </c>
      <c r="K2656">
        <v>1.104814</v>
      </c>
      <c r="L2656">
        <v>284.20890000000003</v>
      </c>
      <c r="M2656">
        <v>-0.99959690000000001</v>
      </c>
      <c r="N2656">
        <v>0</v>
      </c>
      <c r="O2656">
        <v>-2.4361009999999999E-2</v>
      </c>
      <c r="P2656">
        <v>-0.99805809999999995</v>
      </c>
      <c r="Q2656">
        <v>2.613149E-2</v>
      </c>
      <c r="R2656">
        <v>-5.654381E-2</v>
      </c>
      <c r="S2656">
        <v>-3.0244749999999998</v>
      </c>
      <c r="T2656">
        <v>-7.5899480000000005E-2</v>
      </c>
      <c r="U2656">
        <v>0.29461670000000001</v>
      </c>
      <c r="V2656">
        <v>-3.2206489999999997E-2</v>
      </c>
      <c r="W2656">
        <v>4.0703320000000001E-2</v>
      </c>
      <c r="X2656">
        <v>0.99865210000000004</v>
      </c>
      <c r="Y2656">
        <v>0.1211266</v>
      </c>
      <c r="Z2656">
        <v>2.1260200000000002E-3</v>
      </c>
      <c r="AA2656">
        <v>0.99263480000000004</v>
      </c>
      <c r="AB2656">
        <v>34</v>
      </c>
      <c r="AC2656">
        <v>-43.7987999999999</v>
      </c>
      <c r="AD2656">
        <v>-1.104812043303</v>
      </c>
      <c r="AE2656">
        <v>4.2939999999999801</v>
      </c>
      <c r="AF2656">
        <v>5.3564460309560999</v>
      </c>
      <c r="AG2656">
        <v>-1.104812043303</v>
      </c>
      <c r="AH2656">
        <v>43.653669833205001</v>
      </c>
      <c r="AI2656">
        <v>91.438977253957106</v>
      </c>
      <c r="AJ2656">
        <v>83.004591087710494</v>
      </c>
      <c r="AK2656">
        <v>43.9949430462189</v>
      </c>
    </row>
    <row r="2657" spans="1:37" x14ac:dyDescent="0.2">
      <c r="A2657" t="str">
        <f>"20200111155549483"</f>
        <v>20200111155549483</v>
      </c>
      <c r="B2657" t="str">
        <f>"1578729349474984"</f>
        <v>1578729349474984</v>
      </c>
      <c r="C2657" t="s">
        <v>37</v>
      </c>
      <c r="D2657">
        <v>4.8709309999999997</v>
      </c>
      <c r="E2657">
        <v>0.56020119999999995</v>
      </c>
      <c r="F2657" t="s">
        <v>61</v>
      </c>
      <c r="G2657">
        <v>-409.80329999999998</v>
      </c>
      <c r="H2657" s="1">
        <v>3.2599520000000001E-6</v>
      </c>
      <c r="I2657">
        <v>288.4633</v>
      </c>
      <c r="J2657">
        <v>-366.93239999999997</v>
      </c>
      <c r="K2657">
        <v>1.1048020000000001</v>
      </c>
      <c r="L2657">
        <v>284.20359999999999</v>
      </c>
      <c r="M2657">
        <v>-0.99959799999999999</v>
      </c>
      <c r="N2657">
        <v>0</v>
      </c>
      <c r="O2657">
        <v>-2.432109E-2</v>
      </c>
      <c r="P2657">
        <v>-0.99804749999999998</v>
      </c>
      <c r="Q2657">
        <v>2.6484399999999901E-2</v>
      </c>
      <c r="R2657">
        <v>-5.6572310000000001E-2</v>
      </c>
      <c r="S2657">
        <v>-3.0247799999999998</v>
      </c>
      <c r="T2657">
        <v>-7.7552910000000003E-2</v>
      </c>
      <c r="U2657">
        <v>0.29864499999999999</v>
      </c>
      <c r="V2657">
        <v>-3.2274120000000003E-2</v>
      </c>
      <c r="W2657">
        <v>4.1054460000000001E-2</v>
      </c>
      <c r="X2657">
        <v>0.99863550000000001</v>
      </c>
      <c r="Y2657">
        <v>0.122384199999999</v>
      </c>
      <c r="Z2657">
        <v>2.1870209999999999E-3</v>
      </c>
      <c r="AA2657">
        <v>0.99248040000000004</v>
      </c>
      <c r="AB2657">
        <v>34</v>
      </c>
      <c r="AC2657">
        <v>-42.870899999999999</v>
      </c>
      <c r="AD2657">
        <v>-1.1047987400479999</v>
      </c>
      <c r="AE2657">
        <v>4.2596999999999996</v>
      </c>
      <c r="AF2657">
        <v>5.2977335411747397</v>
      </c>
      <c r="AG2657">
        <v>-1.1047987400479999</v>
      </c>
      <c r="AH2657">
        <v>42.726506709960802</v>
      </c>
      <c r="AI2657">
        <v>91.469941696773901</v>
      </c>
      <c r="AJ2657">
        <v>82.931871468447994</v>
      </c>
      <c r="AK2657">
        <v>43.067864313959497</v>
      </c>
    </row>
    <row r="2658" spans="1:37" x14ac:dyDescent="0.2">
      <c r="A2658" t="str">
        <f>"20200111155549499"</f>
        <v>20200111155549499</v>
      </c>
      <c r="B2658" t="str">
        <f>"1578729349494503"</f>
        <v>1578729349494503</v>
      </c>
      <c r="C2658" t="s">
        <v>37</v>
      </c>
      <c r="D2658">
        <v>4.9125719999999999</v>
      </c>
      <c r="E2658">
        <v>0.56061930000000004</v>
      </c>
      <c r="F2658" t="s">
        <v>61</v>
      </c>
      <c r="G2658">
        <v>-410.18180000000001</v>
      </c>
      <c r="H2658" s="1">
        <v>1.897751E-6</v>
      </c>
      <c r="I2658">
        <v>288.50830000000002</v>
      </c>
      <c r="J2658">
        <v>-367.16320000000002</v>
      </c>
      <c r="K2658">
        <v>1.1047940000000001</v>
      </c>
      <c r="L2658">
        <v>284.19799999999998</v>
      </c>
      <c r="M2658">
        <v>-0.99959920000000002</v>
      </c>
      <c r="N2658">
        <v>0</v>
      </c>
      <c r="O2658">
        <v>-2.4266929999999999E-2</v>
      </c>
      <c r="P2658">
        <v>-0.99806189999999995</v>
      </c>
      <c r="Q2658">
        <v>2.6459030000000001E-2</v>
      </c>
      <c r="R2658">
        <v>-5.6323249999999998E-2</v>
      </c>
      <c r="S2658">
        <v>-3.024994</v>
      </c>
      <c r="T2658">
        <v>-7.7273010000000003E-2</v>
      </c>
      <c r="U2658">
        <v>0.30108639999999998</v>
      </c>
      <c r="V2658">
        <v>-3.2077960000000003E-2</v>
      </c>
      <c r="W2658">
        <v>4.1027769999999998E-2</v>
      </c>
      <c r="X2658">
        <v>0.9986429</v>
      </c>
      <c r="Y2658">
        <v>0.123116899999999</v>
      </c>
      <c r="Z2658">
        <v>2.1868460000000001E-3</v>
      </c>
      <c r="AA2658">
        <v>0.99238969999999904</v>
      </c>
      <c r="AB2658">
        <v>34</v>
      </c>
      <c r="AC2658">
        <v>-43.0185999999999</v>
      </c>
      <c r="AD2658">
        <v>-1.1047921022489999</v>
      </c>
      <c r="AE2658">
        <v>4.3103000000000398</v>
      </c>
      <c r="AF2658">
        <v>5.3495774780863599</v>
      </c>
      <c r="AG2658">
        <v>-1.1047921022489999</v>
      </c>
      <c r="AH2658">
        <v>42.873323998375199</v>
      </c>
      <c r="AI2658">
        <v>91.464760641802997</v>
      </c>
      <c r="AJ2658">
        <v>82.8876002718725</v>
      </c>
      <c r="AK2658">
        <v>43.219908091675698</v>
      </c>
    </row>
    <row r="2659" spans="1:37" x14ac:dyDescent="0.2">
      <c r="A2659" t="str">
        <f>"20200111155549512"</f>
        <v>20200111155549512</v>
      </c>
      <c r="B2659" t="str">
        <f>"1578729349505240"</f>
        <v>1578729349505240</v>
      </c>
      <c r="C2659" t="s">
        <v>37</v>
      </c>
      <c r="D2659">
        <v>4.7986760000000004</v>
      </c>
      <c r="E2659">
        <v>0.56083899999999998</v>
      </c>
      <c r="F2659" t="s">
        <v>61</v>
      </c>
      <c r="G2659">
        <v>-409.73349999999999</v>
      </c>
      <c r="H2659" s="1">
        <v>3.2846499999999898E-6</v>
      </c>
      <c r="I2659">
        <v>288.49369999999999</v>
      </c>
      <c r="J2659">
        <v>-367.3698</v>
      </c>
      <c r="K2659">
        <v>1.104778</v>
      </c>
      <c r="L2659">
        <v>284.19299999999998</v>
      </c>
      <c r="M2659">
        <v>-0.99960079999999996</v>
      </c>
      <c r="N2659">
        <v>0</v>
      </c>
      <c r="O2659">
        <v>-2.420276E-2</v>
      </c>
      <c r="P2659">
        <v>-0.99807380000000001</v>
      </c>
      <c r="Q2659">
        <v>2.6548530000000001E-2</v>
      </c>
      <c r="R2659">
        <v>-5.606999E-2</v>
      </c>
      <c r="S2659">
        <v>-3.0251459999999999</v>
      </c>
      <c r="T2659">
        <v>-7.8508969999999997E-2</v>
      </c>
      <c r="U2659">
        <v>0.30526729999999902</v>
      </c>
      <c r="V2659">
        <v>-3.1886909999999997E-2</v>
      </c>
      <c r="W2659">
        <v>4.1116390000000003E-2</v>
      </c>
      <c r="X2659">
        <v>0.99864540000000002</v>
      </c>
      <c r="Y2659">
        <v>0.1244041</v>
      </c>
      <c r="Z2659">
        <v>2.2365470000000002E-3</v>
      </c>
      <c r="AA2659">
        <v>0.99222909999999997</v>
      </c>
      <c r="AB2659">
        <v>34</v>
      </c>
      <c r="AC2659">
        <v>-42.363700000000001</v>
      </c>
      <c r="AD2659">
        <v>-1.10477471535</v>
      </c>
      <c r="AE2659">
        <v>4.3007</v>
      </c>
      <c r="AF2659">
        <v>5.3212853526877897</v>
      </c>
      <c r="AG2659">
        <v>-1.10477471535</v>
      </c>
      <c r="AH2659">
        <v>42.2187686768128</v>
      </c>
      <c r="AI2659">
        <v>91.487204531409901</v>
      </c>
      <c r="AJ2659">
        <v>82.8162778894377</v>
      </c>
      <c r="AK2659">
        <v>42.567135604391297</v>
      </c>
    </row>
    <row r="2660" spans="1:37" x14ac:dyDescent="0.2">
      <c r="A2660" t="str">
        <f>"20200111155549526"</f>
        <v>20200111155549526</v>
      </c>
      <c r="B2660" t="str">
        <f>"1578729349514999"</f>
        <v>1578729349514999</v>
      </c>
      <c r="C2660" t="s">
        <v>37</v>
      </c>
      <c r="D2660">
        <v>4.9796239999999896</v>
      </c>
      <c r="E2660">
        <v>0.56119529999999995</v>
      </c>
      <c r="F2660" t="s">
        <v>61</v>
      </c>
      <c r="G2660">
        <v>-409.81760000000003</v>
      </c>
      <c r="H2660" s="1">
        <v>3.2438679999999999E-6</v>
      </c>
      <c r="I2660">
        <v>288.51069999999999</v>
      </c>
      <c r="J2660">
        <v>-367.56889999999999</v>
      </c>
      <c r="K2660">
        <v>1.104765</v>
      </c>
      <c r="L2660">
        <v>284.18830000000003</v>
      </c>
      <c r="M2660">
        <v>-0.99960249999999995</v>
      </c>
      <c r="N2660">
        <v>0</v>
      </c>
      <c r="O2660">
        <v>-2.4132879999999999E-2</v>
      </c>
      <c r="P2660">
        <v>-0.99809119999999996</v>
      </c>
      <c r="Q2660">
        <v>2.6320920000000001E-2</v>
      </c>
      <c r="R2660">
        <v>-5.5867359999999998E-2</v>
      </c>
      <c r="S2660">
        <v>-3.0251769999999998</v>
      </c>
      <c r="T2660">
        <v>-7.8735230000000003E-2</v>
      </c>
      <c r="U2660">
        <v>0.3077087</v>
      </c>
      <c r="V2660">
        <v>-3.1751960000000003E-2</v>
      </c>
      <c r="W2660">
        <v>4.0887699999999902E-2</v>
      </c>
      <c r="X2660">
        <v>0.99865910000000002</v>
      </c>
      <c r="Y2660">
        <v>0.12512580000000001</v>
      </c>
      <c r="Z2660">
        <v>2.250429E-3</v>
      </c>
      <c r="AA2660">
        <v>0.99213830000000003</v>
      </c>
      <c r="AB2660">
        <v>34</v>
      </c>
      <c r="AC2660">
        <v>-42.248699999999999</v>
      </c>
      <c r="AD2660">
        <v>-1.104761756132</v>
      </c>
      <c r="AE2660">
        <v>4.3223999999999503</v>
      </c>
      <c r="AF2660">
        <v>5.3372203703417602</v>
      </c>
      <c r="AG2660">
        <v>-1.104761756132</v>
      </c>
      <c r="AH2660">
        <v>42.103578833027903</v>
      </c>
      <c r="AI2660">
        <v>91.491119876835995</v>
      </c>
      <c r="AJ2660">
        <v>82.775487431466502</v>
      </c>
      <c r="AK2660">
        <v>42.454891006436398</v>
      </c>
    </row>
    <row r="2661" spans="1:37" x14ac:dyDescent="0.2">
      <c r="A2661" t="str">
        <f>"20200111155549539"</f>
        <v>20200111155549539</v>
      </c>
      <c r="B2661" t="str">
        <f>"1578729349534519"</f>
        <v>1578729349534519</v>
      </c>
      <c r="C2661" t="s">
        <v>37</v>
      </c>
      <c r="D2661">
        <v>4.8982989999999997</v>
      </c>
      <c r="E2661">
        <v>0.5617626</v>
      </c>
      <c r="F2661" t="s">
        <v>61</v>
      </c>
      <c r="G2661">
        <v>-409.62290000000002</v>
      </c>
      <c r="H2661" s="1">
        <v>3.3295909999999998E-6</v>
      </c>
      <c r="I2661">
        <v>288.5136</v>
      </c>
      <c r="J2661">
        <v>-367.77379999999999</v>
      </c>
      <c r="K2661">
        <v>1.104751</v>
      </c>
      <c r="L2661">
        <v>284.18340000000001</v>
      </c>
      <c r="M2661">
        <v>-0.99960450000000001</v>
      </c>
      <c r="N2661">
        <v>0</v>
      </c>
      <c r="O2661">
        <v>-2.4053700000000001E-2</v>
      </c>
      <c r="P2661">
        <v>-0.99810549999999998</v>
      </c>
      <c r="Q2661">
        <v>2.608247E-2</v>
      </c>
      <c r="R2661">
        <v>-5.5725129999999998E-2</v>
      </c>
      <c r="S2661">
        <v>-3.02526899999999</v>
      </c>
      <c r="T2661">
        <v>-7.9474089999999997E-2</v>
      </c>
      <c r="U2661">
        <v>0.31115720000000002</v>
      </c>
      <c r="V2661">
        <v>-3.1687510000000002E-2</v>
      </c>
      <c r="W2661">
        <v>4.0648530000000002E-2</v>
      </c>
      <c r="X2661">
        <v>0.99867090000000003</v>
      </c>
      <c r="Y2661">
        <v>0.1261621</v>
      </c>
      <c r="Z2661">
        <v>2.2828409999999999E-3</v>
      </c>
      <c r="AA2661">
        <v>0.99200699999999997</v>
      </c>
      <c r="AB2661">
        <v>34</v>
      </c>
      <c r="AC2661">
        <v>-41.8491</v>
      </c>
      <c r="AD2661">
        <v>-1.104747670409</v>
      </c>
      <c r="AE2661">
        <v>4.3301999999999898</v>
      </c>
      <c r="AF2661">
        <v>5.3320030456833303</v>
      </c>
      <c r="AG2661">
        <v>-1.104747670409</v>
      </c>
      <c r="AH2661">
        <v>41.704066153400703</v>
      </c>
      <c r="AI2661">
        <v>91.505173323409295</v>
      </c>
      <c r="AJ2661">
        <v>82.714072879519705</v>
      </c>
      <c r="AK2661">
        <v>42.058053421689301</v>
      </c>
    </row>
    <row r="2662" spans="1:37" x14ac:dyDescent="0.2">
      <c r="A2662" t="str">
        <f>"20200111155549552"</f>
        <v>20200111155549552</v>
      </c>
      <c r="B2662" t="str">
        <f>"1578729349545255"</f>
        <v>1578729349545255</v>
      </c>
      <c r="C2662" t="s">
        <v>37</v>
      </c>
      <c r="D2662">
        <v>4.8875710000000003</v>
      </c>
      <c r="E2662">
        <v>0.56197810000000004</v>
      </c>
      <c r="F2662" t="s">
        <v>61</v>
      </c>
      <c r="G2662">
        <v>-409.32440000000003</v>
      </c>
      <c r="H2662" s="1">
        <v>3.4602060000000001E-6</v>
      </c>
      <c r="I2662">
        <v>288.5222</v>
      </c>
      <c r="J2662">
        <v>-367.96510000000001</v>
      </c>
      <c r="K2662">
        <v>1.1047370000000001</v>
      </c>
      <c r="L2662">
        <v>284.1789</v>
      </c>
      <c r="M2662">
        <v>-0.99960649999999995</v>
      </c>
      <c r="N2662">
        <v>0</v>
      </c>
      <c r="O2662">
        <v>-2.3968840000000002E-2</v>
      </c>
      <c r="P2662">
        <v>-0.99811939999999999</v>
      </c>
      <c r="Q2662">
        <v>2.614758E-2</v>
      </c>
      <c r="R2662">
        <v>-5.5440620000000003E-2</v>
      </c>
      <c r="S2662">
        <v>-3.0253909999999999</v>
      </c>
      <c r="T2662">
        <v>-8.0439090000000005E-2</v>
      </c>
      <c r="U2662">
        <v>0.31591799999999998</v>
      </c>
      <c r="V2662">
        <v>-3.1485989999999998E-2</v>
      </c>
      <c r="W2662">
        <v>4.0711419999999998E-2</v>
      </c>
      <c r="X2662">
        <v>0.99867479999999997</v>
      </c>
      <c r="Y2662">
        <v>0.12761639999999999</v>
      </c>
      <c r="Z2662">
        <v>2.3273009999999999E-3</v>
      </c>
      <c r="AA2662">
        <v>0.99182090000000001</v>
      </c>
      <c r="AB2662">
        <v>34</v>
      </c>
      <c r="AC2662">
        <v>-41.359299999999998</v>
      </c>
      <c r="AD2662">
        <v>-1.1047335397939999</v>
      </c>
      <c r="AE2662">
        <v>4.3432999999999904</v>
      </c>
      <c r="AF2662">
        <v>5.3297305772625201</v>
      </c>
      <c r="AG2662">
        <v>-1.1047335397939999</v>
      </c>
      <c r="AH2662">
        <v>41.2142163850773</v>
      </c>
      <c r="AI2662">
        <v>91.522753170744295</v>
      </c>
      <c r="AJ2662">
        <v>82.631530464295807</v>
      </c>
      <c r="AK2662">
        <v>41.572083138280803</v>
      </c>
    </row>
    <row r="2663" spans="1:37" x14ac:dyDescent="0.2">
      <c r="A2663" t="str">
        <f>"20200111155549566"</f>
        <v>20200111155549566</v>
      </c>
      <c r="B2663" t="str">
        <f>"1578729349555016"</f>
        <v>1578729349555016</v>
      </c>
      <c r="C2663" t="s">
        <v>37</v>
      </c>
      <c r="D2663">
        <v>4.9324199999999996</v>
      </c>
      <c r="E2663">
        <v>0.56214600000000003</v>
      </c>
      <c r="F2663" t="s">
        <v>61</v>
      </c>
      <c r="G2663">
        <v>-409.54309999999998</v>
      </c>
      <c r="H2663" s="1">
        <v>3.3560199999999998E-6</v>
      </c>
      <c r="I2663">
        <v>288.55689999999998</v>
      </c>
      <c r="J2663">
        <v>-368.16680000000002</v>
      </c>
      <c r="K2663">
        <v>1.1047279999999999</v>
      </c>
      <c r="L2663">
        <v>284.17419999999998</v>
      </c>
      <c r="M2663">
        <v>-0.99960899999999997</v>
      </c>
      <c r="N2663">
        <v>0</v>
      </c>
      <c r="O2663">
        <v>-2.387444E-2</v>
      </c>
      <c r="P2663">
        <v>-0.99815789999999904</v>
      </c>
      <c r="Q2663">
        <v>2.6024769999999999E-2</v>
      </c>
      <c r="R2663">
        <v>-5.4806239999999999E-2</v>
      </c>
      <c r="S2663">
        <v>-3.025452</v>
      </c>
      <c r="T2663">
        <v>-8.0386760000000002E-2</v>
      </c>
      <c r="U2663">
        <v>0.318573</v>
      </c>
      <c r="V2663">
        <v>-3.0944220000000001E-2</v>
      </c>
      <c r="W2663">
        <v>4.0584210000000003E-2</v>
      </c>
      <c r="X2663">
        <v>0.9986969</v>
      </c>
      <c r="Y2663">
        <v>0.12838139999999901</v>
      </c>
      <c r="Z2663">
        <v>2.333267E-3</v>
      </c>
      <c r="AA2663">
        <v>0.99172209999999905</v>
      </c>
      <c r="AB2663">
        <v>34</v>
      </c>
      <c r="AC2663">
        <v>-41.376299999999901</v>
      </c>
      <c r="AD2663">
        <v>-1.10472464398</v>
      </c>
      <c r="AE2663">
        <v>4.3826999999999998</v>
      </c>
      <c r="AF2663">
        <v>5.3656086669112399</v>
      </c>
      <c r="AG2663">
        <v>-1.10472464398</v>
      </c>
      <c r="AH2663">
        <v>41.230792499238703</v>
      </c>
      <c r="AI2663">
        <v>91.521970208391394</v>
      </c>
      <c r="AJ2663">
        <v>82.585427664411398</v>
      </c>
      <c r="AK2663">
        <v>41.593129517033603</v>
      </c>
    </row>
    <row r="2664" spans="1:37" x14ac:dyDescent="0.2">
      <c r="A2664" t="str">
        <f>"20200111155549580"</f>
        <v>20200111155549580</v>
      </c>
      <c r="B2664" t="str">
        <f>"1578729349575189"</f>
        <v>1578729349575189</v>
      </c>
      <c r="C2664" t="s">
        <v>37</v>
      </c>
      <c r="D2664">
        <v>4.888363</v>
      </c>
      <c r="E2664">
        <v>0.56267250000000002</v>
      </c>
      <c r="F2664" t="s">
        <v>61</v>
      </c>
      <c r="G2664">
        <v>-409.24689999999998</v>
      </c>
      <c r="H2664" s="1">
        <v>3.4903209999999998E-6</v>
      </c>
      <c r="I2664">
        <v>288.54270000000002</v>
      </c>
      <c r="J2664">
        <v>-368.37630000000001</v>
      </c>
      <c r="K2664">
        <v>1.1047180000000001</v>
      </c>
      <c r="L2664">
        <v>284.16930000000002</v>
      </c>
      <c r="M2664">
        <v>-0.99961149999999999</v>
      </c>
      <c r="N2664">
        <v>0</v>
      </c>
      <c r="O2664">
        <v>-2.3770510000000002E-2</v>
      </c>
      <c r="P2664">
        <v>-0.99817829999999996</v>
      </c>
      <c r="Q2664">
        <v>2.6018289999999999E-2</v>
      </c>
      <c r="R2664">
        <v>-5.4435949999999997E-2</v>
      </c>
      <c r="S2664">
        <v>-3.0253299999999999</v>
      </c>
      <c r="T2664">
        <v>-8.1356999999999999E-2</v>
      </c>
      <c r="U2664">
        <v>0.32171630000000001</v>
      </c>
      <c r="V2664">
        <v>-3.0676129999999999E-2</v>
      </c>
      <c r="W2664">
        <v>4.0570870000000002E-2</v>
      </c>
      <c r="X2664">
        <v>0.99870559999999997</v>
      </c>
      <c r="Y2664">
        <v>0.12929979999999999</v>
      </c>
      <c r="Z2664">
        <v>2.3709109999999999E-3</v>
      </c>
      <c r="AA2664">
        <v>0.99160269999999995</v>
      </c>
      <c r="AB2664">
        <v>34</v>
      </c>
      <c r="AC2664">
        <v>-40.870599999999897</v>
      </c>
      <c r="AD2664">
        <v>-1.1047145096790001</v>
      </c>
      <c r="AE2664">
        <v>4.3734000000000002</v>
      </c>
      <c r="AF2664">
        <v>5.3399247392931999</v>
      </c>
      <c r="AG2664">
        <v>-1.1047145096790001</v>
      </c>
      <c r="AH2664">
        <v>40.725663032383999</v>
      </c>
      <c r="AI2664">
        <v>91.540629855185102</v>
      </c>
      <c r="AJ2664">
        <v>82.530025596585801</v>
      </c>
      <c r="AK2664">
        <v>41.089108286704203</v>
      </c>
    </row>
    <row r="2665" spans="1:37" x14ac:dyDescent="0.2">
      <c r="A2665" t="str">
        <f>"20200111155549593"</f>
        <v>20200111155549593</v>
      </c>
      <c r="B2665" t="str">
        <f>"1578729349584950"</f>
        <v>1578729349584950</v>
      </c>
      <c r="C2665" t="s">
        <v>37</v>
      </c>
      <c r="D2665">
        <v>5.005236</v>
      </c>
      <c r="E2665">
        <v>0.56294359999999999</v>
      </c>
      <c r="F2665" t="s">
        <v>61</v>
      </c>
      <c r="G2665">
        <v>-409.33659999999998</v>
      </c>
      <c r="H2665" s="1">
        <v>3.439122E-6</v>
      </c>
      <c r="I2665">
        <v>288.59800000000001</v>
      </c>
      <c r="J2665">
        <v>-368.59010000000001</v>
      </c>
      <c r="K2665">
        <v>1.104708</v>
      </c>
      <c r="L2665">
        <v>284.16430000000003</v>
      </c>
      <c r="M2665">
        <v>-0.99961429999999996</v>
      </c>
      <c r="N2665">
        <v>0</v>
      </c>
      <c r="O2665">
        <v>-2.365743E-2</v>
      </c>
      <c r="P2665">
        <v>-0.99819269999999904</v>
      </c>
      <c r="Q2665">
        <v>2.6129320000000001E-2</v>
      </c>
      <c r="R2665">
        <v>-5.4116369999999997E-2</v>
      </c>
      <c r="S2665">
        <v>-3.0254209999999899</v>
      </c>
      <c r="T2665">
        <v>-8.1596849999999999E-2</v>
      </c>
      <c r="U2665">
        <v>0.32711790000000002</v>
      </c>
      <c r="V2665">
        <v>-3.0469320000000001E-2</v>
      </c>
      <c r="W2665">
        <v>4.0672350000000003E-2</v>
      </c>
      <c r="X2665">
        <v>0.99870780000000003</v>
      </c>
      <c r="Y2665">
        <v>0.13093369999999999</v>
      </c>
      <c r="Z2665">
        <v>2.3965279999999898E-3</v>
      </c>
      <c r="AA2665">
        <v>0.99138819999999905</v>
      </c>
      <c r="AB2665">
        <v>34</v>
      </c>
      <c r="AC2665">
        <v>-40.746499999999898</v>
      </c>
      <c r="AD2665">
        <v>-1.104704560878</v>
      </c>
      <c r="AE2665">
        <v>4.4336999999999804</v>
      </c>
      <c r="AF2665">
        <v>5.3926009121338696</v>
      </c>
      <c r="AG2665">
        <v>-1.104704560878</v>
      </c>
      <c r="AH2665">
        <v>40.600698590258801</v>
      </c>
      <c r="AI2665">
        <v>91.545014776894604</v>
      </c>
      <c r="AJ2665">
        <v>82.434234300447798</v>
      </c>
      <c r="AK2665">
        <v>40.972152039908899</v>
      </c>
    </row>
    <row r="2666" spans="1:37" x14ac:dyDescent="0.2">
      <c r="A2666" t="str">
        <f>"20200111155549610"</f>
        <v>20200111155549610</v>
      </c>
      <c r="B2666" t="str">
        <f>"1578729349604470"</f>
        <v>1578729349604470</v>
      </c>
      <c r="C2666" t="s">
        <v>37</v>
      </c>
      <c r="D2666">
        <v>4.9063400000000001</v>
      </c>
      <c r="E2666">
        <v>0.56313959999999996</v>
      </c>
      <c r="F2666" t="s">
        <v>61</v>
      </c>
      <c r="G2666">
        <v>-409.7371</v>
      </c>
      <c r="H2666" s="1">
        <v>3.2499789999999999E-6</v>
      </c>
      <c r="I2666">
        <v>288.65390000000002</v>
      </c>
      <c r="J2666">
        <v>-368.84160000000003</v>
      </c>
      <c r="K2666">
        <v>1.1047009999999999</v>
      </c>
      <c r="L2666">
        <v>284.15839999999997</v>
      </c>
      <c r="M2666">
        <v>-0.99961789999999995</v>
      </c>
      <c r="N2666">
        <v>0</v>
      </c>
      <c r="O2666">
        <v>-2.3521219999999999E-2</v>
      </c>
      <c r="P2666">
        <v>-0.99820609999999999</v>
      </c>
      <c r="Q2666">
        <v>2.6097749999999999E-2</v>
      </c>
      <c r="R2666">
        <v>-5.3889050000000001E-2</v>
      </c>
      <c r="S2666">
        <v>-3.0254209999999899</v>
      </c>
      <c r="T2666">
        <v>-8.1225749999999999E-2</v>
      </c>
      <c r="U2666">
        <v>0.33010859999999997</v>
      </c>
      <c r="V2666">
        <v>-3.0376509999999999E-2</v>
      </c>
      <c r="W2666">
        <v>4.0628520000000001E-2</v>
      </c>
      <c r="X2666">
        <v>0.9987125</v>
      </c>
      <c r="Y2666">
        <v>0.13176740000000001</v>
      </c>
      <c r="Z2666">
        <v>2.3930169999999999E-3</v>
      </c>
      <c r="AA2666">
        <v>0.99127779999999999</v>
      </c>
      <c r="AB2666">
        <v>34</v>
      </c>
      <c r="AC2666">
        <v>-40.895499999999899</v>
      </c>
      <c r="AD2666">
        <v>-1.104697750021</v>
      </c>
      <c r="AE2666">
        <v>4.4955000000000496</v>
      </c>
      <c r="AF2666">
        <v>5.4523384675452196</v>
      </c>
      <c r="AG2666">
        <v>-1.104697750021</v>
      </c>
      <c r="AH2666">
        <v>40.749053590218097</v>
      </c>
      <c r="AI2666">
        <v>91.539185086951505</v>
      </c>
      <c r="AJ2666">
        <v>82.378928260959498</v>
      </c>
      <c r="AK2666">
        <v>41.127043662072801</v>
      </c>
    </row>
    <row r="2667" spans="1:37" x14ac:dyDescent="0.2">
      <c r="A2667" t="str">
        <f>"20200111155549624"</f>
        <v>20200111155549624</v>
      </c>
      <c r="B2667" t="str">
        <f>"1578729349615205"</f>
        <v>1578729349615205</v>
      </c>
      <c r="C2667" t="s">
        <v>37</v>
      </c>
      <c r="D2667">
        <v>4.9169339999999897</v>
      </c>
      <c r="E2667">
        <v>0.56334719999999905</v>
      </c>
      <c r="F2667" t="s">
        <v>61</v>
      </c>
      <c r="G2667">
        <v>-409.6123</v>
      </c>
      <c r="H2667" s="1">
        <v>3.30831399999999E-6</v>
      </c>
      <c r="I2667">
        <v>288.63940000000002</v>
      </c>
      <c r="J2667">
        <v>-369.05470000000003</v>
      </c>
      <c r="K2667">
        <v>1.104692</v>
      </c>
      <c r="L2667">
        <v>284.15350000000001</v>
      </c>
      <c r="M2667">
        <v>-0.99962070000000003</v>
      </c>
      <c r="N2667">
        <v>0</v>
      </c>
      <c r="O2667">
        <v>-2.3403770000000001E-2</v>
      </c>
      <c r="P2667">
        <v>-0.99820299999999995</v>
      </c>
      <c r="Q2667">
        <v>2.641785E-2</v>
      </c>
      <c r="R2667">
        <v>-5.3789910000000003E-2</v>
      </c>
      <c r="S2667">
        <v>-3.0254819999999998</v>
      </c>
      <c r="T2667">
        <v>-8.1976530000000006E-2</v>
      </c>
      <c r="U2667">
        <v>0.33251950000000002</v>
      </c>
      <c r="V2667">
        <v>-3.0394709999999998E-2</v>
      </c>
      <c r="W2667">
        <v>4.0937729999999999E-2</v>
      </c>
      <c r="X2667">
        <v>0.99869929999999996</v>
      </c>
      <c r="Y2667">
        <v>0.13242809999999999</v>
      </c>
      <c r="Z2667">
        <v>2.4207249999999999E-3</v>
      </c>
      <c r="AA2667">
        <v>0.99118969999999995</v>
      </c>
      <c r="AB2667">
        <v>34</v>
      </c>
      <c r="AC2667">
        <v>-40.557599999999901</v>
      </c>
      <c r="AD2667">
        <v>-1.1046886916859999</v>
      </c>
      <c r="AE2667">
        <v>4.4859000000000098</v>
      </c>
      <c r="AF2667">
        <v>5.4299920614455504</v>
      </c>
      <c r="AG2667">
        <v>-1.1046886916859999</v>
      </c>
      <c r="AH2667">
        <v>40.411872131440298</v>
      </c>
      <c r="AI2667">
        <v>91.551893373574998</v>
      </c>
      <c r="AJ2667">
        <v>82.347216011557805</v>
      </c>
      <c r="AK2667">
        <v>40.790005639381597</v>
      </c>
    </row>
    <row r="2668" spans="1:37" x14ac:dyDescent="0.2">
      <c r="A2668" t="str">
        <f>"20200111155549637"</f>
        <v>20200111155549637</v>
      </c>
      <c r="B2668" t="str">
        <f>"1578729349634726"</f>
        <v>1578729349634726</v>
      </c>
      <c r="C2668" t="s">
        <v>37</v>
      </c>
      <c r="D2668">
        <v>4.9094290000000003</v>
      </c>
      <c r="E2668">
        <v>0.56368109999999905</v>
      </c>
      <c r="F2668" t="s">
        <v>61</v>
      </c>
      <c r="G2668">
        <v>-410.28539999999998</v>
      </c>
      <c r="H2668" s="1">
        <v>1.8985159999999999E-6</v>
      </c>
      <c r="I2668">
        <v>288.70979999999997</v>
      </c>
      <c r="J2668">
        <v>-369.2577</v>
      </c>
      <c r="K2668">
        <v>1.104689</v>
      </c>
      <c r="L2668">
        <v>284.14890000000003</v>
      </c>
      <c r="M2668">
        <v>-0.9996235</v>
      </c>
      <c r="N2668">
        <v>0</v>
      </c>
      <c r="O2668">
        <v>-2.329123E-2</v>
      </c>
      <c r="P2668">
        <v>-0.99820609999999999</v>
      </c>
      <c r="Q2668">
        <v>2.6496229999999999E-2</v>
      </c>
      <c r="R2668">
        <v>-5.3688529999999998E-2</v>
      </c>
      <c r="S2668">
        <v>-3.0255740000000002</v>
      </c>
      <c r="T2668">
        <v>-8.1063869999999996E-2</v>
      </c>
      <c r="U2668">
        <v>0.3343506</v>
      </c>
      <c r="V2668">
        <v>-3.040557E-2</v>
      </c>
      <c r="W2668">
        <v>4.1006330000000001E-2</v>
      </c>
      <c r="X2668">
        <v>0.99869609999999998</v>
      </c>
      <c r="Y2668">
        <v>0.132907</v>
      </c>
      <c r="Z2668">
        <v>2.397021E-3</v>
      </c>
      <c r="AA2668">
        <v>0.99112559999999905</v>
      </c>
      <c r="AB2668">
        <v>34</v>
      </c>
      <c r="AC2668">
        <v>-41.027699999999903</v>
      </c>
      <c r="AD2668">
        <v>-1.1046871014839901</v>
      </c>
      <c r="AE2668">
        <v>4.5608999999999398</v>
      </c>
      <c r="AF2668">
        <v>5.5114017353141502</v>
      </c>
      <c r="AG2668">
        <v>-1.1046871014839901</v>
      </c>
      <c r="AH2668">
        <v>40.881051589562297</v>
      </c>
      <c r="AI2668">
        <v>91.533998044288595</v>
      </c>
      <c r="AJ2668">
        <v>82.321931145814602</v>
      </c>
      <c r="AK2668">
        <v>41.265678980826998</v>
      </c>
    </row>
    <row r="2669" spans="1:37" x14ac:dyDescent="0.2">
      <c r="A2669" t="str">
        <f>"20200111155549651"</f>
        <v>20200111155549651</v>
      </c>
      <c r="B2669" t="str">
        <f>"1578729349644486"</f>
        <v>1578729349644486</v>
      </c>
      <c r="C2669" t="s">
        <v>37</v>
      </c>
      <c r="D2669">
        <v>5.0215110000000003</v>
      </c>
      <c r="E2669">
        <v>0.56394029999999995</v>
      </c>
      <c r="F2669" t="s">
        <v>61</v>
      </c>
      <c r="G2669">
        <v>-410.27229999999997</v>
      </c>
      <c r="H2669" s="1">
        <v>1.895144E-6</v>
      </c>
      <c r="I2669">
        <v>288.7217</v>
      </c>
      <c r="J2669">
        <v>-369.45599999999899</v>
      </c>
      <c r="K2669">
        <v>1.104689</v>
      </c>
      <c r="L2669">
        <v>284.14440000000002</v>
      </c>
      <c r="M2669">
        <v>-0.99962619999999902</v>
      </c>
      <c r="N2669">
        <v>0</v>
      </c>
      <c r="O2669">
        <v>-2.3181340000000002E-2</v>
      </c>
      <c r="P2669">
        <v>-0.99820629999999999</v>
      </c>
      <c r="Q2669">
        <v>2.65127E-2</v>
      </c>
      <c r="R2669">
        <v>-5.3679780000000003E-2</v>
      </c>
      <c r="S2669">
        <v>-3.0256959999999999</v>
      </c>
      <c r="T2669">
        <v>-8.1494090000000005E-2</v>
      </c>
      <c r="U2669">
        <v>0.33734130000000001</v>
      </c>
      <c r="V2669">
        <v>-3.0506040000000002E-2</v>
      </c>
      <c r="W2669">
        <v>4.1014439999999999E-2</v>
      </c>
      <c r="X2669">
        <v>0.99869279999999905</v>
      </c>
      <c r="Y2669">
        <v>0.13376060000000001</v>
      </c>
      <c r="Z2669">
        <v>2.4180180000000001E-3</v>
      </c>
      <c r="AA2669">
        <v>0.99101070000000002</v>
      </c>
      <c r="AB2669">
        <v>34</v>
      </c>
      <c r="AC2669">
        <v>-40.816299999999998</v>
      </c>
      <c r="AD2669">
        <v>-1.1046871048560001</v>
      </c>
      <c r="AE2669">
        <v>4.5772999999999797</v>
      </c>
      <c r="AF2669">
        <v>5.51835362313928</v>
      </c>
      <c r="AG2669">
        <v>-1.1046871048560001</v>
      </c>
      <c r="AH2669">
        <v>40.669789437828904</v>
      </c>
      <c r="AI2669">
        <v>91.541784335954901</v>
      </c>
      <c r="AJ2669">
        <v>82.272909292103293</v>
      </c>
      <c r="AK2669">
        <v>41.057329835572403</v>
      </c>
    </row>
    <row r="2670" spans="1:37" x14ac:dyDescent="0.2">
      <c r="A2670" t="str">
        <f>"20200111155549664"</f>
        <v>20200111155549664</v>
      </c>
      <c r="B2670" t="str">
        <f>"1578729349655223"</f>
        <v>1578729349655223</v>
      </c>
      <c r="C2670" t="s">
        <v>37</v>
      </c>
      <c r="D2670">
        <v>4.8807309999999999</v>
      </c>
      <c r="E2670">
        <v>0.56408449999999999</v>
      </c>
      <c r="F2670" t="s">
        <v>61</v>
      </c>
      <c r="G2670">
        <v>-410.52719999999999</v>
      </c>
      <c r="H2670" s="1">
        <v>1.9376470000000001E-6</v>
      </c>
      <c r="I2670">
        <v>288.7527</v>
      </c>
      <c r="J2670">
        <v>-369.64679999999998</v>
      </c>
      <c r="K2670">
        <v>1.104687</v>
      </c>
      <c r="L2670">
        <v>284.14</v>
      </c>
      <c r="M2670">
        <v>-0.99962879999999998</v>
      </c>
      <c r="N2670">
        <v>0</v>
      </c>
      <c r="O2670">
        <v>-2.3075499999999999E-2</v>
      </c>
      <c r="P2670">
        <v>-0.998201</v>
      </c>
      <c r="Q2670">
        <v>2.656118E-2</v>
      </c>
      <c r="R2670">
        <v>-5.3753080000000002E-2</v>
      </c>
      <c r="S2670">
        <v>-3.0257869999999998</v>
      </c>
      <c r="T2670">
        <v>-8.1384300000000007E-2</v>
      </c>
      <c r="U2670">
        <v>0.33950809999999998</v>
      </c>
      <c r="V2670">
        <v>-3.0685049999999998E-2</v>
      </c>
      <c r="W2670">
        <v>4.1053029999999997E-2</v>
      </c>
      <c r="X2670">
        <v>0.99868570000000001</v>
      </c>
      <c r="Y2670">
        <v>0.13435320000000001</v>
      </c>
      <c r="Z2670">
        <v>2.419699E-3</v>
      </c>
      <c r="AA2670">
        <v>0.99093059999999999</v>
      </c>
      <c r="AB2670">
        <v>34</v>
      </c>
      <c r="AC2670">
        <v>-40.880400000000002</v>
      </c>
      <c r="AD2670">
        <v>-1.104685062353</v>
      </c>
      <c r="AE2670">
        <v>4.61270000000001</v>
      </c>
      <c r="AF2670">
        <v>5.5509037711748404</v>
      </c>
      <c r="AG2670">
        <v>-1.104685062353</v>
      </c>
      <c r="AH2670">
        <v>40.733690622622298</v>
      </c>
      <c r="AI2670">
        <v>91.539243551611506</v>
      </c>
      <c r="AJ2670">
        <v>82.239930182799498</v>
      </c>
      <c r="AK2670">
        <v>41.125009586665598</v>
      </c>
    </row>
    <row r="2671" spans="1:37" x14ac:dyDescent="0.2">
      <c r="A2671" t="str">
        <f>"20200111155549677"</f>
        <v>20200111155549677</v>
      </c>
      <c r="B2671" t="str">
        <f>"1578729349674741"</f>
        <v>1578729349674741</v>
      </c>
      <c r="C2671" t="s">
        <v>37</v>
      </c>
      <c r="D2671">
        <v>4.9245000000000001</v>
      </c>
      <c r="E2671">
        <v>0.56440419999999902</v>
      </c>
      <c r="F2671" t="s">
        <v>61</v>
      </c>
      <c r="G2671">
        <v>-410.59320000000002</v>
      </c>
      <c r="H2671" s="1">
        <v>1.9499650000000001E-6</v>
      </c>
      <c r="I2671">
        <v>288.74579999999997</v>
      </c>
      <c r="J2671">
        <v>-369.85140000000001</v>
      </c>
      <c r="K2671">
        <v>1.1046860000000001</v>
      </c>
      <c r="L2671">
        <v>284.1354</v>
      </c>
      <c r="M2671">
        <v>-0.99963150000000001</v>
      </c>
      <c r="N2671">
        <v>0</v>
      </c>
      <c r="O2671">
        <v>-2.296227E-2</v>
      </c>
      <c r="P2671">
        <v>-0.99821909999999903</v>
      </c>
      <c r="Q2671">
        <v>2.6085589999999999E-2</v>
      </c>
      <c r="R2671">
        <v>-5.365139E-2</v>
      </c>
      <c r="S2671">
        <v>-3.025909</v>
      </c>
      <c r="T2671">
        <v>-8.1635479999999996E-2</v>
      </c>
      <c r="U2671">
        <v>0.34036250000000001</v>
      </c>
      <c r="V2671">
        <v>-3.0696609999999999E-2</v>
      </c>
      <c r="W2671">
        <v>4.0566110000000002E-2</v>
      </c>
      <c r="X2671">
        <v>0.99870519999999996</v>
      </c>
      <c r="Y2671">
        <v>0.13451250000000001</v>
      </c>
      <c r="Z2671">
        <v>2.426124E-3</v>
      </c>
      <c r="AA2671">
        <v>0.99090889999999998</v>
      </c>
      <c r="AB2671">
        <v>34</v>
      </c>
      <c r="AC2671">
        <v>-40.741799999999998</v>
      </c>
      <c r="AD2671">
        <v>-1.1046840500349999</v>
      </c>
      <c r="AE2671">
        <v>4.6103999999999603</v>
      </c>
      <c r="AF2671">
        <v>5.54078441154308</v>
      </c>
      <c r="AG2671">
        <v>-1.1046840500349999</v>
      </c>
      <c r="AH2671">
        <v>40.5957111613602</v>
      </c>
      <c r="AI2671">
        <v>91.544427082269905</v>
      </c>
      <c r="AJ2671">
        <v>82.227898264793495</v>
      </c>
      <c r="AK2671">
        <v>40.986978217992402</v>
      </c>
    </row>
    <row r="2672" spans="1:37" x14ac:dyDescent="0.2">
      <c r="A2672" t="str">
        <f>"20200111155549690"</f>
        <v>20200111155549690</v>
      </c>
      <c r="B2672" t="str">
        <f>"1578729349684501"</f>
        <v>1578729349684501</v>
      </c>
      <c r="C2672" t="s">
        <v>37</v>
      </c>
      <c r="D2672">
        <v>4.8932589999999996</v>
      </c>
      <c r="E2672">
        <v>0.5645869</v>
      </c>
      <c r="F2672" t="s">
        <v>61</v>
      </c>
      <c r="G2672">
        <v>-410.11739999999998</v>
      </c>
      <c r="H2672" s="1">
        <v>1.869367E-6</v>
      </c>
      <c r="I2672">
        <v>288.70240000000001</v>
      </c>
      <c r="J2672">
        <v>-370.04320000000001</v>
      </c>
      <c r="K2672">
        <v>1.1046849999999999</v>
      </c>
      <c r="L2672">
        <v>284.1311</v>
      </c>
      <c r="M2672">
        <v>-0.99963400000000002</v>
      </c>
      <c r="N2672">
        <v>0</v>
      </c>
      <c r="O2672">
        <v>-2.285678E-2</v>
      </c>
      <c r="P2672">
        <v>-0.99821499999999996</v>
      </c>
      <c r="Q2672">
        <v>2.6198860000000001E-2</v>
      </c>
      <c r="R2672">
        <v>-5.3670179999999998E-2</v>
      </c>
      <c r="S2672">
        <v>-3.0259399999999999</v>
      </c>
      <c r="T2672">
        <v>-8.3015560000000002E-2</v>
      </c>
      <c r="U2672">
        <v>0.34320070000000003</v>
      </c>
      <c r="V2672">
        <v>-3.0820299999999998E-2</v>
      </c>
      <c r="W2672">
        <v>4.0666639999999997E-2</v>
      </c>
      <c r="X2672">
        <v>0.99869730000000001</v>
      </c>
      <c r="Y2672">
        <v>0.13532230000000001</v>
      </c>
      <c r="Z2672">
        <v>2.475157E-3</v>
      </c>
      <c r="AA2672">
        <v>0.99079850000000003</v>
      </c>
      <c r="AB2672">
        <v>34</v>
      </c>
      <c r="AC2672">
        <v>-40.074199999999898</v>
      </c>
      <c r="AD2672">
        <v>-1.1046831306330001</v>
      </c>
      <c r="AE2672">
        <v>4.5712999999999999</v>
      </c>
      <c r="AF2672">
        <v>5.4820563984056303</v>
      </c>
      <c r="AG2672">
        <v>-1.1046831306330001</v>
      </c>
      <c r="AH2672">
        <v>39.9292804939506</v>
      </c>
      <c r="AI2672">
        <v>91.570019672422603</v>
      </c>
      <c r="AJ2672">
        <v>82.182499618384199</v>
      </c>
      <c r="AK2672">
        <v>40.3189869408817</v>
      </c>
    </row>
    <row r="2673" spans="1:37" x14ac:dyDescent="0.2">
      <c r="A2673" t="str">
        <f>"20200111155549704"</f>
        <v>20200111155549704</v>
      </c>
      <c r="B2673" t="str">
        <f>"1578729349695237"</f>
        <v>1578729349695237</v>
      </c>
      <c r="C2673" t="s">
        <v>37</v>
      </c>
      <c r="D2673">
        <v>4.8857249999999999</v>
      </c>
      <c r="E2673">
        <v>0.56474919999999995</v>
      </c>
      <c r="F2673" t="s">
        <v>61</v>
      </c>
      <c r="G2673">
        <v>-410.46839999999997</v>
      </c>
      <c r="H2673" s="1">
        <v>1.9289080000000001E-6</v>
      </c>
      <c r="I2673">
        <v>288.73349999999999</v>
      </c>
      <c r="J2673">
        <v>-370.23500000000001</v>
      </c>
      <c r="K2673">
        <v>1.1046819999999999</v>
      </c>
      <c r="L2673">
        <v>284.12689999999998</v>
      </c>
      <c r="M2673">
        <v>-0.99963670000000004</v>
      </c>
      <c r="N2673">
        <v>0</v>
      </c>
      <c r="O2673">
        <v>-2.2751779999999999E-2</v>
      </c>
      <c r="P2673">
        <v>-0.99822180000000005</v>
      </c>
      <c r="Q2673">
        <v>2.6160719999999998E-2</v>
      </c>
      <c r="R2673">
        <v>-5.3562569999999997E-2</v>
      </c>
      <c r="S2673">
        <v>-3.026062</v>
      </c>
      <c r="T2673">
        <v>-8.269203E-2</v>
      </c>
      <c r="U2673">
        <v>0.34451290000000001</v>
      </c>
      <c r="V2673">
        <v>-3.0817509999999999E-2</v>
      </c>
      <c r="W2673">
        <v>4.0615180000000001E-2</v>
      </c>
      <c r="X2673">
        <v>0.99869949999999996</v>
      </c>
      <c r="Y2673">
        <v>0.13563829999999999</v>
      </c>
      <c r="Z2673">
        <v>2.4667970000000002E-3</v>
      </c>
      <c r="AA2673">
        <v>0.99075539999999995</v>
      </c>
      <c r="AB2673">
        <v>34</v>
      </c>
      <c r="AC2673">
        <v>-40.233399999999897</v>
      </c>
      <c r="AD2673">
        <v>-1.1046800710919999</v>
      </c>
      <c r="AE2673">
        <v>4.60660000000001</v>
      </c>
      <c r="AF2673">
        <v>5.5167792182821103</v>
      </c>
      <c r="AG2673">
        <v>-1.1046800710919999</v>
      </c>
      <c r="AH2673">
        <v>40.088333359567997</v>
      </c>
      <c r="AI2673">
        <v>91.563721519279497</v>
      </c>
      <c r="AJ2673">
        <v>82.164424263405806</v>
      </c>
      <c r="AK2673">
        <v>40.4812258034584</v>
      </c>
    </row>
    <row r="2674" spans="1:37" x14ac:dyDescent="0.2">
      <c r="A2674" t="str">
        <f>"20200111155549716"</f>
        <v>20200111155549716</v>
      </c>
      <c r="B2674" t="str">
        <f>"1578729349705000"</f>
        <v>1578729349705000</v>
      </c>
      <c r="C2674" t="s">
        <v>37</v>
      </c>
      <c r="D2674">
        <v>4.909662</v>
      </c>
      <c r="E2674">
        <v>0.56492050000000005</v>
      </c>
      <c r="F2674" t="s">
        <v>61</v>
      </c>
      <c r="G2674">
        <v>-410.57089999999999</v>
      </c>
      <c r="H2674" s="1">
        <v>1.9464359999999998E-6</v>
      </c>
      <c r="I2674">
        <v>288.74090000000001</v>
      </c>
      <c r="J2674">
        <v>-370.43740000000003</v>
      </c>
      <c r="K2674">
        <v>1.1046769999999999</v>
      </c>
      <c r="L2674">
        <v>284.1223</v>
      </c>
      <c r="M2674">
        <v>-0.99963930000000001</v>
      </c>
      <c r="N2674">
        <v>0</v>
      </c>
      <c r="O2674">
        <v>-2.2641399999999999E-2</v>
      </c>
      <c r="P2674">
        <v>-0.99822610000000001</v>
      </c>
      <c r="Q2674">
        <v>2.608388E-2</v>
      </c>
      <c r="R2674">
        <v>-5.3519730000000001E-2</v>
      </c>
      <c r="S2674">
        <v>-3.0261230000000001</v>
      </c>
      <c r="T2674">
        <v>-8.2876439999999996E-2</v>
      </c>
      <c r="U2674">
        <v>0.34616089999999999</v>
      </c>
      <c r="V2674">
        <v>-3.0884769999999999E-2</v>
      </c>
      <c r="W2674">
        <v>4.0525609999999997E-2</v>
      </c>
      <c r="X2674">
        <v>0.99870099999999995</v>
      </c>
      <c r="Y2674">
        <v>0.13605889999999901</v>
      </c>
      <c r="Z2674">
        <v>2.4748970000000002E-3</v>
      </c>
      <c r="AA2674">
        <v>0.99069769999999902</v>
      </c>
      <c r="AB2674">
        <v>33</v>
      </c>
      <c r="AC2674">
        <v>-40.133499999999898</v>
      </c>
      <c r="AD2674">
        <v>-1.104675053564</v>
      </c>
      <c r="AE2674">
        <v>4.6186000000000096</v>
      </c>
      <c r="AF2674">
        <v>5.5220602361511801</v>
      </c>
      <c r="AG2674">
        <v>-1.104675053564</v>
      </c>
      <c r="AH2674">
        <v>39.988726656911801</v>
      </c>
      <c r="AI2674">
        <v>91.567506841267601</v>
      </c>
      <c r="AJ2674">
        <v>82.137725019956406</v>
      </c>
      <c r="AK2674">
        <v>40.383309867652699</v>
      </c>
    </row>
    <row r="2675" spans="1:37" x14ac:dyDescent="0.2">
      <c r="A2675" t="str">
        <f>"20200111155549729"</f>
        <v>20200111155549729</v>
      </c>
      <c r="B2675" t="str">
        <f>"1578729349724518"</f>
        <v>1578729349724518</v>
      </c>
      <c r="C2675" t="s">
        <v>37</v>
      </c>
      <c r="D2675">
        <v>4.9378169999999999</v>
      </c>
      <c r="E2675">
        <v>0.56513649999999904</v>
      </c>
      <c r="F2675" t="s">
        <v>61</v>
      </c>
      <c r="G2675">
        <v>-410.79329999999999</v>
      </c>
      <c r="H2675" s="1">
        <v>1.9842349999999999E-6</v>
      </c>
      <c r="I2675">
        <v>288.75979999999998</v>
      </c>
      <c r="J2675">
        <v>-370.63099999999997</v>
      </c>
      <c r="K2675">
        <v>1.1046769999999999</v>
      </c>
      <c r="L2675">
        <v>284.11810000000003</v>
      </c>
      <c r="M2675">
        <v>-0.99964200000000003</v>
      </c>
      <c r="N2675">
        <v>0</v>
      </c>
      <c r="O2675">
        <v>-2.2536049999999998E-2</v>
      </c>
      <c r="P2675">
        <v>-0.99822409999999995</v>
      </c>
      <c r="Q2675">
        <v>2.5928550000000002E-2</v>
      </c>
      <c r="R2675">
        <v>-5.3632770000000003E-2</v>
      </c>
      <c r="S2675">
        <v>-3.026154</v>
      </c>
      <c r="T2675">
        <v>-8.2835909999999999E-2</v>
      </c>
      <c r="U2675">
        <v>0.3477478</v>
      </c>
      <c r="V2675">
        <v>-3.1103570000000001E-2</v>
      </c>
      <c r="W2675">
        <v>4.0357900000000002E-2</v>
      </c>
      <c r="X2675">
        <v>0.99870099999999995</v>
      </c>
      <c r="Y2675">
        <v>0.13646610000000001</v>
      </c>
      <c r="Z2675">
        <v>2.4762679999999998E-3</v>
      </c>
      <c r="AA2675">
        <v>0.99064169999999996</v>
      </c>
      <c r="AB2675">
        <v>33</v>
      </c>
      <c r="AC2675">
        <v>-40.162300000000002</v>
      </c>
      <c r="AD2675">
        <v>-1.104675015765</v>
      </c>
      <c r="AE2675">
        <v>4.6416999999999504</v>
      </c>
      <c r="AF2675">
        <v>5.5415774878132096</v>
      </c>
      <c r="AG2675">
        <v>-1.104675015765</v>
      </c>
      <c r="AH2675">
        <v>40.017605572467197</v>
      </c>
      <c r="AI2675">
        <v>91.566293715810204</v>
      </c>
      <c r="AJ2675">
        <v>82.115907851928199</v>
      </c>
      <c r="AK2675">
        <v>40.414578356051798</v>
      </c>
    </row>
    <row r="2676" spans="1:37" x14ac:dyDescent="0.2">
      <c r="A2676" t="str">
        <f>"20200111155549744"</f>
        <v>20200111155549744</v>
      </c>
      <c r="B2676" t="str">
        <f>"1578729349735254"</f>
        <v>1578729349735254</v>
      </c>
      <c r="C2676" t="s">
        <v>37</v>
      </c>
      <c r="D2676">
        <v>4.9719850000000001</v>
      </c>
      <c r="E2676">
        <v>0.56529309999999999</v>
      </c>
      <c r="F2676" t="s">
        <v>61</v>
      </c>
      <c r="G2676">
        <v>-410.59190000000001</v>
      </c>
      <c r="H2676" s="1">
        <v>1.95132E-6</v>
      </c>
      <c r="I2676">
        <v>288.72770000000003</v>
      </c>
      <c r="J2676">
        <v>-370.84199999999998</v>
      </c>
      <c r="K2676">
        <v>1.104671</v>
      </c>
      <c r="L2676">
        <v>284.11340000000001</v>
      </c>
      <c r="M2676">
        <v>-0.99964470000000005</v>
      </c>
      <c r="N2676">
        <v>0</v>
      </c>
      <c r="O2676">
        <v>-2.2421400000000001E-2</v>
      </c>
      <c r="P2676">
        <v>-0.99822049999999996</v>
      </c>
      <c r="Q2676">
        <v>2.5876989999999999E-2</v>
      </c>
      <c r="R2676">
        <v>-5.3724279999999999E-2</v>
      </c>
      <c r="S2676">
        <v>-3.02627599999999</v>
      </c>
      <c r="T2676">
        <v>-8.3658099999999999E-2</v>
      </c>
      <c r="U2676">
        <v>0.34909059999999997</v>
      </c>
      <c r="V2676">
        <v>-3.1309370000000003E-2</v>
      </c>
      <c r="W2676">
        <v>4.0293099999999998E-2</v>
      </c>
      <c r="X2676">
        <v>0.99869719999999995</v>
      </c>
      <c r="Y2676">
        <v>0.1367805</v>
      </c>
      <c r="Z2676">
        <v>2.501844E-3</v>
      </c>
      <c r="AA2676">
        <v>0.99059819999999998</v>
      </c>
      <c r="AB2676">
        <v>33</v>
      </c>
      <c r="AC2676">
        <v>-39.749899999999997</v>
      </c>
      <c r="AD2676">
        <v>-1.1046690486799999</v>
      </c>
      <c r="AE2676">
        <v>4.6143000000000098</v>
      </c>
      <c r="AF2676">
        <v>5.5002893139378202</v>
      </c>
      <c r="AG2676">
        <v>-1.1046690486799999</v>
      </c>
      <c r="AH2676">
        <v>39.606253691347298</v>
      </c>
      <c r="AI2676">
        <v>91.582459347690602</v>
      </c>
      <c r="AJ2676">
        <v>82.093659409419004</v>
      </c>
      <c r="AK2676">
        <v>40.0016100639398</v>
      </c>
    </row>
    <row r="2677" spans="1:37" x14ac:dyDescent="0.2">
      <c r="A2677" t="str">
        <f>"20200111155549757"</f>
        <v>20200111155549757</v>
      </c>
      <c r="B2677" t="str">
        <f>"1578729349754774"</f>
        <v>1578729349754774</v>
      </c>
      <c r="C2677" t="s">
        <v>37</v>
      </c>
      <c r="D2677">
        <v>5.1752409999999998</v>
      </c>
      <c r="E2677">
        <v>0.56513769999999997</v>
      </c>
      <c r="F2677" t="s">
        <v>61</v>
      </c>
      <c r="G2677">
        <v>-410.6309</v>
      </c>
      <c r="H2677" s="1">
        <v>1.9592689999999998E-6</v>
      </c>
      <c r="I2677">
        <v>288.71589999999998</v>
      </c>
      <c r="J2677">
        <v>-371.04259999999999</v>
      </c>
      <c r="K2677">
        <v>1.104665</v>
      </c>
      <c r="L2677">
        <v>284.10899999999998</v>
      </c>
      <c r="M2677">
        <v>-0.99964739999999996</v>
      </c>
      <c r="N2677">
        <v>0</v>
      </c>
      <c r="O2677">
        <v>-2.2312829999999999E-2</v>
      </c>
      <c r="P2677">
        <v>-0.99821839999999995</v>
      </c>
      <c r="Q2677">
        <v>2.566046E-2</v>
      </c>
      <c r="R2677">
        <v>-5.3867599999999898E-2</v>
      </c>
      <c r="S2677">
        <v>-3.026367</v>
      </c>
      <c r="T2677">
        <v>-8.4021810000000002E-2</v>
      </c>
      <c r="U2677">
        <v>0.35006709999999902</v>
      </c>
      <c r="V2677">
        <v>-3.1561579999999999E-2</v>
      </c>
      <c r="W2677">
        <v>4.0064410000000002E-2</v>
      </c>
      <c r="X2677">
        <v>0.99869850000000004</v>
      </c>
      <c r="Y2677">
        <v>0.13698440000000001</v>
      </c>
      <c r="Z2677">
        <v>2.512411E-3</v>
      </c>
      <c r="AA2677">
        <v>0.99056999999999995</v>
      </c>
      <c r="AB2677">
        <v>33</v>
      </c>
      <c r="AC2677">
        <v>-39.588299999999997</v>
      </c>
      <c r="AD2677">
        <v>-1.1046630407310001</v>
      </c>
      <c r="AE2677">
        <v>4.6068999999999303</v>
      </c>
      <c r="AF2677">
        <v>5.48495771871203</v>
      </c>
      <c r="AG2677">
        <v>-1.1046630407310001</v>
      </c>
      <c r="AH2677">
        <v>39.445335743294002</v>
      </c>
      <c r="AI2677">
        <v>91.588864571746598</v>
      </c>
      <c r="AJ2677">
        <v>82.083661815883701</v>
      </c>
      <c r="AK2677">
        <v>39.840175118977598</v>
      </c>
    </row>
    <row r="2678" spans="1:37" x14ac:dyDescent="0.2">
      <c r="A2678" t="str">
        <f>"20200111155549771"</f>
        <v>20200111155549771</v>
      </c>
      <c r="B2678" t="str">
        <f>"1578729349765042"</f>
        <v>1578729349765042</v>
      </c>
      <c r="C2678" t="s">
        <v>37</v>
      </c>
      <c r="D2678">
        <v>5.129219</v>
      </c>
      <c r="E2678">
        <v>0.54059029999999997</v>
      </c>
      <c r="F2678" t="s">
        <v>61</v>
      </c>
      <c r="G2678">
        <v>-410.2423</v>
      </c>
      <c r="H2678" s="1">
        <v>1.898717E-6</v>
      </c>
      <c r="I2678">
        <v>288.62</v>
      </c>
      <c r="J2678">
        <v>-371.24220000000003</v>
      </c>
      <c r="K2678">
        <v>1.104665</v>
      </c>
      <c r="L2678">
        <v>284.10469999999998</v>
      </c>
      <c r="M2678">
        <v>-0.99964979999999903</v>
      </c>
      <c r="N2678">
        <v>0</v>
      </c>
      <c r="O2678">
        <v>-2.2204749999999999E-2</v>
      </c>
      <c r="P2678">
        <v>-0.9982181</v>
      </c>
      <c r="Q2678">
        <v>2.54903E-2</v>
      </c>
      <c r="R2678">
        <v>-5.3952569999999998E-2</v>
      </c>
      <c r="S2678">
        <v>-3.026367</v>
      </c>
      <c r="T2678">
        <v>-8.5284349999999995E-2</v>
      </c>
      <c r="U2678">
        <v>0.34826659999999998</v>
      </c>
      <c r="V2678">
        <v>-3.1754209999999998E-2</v>
      </c>
      <c r="W2678">
        <v>3.9882880000000002E-2</v>
      </c>
      <c r="X2678">
        <v>0.99869969999999997</v>
      </c>
      <c r="Y2678">
        <v>0.1362941</v>
      </c>
      <c r="Z2678">
        <v>2.5375049999999998E-3</v>
      </c>
      <c r="AA2678">
        <v>0.99066520000000002</v>
      </c>
      <c r="AB2678">
        <v>33</v>
      </c>
      <c r="AC2678">
        <v>-39.000099999999897</v>
      </c>
      <c r="AD2678">
        <v>-1.1046631012829999</v>
      </c>
      <c r="AE2678">
        <v>4.5153000000000203</v>
      </c>
      <c r="AF2678">
        <v>5.3760076704699804</v>
      </c>
      <c r="AG2678">
        <v>-1.1046631012829999</v>
      </c>
      <c r="AH2678">
        <v>38.859446851747201</v>
      </c>
      <c r="AI2678">
        <v>91.612962751395699</v>
      </c>
      <c r="AJ2678">
        <v>82.123415968124803</v>
      </c>
      <c r="AK2678">
        <v>39.245106047302897</v>
      </c>
    </row>
    <row r="2679" spans="1:37" x14ac:dyDescent="0.2">
      <c r="A2679" t="str">
        <f>"20200111155549785"</f>
        <v>20200111155549785</v>
      </c>
      <c r="B2679" t="str">
        <f>"1578729349774802"</f>
        <v>1578729349774802</v>
      </c>
      <c r="C2679" t="s">
        <v>37</v>
      </c>
      <c r="D2679">
        <v>5.1186889999999998</v>
      </c>
      <c r="E2679">
        <v>0.54165129999999995</v>
      </c>
      <c r="F2679" t="s">
        <v>59</v>
      </c>
      <c r="G2679">
        <v>-392.63529999999997</v>
      </c>
      <c r="H2679" s="1">
        <v>-1.343907E-7</v>
      </c>
      <c r="I2679">
        <v>285.15429999999998</v>
      </c>
      <c r="J2679">
        <v>-371.4522</v>
      </c>
      <c r="K2679">
        <v>1.104663</v>
      </c>
      <c r="L2679">
        <v>284.1001</v>
      </c>
      <c r="M2679">
        <v>-0.99965269999999995</v>
      </c>
      <c r="N2679">
        <v>0</v>
      </c>
      <c r="O2679">
        <v>-2.209119E-2</v>
      </c>
      <c r="P2679">
        <v>-0.99822239999999995</v>
      </c>
      <c r="Q2679">
        <v>2.5633240000000002E-2</v>
      </c>
      <c r="R2679">
        <v>-5.3808620000000001E-2</v>
      </c>
      <c r="S2679">
        <v>-3.017334</v>
      </c>
      <c r="T2679">
        <v>-0.1558039</v>
      </c>
      <c r="U2679">
        <v>0.1480408</v>
      </c>
      <c r="V2679">
        <v>-3.1723559999999998E-2</v>
      </c>
      <c r="W2679">
        <v>4.0014380000000002E-2</v>
      </c>
      <c r="X2679">
        <v>0.99869540000000001</v>
      </c>
      <c r="Y2679">
        <v>7.0935789999999999E-2</v>
      </c>
      <c r="Z2679">
        <v>2.9685800000000002E-3</v>
      </c>
      <c r="AA2679">
        <v>0.99747649999999999</v>
      </c>
      <c r="AB2679">
        <v>33</v>
      </c>
      <c r="AC2679">
        <v>-21.1830999999999</v>
      </c>
      <c r="AD2679">
        <v>-1.1046631343907001</v>
      </c>
      <c r="AE2679">
        <v>1.05419999999998</v>
      </c>
      <c r="AF2679">
        <v>1.5178334105698399</v>
      </c>
      <c r="AG2679">
        <v>-1.1046631343907001</v>
      </c>
      <c r="AH2679">
        <v>21.0974069207737</v>
      </c>
      <c r="AI2679">
        <v>92.989564953807403</v>
      </c>
      <c r="AJ2679">
        <v>85.884998091181899</v>
      </c>
      <c r="AK2679">
        <v>21.180761971266101</v>
      </c>
    </row>
    <row r="2680" spans="1:37" x14ac:dyDescent="0.2">
      <c r="A2680" t="str">
        <f>"20200111155549800"</f>
        <v>20200111155549800</v>
      </c>
      <c r="B2680" t="str">
        <f>"1578729349794321"</f>
        <v>1578729349794321</v>
      </c>
      <c r="C2680" t="s">
        <v>37</v>
      </c>
      <c r="D2680">
        <v>5.116352</v>
      </c>
      <c r="E2680">
        <v>0.54408630000000002</v>
      </c>
      <c r="F2680" t="s">
        <v>59</v>
      </c>
      <c r="G2680">
        <v>-393.18419999999998</v>
      </c>
      <c r="H2680" s="1">
        <v>1.5769489999999999E-7</v>
      </c>
      <c r="I2680">
        <v>285.23099999999999</v>
      </c>
      <c r="J2680">
        <v>-371.6728</v>
      </c>
      <c r="K2680">
        <v>1.1046639999999901</v>
      </c>
      <c r="L2680">
        <v>284.09539999999998</v>
      </c>
      <c r="M2680">
        <v>-0.99965539999999997</v>
      </c>
      <c r="N2680">
        <v>0</v>
      </c>
      <c r="O2680">
        <v>-2.1971190000000002E-2</v>
      </c>
      <c r="P2680">
        <v>-0.99821309999999996</v>
      </c>
      <c r="Q2680">
        <v>2.54139E-2</v>
      </c>
      <c r="R2680">
        <v>-5.4079750000000003E-2</v>
      </c>
      <c r="S2680">
        <v>-3.0177610000000001</v>
      </c>
      <c r="T2680">
        <v>-0.15339639999999999</v>
      </c>
      <c r="U2680">
        <v>0.1570435</v>
      </c>
      <c r="V2680">
        <v>-3.2114829999999997E-2</v>
      </c>
      <c r="W2680">
        <v>3.978425E-2</v>
      </c>
      <c r="X2680">
        <v>0.99869209999999997</v>
      </c>
      <c r="Y2680">
        <v>7.3777300000000004E-2</v>
      </c>
      <c r="Z2680">
        <v>2.9881740000000001E-3</v>
      </c>
      <c r="AA2680">
        <v>0.99727030000000005</v>
      </c>
      <c r="AB2680">
        <v>33</v>
      </c>
      <c r="AC2680">
        <v>-21.511399999999899</v>
      </c>
      <c r="AD2680">
        <v>-1.1046638423050901</v>
      </c>
      <c r="AE2680">
        <v>1.1356000000000099</v>
      </c>
      <c r="AF2680">
        <v>1.6037880817069301</v>
      </c>
      <c r="AG2680">
        <v>-1.1046638423050901</v>
      </c>
      <c r="AH2680">
        <v>21.424910972100299</v>
      </c>
      <c r="AI2680">
        <v>92.943324222971597</v>
      </c>
      <c r="AJ2680">
        <v>85.719038048368901</v>
      </c>
      <c r="AK2680">
        <v>21.513233801033898</v>
      </c>
    </row>
    <row r="2681" spans="1:37" x14ac:dyDescent="0.2">
      <c r="A2681" t="str">
        <f>"20200111155549811"</f>
        <v>20200111155549811</v>
      </c>
      <c r="B2681" t="str">
        <f>"1578729349805058"</f>
        <v>1578729349805058</v>
      </c>
      <c r="C2681" t="s">
        <v>37</v>
      </c>
      <c r="D2681">
        <v>5.1712989999999897</v>
      </c>
      <c r="E2681">
        <v>0.54426439999999998</v>
      </c>
      <c r="F2681" t="s">
        <v>59</v>
      </c>
      <c r="G2681">
        <v>-395.21480000000003</v>
      </c>
      <c r="H2681" s="1">
        <v>1.23829E-6</v>
      </c>
      <c r="I2681">
        <v>285.47129999999999</v>
      </c>
      <c r="J2681">
        <v>-371.85789999999997</v>
      </c>
      <c r="K2681">
        <v>1.104663</v>
      </c>
      <c r="L2681">
        <v>284.09140000000002</v>
      </c>
      <c r="M2681">
        <v>-0.99965759999999904</v>
      </c>
      <c r="N2681">
        <v>0</v>
      </c>
      <c r="O2681">
        <v>-2.1870400000000002E-2</v>
      </c>
      <c r="P2681">
        <v>-0.99821949999999904</v>
      </c>
      <c r="Q2681">
        <v>2.5470940000000001E-2</v>
      </c>
      <c r="R2681">
        <v>-5.393556E-2</v>
      </c>
      <c r="S2681">
        <v>-3.0185240000000002</v>
      </c>
      <c r="T2681">
        <v>-0.14163789999999901</v>
      </c>
      <c r="U2681">
        <v>0.1764221</v>
      </c>
      <c r="V2681">
        <v>-3.20719E-2</v>
      </c>
      <c r="W2681">
        <v>3.9831890000000002E-2</v>
      </c>
      <c r="X2681">
        <v>0.99869159999999901</v>
      </c>
      <c r="Y2681">
        <v>8.0056550000000004E-2</v>
      </c>
      <c r="Z2681">
        <v>2.9006050000000001E-3</v>
      </c>
      <c r="AA2681">
        <v>0.99678609999999901</v>
      </c>
      <c r="AB2681">
        <v>33</v>
      </c>
      <c r="AC2681">
        <v>-23.3569</v>
      </c>
      <c r="AD2681">
        <v>-1.1046617617100001</v>
      </c>
      <c r="AE2681">
        <v>1.3798999999999599</v>
      </c>
      <c r="AF2681">
        <v>1.88624285873912</v>
      </c>
      <c r="AG2681">
        <v>-1.1046617617100001</v>
      </c>
      <c r="AH2681">
        <v>23.269262347303499</v>
      </c>
      <c r="AI2681">
        <v>92.709089322838494</v>
      </c>
      <c r="AJ2681">
        <v>85.365647371584004</v>
      </c>
      <c r="AK2681">
        <v>23.3717085365526</v>
      </c>
    </row>
    <row r="2682" spans="1:37" x14ac:dyDescent="0.2">
      <c r="A2682" t="str">
        <f>"20200111155549825"</f>
        <v>20200111155549825</v>
      </c>
      <c r="B2682" t="str">
        <f>"1578729349814819"</f>
        <v>1578729349814819</v>
      </c>
      <c r="C2682" t="s">
        <v>37</v>
      </c>
      <c r="D2682">
        <v>5.1017089999999996</v>
      </c>
      <c r="E2682">
        <v>0.54475499999999999</v>
      </c>
      <c r="F2682" t="s">
        <v>59</v>
      </c>
      <c r="G2682">
        <v>-396.09559999999999</v>
      </c>
      <c r="H2682" s="1">
        <v>1.707004E-6</v>
      </c>
      <c r="I2682">
        <v>285.52569999999997</v>
      </c>
      <c r="J2682">
        <v>-372.051999999999</v>
      </c>
      <c r="K2682">
        <v>1.1046609999999999</v>
      </c>
      <c r="L2682">
        <v>284.0872</v>
      </c>
      <c r="M2682">
        <v>-0.99966029999999995</v>
      </c>
      <c r="N2682">
        <v>0</v>
      </c>
      <c r="O2682">
        <v>-2.176436E-2</v>
      </c>
      <c r="P2682">
        <v>-0.99822459999999902</v>
      </c>
      <c r="Q2682">
        <v>2.5519920000000001E-2</v>
      </c>
      <c r="R2682">
        <v>-5.382083E-2</v>
      </c>
      <c r="S2682">
        <v>-3.0185240000000002</v>
      </c>
      <c r="T2682">
        <v>-0.1375728</v>
      </c>
      <c r="U2682">
        <v>0.17861939999999901</v>
      </c>
      <c r="V2682">
        <v>-3.2062799999999898E-2</v>
      </c>
      <c r="W2682">
        <v>3.9871919999999998E-2</v>
      </c>
      <c r="X2682">
        <v>0.99869019999999997</v>
      </c>
      <c r="Y2682">
        <v>8.0679680000000004E-2</v>
      </c>
      <c r="Z2682">
        <v>2.8267380000000001E-3</v>
      </c>
      <c r="AA2682">
        <v>0.99673599999999996</v>
      </c>
      <c r="AB2682">
        <v>33</v>
      </c>
      <c r="AC2682">
        <v>-24.043600000000001</v>
      </c>
      <c r="AD2682">
        <v>-1.104659292996</v>
      </c>
      <c r="AE2682">
        <v>1.4384999999999699</v>
      </c>
      <c r="AF2682">
        <v>1.95738953606915</v>
      </c>
      <c r="AG2682">
        <v>-1.104659292996</v>
      </c>
      <c r="AH2682">
        <v>23.956204696249198</v>
      </c>
      <c r="AI2682">
        <v>92.631374205199606</v>
      </c>
      <c r="AJ2682">
        <v>85.328910279521196</v>
      </c>
      <c r="AK2682">
        <v>24.061408715993899</v>
      </c>
    </row>
    <row r="2683" spans="1:37" x14ac:dyDescent="0.2">
      <c r="A2683" t="str">
        <f>"20200111155549840"</f>
        <v>20200111155549840</v>
      </c>
      <c r="B2683" t="str">
        <f>"1578729349834338"</f>
        <v>1578729349834338</v>
      </c>
      <c r="C2683" t="s">
        <v>37</v>
      </c>
      <c r="D2683">
        <v>5.1514889999999998</v>
      </c>
      <c r="E2683">
        <v>0.54356280000000001</v>
      </c>
      <c r="F2683" t="s">
        <v>59</v>
      </c>
      <c r="G2683">
        <v>-396.58580000000001</v>
      </c>
      <c r="H2683" s="1">
        <v>1.9678579999999999E-6</v>
      </c>
      <c r="I2683">
        <v>285.5727</v>
      </c>
      <c r="J2683">
        <v>-372.26900000000001</v>
      </c>
      <c r="K2683">
        <v>1.10466</v>
      </c>
      <c r="L2683">
        <v>284.08269999999999</v>
      </c>
      <c r="M2683">
        <v>-0.99966279999999996</v>
      </c>
      <c r="N2683">
        <v>0</v>
      </c>
      <c r="O2683">
        <v>-2.1644130000000001E-2</v>
      </c>
      <c r="P2683">
        <v>-0.99822469999999996</v>
      </c>
      <c r="Q2683">
        <v>2.602314E-2</v>
      </c>
      <c r="R2683">
        <v>-5.3575350000000001E-2</v>
      </c>
      <c r="S2683">
        <v>-3.0186769999999998</v>
      </c>
      <c r="T2683">
        <v>-0.1359186</v>
      </c>
      <c r="U2683">
        <v>0.18276979999999901</v>
      </c>
      <c r="V2683">
        <v>-3.1936920000000001E-2</v>
      </c>
      <c r="W2683">
        <v>4.036505E-2</v>
      </c>
      <c r="X2683">
        <v>0.99867450000000002</v>
      </c>
      <c r="Y2683">
        <v>8.1923689999999993E-2</v>
      </c>
      <c r="Z2683">
        <v>2.8150919999999999E-3</v>
      </c>
      <c r="AA2683">
        <v>0.99663459999999904</v>
      </c>
      <c r="AB2683">
        <v>33</v>
      </c>
      <c r="AC2683">
        <v>-24.316800000000001</v>
      </c>
      <c r="AD2683">
        <v>-1.1046580321420001</v>
      </c>
      <c r="AE2683">
        <v>1.49</v>
      </c>
      <c r="AF2683">
        <v>2.0118846689229599</v>
      </c>
      <c r="AG2683">
        <v>-1.1046580321420001</v>
      </c>
      <c r="AH2683">
        <v>24.229035257109999</v>
      </c>
      <c r="AI2683">
        <v>92.601499130487198</v>
      </c>
      <c r="AJ2683">
        <v>85.253271315835093</v>
      </c>
      <c r="AK2683">
        <v>24.337503955403999</v>
      </c>
    </row>
    <row r="2684" spans="1:37" x14ac:dyDescent="0.2">
      <c r="A2684" t="str">
        <f>"20200111155549855"</f>
        <v>20200111155549855</v>
      </c>
      <c r="B2684" t="str">
        <f>"1578729349845073"</f>
        <v>1578729349845073</v>
      </c>
      <c r="C2684" t="s">
        <v>37</v>
      </c>
      <c r="D2684">
        <v>5.2105990000000002</v>
      </c>
      <c r="E2684">
        <v>0.54326750000000001</v>
      </c>
      <c r="F2684" t="s">
        <v>59</v>
      </c>
      <c r="G2684">
        <v>-396.42610000000002</v>
      </c>
      <c r="H2684" s="1">
        <v>1.8828469999999901E-6</v>
      </c>
      <c r="I2684">
        <v>285.4742</v>
      </c>
      <c r="J2684">
        <v>-372.50619999999998</v>
      </c>
      <c r="K2684">
        <v>1.104663</v>
      </c>
      <c r="L2684">
        <v>284.07769999999999</v>
      </c>
      <c r="M2684">
        <v>-0.9996659</v>
      </c>
      <c r="N2684">
        <v>0</v>
      </c>
      <c r="O2684">
        <v>-2.1509449999999999E-2</v>
      </c>
      <c r="P2684">
        <v>-0.99824500000000005</v>
      </c>
      <c r="Q2684">
        <v>2.6437220000000001E-2</v>
      </c>
      <c r="R2684">
        <v>-5.2993110000000003E-2</v>
      </c>
      <c r="S2684">
        <v>-3.01821899999999</v>
      </c>
      <c r="T2684">
        <v>-0.13801749999999999</v>
      </c>
      <c r="U2684">
        <v>0.1738586</v>
      </c>
      <c r="V2684">
        <v>-3.1488769999999999E-2</v>
      </c>
      <c r="W2684">
        <v>4.0769550000000002E-2</v>
      </c>
      <c r="X2684">
        <v>0.99867220000000001</v>
      </c>
      <c r="Y2684">
        <v>7.8865900000000003E-2</v>
      </c>
      <c r="Z2684">
        <v>2.783219E-3</v>
      </c>
      <c r="AA2684">
        <v>0.99688140000000003</v>
      </c>
      <c r="AB2684">
        <v>33</v>
      </c>
      <c r="AC2684">
        <v>-23.919899999999998</v>
      </c>
      <c r="AD2684">
        <v>-1.1046611171529901</v>
      </c>
      <c r="AE2684">
        <v>1.3965000000000001</v>
      </c>
      <c r="AF2684">
        <v>1.9066809400425999</v>
      </c>
      <c r="AG2684">
        <v>-1.1046611171529901</v>
      </c>
      <c r="AH2684">
        <v>23.833665324342299</v>
      </c>
      <c r="AI2684">
        <v>92.645250743560297</v>
      </c>
      <c r="AJ2684">
        <v>85.426108087411194</v>
      </c>
      <c r="AK2684">
        <v>23.935315146946099</v>
      </c>
    </row>
    <row r="2685" spans="1:37" x14ac:dyDescent="0.2">
      <c r="A2685" t="str">
        <f>"20200111155549869"</f>
        <v>20200111155549869</v>
      </c>
      <c r="B2685" t="str">
        <f>"1578729349865101"</f>
        <v>1578729349865101</v>
      </c>
      <c r="C2685" t="s">
        <v>37</v>
      </c>
      <c r="D2685">
        <v>5.1387739999999997</v>
      </c>
      <c r="E2685">
        <v>0.54290150000000004</v>
      </c>
      <c r="F2685" t="s">
        <v>59</v>
      </c>
      <c r="G2685">
        <v>-396.65649999999999</v>
      </c>
      <c r="H2685" s="1">
        <v>2.0054880000000002E-6</v>
      </c>
      <c r="I2685">
        <v>285.46179999999998</v>
      </c>
      <c r="J2685">
        <v>-372.70549999999997</v>
      </c>
      <c r="K2685">
        <v>1.1046609999999999</v>
      </c>
      <c r="L2685">
        <v>284.07350000000002</v>
      </c>
      <c r="M2685">
        <v>-0.99966869999999997</v>
      </c>
      <c r="N2685">
        <v>0</v>
      </c>
      <c r="O2685">
        <v>-2.1392290000000001E-2</v>
      </c>
      <c r="P2685">
        <v>-0.99825599999999903</v>
      </c>
      <c r="Q2685">
        <v>2.6661710000000002E-2</v>
      </c>
      <c r="R2685">
        <v>-5.267351E-2</v>
      </c>
      <c r="S2685">
        <v>-3.0181269999999998</v>
      </c>
      <c r="T2685">
        <v>-0.13805229999999999</v>
      </c>
      <c r="U2685">
        <v>0.17297360000000001</v>
      </c>
      <c r="V2685">
        <v>-3.1285630000000002E-2</v>
      </c>
      <c r="W2685">
        <v>4.0986799999999997E-2</v>
      </c>
      <c r="X2685">
        <v>0.99866969999999999</v>
      </c>
      <c r="Y2685">
        <v>7.8459929999999997E-2</v>
      </c>
      <c r="Z2685">
        <v>2.7694019999999998E-3</v>
      </c>
      <c r="AA2685">
        <v>0.99691339999999995</v>
      </c>
      <c r="AB2685">
        <v>33</v>
      </c>
      <c r="AC2685">
        <v>-23.951000000000001</v>
      </c>
      <c r="AD2685">
        <v>-1.104658994512</v>
      </c>
      <c r="AE2685">
        <v>1.3882999999999499</v>
      </c>
      <c r="AF2685">
        <v>1.89638098102127</v>
      </c>
      <c r="AG2685">
        <v>-1.104658994512</v>
      </c>
      <c r="AH2685">
        <v>23.865219743769298</v>
      </c>
      <c r="AI2685">
        <v>92.641865413821407</v>
      </c>
      <c r="AJ2685">
        <v>85.456702256068098</v>
      </c>
      <c r="AK2685">
        <v>23.9659184204931</v>
      </c>
    </row>
    <row r="2686" spans="1:37" x14ac:dyDescent="0.2">
      <c r="A2686" t="str">
        <f>"20200111155549883"</f>
        <v>20200111155549883</v>
      </c>
      <c r="B2686" t="str">
        <f>"1578729349874861"</f>
        <v>1578729349874861</v>
      </c>
      <c r="C2686" t="s">
        <v>37</v>
      </c>
      <c r="D2686">
        <v>5.150245</v>
      </c>
      <c r="E2686">
        <v>0.54279009999999905</v>
      </c>
      <c r="F2686" t="s">
        <v>59</v>
      </c>
      <c r="G2686">
        <v>-396.49829999999997</v>
      </c>
      <c r="H2686" s="1">
        <v>1.9212980000000001E-6</v>
      </c>
      <c r="I2686">
        <v>285.42180000000002</v>
      </c>
      <c r="J2686">
        <v>-372.91609999999997</v>
      </c>
      <c r="K2686">
        <v>1.104657</v>
      </c>
      <c r="L2686">
        <v>284.06909999999999</v>
      </c>
      <c r="M2686">
        <v>-0.99967129999999904</v>
      </c>
      <c r="N2686">
        <v>0</v>
      </c>
      <c r="O2686">
        <v>-2.1263899999999999E-2</v>
      </c>
      <c r="P2686">
        <v>-0.99826329999999996</v>
      </c>
      <c r="Q2686">
        <v>2.6931759999999999E-2</v>
      </c>
      <c r="R2686">
        <v>-5.2395320000000002E-2</v>
      </c>
      <c r="S2686">
        <v>-3.018005</v>
      </c>
      <c r="T2686">
        <v>-0.14012049999999901</v>
      </c>
      <c r="U2686">
        <v>0.17102049999999999</v>
      </c>
      <c r="V2686">
        <v>-3.1135289999999999E-2</v>
      </c>
      <c r="W2686">
        <v>4.1249319999999999E-2</v>
      </c>
      <c r="X2686">
        <v>0.99866369999999904</v>
      </c>
      <c r="Y2686">
        <v>7.768891E-2</v>
      </c>
      <c r="Z2686">
        <v>2.7871809999999901E-3</v>
      </c>
      <c r="AA2686">
        <v>0.99697380000000002</v>
      </c>
      <c r="AB2686">
        <v>33</v>
      </c>
      <c r="AC2686">
        <v>-23.5822</v>
      </c>
      <c r="AD2686">
        <v>-1.104655078702</v>
      </c>
      <c r="AE2686">
        <v>1.35270000000002</v>
      </c>
      <c r="AF2686">
        <v>1.8498493647479499</v>
      </c>
      <c r="AG2686">
        <v>-1.104655078702</v>
      </c>
      <c r="AH2686">
        <v>23.496711872210899</v>
      </c>
      <c r="AI2686">
        <v>92.683383819139905</v>
      </c>
      <c r="AJ2686">
        <v>85.4985022254006</v>
      </c>
      <c r="AK2686">
        <v>23.5952892400338</v>
      </c>
    </row>
    <row r="2687" spans="1:37" x14ac:dyDescent="0.2">
      <c r="A2687" t="str">
        <f>"20200111155549899"</f>
        <v>20200111155549899</v>
      </c>
      <c r="B2687" t="str">
        <f>"1578729349894380"</f>
        <v>1578729349894380</v>
      </c>
      <c r="C2687" t="s">
        <v>37</v>
      </c>
      <c r="D2687">
        <v>5.1636499999999996</v>
      </c>
      <c r="E2687">
        <v>0.54242900000000005</v>
      </c>
      <c r="F2687" t="s">
        <v>59</v>
      </c>
      <c r="G2687">
        <v>-396.70499999999998</v>
      </c>
      <c r="H2687" s="1">
        <v>2.0312909999999999E-6</v>
      </c>
      <c r="I2687">
        <v>285.41640000000001</v>
      </c>
      <c r="J2687">
        <v>-373.14359999999999</v>
      </c>
      <c r="K2687">
        <v>1.104649</v>
      </c>
      <c r="L2687">
        <v>284.06439999999998</v>
      </c>
      <c r="M2687">
        <v>-0.99967459999999997</v>
      </c>
      <c r="N2687">
        <v>0</v>
      </c>
      <c r="O2687">
        <v>-2.1119260000000001E-2</v>
      </c>
      <c r="P2687">
        <v>-0.99827189999999999</v>
      </c>
      <c r="Q2687">
        <v>2.7314689999999999E-2</v>
      </c>
      <c r="R2687">
        <v>-5.2036560000000003E-2</v>
      </c>
      <c r="S2687">
        <v>-3.0179749999999999</v>
      </c>
      <c r="T2687">
        <v>-0.14014179999999901</v>
      </c>
      <c r="U2687">
        <v>0.170929</v>
      </c>
      <c r="V2687">
        <v>-3.0920039999999999E-2</v>
      </c>
      <c r="W2687">
        <v>4.1624269999999998E-2</v>
      </c>
      <c r="X2687">
        <v>0.99865479999999995</v>
      </c>
      <c r="Y2687">
        <v>7.7515379999999995E-2</v>
      </c>
      <c r="Z2687">
        <v>2.77690099999999E-3</v>
      </c>
      <c r="AA2687">
        <v>0.99698729999999902</v>
      </c>
      <c r="AB2687">
        <v>33</v>
      </c>
      <c r="AC2687">
        <v>-23.5613999999999</v>
      </c>
      <c r="AD2687">
        <v>-1.1046469687089999</v>
      </c>
      <c r="AE2687">
        <v>1.3520000000000301</v>
      </c>
      <c r="AF2687">
        <v>1.8453058249821701</v>
      </c>
      <c r="AG2687">
        <v>-1.1046469687089999</v>
      </c>
      <c r="AH2687">
        <v>23.4761544415068</v>
      </c>
      <c r="AI2687">
        <v>92.685736581890396</v>
      </c>
      <c r="AJ2687">
        <v>85.505597288528904</v>
      </c>
      <c r="AK2687">
        <v>23.574461306139501</v>
      </c>
    </row>
    <row r="2688" spans="1:37" x14ac:dyDescent="0.2">
      <c r="A2688" t="str">
        <f>"20200111155549912"</f>
        <v>20200111155549912</v>
      </c>
      <c r="B2688" t="str">
        <f>"1578729349905117"</f>
        <v>1578729349905117</v>
      </c>
      <c r="C2688" t="s">
        <v>37</v>
      </c>
      <c r="D2688">
        <v>5.2110709999999996</v>
      </c>
      <c r="E2688">
        <v>0.54226180000000002</v>
      </c>
      <c r="F2688" t="s">
        <v>59</v>
      </c>
      <c r="G2688">
        <v>-397.07929999999999</v>
      </c>
      <c r="H2688" s="1">
        <v>2.2304779999999999E-6</v>
      </c>
      <c r="I2688">
        <v>285.40609999999998</v>
      </c>
      <c r="J2688">
        <v>-373.35140000000001</v>
      </c>
      <c r="K2688">
        <v>1.1046419999999999</v>
      </c>
      <c r="L2688">
        <v>284.06009999999998</v>
      </c>
      <c r="M2688">
        <v>-0.99967759999999894</v>
      </c>
      <c r="N2688">
        <v>0</v>
      </c>
      <c r="O2688">
        <v>-2.0976499999999999E-2</v>
      </c>
      <c r="P2688">
        <v>-0.99826879999999996</v>
      </c>
      <c r="Q2688">
        <v>2.7873309999999998E-2</v>
      </c>
      <c r="R2688">
        <v>-5.1793800000000001E-2</v>
      </c>
      <c r="S2688">
        <v>-3.0178529999999899</v>
      </c>
      <c r="T2688">
        <v>-0.13927539999999999</v>
      </c>
      <c r="U2688">
        <v>0.1691589</v>
      </c>
      <c r="V2688">
        <v>-3.0818849999999998E-2</v>
      </c>
      <c r="W2688">
        <v>4.2176909999999998E-2</v>
      </c>
      <c r="X2688">
        <v>0.99863469999999999</v>
      </c>
      <c r="Y2688">
        <v>7.6794580000000001E-2</v>
      </c>
      <c r="Z2688">
        <v>2.7367159999999902E-3</v>
      </c>
      <c r="AA2688">
        <v>0.99704319999999902</v>
      </c>
      <c r="AB2688">
        <v>33</v>
      </c>
      <c r="AC2688">
        <v>-23.727899999999899</v>
      </c>
      <c r="AD2688">
        <v>-1.1046397695219901</v>
      </c>
      <c r="AE2688">
        <v>1.3460000000000001</v>
      </c>
      <c r="AF2688">
        <v>1.8395090039783499</v>
      </c>
      <c r="AG2688">
        <v>-1.1046397695219901</v>
      </c>
      <c r="AH2688">
        <v>23.643362466051499</v>
      </c>
      <c r="AI2688">
        <v>92.666918779775301</v>
      </c>
      <c r="AJ2688">
        <v>85.551216113621393</v>
      </c>
      <c r="AK2688">
        <v>23.740526765369399</v>
      </c>
    </row>
    <row r="2689" spans="1:37" x14ac:dyDescent="0.2">
      <c r="A2689" t="str">
        <f>"20200111155549926"</f>
        <v>20200111155549926</v>
      </c>
      <c r="B2689" t="str">
        <f>"1578729349914877"</f>
        <v>1578729349914877</v>
      </c>
      <c r="C2689" t="s">
        <v>37</v>
      </c>
      <c r="D2689">
        <v>5.2513639999999997</v>
      </c>
      <c r="E2689">
        <v>0.54224609999999995</v>
      </c>
      <c r="F2689" t="s">
        <v>59</v>
      </c>
      <c r="G2689">
        <v>-397.37650000000002</v>
      </c>
      <c r="H2689" s="1">
        <v>2.3886150000000001E-6</v>
      </c>
      <c r="I2689">
        <v>285.40219999999999</v>
      </c>
      <c r="J2689">
        <v>-373.54739999999998</v>
      </c>
      <c r="K2689">
        <v>1.1046400000000001</v>
      </c>
      <c r="L2689">
        <v>284.05619999999999</v>
      </c>
      <c r="M2689">
        <v>-0.99968080000000004</v>
      </c>
      <c r="N2689">
        <v>0</v>
      </c>
      <c r="O2689">
        <v>-2.0835409999999999E-2</v>
      </c>
      <c r="P2689">
        <v>-0.99826610000000005</v>
      </c>
      <c r="Q2689">
        <v>2.8192680000000001E-2</v>
      </c>
      <c r="R2689">
        <v>-5.1674480000000002E-2</v>
      </c>
      <c r="S2689">
        <v>-3.0178219999999998</v>
      </c>
      <c r="T2689">
        <v>-0.13875509999999999</v>
      </c>
      <c r="U2689">
        <v>0.16857910000000001</v>
      </c>
      <c r="V2689">
        <v>-3.0839869999999998E-2</v>
      </c>
      <c r="W2689">
        <v>4.249087E-2</v>
      </c>
      <c r="X2689">
        <v>0.99862070000000003</v>
      </c>
      <c r="Y2689">
        <v>7.646472E-2</v>
      </c>
      <c r="Z2689">
        <v>2.7124900000000001E-3</v>
      </c>
      <c r="AA2689">
        <v>0.99706859999999997</v>
      </c>
      <c r="AB2689">
        <v>33</v>
      </c>
      <c r="AC2689">
        <v>-23.8291</v>
      </c>
      <c r="AD2689">
        <v>-1.1046376113850001</v>
      </c>
      <c r="AE2689">
        <v>1.3460000000000001</v>
      </c>
      <c r="AF2689">
        <v>1.8383096596550601</v>
      </c>
      <c r="AG2689">
        <v>-1.1046376113850001</v>
      </c>
      <c r="AH2689">
        <v>23.745014447494601</v>
      </c>
      <c r="AI2689">
        <v>92.655591415058694</v>
      </c>
      <c r="AJ2689">
        <v>85.573062027454299</v>
      </c>
      <c r="AK2689">
        <v>23.841671874451102</v>
      </c>
    </row>
    <row r="2690" spans="1:37" x14ac:dyDescent="0.2">
      <c r="A2690" t="str">
        <f>"20200111155549945"</f>
        <v>20200111155549945</v>
      </c>
      <c r="B2690" t="str">
        <f>"1578729349934397"</f>
        <v>1578729349934397</v>
      </c>
      <c r="C2690" t="s">
        <v>37</v>
      </c>
      <c r="D2690">
        <v>5.1174619999999997</v>
      </c>
      <c r="E2690">
        <v>0.54505609999999904</v>
      </c>
      <c r="F2690" t="s">
        <v>59</v>
      </c>
      <c r="G2690">
        <v>-397.75790000000001</v>
      </c>
      <c r="H2690" s="1">
        <v>2.5915769999999999E-6</v>
      </c>
      <c r="I2690">
        <v>285.41050000000001</v>
      </c>
      <c r="J2690">
        <v>-373.82859999999999</v>
      </c>
      <c r="K2690">
        <v>1.1046240000000001</v>
      </c>
      <c r="L2690">
        <v>284.0505</v>
      </c>
      <c r="M2690">
        <v>-0.99968539999999995</v>
      </c>
      <c r="N2690">
        <v>0</v>
      </c>
      <c r="O2690">
        <v>-2.0618149999999998E-2</v>
      </c>
      <c r="P2690">
        <v>-0.99828159999999899</v>
      </c>
      <c r="Q2690">
        <v>2.8511310000000002E-2</v>
      </c>
      <c r="R2690">
        <v>-5.1199759999999997E-2</v>
      </c>
      <c r="S2690">
        <v>-3.0178529999999899</v>
      </c>
      <c r="T2690">
        <v>-0.1376935</v>
      </c>
      <c r="U2690">
        <v>0.16882320000000001</v>
      </c>
      <c r="V2690">
        <v>-3.0580409999999999E-2</v>
      </c>
      <c r="W2690">
        <v>4.2802430000000002E-2</v>
      </c>
      <c r="X2690">
        <v>0.99861540000000004</v>
      </c>
      <c r="Y2690">
        <v>7.6329800000000003E-2</v>
      </c>
      <c r="Z2690">
        <v>2.6787509999999901E-3</v>
      </c>
      <c r="AA2690">
        <v>0.99707900000000005</v>
      </c>
      <c r="AB2690">
        <v>33</v>
      </c>
      <c r="AC2690">
        <v>-23.929300000000001</v>
      </c>
      <c r="AD2690">
        <v>-1.1046214084229999</v>
      </c>
      <c r="AE2690">
        <v>1.3600000000000101</v>
      </c>
      <c r="AF2690">
        <v>1.8492112322218099</v>
      </c>
      <c r="AG2690">
        <v>-1.1046214084229999</v>
      </c>
      <c r="AH2690">
        <v>23.845519341963001</v>
      </c>
      <c r="AI2690">
        <v>92.644349111248502</v>
      </c>
      <c r="AJ2690">
        <v>85.565608610296806</v>
      </c>
      <c r="AK2690">
        <v>23.942609785177002</v>
      </c>
    </row>
    <row r="2691" spans="1:37" x14ac:dyDescent="0.2">
      <c r="A2691" t="str">
        <f>"20200111155549959"</f>
        <v>20200111155549959</v>
      </c>
      <c r="B2691" t="str">
        <f>"1578729349954894"</f>
        <v>1578729349954894</v>
      </c>
      <c r="C2691" t="s">
        <v>37</v>
      </c>
      <c r="D2691">
        <v>5.1925460000000001</v>
      </c>
      <c r="E2691">
        <v>0.54267869999999996</v>
      </c>
      <c r="F2691" t="s">
        <v>64</v>
      </c>
      <c r="G2691">
        <v>-531.67409999999995</v>
      </c>
      <c r="H2691">
        <v>0.7999463</v>
      </c>
      <c r="I2691">
        <v>294.55</v>
      </c>
      <c r="J2691">
        <v>-374.03660000000002</v>
      </c>
      <c r="K2691">
        <v>1.1046119999999999</v>
      </c>
      <c r="L2691">
        <v>284.04640000000001</v>
      </c>
      <c r="M2691">
        <v>-0.99968889999999999</v>
      </c>
      <c r="N2691">
        <v>0</v>
      </c>
      <c r="O2691">
        <v>-2.044516E-2</v>
      </c>
      <c r="P2691">
        <v>-0.99827459999999901</v>
      </c>
      <c r="Q2691">
        <v>2.879205E-2</v>
      </c>
      <c r="R2691">
        <v>-5.1177999999999897E-2</v>
      </c>
      <c r="S2691">
        <v>-3.015625</v>
      </c>
      <c r="T2691">
        <v>-5.81920099999999E-3</v>
      </c>
      <c r="U2691">
        <v>0.20059199999999999</v>
      </c>
      <c r="V2691">
        <v>-3.0730049999999998E-2</v>
      </c>
      <c r="W2691">
        <v>4.3078270000000002E-2</v>
      </c>
      <c r="X2691">
        <v>0.99859900000000001</v>
      </c>
      <c r="Y2691">
        <v>8.6758979999999999E-2</v>
      </c>
      <c r="Z2691">
        <v>1.23034E-4</v>
      </c>
      <c r="AA2691">
        <v>0.99622939999999904</v>
      </c>
      <c r="AB2691">
        <v>33</v>
      </c>
      <c r="AC2691">
        <v>-157.63749999999899</v>
      </c>
      <c r="AD2691">
        <v>-0.30466569999999998</v>
      </c>
      <c r="AE2691">
        <v>10.5036</v>
      </c>
      <c r="AF2691">
        <v>13.724605863758599</v>
      </c>
      <c r="AG2691">
        <v>-0.30466569999999998</v>
      </c>
      <c r="AH2691">
        <v>157.38918823017099</v>
      </c>
      <c r="AI2691">
        <v>90.110490716682605</v>
      </c>
      <c r="AJ2691">
        <v>85.016316917830807</v>
      </c>
      <c r="AK2691">
        <v>157.98675323917701</v>
      </c>
    </row>
    <row r="2692" spans="1:37" x14ac:dyDescent="0.2">
      <c r="A2692" t="str">
        <f>"20200111155549972"</f>
        <v>20200111155549972</v>
      </c>
      <c r="B2692" t="str">
        <f>"1578729349964653"</f>
        <v>1578729349964653</v>
      </c>
      <c r="C2692" t="s">
        <v>37</v>
      </c>
      <c r="D2692">
        <v>5.2110059999999896</v>
      </c>
      <c r="E2692">
        <v>0.54267869999999996</v>
      </c>
      <c r="F2692" t="s">
        <v>59</v>
      </c>
      <c r="G2692">
        <v>-397.78129999999999</v>
      </c>
      <c r="H2692" s="1">
        <v>2.60406099999999E-6</v>
      </c>
      <c r="I2692">
        <v>285.41079999999999</v>
      </c>
      <c r="J2692">
        <v>-374.24380000000002</v>
      </c>
      <c r="K2692">
        <v>1.1046</v>
      </c>
      <c r="L2692">
        <v>284.04239999999999</v>
      </c>
      <c r="M2692">
        <v>-0.99969300000000005</v>
      </c>
      <c r="N2692">
        <v>0</v>
      </c>
      <c r="O2692">
        <v>-2.0254499999999901E-2</v>
      </c>
      <c r="P2692">
        <v>-0.99826740000000003</v>
      </c>
      <c r="Q2692">
        <v>2.926952E-2</v>
      </c>
      <c r="R2692">
        <v>-5.104918E-2</v>
      </c>
      <c r="S2692">
        <v>-3.0181269999999998</v>
      </c>
      <c r="T2692">
        <v>-0.14040349999999999</v>
      </c>
      <c r="U2692">
        <v>0.17343139999999899</v>
      </c>
      <c r="V2692">
        <v>-3.078989E-2</v>
      </c>
      <c r="W2692">
        <v>4.3551800000000002E-2</v>
      </c>
      <c r="X2692">
        <v>0.99857659999999904</v>
      </c>
      <c r="Y2692">
        <v>7.7474680000000004E-2</v>
      </c>
      <c r="Z2692">
        <v>2.7407489999999998E-3</v>
      </c>
      <c r="AA2692">
        <v>0.99699059999999995</v>
      </c>
      <c r="AB2692">
        <v>33</v>
      </c>
      <c r="AC2692">
        <v>-23.537499999999898</v>
      </c>
      <c r="AD2692">
        <v>-1.1045973959390001</v>
      </c>
      <c r="AE2692">
        <v>1.3684000000000001</v>
      </c>
      <c r="AF2692">
        <v>1.8408674851637701</v>
      </c>
      <c r="AG2692">
        <v>-1.1045973959390001</v>
      </c>
      <c r="AH2692">
        <v>23.4534724893396</v>
      </c>
      <c r="AI2692">
        <v>92.688233420023906</v>
      </c>
      <c r="AJ2692">
        <v>85.512044682596198</v>
      </c>
      <c r="AK2692">
        <v>23.551524373450999</v>
      </c>
    </row>
    <row r="2693" spans="1:37" x14ac:dyDescent="0.2">
      <c r="A2693" t="str">
        <f>"20200111155549987"</f>
        <v>20200111155549987</v>
      </c>
      <c r="B2693" t="str">
        <f>"1578729349974413"</f>
        <v>1578729349974413</v>
      </c>
      <c r="C2693" t="s">
        <v>37</v>
      </c>
      <c r="D2693">
        <v>5.1227869999999998</v>
      </c>
      <c r="E2693">
        <v>0.55492609999999998</v>
      </c>
      <c r="F2693" t="s">
        <v>59</v>
      </c>
      <c r="G2693">
        <v>-398.23439999999999</v>
      </c>
      <c r="H2693" s="1">
        <v>2.8451459999999899E-6</v>
      </c>
      <c r="I2693">
        <v>285.42450000000002</v>
      </c>
      <c r="J2693">
        <v>-374.44</v>
      </c>
      <c r="K2693">
        <v>1.1045879999999999</v>
      </c>
      <c r="L2693">
        <v>284.0385</v>
      </c>
      <c r="M2693">
        <v>-0.9996969</v>
      </c>
      <c r="N2693">
        <v>0</v>
      </c>
      <c r="O2693">
        <v>-2.006146E-2</v>
      </c>
      <c r="P2693">
        <v>-0.99826239999999999</v>
      </c>
      <c r="Q2693">
        <v>2.9668099999999999E-2</v>
      </c>
      <c r="R2693">
        <v>-5.0913630000000001E-2</v>
      </c>
      <c r="S2693">
        <v>-3.01821899999999</v>
      </c>
      <c r="T2693">
        <v>-0.1389676</v>
      </c>
      <c r="U2693">
        <v>0.17388919999999999</v>
      </c>
      <c r="V2693">
        <v>-3.0845069999999999E-2</v>
      </c>
      <c r="W2693">
        <v>4.3946720000000002E-2</v>
      </c>
      <c r="X2693">
        <v>0.99855759999999905</v>
      </c>
      <c r="Y2693">
        <v>7.743353E-2</v>
      </c>
      <c r="Z2693">
        <v>2.7028320000000001E-3</v>
      </c>
      <c r="AA2693">
        <v>0.99699380000000004</v>
      </c>
      <c r="AB2693">
        <v>33</v>
      </c>
      <c r="AC2693">
        <v>-23.7944</v>
      </c>
      <c r="AD2693">
        <v>-1.104585154854</v>
      </c>
      <c r="AE2693">
        <v>1.3860000000000201</v>
      </c>
      <c r="AF2693">
        <v>1.8591271390858</v>
      </c>
      <c r="AG2693">
        <v>-1.104585154854</v>
      </c>
      <c r="AH2693">
        <v>23.710878006034999</v>
      </c>
      <c r="AI2693">
        <v>92.659079598443597</v>
      </c>
      <c r="AJ2693">
        <v>85.516713866876202</v>
      </c>
      <c r="AK2693">
        <v>23.8092880595091</v>
      </c>
    </row>
    <row r="2694" spans="1:37" x14ac:dyDescent="0.2">
      <c r="A2694" t="str">
        <f>"20200111155550001"</f>
        <v>20200111155550001</v>
      </c>
      <c r="B2694" t="str">
        <f>"1578729349994909"</f>
        <v>1578729349994909</v>
      </c>
      <c r="C2694" t="s">
        <v>37</v>
      </c>
      <c r="D2694">
        <v>5.0956169999999998</v>
      </c>
      <c r="E2694">
        <v>0.55515349999999997</v>
      </c>
      <c r="F2694" t="s">
        <v>61</v>
      </c>
      <c r="G2694">
        <v>-405.4282</v>
      </c>
      <c r="H2694" s="1">
        <v>5.5345960000000002E-6</v>
      </c>
      <c r="I2694">
        <v>286.8449</v>
      </c>
      <c r="J2694">
        <v>-374.65899999999999</v>
      </c>
      <c r="K2694">
        <v>1.104571</v>
      </c>
      <c r="L2694">
        <v>284.03440000000001</v>
      </c>
      <c r="M2694">
        <v>-0.99970159999999997</v>
      </c>
      <c r="N2694">
        <v>0</v>
      </c>
      <c r="O2694">
        <v>-1.9831999999999999E-2</v>
      </c>
      <c r="P2694">
        <v>-0.99829159999999995</v>
      </c>
      <c r="Q2694">
        <v>2.9049040000000002E-2</v>
      </c>
      <c r="R2694">
        <v>-5.0696039999999998E-2</v>
      </c>
      <c r="S2694">
        <v>-3.0223689999999999</v>
      </c>
      <c r="T2694">
        <v>-0.10773339999999899</v>
      </c>
      <c r="U2694">
        <v>0.27371220000000002</v>
      </c>
      <c r="V2694">
        <v>-3.0854949999999999E-2</v>
      </c>
      <c r="W2694">
        <v>4.3324090000000003E-2</v>
      </c>
      <c r="X2694">
        <v>0.99858449999999999</v>
      </c>
      <c r="Y2694">
        <v>0.10984669999999901</v>
      </c>
      <c r="Z2694">
        <v>2.6585950000000001E-3</v>
      </c>
      <c r="AA2694">
        <v>0.99394499999999997</v>
      </c>
      <c r="AB2694">
        <v>33</v>
      </c>
      <c r="AC2694">
        <v>-30.769200000000001</v>
      </c>
      <c r="AD2694">
        <v>-1.104565465404</v>
      </c>
      <c r="AE2694">
        <v>2.81049999999999</v>
      </c>
      <c r="AF2694">
        <v>3.41585840005368</v>
      </c>
      <c r="AG2694">
        <v>-1.104565465404</v>
      </c>
      <c r="AH2694">
        <v>30.668208790823801</v>
      </c>
      <c r="AI2694">
        <v>92.0500431227333</v>
      </c>
      <c r="AJ2694">
        <v>83.644528926152404</v>
      </c>
      <c r="AK2694">
        <v>30.877616227846101</v>
      </c>
    </row>
    <row r="2695" spans="1:37" x14ac:dyDescent="0.2">
      <c r="A2695" t="str">
        <f>"20200111155550014"</f>
        <v>20200111155550014</v>
      </c>
      <c r="B2695" t="str">
        <f>"1578729350004669"</f>
        <v>1578729350004669</v>
      </c>
      <c r="C2695" t="s">
        <v>37</v>
      </c>
      <c r="D2695">
        <v>5.1835620000000002</v>
      </c>
      <c r="E2695">
        <v>0.55555369999999904</v>
      </c>
      <c r="F2695" t="s">
        <v>61</v>
      </c>
      <c r="G2695">
        <v>-405.58940000000001</v>
      </c>
      <c r="H2695" s="1">
        <v>5.4591019999999996E-6</v>
      </c>
      <c r="I2695">
        <v>286.86430000000001</v>
      </c>
      <c r="J2695">
        <v>-374.85570000000001</v>
      </c>
      <c r="K2695">
        <v>1.1045479999999901</v>
      </c>
      <c r="L2695">
        <v>284.03070000000002</v>
      </c>
      <c r="M2695">
        <v>-0.99970619999999999</v>
      </c>
      <c r="N2695">
        <v>0</v>
      </c>
      <c r="O2695">
        <v>-1.9605879999999999E-2</v>
      </c>
      <c r="P2695">
        <v>-0.99834859999999903</v>
      </c>
      <c r="Q2695">
        <v>2.7434750000000001E-2</v>
      </c>
      <c r="R2695">
        <v>-5.0475270000000003E-2</v>
      </c>
      <c r="S2695">
        <v>-3.0223390000000001</v>
      </c>
      <c r="T2695">
        <v>-0.10793170000000001</v>
      </c>
      <c r="U2695">
        <v>0.27651979999999998</v>
      </c>
      <c r="V2695">
        <v>-3.08584999999999E-2</v>
      </c>
      <c r="W2695">
        <v>4.170811E-2</v>
      </c>
      <c r="X2695">
        <v>0.99865319999999902</v>
      </c>
      <c r="Y2695">
        <v>0.11053789999999999</v>
      </c>
      <c r="Z2695">
        <v>2.6676569999999999E-3</v>
      </c>
      <c r="AA2695">
        <v>0.99386839999999999</v>
      </c>
      <c r="AB2695">
        <v>33</v>
      </c>
      <c r="AC2695">
        <v>-30.733699999999999</v>
      </c>
      <c r="AD2695">
        <v>-1.1045425408980001</v>
      </c>
      <c r="AE2695">
        <v>2.8335999999999899</v>
      </c>
      <c r="AF2695">
        <v>3.4312831109020401</v>
      </c>
      <c r="AG2695">
        <v>-1.1045425408980001</v>
      </c>
      <c r="AH2695">
        <v>30.6329977632622</v>
      </c>
      <c r="AI2695">
        <v>92.052212097865905</v>
      </c>
      <c r="AJ2695">
        <v>83.608789143598301</v>
      </c>
      <c r="AK2695">
        <v>30.844355561039698</v>
      </c>
    </row>
    <row r="2696" spans="1:37" x14ac:dyDescent="0.2">
      <c r="A2696" t="str">
        <f>"20200111155550028"</f>
        <v>20200111155550028</v>
      </c>
      <c r="B2696" t="str">
        <f>"1578729350025165"</f>
        <v>1578729350025165</v>
      </c>
      <c r="C2696" t="s">
        <v>37</v>
      </c>
      <c r="D2696">
        <v>5.1151239999999998</v>
      </c>
      <c r="E2696">
        <v>0.55499240000000005</v>
      </c>
      <c r="F2696" t="s">
        <v>61</v>
      </c>
      <c r="G2696">
        <v>-406.6173</v>
      </c>
      <c r="H2696" s="1">
        <v>4.9786470000000003E-6</v>
      </c>
      <c r="I2696">
        <v>286.98340000000002</v>
      </c>
      <c r="J2696">
        <v>-375.05070000000001</v>
      </c>
      <c r="K2696">
        <v>1.1045229999999999</v>
      </c>
      <c r="L2696">
        <v>284.02710000000002</v>
      </c>
      <c r="M2696">
        <v>-0.99971089999999996</v>
      </c>
      <c r="N2696">
        <v>0</v>
      </c>
      <c r="O2696">
        <v>-1.936568E-2</v>
      </c>
      <c r="P2696">
        <v>-0.9983786</v>
      </c>
      <c r="Q2696">
        <v>2.5958189999999999E-2</v>
      </c>
      <c r="R2696">
        <v>-5.0661409999999997E-2</v>
      </c>
      <c r="S2696">
        <v>-3.0220639999999999</v>
      </c>
      <c r="T2696">
        <v>-0.1050956</v>
      </c>
      <c r="U2696">
        <v>0.28094479999999999</v>
      </c>
      <c r="V2696">
        <v>-3.128326E-2</v>
      </c>
      <c r="W2696">
        <v>4.0230199999999897E-2</v>
      </c>
      <c r="X2696">
        <v>0.99870059999999905</v>
      </c>
      <c r="Y2696">
        <v>0.1117539</v>
      </c>
      <c r="Z2696">
        <v>2.6104190000000001E-3</v>
      </c>
      <c r="AA2696">
        <v>0.99373250000000002</v>
      </c>
      <c r="AB2696">
        <v>33</v>
      </c>
      <c r="AC2696">
        <v>-31.566599999999902</v>
      </c>
      <c r="AD2696">
        <v>-1.1045180213529999</v>
      </c>
      <c r="AE2696">
        <v>2.9562999999999899</v>
      </c>
      <c r="AF2696">
        <v>3.5627922207994098</v>
      </c>
      <c r="AG2696">
        <v>-1.1045180213529999</v>
      </c>
      <c r="AH2696">
        <v>31.4652343293371</v>
      </c>
      <c r="AI2696">
        <v>91.997662458560399</v>
      </c>
      <c r="AJ2696">
        <v>83.539942688113499</v>
      </c>
      <c r="AK2696">
        <v>31.685555382037599</v>
      </c>
    </row>
    <row r="2697" spans="1:37" x14ac:dyDescent="0.2">
      <c r="A2697" t="str">
        <f>"20200111155550042"</f>
        <v>20200111155550042</v>
      </c>
      <c r="B2697" t="str">
        <f>"1578729350034925"</f>
        <v>1578729350034925</v>
      </c>
      <c r="C2697" t="s">
        <v>37</v>
      </c>
      <c r="D2697">
        <v>5.055955</v>
      </c>
      <c r="E2697">
        <v>0.55508669999999904</v>
      </c>
      <c r="F2697" t="s">
        <v>61</v>
      </c>
      <c r="G2697">
        <v>-405.5299</v>
      </c>
      <c r="H2697" s="1">
        <v>5.4968980000000002E-6</v>
      </c>
      <c r="I2697">
        <v>286.80889999999999</v>
      </c>
      <c r="J2697">
        <v>-375.260999999999</v>
      </c>
      <c r="K2697">
        <v>1.104498</v>
      </c>
      <c r="L2697">
        <v>284.02330000000001</v>
      </c>
      <c r="M2697">
        <v>-0.99971620000000005</v>
      </c>
      <c r="N2697">
        <v>0</v>
      </c>
      <c r="O2697">
        <v>-1.9092899999999999E-2</v>
      </c>
      <c r="P2697">
        <v>-0.99840149999999905</v>
      </c>
      <c r="Q2697">
        <v>2.5163609999999999E-2</v>
      </c>
      <c r="R2697">
        <v>-5.06116E-2</v>
      </c>
      <c r="S2697">
        <v>-3.02169799999999</v>
      </c>
      <c r="T2697">
        <v>-0.1095015</v>
      </c>
      <c r="U2697">
        <v>0.27578740000000002</v>
      </c>
      <c r="V2697">
        <v>-3.1503799999999998E-2</v>
      </c>
      <c r="W2697">
        <v>3.9433580000000003E-2</v>
      </c>
      <c r="X2697">
        <v>0.99872539999999999</v>
      </c>
      <c r="Y2697">
        <v>0.1098065</v>
      </c>
      <c r="Z2697">
        <v>2.6752569999999999E-3</v>
      </c>
      <c r="AA2697">
        <v>0.99394939999999998</v>
      </c>
      <c r="AB2697">
        <v>33</v>
      </c>
      <c r="AC2697">
        <v>-30.268899999999999</v>
      </c>
      <c r="AD2697">
        <v>-1.1044925031020001</v>
      </c>
      <c r="AE2697">
        <v>2.7855999999999801</v>
      </c>
      <c r="AF2697">
        <v>3.3586374857310299</v>
      </c>
      <c r="AG2697">
        <v>-1.1044925031020001</v>
      </c>
      <c r="AH2697">
        <v>30.1703570549254</v>
      </c>
      <c r="AI2697">
        <v>92.083717931337503</v>
      </c>
      <c r="AJ2697">
        <v>83.647848460040393</v>
      </c>
      <c r="AK2697">
        <v>30.376813431820899</v>
      </c>
    </row>
    <row r="2698" spans="1:37" x14ac:dyDescent="0.2">
      <c r="A2698" t="str">
        <f>"20200111155550055"</f>
        <v>20200111155550055</v>
      </c>
      <c r="B2698" t="str">
        <f>"1578729350044685"</f>
        <v>1578729350044685</v>
      </c>
      <c r="C2698" t="s">
        <v>37</v>
      </c>
      <c r="D2698">
        <v>5.1439870000000001</v>
      </c>
      <c r="E2698">
        <v>0.55495609999999995</v>
      </c>
      <c r="F2698" t="s">
        <v>61</v>
      </c>
      <c r="G2698">
        <v>-404.64760000000001</v>
      </c>
      <c r="H2698" s="1">
        <v>5.9079319999999998E-6</v>
      </c>
      <c r="I2698">
        <v>286.71339999999998</v>
      </c>
      <c r="J2698">
        <v>-375.45280000000002</v>
      </c>
      <c r="K2698">
        <v>1.1044780000000001</v>
      </c>
      <c r="L2698">
        <v>284.01990000000001</v>
      </c>
      <c r="M2698">
        <v>-0.99972129999999904</v>
      </c>
      <c r="N2698">
        <v>0</v>
      </c>
      <c r="O2698">
        <v>-1.8826470000000001E-2</v>
      </c>
      <c r="P2698">
        <v>-0.9983959</v>
      </c>
      <c r="Q2698">
        <v>2.4663250000000001E-2</v>
      </c>
      <c r="R2698">
        <v>-5.0968930000000003E-2</v>
      </c>
      <c r="S2698">
        <v>-3.0216669999999999</v>
      </c>
      <c r="T2698">
        <v>-0.1135693</v>
      </c>
      <c r="U2698">
        <v>0.2766113</v>
      </c>
      <c r="V2698">
        <v>-3.2125910000000001E-2</v>
      </c>
      <c r="W2698">
        <v>3.8931849999999997E-2</v>
      </c>
      <c r="X2698">
        <v>0.99872530000000004</v>
      </c>
      <c r="Y2698">
        <v>0.10980519999999901</v>
      </c>
      <c r="Z2698">
        <v>2.7645439999999999E-3</v>
      </c>
      <c r="AA2698">
        <v>0.99394930000000004</v>
      </c>
      <c r="AB2698">
        <v>33</v>
      </c>
      <c r="AC2698">
        <v>-29.194799999999901</v>
      </c>
      <c r="AD2698">
        <v>-1.104472092068</v>
      </c>
      <c r="AE2698">
        <v>2.69349999999997</v>
      </c>
      <c r="AF2698">
        <v>3.2381180549230901</v>
      </c>
      <c r="AG2698">
        <v>-1.104472092068</v>
      </c>
      <c r="AH2698">
        <v>29.097617550179699</v>
      </c>
      <c r="AI2698">
        <v>92.160435765605598</v>
      </c>
      <c r="AJ2698">
        <v>83.6499869048167</v>
      </c>
      <c r="AK2698">
        <v>29.2980650254637</v>
      </c>
    </row>
    <row r="2699" spans="1:37" x14ac:dyDescent="0.2">
      <c r="A2699" t="str">
        <f>"20200111155550069"</f>
        <v>20200111155550069</v>
      </c>
      <c r="B2699" t="str">
        <f>"1578729350065181"</f>
        <v>1578729350065181</v>
      </c>
      <c r="C2699" t="s">
        <v>37</v>
      </c>
      <c r="D2699">
        <v>5.064775</v>
      </c>
      <c r="E2699">
        <v>0.55476719999999902</v>
      </c>
      <c r="F2699" t="s">
        <v>61</v>
      </c>
      <c r="G2699">
        <v>-405.06360000000001</v>
      </c>
      <c r="H2699" s="1">
        <v>5.7240090000000002E-6</v>
      </c>
      <c r="I2699">
        <v>286.7106</v>
      </c>
      <c r="J2699">
        <v>-375.64499999999998</v>
      </c>
      <c r="K2699">
        <v>1.10446</v>
      </c>
      <c r="L2699">
        <v>284.01650000000001</v>
      </c>
      <c r="M2699">
        <v>-0.99972649999999996</v>
      </c>
      <c r="N2699">
        <v>0</v>
      </c>
      <c r="O2699">
        <v>-1.854337E-2</v>
      </c>
      <c r="P2699">
        <v>-0.99841029999999997</v>
      </c>
      <c r="Q2699">
        <v>2.4386640000000001E-2</v>
      </c>
      <c r="R2699">
        <v>-5.0817000000000001E-2</v>
      </c>
      <c r="S2699">
        <v>-3.0216059999999998</v>
      </c>
      <c r="T2699">
        <v>-0.1127046</v>
      </c>
      <c r="U2699">
        <v>0.2745667</v>
      </c>
      <c r="V2699">
        <v>-3.225484E-2</v>
      </c>
      <c r="W2699">
        <v>3.8653590000000002E-2</v>
      </c>
      <c r="X2699">
        <v>0.99873199999999995</v>
      </c>
      <c r="Y2699">
        <v>0.1088606</v>
      </c>
      <c r="Z2699">
        <v>2.715538E-3</v>
      </c>
      <c r="AA2699">
        <v>0.99405330000000003</v>
      </c>
      <c r="AB2699">
        <v>33</v>
      </c>
      <c r="AC2699">
        <v>-29.418600000000001</v>
      </c>
      <c r="AD2699">
        <v>-1.1044542759910001</v>
      </c>
      <c r="AE2699">
        <v>2.6940999999999899</v>
      </c>
      <c r="AF2699">
        <v>3.2346908198556199</v>
      </c>
      <c r="AG2699">
        <v>-1.1044542759910001</v>
      </c>
      <c r="AH2699">
        <v>29.3225927060688</v>
      </c>
      <c r="AI2699">
        <v>92.144068558441205</v>
      </c>
      <c r="AJ2699">
        <v>83.704929557477001</v>
      </c>
      <c r="AK2699">
        <v>29.521136274774602</v>
      </c>
    </row>
    <row r="2700" spans="1:37" x14ac:dyDescent="0.2">
      <c r="A2700" t="str">
        <f>"20200111155550082"</f>
        <v>20200111155550082</v>
      </c>
      <c r="B2700" t="str">
        <f>"1578729350074941"</f>
        <v>1578729350074941</v>
      </c>
      <c r="C2700" t="s">
        <v>37</v>
      </c>
      <c r="D2700">
        <v>5.1226260000000003</v>
      </c>
      <c r="E2700">
        <v>0.5546432</v>
      </c>
      <c r="F2700" t="s">
        <v>61</v>
      </c>
      <c r="G2700">
        <v>-403.510999999999</v>
      </c>
      <c r="H2700" s="1">
        <v>6.4484809999999999E-6</v>
      </c>
      <c r="I2700">
        <v>286.53660000000002</v>
      </c>
      <c r="J2700">
        <v>-375.8494</v>
      </c>
      <c r="K2700">
        <v>1.104438</v>
      </c>
      <c r="L2700">
        <v>284.01310000000001</v>
      </c>
      <c r="M2700">
        <v>-0.99973230000000002</v>
      </c>
      <c r="N2700">
        <v>0</v>
      </c>
      <c r="O2700">
        <v>-1.823164E-2</v>
      </c>
      <c r="P2700">
        <v>-0.99842849999999905</v>
      </c>
      <c r="Q2700">
        <v>2.3984700000000001E-2</v>
      </c>
      <c r="R2700">
        <v>-5.0649710000000001E-2</v>
      </c>
      <c r="S2700">
        <v>-3.021576</v>
      </c>
      <c r="T2700">
        <v>-0.119758399999999</v>
      </c>
      <c r="U2700">
        <v>0.27325440000000001</v>
      </c>
      <c r="V2700">
        <v>-3.2397259999999997E-2</v>
      </c>
      <c r="W2700">
        <v>3.8249999999999999E-2</v>
      </c>
      <c r="X2700">
        <v>0.99874289999999999</v>
      </c>
      <c r="Y2700">
        <v>0.1081128</v>
      </c>
      <c r="Z2700">
        <v>2.8583379999999898E-3</v>
      </c>
      <c r="AA2700">
        <v>0.99413449999999903</v>
      </c>
      <c r="AB2700">
        <v>33</v>
      </c>
      <c r="AC2700">
        <v>-27.6615999999999</v>
      </c>
      <c r="AD2700">
        <v>-1.104431551519</v>
      </c>
      <c r="AE2700">
        <v>2.5235000000000101</v>
      </c>
      <c r="AF2700">
        <v>3.0226692474262302</v>
      </c>
      <c r="AG2700">
        <v>-1.104431551519</v>
      </c>
      <c r="AH2700">
        <v>27.567405978977</v>
      </c>
      <c r="AI2700">
        <v>92.2805576103856</v>
      </c>
      <c r="AJ2700">
        <v>83.742714874714295</v>
      </c>
      <c r="AK2700">
        <v>27.754606299514698</v>
      </c>
    </row>
    <row r="2701" spans="1:37" x14ac:dyDescent="0.2">
      <c r="A2701" t="str">
        <f>"20200111155550096"</f>
        <v>20200111155550096</v>
      </c>
      <c r="B2701" t="str">
        <f>"1578729350084701"</f>
        <v>1578729350084701</v>
      </c>
      <c r="C2701" t="s">
        <v>37</v>
      </c>
      <c r="D2701">
        <v>5.0638930000000002</v>
      </c>
      <c r="E2701">
        <v>0.55463289999999998</v>
      </c>
      <c r="F2701" t="s">
        <v>61</v>
      </c>
      <c r="G2701">
        <v>-403.4855</v>
      </c>
      <c r="H2701" s="1">
        <v>6.4660929999999998E-6</v>
      </c>
      <c r="I2701">
        <v>286.50599999999997</v>
      </c>
      <c r="J2701">
        <v>-376.05489999999998</v>
      </c>
      <c r="K2701">
        <v>1.104414</v>
      </c>
      <c r="L2701">
        <v>284.00959999999998</v>
      </c>
      <c r="M2701">
        <v>-0.99973829999999997</v>
      </c>
      <c r="N2701">
        <v>0</v>
      </c>
      <c r="O2701">
        <v>-1.7902890000000001E-2</v>
      </c>
      <c r="P2701">
        <v>-0.99848939999999997</v>
      </c>
      <c r="Q2701">
        <v>2.3367849999999999E-2</v>
      </c>
      <c r="R2701">
        <v>-4.9729490000000001E-2</v>
      </c>
      <c r="S2701">
        <v>-3.0214539999999999</v>
      </c>
      <c r="T2701">
        <v>-0.1207473</v>
      </c>
      <c r="U2701">
        <v>0.27255249999999998</v>
      </c>
      <c r="V2701">
        <v>-3.180318E-2</v>
      </c>
      <c r="W2701">
        <v>3.7631030000000003E-2</v>
      </c>
      <c r="X2701">
        <v>0.99878549999999999</v>
      </c>
      <c r="Y2701">
        <v>0.1075595</v>
      </c>
      <c r="Z2701">
        <v>2.8579259999999898E-3</v>
      </c>
      <c r="AA2701">
        <v>0.99419460000000004</v>
      </c>
      <c r="AB2701">
        <v>33</v>
      </c>
      <c r="AC2701">
        <v>-27.430599999999998</v>
      </c>
      <c r="AD2701">
        <v>-1.1044075339070001</v>
      </c>
      <c r="AE2701">
        <v>2.4963999999999902</v>
      </c>
      <c r="AF2701">
        <v>2.9823419235166799</v>
      </c>
      <c r="AG2701">
        <v>-1.1044075339070001</v>
      </c>
      <c r="AH2701">
        <v>27.337554832291801</v>
      </c>
      <c r="AI2701">
        <v>92.299799194245097</v>
      </c>
      <c r="AJ2701">
        <v>83.774040004755193</v>
      </c>
      <c r="AK2701">
        <v>27.521918239074001</v>
      </c>
    </row>
    <row r="2702" spans="1:37" x14ac:dyDescent="0.2">
      <c r="A2702" t="str">
        <f>"20200111155550110"</f>
        <v>20200111155550110</v>
      </c>
      <c r="B2702" t="str">
        <f>"1578729350105197"</f>
        <v>1578729350105197</v>
      </c>
      <c r="C2702" t="s">
        <v>37</v>
      </c>
      <c r="D2702">
        <v>5.0844760000000004</v>
      </c>
      <c r="E2702">
        <v>0.55456879999999997</v>
      </c>
      <c r="F2702" t="s">
        <v>61</v>
      </c>
      <c r="G2702">
        <v>-403.34500000000003</v>
      </c>
      <c r="H2702" s="1">
        <v>6.5304390000000002E-6</v>
      </c>
      <c r="I2702">
        <v>286.49619999999999</v>
      </c>
      <c r="J2702">
        <v>-376.24919999999997</v>
      </c>
      <c r="K2702">
        <v>1.1043959999999999</v>
      </c>
      <c r="L2702">
        <v>284.00650000000002</v>
      </c>
      <c r="M2702">
        <v>-0.99974419999999897</v>
      </c>
      <c r="N2702">
        <v>0</v>
      </c>
      <c r="O2702">
        <v>-1.7579330000000001E-2</v>
      </c>
      <c r="P2702">
        <v>-0.998542499999999</v>
      </c>
      <c r="Q2702">
        <v>2.31717E-2</v>
      </c>
      <c r="R2702">
        <v>-4.8745549999999999E-2</v>
      </c>
      <c r="S2702">
        <v>-3.0210880000000002</v>
      </c>
      <c r="T2702">
        <v>-0.12226099999999999</v>
      </c>
      <c r="U2702">
        <v>0.27526859999999997</v>
      </c>
      <c r="V2702">
        <v>-3.11414E-2</v>
      </c>
      <c r="W2702">
        <v>3.7432809999999997E-2</v>
      </c>
      <c r="X2702">
        <v>0.99881379999999997</v>
      </c>
      <c r="Y2702">
        <v>0.1081323</v>
      </c>
      <c r="Z2702">
        <v>2.8924509999999999E-3</v>
      </c>
      <c r="AA2702">
        <v>0.99413229999999997</v>
      </c>
      <c r="AB2702">
        <v>33</v>
      </c>
      <c r="AC2702">
        <v>-27.095800000000001</v>
      </c>
      <c r="AD2702">
        <v>-1.1043894695609999</v>
      </c>
      <c r="AE2702">
        <v>2.4896999999999698</v>
      </c>
      <c r="AF2702">
        <v>2.9608119069345</v>
      </c>
      <c r="AG2702">
        <v>-1.1043894695609999</v>
      </c>
      <c r="AH2702">
        <v>27.003356067632001</v>
      </c>
      <c r="AI2702">
        <v>92.328053830666903</v>
      </c>
      <c r="AJ2702">
        <v>83.742738458666096</v>
      </c>
      <c r="AK2702">
        <v>27.1876317866055</v>
      </c>
    </row>
    <row r="2703" spans="1:37" x14ac:dyDescent="0.2">
      <c r="A2703" t="str">
        <f>"20200111155550124"</f>
        <v>20200111155550124</v>
      </c>
      <c r="B2703" t="str">
        <f>"1578729350114956"</f>
        <v>1578729350114956</v>
      </c>
      <c r="C2703" t="s">
        <v>37</v>
      </c>
      <c r="D2703">
        <v>5.0925820000000002</v>
      </c>
      <c r="E2703">
        <v>0.55459459999999905</v>
      </c>
      <c r="F2703" t="s">
        <v>61</v>
      </c>
      <c r="G2703">
        <v>-403.7978</v>
      </c>
      <c r="H2703" s="1">
        <v>6.3206129999999998E-6</v>
      </c>
      <c r="I2703">
        <v>286.53989999999999</v>
      </c>
      <c r="J2703">
        <v>-376.46080000000001</v>
      </c>
      <c r="K2703">
        <v>1.10439</v>
      </c>
      <c r="L2703">
        <v>284.00310000000002</v>
      </c>
      <c r="M2703">
        <v>-0.99975029999999998</v>
      </c>
      <c r="N2703">
        <v>0</v>
      </c>
      <c r="O2703">
        <v>-1.72193E-2</v>
      </c>
      <c r="P2703">
        <v>-0.99860309999999897</v>
      </c>
      <c r="Q2703">
        <v>2.3926610000000001E-2</v>
      </c>
      <c r="R2703">
        <v>-4.7108190000000001E-2</v>
      </c>
      <c r="S2703">
        <v>-3.0207519999999999</v>
      </c>
      <c r="T2703">
        <v>-0.1210982</v>
      </c>
      <c r="U2703">
        <v>0.27780149999999998</v>
      </c>
      <c r="V2703">
        <v>-2.9860310000000001E-2</v>
      </c>
      <c r="W2703">
        <v>3.8184240000000001E-2</v>
      </c>
      <c r="X2703">
        <v>0.9988245</v>
      </c>
      <c r="Y2703">
        <v>0.1086128</v>
      </c>
      <c r="Z2703">
        <v>2.8603779999999998E-3</v>
      </c>
      <c r="AA2703">
        <v>0.99407999999999996</v>
      </c>
      <c r="AB2703">
        <v>33</v>
      </c>
      <c r="AC2703">
        <v>-27.3369999999999</v>
      </c>
      <c r="AD2703">
        <v>-1.1043836793870001</v>
      </c>
      <c r="AE2703">
        <v>2.5367999999999702</v>
      </c>
      <c r="AF2703">
        <v>3.0023373770500501</v>
      </c>
      <c r="AG2703">
        <v>-1.1043836793870001</v>
      </c>
      <c r="AH2703">
        <v>27.245173423534901</v>
      </c>
      <c r="AI2703">
        <v>92.307263375922901</v>
      </c>
      <c r="AJ2703">
        <v>83.711547343459898</v>
      </c>
      <c r="AK2703">
        <v>27.4323379957928</v>
      </c>
    </row>
    <row r="2704" spans="1:37" x14ac:dyDescent="0.2">
      <c r="A2704" t="str">
        <f>"20200111155550138"</f>
        <v>20200111155550138</v>
      </c>
      <c r="B2704" t="str">
        <f>"1578729350135452"</f>
        <v>1578729350135452</v>
      </c>
      <c r="C2704" t="s">
        <v>37</v>
      </c>
      <c r="D2704">
        <v>5.3386300000000002</v>
      </c>
      <c r="E2704">
        <v>0.55491219999999997</v>
      </c>
      <c r="F2704" t="s">
        <v>61</v>
      </c>
      <c r="G2704">
        <v>-404.57139999999998</v>
      </c>
      <c r="H2704" s="1">
        <v>5.9575619999999997E-6</v>
      </c>
      <c r="I2704">
        <v>286.63659999999999</v>
      </c>
      <c r="J2704">
        <v>-376.66750000000002</v>
      </c>
      <c r="K2704">
        <v>1.1043889999999901</v>
      </c>
      <c r="L2704">
        <v>283.99990000000003</v>
      </c>
      <c r="M2704">
        <v>-0.999756599999999</v>
      </c>
      <c r="N2704">
        <v>0</v>
      </c>
      <c r="O2704">
        <v>-1.6860989999999999E-2</v>
      </c>
      <c r="P2704">
        <v>-0.99862249999999997</v>
      </c>
      <c r="Q2704">
        <v>2.5018849999999999E-2</v>
      </c>
      <c r="R2704">
        <v>-4.6124159999999997E-2</v>
      </c>
      <c r="S2704">
        <v>-3.0203549999999999</v>
      </c>
      <c r="T2704">
        <v>-0.11866110000000001</v>
      </c>
      <c r="U2704">
        <v>0.28295900000000002</v>
      </c>
      <c r="V2704">
        <v>-2.923181E-2</v>
      </c>
      <c r="W2704">
        <v>3.9273469999999998E-2</v>
      </c>
      <c r="X2704">
        <v>0.99880079999999904</v>
      </c>
      <c r="Y2704">
        <v>0.1099545</v>
      </c>
      <c r="Z2704">
        <v>2.8152479999999998E-3</v>
      </c>
      <c r="AA2704">
        <v>0.993932699999999</v>
      </c>
      <c r="AB2704">
        <v>33</v>
      </c>
      <c r="AC2704">
        <v>-27.903899999999901</v>
      </c>
      <c r="AD2704">
        <v>-1.1043830424379999</v>
      </c>
      <c r="AE2704">
        <v>2.6366999999999599</v>
      </c>
      <c r="AF2704">
        <v>3.1020439927568599</v>
      </c>
      <c r="AG2704">
        <v>-1.1043830424379999</v>
      </c>
      <c r="AH2704">
        <v>27.8122902765272</v>
      </c>
      <c r="AI2704">
        <v>92.2599334253443</v>
      </c>
      <c r="AJ2704">
        <v>83.6358181103802</v>
      </c>
      <c r="AK2704">
        <v>28.006531903526199</v>
      </c>
    </row>
    <row r="2705" spans="1:37" x14ac:dyDescent="0.2">
      <c r="A2705" t="str">
        <f>"20200111155550153"</f>
        <v>20200111155550153</v>
      </c>
      <c r="B2705" t="str">
        <f>"1578729350145212"</f>
        <v>1578729350145212</v>
      </c>
      <c r="C2705" t="s">
        <v>37</v>
      </c>
      <c r="D2705">
        <v>5.1446709999999998</v>
      </c>
      <c r="E2705">
        <v>0.55502969999999996</v>
      </c>
      <c r="F2705" t="s">
        <v>61</v>
      </c>
      <c r="G2705">
        <v>-405.75720000000001</v>
      </c>
      <c r="H2705" s="1">
        <v>5.4024299999999997E-6</v>
      </c>
      <c r="I2705">
        <v>286.77839999999998</v>
      </c>
      <c r="J2705">
        <v>-376.88080000000002</v>
      </c>
      <c r="K2705">
        <v>1.104392</v>
      </c>
      <c r="L2705">
        <v>283.99669999999998</v>
      </c>
      <c r="M2705">
        <v>-0.99976290000000001</v>
      </c>
      <c r="N2705">
        <v>0</v>
      </c>
      <c r="O2705">
        <v>-1.6483680000000001E-2</v>
      </c>
      <c r="P2705">
        <v>-0.99860360000000004</v>
      </c>
      <c r="Q2705">
        <v>2.7381949999999999E-2</v>
      </c>
      <c r="R2705">
        <v>-4.517914E-2</v>
      </c>
      <c r="S2705">
        <v>-3.0203250000000001</v>
      </c>
      <c r="T2705">
        <v>-0.114665899999999</v>
      </c>
      <c r="U2705">
        <v>0.28848269999999998</v>
      </c>
      <c r="V2705">
        <v>-2.8660399999999999E-2</v>
      </c>
      <c r="W2705">
        <v>4.163617E-2</v>
      </c>
      <c r="X2705">
        <v>0.99872169999999905</v>
      </c>
      <c r="Y2705">
        <v>0.1113875</v>
      </c>
      <c r="Z2705">
        <v>2.7331640000000002E-3</v>
      </c>
      <c r="AA2705">
        <v>0.99377329999999997</v>
      </c>
      <c r="AB2705">
        <v>33</v>
      </c>
      <c r="AC2705">
        <v>-28.876399999999901</v>
      </c>
      <c r="AD2705">
        <v>-1.10438659757</v>
      </c>
      <c r="AE2705">
        <v>2.7816999999999998</v>
      </c>
      <c r="AF2705">
        <v>3.2526455989997398</v>
      </c>
      <c r="AG2705">
        <v>-1.10438659757</v>
      </c>
      <c r="AH2705">
        <v>28.7849019722196</v>
      </c>
      <c r="AI2705">
        <v>92.183300979340103</v>
      </c>
      <c r="AJ2705">
        <v>83.553019971974607</v>
      </c>
      <c r="AK2705">
        <v>28.989135114726601</v>
      </c>
    </row>
    <row r="2706" spans="1:37" x14ac:dyDescent="0.2">
      <c r="A2706" t="str">
        <f>"20200111155550168"</f>
        <v>20200111155550168</v>
      </c>
      <c r="B2706" t="str">
        <f>"1578729350164733"</f>
        <v>1578729350164733</v>
      </c>
      <c r="C2706" t="s">
        <v>37</v>
      </c>
      <c r="D2706">
        <v>5.1075119999999998</v>
      </c>
      <c r="E2706">
        <v>0.554946099999999</v>
      </c>
      <c r="F2706" t="s">
        <v>61</v>
      </c>
      <c r="G2706">
        <v>-408.15809999999999</v>
      </c>
      <c r="H2706" s="1">
        <v>4.2868509999999997E-6</v>
      </c>
      <c r="I2706">
        <v>287.02449999999999</v>
      </c>
      <c r="J2706">
        <v>-377.11090000000002</v>
      </c>
      <c r="K2706">
        <v>1.10439</v>
      </c>
      <c r="L2706">
        <v>283.99329999999998</v>
      </c>
      <c r="M2706">
        <v>-0.99976949999999998</v>
      </c>
      <c r="N2706">
        <v>0</v>
      </c>
      <c r="O2706">
        <v>-1.607339E-2</v>
      </c>
      <c r="P2706">
        <v>-0.99857109999999905</v>
      </c>
      <c r="Q2706">
        <v>2.9638250000000001E-2</v>
      </c>
      <c r="R2706">
        <v>-4.4466159999999998E-2</v>
      </c>
      <c r="S2706">
        <v>-3.0203549999999999</v>
      </c>
      <c r="T2706">
        <v>-0.1066473</v>
      </c>
      <c r="U2706">
        <v>0.29238890000000001</v>
      </c>
      <c r="V2706">
        <v>-2.835478E-2</v>
      </c>
      <c r="W2706">
        <v>4.3893370000000001E-2</v>
      </c>
      <c r="X2706">
        <v>0.99863369999999996</v>
      </c>
      <c r="Y2706">
        <v>0.11226419999999999</v>
      </c>
      <c r="Z2706">
        <v>2.5429570000000002E-3</v>
      </c>
      <c r="AA2706">
        <v>0.99367510000000003</v>
      </c>
      <c r="AB2706">
        <v>33</v>
      </c>
      <c r="AC2706">
        <v>-31.047199999999901</v>
      </c>
      <c r="AD2706">
        <v>-1.104385713149</v>
      </c>
      <c r="AE2706">
        <v>3.0312000000000099</v>
      </c>
      <c r="AF2706">
        <v>3.52547395055179</v>
      </c>
      <c r="AG2706">
        <v>-1.104385713149</v>
      </c>
      <c r="AH2706">
        <v>30.955663092585901</v>
      </c>
      <c r="AI2706">
        <v>92.030126570187406</v>
      </c>
      <c r="AJ2706">
        <v>83.502701232332299</v>
      </c>
      <c r="AK2706">
        <v>31.1753381999476</v>
      </c>
    </row>
    <row r="2707" spans="1:37" x14ac:dyDescent="0.2">
      <c r="A2707" t="str">
        <f>"20200111155550183"</f>
        <v>20200111155550183</v>
      </c>
      <c r="B2707" t="str">
        <f>"1578729350175469"</f>
        <v>1578729350175469</v>
      </c>
      <c r="C2707" t="s">
        <v>37</v>
      </c>
      <c r="D2707">
        <v>5.1034239999999897</v>
      </c>
      <c r="E2707">
        <v>0.55491089999999998</v>
      </c>
      <c r="F2707" t="s">
        <v>61</v>
      </c>
      <c r="G2707">
        <v>-410.71789999999999</v>
      </c>
      <c r="H2707" s="1">
        <v>2.101657E-6</v>
      </c>
      <c r="I2707">
        <v>287.26369999999997</v>
      </c>
      <c r="J2707">
        <v>-377.32819999999998</v>
      </c>
      <c r="K2707">
        <v>1.1043879999999999</v>
      </c>
      <c r="L2707">
        <v>283.99020000000002</v>
      </c>
      <c r="M2707">
        <v>-0.99977559999999999</v>
      </c>
      <c r="N2707">
        <v>0</v>
      </c>
      <c r="O2707">
        <v>-1.5683639999999999E-2</v>
      </c>
      <c r="P2707">
        <v>-0.99854859999999901</v>
      </c>
      <c r="Q2707">
        <v>3.0630540000000001E-2</v>
      </c>
      <c r="R2707">
        <v>-4.4305730000000002E-2</v>
      </c>
      <c r="S2707">
        <v>-3.0203250000000001</v>
      </c>
      <c r="T2707">
        <v>-9.9253419999999995E-2</v>
      </c>
      <c r="U2707">
        <v>0.29391479999999998</v>
      </c>
      <c r="V2707">
        <v>-2.858256E-2</v>
      </c>
      <c r="W2707">
        <v>4.488897E-2</v>
      </c>
      <c r="X2707">
        <v>0.998583</v>
      </c>
      <c r="Y2707">
        <v>0.1123859</v>
      </c>
      <c r="Z2707">
        <v>2.3559329999999902E-3</v>
      </c>
      <c r="AA2707">
        <v>0.99366180000000004</v>
      </c>
      <c r="AB2707">
        <v>33</v>
      </c>
      <c r="AC2707">
        <v>-33.389699999999998</v>
      </c>
      <c r="AD2707">
        <v>-1.1043858983429999</v>
      </c>
      <c r="AE2707">
        <v>3.2734999999999501</v>
      </c>
      <c r="AF2707">
        <v>3.7927127071784001</v>
      </c>
      <c r="AG2707">
        <v>-1.1043858983429999</v>
      </c>
      <c r="AH2707">
        <v>33.2981654352253</v>
      </c>
      <c r="AI2707">
        <v>91.887413215922606</v>
      </c>
      <c r="AJ2707">
        <v>83.501926308987194</v>
      </c>
      <c r="AK2707">
        <v>33.531659058914499</v>
      </c>
    </row>
    <row r="2708" spans="1:37" x14ac:dyDescent="0.2">
      <c r="A2708" t="str">
        <f>"20200111155550202"</f>
        <v>20200111155550202</v>
      </c>
      <c r="B2708" t="str">
        <f>"1578729350194989"</f>
        <v>1578729350194989</v>
      </c>
      <c r="C2708" t="s">
        <v>37</v>
      </c>
      <c r="D2708">
        <v>5.1149420000000001</v>
      </c>
      <c r="E2708">
        <v>0.55465010000000003</v>
      </c>
      <c r="F2708" t="s">
        <v>61</v>
      </c>
      <c r="G2708">
        <v>-411.97919999999999</v>
      </c>
      <c r="H2708" s="1">
        <v>2.3167849999999998E-6</v>
      </c>
      <c r="I2708">
        <v>287.3621</v>
      </c>
      <c r="J2708">
        <v>-377.6069</v>
      </c>
      <c r="K2708">
        <v>1.1043769999999999</v>
      </c>
      <c r="L2708">
        <v>283.98630000000003</v>
      </c>
      <c r="M2708">
        <v>-0.99978330000000004</v>
      </c>
      <c r="N2708">
        <v>0</v>
      </c>
      <c r="O2708">
        <v>-1.5182340000000001E-2</v>
      </c>
      <c r="P2708">
        <v>-0.99861749999999905</v>
      </c>
      <c r="Q2708">
        <v>2.717493E-2</v>
      </c>
      <c r="R2708">
        <v>-4.5000749999999999E-2</v>
      </c>
      <c r="S2708">
        <v>-3.0203549999999999</v>
      </c>
      <c r="T2708">
        <v>-9.6263769999999999E-2</v>
      </c>
      <c r="U2708">
        <v>0.29391479999999998</v>
      </c>
      <c r="V2708">
        <v>-2.978072E-2</v>
      </c>
      <c r="W2708">
        <v>4.144084E-2</v>
      </c>
      <c r="X2708">
        <v>0.99869699999999995</v>
      </c>
      <c r="Y2708">
        <v>0.1118912</v>
      </c>
      <c r="Z2708">
        <v>2.2611789999999999E-3</v>
      </c>
      <c r="AA2708">
        <v>0.99371790000000004</v>
      </c>
      <c r="AB2708">
        <v>33</v>
      </c>
      <c r="AC2708">
        <v>-34.372300000000003</v>
      </c>
      <c r="AD2708">
        <v>-1.1043746832150001</v>
      </c>
      <c r="AE2708">
        <v>3.3757999999999599</v>
      </c>
      <c r="AF2708">
        <v>3.8933349314111099</v>
      </c>
      <c r="AG2708">
        <v>-1.1043746832150001</v>
      </c>
      <c r="AH2708">
        <v>34.282027728522799</v>
      </c>
      <c r="AI2708">
        <v>91.833333769273196</v>
      </c>
      <c r="AJ2708">
        <v>83.520803898701701</v>
      </c>
      <c r="AK2708">
        <v>34.520068445880497</v>
      </c>
    </row>
    <row r="2709" spans="1:37" x14ac:dyDescent="0.2">
      <c r="A2709" t="str">
        <f>"20200111155550216"</f>
        <v>20200111155550216</v>
      </c>
      <c r="B2709" t="str">
        <f>"1578729350204750"</f>
        <v>1578729350204750</v>
      </c>
      <c r="C2709" t="s">
        <v>37</v>
      </c>
      <c r="D2709">
        <v>5.1128080000000002</v>
      </c>
      <c r="E2709">
        <v>0.55436300000000005</v>
      </c>
      <c r="F2709" t="s">
        <v>61</v>
      </c>
      <c r="G2709">
        <v>-408.66520000000003</v>
      </c>
      <c r="H2709" s="1">
        <v>4.0742540000000001E-6</v>
      </c>
      <c r="I2709">
        <v>286.96519999999998</v>
      </c>
      <c r="J2709">
        <v>-377.8168</v>
      </c>
      <c r="K2709">
        <v>1.104371</v>
      </c>
      <c r="L2709">
        <v>283.98349999999999</v>
      </c>
      <c r="M2709">
        <v>-0.99978889999999998</v>
      </c>
      <c r="N2709">
        <v>0</v>
      </c>
      <c r="O2709">
        <v>-1.480386E-2</v>
      </c>
      <c r="P2709">
        <v>-0.99863670000000004</v>
      </c>
      <c r="Q2709">
        <v>2.5677760000000001E-2</v>
      </c>
      <c r="R2709">
        <v>-4.5448280000000001E-2</v>
      </c>
      <c r="S2709">
        <v>-3.0201419999999999</v>
      </c>
      <c r="T2709">
        <v>-0.1073905</v>
      </c>
      <c r="U2709">
        <v>0.28967290000000001</v>
      </c>
      <c r="V2709">
        <v>-3.0607849999999999E-2</v>
      </c>
      <c r="W2709">
        <v>3.9948619999999997E-2</v>
      </c>
      <c r="X2709">
        <v>0.99873279999999998</v>
      </c>
      <c r="Y2709">
        <v>0.110124499999999</v>
      </c>
      <c r="Z2709">
        <v>2.4779730000000001E-3</v>
      </c>
      <c r="AA2709">
        <v>0.99391469999999904</v>
      </c>
      <c r="AB2709">
        <v>33</v>
      </c>
      <c r="AC2709">
        <v>-30.848400000000002</v>
      </c>
      <c r="AD2709">
        <v>-1.104366925746</v>
      </c>
      <c r="AE2709">
        <v>2.98169999999998</v>
      </c>
      <c r="AF2709">
        <v>3.4337349120277398</v>
      </c>
      <c r="AG2709">
        <v>-1.104366925746</v>
      </c>
      <c r="AH2709">
        <v>30.761813461650799</v>
      </c>
      <c r="AI2709">
        <v>92.043388860796995</v>
      </c>
      <c r="AJ2709">
        <v>83.630821911396396</v>
      </c>
      <c r="AK2709">
        <v>30.972557679374098</v>
      </c>
    </row>
    <row r="2710" spans="1:37" x14ac:dyDescent="0.2">
      <c r="A2710" t="str">
        <f>"20200111155550231"</f>
        <v>20200111155550231</v>
      </c>
      <c r="B2710" t="str">
        <f>"1578729350225245"</f>
        <v>1578729350225245</v>
      </c>
      <c r="C2710" t="s">
        <v>37</v>
      </c>
      <c r="D2710">
        <v>5.1925840000000001</v>
      </c>
      <c r="E2710">
        <v>0.55401990000000001</v>
      </c>
      <c r="F2710" t="s">
        <v>61</v>
      </c>
      <c r="G2710">
        <v>-407.80399999999997</v>
      </c>
      <c r="H2710" s="1">
        <v>4.4850719999999997E-6</v>
      </c>
      <c r="I2710">
        <v>286.82530000000003</v>
      </c>
      <c r="J2710">
        <v>-378.01729999999998</v>
      </c>
      <c r="K2710">
        <v>1.1043670000000001</v>
      </c>
      <c r="L2710">
        <v>283.98090000000002</v>
      </c>
      <c r="M2710">
        <v>-0.99979409999999902</v>
      </c>
      <c r="N2710">
        <v>0</v>
      </c>
      <c r="O2710">
        <v>-1.444373E-2</v>
      </c>
      <c r="P2710">
        <v>-0.99863630000000003</v>
      </c>
      <c r="Q2710">
        <v>2.5473349999999999E-2</v>
      </c>
      <c r="R2710">
        <v>-4.5566769999999999E-2</v>
      </c>
      <c r="S2710">
        <v>-3.0199889999999998</v>
      </c>
      <c r="T2710">
        <v>-0.111219899999999</v>
      </c>
      <c r="U2710">
        <v>0.2861938</v>
      </c>
      <c r="V2710">
        <v>-3.108671E-2</v>
      </c>
      <c r="W2710">
        <v>3.9748039999999998E-2</v>
      </c>
      <c r="X2710">
        <v>0.99872609999999995</v>
      </c>
      <c r="Y2710">
        <v>0.10863199999999899</v>
      </c>
      <c r="Z2710">
        <v>2.5258979999999999E-3</v>
      </c>
      <c r="AA2710">
        <v>0.99407880000000004</v>
      </c>
      <c r="AB2710">
        <v>33</v>
      </c>
      <c r="AC2710">
        <v>-29.7867</v>
      </c>
      <c r="AD2710">
        <v>-1.1043625149280001</v>
      </c>
      <c r="AE2710">
        <v>2.8443999999999998</v>
      </c>
      <c r="AF2710">
        <v>3.2699237371727401</v>
      </c>
      <c r="AG2710">
        <v>-1.1043625149280001</v>
      </c>
      <c r="AH2710">
        <v>29.7020445233888</v>
      </c>
      <c r="AI2710">
        <v>92.116578227987105</v>
      </c>
      <c r="AJ2710">
        <v>83.717557691776804</v>
      </c>
      <c r="AK2710">
        <v>29.9018973759304</v>
      </c>
    </row>
    <row r="2711" spans="1:37" x14ac:dyDescent="0.2">
      <c r="A2711" t="str">
        <f>"20200111155550243"</f>
        <v>20200111155550243</v>
      </c>
      <c r="B2711" t="str">
        <f>"1578729350235004"</f>
        <v>1578729350235004</v>
      </c>
      <c r="C2711" t="s">
        <v>37</v>
      </c>
      <c r="D2711">
        <v>5.251385</v>
      </c>
      <c r="E2711">
        <v>0.55401990000000001</v>
      </c>
      <c r="F2711" t="s">
        <v>61</v>
      </c>
      <c r="G2711">
        <v>-407.49400000000003</v>
      </c>
      <c r="H2711" s="1">
        <v>4.6392669999999902E-6</v>
      </c>
      <c r="I2711">
        <v>286.74430000000001</v>
      </c>
      <c r="J2711">
        <v>-378.21300000000002</v>
      </c>
      <c r="K2711">
        <v>1.1043670000000001</v>
      </c>
      <c r="L2711">
        <v>283.97840000000002</v>
      </c>
      <c r="M2711">
        <v>-0.99979910000000005</v>
      </c>
      <c r="N2711">
        <v>0</v>
      </c>
      <c r="O2711">
        <v>-1.4092789999999999E-2</v>
      </c>
      <c r="P2711">
        <v>-0.99861480000000002</v>
      </c>
      <c r="Q2711">
        <v>2.608508E-2</v>
      </c>
      <c r="R2711">
        <v>-4.569662E-2</v>
      </c>
      <c r="S2711">
        <v>-3.0198969999999998</v>
      </c>
      <c r="T2711">
        <v>-0.1131423</v>
      </c>
      <c r="U2711">
        <v>0.28311160000000002</v>
      </c>
      <c r="V2711">
        <v>-3.1566440000000001E-2</v>
      </c>
      <c r="W2711">
        <v>4.0362660000000002E-2</v>
      </c>
      <c r="X2711">
        <v>0.99868639999999997</v>
      </c>
      <c r="Y2711">
        <v>0.1072785</v>
      </c>
      <c r="Z2711">
        <v>2.5313139999999998E-3</v>
      </c>
      <c r="AA2711">
        <v>0.99422579999999905</v>
      </c>
      <c r="AB2711">
        <v>33</v>
      </c>
      <c r="AC2711">
        <v>-29.280999999999999</v>
      </c>
      <c r="AD2711">
        <v>-1.104362360733</v>
      </c>
      <c r="AE2711">
        <v>2.7658999999999798</v>
      </c>
      <c r="AF2711">
        <v>3.1738433187464699</v>
      </c>
      <c r="AG2711">
        <v>-1.104362360733</v>
      </c>
      <c r="AH2711">
        <v>29.197941690152199</v>
      </c>
      <c r="AI2711">
        <v>92.153409808507305</v>
      </c>
      <c r="AJ2711">
        <v>83.796253420581493</v>
      </c>
      <c r="AK2711">
        <v>29.3906906447822</v>
      </c>
    </row>
    <row r="2712" spans="1:37" x14ac:dyDescent="0.2">
      <c r="A2712" t="str">
        <f>"20200111155550257"</f>
        <v>20200111155550257</v>
      </c>
      <c r="B2712" t="str">
        <f>"1578729350255501"</f>
        <v>1578729350255501</v>
      </c>
      <c r="C2712" t="s">
        <v>37</v>
      </c>
      <c r="D2712">
        <v>5.1057559999999897</v>
      </c>
      <c r="E2712">
        <v>0.52983119999999995</v>
      </c>
      <c r="F2712" t="s">
        <v>61</v>
      </c>
      <c r="G2712">
        <v>-408.16269999999997</v>
      </c>
      <c r="H2712" s="1">
        <v>4.3353379999999996E-6</v>
      </c>
      <c r="I2712">
        <v>286.77999999999997</v>
      </c>
      <c r="J2712">
        <v>-378.41890000000001</v>
      </c>
      <c r="K2712">
        <v>1.1043670000000001</v>
      </c>
      <c r="L2712">
        <v>283.97590000000002</v>
      </c>
      <c r="M2712">
        <v>-0.99980440000000004</v>
      </c>
      <c r="N2712">
        <v>0</v>
      </c>
      <c r="O2712">
        <v>-1.3724449999999999E-2</v>
      </c>
      <c r="P2712">
        <v>-0.99856639999999997</v>
      </c>
      <c r="Q2712">
        <v>2.71168E-2</v>
      </c>
      <c r="R2712">
        <v>-4.6152840000000001E-2</v>
      </c>
      <c r="S2712">
        <v>-3.0199889999999998</v>
      </c>
      <c r="T2712">
        <v>-0.1113589</v>
      </c>
      <c r="U2712">
        <v>0.28250120000000001</v>
      </c>
      <c r="V2712">
        <v>-3.2389859999999999E-2</v>
      </c>
      <c r="W2712">
        <v>4.1397009999999998E-2</v>
      </c>
      <c r="X2712">
        <v>0.99861759999999999</v>
      </c>
      <c r="Y2712">
        <v>0.1067134</v>
      </c>
      <c r="Z2712">
        <v>2.4674459999999999E-3</v>
      </c>
      <c r="AA2712">
        <v>0.99428680000000003</v>
      </c>
      <c r="AB2712">
        <v>33</v>
      </c>
      <c r="AC2712">
        <v>-29.743799999999901</v>
      </c>
      <c r="AD2712">
        <v>-1.1043626646619999</v>
      </c>
      <c r="AE2712">
        <v>2.8040999999999401</v>
      </c>
      <c r="AF2712">
        <v>3.20771142295068</v>
      </c>
      <c r="AG2712">
        <v>-1.1043626646619999</v>
      </c>
      <c r="AH2712">
        <v>29.661978345351599</v>
      </c>
      <c r="AI2712">
        <v>92.119879893409902</v>
      </c>
      <c r="AJ2712">
        <v>83.8278944836959</v>
      </c>
      <c r="AK2712">
        <v>29.855351092025899</v>
      </c>
    </row>
    <row r="2713" spans="1:37" x14ac:dyDescent="0.2">
      <c r="A2713" t="str">
        <f>"20200111155550271"</f>
        <v>20200111155550271</v>
      </c>
      <c r="B2713" t="str">
        <f>"1578729350265261"</f>
        <v>1578729350265261</v>
      </c>
      <c r="C2713" t="s">
        <v>37</v>
      </c>
      <c r="D2713">
        <v>5.0501269999999998</v>
      </c>
      <c r="E2713">
        <v>0.52766639999999998</v>
      </c>
      <c r="F2713" t="s">
        <v>61</v>
      </c>
      <c r="G2713">
        <v>-405.0582</v>
      </c>
      <c r="H2713" s="1">
        <v>6.1320830000000003E-6</v>
      </c>
      <c r="I2713">
        <v>284.74740000000003</v>
      </c>
      <c r="J2713">
        <v>-378.60489999999999</v>
      </c>
      <c r="K2713">
        <v>1.1043620000000001</v>
      </c>
      <c r="L2713">
        <v>283.97370000000001</v>
      </c>
      <c r="M2713">
        <v>-0.99980869999999999</v>
      </c>
      <c r="N2713">
        <v>0</v>
      </c>
      <c r="O2713">
        <v>-1.339247E-2</v>
      </c>
      <c r="P2713">
        <v>-0.99856440000000002</v>
      </c>
      <c r="Q2713">
        <v>2.6831270000000001E-2</v>
      </c>
      <c r="R2713">
        <v>-4.6359619999999997E-2</v>
      </c>
      <c r="S2713">
        <v>-3.0116879999999999</v>
      </c>
      <c r="T2713">
        <v>-0.1248529</v>
      </c>
      <c r="U2713">
        <v>8.7219240000000003E-2</v>
      </c>
      <c r="V2713">
        <v>-3.2928789999999999E-2</v>
      </c>
      <c r="W2713">
        <v>4.1114480000000002E-2</v>
      </c>
      <c r="X2713">
        <v>0.99861169999999999</v>
      </c>
      <c r="Y2713">
        <v>4.2285950000000003E-2</v>
      </c>
      <c r="Z2713">
        <v>1.430862E-3</v>
      </c>
      <c r="AA2713">
        <v>0.99910449999999995</v>
      </c>
      <c r="AB2713">
        <v>33</v>
      </c>
      <c r="AC2713">
        <v>-26.453299999999999</v>
      </c>
      <c r="AD2713">
        <v>-1.104355867917</v>
      </c>
      <c r="AE2713">
        <v>0.77370000000001904</v>
      </c>
      <c r="AF2713">
        <v>1.1259808943140299</v>
      </c>
      <c r="AG2713">
        <v>-1.104355867917</v>
      </c>
      <c r="AH2713">
        <v>26.394601954833</v>
      </c>
      <c r="AI2713">
        <v>92.393695875976704</v>
      </c>
      <c r="AJ2713">
        <v>87.557270954694701</v>
      </c>
      <c r="AK2713">
        <v>26.441680113249902</v>
      </c>
    </row>
    <row r="2714" spans="1:37" x14ac:dyDescent="0.2">
      <c r="A2714" t="str">
        <f>"20200111155550287"</f>
        <v>20200111155550287</v>
      </c>
      <c r="B2714" t="str">
        <f>"1578729350275020"</f>
        <v>1578729350275020</v>
      </c>
      <c r="C2714" t="s">
        <v>37</v>
      </c>
      <c r="D2714">
        <v>5.0756509999999997</v>
      </c>
      <c r="E2714">
        <v>0.52756979999999998</v>
      </c>
      <c r="F2714" t="s">
        <v>61</v>
      </c>
      <c r="G2714">
        <v>-415.32889999999998</v>
      </c>
      <c r="H2714" s="1">
        <v>3.1309249999999898E-6</v>
      </c>
      <c r="I2714">
        <v>284.84609999999998</v>
      </c>
      <c r="J2714">
        <v>-378.83519999999999</v>
      </c>
      <c r="K2714">
        <v>1.1043559999999999</v>
      </c>
      <c r="L2714">
        <v>283.971</v>
      </c>
      <c r="M2714">
        <v>-0.99981419999999999</v>
      </c>
      <c r="N2714">
        <v>0</v>
      </c>
      <c r="O2714">
        <v>-1.298098E-2</v>
      </c>
      <c r="P2714">
        <v>-0.998600499999999</v>
      </c>
      <c r="Q2714">
        <v>2.5877509999999999E-2</v>
      </c>
      <c r="R2714">
        <v>-4.6127639999999998E-2</v>
      </c>
      <c r="S2714">
        <v>-3.0100709999999999</v>
      </c>
      <c r="T2714">
        <v>-9.0518360000000006E-2</v>
      </c>
      <c r="U2714">
        <v>7.1502689999999994E-2</v>
      </c>
      <c r="V2714">
        <v>-3.3108640000000002E-2</v>
      </c>
      <c r="W2714">
        <v>4.0163989999999997E-2</v>
      </c>
      <c r="X2714">
        <v>0.99864439999999999</v>
      </c>
      <c r="Y2714">
        <v>3.6701980000000002E-2</v>
      </c>
      <c r="Z2714">
        <v>9.4191049999999997E-4</v>
      </c>
      <c r="AA2714">
        <v>0.99932579999999904</v>
      </c>
      <c r="AB2714">
        <v>33</v>
      </c>
      <c r="AC2714">
        <v>-36.493699999999897</v>
      </c>
      <c r="AD2714">
        <v>-1.104352869075</v>
      </c>
      <c r="AE2714">
        <v>0.87509999999997401</v>
      </c>
      <c r="AF2714">
        <v>1.3475650144337501</v>
      </c>
      <c r="AG2714">
        <v>-1.104352869075</v>
      </c>
      <c r="AH2714">
        <v>36.445907345846997</v>
      </c>
      <c r="AI2714">
        <v>91.734412464749596</v>
      </c>
      <c r="AJ2714">
        <v>87.882488384397703</v>
      </c>
      <c r="AK2714">
        <v>36.487527855277101</v>
      </c>
    </row>
    <row r="2715" spans="1:37" x14ac:dyDescent="0.2">
      <c r="A2715" t="str">
        <f>"20200111155550303"</f>
        <v>20200111155550303</v>
      </c>
      <c r="B2715" t="str">
        <f>"1578729350295517"</f>
        <v>1578729350295517</v>
      </c>
      <c r="C2715" t="s">
        <v>37</v>
      </c>
      <c r="D2715">
        <v>5.1636689999999996</v>
      </c>
      <c r="E2715">
        <v>0.52775490000000003</v>
      </c>
      <c r="F2715" t="s">
        <v>61</v>
      </c>
      <c r="G2715">
        <v>-410.84109999999998</v>
      </c>
      <c r="H2715" s="1">
        <v>2.3455799999999999E-6</v>
      </c>
      <c r="I2715">
        <v>284.7235</v>
      </c>
      <c r="J2715">
        <v>-379.06790000000001</v>
      </c>
      <c r="K2715">
        <v>1.104349</v>
      </c>
      <c r="L2715">
        <v>283.96839999999997</v>
      </c>
      <c r="M2715">
        <v>-0.99981929999999997</v>
      </c>
      <c r="N2715">
        <v>0</v>
      </c>
      <c r="O2715">
        <v>-1.2563990000000001E-2</v>
      </c>
      <c r="P2715">
        <v>-0.99863409999999997</v>
      </c>
      <c r="Q2715">
        <v>2.4953489999999998E-2</v>
      </c>
      <c r="R2715">
        <v>-4.5903449999999998E-2</v>
      </c>
      <c r="S2715">
        <v>-3.0101619999999998</v>
      </c>
      <c r="T2715">
        <v>-0.10386469999999901</v>
      </c>
      <c r="U2715">
        <v>7.0770260000000001E-2</v>
      </c>
      <c r="V2715">
        <v>-3.3301289999999997E-2</v>
      </c>
      <c r="W2715">
        <v>3.9242989999999998E-2</v>
      </c>
      <c r="X2715">
        <v>0.99867459999999997</v>
      </c>
      <c r="Y2715">
        <v>3.6034990000000003E-2</v>
      </c>
      <c r="Z2715">
        <v>1.054796E-3</v>
      </c>
      <c r="AA2715">
        <v>0.99934999999999996</v>
      </c>
      <c r="AB2715">
        <v>32</v>
      </c>
      <c r="AC2715">
        <v>-31.7731999999999</v>
      </c>
      <c r="AD2715">
        <v>-1.10434665442</v>
      </c>
      <c r="AE2715">
        <v>0.75510000000002697</v>
      </c>
      <c r="AF2715">
        <v>1.1528872100698999</v>
      </c>
      <c r="AG2715">
        <v>-1.10434665442</v>
      </c>
      <c r="AH2715">
        <v>31.7229020213505</v>
      </c>
      <c r="AI2715">
        <v>91.992477441517096</v>
      </c>
      <c r="AJ2715">
        <v>87.918648397180704</v>
      </c>
      <c r="AK2715">
        <v>31.763048391306398</v>
      </c>
    </row>
    <row r="2716" spans="1:37" x14ac:dyDescent="0.2">
      <c r="A2716" t="str">
        <f>"20200111155550316"</f>
        <v>20200111155550316</v>
      </c>
      <c r="B2716" t="str">
        <f>"1578729350305276"</f>
        <v>1578729350305276</v>
      </c>
      <c r="C2716" t="s">
        <v>37</v>
      </c>
      <c r="D2716">
        <v>5.0963120000000002</v>
      </c>
      <c r="E2716">
        <v>0.52763769999999999</v>
      </c>
      <c r="F2716" t="s">
        <v>61</v>
      </c>
      <c r="G2716">
        <v>-407.39670000000001</v>
      </c>
      <c r="H2716" s="1">
        <v>5.1154399999999996E-6</v>
      </c>
      <c r="I2716">
        <v>284.64870000000002</v>
      </c>
      <c r="J2716">
        <v>-379.2715</v>
      </c>
      <c r="K2716">
        <v>1.104341</v>
      </c>
      <c r="L2716">
        <v>283.96620000000001</v>
      </c>
      <c r="M2716">
        <v>-0.99982389999999999</v>
      </c>
      <c r="N2716">
        <v>0</v>
      </c>
      <c r="O2716">
        <v>-1.2196830000000001E-2</v>
      </c>
      <c r="P2716">
        <v>-0.99867850000000002</v>
      </c>
      <c r="Q2716">
        <v>2.401389E-2</v>
      </c>
      <c r="R2716">
        <v>-4.5439840000000002E-2</v>
      </c>
      <c r="S2716">
        <v>-3.0103759999999999</v>
      </c>
      <c r="T2716">
        <v>-0.11735370000000001</v>
      </c>
      <c r="U2716">
        <v>7.2296139999999995E-2</v>
      </c>
      <c r="V2716">
        <v>-3.3205829999999999E-2</v>
      </c>
      <c r="W2716">
        <v>3.830575E-2</v>
      </c>
      <c r="X2716">
        <v>0.9987142</v>
      </c>
      <c r="Y2716">
        <v>3.6164780000000001E-2</v>
      </c>
      <c r="Z2716">
        <v>1.179816E-3</v>
      </c>
      <c r="AA2716">
        <v>0.99934509999999899</v>
      </c>
      <c r="AB2716">
        <v>32</v>
      </c>
      <c r="AC2716">
        <v>-28.1252</v>
      </c>
      <c r="AD2716">
        <v>-1.10433588456</v>
      </c>
      <c r="AE2716">
        <v>0.68250000000000399</v>
      </c>
      <c r="AF2716">
        <v>1.02394467168587</v>
      </c>
      <c r="AG2716">
        <v>-1.10433588456</v>
      </c>
      <c r="AH2716">
        <v>28.071528796114698</v>
      </c>
      <c r="AI2716">
        <v>92.251362503783398</v>
      </c>
      <c r="AJ2716">
        <v>87.910989820539001</v>
      </c>
      <c r="AK2716">
        <v>28.111896936843301</v>
      </c>
    </row>
    <row r="2717" spans="1:37" x14ac:dyDescent="0.2">
      <c r="A2717" t="str">
        <f>"20200111155550331"</f>
        <v>20200111155550331</v>
      </c>
      <c r="B2717" t="str">
        <f>"1578729350324798"</f>
        <v>1578729350324798</v>
      </c>
      <c r="C2717" t="s">
        <v>37</v>
      </c>
      <c r="D2717">
        <v>5.1275870000000001</v>
      </c>
      <c r="E2717">
        <v>0.52716379999999996</v>
      </c>
      <c r="F2717" t="s">
        <v>61</v>
      </c>
      <c r="G2717">
        <v>-406.13830000000002</v>
      </c>
      <c r="H2717" s="1">
        <v>5.6808830000000003E-6</v>
      </c>
      <c r="I2717">
        <v>284.61279999999999</v>
      </c>
      <c r="J2717">
        <v>-379.476</v>
      </c>
      <c r="K2717">
        <v>1.104341</v>
      </c>
      <c r="L2717">
        <v>283.96409999999997</v>
      </c>
      <c r="M2717">
        <v>-0.99982850000000001</v>
      </c>
      <c r="N2717">
        <v>0</v>
      </c>
      <c r="O2717">
        <v>-1.182428E-2</v>
      </c>
      <c r="P2717">
        <v>-0.99868670000000004</v>
      </c>
      <c r="Q2717">
        <v>2.430268E-2</v>
      </c>
      <c r="R2717">
        <v>-4.5108790000000003E-2</v>
      </c>
      <c r="S2717">
        <v>-3.0102540000000002</v>
      </c>
      <c r="T2717">
        <v>-0.1237336</v>
      </c>
      <c r="U2717">
        <v>7.2448730000000003E-2</v>
      </c>
      <c r="V2717">
        <v>-3.3245940000000002E-2</v>
      </c>
      <c r="W2717">
        <v>3.8596409999999998E-2</v>
      </c>
      <c r="X2717">
        <v>0.99870170000000003</v>
      </c>
      <c r="Y2717">
        <v>3.5840509999999999E-2</v>
      </c>
      <c r="Z2717">
        <v>1.2219869999999999E-3</v>
      </c>
      <c r="AA2717">
        <v>0.99935669999999899</v>
      </c>
      <c r="AB2717">
        <v>32</v>
      </c>
      <c r="AC2717">
        <v>-26.662299999999998</v>
      </c>
      <c r="AD2717">
        <v>-1.104335319117</v>
      </c>
      <c r="AE2717">
        <v>0.64870000000001904</v>
      </c>
      <c r="AF2717">
        <v>0.96229926162561696</v>
      </c>
      <c r="AG2717">
        <v>-1.104335319117</v>
      </c>
      <c r="AH2717">
        <v>26.6071452578506</v>
      </c>
      <c r="AI2717">
        <v>92.375158452910796</v>
      </c>
      <c r="AJ2717">
        <v>87.928689282880796</v>
      </c>
      <c r="AK2717">
        <v>26.6474343068585</v>
      </c>
    </row>
    <row r="2718" spans="1:37" x14ac:dyDescent="0.2">
      <c r="A2718" t="str">
        <f>"20200111155550346"</f>
        <v>20200111155550346</v>
      </c>
      <c r="B2718" t="str">
        <f>"1578729350335533"</f>
        <v>1578729350335533</v>
      </c>
      <c r="C2718" t="s">
        <v>37</v>
      </c>
      <c r="D2718">
        <v>5.087059</v>
      </c>
      <c r="E2718">
        <v>0.52719589999999905</v>
      </c>
      <c r="F2718" t="s">
        <v>61</v>
      </c>
      <c r="G2718">
        <v>-405.7029</v>
      </c>
      <c r="H2718" s="1">
        <v>5.88294999999999E-6</v>
      </c>
      <c r="I2718">
        <v>284.5693</v>
      </c>
      <c r="J2718">
        <v>-379.68599999999998</v>
      </c>
      <c r="K2718">
        <v>1.10433799999999</v>
      </c>
      <c r="L2718">
        <v>283.96199999999999</v>
      </c>
      <c r="M2718">
        <v>-0.99983290000000002</v>
      </c>
      <c r="N2718">
        <v>0</v>
      </c>
      <c r="O2718">
        <v>-1.143634E-2</v>
      </c>
      <c r="P2718">
        <v>-0.99868500000000004</v>
      </c>
      <c r="Q2718">
        <v>2.5299370000000002E-2</v>
      </c>
      <c r="R2718">
        <v>-4.459051E-2</v>
      </c>
      <c r="S2718">
        <v>-3.0101619999999998</v>
      </c>
      <c r="T2718">
        <v>-0.12674830000000001</v>
      </c>
      <c r="U2718">
        <v>6.9458010000000001E-2</v>
      </c>
      <c r="V2718">
        <v>-3.311368E-2</v>
      </c>
      <c r="W2718">
        <v>3.959414E-2</v>
      </c>
      <c r="X2718">
        <v>0.99866699999999997</v>
      </c>
      <c r="Y2718">
        <v>3.4460669999999999E-2</v>
      </c>
      <c r="Z2718">
        <v>1.206424E-3</v>
      </c>
      <c r="AA2718">
        <v>0.99940529999999905</v>
      </c>
      <c r="AB2718">
        <v>32</v>
      </c>
      <c r="AC2718">
        <v>-26.0169</v>
      </c>
      <c r="AD2718">
        <v>-1.10433211704999</v>
      </c>
      <c r="AE2718">
        <v>0.60730000000000905</v>
      </c>
      <c r="AF2718">
        <v>0.90320221693301705</v>
      </c>
      <c r="AG2718">
        <v>-1.10433211704999</v>
      </c>
      <c r="AH2718">
        <v>25.961502235199699</v>
      </c>
      <c r="AI2718">
        <v>92.434268236562303</v>
      </c>
      <c r="AJ2718">
        <v>88.007480022497802</v>
      </c>
      <c r="AK2718">
        <v>26.000671567821101</v>
      </c>
    </row>
    <row r="2719" spans="1:37" x14ac:dyDescent="0.2">
      <c r="A2719" t="str">
        <f>"20200111155550359"</f>
        <v>20200111155550359</v>
      </c>
      <c r="B2719" t="str">
        <f>"1578729350355053"</f>
        <v>1578729350355053</v>
      </c>
      <c r="C2719" t="s">
        <v>37</v>
      </c>
      <c r="D2719">
        <v>5.1380730000000003</v>
      </c>
      <c r="E2719">
        <v>0.52729740000000003</v>
      </c>
      <c r="F2719" t="s">
        <v>61</v>
      </c>
      <c r="G2719">
        <v>-406.29079999999999</v>
      </c>
      <c r="H2719" s="1">
        <v>5.61798199999999E-6</v>
      </c>
      <c r="I2719">
        <v>284.5899</v>
      </c>
      <c r="J2719">
        <v>-379.88470000000001</v>
      </c>
      <c r="K2719">
        <v>1.104336</v>
      </c>
      <c r="L2719">
        <v>283.96010000000001</v>
      </c>
      <c r="M2719">
        <v>-0.99983690000000003</v>
      </c>
      <c r="N2719">
        <v>0</v>
      </c>
      <c r="O2719">
        <v>-1.1063150000000001E-2</v>
      </c>
      <c r="P2719">
        <v>-0.99867899999999998</v>
      </c>
      <c r="Q2719">
        <v>2.5733470000000001E-2</v>
      </c>
      <c r="R2719">
        <v>-4.4476870000000002E-2</v>
      </c>
      <c r="S2719">
        <v>-3.0102540000000002</v>
      </c>
      <c r="T2719">
        <v>-0.1249517</v>
      </c>
      <c r="U2719">
        <v>7.1044919999999998E-2</v>
      </c>
      <c r="V2719">
        <v>-3.3372150000000003E-2</v>
      </c>
      <c r="W2719">
        <v>4.0030099999999999E-2</v>
      </c>
      <c r="X2719">
        <v>0.998641</v>
      </c>
      <c r="Y2719">
        <v>3.4614850000000003E-2</v>
      </c>
      <c r="Z2719">
        <v>1.17701E-3</v>
      </c>
      <c r="AA2719">
        <v>0.99939999999999996</v>
      </c>
      <c r="AB2719">
        <v>32</v>
      </c>
      <c r="AC2719">
        <v>-26.406099999999899</v>
      </c>
      <c r="AD2719">
        <v>-1.1043303820179999</v>
      </c>
      <c r="AE2719">
        <v>0.62979999999998804</v>
      </c>
      <c r="AF2719">
        <v>0.92031714622293004</v>
      </c>
      <c r="AG2719">
        <v>-1.1043303820179999</v>
      </c>
      <c r="AH2719">
        <v>26.3514529173552</v>
      </c>
      <c r="AI2719">
        <v>92.398273144240903</v>
      </c>
      <c r="AJ2719">
        <v>87.999773859879298</v>
      </c>
      <c r="AK2719">
        <v>26.390634704339099</v>
      </c>
    </row>
    <row r="2720" spans="1:37" x14ac:dyDescent="0.2">
      <c r="A2720" t="str">
        <f>"20200111155550374"</f>
        <v>20200111155550374</v>
      </c>
      <c r="B2720" t="str">
        <f>"1578729350364813"</f>
        <v>1578729350364813</v>
      </c>
      <c r="C2720" t="s">
        <v>37</v>
      </c>
      <c r="D2720">
        <v>4.9938449999999897</v>
      </c>
      <c r="E2720">
        <v>0.52741369999999999</v>
      </c>
      <c r="F2720" t="s">
        <v>61</v>
      </c>
      <c r="G2720">
        <v>-406.48</v>
      </c>
      <c r="H2720" s="1">
        <v>5.5327539999999998E-6</v>
      </c>
      <c r="I2720">
        <v>284.59640000000002</v>
      </c>
      <c r="J2720">
        <v>-380.10989999999998</v>
      </c>
      <c r="K2720">
        <v>1.104325</v>
      </c>
      <c r="L2720">
        <v>283.9581</v>
      </c>
      <c r="M2720">
        <v>-0.9998418</v>
      </c>
      <c r="N2720">
        <v>0</v>
      </c>
      <c r="O2720">
        <v>-1.0627549999999999E-2</v>
      </c>
      <c r="P2720">
        <v>-0.99870239999999999</v>
      </c>
      <c r="Q2720">
        <v>2.5631549999999999E-2</v>
      </c>
      <c r="R2720">
        <v>-4.4008110000000003E-2</v>
      </c>
      <c r="S2720">
        <v>-3.010437</v>
      </c>
      <c r="T2720">
        <v>-0.1250037</v>
      </c>
      <c r="U2720">
        <v>7.2021479999999999E-2</v>
      </c>
      <c r="V2720">
        <v>-3.3337520000000002E-2</v>
      </c>
      <c r="W2720">
        <v>3.993004E-2</v>
      </c>
      <c r="X2720">
        <v>0.99864619999999904</v>
      </c>
      <c r="Y2720">
        <v>3.4502459999999999E-2</v>
      </c>
      <c r="Z2720">
        <v>1.157012E-3</v>
      </c>
      <c r="AA2720">
        <v>0.99940399999999996</v>
      </c>
      <c r="AB2720">
        <v>32</v>
      </c>
      <c r="AC2720">
        <v>-26.370100000000001</v>
      </c>
      <c r="AD2720">
        <v>-1.1043194672459999</v>
      </c>
      <c r="AE2720">
        <v>0.63830000000001497</v>
      </c>
      <c r="AF2720">
        <v>0.91693488518014499</v>
      </c>
      <c r="AG2720">
        <v>-1.1043194672459999</v>
      </c>
      <c r="AH2720">
        <v>26.3157022672039</v>
      </c>
      <c r="AI2720">
        <v>92.401510524578498</v>
      </c>
      <c r="AJ2720">
        <v>88.004413760611897</v>
      </c>
      <c r="AK2720">
        <v>26.3548188551073</v>
      </c>
    </row>
    <row r="2721" spans="1:37" x14ac:dyDescent="0.2">
      <c r="A2721" t="str">
        <f>"20200111155550390"</f>
        <v>20200111155550390</v>
      </c>
      <c r="B2721" t="str">
        <f>"1578729350385308"</f>
        <v>1578729350385308</v>
      </c>
      <c r="C2721" t="s">
        <v>37</v>
      </c>
      <c r="D2721">
        <v>5.0509829999999996</v>
      </c>
      <c r="E2721">
        <v>0.52775850000000002</v>
      </c>
      <c r="F2721" t="s">
        <v>61</v>
      </c>
      <c r="G2721">
        <v>-406.37540000000001</v>
      </c>
      <c r="H2721" s="1">
        <v>5.57684E-6</v>
      </c>
      <c r="I2721">
        <v>284.60750000000002</v>
      </c>
      <c r="J2721">
        <v>-380.31630000000001</v>
      </c>
      <c r="K2721">
        <v>1.104312</v>
      </c>
      <c r="L2721">
        <v>283.9563</v>
      </c>
      <c r="M2721">
        <v>-0.99984609999999996</v>
      </c>
      <c r="N2721">
        <v>0</v>
      </c>
      <c r="O2721">
        <v>-1.021564E-2</v>
      </c>
      <c r="P2721">
        <v>-0.9987298</v>
      </c>
      <c r="Q2721">
        <v>2.5640329999999999E-2</v>
      </c>
      <c r="R2721">
        <v>-4.3375669999999998E-2</v>
      </c>
      <c r="S2721">
        <v>-3.0104060000000001</v>
      </c>
      <c r="T2721">
        <v>-0.12657089999999999</v>
      </c>
      <c r="U2721">
        <v>7.4432369999999998E-2</v>
      </c>
      <c r="V2721">
        <v>-3.3115600000000002E-2</v>
      </c>
      <c r="W2721">
        <v>3.9940049999999998E-2</v>
      </c>
      <c r="X2721">
        <v>0.99865319999999902</v>
      </c>
      <c r="Y2721">
        <v>3.4889910000000003E-2</v>
      </c>
      <c r="Z2721">
        <v>1.1623359999999999E-3</v>
      </c>
      <c r="AA2721">
        <v>0.99939049999999996</v>
      </c>
      <c r="AB2721">
        <v>32</v>
      </c>
      <c r="AC2721">
        <v>-26.059100000000001</v>
      </c>
      <c r="AD2721">
        <v>-1.1043064231599999</v>
      </c>
      <c r="AE2721">
        <v>0.65120000000001699</v>
      </c>
      <c r="AF2721">
        <v>0.91575997257999298</v>
      </c>
      <c r="AG2721">
        <v>-1.1043064231599999</v>
      </c>
      <c r="AH2721">
        <v>26.004416984906399</v>
      </c>
      <c r="AI2721">
        <v>92.430163234085398</v>
      </c>
      <c r="AJ2721">
        <v>87.983130788790106</v>
      </c>
      <c r="AK2721">
        <v>26.043959217609402</v>
      </c>
    </row>
    <row r="2722" spans="1:37" x14ac:dyDescent="0.2">
      <c r="A2722" t="str">
        <f>"20200111155550404"</f>
        <v>20200111155550404</v>
      </c>
      <c r="B2722" t="str">
        <f>"1578729350395068"</f>
        <v>1578729350395068</v>
      </c>
      <c r="C2722" t="s">
        <v>37</v>
      </c>
      <c r="D2722">
        <v>5.0217320000000001</v>
      </c>
      <c r="E2722">
        <v>0.52773700000000001</v>
      </c>
      <c r="F2722" t="s">
        <v>61</v>
      </c>
      <c r="G2722">
        <v>-405.8621</v>
      </c>
      <c r="H2722" s="1">
        <v>5.8011710000000003E-6</v>
      </c>
      <c r="I2722">
        <v>284.62360000000001</v>
      </c>
      <c r="J2722">
        <v>-380.53269999999998</v>
      </c>
      <c r="K2722">
        <v>1.1042989999999999</v>
      </c>
      <c r="L2722">
        <v>283.9545</v>
      </c>
      <c r="M2722">
        <v>-0.99985059999999903</v>
      </c>
      <c r="N2722">
        <v>0</v>
      </c>
      <c r="O2722">
        <v>-9.7698149999999994E-3</v>
      </c>
      <c r="P2722">
        <v>-0.99876699999999996</v>
      </c>
      <c r="Q2722">
        <v>2.5193980000000001E-2</v>
      </c>
      <c r="R2722">
        <v>-4.278187E-2</v>
      </c>
      <c r="S2722">
        <v>-3.0105900000000001</v>
      </c>
      <c r="T2722">
        <v>-0.1301437</v>
      </c>
      <c r="U2722">
        <v>7.86438E-2</v>
      </c>
      <c r="V2722">
        <v>-3.2965229999999998E-2</v>
      </c>
      <c r="W2722">
        <v>3.9495509999999998E-2</v>
      </c>
      <c r="X2722">
        <v>0.9986758</v>
      </c>
      <c r="Y2722">
        <v>3.5837149999999998E-2</v>
      </c>
      <c r="Z2722">
        <v>1.19622E-3</v>
      </c>
      <c r="AA2722">
        <v>0.99935689999999999</v>
      </c>
      <c r="AB2722">
        <v>32</v>
      </c>
      <c r="AC2722">
        <v>-25.3294</v>
      </c>
      <c r="AD2722">
        <v>-1.1042931988289999</v>
      </c>
      <c r="AE2722">
        <v>0.66910000000001402</v>
      </c>
      <c r="AF2722">
        <v>0.91481916829695098</v>
      </c>
      <c r="AG2722">
        <v>-1.1042931988289999</v>
      </c>
      <c r="AH2722">
        <v>25.273648515907801</v>
      </c>
      <c r="AI2722">
        <v>92.500224384180697</v>
      </c>
      <c r="AJ2722">
        <v>87.926994831630594</v>
      </c>
      <c r="AK2722">
        <v>25.314297677109501</v>
      </c>
    </row>
    <row r="2723" spans="1:37" x14ac:dyDescent="0.2">
      <c r="A2723" t="str">
        <f>"20200111155550422"</f>
        <v>20200111155550422</v>
      </c>
      <c r="B2723" t="str">
        <f>"1578729350414590"</f>
        <v>1578729350414590</v>
      </c>
      <c r="C2723" t="s">
        <v>37</v>
      </c>
      <c r="D2723">
        <v>5.016051</v>
      </c>
      <c r="E2723">
        <v>0.52777459999999998</v>
      </c>
      <c r="F2723" t="s">
        <v>61</v>
      </c>
      <c r="G2723">
        <v>-405.82490000000001</v>
      </c>
      <c r="H2723" s="1">
        <v>5.8166929999999997E-6</v>
      </c>
      <c r="I2723">
        <v>284.62830000000002</v>
      </c>
      <c r="J2723">
        <v>-380.78699999999998</v>
      </c>
      <c r="K2723">
        <v>1.104277</v>
      </c>
      <c r="L2723">
        <v>283.95260000000002</v>
      </c>
      <c r="M2723">
        <v>-0.99985559999999996</v>
      </c>
      <c r="N2723">
        <v>0</v>
      </c>
      <c r="O2723">
        <v>-9.2188369999999902E-3</v>
      </c>
      <c r="P2723">
        <v>-0.99878919999999904</v>
      </c>
      <c r="Q2723">
        <v>2.5170499999999998E-2</v>
      </c>
      <c r="R2723">
        <v>-4.2265490000000003E-2</v>
      </c>
      <c r="S2723">
        <v>-3.0104980000000001</v>
      </c>
      <c r="T2723">
        <v>-0.13144249999999999</v>
      </c>
      <c r="U2723">
        <v>8.0200199999999999E-2</v>
      </c>
      <c r="V2723">
        <v>-3.2997159999999998E-2</v>
      </c>
      <c r="W2723">
        <v>3.9474549999999997E-2</v>
      </c>
      <c r="X2723">
        <v>0.998675599999999</v>
      </c>
      <c r="Y2723">
        <v>3.5803229999999998E-2</v>
      </c>
      <c r="Z2723">
        <v>1.183393E-3</v>
      </c>
      <c r="AA2723">
        <v>0.99935819999999997</v>
      </c>
      <c r="AB2723">
        <v>32</v>
      </c>
      <c r="AC2723">
        <v>-25.0379</v>
      </c>
      <c r="AD2723">
        <v>-1.104271183307</v>
      </c>
      <c r="AE2723">
        <v>0.67570000000000596</v>
      </c>
      <c r="AF2723">
        <v>0.90475650613577097</v>
      </c>
      <c r="AG2723">
        <v>-1.104271183307</v>
      </c>
      <c r="AH2723">
        <v>24.982047257702501</v>
      </c>
      <c r="AI2723">
        <v>92.529318240022604</v>
      </c>
      <c r="AJ2723">
        <v>87.925867228997504</v>
      </c>
      <c r="AK2723">
        <v>25.022803287556702</v>
      </c>
    </row>
    <row r="2724" spans="1:37" x14ac:dyDescent="0.2">
      <c r="A2724" t="str">
        <f>"20200111155550437"</f>
        <v>20200111155550437</v>
      </c>
      <c r="B2724" t="str">
        <f>"1578729350425325"</f>
        <v>1578729350425325</v>
      </c>
      <c r="C2724" t="s">
        <v>37</v>
      </c>
      <c r="D2724">
        <v>5.2752410000000003</v>
      </c>
      <c r="E2724">
        <v>0.52816759999999996</v>
      </c>
      <c r="F2724" t="s">
        <v>61</v>
      </c>
      <c r="G2724">
        <v>-405.8716</v>
      </c>
      <c r="H2724" s="1">
        <v>5.7943120000000001E-6</v>
      </c>
      <c r="I2724">
        <v>284.63639999999998</v>
      </c>
      <c r="J2724">
        <v>-381.00709999999998</v>
      </c>
      <c r="K2724">
        <v>1.1042540000000001</v>
      </c>
      <c r="L2724">
        <v>283.9511</v>
      </c>
      <c r="M2724">
        <v>-0.99986019999999898</v>
      </c>
      <c r="N2724">
        <v>0</v>
      </c>
      <c r="O2724">
        <v>-8.7151680000000006E-3</v>
      </c>
      <c r="P2724">
        <v>-0.99877660000000001</v>
      </c>
      <c r="Q2724">
        <v>2.6969449999999999E-2</v>
      </c>
      <c r="R2724">
        <v>-4.1452070000000001E-2</v>
      </c>
      <c r="S2724">
        <v>-3.010437</v>
      </c>
      <c r="T2724">
        <v>-0.13252529999999901</v>
      </c>
      <c r="U2724">
        <v>8.2061770000000006E-2</v>
      </c>
      <c r="V2724">
        <v>-3.26824E-2</v>
      </c>
      <c r="W2724">
        <v>4.1274569999999997E-2</v>
      </c>
      <c r="X2724">
        <v>0.99861319999999998</v>
      </c>
      <c r="Y2724">
        <v>3.5917560000000001E-2</v>
      </c>
      <c r="Z2724">
        <v>1.1734999999999901E-3</v>
      </c>
      <c r="AA2724">
        <v>0.99935409999999902</v>
      </c>
      <c r="AB2724">
        <v>32</v>
      </c>
      <c r="AC2724">
        <v>-24.8645</v>
      </c>
      <c r="AD2724">
        <v>-1.1042482056880001</v>
      </c>
      <c r="AE2724">
        <v>0.68529999999998303</v>
      </c>
      <c r="AF2724">
        <v>0.90022016886171596</v>
      </c>
      <c r="AG2724">
        <v>-1.1042482056880001</v>
      </c>
      <c r="AH2724">
        <v>24.808689249640601</v>
      </c>
      <c r="AI2724">
        <v>92.546910006959394</v>
      </c>
      <c r="AJ2724">
        <v>87.921849253768798</v>
      </c>
      <c r="AK2724">
        <v>24.8495638339473</v>
      </c>
    </row>
    <row r="2725" spans="1:37" x14ac:dyDescent="0.2">
      <c r="A2725" t="str">
        <f>"20200111155550459"</f>
        <v>20200111155550459</v>
      </c>
      <c r="B2725" t="str">
        <f>"1578729350454604"</f>
        <v>1578729350454604</v>
      </c>
      <c r="C2725" t="s">
        <v>37</v>
      </c>
      <c r="D2725">
        <v>5.0346320000000002</v>
      </c>
      <c r="E2725">
        <v>0.52840830000000005</v>
      </c>
      <c r="F2725" t="s">
        <v>61</v>
      </c>
      <c r="G2725">
        <v>-407.44139999999999</v>
      </c>
      <c r="H2725" s="1">
        <v>5.0808209999999996E-6</v>
      </c>
      <c r="I2725">
        <v>284.72039999999998</v>
      </c>
      <c r="J2725">
        <v>-381.32619999999997</v>
      </c>
      <c r="K2725">
        <v>1.1042190000000001</v>
      </c>
      <c r="L2725">
        <v>283.94920000000002</v>
      </c>
      <c r="M2725">
        <v>-0.9998667</v>
      </c>
      <c r="N2725">
        <v>0</v>
      </c>
      <c r="O2725">
        <v>-7.9382680000000001E-3</v>
      </c>
      <c r="P2725">
        <v>-0.99880219999999897</v>
      </c>
      <c r="Q2725">
        <v>2.8238079999999999E-2</v>
      </c>
      <c r="R2725">
        <v>-3.9965670000000002E-2</v>
      </c>
      <c r="S2725">
        <v>-3.0107119999999998</v>
      </c>
      <c r="T2725">
        <v>-0.12576780000000001</v>
      </c>
      <c r="U2725">
        <v>8.7615970000000001E-2</v>
      </c>
      <c r="V2725">
        <v>-3.1965460000000001E-2</v>
      </c>
      <c r="W2725">
        <v>4.254517E-2</v>
      </c>
      <c r="X2725">
        <v>0.99858309999999995</v>
      </c>
      <c r="Y2725">
        <v>3.6984749999999997E-2</v>
      </c>
      <c r="Z2725">
        <v>1.103426E-3</v>
      </c>
      <c r="AA2725">
        <v>0.99931519999999996</v>
      </c>
      <c r="AB2725">
        <v>32</v>
      </c>
      <c r="AC2725">
        <v>-26.115200000000002</v>
      </c>
      <c r="AD2725">
        <v>-1.1042139191789999</v>
      </c>
      <c r="AE2725">
        <v>0.77119999999996403</v>
      </c>
      <c r="AF2725">
        <v>0.97676152004776495</v>
      </c>
      <c r="AG2725">
        <v>-1.1042139191789999</v>
      </c>
      <c r="AH2725">
        <v>26.061701766631899</v>
      </c>
      <c r="AI2725">
        <v>92.424426185415896</v>
      </c>
      <c r="AJ2725">
        <v>87.8536270723081</v>
      </c>
      <c r="AK2725">
        <v>26.103364733674098</v>
      </c>
    </row>
    <row r="2726" spans="1:37" x14ac:dyDescent="0.2">
      <c r="A2726" t="str">
        <f>"20200111155550481"</f>
        <v>20200111155550481</v>
      </c>
      <c r="B2726" t="str">
        <f>"1578729350475100"</f>
        <v>1578729350475100</v>
      </c>
      <c r="C2726" t="s">
        <v>37</v>
      </c>
      <c r="D2726">
        <v>5.050027</v>
      </c>
      <c r="E2726">
        <v>0.52813140000000003</v>
      </c>
      <c r="F2726" t="s">
        <v>61</v>
      </c>
      <c r="G2726">
        <v>-408.15859999999998</v>
      </c>
      <c r="H2726" s="1">
        <v>4.749291E-6</v>
      </c>
      <c r="I2726">
        <v>284.78550000000001</v>
      </c>
      <c r="J2726">
        <v>-381.64449999999999</v>
      </c>
      <c r="K2726">
        <v>1.1041639999999999</v>
      </c>
      <c r="L2726">
        <v>283.94749999999999</v>
      </c>
      <c r="M2726">
        <v>-0.99987309999999996</v>
      </c>
      <c r="N2726">
        <v>0</v>
      </c>
      <c r="O2726">
        <v>-7.0940409999999997E-3</v>
      </c>
      <c r="P2726">
        <v>-0.99886459999999999</v>
      </c>
      <c r="Q2726">
        <v>2.780258E-2</v>
      </c>
      <c r="R2726">
        <v>-3.8683330000000002E-2</v>
      </c>
      <c r="S2726">
        <v>-3.01086399999999</v>
      </c>
      <c r="T2726">
        <v>-0.1239039</v>
      </c>
      <c r="U2726">
        <v>9.3841549999999996E-2</v>
      </c>
      <c r="V2726">
        <v>-3.1522729999999999E-2</v>
      </c>
      <c r="W2726">
        <v>4.2113070000000002E-2</v>
      </c>
      <c r="X2726">
        <v>0.99861540000000004</v>
      </c>
      <c r="Y2726">
        <v>3.8204740000000001E-2</v>
      </c>
      <c r="Z2726">
        <v>1.0773600000000001E-3</v>
      </c>
      <c r="AA2726">
        <v>0.99926939999999997</v>
      </c>
      <c r="AB2726">
        <v>32</v>
      </c>
      <c r="AC2726">
        <v>-26.5140999999999</v>
      </c>
      <c r="AD2726">
        <v>-1.1041592507089999</v>
      </c>
      <c r="AE2726">
        <v>0.83800000000002195</v>
      </c>
      <c r="AF2726">
        <v>1.0243155208979999</v>
      </c>
      <c r="AG2726">
        <v>-1.1041592507089999</v>
      </c>
      <c r="AH2726">
        <v>26.461642187896899</v>
      </c>
      <c r="AI2726">
        <v>92.387596499657306</v>
      </c>
      <c r="AJ2726">
        <v>87.783218873793302</v>
      </c>
      <c r="AK2726">
        <v>26.5044693819281</v>
      </c>
    </row>
    <row r="2727" spans="1:37" x14ac:dyDescent="0.2">
      <c r="A2727" t="str">
        <f>"20200111155550494"</f>
        <v>20200111155550494</v>
      </c>
      <c r="B2727" t="str">
        <f>"1578729350484861"</f>
        <v>1578729350484861</v>
      </c>
      <c r="C2727" t="s">
        <v>37</v>
      </c>
      <c r="D2727">
        <v>5.0184189999999997</v>
      </c>
      <c r="E2727">
        <v>0.52810690000000005</v>
      </c>
      <c r="F2727" t="s">
        <v>61</v>
      </c>
      <c r="G2727">
        <v>-408.07260000000002</v>
      </c>
      <c r="H2727" s="1">
        <v>4.7877529999999999E-6</v>
      </c>
      <c r="I2727">
        <v>284.78390000000002</v>
      </c>
      <c r="J2727">
        <v>-381.839</v>
      </c>
      <c r="K2727">
        <v>1.1041289999999999</v>
      </c>
      <c r="L2727">
        <v>283.94670000000002</v>
      </c>
      <c r="M2727">
        <v>-0.99987689999999996</v>
      </c>
      <c r="N2727">
        <v>0</v>
      </c>
      <c r="O2727">
        <v>-6.5496629999999998E-3</v>
      </c>
      <c r="P2727">
        <v>-0.9989439</v>
      </c>
      <c r="Q2727">
        <v>2.599682E-2</v>
      </c>
      <c r="R2727">
        <v>-3.7886610000000001E-2</v>
      </c>
      <c r="S2727">
        <v>-3.0105900000000001</v>
      </c>
      <c r="T2727">
        <v>-0.12578149999999999</v>
      </c>
      <c r="U2727">
        <v>9.5275879999999993E-2</v>
      </c>
      <c r="V2727">
        <v>-3.1268869999999997E-2</v>
      </c>
      <c r="W2727">
        <v>4.0309299999999999E-2</v>
      </c>
      <c r="X2727">
        <v>0.99869789999999903</v>
      </c>
      <c r="Y2727">
        <v>3.8138499999999999E-2</v>
      </c>
      <c r="Z2727">
        <v>1.0696499999999999E-3</v>
      </c>
      <c r="AA2727">
        <v>0.99927189999999999</v>
      </c>
      <c r="AB2727">
        <v>32</v>
      </c>
      <c r="AC2727">
        <v>-26.233599999999999</v>
      </c>
      <c r="AD2727">
        <v>-1.1041242122470001</v>
      </c>
      <c r="AE2727">
        <v>0.83719999999999495</v>
      </c>
      <c r="AF2727">
        <v>1.0072383246577199</v>
      </c>
      <c r="AG2727">
        <v>-1.1041242122470001</v>
      </c>
      <c r="AH2727">
        <v>26.181222658958198</v>
      </c>
      <c r="AI2727">
        <v>92.413084872958294</v>
      </c>
      <c r="AJ2727">
        <v>87.796815719513802</v>
      </c>
      <c r="AK2727">
        <v>26.223844859910901</v>
      </c>
    </row>
    <row r="2728" spans="1:37" x14ac:dyDescent="0.2">
      <c r="A2728" t="str">
        <f>"20200111155550509"</f>
        <v>20200111155550509</v>
      </c>
      <c r="B2728" t="str">
        <f>"1578729350505358"</f>
        <v>1578729350505358</v>
      </c>
      <c r="C2728" t="s">
        <v>37</v>
      </c>
      <c r="D2728">
        <v>4.9705170000000001</v>
      </c>
      <c r="E2728">
        <v>0.52808279999999996</v>
      </c>
      <c r="F2728" t="s">
        <v>61</v>
      </c>
      <c r="G2728">
        <v>-407.12240000000003</v>
      </c>
      <c r="H2728" s="1">
        <v>5.2128079999999997E-6</v>
      </c>
      <c r="I2728">
        <v>284.76609999999999</v>
      </c>
      <c r="J2728">
        <v>-382.0326</v>
      </c>
      <c r="K2728">
        <v>1.1040969999999899</v>
      </c>
      <c r="L2728">
        <v>283.945999999999</v>
      </c>
      <c r="M2728">
        <v>-0.99988029999999894</v>
      </c>
      <c r="N2728">
        <v>0</v>
      </c>
      <c r="O2728">
        <v>-5.9831249999999997E-3</v>
      </c>
      <c r="P2728">
        <v>-0.99900149999999999</v>
      </c>
      <c r="Q2728">
        <v>2.498301E-2</v>
      </c>
      <c r="R2728">
        <v>-3.7044889999999997E-2</v>
      </c>
      <c r="S2728">
        <v>-3.0102540000000002</v>
      </c>
      <c r="T2728">
        <v>-0.1314575</v>
      </c>
      <c r="U2728">
        <v>9.7564699999999893E-2</v>
      </c>
      <c r="V2728">
        <v>-3.099201E-2</v>
      </c>
      <c r="W2728">
        <v>3.9297779999999997E-2</v>
      </c>
      <c r="X2728">
        <v>0.99874680000000005</v>
      </c>
      <c r="Y2728">
        <v>3.83316E-2</v>
      </c>
      <c r="Z2728">
        <v>1.0974719999999999E-3</v>
      </c>
      <c r="AA2728">
        <v>0.9992645</v>
      </c>
      <c r="AB2728">
        <v>32</v>
      </c>
      <c r="AC2728">
        <v>-25.0898</v>
      </c>
      <c r="AD2728">
        <v>-1.104091787192</v>
      </c>
      <c r="AE2728">
        <v>0.82010000000002403</v>
      </c>
      <c r="AF2728">
        <v>0.96834282291339102</v>
      </c>
      <c r="AG2728">
        <v>-1.104091787192</v>
      </c>
      <c r="AH2728">
        <v>25.036013240560401</v>
      </c>
      <c r="AI2728">
        <v>92.523231788222404</v>
      </c>
      <c r="AJ2728">
        <v>87.785018150466101</v>
      </c>
      <c r="AK2728">
        <v>25.079048336783998</v>
      </c>
    </row>
    <row r="2729" spans="1:37" x14ac:dyDescent="0.2">
      <c r="A2729" t="str">
        <f>"20200111155550525"</f>
        <v>20200111155550525</v>
      </c>
      <c r="B2729" t="str">
        <f>"1578729350515116"</f>
        <v>1578729350515116</v>
      </c>
      <c r="C2729" t="s">
        <v>37</v>
      </c>
      <c r="D2729">
        <v>5.0241980000000002</v>
      </c>
      <c r="E2729">
        <v>0.52802729999999998</v>
      </c>
      <c r="F2729" t="s">
        <v>61</v>
      </c>
      <c r="G2729">
        <v>-406.46019999999999</v>
      </c>
      <c r="H2729" s="1">
        <v>5.5085300000000003E-6</v>
      </c>
      <c r="I2729">
        <v>284.7561</v>
      </c>
      <c r="J2729">
        <v>-382.28289999999998</v>
      </c>
      <c r="K2729">
        <v>1.104058</v>
      </c>
      <c r="L2729">
        <v>283.94529999999997</v>
      </c>
      <c r="M2729">
        <v>-0.99988469999999996</v>
      </c>
      <c r="N2729">
        <v>0</v>
      </c>
      <c r="O2729">
        <v>-5.2188199999999999E-3</v>
      </c>
      <c r="P2729">
        <v>-0.99904319999999902</v>
      </c>
      <c r="Q2729">
        <v>2.5476059999999998E-2</v>
      </c>
      <c r="R2729">
        <v>-3.5550579999999998E-2</v>
      </c>
      <c r="S2729">
        <v>-3.0100709999999999</v>
      </c>
      <c r="T2729">
        <v>-0.13605029999999901</v>
      </c>
      <c r="U2729">
        <v>9.9822999999999995E-2</v>
      </c>
      <c r="V2729">
        <v>-3.0257530000000001E-2</v>
      </c>
      <c r="W2729">
        <v>3.9791390000000003E-2</v>
      </c>
      <c r="X2729">
        <v>0.99874979999999902</v>
      </c>
      <c r="Y2729">
        <v>3.8316419999999997E-2</v>
      </c>
      <c r="Z2729">
        <v>1.1009660000000001E-3</v>
      </c>
      <c r="AA2729">
        <v>0.99926510000000002</v>
      </c>
      <c r="AB2729">
        <v>32</v>
      </c>
      <c r="AC2729">
        <v>-24.177299999999999</v>
      </c>
      <c r="AD2729">
        <v>-1.1040524914700001</v>
      </c>
      <c r="AE2729">
        <v>0.81080000000002805</v>
      </c>
      <c r="AF2729">
        <v>0.93503115497200995</v>
      </c>
      <c r="AG2729">
        <v>-1.1040524914700001</v>
      </c>
      <c r="AH2729">
        <v>24.122493250694902</v>
      </c>
      <c r="AI2729">
        <v>92.618554564824606</v>
      </c>
      <c r="AJ2729">
        <v>87.780223976074197</v>
      </c>
      <c r="AK2729">
        <v>24.165841508098001</v>
      </c>
    </row>
    <row r="2730" spans="1:37" x14ac:dyDescent="0.2">
      <c r="A2730" t="str">
        <f>"20200111155550540"</f>
        <v>20200111155550540</v>
      </c>
      <c r="B2730" t="str">
        <f>"1578729350534637"</f>
        <v>1578729350534637</v>
      </c>
      <c r="C2730" t="s">
        <v>37</v>
      </c>
      <c r="D2730">
        <v>5.2787709999999999</v>
      </c>
      <c r="E2730">
        <v>0.52835290000000001</v>
      </c>
      <c r="F2730" t="s">
        <v>61</v>
      </c>
      <c r="G2730">
        <v>-406.91079999999999</v>
      </c>
      <c r="H2730" s="1">
        <v>5.3009969999999999E-6</v>
      </c>
      <c r="I2730">
        <v>284.79349999999999</v>
      </c>
      <c r="J2730">
        <v>-382.48509999999999</v>
      </c>
      <c r="K2730">
        <v>1.1040299999999901</v>
      </c>
      <c r="L2730">
        <v>283.94479999999999</v>
      </c>
      <c r="M2730">
        <v>-0.99988779999999999</v>
      </c>
      <c r="N2730">
        <v>0</v>
      </c>
      <c r="O2730">
        <v>-4.57585299999999E-3</v>
      </c>
      <c r="P2730">
        <v>-0.99905979999999905</v>
      </c>
      <c r="Q2730">
        <v>2.626154E-2</v>
      </c>
      <c r="R2730">
        <v>-3.4500509999999998E-2</v>
      </c>
      <c r="S2730">
        <v>-3.0100099999999999</v>
      </c>
      <c r="T2730">
        <v>-0.13493669999999999</v>
      </c>
      <c r="U2730">
        <v>0.1036682</v>
      </c>
      <c r="V2730">
        <v>-2.984463E-2</v>
      </c>
      <c r="W2730">
        <v>4.0577540000000002E-2</v>
      </c>
      <c r="X2730">
        <v>0.99873060000000002</v>
      </c>
      <c r="Y2730">
        <v>3.895034E-2</v>
      </c>
      <c r="Z2730">
        <v>1.0773549999999999E-3</v>
      </c>
      <c r="AA2730">
        <v>0.99924059999999904</v>
      </c>
      <c r="AB2730">
        <v>32</v>
      </c>
      <c r="AC2730">
        <v>-24.425699999999999</v>
      </c>
      <c r="AD2730">
        <v>-1.1040246990029901</v>
      </c>
      <c r="AE2730">
        <v>0.848700000000007</v>
      </c>
      <c r="AF2730">
        <v>0.95851503371640501</v>
      </c>
      <c r="AG2730">
        <v>-1.1040246990029901</v>
      </c>
      <c r="AH2730">
        <v>24.3718292533853</v>
      </c>
      <c r="AI2730">
        <v>92.5916797923974</v>
      </c>
      <c r="AJ2730">
        <v>87.747785922763796</v>
      </c>
      <c r="AK2730">
        <v>24.415644221728801</v>
      </c>
    </row>
    <row r="2731" spans="1:37" x14ac:dyDescent="0.2">
      <c r="A2731" t="str">
        <f>"20200111155550555"</f>
        <v>20200111155550555</v>
      </c>
      <c r="B2731" t="str">
        <f>"1578729350545373"</f>
        <v>1578729350545373</v>
      </c>
      <c r="C2731" t="s">
        <v>37</v>
      </c>
      <c r="D2731">
        <v>5.0259099999999997</v>
      </c>
      <c r="E2731">
        <v>0.52835290000000001</v>
      </c>
      <c r="F2731" t="s">
        <v>61</v>
      </c>
      <c r="G2731">
        <v>-408.02760000000001</v>
      </c>
      <c r="H2731" s="1">
        <v>4.7892779999999999E-6</v>
      </c>
      <c r="I2731">
        <v>284.8732</v>
      </c>
      <c r="J2731">
        <v>-382.69779999999997</v>
      </c>
      <c r="K2731">
        <v>1.1040000000000001</v>
      </c>
      <c r="L2731">
        <v>283.94459999999998</v>
      </c>
      <c r="M2731">
        <v>-0.99989069999999902</v>
      </c>
      <c r="N2731">
        <v>0</v>
      </c>
      <c r="O2731">
        <v>-3.866478E-3</v>
      </c>
      <c r="P2731">
        <v>-0.99908490000000005</v>
      </c>
      <c r="Q2731">
        <v>2.7019439999999999E-2</v>
      </c>
      <c r="R2731">
        <v>-3.3153589999999997E-2</v>
      </c>
      <c r="S2731">
        <v>-3.009979</v>
      </c>
      <c r="T2731">
        <v>-0.13010060000000001</v>
      </c>
      <c r="U2731">
        <v>0.1094055</v>
      </c>
      <c r="V2731">
        <v>-2.9201749999999999E-2</v>
      </c>
      <c r="W2731">
        <v>4.1336030000000003E-2</v>
      </c>
      <c r="X2731">
        <v>0.99871849999999995</v>
      </c>
      <c r="Y2731">
        <v>4.0146620000000001E-2</v>
      </c>
      <c r="Z2731">
        <v>1.033948E-3</v>
      </c>
      <c r="AA2731">
        <v>0.99919329999999995</v>
      </c>
      <c r="AB2731">
        <v>32</v>
      </c>
      <c r="AC2731">
        <v>-25.329799999999999</v>
      </c>
      <c r="AD2731">
        <v>-1.1039952107219999</v>
      </c>
      <c r="AE2731">
        <v>0.92860000000001697</v>
      </c>
      <c r="AF2731">
        <v>1.02459639536353</v>
      </c>
      <c r="AG2731">
        <v>-1.1039952107219999</v>
      </c>
      <c r="AH2731">
        <v>25.278065124069901</v>
      </c>
      <c r="AI2731">
        <v>92.498699798908206</v>
      </c>
      <c r="AJ2731">
        <v>87.678899426230302</v>
      </c>
      <c r="AK2731">
        <v>25.322898325732901</v>
      </c>
    </row>
    <row r="2732" spans="1:37" x14ac:dyDescent="0.2">
      <c r="A2732" t="str">
        <f>"20200111155550571"</f>
        <v>20200111155550571</v>
      </c>
      <c r="B2732" t="str">
        <f>"1578729350565146"</f>
        <v>1578729350565146</v>
      </c>
      <c r="C2732" t="s">
        <v>37</v>
      </c>
      <c r="D2732">
        <v>4.9862469999999997</v>
      </c>
      <c r="E2732">
        <v>0.52821200000000001</v>
      </c>
      <c r="F2732" t="s">
        <v>61</v>
      </c>
      <c r="G2732">
        <v>-408.68079999999998</v>
      </c>
      <c r="H2732" s="1">
        <v>4.4889380000000001E-6</v>
      </c>
      <c r="I2732">
        <v>284.9248</v>
      </c>
      <c r="J2732">
        <v>-382.93689999999998</v>
      </c>
      <c r="K2732">
        <v>1.1039729999999901</v>
      </c>
      <c r="L2732">
        <v>283.94450000000001</v>
      </c>
      <c r="M2732">
        <v>-0.99989349999999999</v>
      </c>
      <c r="N2732">
        <v>0</v>
      </c>
      <c r="O2732">
        <v>-3.0451479999999902E-3</v>
      </c>
      <c r="P2732">
        <v>-0.99911970000000005</v>
      </c>
      <c r="Q2732">
        <v>2.7718920000000001E-2</v>
      </c>
      <c r="R2732">
        <v>-3.148608E-2</v>
      </c>
      <c r="S2732">
        <v>-3.009979</v>
      </c>
      <c r="T2732">
        <v>-0.1278917</v>
      </c>
      <c r="U2732">
        <v>0.1135559</v>
      </c>
      <c r="V2732">
        <v>-2.8350380000000001E-2</v>
      </c>
      <c r="W2732">
        <v>4.2035419999999997E-2</v>
      </c>
      <c r="X2732">
        <v>0.99871379999999998</v>
      </c>
      <c r="Y2732">
        <v>4.0703360000000001E-2</v>
      </c>
      <c r="Z2732">
        <v>9.9332720000000008E-4</v>
      </c>
      <c r="AA2732">
        <v>0.99917080000000003</v>
      </c>
      <c r="AB2732">
        <v>32</v>
      </c>
      <c r="AC2732">
        <v>-25.7439</v>
      </c>
      <c r="AD2732">
        <v>-1.1039685110619999</v>
      </c>
      <c r="AE2732">
        <v>0.98029999999999895</v>
      </c>
      <c r="AF2732">
        <v>1.05675693973561</v>
      </c>
      <c r="AG2732">
        <v>-1.1039685110619999</v>
      </c>
      <c r="AH2732">
        <v>25.693614859508799</v>
      </c>
      <c r="AI2732">
        <v>92.458218596956996</v>
      </c>
      <c r="AJ2732">
        <v>87.644799824571507</v>
      </c>
      <c r="AK2732">
        <v>25.739023412939801</v>
      </c>
    </row>
    <row r="2733" spans="1:37" x14ac:dyDescent="0.2">
      <c r="A2733" t="str">
        <f>"20200111155550586"</f>
        <v>20200111155550586</v>
      </c>
      <c r="B2733" t="str">
        <f>"1578729350574908"</f>
        <v>1578729350574908</v>
      </c>
      <c r="C2733" t="s">
        <v>37</v>
      </c>
      <c r="D2733">
        <v>4.9762690000000003</v>
      </c>
      <c r="E2733">
        <v>0.54788159999999997</v>
      </c>
      <c r="F2733" t="s">
        <v>61</v>
      </c>
      <c r="G2733">
        <v>-410.35329999999999</v>
      </c>
      <c r="H2733" s="1">
        <v>2.233458E-6</v>
      </c>
      <c r="I2733">
        <v>285.01620000000003</v>
      </c>
      <c r="J2733">
        <v>-383.14620000000002</v>
      </c>
      <c r="K2733">
        <v>1.103947</v>
      </c>
      <c r="L2733">
        <v>283.94459999999998</v>
      </c>
      <c r="M2733">
        <v>-0.9998956</v>
      </c>
      <c r="N2733">
        <v>0</v>
      </c>
      <c r="O2733">
        <v>-2.3089249999999999E-3</v>
      </c>
      <c r="P2733">
        <v>-0.99915469999999895</v>
      </c>
      <c r="Q2733">
        <v>2.8046100000000001E-2</v>
      </c>
      <c r="R2733">
        <v>-3.0057899999999999E-2</v>
      </c>
      <c r="S2733">
        <v>-3.009674</v>
      </c>
      <c r="T2733">
        <v>-0.12119000000000001</v>
      </c>
      <c r="U2733">
        <v>0.11764529999999999</v>
      </c>
      <c r="V2733">
        <v>-2.7654229999999998E-2</v>
      </c>
      <c r="W2733">
        <v>4.2361749999999997E-2</v>
      </c>
      <c r="X2733">
        <v>0.99871949999999998</v>
      </c>
      <c r="Y2733">
        <v>4.1331199999999998E-2</v>
      </c>
      <c r="Z2733">
        <v>9.2439379999999997E-4</v>
      </c>
      <c r="AA2733">
        <v>0.99914509999999901</v>
      </c>
      <c r="AB2733">
        <v>32</v>
      </c>
      <c r="AC2733">
        <v>-27.207099999999901</v>
      </c>
      <c r="AD2733">
        <v>-1.1039447665419999</v>
      </c>
      <c r="AE2733">
        <v>1.0716000000000401</v>
      </c>
      <c r="AF2733">
        <v>1.1325609498758999</v>
      </c>
      <c r="AG2733">
        <v>-1.1039447665419999</v>
      </c>
      <c r="AH2733">
        <v>27.159906689874902</v>
      </c>
      <c r="AI2733">
        <v>92.3255509562279</v>
      </c>
      <c r="AJ2733">
        <v>87.612164499323598</v>
      </c>
      <c r="AK2733">
        <v>27.2059169989815</v>
      </c>
    </row>
    <row r="2734" spans="1:37" x14ac:dyDescent="0.2">
      <c r="A2734" t="str">
        <f>"20200111155550600"</f>
        <v>20200111155550600</v>
      </c>
      <c r="B2734" t="str">
        <f>"1578729350595402"</f>
        <v>1578729350595402</v>
      </c>
      <c r="C2734" t="s">
        <v>37</v>
      </c>
      <c r="D2734">
        <v>5.0170159999999999</v>
      </c>
      <c r="E2734">
        <v>0.55139819999999995</v>
      </c>
      <c r="F2734" t="s">
        <v>61</v>
      </c>
      <c r="G2734">
        <v>-407.92860000000002</v>
      </c>
      <c r="H2734" s="1">
        <v>4.5525699999999998E-6</v>
      </c>
      <c r="I2734">
        <v>286.23099999999999</v>
      </c>
      <c r="J2734">
        <v>-383.35140000000001</v>
      </c>
      <c r="K2734">
        <v>1.1039299999999901</v>
      </c>
      <c r="L2734">
        <v>283.94479999999999</v>
      </c>
      <c r="M2734">
        <v>-0.99989719999999904</v>
      </c>
      <c r="N2734">
        <v>0</v>
      </c>
      <c r="O2734">
        <v>-1.5751459999999999E-3</v>
      </c>
      <c r="P2734">
        <v>-0.999185399999999</v>
      </c>
      <c r="Q2734">
        <v>2.8270400000000001E-2</v>
      </c>
      <c r="R2734">
        <v>-2.8803530000000001E-2</v>
      </c>
      <c r="S2734">
        <v>-3.0146790000000001</v>
      </c>
      <c r="T2734">
        <v>-0.13428970000000001</v>
      </c>
      <c r="U2734">
        <v>0.27813719999999997</v>
      </c>
      <c r="V2734">
        <v>-2.713059E-2</v>
      </c>
      <c r="W2734">
        <v>4.2585669999999999E-2</v>
      </c>
      <c r="X2734">
        <v>0.99872439999999996</v>
      </c>
      <c r="Y2734">
        <v>9.3345999999999998E-2</v>
      </c>
      <c r="Z2734">
        <v>2.1436250000000001E-3</v>
      </c>
      <c r="AA2734">
        <v>0.99563140000000006</v>
      </c>
      <c r="AB2734">
        <v>32</v>
      </c>
      <c r="AC2734">
        <v>-24.577200000000001</v>
      </c>
      <c r="AD2734">
        <v>-1.10392544742999</v>
      </c>
      <c r="AE2734">
        <v>2.2862</v>
      </c>
      <c r="AF2734">
        <v>2.3202727693371998</v>
      </c>
      <c r="AG2734">
        <v>-1.10392544742999</v>
      </c>
      <c r="AH2734">
        <v>24.524514163310499</v>
      </c>
      <c r="AI2734">
        <v>92.565880560653099</v>
      </c>
      <c r="AJ2734">
        <v>84.595314158624802</v>
      </c>
      <c r="AK2734">
        <v>24.6587532544537</v>
      </c>
    </row>
    <row r="2735" spans="1:37" x14ac:dyDescent="0.2">
      <c r="A2735" t="str">
        <f>"20200111155550614"</f>
        <v>20200111155550614</v>
      </c>
      <c r="B2735" t="str">
        <f>"1578729350605162"</f>
        <v>1578729350605162</v>
      </c>
      <c r="C2735" t="s">
        <v>37</v>
      </c>
      <c r="D2735">
        <v>5.0895039999999998</v>
      </c>
      <c r="E2735">
        <v>0.55290899999999998</v>
      </c>
      <c r="F2735" t="s">
        <v>61</v>
      </c>
      <c r="G2735">
        <v>-411.25790000000001</v>
      </c>
      <c r="H2735" s="1">
        <v>2.235958E-6</v>
      </c>
      <c r="I2735">
        <v>286.82310000000001</v>
      </c>
      <c r="J2735">
        <v>-383.55419999999998</v>
      </c>
      <c r="K2735">
        <v>1.1039129999999999</v>
      </c>
      <c r="L2735">
        <v>283.94529999999997</v>
      </c>
      <c r="M2735">
        <v>-0.99989810000000001</v>
      </c>
      <c r="N2735">
        <v>0</v>
      </c>
      <c r="O2735">
        <v>-8.3858070000000003E-4</v>
      </c>
      <c r="P2735">
        <v>-0.99920909999999996</v>
      </c>
      <c r="Q2735">
        <v>2.892026E-2</v>
      </c>
      <c r="R2735">
        <v>-2.73038E-2</v>
      </c>
      <c r="S2735">
        <v>-3.0147400000000002</v>
      </c>
      <c r="T2735">
        <v>-0.1192575</v>
      </c>
      <c r="U2735">
        <v>0.31094359999999999</v>
      </c>
      <c r="V2735">
        <v>-2.6363129999999999E-2</v>
      </c>
      <c r="W2735">
        <v>4.3233099999999997E-2</v>
      </c>
      <c r="X2735">
        <v>0.99871710000000002</v>
      </c>
      <c r="Y2735">
        <v>0.1033504</v>
      </c>
      <c r="Z2735">
        <v>2.0710519999999999E-3</v>
      </c>
      <c r="AA2735">
        <v>0.9946429</v>
      </c>
      <c r="AB2735">
        <v>32</v>
      </c>
      <c r="AC2735">
        <v>-27.703700000000001</v>
      </c>
      <c r="AD2735">
        <v>-1.1039107640419901</v>
      </c>
      <c r="AE2735">
        <v>2.8778000000000299</v>
      </c>
      <c r="AF2735">
        <v>2.8964832317259201</v>
      </c>
      <c r="AG2735">
        <v>-1.1039107640419901</v>
      </c>
      <c r="AH2735">
        <v>27.657830793832499</v>
      </c>
      <c r="AI2735">
        <v>92.273222450823297</v>
      </c>
      <c r="AJ2735">
        <v>84.021457381748107</v>
      </c>
      <c r="AK2735">
        <v>27.830987016397899</v>
      </c>
    </row>
    <row r="2736" spans="1:37" x14ac:dyDescent="0.2">
      <c r="A2736" t="str">
        <f>"20200111155550628"</f>
        <v>20200111155550628</v>
      </c>
      <c r="B2736" t="str">
        <f>"1578729350624683"</f>
        <v>1578729350624683</v>
      </c>
      <c r="C2736" t="s">
        <v>37</v>
      </c>
      <c r="D2736">
        <v>4.9288919999999896</v>
      </c>
      <c r="E2736">
        <v>0.55298069999999999</v>
      </c>
      <c r="F2736" t="s">
        <v>61</v>
      </c>
      <c r="G2736">
        <v>-412.63170000000002</v>
      </c>
      <c r="H2736" s="1">
        <v>2.4549739999999999E-6</v>
      </c>
      <c r="I2736">
        <v>287.10539999999997</v>
      </c>
      <c r="J2736">
        <v>-383.7439</v>
      </c>
      <c r="K2736">
        <v>1.1039049999999999</v>
      </c>
      <c r="L2736">
        <v>283.94580000000002</v>
      </c>
      <c r="M2736">
        <v>-0.99989830000000002</v>
      </c>
      <c r="N2736">
        <v>0</v>
      </c>
      <c r="O2736">
        <v>-1.4309469999999999E-4</v>
      </c>
      <c r="P2736">
        <v>-0.99922160000000004</v>
      </c>
      <c r="Q2736">
        <v>3.0010909999999998E-2</v>
      </c>
      <c r="R2736">
        <v>-2.5603750000000002E-2</v>
      </c>
      <c r="S2736">
        <v>-3.0146790000000001</v>
      </c>
      <c r="T2736">
        <v>-0.1144505</v>
      </c>
      <c r="U2736">
        <v>0.3276367</v>
      </c>
      <c r="V2736">
        <v>-2.5355160000000002E-2</v>
      </c>
      <c r="W2736">
        <v>4.432067E-2</v>
      </c>
      <c r="X2736">
        <v>0.99869560000000002</v>
      </c>
      <c r="Y2736">
        <v>0.1081095</v>
      </c>
      <c r="Z2736">
        <v>2.050816E-3</v>
      </c>
      <c r="AA2736">
        <v>0.99413689999999999</v>
      </c>
      <c r="AB2736">
        <v>32</v>
      </c>
      <c r="AC2736">
        <v>-28.887799999999999</v>
      </c>
      <c r="AD2736">
        <v>-1.1039025450259901</v>
      </c>
      <c r="AE2736">
        <v>3.15959999999995</v>
      </c>
      <c r="AF2736">
        <v>3.1591753720078599</v>
      </c>
      <c r="AG2736">
        <v>-1.1039025450259901</v>
      </c>
      <c r="AH2736">
        <v>28.8457230022453</v>
      </c>
      <c r="AI2736">
        <v>92.178579832873197</v>
      </c>
      <c r="AJ2736">
        <v>83.749892221189299</v>
      </c>
      <c r="AK2736">
        <v>29.039192918920399</v>
      </c>
    </row>
    <row r="2737" spans="1:37" x14ac:dyDescent="0.2">
      <c r="A2737" t="str">
        <f>"20200111155550649"</f>
        <v>20200111155550649</v>
      </c>
      <c r="B2737" t="str">
        <f>"1578729350645178"</f>
        <v>1578729350645178</v>
      </c>
      <c r="C2737" t="s">
        <v>37</v>
      </c>
      <c r="D2737">
        <v>5.0063449999999996</v>
      </c>
      <c r="E2737">
        <v>0.55221679999999995</v>
      </c>
      <c r="F2737" t="s">
        <v>61</v>
      </c>
      <c r="G2737">
        <v>-414.46559999999999</v>
      </c>
      <c r="H2737" s="1">
        <v>2.7593849999999898E-6</v>
      </c>
      <c r="I2737">
        <v>287.34440000000001</v>
      </c>
      <c r="J2737">
        <v>-384.04230000000001</v>
      </c>
      <c r="K2737">
        <v>1.1038969999999999</v>
      </c>
      <c r="L2737">
        <v>283.94690000000003</v>
      </c>
      <c r="M2737">
        <v>-0.99989789999999901</v>
      </c>
      <c r="N2737">
        <v>0</v>
      </c>
      <c r="O2737">
        <v>9.5869999999999896E-4</v>
      </c>
      <c r="P2737">
        <v>-0.99926280000000001</v>
      </c>
      <c r="Q2737">
        <v>2.9989310000000002E-2</v>
      </c>
      <c r="R2737">
        <v>-2.397579E-2</v>
      </c>
      <c r="S2737">
        <v>-3.0140989999999999</v>
      </c>
      <c r="T2737">
        <v>-0.10830339999999999</v>
      </c>
      <c r="U2737">
        <v>0.33343509999999998</v>
      </c>
      <c r="V2737">
        <v>-2.48261E-2</v>
      </c>
      <c r="W2737">
        <v>4.4299709999999999E-2</v>
      </c>
      <c r="X2737">
        <v>0.99870969999999903</v>
      </c>
      <c r="Y2737">
        <v>0.1089325</v>
      </c>
      <c r="Z2737">
        <v>1.916184E-3</v>
      </c>
      <c r="AA2737">
        <v>0.99404729999999997</v>
      </c>
      <c r="AB2737">
        <v>32</v>
      </c>
      <c r="AC2737">
        <v>-30.423299999999902</v>
      </c>
      <c r="AD2737">
        <v>-1.1038942406150001</v>
      </c>
      <c r="AE2737">
        <v>3.3974999999999702</v>
      </c>
      <c r="AF2737">
        <v>3.3639543440402799</v>
      </c>
      <c r="AG2737">
        <v>-1.1038942406150001</v>
      </c>
      <c r="AH2737">
        <v>30.387029812702401</v>
      </c>
      <c r="AI2737">
        <v>92.067893613204603</v>
      </c>
      <c r="AJ2737">
        <v>83.682871813500199</v>
      </c>
      <c r="AK2737">
        <v>30.592586555590799</v>
      </c>
    </row>
    <row r="2738" spans="1:37" x14ac:dyDescent="0.2">
      <c r="A2738" t="str">
        <f>"20200111155550671"</f>
        <v>20200111155550671</v>
      </c>
      <c r="B2738" t="str">
        <f>"1578729350664698"</f>
        <v>1578729350664698</v>
      </c>
      <c r="C2738" t="s">
        <v>37</v>
      </c>
      <c r="D2738">
        <v>4.9986430000000004</v>
      </c>
      <c r="E2738">
        <v>0.55164650000000004</v>
      </c>
      <c r="F2738" t="s">
        <v>61</v>
      </c>
      <c r="G2738">
        <v>-416.12430000000001</v>
      </c>
      <c r="H2738" s="1">
        <v>3.0411870000000001E-6</v>
      </c>
      <c r="I2738">
        <v>287.48649999999998</v>
      </c>
      <c r="J2738">
        <v>-384.36270000000002</v>
      </c>
      <c r="K2738">
        <v>1.1038950000000001</v>
      </c>
      <c r="L2738">
        <v>283.94850000000002</v>
      </c>
      <c r="M2738">
        <v>-0.99989589999999995</v>
      </c>
      <c r="N2738">
        <v>0</v>
      </c>
      <c r="O2738">
        <v>2.1466300000000001E-3</v>
      </c>
      <c r="P2738">
        <v>-0.99930459999999999</v>
      </c>
      <c r="Q2738">
        <v>2.9431470000000001E-2</v>
      </c>
      <c r="R2738">
        <v>-2.289484E-2</v>
      </c>
      <c r="S2738">
        <v>-3.013306</v>
      </c>
      <c r="T2738">
        <v>-0.103683199999999</v>
      </c>
      <c r="U2738">
        <v>0.33245849999999999</v>
      </c>
      <c r="V2738">
        <v>-2.4933380000000002E-2</v>
      </c>
      <c r="W2738">
        <v>4.3748549999999997E-2</v>
      </c>
      <c r="X2738">
        <v>0.99873140000000005</v>
      </c>
      <c r="Y2738">
        <v>0.107469</v>
      </c>
      <c r="Z2738">
        <v>1.769166E-3</v>
      </c>
      <c r="AA2738">
        <v>0.99420679999999995</v>
      </c>
      <c r="AB2738">
        <v>32</v>
      </c>
      <c r="AC2738">
        <v>-31.761599999999898</v>
      </c>
      <c r="AD2738">
        <v>-1.1038919588130001</v>
      </c>
      <c r="AE2738">
        <v>3.5379999999999501</v>
      </c>
      <c r="AF2738">
        <v>3.4656694608220699</v>
      </c>
      <c r="AG2738">
        <v>-1.1038919588130001</v>
      </c>
      <c r="AH2738">
        <v>31.731262403500999</v>
      </c>
      <c r="AI2738">
        <v>91.980677685991594</v>
      </c>
      <c r="AJ2738">
        <v>83.766895597456795</v>
      </c>
      <c r="AK2738">
        <v>31.939042815780301</v>
      </c>
    </row>
    <row r="2739" spans="1:37" x14ac:dyDescent="0.2">
      <c r="A2739" t="str">
        <f>"20200111155550686"</f>
        <v>20200111155550686</v>
      </c>
      <c r="B2739" t="str">
        <f>"1578729350675434"</f>
        <v>1578729350675434</v>
      </c>
      <c r="C2739" t="s">
        <v>37</v>
      </c>
      <c r="D2739">
        <v>5.0335179999999999</v>
      </c>
      <c r="E2739">
        <v>0.5513884</v>
      </c>
      <c r="F2739" t="s">
        <v>61</v>
      </c>
      <c r="G2739">
        <v>-415.76</v>
      </c>
      <c r="H2739" s="1">
        <v>2.9840079999999999E-6</v>
      </c>
      <c r="I2739">
        <v>287.40140000000002</v>
      </c>
      <c r="J2739">
        <v>-384.56180000000001</v>
      </c>
      <c r="K2739">
        <v>1.1038939999999999</v>
      </c>
      <c r="L2739">
        <v>283.94959999999998</v>
      </c>
      <c r="M2739">
        <v>-0.9998939</v>
      </c>
      <c r="N2739">
        <v>0</v>
      </c>
      <c r="O2739">
        <v>2.885571E-3</v>
      </c>
      <c r="P2739">
        <v>-0.99932960000000004</v>
      </c>
      <c r="Q2739">
        <v>2.9022039999999999E-2</v>
      </c>
      <c r="R2739">
        <v>-2.2323780000000001E-2</v>
      </c>
      <c r="S2739">
        <v>-3.012756</v>
      </c>
      <c r="T2739">
        <v>-0.10592500000000001</v>
      </c>
      <c r="U2739">
        <v>0.33132929999999999</v>
      </c>
      <c r="V2739">
        <v>-2.5101459999999999E-2</v>
      </c>
      <c r="W2739">
        <v>4.3345999999999898E-2</v>
      </c>
      <c r="X2739">
        <v>0.99874470000000004</v>
      </c>
      <c r="Y2739">
        <v>0.106384199999999</v>
      </c>
      <c r="Z2739">
        <v>1.7628559999999999E-3</v>
      </c>
      <c r="AA2739">
        <v>0.99432359999999897</v>
      </c>
      <c r="AB2739">
        <v>32</v>
      </c>
      <c r="AC2739">
        <v>-31.1981999999999</v>
      </c>
      <c r="AD2739">
        <v>-1.1038910159919999</v>
      </c>
      <c r="AE2739">
        <v>3.4518000000000399</v>
      </c>
      <c r="AF2739">
        <v>3.3575990557997901</v>
      </c>
      <c r="AG2739">
        <v>-1.1038910159919999</v>
      </c>
      <c r="AH2739">
        <v>31.1694802389876</v>
      </c>
      <c r="AI2739">
        <v>92.016669168015895</v>
      </c>
      <c r="AJ2739">
        <v>83.851764735462297</v>
      </c>
      <c r="AK2739">
        <v>31.369229272701801</v>
      </c>
    </row>
    <row r="2740" spans="1:37" x14ac:dyDescent="0.2">
      <c r="A2740" t="str">
        <f>"20200111155550699"</f>
        <v>20200111155550699</v>
      </c>
      <c r="B2740" t="str">
        <f>"1578729350694954"</f>
        <v>1578729350694954</v>
      </c>
      <c r="C2740" t="s">
        <v>37</v>
      </c>
      <c r="D2740">
        <v>4.9772259999999999</v>
      </c>
      <c r="E2740">
        <v>0.55116869999999996</v>
      </c>
      <c r="F2740" t="s">
        <v>61</v>
      </c>
      <c r="G2740">
        <v>-415.72739999999999</v>
      </c>
      <c r="H2740" s="1">
        <v>2.98057799999999E-6</v>
      </c>
      <c r="I2740">
        <v>287.37450000000001</v>
      </c>
      <c r="J2740">
        <v>-384.76010000000002</v>
      </c>
      <c r="K2740">
        <v>1.103891</v>
      </c>
      <c r="L2740">
        <v>283.95089999999999</v>
      </c>
      <c r="M2740">
        <v>-0.99989159999999899</v>
      </c>
      <c r="N2740">
        <v>0</v>
      </c>
      <c r="O2740">
        <v>3.620861E-3</v>
      </c>
      <c r="P2740">
        <v>-0.9993573</v>
      </c>
      <c r="Q2740">
        <v>2.856117E-2</v>
      </c>
      <c r="R2740">
        <v>-2.167084E-2</v>
      </c>
      <c r="S2740">
        <v>-3.012543</v>
      </c>
      <c r="T2740">
        <v>-0.1067048</v>
      </c>
      <c r="U2740">
        <v>0.33105469999999998</v>
      </c>
      <c r="V2740">
        <v>-2.518434E-2</v>
      </c>
      <c r="W2740">
        <v>4.2892479999999997E-2</v>
      </c>
      <c r="X2740">
        <v>0.99876219999999905</v>
      </c>
      <c r="Y2740">
        <v>0.1055711</v>
      </c>
      <c r="Z2740">
        <v>1.7356489999999999E-3</v>
      </c>
      <c r="AA2740">
        <v>0.99441019999999902</v>
      </c>
      <c r="AB2740">
        <v>32</v>
      </c>
      <c r="AC2740">
        <v>-30.967299999999899</v>
      </c>
      <c r="AD2740">
        <v>-1.103888019422</v>
      </c>
      <c r="AE2740">
        <v>3.42360000000002</v>
      </c>
      <c r="AF2740">
        <v>3.3072860170729199</v>
      </c>
      <c r="AG2740">
        <v>-1.103888019422</v>
      </c>
      <c r="AH2740">
        <v>30.9406530228569</v>
      </c>
      <c r="AI2740">
        <v>92.031744467100594</v>
      </c>
      <c r="AJ2740">
        <v>83.898747508382598</v>
      </c>
      <c r="AK2740">
        <v>31.136485335358099</v>
      </c>
    </row>
    <row r="2741" spans="1:37" x14ac:dyDescent="0.2">
      <c r="A2741" t="str">
        <f>"20200111155550713"</f>
        <v>20200111155550713</v>
      </c>
      <c r="B2741" t="str">
        <f>"1578729350704715"</f>
        <v>1578729350704715</v>
      </c>
      <c r="C2741" t="s">
        <v>37</v>
      </c>
      <c r="D2741">
        <v>4.9580699999999904</v>
      </c>
      <c r="E2741">
        <v>0.55108250000000003</v>
      </c>
      <c r="F2741" t="s">
        <v>61</v>
      </c>
      <c r="G2741">
        <v>-414.95850000000002</v>
      </c>
      <c r="H2741" s="1">
        <v>2.85323599999999E-6</v>
      </c>
      <c r="I2741">
        <v>287.27099999999899</v>
      </c>
      <c r="J2741">
        <v>-384.9579</v>
      </c>
      <c r="K2741">
        <v>1.10389</v>
      </c>
      <c r="L2741">
        <v>283.95240000000001</v>
      </c>
      <c r="M2741">
        <v>-0.99988860000000002</v>
      </c>
      <c r="N2741">
        <v>0</v>
      </c>
      <c r="O2741">
        <v>4.3520360000000001E-3</v>
      </c>
      <c r="P2741">
        <v>-0.99937520000000002</v>
      </c>
      <c r="Q2741">
        <v>2.8155030000000001E-2</v>
      </c>
      <c r="R2741">
        <v>-2.1375959999999999E-2</v>
      </c>
      <c r="S2741">
        <v>-3.0122680000000002</v>
      </c>
      <c r="T2741">
        <v>-0.110111999999999</v>
      </c>
      <c r="U2741">
        <v>0.33117679999999999</v>
      </c>
      <c r="V2741">
        <v>-2.562149E-2</v>
      </c>
      <c r="W2741">
        <v>4.2494199999999899E-2</v>
      </c>
      <c r="X2741">
        <v>0.998768199999999</v>
      </c>
      <c r="Y2741">
        <v>0.10489039999999999</v>
      </c>
      <c r="Z2741">
        <v>1.752155E-3</v>
      </c>
      <c r="AA2741">
        <v>0.99448219999999998</v>
      </c>
      <c r="AB2741">
        <v>32</v>
      </c>
      <c r="AC2741">
        <v>-30.000599999999999</v>
      </c>
      <c r="AD2741">
        <v>-1.1038871467639999</v>
      </c>
      <c r="AE2741">
        <v>3.31859999999994</v>
      </c>
      <c r="AF2741">
        <v>3.1837331869377201</v>
      </c>
      <c r="AG2741">
        <v>-1.1038871467639999</v>
      </c>
      <c r="AH2741">
        <v>29.974667581104601</v>
      </c>
      <c r="AI2741">
        <v>92.097311220372802</v>
      </c>
      <c r="AJ2741">
        <v>83.937109918260802</v>
      </c>
      <c r="AK2741">
        <v>30.163478254937999</v>
      </c>
    </row>
    <row r="2742" spans="1:37" x14ac:dyDescent="0.2">
      <c r="A2742" t="str">
        <f>"20200111155550727"</f>
        <v>20200111155550727</v>
      </c>
      <c r="B2742" t="str">
        <f>"1578729350725210"</f>
        <v>1578729350725210</v>
      </c>
      <c r="C2742" t="s">
        <v>37</v>
      </c>
      <c r="D2742">
        <v>4.9524999999999997</v>
      </c>
      <c r="E2742">
        <v>0.55088009999999998</v>
      </c>
      <c r="F2742" t="s">
        <v>61</v>
      </c>
      <c r="G2742">
        <v>-414.50420000000003</v>
      </c>
      <c r="H2742" s="1">
        <v>2.778639E-6</v>
      </c>
      <c r="I2742">
        <v>287.20240000000001</v>
      </c>
      <c r="J2742">
        <v>-385.15519999999998</v>
      </c>
      <c r="K2742">
        <v>1.1038939999999999</v>
      </c>
      <c r="L2742">
        <v>283.95389999999998</v>
      </c>
      <c r="M2742">
        <v>-0.99988500000000002</v>
      </c>
      <c r="N2742">
        <v>0</v>
      </c>
      <c r="O2742">
        <v>5.0807049999999996E-3</v>
      </c>
      <c r="P2742">
        <v>-0.99937919999999902</v>
      </c>
      <c r="Q2742">
        <v>2.7925439999999999E-2</v>
      </c>
      <c r="R2742">
        <v>-2.148214E-2</v>
      </c>
      <c r="S2742">
        <v>-3.012146</v>
      </c>
      <c r="T2742">
        <v>-0.1125376</v>
      </c>
      <c r="U2742">
        <v>0.33132929999999999</v>
      </c>
      <c r="V2742">
        <v>-2.645612E-2</v>
      </c>
      <c r="W2742">
        <v>4.2272669999999998E-2</v>
      </c>
      <c r="X2742">
        <v>0.99875579999999997</v>
      </c>
      <c r="Y2742">
        <v>0.1042178</v>
      </c>
      <c r="Z2742">
        <v>1.75114E-3</v>
      </c>
      <c r="AA2742">
        <v>0.99455300000000002</v>
      </c>
      <c r="AB2742">
        <v>32</v>
      </c>
      <c r="AC2742">
        <v>-29.349</v>
      </c>
      <c r="AD2742">
        <v>-1.1038912213609999</v>
      </c>
      <c r="AE2742">
        <v>3.2485000000000301</v>
      </c>
      <c r="AF2742">
        <v>3.0950037027770598</v>
      </c>
      <c r="AG2742">
        <v>-1.1038912213609999</v>
      </c>
      <c r="AH2742">
        <v>29.3241445459443</v>
      </c>
      <c r="AI2742">
        <v>92.143952829194802</v>
      </c>
      <c r="AJ2742">
        <v>83.975048494986694</v>
      </c>
      <c r="AK2742">
        <v>29.5076782736331</v>
      </c>
    </row>
    <row r="2743" spans="1:37" x14ac:dyDescent="0.2">
      <c r="A2743" t="str">
        <f>"20200111155550749"</f>
        <v>20200111155550749</v>
      </c>
      <c r="B2743" t="str">
        <f>"1578729350744729"</f>
        <v>1578729350744729</v>
      </c>
      <c r="C2743" t="s">
        <v>37</v>
      </c>
      <c r="D2743">
        <v>4.999682</v>
      </c>
      <c r="E2743">
        <v>0.55063660000000003</v>
      </c>
      <c r="F2743" t="s">
        <v>61</v>
      </c>
      <c r="G2743">
        <v>-414.0247</v>
      </c>
      <c r="H2743" s="1">
        <v>2.7015439999999998E-6</v>
      </c>
      <c r="I2743">
        <v>287.1114</v>
      </c>
      <c r="J2743">
        <v>-385.46230000000003</v>
      </c>
      <c r="K2743">
        <v>1.103896</v>
      </c>
      <c r="L2743">
        <v>283.95670000000001</v>
      </c>
      <c r="M2743">
        <v>-0.99987839999999995</v>
      </c>
      <c r="N2743">
        <v>0</v>
      </c>
      <c r="O2743">
        <v>6.2125009999999996E-3</v>
      </c>
      <c r="P2743">
        <v>-0.99939469999999997</v>
      </c>
      <c r="Q2743">
        <v>2.794816E-2</v>
      </c>
      <c r="R2743">
        <v>-2.071106E-2</v>
      </c>
      <c r="S2743">
        <v>-3.012146</v>
      </c>
      <c r="T2743">
        <v>-0.11517619999999899</v>
      </c>
      <c r="U2743">
        <v>0.32943729999999999</v>
      </c>
      <c r="V2743">
        <v>-2.681565E-2</v>
      </c>
      <c r="W2743">
        <v>4.2305059999999998E-2</v>
      </c>
      <c r="X2743">
        <v>0.99874479999999999</v>
      </c>
      <c r="Y2743">
        <v>0.10247339999999899</v>
      </c>
      <c r="Z2743">
        <v>1.71586E-3</v>
      </c>
      <c r="AA2743">
        <v>0.99473429999999996</v>
      </c>
      <c r="AB2743">
        <v>32</v>
      </c>
      <c r="AC2743">
        <v>-28.562399999999901</v>
      </c>
      <c r="AD2743">
        <v>-1.1038932984559999</v>
      </c>
      <c r="AE2743">
        <v>3.1546999999999898</v>
      </c>
      <c r="AF2743">
        <v>2.9727900616274199</v>
      </c>
      <c r="AG2743">
        <v>-1.1038932984559999</v>
      </c>
      <c r="AH2743">
        <v>28.539333707405</v>
      </c>
      <c r="AI2743">
        <v>92.203171773428295</v>
      </c>
      <c r="AJ2743">
        <v>84.053250547658706</v>
      </c>
      <c r="AK2743">
        <v>28.714972220559599</v>
      </c>
    </row>
    <row r="2744" spans="1:37" x14ac:dyDescent="0.2">
      <c r="A2744" t="str">
        <f>"20200111155550762"</f>
        <v>20200111155550762</v>
      </c>
      <c r="B2744" t="str">
        <f>"1578729350755466"</f>
        <v>1578729350755466</v>
      </c>
      <c r="C2744" t="s">
        <v>37</v>
      </c>
      <c r="D2744">
        <v>4.990265</v>
      </c>
      <c r="E2744">
        <v>0.55055299999999996</v>
      </c>
      <c r="F2744" t="s">
        <v>61</v>
      </c>
      <c r="G2744">
        <v>-414.11680000000001</v>
      </c>
      <c r="H2744" s="1">
        <v>2.7194659999999999E-6</v>
      </c>
      <c r="I2744">
        <v>287.09309999999999</v>
      </c>
      <c r="J2744">
        <v>-385.65159999999997</v>
      </c>
      <c r="K2744">
        <v>1.1038939999999999</v>
      </c>
      <c r="L2744">
        <v>283.95859999999999</v>
      </c>
      <c r="M2744">
        <v>-0.99987389999999998</v>
      </c>
      <c r="N2744">
        <v>0</v>
      </c>
      <c r="O2744">
        <v>6.9089190000000003E-3</v>
      </c>
      <c r="P2744">
        <v>-0.9993957</v>
      </c>
      <c r="Q2744">
        <v>2.8169349999999999E-2</v>
      </c>
      <c r="R2744">
        <v>-2.0382359999999999E-2</v>
      </c>
      <c r="S2744">
        <v>-3.0119319999999998</v>
      </c>
      <c r="T2744">
        <v>-0.11603289999999999</v>
      </c>
      <c r="U2744">
        <v>0.32968140000000001</v>
      </c>
      <c r="V2744">
        <v>-2.7182560000000001E-2</v>
      </c>
      <c r="W2744">
        <v>4.2532319999999998E-2</v>
      </c>
      <c r="X2744">
        <v>0.99872519999999998</v>
      </c>
      <c r="Y2744">
        <v>0.10186779999999999</v>
      </c>
      <c r="Z2744">
        <v>1.690364E-3</v>
      </c>
      <c r="AA2744">
        <v>0.99479649999999997</v>
      </c>
      <c r="AB2744">
        <v>32</v>
      </c>
      <c r="AC2744">
        <v>-28.465199999999999</v>
      </c>
      <c r="AD2744">
        <v>-1.103891280534</v>
      </c>
      <c r="AE2744">
        <v>3.1345000000000001</v>
      </c>
      <c r="AF2744">
        <v>2.9333825918038898</v>
      </c>
      <c r="AG2744">
        <v>-1.103891280534</v>
      </c>
      <c r="AH2744">
        <v>28.443913887624799</v>
      </c>
      <c r="AI2744">
        <v>92.210785943772095</v>
      </c>
      <c r="AJ2744">
        <v>84.111978484051207</v>
      </c>
      <c r="AK2744">
        <v>28.6160714745359</v>
      </c>
    </row>
    <row r="2745" spans="1:37" x14ac:dyDescent="0.2">
      <c r="A2745" t="str">
        <f>"20200111155550776"</f>
        <v>20200111155550776</v>
      </c>
      <c r="B2745" t="str">
        <f>"1578729350765226"</f>
        <v>1578729350765226</v>
      </c>
      <c r="C2745" t="s">
        <v>37</v>
      </c>
      <c r="D2745">
        <v>5.0271660000000002</v>
      </c>
      <c r="E2745">
        <v>0.55036529999999995</v>
      </c>
      <c r="F2745" t="s">
        <v>61</v>
      </c>
      <c r="G2745">
        <v>-414.65679999999998</v>
      </c>
      <c r="H2745" s="1">
        <v>2.811418E-6</v>
      </c>
      <c r="I2745">
        <v>287.13709999999998</v>
      </c>
      <c r="J2745">
        <v>-385.85230000000001</v>
      </c>
      <c r="K2745">
        <v>1.1038950000000001</v>
      </c>
      <c r="L2745">
        <v>283.96069999999997</v>
      </c>
      <c r="M2745">
        <v>-0.99986839999999999</v>
      </c>
      <c r="N2745">
        <v>0</v>
      </c>
      <c r="O2745">
        <v>7.6463980000000004E-3</v>
      </c>
      <c r="P2745">
        <v>-0.99940549999999995</v>
      </c>
      <c r="Q2745">
        <v>2.813208E-2</v>
      </c>
      <c r="R2745">
        <v>-1.9944380000000001E-2</v>
      </c>
      <c r="S2745">
        <v>-3.0118099999999899</v>
      </c>
      <c r="T2745">
        <v>-0.1146249</v>
      </c>
      <c r="U2745">
        <v>0.330047599999999</v>
      </c>
      <c r="V2745">
        <v>-2.748167E-2</v>
      </c>
      <c r="W2745">
        <v>4.2500870000000003E-2</v>
      </c>
      <c r="X2745">
        <v>0.99871840000000001</v>
      </c>
      <c r="Y2745">
        <v>0.1012605</v>
      </c>
      <c r="Z2745">
        <v>1.630435E-3</v>
      </c>
      <c r="AA2745">
        <v>0.99485859999999904</v>
      </c>
      <c r="AB2745">
        <v>32</v>
      </c>
      <c r="AC2745">
        <v>-28.804499999999901</v>
      </c>
      <c r="AD2745">
        <v>-1.1038921885819999</v>
      </c>
      <c r="AE2745">
        <v>3.1764000000000001</v>
      </c>
      <c r="AF2745">
        <v>2.9517507559276401</v>
      </c>
      <c r="AG2745">
        <v>-1.1038921885819999</v>
      </c>
      <c r="AH2745">
        <v>28.7861779883319</v>
      </c>
      <c r="AI2745">
        <v>92.184657994916194</v>
      </c>
      <c r="AJ2745">
        <v>84.1453213743671</v>
      </c>
      <c r="AK2745">
        <v>28.958167305011798</v>
      </c>
    </row>
    <row r="2746" spans="1:37" x14ac:dyDescent="0.2">
      <c r="A2746" t="str">
        <f>"20200111155550790"</f>
        <v>20200111155550790</v>
      </c>
      <c r="B2746" t="str">
        <f>"1578729350784747"</f>
        <v>1578729350784747</v>
      </c>
      <c r="C2746" t="s">
        <v>37</v>
      </c>
      <c r="D2746">
        <v>4.9642910000000002</v>
      </c>
      <c r="E2746">
        <v>0.5502454</v>
      </c>
      <c r="F2746" t="s">
        <v>61</v>
      </c>
      <c r="G2746">
        <v>-414.7353</v>
      </c>
      <c r="H2746" s="1">
        <v>2.8264269999999998E-6</v>
      </c>
      <c r="I2746">
        <v>287.12459999999999</v>
      </c>
      <c r="J2746">
        <v>-386.05110000000002</v>
      </c>
      <c r="K2746">
        <v>1.1038950000000001</v>
      </c>
      <c r="L2746">
        <v>283.962999999999</v>
      </c>
      <c r="M2746">
        <v>-0.99986239999999904</v>
      </c>
      <c r="N2746">
        <v>0</v>
      </c>
      <c r="O2746">
        <v>8.3775540000000006E-3</v>
      </c>
      <c r="P2746">
        <v>-0.99942019999999998</v>
      </c>
      <c r="Q2746">
        <v>2.7968639999999999E-2</v>
      </c>
      <c r="R2746">
        <v>-1.9424139999999999E-2</v>
      </c>
      <c r="S2746">
        <v>-3.0115660000000002</v>
      </c>
      <c r="T2746">
        <v>-0.11510039999999901</v>
      </c>
      <c r="U2746">
        <v>0.32989499999999999</v>
      </c>
      <c r="V2746">
        <v>-2.7692830000000002E-2</v>
      </c>
      <c r="W2746">
        <v>4.2342230000000002E-2</v>
      </c>
      <c r="X2746">
        <v>0.99871929999999998</v>
      </c>
      <c r="Y2746">
        <v>0.1004925</v>
      </c>
      <c r="Z2746">
        <v>1.594856E-3</v>
      </c>
      <c r="AA2746">
        <v>0.9949365</v>
      </c>
      <c r="AB2746">
        <v>32</v>
      </c>
      <c r="AC2746">
        <v>-28.684199999999901</v>
      </c>
      <c r="AD2746">
        <v>-1.1038921735730001</v>
      </c>
      <c r="AE2746">
        <v>3.1616000000000199</v>
      </c>
      <c r="AF2746">
        <v>2.9168927679536698</v>
      </c>
      <c r="AG2746">
        <v>-1.1038921735730001</v>
      </c>
      <c r="AH2746">
        <v>28.667733845123401</v>
      </c>
      <c r="AI2746">
        <v>92.1938508667197</v>
      </c>
      <c r="AJ2746">
        <v>84.190246521362695</v>
      </c>
      <c r="AK2746">
        <v>28.836882722746701</v>
      </c>
    </row>
    <row r="2747" spans="1:37" x14ac:dyDescent="0.2">
      <c r="A2747" t="str">
        <f>"20200111155550803"</f>
        <v>20200111155550803</v>
      </c>
      <c r="B2747" t="str">
        <f>"1578729350795483"</f>
        <v>1578729350795483</v>
      </c>
      <c r="C2747" t="s">
        <v>37</v>
      </c>
      <c r="D2747">
        <v>4.9955720000000001</v>
      </c>
      <c r="E2747">
        <v>0.55016860000000001</v>
      </c>
      <c r="F2747" t="s">
        <v>61</v>
      </c>
      <c r="G2747">
        <v>-414.75830000000002</v>
      </c>
      <c r="H2747" s="1">
        <v>2.8316550000000002E-6</v>
      </c>
      <c r="I2747">
        <v>287.11149999999998</v>
      </c>
      <c r="J2747">
        <v>-386.23259999999999</v>
      </c>
      <c r="K2747">
        <v>1.1038920000000001</v>
      </c>
      <c r="L2747">
        <v>283.96510000000001</v>
      </c>
      <c r="M2747">
        <v>-0.99985650000000004</v>
      </c>
      <c r="N2747">
        <v>0</v>
      </c>
      <c r="O2747">
        <v>9.0448779999999993E-3</v>
      </c>
      <c r="P2747">
        <v>-0.99943320000000002</v>
      </c>
      <c r="Q2747">
        <v>2.7845160000000001E-2</v>
      </c>
      <c r="R2747">
        <v>-1.892659E-2</v>
      </c>
      <c r="S2747">
        <v>-3.0114139999999998</v>
      </c>
      <c r="T2747">
        <v>-0.115799499999999</v>
      </c>
      <c r="U2747">
        <v>0.33029169999999902</v>
      </c>
      <c r="V2747">
        <v>-2.7862979999999999E-2</v>
      </c>
      <c r="W2747">
        <v>4.22236E-2</v>
      </c>
      <c r="X2747">
        <v>0.99871960000000004</v>
      </c>
      <c r="Y2747">
        <v>9.9963430000000006E-2</v>
      </c>
      <c r="Z2747">
        <v>1.568896E-3</v>
      </c>
      <c r="AA2747">
        <v>0.99498989999999998</v>
      </c>
      <c r="AB2747">
        <v>32</v>
      </c>
      <c r="AC2747">
        <v>-28.525700000000001</v>
      </c>
      <c r="AD2747">
        <v>-1.1038891683450001</v>
      </c>
      <c r="AE2747">
        <v>3.1463999999999701</v>
      </c>
      <c r="AF2747">
        <v>2.8839663778245201</v>
      </c>
      <c r="AG2747">
        <v>-1.1038891683450001</v>
      </c>
      <c r="AH2747">
        <v>28.510811754691701</v>
      </c>
      <c r="AI2747">
        <v>92.206039458458307</v>
      </c>
      <c r="AJ2747">
        <v>84.223982061276701</v>
      </c>
      <c r="AK2747">
        <v>28.677556037359299</v>
      </c>
    </row>
    <row r="2748" spans="1:37" x14ac:dyDescent="0.2">
      <c r="A2748" t="str">
        <f>"20200111155550815"</f>
        <v>20200111155550815</v>
      </c>
      <c r="B2748" t="str">
        <f>"1578729350805241"</f>
        <v>1578729350805241</v>
      </c>
      <c r="C2748" t="s">
        <v>37</v>
      </c>
      <c r="D2748">
        <v>5.0373060000000001</v>
      </c>
      <c r="E2748">
        <v>0.55015049999999999</v>
      </c>
      <c r="F2748" t="s">
        <v>61</v>
      </c>
      <c r="G2748">
        <v>-414.75839999999999</v>
      </c>
      <c r="H2748" s="1">
        <v>2.832247E-6</v>
      </c>
      <c r="I2748">
        <v>287.10500000000002</v>
      </c>
      <c r="J2748">
        <v>-386.41309999999999</v>
      </c>
      <c r="K2748">
        <v>1.103891</v>
      </c>
      <c r="L2748">
        <v>283.9674</v>
      </c>
      <c r="M2748">
        <v>-0.99985029999999997</v>
      </c>
      <c r="N2748">
        <v>0</v>
      </c>
      <c r="O2748">
        <v>9.7092789999999995E-3</v>
      </c>
      <c r="P2748">
        <v>-0.9994613</v>
      </c>
      <c r="Q2748">
        <v>2.713192E-2</v>
      </c>
      <c r="R2748">
        <v>-1.846335E-2</v>
      </c>
      <c r="S2748">
        <v>-3.0112610000000002</v>
      </c>
      <c r="T2748">
        <v>-0.11652949999999999</v>
      </c>
      <c r="U2748">
        <v>0.33145140000000001</v>
      </c>
      <c r="V2748">
        <v>-2.8065730000000001E-2</v>
      </c>
      <c r="W2748">
        <v>4.151469E-2</v>
      </c>
      <c r="X2748">
        <v>0.99874370000000001</v>
      </c>
      <c r="Y2748">
        <v>9.9686179999999999E-2</v>
      </c>
      <c r="Z2748">
        <v>1.5478600000000001E-3</v>
      </c>
      <c r="AA2748">
        <v>0.9950177</v>
      </c>
      <c r="AB2748">
        <v>32</v>
      </c>
      <c r="AC2748">
        <v>-28.345300000000002</v>
      </c>
      <c r="AD2748">
        <v>-1.1038881677529999</v>
      </c>
      <c r="AE2748">
        <v>3.1376000000000199</v>
      </c>
      <c r="AF2748">
        <v>2.8579293822190199</v>
      </c>
      <c r="AG2748">
        <v>-1.1038881677529999</v>
      </c>
      <c r="AH2748">
        <v>28.331980759392899</v>
      </c>
      <c r="AI2748">
        <v>92.220010252677397</v>
      </c>
      <c r="AJ2748">
        <v>84.239892210036601</v>
      </c>
      <c r="AK2748">
        <v>28.497148334373101</v>
      </c>
    </row>
    <row r="2749" spans="1:37" x14ac:dyDescent="0.2">
      <c r="A2749" t="str">
        <f>"20200111155550839"</f>
        <v>20200111155550839</v>
      </c>
      <c r="B2749" t="str">
        <f>"1578729350835498"</f>
        <v>1578729350835498</v>
      </c>
      <c r="C2749" t="s">
        <v>37</v>
      </c>
      <c r="D2749">
        <v>5.0479399999999996</v>
      </c>
      <c r="E2749">
        <v>0.55009160000000001</v>
      </c>
      <c r="F2749" t="s">
        <v>61</v>
      </c>
      <c r="G2749">
        <v>-414.44380000000001</v>
      </c>
      <c r="H2749" s="1">
        <v>2.7799669999999998E-6</v>
      </c>
      <c r="I2749">
        <v>287.06479999999999</v>
      </c>
      <c r="J2749">
        <v>-386.73129999999998</v>
      </c>
      <c r="K2749">
        <v>1.103893</v>
      </c>
      <c r="L2749">
        <v>283.97179999999997</v>
      </c>
      <c r="M2749">
        <v>-0.99983820000000001</v>
      </c>
      <c r="N2749">
        <v>0</v>
      </c>
      <c r="O2749">
        <v>1.08797999999999E-2</v>
      </c>
      <c r="P2749">
        <v>-0.999498</v>
      </c>
      <c r="Q2749">
        <v>2.64904999999999E-2</v>
      </c>
      <c r="R2749">
        <v>-1.7393519999999999E-2</v>
      </c>
      <c r="S2749">
        <v>-3.0109560000000002</v>
      </c>
      <c r="T2749">
        <v>-0.1185755</v>
      </c>
      <c r="U2749">
        <v>0.33270259999999902</v>
      </c>
      <c r="V2749">
        <v>-2.816743E-2</v>
      </c>
      <c r="W2749">
        <v>4.0878650000000002E-2</v>
      </c>
      <c r="X2749">
        <v>0.99876699999999996</v>
      </c>
      <c r="Y2749">
        <v>9.8939890000000003E-2</v>
      </c>
      <c r="Z2749">
        <v>1.514566E-3</v>
      </c>
      <c r="AA2749">
        <v>0.99509230000000004</v>
      </c>
      <c r="AB2749">
        <v>32</v>
      </c>
      <c r="AC2749">
        <v>-27.712499999999999</v>
      </c>
      <c r="AD2749">
        <v>-1.1038902200330001</v>
      </c>
      <c r="AE2749">
        <v>3.0930000000000102</v>
      </c>
      <c r="AF2749">
        <v>2.7869118579976702</v>
      </c>
      <c r="AG2749">
        <v>-1.1038902200330001</v>
      </c>
      <c r="AH2749">
        <v>27.701101017821301</v>
      </c>
      <c r="AI2749">
        <v>92.270582100991405</v>
      </c>
      <c r="AJ2749">
        <v>84.255000974249199</v>
      </c>
      <c r="AK2749">
        <v>27.862814806147501</v>
      </c>
    </row>
    <row r="2750" spans="1:37" x14ac:dyDescent="0.2">
      <c r="A2750" t="str">
        <f>"20200111155550860"</f>
        <v>20200111155550860</v>
      </c>
      <c r="B2750" t="str">
        <f>"1578729350855017"</f>
        <v>1578729350855017</v>
      </c>
      <c r="C2750" t="s">
        <v>37</v>
      </c>
      <c r="D2750">
        <v>5.0700820000000002</v>
      </c>
      <c r="E2750">
        <v>0.55004229999999998</v>
      </c>
      <c r="F2750" t="s">
        <v>61</v>
      </c>
      <c r="G2750">
        <v>-413.99590000000001</v>
      </c>
      <c r="H2750" s="1">
        <v>2.7053830000000001E-6</v>
      </c>
      <c r="I2750">
        <v>287.00909999999999</v>
      </c>
      <c r="J2750">
        <v>-387.04169999999999</v>
      </c>
      <c r="K2750">
        <v>1.1038950000000001</v>
      </c>
      <c r="L2750">
        <v>283.97640000000001</v>
      </c>
      <c r="M2750">
        <v>-0.99982490000000002</v>
      </c>
      <c r="N2750">
        <v>0</v>
      </c>
      <c r="O2750">
        <v>1.2022959999999999E-2</v>
      </c>
      <c r="P2750">
        <v>-0.9995347</v>
      </c>
      <c r="Q2750">
        <v>2.5821440000000001E-2</v>
      </c>
      <c r="R2750">
        <v>-1.6232050000000001E-2</v>
      </c>
      <c r="S2750">
        <v>-3.01065099999999</v>
      </c>
      <c r="T2750">
        <v>-0.12189510000000001</v>
      </c>
      <c r="U2750">
        <v>0.33538820000000003</v>
      </c>
      <c r="V2750">
        <v>-2.8151519999999999E-2</v>
      </c>
      <c r="W2750">
        <v>4.0214489999999999E-2</v>
      </c>
      <c r="X2750">
        <v>0.99879439999999997</v>
      </c>
      <c r="Y2750">
        <v>9.8687319999999995E-2</v>
      </c>
      <c r="Z2750">
        <v>1.505808E-3</v>
      </c>
      <c r="AA2750">
        <v>0.99511740000000004</v>
      </c>
      <c r="AB2750">
        <v>31</v>
      </c>
      <c r="AC2750">
        <v>-26.9542</v>
      </c>
      <c r="AD2750">
        <v>-1.103892294617</v>
      </c>
      <c r="AE2750">
        <v>3.03269999999997</v>
      </c>
      <c r="AF2750">
        <v>2.7038997149255799</v>
      </c>
      <c r="AG2750">
        <v>-1.103892294617</v>
      </c>
      <c r="AH2750">
        <v>26.9440898619603</v>
      </c>
      <c r="AI2750">
        <v>92.334369295032303</v>
      </c>
      <c r="AJ2750">
        <v>84.2694256362564</v>
      </c>
      <c r="AK2750">
        <v>27.1019119317417</v>
      </c>
    </row>
    <row r="2751" spans="1:37" x14ac:dyDescent="0.2">
      <c r="A2751" t="str">
        <f>"20200111155550874"</f>
        <v>20200111155550874</v>
      </c>
      <c r="B2751" t="str">
        <f>"1578729350864778"</f>
        <v>1578729350864778</v>
      </c>
      <c r="C2751" t="s">
        <v>37</v>
      </c>
      <c r="D2751">
        <v>5.0630220000000001</v>
      </c>
      <c r="E2751">
        <v>0.54994949999999998</v>
      </c>
      <c r="F2751" t="s">
        <v>61</v>
      </c>
      <c r="G2751">
        <v>-413.79340000000002</v>
      </c>
      <c r="H2751" s="1">
        <v>2.6715839999999902E-6</v>
      </c>
      <c r="I2751">
        <v>286.98480000000001</v>
      </c>
      <c r="J2751">
        <v>-387.23540000000003</v>
      </c>
      <c r="K2751">
        <v>1.103896</v>
      </c>
      <c r="L2751">
        <v>283.97949999999997</v>
      </c>
      <c r="M2751">
        <v>-0.99981609999999999</v>
      </c>
      <c r="N2751">
        <v>0</v>
      </c>
      <c r="O2751">
        <v>1.2736300000000001E-2</v>
      </c>
      <c r="P2751">
        <v>-0.99954959999999904</v>
      </c>
      <c r="Q2751">
        <v>2.576235E-2</v>
      </c>
      <c r="R2751">
        <v>-1.538934E-2</v>
      </c>
      <c r="S2751">
        <v>-3.0101009999999899</v>
      </c>
      <c r="T2751">
        <v>-0.1242096</v>
      </c>
      <c r="U2751">
        <v>0.338501</v>
      </c>
      <c r="V2751">
        <v>-2.8022040000000002E-2</v>
      </c>
      <c r="W2751">
        <v>4.0157310000000002E-2</v>
      </c>
      <c r="X2751">
        <v>0.99880029999999997</v>
      </c>
      <c r="Y2751">
        <v>9.9011260000000004E-2</v>
      </c>
      <c r="Z2751">
        <v>1.511905E-3</v>
      </c>
      <c r="AA2751">
        <v>0.995085199999999</v>
      </c>
      <c r="AB2751">
        <v>31</v>
      </c>
      <c r="AC2751">
        <v>-26.558</v>
      </c>
      <c r="AD2751">
        <v>-1.103893328416</v>
      </c>
      <c r="AE2751">
        <v>3.0053000000000298</v>
      </c>
      <c r="AF2751">
        <v>2.66222943517996</v>
      </c>
      <c r="AG2751">
        <v>-1.103893328416</v>
      </c>
      <c r="AH2751">
        <v>26.548837780769801</v>
      </c>
      <c r="AI2751">
        <v>92.369103432615404</v>
      </c>
      <c r="AJ2751">
        <v>84.2737113866052</v>
      </c>
      <c r="AK2751">
        <v>26.704809184034399</v>
      </c>
    </row>
    <row r="2752" spans="1:37" x14ac:dyDescent="0.2">
      <c r="A2752" t="str">
        <f>"20200111155550889"</f>
        <v>20200111155550889</v>
      </c>
      <c r="B2752" t="str">
        <f>"1578729350885274"</f>
        <v>1578729350885274</v>
      </c>
      <c r="C2752" t="s">
        <v>37</v>
      </c>
      <c r="D2752">
        <v>5.0605029999999998</v>
      </c>
      <c r="E2752">
        <v>0.54987379999999997</v>
      </c>
      <c r="F2752" t="s">
        <v>61</v>
      </c>
      <c r="G2752">
        <v>-413.9504</v>
      </c>
      <c r="H2752" s="1">
        <v>2.6980770000000001E-6</v>
      </c>
      <c r="I2752">
        <v>287.00029999999998</v>
      </c>
      <c r="J2752">
        <v>-387.42099999999999</v>
      </c>
      <c r="K2752">
        <v>1.103898</v>
      </c>
      <c r="L2752">
        <v>283.98259999999999</v>
      </c>
      <c r="M2752">
        <v>-0.99980709999999995</v>
      </c>
      <c r="N2752">
        <v>0</v>
      </c>
      <c r="O2752">
        <v>1.3419540000000001E-2</v>
      </c>
      <c r="P2752">
        <v>-0.99955590000000005</v>
      </c>
      <c r="Q2752">
        <v>2.5812359999999999E-2</v>
      </c>
      <c r="R2752">
        <v>-1.4892839999999999E-2</v>
      </c>
      <c r="S2752">
        <v>-3.0097659999999999</v>
      </c>
      <c r="T2752">
        <v>-0.1243668</v>
      </c>
      <c r="U2752">
        <v>0.34033200000000002</v>
      </c>
      <c r="V2752">
        <v>-2.820868E-2</v>
      </c>
      <c r="W2752">
        <v>4.020924E-2</v>
      </c>
      <c r="X2752">
        <v>0.99879300000000004</v>
      </c>
      <c r="Y2752">
        <v>9.8941799999999996E-2</v>
      </c>
      <c r="Z2752">
        <v>1.4843829999999999E-3</v>
      </c>
      <c r="AA2752">
        <v>0.99509210000000003</v>
      </c>
      <c r="AB2752">
        <v>31</v>
      </c>
      <c r="AC2752">
        <v>-26.529399999999999</v>
      </c>
      <c r="AD2752">
        <v>-1.103895301923</v>
      </c>
      <c r="AE2752">
        <v>3.0176999999999898</v>
      </c>
      <c r="AF2752">
        <v>2.6568379233224602</v>
      </c>
      <c r="AG2752">
        <v>-1.103895301923</v>
      </c>
      <c r="AH2752">
        <v>26.522176660017202</v>
      </c>
      <c r="AI2752">
        <v>92.371510552874696</v>
      </c>
      <c r="AJ2752">
        <v>84.279524727919707</v>
      </c>
      <c r="AK2752">
        <v>26.677766536454602</v>
      </c>
    </row>
    <row r="2753" spans="1:37" x14ac:dyDescent="0.2">
      <c r="A2753" t="str">
        <f>"20200111155550901"</f>
        <v>20200111155550901</v>
      </c>
      <c r="B2753" t="str">
        <f>"1578729350895034"</f>
        <v>1578729350895034</v>
      </c>
      <c r="C2753" t="s">
        <v>37</v>
      </c>
      <c r="D2753">
        <v>5.0648220000000004</v>
      </c>
      <c r="E2753">
        <v>0.5498343</v>
      </c>
      <c r="F2753" t="s">
        <v>61</v>
      </c>
      <c r="G2753">
        <v>-414.18369999999999</v>
      </c>
      <c r="H2753" s="1">
        <v>2.7379960000000002E-6</v>
      </c>
      <c r="I2753">
        <v>287.01710000000003</v>
      </c>
      <c r="J2753">
        <v>-387.61869999999999</v>
      </c>
      <c r="K2753">
        <v>1.1039019999999999</v>
      </c>
      <c r="L2753">
        <v>283.98599999999999</v>
      </c>
      <c r="M2753">
        <v>-0.99979719999999905</v>
      </c>
      <c r="N2753">
        <v>0</v>
      </c>
      <c r="O2753">
        <v>1.414725E-2</v>
      </c>
      <c r="P2753">
        <v>-0.99956719999999899</v>
      </c>
      <c r="Q2753">
        <v>2.5793050000000001E-2</v>
      </c>
      <c r="R2753">
        <v>-1.415889E-2</v>
      </c>
      <c r="S2753">
        <v>-3.0096129999999999</v>
      </c>
      <c r="T2753">
        <v>-0.12413879999999999</v>
      </c>
      <c r="U2753">
        <v>0.34124759999999998</v>
      </c>
      <c r="V2753">
        <v>-2.8202029999999999E-2</v>
      </c>
      <c r="W2753">
        <v>4.0191610000000003E-2</v>
      </c>
      <c r="X2753">
        <v>0.99879390000000001</v>
      </c>
      <c r="Y2753">
        <v>9.8523250000000007E-2</v>
      </c>
      <c r="Z2753">
        <v>1.443216E-3</v>
      </c>
      <c r="AA2753">
        <v>0.99513369999999901</v>
      </c>
      <c r="AB2753">
        <v>31</v>
      </c>
      <c r="AC2753">
        <v>-26.565000000000001</v>
      </c>
      <c r="AD2753">
        <v>-1.103899262004</v>
      </c>
      <c r="AE2753">
        <v>3.0311000000000301</v>
      </c>
      <c r="AF2753">
        <v>2.6504183973339202</v>
      </c>
      <c r="AG2753">
        <v>-1.103899262004</v>
      </c>
      <c r="AH2753">
        <v>26.559953028309501</v>
      </c>
      <c r="AI2753">
        <v>92.368239830534307</v>
      </c>
      <c r="AJ2753">
        <v>84.301318631531103</v>
      </c>
      <c r="AK2753">
        <v>26.7146854019954</v>
      </c>
    </row>
    <row r="2754" spans="1:37" x14ac:dyDescent="0.2">
      <c r="A2754" t="str">
        <f>"20200111155550915"</f>
        <v>20200111155550915</v>
      </c>
      <c r="B2754" t="str">
        <f>"1578729350904794"</f>
        <v>1578729350904794</v>
      </c>
      <c r="C2754" t="s">
        <v>37</v>
      </c>
      <c r="D2754">
        <v>4.947508</v>
      </c>
      <c r="E2754">
        <v>0.5498343</v>
      </c>
      <c r="F2754" t="s">
        <v>61</v>
      </c>
      <c r="G2754">
        <v>-414.40679999999998</v>
      </c>
      <c r="H2754" s="1">
        <v>2.7754309999999999E-6</v>
      </c>
      <c r="I2754">
        <v>287.04149999999998</v>
      </c>
      <c r="J2754">
        <v>-387.8125</v>
      </c>
      <c r="K2754">
        <v>1.103904</v>
      </c>
      <c r="L2754">
        <v>283.98939999999999</v>
      </c>
      <c r="M2754">
        <v>-0.99978659999999997</v>
      </c>
      <c r="N2754">
        <v>0</v>
      </c>
      <c r="O2754">
        <v>1.486143E-2</v>
      </c>
      <c r="P2754">
        <v>-0.99957229999999997</v>
      </c>
      <c r="Q2754">
        <v>2.5857419999999999E-2</v>
      </c>
      <c r="R2754">
        <v>-1.3667189999999999E-2</v>
      </c>
      <c r="S2754">
        <v>-3.009369</v>
      </c>
      <c r="T2754">
        <v>-0.1240115</v>
      </c>
      <c r="U2754">
        <v>0.3432617</v>
      </c>
      <c r="V2754">
        <v>-2.8424370000000001E-2</v>
      </c>
      <c r="W2754">
        <v>4.0257840000000003E-2</v>
      </c>
      <c r="X2754">
        <v>0.99878500000000003</v>
      </c>
      <c r="Y2754">
        <v>9.8479750000000005E-2</v>
      </c>
      <c r="Z2754">
        <v>1.411594E-3</v>
      </c>
      <c r="AA2754">
        <v>0.99513799999999997</v>
      </c>
      <c r="AB2754">
        <v>31</v>
      </c>
      <c r="AC2754">
        <v>-26.594299999999901</v>
      </c>
      <c r="AD2754">
        <v>-1.1039012245690001</v>
      </c>
      <c r="AE2754">
        <v>3.05209999999999</v>
      </c>
      <c r="AF2754">
        <v>2.6519828988266401</v>
      </c>
      <c r="AG2754">
        <v>-1.1039012245690001</v>
      </c>
      <c r="AH2754">
        <v>26.591504296099899</v>
      </c>
      <c r="AI2754">
        <v>92.365451170731404</v>
      </c>
      <c r="AJ2754">
        <v>84.304697989635201</v>
      </c>
      <c r="AK2754">
        <v>26.7462093003621</v>
      </c>
    </row>
    <row r="2755" spans="1:37" x14ac:dyDescent="0.2">
      <c r="A2755" t="str">
        <f>"20200111155550928"</f>
        <v>20200111155550928</v>
      </c>
      <c r="B2755" t="str">
        <f>"1578729350925290"</f>
        <v>1578729350925290</v>
      </c>
      <c r="C2755" t="s">
        <v>37</v>
      </c>
      <c r="D2755">
        <v>5.063815</v>
      </c>
      <c r="E2755">
        <v>0.54980799999999996</v>
      </c>
      <c r="F2755" t="s">
        <v>61</v>
      </c>
      <c r="G2755">
        <v>-414.64909999999998</v>
      </c>
      <c r="H2755" s="1">
        <v>2.81651099999999E-6</v>
      </c>
      <c r="I2755">
        <v>287.06319999999999</v>
      </c>
      <c r="J2755">
        <v>-387.98399999999998</v>
      </c>
      <c r="K2755">
        <v>1.103904</v>
      </c>
      <c r="L2755">
        <v>283.99259999999998</v>
      </c>
      <c r="M2755">
        <v>-0.99977709999999997</v>
      </c>
      <c r="N2755">
        <v>0</v>
      </c>
      <c r="O2755">
        <v>1.549295E-2</v>
      </c>
      <c r="P2755">
        <v>-0.99956679999999998</v>
      </c>
      <c r="Q2755">
        <v>2.6243030000000001E-2</v>
      </c>
      <c r="R2755">
        <v>-1.333523E-2</v>
      </c>
      <c r="S2755">
        <v>-3.0092159999999999</v>
      </c>
      <c r="T2755">
        <v>-0.12378169999999999</v>
      </c>
      <c r="U2755">
        <v>0.34466550000000001</v>
      </c>
      <c r="V2755">
        <v>-2.872253E-2</v>
      </c>
      <c r="W2755">
        <v>4.0644720000000002E-2</v>
      </c>
      <c r="X2755">
        <v>0.9987608</v>
      </c>
      <c r="Y2755">
        <v>9.8316000000000001E-2</v>
      </c>
      <c r="Z2755">
        <v>1.379789E-3</v>
      </c>
      <c r="AA2755">
        <v>0.99515429999999905</v>
      </c>
      <c r="AB2755">
        <v>31</v>
      </c>
      <c r="AC2755">
        <v>-26.665099999999899</v>
      </c>
      <c r="AD2755">
        <v>-1.103901183489</v>
      </c>
      <c r="AE2755">
        <v>3.07060000000001</v>
      </c>
      <c r="AF2755">
        <v>2.6525811775009802</v>
      </c>
      <c r="AG2755">
        <v>-1.103901183489</v>
      </c>
      <c r="AH2755">
        <v>26.664375661302799</v>
      </c>
      <c r="AI2755">
        <v>92.359051955950207</v>
      </c>
      <c r="AJ2755">
        <v>84.3188878619154</v>
      </c>
      <c r="AK2755">
        <v>26.818719472286901</v>
      </c>
    </row>
    <row r="2756" spans="1:37" x14ac:dyDescent="0.2">
      <c r="A2756" t="str">
        <f>"20200111155550942"</f>
        <v>20200111155550942</v>
      </c>
      <c r="B2756" t="str">
        <f>"1578729350935050"</f>
        <v>1578729350935050</v>
      </c>
      <c r="C2756" t="s">
        <v>37</v>
      </c>
      <c r="D2756">
        <v>5.1102489999999996</v>
      </c>
      <c r="E2756">
        <v>0.54980309999999999</v>
      </c>
      <c r="F2756" t="s">
        <v>61</v>
      </c>
      <c r="G2756">
        <v>-415.1386</v>
      </c>
      <c r="H2756" s="1">
        <v>2.89917899999999E-6</v>
      </c>
      <c r="I2756">
        <v>287.11090000000002</v>
      </c>
      <c r="J2756">
        <v>-388.18009999999998</v>
      </c>
      <c r="K2756">
        <v>1.103907</v>
      </c>
      <c r="L2756">
        <v>283.99639999999999</v>
      </c>
      <c r="M2756">
        <v>-0.99976569999999998</v>
      </c>
      <c r="N2756">
        <v>0</v>
      </c>
      <c r="O2756">
        <v>1.6215529999999999E-2</v>
      </c>
      <c r="P2756">
        <v>-0.99957199999999902</v>
      </c>
      <c r="Q2756">
        <v>2.643421E-2</v>
      </c>
      <c r="R2756">
        <v>-1.2544400000000001E-2</v>
      </c>
      <c r="S2756">
        <v>-3.009125</v>
      </c>
      <c r="T2756">
        <v>-0.1223282</v>
      </c>
      <c r="U2756">
        <v>0.34555049999999998</v>
      </c>
      <c r="V2756">
        <v>-2.8653729999999999E-2</v>
      </c>
      <c r="W2756">
        <v>4.083672E-2</v>
      </c>
      <c r="X2756">
        <v>0.9987549</v>
      </c>
      <c r="Y2756">
        <v>9.7891610000000004E-2</v>
      </c>
      <c r="Z2756">
        <v>1.3257709999999999E-3</v>
      </c>
      <c r="AA2756">
        <v>0.99519619999999998</v>
      </c>
      <c r="AB2756">
        <v>31</v>
      </c>
      <c r="AC2756">
        <v>-26.958500000000001</v>
      </c>
      <c r="AD2756">
        <v>-1.103904100821</v>
      </c>
      <c r="AE2756">
        <v>3.11450000000002</v>
      </c>
      <c r="AF2756">
        <v>2.6724770244657599</v>
      </c>
      <c r="AG2756">
        <v>-1.103904100821</v>
      </c>
      <c r="AH2756">
        <v>26.960851737183301</v>
      </c>
      <c r="AI2756">
        <v>92.333227116629004</v>
      </c>
      <c r="AJ2756">
        <v>84.339085209618304</v>
      </c>
      <c r="AK2756">
        <v>27.115461716601601</v>
      </c>
    </row>
    <row r="2757" spans="1:37" x14ac:dyDescent="0.2">
      <c r="A2757" t="str">
        <f>"20200111155550956"</f>
        <v>20200111155550956</v>
      </c>
      <c r="B2757" t="str">
        <f>"1578729350944809"</f>
        <v>1578729350944809</v>
      </c>
      <c r="C2757" t="s">
        <v>37</v>
      </c>
      <c r="D2757">
        <v>5.0635029999999999</v>
      </c>
      <c r="E2757">
        <v>0.54977430000000005</v>
      </c>
      <c r="F2757" t="s">
        <v>61</v>
      </c>
      <c r="G2757">
        <v>-415.36930000000001</v>
      </c>
      <c r="H2757" s="1">
        <v>2.9376160000000001E-6</v>
      </c>
      <c r="I2757">
        <v>287.13929999999999</v>
      </c>
      <c r="J2757">
        <v>-388.38249999999999</v>
      </c>
      <c r="K2757">
        <v>1.1039099999999999</v>
      </c>
      <c r="L2757">
        <v>284.00040000000001</v>
      </c>
      <c r="M2757">
        <v>-0.99975329999999996</v>
      </c>
      <c r="N2757">
        <v>0</v>
      </c>
      <c r="O2757">
        <v>1.6961420000000001E-2</v>
      </c>
      <c r="P2757">
        <v>-0.99956880000000004</v>
      </c>
      <c r="Q2757">
        <v>2.682855E-2</v>
      </c>
      <c r="R2757">
        <v>-1.19436E-2</v>
      </c>
      <c r="S2757">
        <v>-3.0088810000000001</v>
      </c>
      <c r="T2757">
        <v>-0.12216289999999901</v>
      </c>
      <c r="U2757">
        <v>0.34780879999999997</v>
      </c>
      <c r="V2757">
        <v>-2.879804E-2</v>
      </c>
      <c r="W2757">
        <v>4.1231690000000001E-2</v>
      </c>
      <c r="X2757">
        <v>0.99873449999999997</v>
      </c>
      <c r="Y2757">
        <v>9.7896220000000006E-2</v>
      </c>
      <c r="Z2757">
        <v>1.2939679999999999E-3</v>
      </c>
      <c r="AA2757">
        <v>0.99519579999999996</v>
      </c>
      <c r="AB2757">
        <v>31</v>
      </c>
      <c r="AC2757">
        <v>-26.986799999999999</v>
      </c>
      <c r="AD2757">
        <v>-1.1039070623839999</v>
      </c>
      <c r="AE2757">
        <v>3.1388999999999698</v>
      </c>
      <c r="AF2757">
        <v>2.6762485625503398</v>
      </c>
      <c r="AG2757">
        <v>-1.1039070623839999</v>
      </c>
      <c r="AH2757">
        <v>26.9916016884582</v>
      </c>
      <c r="AI2757">
        <v>92.330572060007697</v>
      </c>
      <c r="AJ2757">
        <v>84.337564429675297</v>
      </c>
      <c r="AK2757">
        <v>27.146408213229801</v>
      </c>
    </row>
    <row r="2758" spans="1:37" x14ac:dyDescent="0.2">
      <c r="A2758" t="str">
        <f>"20200111155550970"</f>
        <v>20200111155550970</v>
      </c>
      <c r="B2758" t="str">
        <f>"1578729350965306"</f>
        <v>1578729350965306</v>
      </c>
      <c r="C2758" t="s">
        <v>37</v>
      </c>
      <c r="D2758">
        <v>5.0739830000000001</v>
      </c>
      <c r="E2758">
        <v>0.54975889999999905</v>
      </c>
      <c r="F2758" t="s">
        <v>61</v>
      </c>
      <c r="G2758">
        <v>-415.88499999999999</v>
      </c>
      <c r="H2758" s="1">
        <v>3.0243079999999998E-6</v>
      </c>
      <c r="I2758">
        <v>287.19389999999999</v>
      </c>
      <c r="J2758">
        <v>-388.5745</v>
      </c>
      <c r="K2758">
        <v>1.103912</v>
      </c>
      <c r="L2758">
        <v>284.00439999999998</v>
      </c>
      <c r="M2758">
        <v>-0.99974099999999999</v>
      </c>
      <c r="N2758">
        <v>0</v>
      </c>
      <c r="O2758">
        <v>1.766881E-2</v>
      </c>
      <c r="P2758">
        <v>-0.99956889999999998</v>
      </c>
      <c r="Q2758">
        <v>2.7076619999999999E-2</v>
      </c>
      <c r="R2758">
        <v>-1.136503E-2</v>
      </c>
      <c r="S2758">
        <v>-3.0086979999999999</v>
      </c>
      <c r="T2758">
        <v>-0.1207646</v>
      </c>
      <c r="U2758">
        <v>0.34936519999999999</v>
      </c>
      <c r="V2758">
        <v>-2.8925849999999999E-2</v>
      </c>
      <c r="W2758">
        <v>4.1480389999999999E-2</v>
      </c>
      <c r="X2758">
        <v>0.99872050000000001</v>
      </c>
      <c r="Y2758">
        <v>9.7709160000000003E-2</v>
      </c>
      <c r="Z2758">
        <v>1.247197E-3</v>
      </c>
      <c r="AA2758">
        <v>0.99521419999999905</v>
      </c>
      <c r="AB2758">
        <v>31</v>
      </c>
      <c r="AC2758">
        <v>-27.310499999999902</v>
      </c>
      <c r="AD2758">
        <v>-1.103908975692</v>
      </c>
      <c r="AE2758">
        <v>3.1894999999999998</v>
      </c>
      <c r="AF2758">
        <v>2.7020530181647802</v>
      </c>
      <c r="AG2758">
        <v>-1.103908975692</v>
      </c>
      <c r="AH2758">
        <v>27.3185629189901</v>
      </c>
      <c r="AI2758">
        <v>92.302767503528798</v>
      </c>
      <c r="AJ2758">
        <v>84.351301656886704</v>
      </c>
      <c r="AK2758">
        <v>27.4740529499819</v>
      </c>
    </row>
    <row r="2759" spans="1:37" x14ac:dyDescent="0.2">
      <c r="A2759" t="str">
        <f>"20200111155550983"</f>
        <v>20200111155550983</v>
      </c>
      <c r="B2759" t="str">
        <f>"1578729350975066"</f>
        <v>1578729350975066</v>
      </c>
      <c r="C2759" t="s">
        <v>37</v>
      </c>
      <c r="D2759">
        <v>5.0254830000000004</v>
      </c>
      <c r="E2759">
        <v>0.54978830000000001</v>
      </c>
      <c r="F2759" t="s">
        <v>61</v>
      </c>
      <c r="G2759">
        <v>-416.28620000000001</v>
      </c>
      <c r="H2759" s="1">
        <v>3.09171299999999E-6</v>
      </c>
      <c r="I2759">
        <v>287.23700000000002</v>
      </c>
      <c r="J2759">
        <v>-388.76010000000002</v>
      </c>
      <c r="K2759">
        <v>1.1039129999999999</v>
      </c>
      <c r="L2759">
        <v>284.00839999999999</v>
      </c>
      <c r="M2759">
        <v>-0.99972879999999997</v>
      </c>
      <c r="N2759">
        <v>0</v>
      </c>
      <c r="O2759">
        <v>1.8351820000000001E-2</v>
      </c>
      <c r="P2759">
        <v>-0.99956719999999899</v>
      </c>
      <c r="Q2759">
        <v>2.7348750000000002E-2</v>
      </c>
      <c r="R2759">
        <v>-1.085617E-2</v>
      </c>
      <c r="S2759">
        <v>-3.0085449999999998</v>
      </c>
      <c r="T2759">
        <v>-0.11984690000000001</v>
      </c>
      <c r="U2759">
        <v>0.35095209999999999</v>
      </c>
      <c r="V2759">
        <v>-2.909981E-2</v>
      </c>
      <c r="W2759">
        <v>4.1752890000000001E-2</v>
      </c>
      <c r="X2759">
        <v>0.99870409999999898</v>
      </c>
      <c r="Y2759">
        <v>9.7554580000000002E-2</v>
      </c>
      <c r="Z2759">
        <v>1.2075949999999999E-3</v>
      </c>
      <c r="AA2759">
        <v>0.99522940000000004</v>
      </c>
      <c r="AB2759">
        <v>31</v>
      </c>
      <c r="AC2759">
        <v>-27.5260999999999</v>
      </c>
      <c r="AD2759">
        <v>-1.1039099082870001</v>
      </c>
      <c r="AE2759">
        <v>3.2286000000000201</v>
      </c>
      <c r="AF2759">
        <v>2.7185372125185499</v>
      </c>
      <c r="AG2759">
        <v>-1.1039099082870001</v>
      </c>
      <c r="AH2759">
        <v>27.537032306261299</v>
      </c>
      <c r="AI2759">
        <v>92.284561056335093</v>
      </c>
      <c r="AJ2759">
        <v>84.361860802001999</v>
      </c>
      <c r="AK2759">
        <v>27.692909018330699</v>
      </c>
    </row>
    <row r="2760" spans="1:37" x14ac:dyDescent="0.2">
      <c r="A2760" t="str">
        <f>"20200111155550998"</f>
        <v>20200111155550998</v>
      </c>
      <c r="B2760" t="str">
        <f>"1578729350984826"</f>
        <v>1578729350984826</v>
      </c>
      <c r="C2760" t="s">
        <v>37</v>
      </c>
      <c r="D2760">
        <v>5.1675259999999996</v>
      </c>
      <c r="E2760">
        <v>0.54979690000000003</v>
      </c>
      <c r="F2760" t="s">
        <v>61</v>
      </c>
      <c r="G2760">
        <v>-416.6902</v>
      </c>
      <c r="H2760" s="1">
        <v>3.159254E-6</v>
      </c>
      <c r="I2760">
        <v>287.28410000000002</v>
      </c>
      <c r="J2760">
        <v>-388.96550000000002</v>
      </c>
      <c r="K2760">
        <v>1.1039129999999999</v>
      </c>
      <c r="L2760">
        <v>284.0129</v>
      </c>
      <c r="M2760">
        <v>-0.99971460000000001</v>
      </c>
      <c r="N2760">
        <v>0</v>
      </c>
      <c r="O2760">
        <v>1.9107599999999999E-2</v>
      </c>
      <c r="P2760">
        <v>-0.99957619999999903</v>
      </c>
      <c r="Q2760">
        <v>2.732207E-2</v>
      </c>
      <c r="R2760">
        <v>-1.006873E-2</v>
      </c>
      <c r="S2760">
        <v>-3.0084529999999998</v>
      </c>
      <c r="T2760">
        <v>-0.1189061</v>
      </c>
      <c r="U2760">
        <v>0.3528442</v>
      </c>
      <c r="V2760">
        <v>-2.906794E-2</v>
      </c>
      <c r="W2760">
        <v>4.1725749999999999E-2</v>
      </c>
      <c r="X2760">
        <v>0.99870619999999999</v>
      </c>
      <c r="Y2760">
        <v>9.7424810000000001E-2</v>
      </c>
      <c r="Z2760">
        <v>1.1658199999999999E-3</v>
      </c>
      <c r="AA2760">
        <v>0.99524219999999897</v>
      </c>
      <c r="AB2760">
        <v>31</v>
      </c>
      <c r="AC2760">
        <v>-27.724699999999899</v>
      </c>
      <c r="AD2760">
        <v>-1.103909840746</v>
      </c>
      <c r="AE2760">
        <v>3.2712000000000199</v>
      </c>
      <c r="AF2760">
        <v>2.73651686193916</v>
      </c>
      <c r="AG2760">
        <v>-1.103909840746</v>
      </c>
      <c r="AH2760">
        <v>27.738775848305199</v>
      </c>
      <c r="AI2760">
        <v>92.2679782296414</v>
      </c>
      <c r="AJ2760">
        <v>84.365823319779906</v>
      </c>
      <c r="AK2760">
        <v>27.895283239908</v>
      </c>
    </row>
    <row r="2761" spans="1:37" x14ac:dyDescent="0.2">
      <c r="A2761" t="str">
        <f>"20200111155551011"</f>
        <v>20200111155551011</v>
      </c>
      <c r="B2761" t="str">
        <f>"1578729351005322"</f>
        <v>1578729351005322</v>
      </c>
      <c r="C2761" t="s">
        <v>37</v>
      </c>
      <c r="D2761">
        <v>5.1021289999999997</v>
      </c>
      <c r="E2761">
        <v>0.5497841</v>
      </c>
      <c r="F2761" t="s">
        <v>61</v>
      </c>
      <c r="G2761">
        <v>-416.82499999999999</v>
      </c>
      <c r="H2761" s="1">
        <v>3.1813590000000001E-6</v>
      </c>
      <c r="I2761">
        <v>287.30470000000003</v>
      </c>
      <c r="J2761">
        <v>-389.14920000000001</v>
      </c>
      <c r="K2761">
        <v>1.1039159999999999</v>
      </c>
      <c r="L2761">
        <v>284.0172</v>
      </c>
      <c r="M2761">
        <v>-0.99970139999999996</v>
      </c>
      <c r="N2761">
        <v>0</v>
      </c>
      <c r="O2761">
        <v>1.9781770000000001E-2</v>
      </c>
      <c r="P2761">
        <v>-0.999579</v>
      </c>
      <c r="Q2761">
        <v>2.7476779999999999E-2</v>
      </c>
      <c r="R2761">
        <v>-9.3360309999999998E-3</v>
      </c>
      <c r="S2761">
        <v>-3.0081180000000001</v>
      </c>
      <c r="T2761">
        <v>-0.11919439999999901</v>
      </c>
      <c r="U2761">
        <v>0.35543819999999998</v>
      </c>
      <c r="V2761">
        <v>-2.9009179999999999E-2</v>
      </c>
      <c r="W2761">
        <v>4.1879630000000001E-2</v>
      </c>
      <c r="X2761">
        <v>0.99870149999999902</v>
      </c>
      <c r="Y2761">
        <v>9.7613069999999996E-2</v>
      </c>
      <c r="Z2761">
        <v>1.1458389999999901E-3</v>
      </c>
      <c r="AA2761">
        <v>0.99522379999999999</v>
      </c>
      <c r="AB2761">
        <v>31</v>
      </c>
      <c r="AC2761">
        <v>-27.675799999999899</v>
      </c>
      <c r="AD2761">
        <v>-1.1039128186409899</v>
      </c>
      <c r="AE2761">
        <v>3.2875000000000201</v>
      </c>
      <c r="AF2761">
        <v>2.7350330402009302</v>
      </c>
      <c r="AG2761">
        <v>-1.1039128186409899</v>
      </c>
      <c r="AH2761">
        <v>27.6919777681162</v>
      </c>
      <c r="AI2761">
        <v>92.2717880113197</v>
      </c>
      <c r="AJ2761">
        <v>84.359403664524706</v>
      </c>
      <c r="AK2761">
        <v>27.848602513447499</v>
      </c>
    </row>
    <row r="2762" spans="1:37" x14ac:dyDescent="0.2">
      <c r="A2762" t="str">
        <f>"20200111155551029"</f>
        <v>20200111155551029</v>
      </c>
      <c r="B2762" t="str">
        <f>"1578729351024843"</f>
        <v>1578729351024843</v>
      </c>
      <c r="C2762" t="s">
        <v>37</v>
      </c>
      <c r="D2762">
        <v>5.1290389999999997</v>
      </c>
      <c r="E2762">
        <v>0.54974540000000005</v>
      </c>
      <c r="F2762" t="s">
        <v>61</v>
      </c>
      <c r="G2762">
        <v>-417.04610000000002</v>
      </c>
      <c r="H2762" s="1">
        <v>3.2180890000000001E-6</v>
      </c>
      <c r="I2762">
        <v>287.33330000000001</v>
      </c>
      <c r="J2762">
        <v>-389.39670000000001</v>
      </c>
      <c r="K2762">
        <v>1.1039219999999901</v>
      </c>
      <c r="L2762">
        <v>284.022999999999</v>
      </c>
      <c r="M2762">
        <v>-0.99968310000000005</v>
      </c>
      <c r="N2762">
        <v>0</v>
      </c>
      <c r="O2762">
        <v>2.0687779999999999E-2</v>
      </c>
      <c r="P2762">
        <v>-0.9995714</v>
      </c>
      <c r="Q2762">
        <v>2.7964119999999999E-2</v>
      </c>
      <c r="R2762">
        <v>-8.6905619999999902E-3</v>
      </c>
      <c r="S2762">
        <v>-3.0078429999999998</v>
      </c>
      <c r="T2762">
        <v>-0.119024</v>
      </c>
      <c r="U2762">
        <v>0.35754390000000003</v>
      </c>
      <c r="V2762">
        <v>-2.926811E-2</v>
      </c>
      <c r="W2762">
        <v>4.2367000000000002E-2</v>
      </c>
      <c r="X2762">
        <v>0.99867329999999999</v>
      </c>
      <c r="Y2762">
        <v>9.7409809999999999E-2</v>
      </c>
      <c r="Z2762">
        <v>1.1045650000000001E-3</v>
      </c>
      <c r="AA2762">
        <v>0.99524369999999995</v>
      </c>
      <c r="AB2762">
        <v>31</v>
      </c>
      <c r="AC2762">
        <v>-27.6494</v>
      </c>
      <c r="AD2762">
        <v>-1.1039187819109999</v>
      </c>
      <c r="AE2762">
        <v>3.3103000000000402</v>
      </c>
      <c r="AF2762">
        <v>2.7332325026362998</v>
      </c>
      <c r="AG2762">
        <v>-1.1039187819109999</v>
      </c>
      <c r="AH2762">
        <v>27.6684894153865</v>
      </c>
      <c r="AI2762">
        <v>92.273722655192898</v>
      </c>
      <c r="AJ2762">
        <v>84.358338651755702</v>
      </c>
      <c r="AK2762">
        <v>27.825069687601498</v>
      </c>
    </row>
    <row r="2763" spans="1:37" x14ac:dyDescent="0.2">
      <c r="A2763" t="str">
        <f>"20200111155551045"</f>
        <v>20200111155551045</v>
      </c>
      <c r="B2763" t="str">
        <f>"1578729351034603"</f>
        <v>1578729351034603</v>
      </c>
      <c r="C2763" t="s">
        <v>37</v>
      </c>
      <c r="D2763">
        <v>5.0631709999999996</v>
      </c>
      <c r="E2763">
        <v>0.54973619999999901</v>
      </c>
      <c r="F2763" t="s">
        <v>61</v>
      </c>
      <c r="G2763">
        <v>-417.4873</v>
      </c>
      <c r="H2763" s="1">
        <v>3.292515E-6</v>
      </c>
      <c r="I2763">
        <v>287.37709999999998</v>
      </c>
      <c r="J2763">
        <v>-389.61090000000002</v>
      </c>
      <c r="K2763">
        <v>1.1039299999999901</v>
      </c>
      <c r="L2763">
        <v>284.02820000000003</v>
      </c>
      <c r="M2763">
        <v>-0.99966669999999902</v>
      </c>
      <c r="N2763">
        <v>0</v>
      </c>
      <c r="O2763">
        <v>2.1469809999999999E-2</v>
      </c>
      <c r="P2763">
        <v>-0.9995598</v>
      </c>
      <c r="Q2763">
        <v>2.85166E-2</v>
      </c>
      <c r="R2763">
        <v>-8.2029759999999903E-3</v>
      </c>
      <c r="S2763">
        <v>-3.0076900000000002</v>
      </c>
      <c r="T2763">
        <v>-0.11819780000000001</v>
      </c>
      <c r="U2763">
        <v>0.35913089999999998</v>
      </c>
      <c r="V2763">
        <v>-2.9560759999999998E-2</v>
      </c>
      <c r="W2763">
        <v>4.2918669999999999E-2</v>
      </c>
      <c r="X2763">
        <v>0.99864109999999995</v>
      </c>
      <c r="Y2763">
        <v>9.7156519999999996E-2</v>
      </c>
      <c r="Z2763">
        <v>1.0613770000000001E-3</v>
      </c>
      <c r="AA2763">
        <v>0.9952685</v>
      </c>
      <c r="AB2763">
        <v>31</v>
      </c>
      <c r="AC2763">
        <v>-27.876399999999901</v>
      </c>
      <c r="AD2763">
        <v>-1.1039267074850001</v>
      </c>
      <c r="AE2763">
        <v>3.3488999999999498</v>
      </c>
      <c r="AF2763">
        <v>2.7453213635106701</v>
      </c>
      <c r="AG2763">
        <v>-1.1039267074850001</v>
      </c>
      <c r="AH2763">
        <v>27.898751774777502</v>
      </c>
      <c r="AI2763">
        <v>92.255076139233196</v>
      </c>
      <c r="AJ2763">
        <v>84.380015517903601</v>
      </c>
      <c r="AK2763">
        <v>28.0552275726841</v>
      </c>
    </row>
    <row r="2764" spans="1:37" x14ac:dyDescent="0.2">
      <c r="A2764" t="str">
        <f>"20200111155551062"</f>
        <v>20200111155551062</v>
      </c>
      <c r="B2764" t="str">
        <f>"1578729351055098"</f>
        <v>1578729351055098</v>
      </c>
      <c r="C2764" t="s">
        <v>37</v>
      </c>
      <c r="D2764">
        <v>5.1843729999999999</v>
      </c>
      <c r="E2764">
        <v>0.54963109999999904</v>
      </c>
      <c r="F2764" t="s">
        <v>61</v>
      </c>
      <c r="G2764">
        <v>-418.0874</v>
      </c>
      <c r="H2764" s="1">
        <v>3.3931830000000001E-6</v>
      </c>
      <c r="I2764">
        <v>287.44330000000002</v>
      </c>
      <c r="J2764">
        <v>-389.85719999999998</v>
      </c>
      <c r="K2764">
        <v>1.1039479999999999</v>
      </c>
      <c r="L2764">
        <v>284.03449999999998</v>
      </c>
      <c r="M2764">
        <v>-0.99964699999999995</v>
      </c>
      <c r="N2764">
        <v>0</v>
      </c>
      <c r="O2764">
        <v>2.23664999999999E-2</v>
      </c>
      <c r="P2764">
        <v>-0.99953419999999904</v>
      </c>
      <c r="Q2764">
        <v>2.9539920000000001E-2</v>
      </c>
      <c r="R2764">
        <v>-7.6938419999999898E-3</v>
      </c>
      <c r="S2764">
        <v>-3.007568</v>
      </c>
      <c r="T2764">
        <v>-0.1165921</v>
      </c>
      <c r="U2764">
        <v>0.36068729999999999</v>
      </c>
      <c r="V2764">
        <v>-2.9946569999999999E-2</v>
      </c>
      <c r="W2764">
        <v>4.3941479999999998E-2</v>
      </c>
      <c r="X2764">
        <v>0.99858519999999995</v>
      </c>
      <c r="Y2764">
        <v>9.6778810000000007E-2</v>
      </c>
      <c r="Z2764">
        <v>1.005089E-3</v>
      </c>
      <c r="AA2764">
        <v>0.99530540000000001</v>
      </c>
      <c r="AB2764">
        <v>31</v>
      </c>
      <c r="AC2764">
        <v>-28.2302</v>
      </c>
      <c r="AD2764">
        <v>-1.103944606817</v>
      </c>
      <c r="AE2764">
        <v>3.4088000000000398</v>
      </c>
      <c r="AF2764">
        <v>2.7722928936057301</v>
      </c>
      <c r="AG2764">
        <v>-1.103944606817</v>
      </c>
      <c r="AH2764">
        <v>28.256797654921399</v>
      </c>
      <c r="AI2764">
        <v>92.226630045949605</v>
      </c>
      <c r="AJ2764">
        <v>84.396606553494294</v>
      </c>
      <c r="AK2764">
        <v>28.4139211530902</v>
      </c>
    </row>
    <row r="2765" spans="1:37" x14ac:dyDescent="0.2">
      <c r="A2765" t="str">
        <f>"20200111155551084"</f>
        <v>20200111155551084</v>
      </c>
      <c r="B2765" t="str">
        <f>"1578729351074618"</f>
        <v>1578729351074618</v>
      </c>
      <c r="C2765" t="s">
        <v>37</v>
      </c>
      <c r="D2765">
        <v>5.3770119999999997</v>
      </c>
      <c r="E2765">
        <v>0.54966409999999999</v>
      </c>
      <c r="F2765" t="s">
        <v>61</v>
      </c>
      <c r="G2765">
        <v>-418.95400000000001</v>
      </c>
      <c r="H2765" s="1">
        <v>3.5394349999999999E-6</v>
      </c>
      <c r="I2765">
        <v>287.52879999999999</v>
      </c>
      <c r="J2765">
        <v>-390.16370000000001</v>
      </c>
      <c r="K2765">
        <v>1.1039600000000001</v>
      </c>
      <c r="L2765">
        <v>284.04250000000002</v>
      </c>
      <c r="M2765">
        <v>-0.9996216</v>
      </c>
      <c r="N2765">
        <v>0</v>
      </c>
      <c r="O2765">
        <v>2.3477390000000001E-2</v>
      </c>
      <c r="P2765">
        <v>-0.999538699999999</v>
      </c>
      <c r="Q2765">
        <v>2.961039E-2</v>
      </c>
      <c r="R2765">
        <v>-6.7807479999999996E-3</v>
      </c>
      <c r="S2765">
        <v>-3.0075069999999999</v>
      </c>
      <c r="T2765">
        <v>-0.11410579999999999</v>
      </c>
      <c r="U2765">
        <v>0.36117549999999998</v>
      </c>
      <c r="V2765">
        <v>-3.0144089999999998E-2</v>
      </c>
      <c r="W2765">
        <v>4.4010559999999997E-2</v>
      </c>
      <c r="X2765">
        <v>0.99857619999999903</v>
      </c>
      <c r="Y2765">
        <v>9.5838160000000006E-2</v>
      </c>
      <c r="Z2765">
        <v>9.2395879999999995E-4</v>
      </c>
      <c r="AA2765">
        <v>0.99539650000000002</v>
      </c>
      <c r="AB2765">
        <v>31</v>
      </c>
      <c r="AC2765">
        <v>-28.790299999999998</v>
      </c>
      <c r="AD2765">
        <v>-1.1039564605650001</v>
      </c>
      <c r="AE2765">
        <v>3.4862999999999702</v>
      </c>
      <c r="AF2765">
        <v>2.80528326166066</v>
      </c>
      <c r="AG2765">
        <v>-1.1039564605650001</v>
      </c>
      <c r="AH2765">
        <v>28.822454713001001</v>
      </c>
      <c r="AI2765">
        <v>92.183162130995697</v>
      </c>
      <c r="AJ2765">
        <v>84.440923959880294</v>
      </c>
      <c r="AK2765">
        <v>28.979686501547501</v>
      </c>
    </row>
    <row r="2766" spans="1:37" x14ac:dyDescent="0.2">
      <c r="A2766" t="str">
        <f>"20200111155551098"</f>
        <v>20200111155551098</v>
      </c>
      <c r="B2766" t="str">
        <f>"1578729351095114"</f>
        <v>1578729351095114</v>
      </c>
      <c r="C2766" t="s">
        <v>37</v>
      </c>
      <c r="D2766">
        <v>5.4000810000000001</v>
      </c>
      <c r="E2766">
        <v>0.54957460000000002</v>
      </c>
      <c r="F2766" t="s">
        <v>61</v>
      </c>
      <c r="G2766">
        <v>-419.00970000000001</v>
      </c>
      <c r="H2766" s="1">
        <v>3.548677E-6</v>
      </c>
      <c r="I2766">
        <v>287.53590000000003</v>
      </c>
      <c r="J2766">
        <v>-390.35329999999999</v>
      </c>
      <c r="K2766">
        <v>1.1039669999999999</v>
      </c>
      <c r="L2766">
        <v>284.04770000000002</v>
      </c>
      <c r="M2766">
        <v>-0.99960530000000003</v>
      </c>
      <c r="N2766">
        <v>0</v>
      </c>
      <c r="O2766">
        <v>2.4161200000000001E-2</v>
      </c>
      <c r="P2766">
        <v>-0.99953840000000005</v>
      </c>
      <c r="Q2766">
        <v>2.9794709999999999E-2</v>
      </c>
      <c r="R2766">
        <v>-5.995378E-3</v>
      </c>
      <c r="S2766">
        <v>-3.0072939999999999</v>
      </c>
      <c r="T2766">
        <v>-0.1150914</v>
      </c>
      <c r="U2766">
        <v>0.36419679999999999</v>
      </c>
      <c r="V2766">
        <v>-3.0042889999999999E-2</v>
      </c>
      <c r="W2766">
        <v>4.4193000000000003E-2</v>
      </c>
      <c r="X2766">
        <v>0.99857119999999999</v>
      </c>
      <c r="Y2766">
        <v>9.6150650000000004E-2</v>
      </c>
      <c r="Z2766">
        <v>9.1185859999999997E-4</v>
      </c>
      <c r="AA2766">
        <v>0.99536639999999998</v>
      </c>
      <c r="AB2766">
        <v>31</v>
      </c>
      <c r="AC2766">
        <v>-28.656400000000001</v>
      </c>
      <c r="AD2766">
        <v>-1.1039634513229999</v>
      </c>
      <c r="AE2766">
        <v>3.4882</v>
      </c>
      <c r="AF2766">
        <v>2.7906561722173699</v>
      </c>
      <c r="AG2766">
        <v>-1.1039634513229999</v>
      </c>
      <c r="AH2766">
        <v>28.690362568354701</v>
      </c>
      <c r="AI2766">
        <v>92.193230654908504</v>
      </c>
      <c r="AJ2766">
        <v>84.444426735850499</v>
      </c>
      <c r="AK2766">
        <v>28.846895872468501</v>
      </c>
    </row>
    <row r="2767" spans="1:37" x14ac:dyDescent="0.2">
      <c r="A2767" t="str">
        <f>"20200111155551111"</f>
        <v>20200111155551111</v>
      </c>
      <c r="B2767" t="str">
        <f>"1578729351104874"</f>
        <v>1578729351104874</v>
      </c>
      <c r="C2767" t="s">
        <v>37</v>
      </c>
      <c r="D2767">
        <v>5.247058</v>
      </c>
      <c r="E2767">
        <v>0.54997940000000001</v>
      </c>
      <c r="F2767" t="s">
        <v>61</v>
      </c>
      <c r="G2767">
        <v>-419.21899999999999</v>
      </c>
      <c r="H2767" s="1">
        <v>3.58391099999999E-6</v>
      </c>
      <c r="I2767">
        <v>287.55759999999998</v>
      </c>
      <c r="J2767">
        <v>-390.5376</v>
      </c>
      <c r="K2767">
        <v>1.103972</v>
      </c>
      <c r="L2767">
        <v>284.05290000000002</v>
      </c>
      <c r="M2767">
        <v>-0.99958910000000001</v>
      </c>
      <c r="N2767">
        <v>0</v>
      </c>
      <c r="O2767">
        <v>2.482146E-2</v>
      </c>
      <c r="P2767">
        <v>-0.99954120000000002</v>
      </c>
      <c r="Q2767">
        <v>2.982431E-2</v>
      </c>
      <c r="R2767">
        <v>-5.3316689999999998E-3</v>
      </c>
      <c r="S2767">
        <v>-3.0069889999999999</v>
      </c>
      <c r="T2767">
        <v>-0.1150021</v>
      </c>
      <c r="U2767">
        <v>0.36563109999999999</v>
      </c>
      <c r="V2767">
        <v>-3.003952E-2</v>
      </c>
      <c r="W2767">
        <v>4.4221589999999998E-2</v>
      </c>
      <c r="X2767">
        <v>0.99856999999999996</v>
      </c>
      <c r="Y2767">
        <v>9.5973790000000003E-2</v>
      </c>
      <c r="Z2767">
        <v>8.8272169999999996E-4</v>
      </c>
      <c r="AA2767">
        <v>0.99538340000000003</v>
      </c>
      <c r="AB2767">
        <v>31</v>
      </c>
      <c r="AC2767">
        <v>-28.6814</v>
      </c>
      <c r="AD2767">
        <v>-1.103968416089</v>
      </c>
      <c r="AE2767">
        <v>3.50469999999995</v>
      </c>
      <c r="AF2767">
        <v>2.7875634659638999</v>
      </c>
      <c r="AG2767">
        <v>-1.103968416089</v>
      </c>
      <c r="AH2767">
        <v>28.717641829366599</v>
      </c>
      <c r="AI2767">
        <v>92.191201314817306</v>
      </c>
      <c r="AJ2767">
        <v>84.455783807846402</v>
      </c>
      <c r="AK2767">
        <v>28.8737286920184</v>
      </c>
    </row>
    <row r="2768" spans="1:37" x14ac:dyDescent="0.2">
      <c r="A2768" t="str">
        <f>"20200111155551127"</f>
        <v>20200111155551127</v>
      </c>
      <c r="B2768" t="str">
        <f>"1578729351125370"</f>
        <v>1578729351125370</v>
      </c>
      <c r="C2768" t="s">
        <v>37</v>
      </c>
      <c r="D2768">
        <v>4.1012199999999996</v>
      </c>
      <c r="E2768">
        <v>0.55246729999999999</v>
      </c>
      <c r="F2768" t="s">
        <v>61</v>
      </c>
      <c r="G2768">
        <v>-418.72089999999997</v>
      </c>
      <c r="H2768" s="1">
        <v>3.4982670000000002E-6</v>
      </c>
      <c r="I2768">
        <v>287.52659999999997</v>
      </c>
      <c r="J2768">
        <v>-390.75490000000002</v>
      </c>
      <c r="K2768">
        <v>1.10398</v>
      </c>
      <c r="L2768">
        <v>284.0591</v>
      </c>
      <c r="M2768">
        <v>-0.99956959999999995</v>
      </c>
      <c r="N2768">
        <v>0</v>
      </c>
      <c r="O2768">
        <v>2.5594099999999901E-2</v>
      </c>
      <c r="P2768">
        <v>-0.99954529999999997</v>
      </c>
      <c r="Q2768">
        <v>2.9841159999999999E-2</v>
      </c>
      <c r="R2768">
        <v>-4.3218079999999999E-3</v>
      </c>
      <c r="S2768">
        <v>-3.006866</v>
      </c>
      <c r="T2768">
        <v>-0.1177821</v>
      </c>
      <c r="U2768">
        <v>0.37060549999999998</v>
      </c>
      <c r="V2768">
        <v>-2.9803329999999999E-2</v>
      </c>
      <c r="W2768">
        <v>4.4236350000000001E-2</v>
      </c>
      <c r="X2768">
        <v>0.99857649999999998</v>
      </c>
      <c r="Y2768">
        <v>9.6829079999999998E-2</v>
      </c>
      <c r="Z2768">
        <v>8.905645E-4</v>
      </c>
      <c r="AA2768">
        <v>0.99530069999999904</v>
      </c>
      <c r="AB2768">
        <v>31</v>
      </c>
      <c r="AC2768">
        <v>-27.965999999999902</v>
      </c>
      <c r="AD2768">
        <v>-1.1039765017329899</v>
      </c>
      <c r="AE2768">
        <v>3.4674999999999701</v>
      </c>
      <c r="AF2768">
        <v>2.7463108397355902</v>
      </c>
      <c r="AG2768">
        <v>-1.1039765017329899</v>
      </c>
      <c r="AH2768">
        <v>28.0026170342074</v>
      </c>
      <c r="AI2768">
        <v>92.246893595284405</v>
      </c>
      <c r="AJ2768">
        <v>84.398722769994095</v>
      </c>
      <c r="AK2768">
        <v>28.158614101360001</v>
      </c>
    </row>
    <row r="2769" spans="1:37" x14ac:dyDescent="0.2">
      <c r="A2769" t="str">
        <f>"20200111155551140"</f>
        <v>20200111155551140</v>
      </c>
      <c r="B2769" t="str">
        <f>"1578729351135130"</f>
        <v>1578729351135130</v>
      </c>
      <c r="C2769" t="s">
        <v>37</v>
      </c>
      <c r="D2769">
        <v>4.1747779999999999</v>
      </c>
      <c r="E2769">
        <v>0.554257</v>
      </c>
      <c r="F2769" t="s">
        <v>61</v>
      </c>
      <c r="G2769">
        <v>-420.02330000000001</v>
      </c>
      <c r="H2769" s="1">
        <v>3.674064E-6</v>
      </c>
      <c r="I2769">
        <v>287.89249999999998</v>
      </c>
      <c r="J2769">
        <v>-390.94119999999998</v>
      </c>
      <c r="K2769">
        <v>1.1039889999999899</v>
      </c>
      <c r="L2769">
        <v>284.06450000000001</v>
      </c>
      <c r="M2769">
        <v>-0.99955249999999995</v>
      </c>
      <c r="N2769">
        <v>0</v>
      </c>
      <c r="O2769">
        <v>2.6250869999999999E-2</v>
      </c>
      <c r="P2769">
        <v>-0.99954979999999904</v>
      </c>
      <c r="Q2769">
        <v>2.983767E-2</v>
      </c>
      <c r="R2769">
        <v>-3.1771999999999998E-3</v>
      </c>
      <c r="S2769">
        <v>-3.0064389999999999</v>
      </c>
      <c r="T2769">
        <v>-0.1134</v>
      </c>
      <c r="U2769">
        <v>0.39376830000000002</v>
      </c>
      <c r="V2769">
        <v>-2.931622E-2</v>
      </c>
      <c r="W2769">
        <v>4.4230159999999998E-2</v>
      </c>
      <c r="X2769">
        <v>0.99859109999999995</v>
      </c>
      <c r="Y2769">
        <v>0.1037357</v>
      </c>
      <c r="Z2769">
        <v>9.622074E-4</v>
      </c>
      <c r="AA2769">
        <v>0.99460439999999894</v>
      </c>
      <c r="AB2769">
        <v>31</v>
      </c>
      <c r="AC2769">
        <v>-29.082100000000001</v>
      </c>
      <c r="AD2769">
        <v>-1.103985325936</v>
      </c>
      <c r="AE2769">
        <v>3.8279999999999701</v>
      </c>
      <c r="AF2769">
        <v>3.0588387643755399</v>
      </c>
      <c r="AG2769">
        <v>-1.103985325936</v>
      </c>
      <c r="AH2769">
        <v>29.131310167271799</v>
      </c>
      <c r="AI2769">
        <v>92.158436993883896</v>
      </c>
      <c r="AJ2769">
        <v>84.005807454510105</v>
      </c>
      <c r="AK2769">
        <v>29.3122587025995</v>
      </c>
    </row>
    <row r="2770" spans="1:37" x14ac:dyDescent="0.2">
      <c r="A2770" t="str">
        <f>"20200111155551176"</f>
        <v>20200111155551176</v>
      </c>
      <c r="B2770" t="str">
        <f>"1578729351165386"</f>
        <v>1578729351165386</v>
      </c>
      <c r="C2770" t="s">
        <v>37</v>
      </c>
      <c r="D2770">
        <v>5.1210490000000002</v>
      </c>
      <c r="E2770">
        <v>0.55489299999999997</v>
      </c>
      <c r="F2770" t="s">
        <v>61</v>
      </c>
      <c r="G2770">
        <v>-421.69560000000001</v>
      </c>
      <c r="H2770" s="1">
        <v>3.3435479999999999E-6</v>
      </c>
      <c r="I2770">
        <v>288.27999999999997</v>
      </c>
      <c r="J2770">
        <v>-391.4366</v>
      </c>
      <c r="K2770">
        <v>1.1040219999999901</v>
      </c>
      <c r="L2770">
        <v>284.0795</v>
      </c>
      <c r="M2770">
        <v>-0.99950629999999996</v>
      </c>
      <c r="N2770">
        <v>0</v>
      </c>
      <c r="O2770">
        <v>2.7959609999999999E-2</v>
      </c>
      <c r="P2770">
        <v>-0.99955020000000006</v>
      </c>
      <c r="Q2770">
        <v>2.9989080000000001E-2</v>
      </c>
      <c r="R2770">
        <v>-5.3167500000000001E-4</v>
      </c>
      <c r="S2770">
        <v>-3.0059200000000001</v>
      </c>
      <c r="T2770">
        <v>-0.107903</v>
      </c>
      <c r="U2770">
        <v>0.41201779999999999</v>
      </c>
      <c r="V2770">
        <v>-2.838274E-2</v>
      </c>
      <c r="W2770">
        <v>4.4374030000000002E-2</v>
      </c>
      <c r="X2770">
        <v>0.99861169999999999</v>
      </c>
      <c r="Y2770">
        <v>0.107991899999999</v>
      </c>
      <c r="Z2770">
        <v>9.304491E-4</v>
      </c>
      <c r="AA2770">
        <v>0.99415140000000002</v>
      </c>
      <c r="AB2770">
        <v>31</v>
      </c>
      <c r="AC2770">
        <v>-30.259</v>
      </c>
      <c r="AD2770">
        <v>-1.10401865645199</v>
      </c>
      <c r="AE2770">
        <v>4.2004999999999697</v>
      </c>
      <c r="AF2770">
        <v>3.3483676664591702</v>
      </c>
      <c r="AG2770">
        <v>-1.10401865645199</v>
      </c>
      <c r="AH2770">
        <v>30.325018848041498</v>
      </c>
      <c r="AI2770">
        <v>92.072416904016293</v>
      </c>
      <c r="AJ2770">
        <v>83.699151768961997</v>
      </c>
      <c r="AK2770">
        <v>30.529284160583501</v>
      </c>
    </row>
    <row r="2771" spans="1:37" x14ac:dyDescent="0.2">
      <c r="A2771" t="str">
        <f>"20200111155551219"</f>
        <v>20200111155551219</v>
      </c>
      <c r="B2771" t="str">
        <f>"1578729351215186"</f>
        <v>1578729351215186</v>
      </c>
      <c r="C2771" t="s">
        <v>37</v>
      </c>
      <c r="D2771">
        <v>5.3039680000000002</v>
      </c>
      <c r="E2771">
        <v>0.55708089999999999</v>
      </c>
      <c r="F2771" t="s">
        <v>61</v>
      </c>
      <c r="G2771">
        <v>-422.02870000000001</v>
      </c>
      <c r="H2771" s="1">
        <v>3.27351099999999E-6</v>
      </c>
      <c r="I2771">
        <v>288.4051</v>
      </c>
      <c r="J2771">
        <v>-392.02089999999998</v>
      </c>
      <c r="K2771">
        <v>1.10406</v>
      </c>
      <c r="L2771">
        <v>284.09820000000002</v>
      </c>
      <c r="M2771">
        <v>-0.99945030000000001</v>
      </c>
      <c r="N2771">
        <v>0</v>
      </c>
      <c r="O2771">
        <v>2.9899849999999999E-2</v>
      </c>
      <c r="P2771">
        <v>-0.99953309999999995</v>
      </c>
      <c r="Q2771">
        <v>3.0479639999999999E-2</v>
      </c>
      <c r="R2771">
        <v>2.2227010000000001E-3</v>
      </c>
      <c r="S2771">
        <v>-3.0048219999999999</v>
      </c>
      <c r="T2771">
        <v>-0.1084391</v>
      </c>
      <c r="U2771">
        <v>0.42486570000000001</v>
      </c>
      <c r="V2771">
        <v>-2.7571689999999999E-2</v>
      </c>
      <c r="W2771">
        <v>4.4854669999999999E-2</v>
      </c>
      <c r="X2771">
        <v>0.99861290000000003</v>
      </c>
      <c r="Y2771">
        <v>0.1102798</v>
      </c>
      <c r="Z2771">
        <v>9.0664749999999996E-4</v>
      </c>
      <c r="AA2771">
        <v>0.99390020000000001</v>
      </c>
      <c r="AB2771">
        <v>31</v>
      </c>
      <c r="AC2771">
        <v>-30.0078</v>
      </c>
      <c r="AD2771">
        <v>-1.104056726489</v>
      </c>
      <c r="AE2771">
        <v>4.3068999999999802</v>
      </c>
      <c r="AF2771">
        <v>3.4031394823761101</v>
      </c>
      <c r="AG2771">
        <v>-1.104056726489</v>
      </c>
      <c r="AH2771">
        <v>30.083268593648199</v>
      </c>
      <c r="AI2771">
        <v>92.088504329479406</v>
      </c>
      <c r="AJ2771">
        <v>83.545910358093494</v>
      </c>
      <c r="AK2771">
        <v>30.295269414042</v>
      </c>
    </row>
    <row r="2772" spans="1:37" x14ac:dyDescent="0.2">
      <c r="A2772" t="str">
        <f>"20200111155551246"</f>
        <v>20200111155551246</v>
      </c>
      <c r="B2772" t="str">
        <f>"1578729351234708"</f>
        <v>1578729351234708</v>
      </c>
      <c r="C2772" t="s">
        <v>37</v>
      </c>
      <c r="D2772">
        <v>5.4193899999999999</v>
      </c>
      <c r="E2772">
        <v>0.55745009999999995</v>
      </c>
      <c r="F2772" t="s">
        <v>61</v>
      </c>
      <c r="G2772">
        <v>-424.07130000000001</v>
      </c>
      <c r="H2772" s="1">
        <v>2.8669999999999998E-6</v>
      </c>
      <c r="I2772">
        <v>288.91070000000002</v>
      </c>
      <c r="J2772">
        <v>-392.4033</v>
      </c>
      <c r="K2772">
        <v>1.1040889999999901</v>
      </c>
      <c r="L2772">
        <v>284.11110000000002</v>
      </c>
      <c r="M2772">
        <v>-0.9994132</v>
      </c>
      <c r="N2772">
        <v>0</v>
      </c>
      <c r="O2772">
        <v>3.1115279999999999E-2</v>
      </c>
      <c r="P2772">
        <v>-0.99951569999999901</v>
      </c>
      <c r="Q2772">
        <v>3.0884330000000002E-2</v>
      </c>
      <c r="R2772">
        <v>3.8095459999999901E-3</v>
      </c>
      <c r="S2772">
        <v>-3.0035400000000001</v>
      </c>
      <c r="T2772">
        <v>-0.1034645</v>
      </c>
      <c r="U2772">
        <v>0.45098879999999902</v>
      </c>
      <c r="V2772">
        <v>-2.720216E-2</v>
      </c>
      <c r="W2772">
        <v>4.525291E-2</v>
      </c>
      <c r="X2772">
        <v>0.99860509999999902</v>
      </c>
      <c r="Y2772">
        <v>0.1175923</v>
      </c>
      <c r="Z2772">
        <v>9.4858479999999998E-4</v>
      </c>
      <c r="AA2772">
        <v>0.99306149999999904</v>
      </c>
      <c r="AB2772">
        <v>31</v>
      </c>
      <c r="AC2772">
        <v>-31.667999999999999</v>
      </c>
      <c r="AD2772">
        <v>-1.10408613299999</v>
      </c>
      <c r="AE2772">
        <v>4.7995999999999901</v>
      </c>
      <c r="AF2772">
        <v>3.8072918705633598</v>
      </c>
      <c r="AG2772">
        <v>-1.10408613299999</v>
      </c>
      <c r="AH2772">
        <v>31.764276143328601</v>
      </c>
      <c r="AI2772">
        <v>91.976591015762693</v>
      </c>
      <c r="AJ2772">
        <v>83.165088501285098</v>
      </c>
      <c r="AK2772">
        <v>32.010681287444903</v>
      </c>
    </row>
    <row r="2773" spans="1:37" x14ac:dyDescent="0.2">
      <c r="A2773" t="str">
        <f>"20200111155551263"</f>
        <v>20200111155551263</v>
      </c>
      <c r="B2773" t="str">
        <f>"1578729351255202"</f>
        <v>1578729351255202</v>
      </c>
      <c r="C2773" t="s">
        <v>37</v>
      </c>
      <c r="D2773">
        <v>4.1581650000000003</v>
      </c>
      <c r="E2773">
        <v>0.55938149999999998</v>
      </c>
      <c r="F2773" t="s">
        <v>61</v>
      </c>
      <c r="G2773">
        <v>-424.2869</v>
      </c>
      <c r="H2773" s="1">
        <v>2.8227870000000002E-6</v>
      </c>
      <c r="I2773">
        <v>288.97890000000001</v>
      </c>
      <c r="J2773">
        <v>-392.62720000000002</v>
      </c>
      <c r="K2773">
        <v>1.1041030000000001</v>
      </c>
      <c r="L2773">
        <v>284.11880000000002</v>
      </c>
      <c r="M2773">
        <v>-0.99939109999999998</v>
      </c>
      <c r="N2773">
        <v>0</v>
      </c>
      <c r="O2773">
        <v>3.1813550000000003E-2</v>
      </c>
      <c r="P2773">
        <v>-0.99950169999999905</v>
      </c>
      <c r="Q2773">
        <v>3.121962E-2</v>
      </c>
      <c r="R2773">
        <v>4.6662099999999996E-3</v>
      </c>
      <c r="S2773">
        <v>-3.0029300000000001</v>
      </c>
      <c r="T2773">
        <v>-0.1039873</v>
      </c>
      <c r="U2773">
        <v>0.45846559999999997</v>
      </c>
      <c r="V2773">
        <v>-2.7044619999999998E-2</v>
      </c>
      <c r="W2773">
        <v>4.5584920000000001E-2</v>
      </c>
      <c r="X2773">
        <v>0.99859430000000005</v>
      </c>
      <c r="Y2773">
        <v>0.11934400000000001</v>
      </c>
      <c r="Z2773">
        <v>9.5954609999999996E-4</v>
      </c>
      <c r="AA2773">
        <v>0.99285249999999903</v>
      </c>
      <c r="AB2773">
        <v>31</v>
      </c>
      <c r="AC2773">
        <v>-31.659699999999901</v>
      </c>
      <c r="AD2773">
        <v>-1.1041001772129999</v>
      </c>
      <c r="AE2773">
        <v>4.8600999999999797</v>
      </c>
      <c r="AF2773">
        <v>3.8457590334971599</v>
      </c>
      <c r="AG2773">
        <v>-1.1041001772129999</v>
      </c>
      <c r="AH2773">
        <v>31.7605663935867</v>
      </c>
      <c r="AI2773">
        <v>91.976559473424601</v>
      </c>
      <c r="AJ2773">
        <v>83.095896184287398</v>
      </c>
      <c r="AK2773">
        <v>32.011599106987397</v>
      </c>
    </row>
    <row r="2774" spans="1:37" x14ac:dyDescent="0.2">
      <c r="A2774" t="str">
        <f>"20200111155551276"</f>
        <v>20200111155551276</v>
      </c>
      <c r="B2774" t="str">
        <f>"1578729351264962"</f>
        <v>1578729351264962</v>
      </c>
      <c r="C2774" t="s">
        <v>37</v>
      </c>
      <c r="D2774">
        <v>4.1608349999999996</v>
      </c>
      <c r="E2774">
        <v>0.56088130000000003</v>
      </c>
      <c r="F2774" t="s">
        <v>61</v>
      </c>
      <c r="G2774">
        <v>-425.75580000000002</v>
      </c>
      <c r="H2774" s="1">
        <v>2.5275040000000001E-6</v>
      </c>
      <c r="I2774">
        <v>289.37619999999998</v>
      </c>
      <c r="J2774">
        <v>-392.81889999999999</v>
      </c>
      <c r="K2774">
        <v>1.104117</v>
      </c>
      <c r="L2774">
        <v>284.12549999999999</v>
      </c>
      <c r="M2774">
        <v>-0.99937240000000005</v>
      </c>
      <c r="N2774">
        <v>0</v>
      </c>
      <c r="O2774">
        <v>3.2403630000000003E-2</v>
      </c>
      <c r="P2774">
        <v>-0.99949690000000002</v>
      </c>
      <c r="Q2774">
        <v>3.128802E-2</v>
      </c>
      <c r="R2774">
        <v>5.2344540000000004E-3</v>
      </c>
      <c r="S2774">
        <v>-3.0024109999999999</v>
      </c>
      <c r="T2774">
        <v>-0.1000636</v>
      </c>
      <c r="U2774">
        <v>0.47647089999999998</v>
      </c>
      <c r="V2774">
        <v>-2.7067870000000001E-2</v>
      </c>
      <c r="W2774">
        <v>4.5650650000000001E-2</v>
      </c>
      <c r="X2774">
        <v>0.99859069999999905</v>
      </c>
      <c r="Y2774">
        <v>0.1245961</v>
      </c>
      <c r="Z2774">
        <v>9.9056519999999996E-4</v>
      </c>
      <c r="AA2774">
        <v>0.99220710000000001</v>
      </c>
      <c r="AB2774">
        <v>31</v>
      </c>
      <c r="AC2774">
        <v>-32.936900000000001</v>
      </c>
      <c r="AD2774">
        <v>-1.1041144724959999</v>
      </c>
      <c r="AE2774">
        <v>5.2506999999999904</v>
      </c>
      <c r="AF2774">
        <v>4.1759812925984301</v>
      </c>
      <c r="AG2774">
        <v>-1.1041144724959999</v>
      </c>
      <c r="AH2774">
        <v>33.053536525217702</v>
      </c>
      <c r="AI2774">
        <v>91.898109225644902</v>
      </c>
      <c r="AJ2774">
        <v>82.799405276201796</v>
      </c>
      <c r="AK2774">
        <v>33.334579123612798</v>
      </c>
    </row>
    <row r="2775" spans="1:37" x14ac:dyDescent="0.2">
      <c r="A2775" t="str">
        <f>"20200111155551290"</f>
        <v>20200111155551290</v>
      </c>
      <c r="B2775" t="str">
        <f>"1578729351285458"</f>
        <v>1578729351285458</v>
      </c>
      <c r="C2775" t="s">
        <v>37</v>
      </c>
      <c r="D2775">
        <v>4.1617199999999999</v>
      </c>
      <c r="E2775">
        <v>0.56375569999999997</v>
      </c>
      <c r="F2775" t="s">
        <v>61</v>
      </c>
      <c r="G2775">
        <v>-427.44670000000002</v>
      </c>
      <c r="H2775" s="1">
        <v>2.1474649999999999E-6</v>
      </c>
      <c r="I2775">
        <v>289.7835</v>
      </c>
      <c r="J2775">
        <v>-392.99970000000002</v>
      </c>
      <c r="K2775">
        <v>1.104128</v>
      </c>
      <c r="L2775">
        <v>284.13200000000001</v>
      </c>
      <c r="M2775">
        <v>-0.99935429999999903</v>
      </c>
      <c r="N2775">
        <v>0</v>
      </c>
      <c r="O2775">
        <v>3.295261E-2</v>
      </c>
      <c r="P2775">
        <v>-0.99949379999999999</v>
      </c>
      <c r="Q2775">
        <v>3.1314069999999999E-2</v>
      </c>
      <c r="R2775">
        <v>5.624085E-3</v>
      </c>
      <c r="S2775">
        <v>-3.0019840000000002</v>
      </c>
      <c r="T2775">
        <v>-9.5719100000000001E-2</v>
      </c>
      <c r="U2775">
        <v>0.49050899999999997</v>
      </c>
      <c r="V2775">
        <v>-2.7227830000000001E-2</v>
      </c>
      <c r="W2775">
        <v>4.5674470000000002E-2</v>
      </c>
      <c r="X2775">
        <v>0.99858519999999995</v>
      </c>
      <c r="Y2775">
        <v>0.12859699999999999</v>
      </c>
      <c r="Z2775">
        <v>9.9337319999999994E-4</v>
      </c>
      <c r="AA2775">
        <v>0.99169640000000003</v>
      </c>
      <c r="AB2775">
        <v>31</v>
      </c>
      <c r="AC2775">
        <v>-34.447000000000003</v>
      </c>
      <c r="AD2775">
        <v>-1.104125852535</v>
      </c>
      <c r="AE2775">
        <v>5.6514999999999898</v>
      </c>
      <c r="AF2775">
        <v>4.5086843896128599</v>
      </c>
      <c r="AG2775">
        <v>-1.104125852535</v>
      </c>
      <c r="AH2775">
        <v>34.579943502151799</v>
      </c>
      <c r="AI2775">
        <v>91.813474189914999</v>
      </c>
      <c r="AJ2775">
        <v>82.571431764072798</v>
      </c>
      <c r="AK2775">
        <v>34.890110653813998</v>
      </c>
    </row>
    <row r="2776" spans="1:37" x14ac:dyDescent="0.2">
      <c r="A2776" t="str">
        <f>"20200111155551304"</f>
        <v>20200111155551304</v>
      </c>
      <c r="B2776" t="str">
        <f>"1578729351295218"</f>
        <v>1578729351295218</v>
      </c>
      <c r="C2776" t="s">
        <v>37</v>
      </c>
      <c r="D2776">
        <v>4.1873769999999997</v>
      </c>
      <c r="E2776">
        <v>0.56509089999999995</v>
      </c>
      <c r="F2776" t="s">
        <v>61</v>
      </c>
      <c r="G2776">
        <v>-430.87</v>
      </c>
      <c r="H2776">
        <v>1.0865439999999901E-3</v>
      </c>
      <c r="I2776">
        <v>290.63099999999997</v>
      </c>
      <c r="J2776">
        <v>-393.18669999999997</v>
      </c>
      <c r="K2776">
        <v>1.1041379999999901</v>
      </c>
      <c r="L2776">
        <v>284.13869999999997</v>
      </c>
      <c r="M2776">
        <v>-0.99933549999999904</v>
      </c>
      <c r="N2776">
        <v>0</v>
      </c>
      <c r="O2776">
        <v>3.3517030000000003E-2</v>
      </c>
      <c r="P2776">
        <v>-0.99948630000000005</v>
      </c>
      <c r="Q2776">
        <v>3.1465640000000003E-2</v>
      </c>
      <c r="R2776">
        <v>6.0890759999999997E-3</v>
      </c>
      <c r="S2776">
        <v>-3.001404</v>
      </c>
      <c r="T2776">
        <v>-8.742142E-2</v>
      </c>
      <c r="U2776">
        <v>0.51507570000000003</v>
      </c>
      <c r="V2776">
        <v>-2.7328109999999999E-2</v>
      </c>
      <c r="W2776">
        <v>4.5824040000000003E-2</v>
      </c>
      <c r="X2776">
        <v>0.99857559999999901</v>
      </c>
      <c r="Y2776">
        <v>0.13596429999999901</v>
      </c>
      <c r="Z2776">
        <v>9.9709749999999991E-4</v>
      </c>
      <c r="AA2776">
        <v>0.99071319999999996</v>
      </c>
      <c r="AB2776">
        <v>31</v>
      </c>
      <c r="AC2776">
        <v>-37.683300000000003</v>
      </c>
      <c r="AD2776">
        <v>-1.10305145599999</v>
      </c>
      <c r="AE2776">
        <v>6.4923000000000002</v>
      </c>
      <c r="AF2776">
        <v>5.22114498344511</v>
      </c>
      <c r="AG2776">
        <v>-1.10305145599999</v>
      </c>
      <c r="AH2776">
        <v>37.848253490148799</v>
      </c>
      <c r="AI2776">
        <v>91.653706549593494</v>
      </c>
      <c r="AJ2776">
        <v>82.145652410623995</v>
      </c>
      <c r="AK2776">
        <v>38.222602864107799</v>
      </c>
    </row>
    <row r="2777" spans="1:37" x14ac:dyDescent="0.2">
      <c r="A2777" t="str">
        <f>"20200111155551317"</f>
        <v>20200111155551317</v>
      </c>
      <c r="B2777" t="str">
        <f>"1578729351314738"</f>
        <v>1578729351314738</v>
      </c>
      <c r="C2777" t="s">
        <v>37</v>
      </c>
      <c r="D2777">
        <v>7.8903419999999898</v>
      </c>
      <c r="E2777">
        <v>0.56651560000000001</v>
      </c>
      <c r="F2777" t="s">
        <v>61</v>
      </c>
      <c r="G2777">
        <v>-430.7706</v>
      </c>
      <c r="H2777">
        <v>5.771039E-2</v>
      </c>
      <c r="I2777">
        <v>290.74119999999999</v>
      </c>
      <c r="J2777">
        <v>-393.37799999999999</v>
      </c>
      <c r="K2777">
        <v>1.1041459999999901</v>
      </c>
      <c r="L2777">
        <v>284.14569999999998</v>
      </c>
      <c r="M2777">
        <v>-0.99931630000000005</v>
      </c>
      <c r="N2777">
        <v>0</v>
      </c>
      <c r="O2777">
        <v>3.4090589999999997E-2</v>
      </c>
      <c r="P2777">
        <v>-0.99947169999999896</v>
      </c>
      <c r="Q2777">
        <v>3.1803079999999997E-2</v>
      </c>
      <c r="R2777">
        <v>6.7382040000000002E-3</v>
      </c>
      <c r="S2777">
        <v>-3.0009769999999998</v>
      </c>
      <c r="T2777">
        <v>-8.3554630000000005E-2</v>
      </c>
      <c r="U2777">
        <v>0.52719119999999997</v>
      </c>
      <c r="V2777">
        <v>-2.725199E-2</v>
      </c>
      <c r="W2777">
        <v>4.615843E-2</v>
      </c>
      <c r="X2777">
        <v>0.99856230000000001</v>
      </c>
      <c r="Y2777">
        <v>0.1393037</v>
      </c>
      <c r="Z2777">
        <v>9.831435999999999E-4</v>
      </c>
      <c r="AA2777">
        <v>0.99024920000000005</v>
      </c>
      <c r="AB2777">
        <v>31</v>
      </c>
      <c r="AC2777">
        <v>-37.392599999999902</v>
      </c>
      <c r="AD2777">
        <v>-1.0464356099999901</v>
      </c>
      <c r="AE2777">
        <v>6.5955000000000101</v>
      </c>
      <c r="AF2777">
        <v>5.3127640021943199</v>
      </c>
      <c r="AG2777">
        <v>-1.0464356099999901</v>
      </c>
      <c r="AH2777">
        <v>37.567194882062701</v>
      </c>
      <c r="AI2777">
        <v>91.579851502979196</v>
      </c>
      <c r="AJ2777">
        <v>81.950592308223307</v>
      </c>
      <c r="AK2777">
        <v>37.955429389426897</v>
      </c>
    </row>
    <row r="2778" spans="1:37" x14ac:dyDescent="0.2">
      <c r="A2778" t="str">
        <f>"20200111155551352"</f>
        <v>20200111155551352</v>
      </c>
      <c r="B2778" t="str">
        <f>"1578729351344993"</f>
        <v>1578729351344993</v>
      </c>
      <c r="C2778" t="s">
        <v>37</v>
      </c>
      <c r="D2778">
        <v>5.2845459999999997</v>
      </c>
      <c r="E2778">
        <v>0.56572690000000003</v>
      </c>
      <c r="F2778" t="s">
        <v>61</v>
      </c>
      <c r="G2778">
        <v>-433.61649999999997</v>
      </c>
      <c r="H2778">
        <v>8.0000070000000006E-2</v>
      </c>
      <c r="I2778">
        <v>291.40260000000001</v>
      </c>
      <c r="J2778">
        <v>-393.8569</v>
      </c>
      <c r="K2778">
        <v>1.104158</v>
      </c>
      <c r="L2778">
        <v>284.16379999999998</v>
      </c>
      <c r="M2778">
        <v>-0.99926669999999995</v>
      </c>
      <c r="N2778">
        <v>0</v>
      </c>
      <c r="O2778">
        <v>3.5511889999999997E-2</v>
      </c>
      <c r="P2778">
        <v>-0.99946190000000001</v>
      </c>
      <c r="Q2778">
        <v>3.1854250000000001E-2</v>
      </c>
      <c r="R2778">
        <v>7.8259590000000004E-3</v>
      </c>
      <c r="S2778">
        <v>-3.0003660000000001</v>
      </c>
      <c r="T2778">
        <v>-7.6364870000000001E-2</v>
      </c>
      <c r="U2778">
        <v>0.54110719999999901</v>
      </c>
      <c r="V2778">
        <v>-2.7587609999999999E-2</v>
      </c>
      <c r="W2778">
        <v>4.6203679999999997E-2</v>
      </c>
      <c r="X2778">
        <v>0.99855099999999997</v>
      </c>
      <c r="Y2778">
        <v>0.1423867</v>
      </c>
      <c r="Z2778">
        <v>9.0151039999999895E-4</v>
      </c>
      <c r="AA2778">
        <v>0.98981070000000004</v>
      </c>
      <c r="AB2778">
        <v>31</v>
      </c>
      <c r="AC2778">
        <v>-39.759599999999899</v>
      </c>
      <c r="AD2778">
        <v>-1.0241579300000001</v>
      </c>
      <c r="AE2778">
        <v>7.2388000000000199</v>
      </c>
      <c r="AF2778">
        <v>5.8184132203461596</v>
      </c>
      <c r="AG2778">
        <v>-1.0241579300000001</v>
      </c>
      <c r="AH2778">
        <v>39.965939316211703</v>
      </c>
      <c r="AI2778">
        <v>91.452620537124602</v>
      </c>
      <c r="AJ2778">
        <v>81.716827061079002</v>
      </c>
      <c r="AK2778">
        <v>40.400236847020999</v>
      </c>
    </row>
    <row r="2779" spans="1:37" x14ac:dyDescent="0.2">
      <c r="A2779" t="str">
        <f>"20200111155551368"</f>
        <v>20200111155551368</v>
      </c>
      <c r="B2779" t="str">
        <f>"1578729351365490"</f>
        <v>1578729351365490</v>
      </c>
      <c r="C2779" t="s">
        <v>37</v>
      </c>
      <c r="D2779">
        <v>5.2486930000000003</v>
      </c>
      <c r="E2779">
        <v>0.56509860000000001</v>
      </c>
      <c r="F2779" t="s">
        <v>61</v>
      </c>
      <c r="G2779">
        <v>-435.6</v>
      </c>
      <c r="H2779">
        <v>7.9999990000000007E-2</v>
      </c>
      <c r="I2779">
        <v>291.6524</v>
      </c>
      <c r="J2779">
        <v>-394.06380000000001</v>
      </c>
      <c r="K2779">
        <v>1.1041639999999999</v>
      </c>
      <c r="L2779">
        <v>284.17180000000002</v>
      </c>
      <c r="M2779">
        <v>-0.99924489999999999</v>
      </c>
      <c r="N2779">
        <v>0</v>
      </c>
      <c r="O2779">
        <v>3.6122080000000001E-2</v>
      </c>
      <c r="P2779">
        <v>-0.99945689999999998</v>
      </c>
      <c r="Q2779">
        <v>3.1918910000000002E-2</v>
      </c>
      <c r="R2779">
        <v>8.2007219999999902E-3</v>
      </c>
      <c r="S2779">
        <v>-2.9997560000000001</v>
      </c>
      <c r="T2779">
        <v>-7.3598269999999993E-2</v>
      </c>
      <c r="U2779">
        <v>0.53814700000000004</v>
      </c>
      <c r="V2779">
        <v>-2.7823219999999999E-2</v>
      </c>
      <c r="W2779">
        <v>4.6266069999999999E-2</v>
      </c>
      <c r="X2779">
        <v>0.99854159999999903</v>
      </c>
      <c r="Y2779">
        <v>0.1408741</v>
      </c>
      <c r="Z2779">
        <v>8.3587850000000003E-4</v>
      </c>
      <c r="AA2779">
        <v>0.990027199999999</v>
      </c>
      <c r="AB2779">
        <v>31</v>
      </c>
      <c r="AC2779">
        <v>-41.536200000000001</v>
      </c>
      <c r="AD2779">
        <v>-1.02416401</v>
      </c>
      <c r="AE2779">
        <v>7.4805999999999804</v>
      </c>
      <c r="AF2779">
        <v>5.9716728608251204</v>
      </c>
      <c r="AG2779">
        <v>-1.02416401</v>
      </c>
      <c r="AH2779">
        <v>41.754741500606798</v>
      </c>
      <c r="AI2779">
        <v>91.390926811042405</v>
      </c>
      <c r="AJ2779">
        <v>81.860874831565198</v>
      </c>
      <c r="AK2779">
        <v>42.192039847091898</v>
      </c>
    </row>
    <row r="2780" spans="1:37" x14ac:dyDescent="0.2">
      <c r="A2780" t="str">
        <f>"20200111155551382"</f>
        <v>20200111155551382</v>
      </c>
      <c r="B2780" t="str">
        <f>"1578729351375250"</f>
        <v>1578729351375250</v>
      </c>
      <c r="C2780" t="s">
        <v>37</v>
      </c>
      <c r="D2780">
        <v>5.4086089999999896</v>
      </c>
      <c r="E2780">
        <v>0.56476280000000001</v>
      </c>
      <c r="F2780" t="s">
        <v>61</v>
      </c>
      <c r="G2780">
        <v>-436.09589999999997</v>
      </c>
      <c r="H2780">
        <v>8.0000080000000001E-2</v>
      </c>
      <c r="I2780">
        <v>291.65890000000002</v>
      </c>
      <c r="J2780">
        <v>-394.25779999999997</v>
      </c>
      <c r="K2780">
        <v>1.104169</v>
      </c>
      <c r="L2780">
        <v>284.17939999999999</v>
      </c>
      <c r="M2780">
        <v>-0.99922429999999995</v>
      </c>
      <c r="N2780">
        <v>0</v>
      </c>
      <c r="O2780">
        <v>3.6692460000000003E-2</v>
      </c>
      <c r="P2780">
        <v>-0.99945039999999996</v>
      </c>
      <c r="Q2780">
        <v>3.1997190000000002E-2</v>
      </c>
      <c r="R2780">
        <v>8.6844829999999998E-3</v>
      </c>
      <c r="S2780">
        <v>-2.9995419999999999</v>
      </c>
      <c r="T2780">
        <v>-7.3087449999999998E-2</v>
      </c>
      <c r="U2780">
        <v>0.53430180000000005</v>
      </c>
      <c r="V2780">
        <v>-2.7910259999999999E-2</v>
      </c>
      <c r="W2780">
        <v>4.634228E-2</v>
      </c>
      <c r="X2780">
        <v>0.99853559999999997</v>
      </c>
      <c r="Y2780">
        <v>0.139092299999999</v>
      </c>
      <c r="Z2780">
        <v>7.9493009999999896E-4</v>
      </c>
      <c r="AA2780">
        <v>0.99027909999999997</v>
      </c>
      <c r="AB2780">
        <v>31</v>
      </c>
      <c r="AC2780">
        <v>-41.838099999999997</v>
      </c>
      <c r="AD2780">
        <v>-1.0241689199999999</v>
      </c>
      <c r="AE2780">
        <v>7.47950000000003</v>
      </c>
      <c r="AF2780">
        <v>5.9357157885046501</v>
      </c>
      <c r="AG2780">
        <v>-1.0241689199999999</v>
      </c>
      <c r="AH2780">
        <v>42.059966617127102</v>
      </c>
      <c r="AI2780">
        <v>91.3812074093007</v>
      </c>
      <c r="AJ2780">
        <v>81.967176722784799</v>
      </c>
      <c r="AK2780">
        <v>42.489086077867597</v>
      </c>
    </row>
    <row r="2781" spans="1:37" x14ac:dyDescent="0.2">
      <c r="A2781" t="str">
        <f>"20200111155551395"</f>
        <v>20200111155551395</v>
      </c>
      <c r="B2781" t="str">
        <f>"1578729351385010"</f>
        <v>1578729351385010</v>
      </c>
      <c r="C2781" t="s">
        <v>37</v>
      </c>
      <c r="D2781">
        <v>5.2788849999999998</v>
      </c>
      <c r="E2781">
        <v>0.56443290000000002</v>
      </c>
      <c r="F2781" t="s">
        <v>61</v>
      </c>
      <c r="G2781">
        <v>-436.41419999999999</v>
      </c>
      <c r="H2781">
        <v>8.0000150000000006E-2</v>
      </c>
      <c r="I2781">
        <v>291.67239999999998</v>
      </c>
      <c r="J2781">
        <v>-394.45310000000001</v>
      </c>
      <c r="K2781">
        <v>1.104177</v>
      </c>
      <c r="L2781">
        <v>284.18720000000002</v>
      </c>
      <c r="M2781">
        <v>-0.99920309999999901</v>
      </c>
      <c r="N2781">
        <v>0</v>
      </c>
      <c r="O2781">
        <v>3.7263730000000002E-2</v>
      </c>
      <c r="P2781">
        <v>-0.99943570000000004</v>
      </c>
      <c r="Q2781">
        <v>3.232956E-2</v>
      </c>
      <c r="R2781">
        <v>9.1208369999999997E-3</v>
      </c>
      <c r="S2781">
        <v>-2.9993289999999999</v>
      </c>
      <c r="T2781">
        <v>-7.2867269999999998E-2</v>
      </c>
      <c r="U2781">
        <v>0.53311160000000002</v>
      </c>
      <c r="V2781">
        <v>-2.8045049999999998E-2</v>
      </c>
      <c r="W2781">
        <v>4.6671900000000002E-2</v>
      </c>
      <c r="X2781">
        <v>0.99851650000000003</v>
      </c>
      <c r="Y2781">
        <v>0.1381579</v>
      </c>
      <c r="Z2781">
        <v>7.6761660000000003E-4</v>
      </c>
      <c r="AA2781">
        <v>0.99040989999999995</v>
      </c>
      <c r="AB2781">
        <v>30</v>
      </c>
      <c r="AC2781">
        <v>-41.961099999999902</v>
      </c>
      <c r="AD2781">
        <v>-1.0241768499999999</v>
      </c>
      <c r="AE2781">
        <v>7.4851999999999599</v>
      </c>
      <c r="AF2781">
        <v>5.9127992875016897</v>
      </c>
      <c r="AG2781">
        <v>-1.0241768499999999</v>
      </c>
      <c r="AH2781">
        <v>42.186548518033099</v>
      </c>
      <c r="AI2781">
        <v>91.377258843739099</v>
      </c>
      <c r="AJ2781">
        <v>82.021488417098297</v>
      </c>
      <c r="AK2781">
        <v>42.611207557386997</v>
      </c>
    </row>
    <row r="2782" spans="1:37" x14ac:dyDescent="0.2">
      <c r="A2782" t="str">
        <f>"20200111155551415"</f>
        <v>20200111155551415</v>
      </c>
      <c r="B2782" t="str">
        <f>"1578729351405506"</f>
        <v>1578729351405506</v>
      </c>
      <c r="C2782" t="s">
        <v>37</v>
      </c>
      <c r="D2782">
        <v>5.2796070000000004</v>
      </c>
      <c r="E2782">
        <v>0.56413199999999997</v>
      </c>
      <c r="F2782" t="s">
        <v>61</v>
      </c>
      <c r="G2782">
        <v>-436.50790000000001</v>
      </c>
      <c r="H2782">
        <v>8.0000169999999995E-2</v>
      </c>
      <c r="I2782">
        <v>291.6395</v>
      </c>
      <c r="J2782">
        <v>-394.70519999999999</v>
      </c>
      <c r="K2782">
        <v>1.10419</v>
      </c>
      <c r="L2782">
        <v>284.19740000000002</v>
      </c>
      <c r="M2782">
        <v>-0.99917559999999905</v>
      </c>
      <c r="N2782">
        <v>0</v>
      </c>
      <c r="O2782">
        <v>3.7994760000000002E-2</v>
      </c>
      <c r="P2782">
        <v>-0.99941740000000001</v>
      </c>
      <c r="Q2782">
        <v>3.2815009999999999E-2</v>
      </c>
      <c r="R2782">
        <v>9.3947370000000002E-3</v>
      </c>
      <c r="S2782">
        <v>-2.9991759999999998</v>
      </c>
      <c r="T2782">
        <v>-7.3040010000000002E-2</v>
      </c>
      <c r="U2782">
        <v>0.53146359999999904</v>
      </c>
      <c r="V2782">
        <v>-2.850196E-2</v>
      </c>
      <c r="W2782">
        <v>4.7154399999999999E-2</v>
      </c>
      <c r="X2782">
        <v>0.9984809</v>
      </c>
      <c r="Y2782">
        <v>0.1369148</v>
      </c>
      <c r="Z2782">
        <v>7.3686379999999998E-4</v>
      </c>
      <c r="AA2782">
        <v>0.99058259999999898</v>
      </c>
      <c r="AB2782">
        <v>30</v>
      </c>
      <c r="AC2782">
        <v>-41.802700000000002</v>
      </c>
      <c r="AD2782">
        <v>-1.0241898300000001</v>
      </c>
      <c r="AE2782">
        <v>7.4420999999999804</v>
      </c>
      <c r="AF2782">
        <v>5.8448784849841804</v>
      </c>
      <c r="AG2782">
        <v>-1.0241898300000001</v>
      </c>
      <c r="AH2782">
        <v>42.030844330557798</v>
      </c>
      <c r="AI2782">
        <v>91.382584021022794</v>
      </c>
      <c r="AJ2782">
        <v>82.083126477549399</v>
      </c>
      <c r="AK2782">
        <v>42.447655346929203</v>
      </c>
    </row>
    <row r="2783" spans="1:37" x14ac:dyDescent="0.2">
      <c r="A2783" t="str">
        <f>"20200111155551431"</f>
        <v>20200111155551431</v>
      </c>
      <c r="B2783" t="str">
        <f>"1578729351425028"</f>
        <v>1578729351425028</v>
      </c>
      <c r="C2783" t="s">
        <v>37</v>
      </c>
      <c r="D2783">
        <v>5.2524220000000001</v>
      </c>
      <c r="E2783">
        <v>0.56387390000000004</v>
      </c>
      <c r="F2783" t="s">
        <v>61</v>
      </c>
      <c r="G2783">
        <v>-436.78890000000001</v>
      </c>
      <c r="H2783">
        <v>8.0000219999999997E-2</v>
      </c>
      <c r="I2783">
        <v>291.63119999999998</v>
      </c>
      <c r="J2783">
        <v>-394.92899999999997</v>
      </c>
      <c r="K2783">
        <v>1.1042049999999899</v>
      </c>
      <c r="L2783">
        <v>284.20659999999998</v>
      </c>
      <c r="M2783">
        <v>-0.99915119999999902</v>
      </c>
      <c r="N2783">
        <v>0</v>
      </c>
      <c r="O2783">
        <v>3.8632409999999999E-2</v>
      </c>
      <c r="P2783">
        <v>-0.99940969999999996</v>
      </c>
      <c r="Q2783">
        <v>3.2893599999999898E-2</v>
      </c>
      <c r="R2783">
        <v>9.9400269999999902E-3</v>
      </c>
      <c r="S2783">
        <v>-2.9991759999999998</v>
      </c>
      <c r="T2783">
        <v>-7.2990780000000005E-2</v>
      </c>
      <c r="U2783">
        <v>0.52978519999999996</v>
      </c>
      <c r="V2783">
        <v>-2.8595180000000001E-2</v>
      </c>
      <c r="W2783">
        <v>4.7230139999999997E-2</v>
      </c>
      <c r="X2783">
        <v>0.99847469999999905</v>
      </c>
      <c r="Y2783">
        <v>0.13574549999999999</v>
      </c>
      <c r="Z2783">
        <v>7.0691929999999997E-4</v>
      </c>
      <c r="AA2783">
        <v>0.9907435</v>
      </c>
      <c r="AB2783">
        <v>30</v>
      </c>
      <c r="AC2783">
        <v>-41.859899999999897</v>
      </c>
      <c r="AD2783">
        <v>-1.02420477999999</v>
      </c>
      <c r="AE2783">
        <v>7.4245999999999901</v>
      </c>
      <c r="AF2783">
        <v>5.7983768360850103</v>
      </c>
      <c r="AG2783">
        <v>-1.02420477999999</v>
      </c>
      <c r="AH2783">
        <v>42.091074748249703</v>
      </c>
      <c r="AI2783">
        <v>91.380870902482798</v>
      </c>
      <c r="AJ2783">
        <v>82.1564232424479</v>
      </c>
      <c r="AK2783">
        <v>42.500926376108197</v>
      </c>
    </row>
    <row r="2784" spans="1:37" x14ac:dyDescent="0.2">
      <c r="A2784" t="str">
        <f>"20200111155551475"</f>
        <v>20200111155551475</v>
      </c>
      <c r="B2784" t="str">
        <f>"1578729351465042"</f>
        <v>1578729351465042</v>
      </c>
      <c r="C2784" t="s">
        <v>37</v>
      </c>
      <c r="D2784">
        <v>5.194782</v>
      </c>
      <c r="E2784">
        <v>0.563233599999999</v>
      </c>
      <c r="F2784" t="s">
        <v>61</v>
      </c>
      <c r="G2784">
        <v>-436.51420000000002</v>
      </c>
      <c r="H2784">
        <v>8.0000189999999999E-2</v>
      </c>
      <c r="I2784">
        <v>291.54649999999998</v>
      </c>
      <c r="J2784">
        <v>-395.52890000000002</v>
      </c>
      <c r="K2784">
        <v>1.104258</v>
      </c>
      <c r="L2784">
        <v>284.23180000000002</v>
      </c>
      <c r="M2784">
        <v>-0.99908719999999995</v>
      </c>
      <c r="N2784">
        <v>0</v>
      </c>
      <c r="O2784">
        <v>4.0258099999999998E-2</v>
      </c>
      <c r="P2784">
        <v>-0.99939659999999997</v>
      </c>
      <c r="Q2784">
        <v>3.2372430000000001E-2</v>
      </c>
      <c r="R2784">
        <v>1.2595510000000001E-2</v>
      </c>
      <c r="S2784">
        <v>-2.9989619999999899</v>
      </c>
      <c r="T2784">
        <v>-7.3861720000000006E-2</v>
      </c>
      <c r="U2784">
        <v>0.5293274</v>
      </c>
      <c r="V2784">
        <v>-2.7573170000000001E-2</v>
      </c>
      <c r="W2784">
        <v>4.6697620000000002E-2</v>
      </c>
      <c r="X2784">
        <v>0.99852839999999998</v>
      </c>
      <c r="Y2784">
        <v>0.13399900000000001</v>
      </c>
      <c r="Z2784">
        <v>6.5443290000000002E-4</v>
      </c>
      <c r="AA2784">
        <v>0.99098120000000001</v>
      </c>
      <c r="AB2784">
        <v>30</v>
      </c>
      <c r="AC2784">
        <v>-40.985300000000002</v>
      </c>
      <c r="AD2784">
        <v>-1.0242578099999999</v>
      </c>
      <c r="AE2784">
        <v>7.3146999999999496</v>
      </c>
      <c r="AF2784">
        <v>5.65518730935724</v>
      </c>
      <c r="AG2784">
        <v>-1.0242578099999999</v>
      </c>
      <c r="AH2784">
        <v>41.221623014775901</v>
      </c>
      <c r="AI2784">
        <v>91.410165777867803</v>
      </c>
      <c r="AJ2784">
        <v>82.188366091698398</v>
      </c>
      <c r="AK2784">
        <v>41.620336994521899</v>
      </c>
    </row>
    <row r="2785" spans="1:37" x14ac:dyDescent="0.2">
      <c r="A2785" t="str">
        <f>"20200111155551490"</f>
        <v>20200111155551490</v>
      </c>
      <c r="B2785" t="str">
        <f>"1578729351485538"</f>
        <v>1578729351485538</v>
      </c>
      <c r="C2785" t="s">
        <v>37</v>
      </c>
      <c r="D2785">
        <v>5.2271380000000001</v>
      </c>
      <c r="E2785">
        <v>0.56279919999999894</v>
      </c>
      <c r="F2785" t="s">
        <v>61</v>
      </c>
      <c r="G2785">
        <v>-434.89269999999999</v>
      </c>
      <c r="H2785">
        <v>7.9999940000000005E-2</v>
      </c>
      <c r="I2785">
        <v>291.2208</v>
      </c>
      <c r="J2785">
        <v>-395.7226</v>
      </c>
      <c r="K2785">
        <v>1.1042780000000001</v>
      </c>
      <c r="L2785">
        <v>284.24009999999998</v>
      </c>
      <c r="M2785">
        <v>-0.9990677</v>
      </c>
      <c r="N2785">
        <v>0</v>
      </c>
      <c r="O2785">
        <v>4.0738879999999998E-2</v>
      </c>
      <c r="P2785">
        <v>-0.99939669999999903</v>
      </c>
      <c r="Q2785">
        <v>3.2167979999999999E-2</v>
      </c>
      <c r="R2785">
        <v>1.310857E-2</v>
      </c>
      <c r="S2785">
        <v>-2.9976500000000001</v>
      </c>
      <c r="T2785">
        <v>-7.799971E-2</v>
      </c>
      <c r="U2785">
        <v>0.53222659999999999</v>
      </c>
      <c r="V2785">
        <v>-2.7544869999999999E-2</v>
      </c>
      <c r="W2785">
        <v>4.6488990000000001E-2</v>
      </c>
      <c r="X2785">
        <v>0.99853899999999995</v>
      </c>
      <c r="Y2785">
        <v>0.13452239999999999</v>
      </c>
      <c r="Z2785">
        <v>6.8570389999999897E-4</v>
      </c>
      <c r="AA2785">
        <v>0.99091030000000002</v>
      </c>
      <c r="AB2785">
        <v>30</v>
      </c>
      <c r="AC2785">
        <v>-39.170099999999898</v>
      </c>
      <c r="AD2785">
        <v>-1.0242780600000001</v>
      </c>
      <c r="AE2785">
        <v>6.9807000000000103</v>
      </c>
      <c r="AF2785">
        <v>5.3754322267662404</v>
      </c>
      <c r="AG2785">
        <v>-1.0242780600000001</v>
      </c>
      <c r="AH2785">
        <v>39.395880849371899</v>
      </c>
      <c r="AI2785">
        <v>91.475665908744901</v>
      </c>
      <c r="AJ2785">
        <v>82.230169870405504</v>
      </c>
      <c r="AK2785">
        <v>39.774110236014899</v>
      </c>
    </row>
    <row r="2786" spans="1:37" x14ac:dyDescent="0.2">
      <c r="A2786" t="str">
        <f>"20200111155551509"</f>
        <v>20200111155551509</v>
      </c>
      <c r="B2786" t="str">
        <f>"1578729351505058"</f>
        <v>1578729351505058</v>
      </c>
      <c r="C2786" t="s">
        <v>37</v>
      </c>
      <c r="D2786">
        <v>5.2371749999999997</v>
      </c>
      <c r="E2786">
        <v>0.56222179999999999</v>
      </c>
      <c r="F2786" t="s">
        <v>61</v>
      </c>
      <c r="G2786">
        <v>-434.0856</v>
      </c>
      <c r="H2786">
        <v>8.0000070000000006E-2</v>
      </c>
      <c r="I2786">
        <v>291.02679999999998</v>
      </c>
      <c r="J2786">
        <v>-395.99020000000002</v>
      </c>
      <c r="K2786">
        <v>1.10432</v>
      </c>
      <c r="L2786">
        <v>284.2518</v>
      </c>
      <c r="M2786">
        <v>-0.99904230000000005</v>
      </c>
      <c r="N2786">
        <v>0</v>
      </c>
      <c r="O2786">
        <v>4.1358720000000002E-2</v>
      </c>
      <c r="P2786">
        <v>-0.99939460000000002</v>
      </c>
      <c r="Q2786">
        <v>3.1758969999999997E-2</v>
      </c>
      <c r="R2786">
        <v>1.4212580000000001E-2</v>
      </c>
      <c r="S2786">
        <v>-2.9974669999999999</v>
      </c>
      <c r="T2786">
        <v>-8.0031160000000004E-2</v>
      </c>
      <c r="U2786">
        <v>0.53027340000000001</v>
      </c>
      <c r="V2786">
        <v>-2.706735E-2</v>
      </c>
      <c r="W2786">
        <v>4.6073639999999999E-2</v>
      </c>
      <c r="X2786">
        <v>0.99857129999999905</v>
      </c>
      <c r="Y2786">
        <v>0.13329099999999999</v>
      </c>
      <c r="Z2786">
        <v>6.7094379999999996E-4</v>
      </c>
      <c r="AA2786">
        <v>0.99107670000000003</v>
      </c>
      <c r="AB2786">
        <v>30</v>
      </c>
      <c r="AC2786">
        <v>-38.095399999999898</v>
      </c>
      <c r="AD2786">
        <v>-1.0243199300000001</v>
      </c>
      <c r="AE2786">
        <v>6.7749999999999702</v>
      </c>
      <c r="AF2786">
        <v>5.1898270974310199</v>
      </c>
      <c r="AG2786">
        <v>-1.0243199300000001</v>
      </c>
      <c r="AH2786">
        <v>38.316178855810101</v>
      </c>
      <c r="AI2786">
        <v>91.5174934239854</v>
      </c>
      <c r="AJ2786">
        <v>82.286377982335694</v>
      </c>
      <c r="AK2786">
        <v>38.679621233029899</v>
      </c>
    </row>
    <row r="2787" spans="1:37" x14ac:dyDescent="0.2">
      <c r="A2787" t="str">
        <f>"20200111155551523"</f>
        <v>20200111155551523</v>
      </c>
      <c r="B2787" t="str">
        <f>"1578729351514818"</f>
        <v>1578729351514818</v>
      </c>
      <c r="C2787" t="s">
        <v>37</v>
      </c>
      <c r="D2787">
        <v>5.2522390000000003</v>
      </c>
      <c r="E2787">
        <v>0.56196639999999998</v>
      </c>
      <c r="F2787" t="s">
        <v>61</v>
      </c>
      <c r="G2787">
        <v>-432.9742</v>
      </c>
      <c r="H2787">
        <v>8.0000100000000005E-2</v>
      </c>
      <c r="I2787">
        <v>290.77870000000001</v>
      </c>
      <c r="J2787">
        <v>-396.17020000000002</v>
      </c>
      <c r="K2787">
        <v>1.104352</v>
      </c>
      <c r="L2787">
        <v>284.25959999999998</v>
      </c>
      <c r="M2787">
        <v>-0.99902639999999998</v>
      </c>
      <c r="N2787">
        <v>0</v>
      </c>
      <c r="O2787">
        <v>4.1741599999999997E-2</v>
      </c>
      <c r="P2787">
        <v>-0.99938419999999895</v>
      </c>
      <c r="Q2787">
        <v>3.1764599999999997E-2</v>
      </c>
      <c r="R2787">
        <v>1.4909449999999999E-2</v>
      </c>
      <c r="S2787">
        <v>-2.9969480000000002</v>
      </c>
      <c r="T2787">
        <v>-8.3004359999999999E-2</v>
      </c>
      <c r="U2787">
        <v>0.52890009999999998</v>
      </c>
      <c r="V2787">
        <v>-2.6757840000000001E-2</v>
      </c>
      <c r="W2787">
        <v>4.6074589999999999E-2</v>
      </c>
      <c r="X2787">
        <v>0.99857960000000001</v>
      </c>
      <c r="Y2787">
        <v>0.13249820000000001</v>
      </c>
      <c r="Z2787">
        <v>6.746155E-4</v>
      </c>
      <c r="AA2787">
        <v>0.99118300000000004</v>
      </c>
      <c r="AB2787">
        <v>30</v>
      </c>
      <c r="AC2787">
        <v>-36.803999999999903</v>
      </c>
      <c r="AD2787">
        <v>-1.0243519000000001</v>
      </c>
      <c r="AE2787">
        <v>6.5191000000000301</v>
      </c>
      <c r="AF2787">
        <v>4.9732671980040504</v>
      </c>
      <c r="AG2787">
        <v>-1.0243519000000001</v>
      </c>
      <c r="AH2787">
        <v>37.016259434726003</v>
      </c>
      <c r="AI2787">
        <v>91.571034336304606</v>
      </c>
      <c r="AJ2787">
        <v>82.347929218898003</v>
      </c>
      <c r="AK2787">
        <v>37.362897986862798</v>
      </c>
    </row>
    <row r="2788" spans="1:37" x14ac:dyDescent="0.2">
      <c r="A2788" t="str">
        <f>"20200111155551543"</f>
        <v>20200111155551543</v>
      </c>
      <c r="B2788" t="str">
        <f>"1578729351535313"</f>
        <v>1578729351535313</v>
      </c>
      <c r="C2788" t="s">
        <v>37</v>
      </c>
      <c r="D2788">
        <v>5.2406009999999998</v>
      </c>
      <c r="E2788">
        <v>0.56138009999999905</v>
      </c>
      <c r="F2788" t="s">
        <v>61</v>
      </c>
      <c r="G2788">
        <v>-432.64800000000002</v>
      </c>
      <c r="H2788">
        <v>8.0000210000000002E-2</v>
      </c>
      <c r="I2788">
        <v>290.69420000000002</v>
      </c>
      <c r="J2788">
        <v>-396.43520000000001</v>
      </c>
      <c r="K2788">
        <v>1.104411</v>
      </c>
      <c r="L2788">
        <v>284.2713</v>
      </c>
      <c r="M2788">
        <v>-0.99900549999999999</v>
      </c>
      <c r="N2788">
        <v>0</v>
      </c>
      <c r="O2788">
        <v>4.2241439999999998E-2</v>
      </c>
      <c r="P2788">
        <v>-0.99937119999999902</v>
      </c>
      <c r="Q2788">
        <v>3.1894180000000001E-2</v>
      </c>
      <c r="R2788">
        <v>1.54962E-2</v>
      </c>
      <c r="S2788">
        <v>-2.9966430000000002</v>
      </c>
      <c r="T2788">
        <v>-8.4150310000000006E-2</v>
      </c>
      <c r="U2788">
        <v>0.52859500000000004</v>
      </c>
      <c r="V2788">
        <v>-2.6677220000000001E-2</v>
      </c>
      <c r="W2788">
        <v>4.619653E-2</v>
      </c>
      <c r="X2788">
        <v>0.99857609999999997</v>
      </c>
      <c r="Y2788">
        <v>0.13192110000000001</v>
      </c>
      <c r="Z2788">
        <v>6.6206800000000003E-4</v>
      </c>
      <c r="AA2788">
        <v>0.99126000000000003</v>
      </c>
      <c r="AB2788">
        <v>30</v>
      </c>
      <c r="AC2788">
        <v>-36.212800000000001</v>
      </c>
      <c r="AD2788">
        <v>-1.0244107899999999</v>
      </c>
      <c r="AE2788">
        <v>6.4229000000000198</v>
      </c>
      <c r="AF2788">
        <v>4.8835404909004998</v>
      </c>
      <c r="AG2788">
        <v>-1.0244107899999999</v>
      </c>
      <c r="AH2788">
        <v>36.4235523474457</v>
      </c>
      <c r="AI2788">
        <v>91.596736125383302</v>
      </c>
      <c r="AJ2788">
        <v>82.363527134299602</v>
      </c>
      <c r="AK2788">
        <v>36.763753219714303</v>
      </c>
    </row>
    <row r="2789" spans="1:37" x14ac:dyDescent="0.2">
      <c r="A2789" t="str">
        <f>"20200111155551565"</f>
        <v>20200111155551565</v>
      </c>
      <c r="B2789" t="str">
        <f>"1578729351554835"</f>
        <v>1578729351554835</v>
      </c>
      <c r="C2789" t="s">
        <v>37</v>
      </c>
      <c r="D2789">
        <v>5.1897549999999999</v>
      </c>
      <c r="E2789">
        <v>0.56087219999999904</v>
      </c>
      <c r="F2789" t="s">
        <v>61</v>
      </c>
      <c r="G2789">
        <v>-432.01280000000003</v>
      </c>
      <c r="H2789">
        <v>8.0000329999999995E-2</v>
      </c>
      <c r="I2789">
        <v>290.51179999999999</v>
      </c>
      <c r="J2789">
        <v>-396.73649999999998</v>
      </c>
      <c r="K2789">
        <v>1.1044909999999999</v>
      </c>
      <c r="L2789">
        <v>284.28460000000001</v>
      </c>
      <c r="M2789">
        <v>-0.99898569999999998</v>
      </c>
      <c r="N2789">
        <v>0</v>
      </c>
      <c r="O2789">
        <v>4.2705479999999997E-2</v>
      </c>
      <c r="P2789">
        <v>-0.9993668</v>
      </c>
      <c r="Q2789">
        <v>3.2000239999999999E-2</v>
      </c>
      <c r="R2789">
        <v>1.5566139999999999E-2</v>
      </c>
      <c r="S2789">
        <v>-2.9964900000000001</v>
      </c>
      <c r="T2789">
        <v>-8.6279869999999995E-2</v>
      </c>
      <c r="U2789">
        <v>0.52560419999999997</v>
      </c>
      <c r="V2789">
        <v>-2.7080400000000001E-2</v>
      </c>
      <c r="W2789">
        <v>4.6293699999999903E-2</v>
      </c>
      <c r="X2789">
        <v>0.99856069999999997</v>
      </c>
      <c r="Y2789">
        <v>0.1305084</v>
      </c>
      <c r="Z2789">
        <v>6.4549659999999995E-4</v>
      </c>
      <c r="AA2789">
        <v>0.99144699999999997</v>
      </c>
      <c r="AB2789">
        <v>30</v>
      </c>
      <c r="AC2789">
        <v>-35.276299999999999</v>
      </c>
      <c r="AD2789">
        <v>-1.0244906699999901</v>
      </c>
      <c r="AE2789">
        <v>6.2271999999999803</v>
      </c>
      <c r="AF2789">
        <v>4.7110195807953401</v>
      </c>
      <c r="AG2789">
        <v>-1.0244906699999901</v>
      </c>
      <c r="AH2789">
        <v>35.481052217505599</v>
      </c>
      <c r="AI2789">
        <v>91.639535299289506</v>
      </c>
      <c r="AJ2789">
        <v>82.436753995736595</v>
      </c>
      <c r="AK2789">
        <v>35.807099199529098</v>
      </c>
    </row>
    <row r="2790" spans="1:37" x14ac:dyDescent="0.2">
      <c r="A2790" t="str">
        <f>"20200111155551582"</f>
        <v>20200111155551582</v>
      </c>
      <c r="B2790" t="str">
        <f>"1578729351575330"</f>
        <v>1578729351575330</v>
      </c>
      <c r="C2790" t="s">
        <v>37</v>
      </c>
      <c r="D2790">
        <v>5.1864860000000004</v>
      </c>
      <c r="E2790">
        <v>0.56040109999999999</v>
      </c>
      <c r="F2790" t="s">
        <v>61</v>
      </c>
      <c r="G2790">
        <v>-431.70690000000002</v>
      </c>
      <c r="H2790">
        <v>8.0000210000000002E-2</v>
      </c>
      <c r="I2790">
        <v>290.36930000000001</v>
      </c>
      <c r="J2790">
        <v>-396.93979999999999</v>
      </c>
      <c r="K2790">
        <v>1.1045510000000001</v>
      </c>
      <c r="L2790">
        <v>284.29360000000003</v>
      </c>
      <c r="M2790">
        <v>-0.99897479999999905</v>
      </c>
      <c r="N2790">
        <v>0</v>
      </c>
      <c r="O2790">
        <v>4.2962510000000002E-2</v>
      </c>
      <c r="P2790">
        <v>-0.99937330000000002</v>
      </c>
      <c r="Q2790">
        <v>3.1701460000000001E-2</v>
      </c>
      <c r="R2790">
        <v>1.576056E-2</v>
      </c>
      <c r="S2790">
        <v>-2.9965820000000001</v>
      </c>
      <c r="T2790">
        <v>-8.7787749999999998E-2</v>
      </c>
      <c r="U2790">
        <v>0.52139279999999999</v>
      </c>
      <c r="V2790">
        <v>-2.7150299999999999E-2</v>
      </c>
      <c r="W2790">
        <v>4.5988849999999998E-2</v>
      </c>
      <c r="X2790">
        <v>0.99857289999999999</v>
      </c>
      <c r="Y2790">
        <v>0.12889539999999999</v>
      </c>
      <c r="Z2790">
        <v>6.2592319999999998E-4</v>
      </c>
      <c r="AA2790">
        <v>0.99165800000000004</v>
      </c>
      <c r="AB2790">
        <v>30</v>
      </c>
      <c r="AC2790">
        <v>-34.767099999999999</v>
      </c>
      <c r="AD2790">
        <v>-1.0245507899999999</v>
      </c>
      <c r="AE2790">
        <v>6.0756999999999799</v>
      </c>
      <c r="AF2790">
        <v>4.5724020351317298</v>
      </c>
      <c r="AG2790">
        <v>-1.0245507899999999</v>
      </c>
      <c r="AH2790">
        <v>34.966580539427802</v>
      </c>
      <c r="AI2790">
        <v>91.664175393562601</v>
      </c>
      <c r="AJ2790">
        <v>82.549993883358894</v>
      </c>
      <c r="AK2790">
        <v>35.279148506057503</v>
      </c>
    </row>
    <row r="2791" spans="1:37" x14ac:dyDescent="0.2">
      <c r="A2791" t="str">
        <f>"20200111155551598"</f>
        <v>20200111155551598</v>
      </c>
      <c r="B2791" t="str">
        <f>"1578729351594851"</f>
        <v>1578729351594851</v>
      </c>
      <c r="C2791" t="s">
        <v>37</v>
      </c>
      <c r="D2791">
        <v>5.1371019999999996</v>
      </c>
      <c r="E2791">
        <v>0.55998269999999895</v>
      </c>
      <c r="F2791" t="s">
        <v>61</v>
      </c>
      <c r="G2791">
        <v>-431.34769999999997</v>
      </c>
      <c r="H2791">
        <v>6.9326509999999994E-2</v>
      </c>
      <c r="I2791">
        <v>290.24540000000002</v>
      </c>
      <c r="J2791">
        <v>-397.19229999999999</v>
      </c>
      <c r="K2791">
        <v>1.10463</v>
      </c>
      <c r="L2791">
        <v>284.30470000000003</v>
      </c>
      <c r="M2791">
        <v>-0.99896469999999904</v>
      </c>
      <c r="N2791">
        <v>0</v>
      </c>
      <c r="O2791">
        <v>4.3195240000000003E-2</v>
      </c>
      <c r="P2791">
        <v>-0.99939650000000002</v>
      </c>
      <c r="Q2791">
        <v>3.130521E-2</v>
      </c>
      <c r="R2791">
        <v>1.505985E-2</v>
      </c>
      <c r="S2791">
        <v>-2.9965820000000001</v>
      </c>
      <c r="T2791">
        <v>-9.0157390000000004E-2</v>
      </c>
      <c r="U2791">
        <v>0.5183411</v>
      </c>
      <c r="V2791">
        <v>-2.8093130000000001E-2</v>
      </c>
      <c r="W2791">
        <v>4.5584920000000001E-2</v>
      </c>
      <c r="X2791">
        <v>0.99856540000000005</v>
      </c>
      <c r="Y2791">
        <v>0.12768260000000001</v>
      </c>
      <c r="Z2791">
        <v>6.1782069999999996E-4</v>
      </c>
      <c r="AA2791">
        <v>0.99181489999999894</v>
      </c>
      <c r="AB2791">
        <v>30</v>
      </c>
      <c r="AC2791">
        <v>-34.155399999999901</v>
      </c>
      <c r="AD2791">
        <v>-1.03530349</v>
      </c>
      <c r="AE2791">
        <v>5.9406999999999899</v>
      </c>
      <c r="AF2791">
        <v>4.4556795042335802</v>
      </c>
      <c r="AG2791">
        <v>-1.03530349</v>
      </c>
      <c r="AH2791">
        <v>34.3495173683703</v>
      </c>
      <c r="AI2791">
        <v>91.712052267551698</v>
      </c>
      <c r="AJ2791">
        <v>82.609094112669794</v>
      </c>
      <c r="AK2791">
        <v>34.6527672286186</v>
      </c>
    </row>
    <row r="2792" spans="1:37" x14ac:dyDescent="0.2">
      <c r="A2792" t="str">
        <f>"20200111155551620"</f>
        <v>20200111155551620</v>
      </c>
      <c r="B2792" t="str">
        <f>"1578729351615345"</f>
        <v>1578729351615345</v>
      </c>
      <c r="C2792" t="s">
        <v>37</v>
      </c>
      <c r="D2792">
        <v>5.145848</v>
      </c>
      <c r="E2792">
        <v>0.55959179999999997</v>
      </c>
      <c r="F2792" t="s">
        <v>61</v>
      </c>
      <c r="G2792">
        <v>-431.44889999999998</v>
      </c>
      <c r="H2792">
        <v>4.764877E-2</v>
      </c>
      <c r="I2792">
        <v>290.1671</v>
      </c>
      <c r="J2792">
        <v>-397.48540000000003</v>
      </c>
      <c r="K2792">
        <v>1.1047260000000001</v>
      </c>
      <c r="L2792">
        <v>284.3177</v>
      </c>
      <c r="M2792">
        <v>-0.99895789999999995</v>
      </c>
      <c r="N2792">
        <v>0</v>
      </c>
      <c r="O2792">
        <v>4.3353540000000003E-2</v>
      </c>
      <c r="P2792">
        <v>-0.99940180000000001</v>
      </c>
      <c r="Q2792">
        <v>3.1402689999999997E-2</v>
      </c>
      <c r="R2792">
        <v>1.448637E-2</v>
      </c>
      <c r="S2792">
        <v>-2.9969790000000001</v>
      </c>
      <c r="T2792">
        <v>-9.2471120000000004E-2</v>
      </c>
      <c r="U2792">
        <v>0.51287839999999996</v>
      </c>
      <c r="V2792">
        <v>-2.8835320000000001E-2</v>
      </c>
      <c r="W2792">
        <v>4.5673039999999998E-2</v>
      </c>
      <c r="X2792">
        <v>0.99854019999999999</v>
      </c>
      <c r="Y2792">
        <v>0.12574639999999901</v>
      </c>
      <c r="Z2792">
        <v>5.9918609999999996E-4</v>
      </c>
      <c r="AA2792">
        <v>0.99206229999999995</v>
      </c>
      <c r="AB2792">
        <v>30</v>
      </c>
      <c r="AC2792">
        <v>-33.963499999999897</v>
      </c>
      <c r="AD2792">
        <v>-1.05707723</v>
      </c>
      <c r="AE2792">
        <v>5.8494000000000002</v>
      </c>
      <c r="AF2792">
        <v>4.3672027403875902</v>
      </c>
      <c r="AG2792">
        <v>-1.05707723</v>
      </c>
      <c r="AH2792">
        <v>34.153047859635898</v>
      </c>
      <c r="AI2792">
        <v>91.758496879995207</v>
      </c>
      <c r="AJ2792">
        <v>82.713045519027204</v>
      </c>
      <c r="AK2792">
        <v>34.447359117186501</v>
      </c>
    </row>
    <row r="2793" spans="1:37" x14ac:dyDescent="0.2">
      <c r="A2793" t="str">
        <f>"20200111155551642"</f>
        <v>20200111155551642</v>
      </c>
      <c r="B2793" t="str">
        <f>"1578729351634865"</f>
        <v>1578729351634865</v>
      </c>
      <c r="C2793" t="s">
        <v>37</v>
      </c>
      <c r="D2793">
        <v>5.0558059999999996</v>
      </c>
      <c r="E2793">
        <v>0.55928120000000003</v>
      </c>
      <c r="F2793" t="s">
        <v>61</v>
      </c>
      <c r="G2793">
        <v>-431.57619999999997</v>
      </c>
      <c r="H2793">
        <v>4.6560310000000001E-2</v>
      </c>
      <c r="I2793">
        <v>290.09649999999999</v>
      </c>
      <c r="J2793">
        <v>-397.77890000000002</v>
      </c>
      <c r="K2793">
        <v>1.1048249999999999</v>
      </c>
      <c r="L2793">
        <v>284.33049999999997</v>
      </c>
      <c r="M2793">
        <v>-0.99895610000000001</v>
      </c>
      <c r="N2793">
        <v>0</v>
      </c>
      <c r="O2793">
        <v>4.339581E-2</v>
      </c>
      <c r="P2793">
        <v>-0.99938340000000003</v>
      </c>
      <c r="Q2793">
        <v>3.2137880000000001E-2</v>
      </c>
      <c r="R2793">
        <v>1.415141E-2</v>
      </c>
      <c r="S2793">
        <v>-2.9973139999999998</v>
      </c>
      <c r="T2793">
        <v>-9.303546E-2</v>
      </c>
      <c r="U2793">
        <v>0.50808719999999996</v>
      </c>
      <c r="V2793">
        <v>-2.9220969999999999E-2</v>
      </c>
      <c r="W2793">
        <v>4.6397540000000001E-2</v>
      </c>
      <c r="X2793">
        <v>0.99849560000000004</v>
      </c>
      <c r="Y2793">
        <v>0.124144899999999</v>
      </c>
      <c r="Z2793">
        <v>5.7687159999999995E-4</v>
      </c>
      <c r="AA2793">
        <v>0.99226389999999998</v>
      </c>
      <c r="AB2793">
        <v>30</v>
      </c>
      <c r="AC2793">
        <v>-33.7972999999999</v>
      </c>
      <c r="AD2793">
        <v>-1.0582646899999999</v>
      </c>
      <c r="AE2793">
        <v>5.7660000000000098</v>
      </c>
      <c r="AF2793">
        <v>4.2896697592291799</v>
      </c>
      <c r="AG2793">
        <v>-1.0582646899999999</v>
      </c>
      <c r="AH2793">
        <v>33.983324222231197</v>
      </c>
      <c r="AI2793">
        <v>91.769621046904803</v>
      </c>
      <c r="AJ2793">
        <v>82.805679698573996</v>
      </c>
      <c r="AK2793">
        <v>34.269337839979201</v>
      </c>
    </row>
    <row r="2794" spans="1:37" x14ac:dyDescent="0.2">
      <c r="A2794" t="str">
        <f>"20200111155551666"</f>
        <v>20200111155551666</v>
      </c>
      <c r="B2794" t="str">
        <f>"1578729351655362"</f>
        <v>1578729351655362</v>
      </c>
      <c r="C2794" t="s">
        <v>37</v>
      </c>
      <c r="D2794">
        <v>5.2293289999999999</v>
      </c>
      <c r="E2794">
        <v>0.558886199999999</v>
      </c>
      <c r="F2794" t="s">
        <v>61</v>
      </c>
      <c r="G2794">
        <v>-431.83609999999999</v>
      </c>
      <c r="H2794">
        <v>8.0000100000000005E-2</v>
      </c>
      <c r="I2794">
        <v>290.06630000000001</v>
      </c>
      <c r="J2794">
        <v>-398.08819999999997</v>
      </c>
      <c r="K2794">
        <v>1.1049309999999899</v>
      </c>
      <c r="L2794">
        <v>284.34399999999999</v>
      </c>
      <c r="M2794">
        <v>-0.99896030000000002</v>
      </c>
      <c r="N2794">
        <v>0</v>
      </c>
      <c r="O2794">
        <v>4.3303590000000003E-2</v>
      </c>
      <c r="P2794">
        <v>-0.99936069999999999</v>
      </c>
      <c r="Q2794">
        <v>3.2963579999999999E-2</v>
      </c>
      <c r="R2794">
        <v>1.385721E-2</v>
      </c>
      <c r="S2794">
        <v>-2.99762</v>
      </c>
      <c r="T2794">
        <v>-9.0202329999999997E-2</v>
      </c>
      <c r="U2794">
        <v>0.50485230000000003</v>
      </c>
      <c r="V2794">
        <v>-2.9433620000000001E-2</v>
      </c>
      <c r="W2794">
        <v>4.721156E-2</v>
      </c>
      <c r="X2794">
        <v>0.99845119999999898</v>
      </c>
      <c r="Y2794">
        <v>0.123181399999999</v>
      </c>
      <c r="Z2794">
        <v>5.4765529999999997E-4</v>
      </c>
      <c r="AA2794">
        <v>0.99238400000000004</v>
      </c>
      <c r="AB2794">
        <v>30</v>
      </c>
      <c r="AC2794">
        <v>-33.747900000000001</v>
      </c>
      <c r="AD2794">
        <v>-1.0249309</v>
      </c>
      <c r="AE2794">
        <v>5.7223000000000104</v>
      </c>
      <c r="AF2794">
        <v>4.2515656558396699</v>
      </c>
      <c r="AG2794">
        <v>-1.0249309</v>
      </c>
      <c r="AH2794">
        <v>33.933634002341996</v>
      </c>
      <c r="AI2794">
        <v>91.716621829111006</v>
      </c>
      <c r="AJ2794">
        <v>82.858589755965696</v>
      </c>
      <c r="AK2794">
        <v>34.214292488382597</v>
      </c>
    </row>
    <row r="2795" spans="1:37" x14ac:dyDescent="0.2">
      <c r="A2795" t="str">
        <f>"20200111155551681"</f>
        <v>20200111155551681</v>
      </c>
      <c r="B2795" t="str">
        <f>"1578729351674704"</f>
        <v>1578729351674704</v>
      </c>
      <c r="C2795" t="s">
        <v>37</v>
      </c>
      <c r="D2795">
        <v>5.1161029999999998</v>
      </c>
      <c r="E2795">
        <v>0.55828100000000003</v>
      </c>
      <c r="F2795" t="s">
        <v>61</v>
      </c>
      <c r="G2795">
        <v>-432.62180000000001</v>
      </c>
      <c r="H2795">
        <v>8.0000420000000003E-2</v>
      </c>
      <c r="I2795">
        <v>290.10919999999999</v>
      </c>
      <c r="J2795">
        <v>-398.29419999999999</v>
      </c>
      <c r="K2795">
        <v>1.10501</v>
      </c>
      <c r="L2795">
        <v>284.3528</v>
      </c>
      <c r="M2795">
        <v>-0.99896620000000003</v>
      </c>
      <c r="N2795">
        <v>0</v>
      </c>
      <c r="O2795">
        <v>4.3166139999999999E-2</v>
      </c>
      <c r="P2795">
        <v>-0.9993398</v>
      </c>
      <c r="Q2795">
        <v>3.3524789999999999E-2</v>
      </c>
      <c r="R2795">
        <v>1.401412E-2</v>
      </c>
      <c r="S2795">
        <v>-2.9978940000000001</v>
      </c>
      <c r="T2795">
        <v>-8.8975189999999996E-2</v>
      </c>
      <c r="U2795">
        <v>0.5004883</v>
      </c>
      <c r="V2795">
        <v>-2.9146720000000001E-2</v>
      </c>
      <c r="W2795">
        <v>4.7765019999999998E-2</v>
      </c>
      <c r="X2795">
        <v>0.99843320000000002</v>
      </c>
      <c r="Y2795">
        <v>0.1218992</v>
      </c>
      <c r="Z2795">
        <v>5.2536309999999997E-4</v>
      </c>
      <c r="AA2795">
        <v>0.99254229999999999</v>
      </c>
      <c r="AB2795">
        <v>30</v>
      </c>
      <c r="AC2795">
        <v>-34.327599999999997</v>
      </c>
      <c r="AD2795">
        <v>-1.0250095800000001</v>
      </c>
      <c r="AE2795">
        <v>5.7563999999999798</v>
      </c>
      <c r="AF2795">
        <v>4.2653938416491899</v>
      </c>
      <c r="AG2795">
        <v>-1.0250095800000001</v>
      </c>
      <c r="AH2795">
        <v>34.5141727273665</v>
      </c>
      <c r="AI2795">
        <v>91.688246918059704</v>
      </c>
      <c r="AJ2795">
        <v>82.954889469165806</v>
      </c>
      <c r="AK2795">
        <v>34.791843129072099</v>
      </c>
    </row>
    <row r="2796" spans="1:37" x14ac:dyDescent="0.2">
      <c r="A2796" t="str">
        <f>"20200111155551695"</f>
        <v>20200111155551695</v>
      </c>
      <c r="B2796" t="str">
        <f>"1578729351685441"</f>
        <v>1578729351685441</v>
      </c>
      <c r="C2796" t="s">
        <v>37</v>
      </c>
      <c r="D2796">
        <v>5.1060080000000001</v>
      </c>
      <c r="E2796">
        <v>0.55800070000000002</v>
      </c>
      <c r="F2796" t="s">
        <v>61</v>
      </c>
      <c r="G2796">
        <v>-433.11799999999999</v>
      </c>
      <c r="H2796">
        <v>8.0000409999999994E-2</v>
      </c>
      <c r="I2796">
        <v>290.11450000000002</v>
      </c>
      <c r="J2796">
        <v>-398.47890000000001</v>
      </c>
      <c r="K2796">
        <v>1.1050899999999999</v>
      </c>
      <c r="L2796">
        <v>284.36059999999998</v>
      </c>
      <c r="M2796">
        <v>-0.99897440000000004</v>
      </c>
      <c r="N2796">
        <v>0</v>
      </c>
      <c r="O2796">
        <v>4.2973740000000003E-2</v>
      </c>
      <c r="P2796">
        <v>-0.99931809999999999</v>
      </c>
      <c r="Q2796">
        <v>3.4209330000000003E-2</v>
      </c>
      <c r="R2796">
        <v>1.3903449999999999E-2</v>
      </c>
      <c r="S2796">
        <v>-2.9980159999999998</v>
      </c>
      <c r="T2796">
        <v>-8.8244199999999995E-2</v>
      </c>
      <c r="U2796">
        <v>0.49603269999999999</v>
      </c>
      <c r="V2796">
        <v>-2.907245E-2</v>
      </c>
      <c r="W2796">
        <v>4.8442300000000001E-2</v>
      </c>
      <c r="X2796">
        <v>0.99840280000000003</v>
      </c>
      <c r="Y2796">
        <v>0.120649299999999</v>
      </c>
      <c r="Z2796">
        <v>5.0842330000000003E-4</v>
      </c>
      <c r="AA2796">
        <v>0.99269509999999905</v>
      </c>
      <c r="AB2796">
        <v>30</v>
      </c>
      <c r="AC2796">
        <v>-34.639099999999999</v>
      </c>
      <c r="AD2796">
        <v>-1.0250895900000001</v>
      </c>
      <c r="AE2796">
        <v>5.7539000000000398</v>
      </c>
      <c r="AF2796">
        <v>4.2562329896864997</v>
      </c>
      <c r="AG2796">
        <v>-1.0250895900000001</v>
      </c>
      <c r="AH2796">
        <v>34.824706187464997</v>
      </c>
      <c r="AI2796">
        <v>91.673608291844502</v>
      </c>
      <c r="AJ2796">
        <v>83.031937766127299</v>
      </c>
      <c r="AK2796">
        <v>35.098810364074801</v>
      </c>
    </row>
    <row r="2797" spans="1:37" x14ac:dyDescent="0.2">
      <c r="A2797" t="str">
        <f>"20200111155551708"</f>
        <v>20200111155551708</v>
      </c>
      <c r="B2797" t="str">
        <f>"1578729351704962"</f>
        <v>1578729351704962</v>
      </c>
      <c r="C2797" t="s">
        <v>37</v>
      </c>
      <c r="D2797">
        <v>5.1464989999999897</v>
      </c>
      <c r="E2797">
        <v>0.55746509999999905</v>
      </c>
      <c r="F2797" t="s">
        <v>61</v>
      </c>
      <c r="G2797">
        <v>-434.0138</v>
      </c>
      <c r="H2797">
        <v>8.0000180000000004E-2</v>
      </c>
      <c r="I2797">
        <v>290.2115</v>
      </c>
      <c r="J2797">
        <v>-398.6576</v>
      </c>
      <c r="K2797">
        <v>1.105167</v>
      </c>
      <c r="L2797">
        <v>284.36810000000003</v>
      </c>
      <c r="M2797">
        <v>-0.99898519999999902</v>
      </c>
      <c r="N2797">
        <v>0</v>
      </c>
      <c r="O2797">
        <v>4.2725029999999997E-2</v>
      </c>
      <c r="P2797">
        <v>-0.99929820000000003</v>
      </c>
      <c r="Q2797">
        <v>3.4813360000000002E-2</v>
      </c>
      <c r="R2797">
        <v>1.383115E-2</v>
      </c>
      <c r="S2797">
        <v>-2.998138</v>
      </c>
      <c r="T2797">
        <v>-8.6488490000000001E-2</v>
      </c>
      <c r="U2797">
        <v>0.49365229999999999</v>
      </c>
      <c r="V2797">
        <v>-2.8904510000000001E-2</v>
      </c>
      <c r="W2797">
        <v>4.9039060000000002E-2</v>
      </c>
      <c r="X2797">
        <v>0.99837849999999995</v>
      </c>
      <c r="Y2797">
        <v>0.1201241</v>
      </c>
      <c r="Z2797">
        <v>4.979044E-4</v>
      </c>
      <c r="AA2797">
        <v>0.99275879999999905</v>
      </c>
      <c r="AB2797">
        <v>30</v>
      </c>
      <c r="AC2797">
        <v>-35.356200000000001</v>
      </c>
      <c r="AD2797">
        <v>-1.0251668199999999</v>
      </c>
      <c r="AE2797">
        <v>5.8433999999999697</v>
      </c>
      <c r="AF2797">
        <v>4.3237764774146203</v>
      </c>
      <c r="AG2797">
        <v>-1.0251668199999999</v>
      </c>
      <c r="AH2797">
        <v>35.544504531785499</v>
      </c>
      <c r="AI2797">
        <v>91.6399720264466</v>
      </c>
      <c r="AJ2797">
        <v>83.064386384747195</v>
      </c>
      <c r="AK2797">
        <v>35.821192225351602</v>
      </c>
    </row>
    <row r="2798" spans="1:37" x14ac:dyDescent="0.2">
      <c r="A2798" t="str">
        <f>"20200111155551721"</f>
        <v>20200111155551721</v>
      </c>
      <c r="B2798" t="str">
        <f>"1578729351714720"</f>
        <v>1578729351714720</v>
      </c>
      <c r="C2798" t="s">
        <v>37</v>
      </c>
      <c r="D2798">
        <v>5.1007739999999897</v>
      </c>
      <c r="E2798">
        <v>0.55719989999999997</v>
      </c>
      <c r="F2798" t="s">
        <v>61</v>
      </c>
      <c r="G2798">
        <v>-434.56970000000001</v>
      </c>
      <c r="H2798">
        <v>8.0000089999999996E-2</v>
      </c>
      <c r="I2798">
        <v>290.22629999999998</v>
      </c>
      <c r="J2798">
        <v>-398.83229999999998</v>
      </c>
      <c r="K2798">
        <v>1.1052489999999999</v>
      </c>
      <c r="L2798">
        <v>284.37540000000001</v>
      </c>
      <c r="M2798">
        <v>-0.99899729999999998</v>
      </c>
      <c r="N2798">
        <v>0</v>
      </c>
      <c r="O2798">
        <v>4.2440329999999998E-2</v>
      </c>
      <c r="P2798">
        <v>-0.99925030000000004</v>
      </c>
      <c r="Q2798">
        <v>3.6145620000000003E-2</v>
      </c>
      <c r="R2798">
        <v>1.3863739999999999E-2</v>
      </c>
      <c r="S2798">
        <v>-2.9983520000000001</v>
      </c>
      <c r="T2798">
        <v>-8.5592509999999997E-2</v>
      </c>
      <c r="U2798">
        <v>0.48910519999999902</v>
      </c>
      <c r="V2798">
        <v>-2.8595079999999998E-2</v>
      </c>
      <c r="W2798">
        <v>5.0363989999999997E-2</v>
      </c>
      <c r="X2798">
        <v>0.99832149999999997</v>
      </c>
      <c r="Y2798">
        <v>0.11893039999999901</v>
      </c>
      <c r="Z2798">
        <v>4.838946E-4</v>
      </c>
      <c r="AA2798">
        <v>0.99290249999999902</v>
      </c>
      <c r="AB2798">
        <v>30</v>
      </c>
      <c r="AC2798">
        <v>-35.737400000000001</v>
      </c>
      <c r="AD2798">
        <v>-1.02524891</v>
      </c>
      <c r="AE2798">
        <v>5.8508999999999602</v>
      </c>
      <c r="AF2798">
        <v>4.32529920615631</v>
      </c>
      <c r="AG2798">
        <v>-1.02524891</v>
      </c>
      <c r="AH2798">
        <v>35.924738420406698</v>
      </c>
      <c r="AI2798">
        <v>91.622994343537499</v>
      </c>
      <c r="AJ2798">
        <v>83.134696467346302</v>
      </c>
      <c r="AK2798">
        <v>36.198704108363799</v>
      </c>
    </row>
    <row r="2799" spans="1:37" x14ac:dyDescent="0.2">
      <c r="A2799" t="str">
        <f>"20200111155551744"</f>
        <v>20200111155551744</v>
      </c>
      <c r="B2799" t="str">
        <f>"1578729351735217"</f>
        <v>1578729351735217</v>
      </c>
      <c r="C2799" t="s">
        <v>37</v>
      </c>
      <c r="D2799">
        <v>5.1483850000000002</v>
      </c>
      <c r="E2799">
        <v>0.55670520000000001</v>
      </c>
      <c r="F2799" t="s">
        <v>61</v>
      </c>
      <c r="G2799">
        <v>-436.5376</v>
      </c>
      <c r="H2799">
        <v>8.0000280000000007E-2</v>
      </c>
      <c r="I2799">
        <v>290.50279999999998</v>
      </c>
      <c r="J2799">
        <v>-399.12490000000003</v>
      </c>
      <c r="K2799">
        <v>1.1053819999999901</v>
      </c>
      <c r="L2799">
        <v>284.38720000000001</v>
      </c>
      <c r="M2799">
        <v>-0.99902340000000001</v>
      </c>
      <c r="N2799">
        <v>0</v>
      </c>
      <c r="O2799">
        <v>4.1820700000000002E-2</v>
      </c>
      <c r="P2799">
        <v>-0.99926139999999997</v>
      </c>
      <c r="Q2799">
        <v>3.6050760000000001E-2</v>
      </c>
      <c r="R2799">
        <v>1.3299699999999999E-2</v>
      </c>
      <c r="S2799">
        <v>-2.9984439999999899</v>
      </c>
      <c r="T2799">
        <v>-8.153117E-2</v>
      </c>
      <c r="U2799">
        <v>0.48727419999999999</v>
      </c>
      <c r="V2799">
        <v>-2.8555239999999999E-2</v>
      </c>
      <c r="W2799">
        <v>5.0258259999999999E-2</v>
      </c>
      <c r="X2799">
        <v>0.99832799999999999</v>
      </c>
      <c r="Y2799">
        <v>0.1189533</v>
      </c>
      <c r="Z2799">
        <v>4.7795470000000002E-4</v>
      </c>
      <c r="AA2799">
        <v>0.99289969999999905</v>
      </c>
      <c r="AB2799">
        <v>30</v>
      </c>
      <c r="AC2799">
        <v>-37.412699999999901</v>
      </c>
      <c r="AD2799">
        <v>-1.0253817199999999</v>
      </c>
      <c r="AE2799">
        <v>6.1155999999999704</v>
      </c>
      <c r="AF2799">
        <v>4.5421411301951098</v>
      </c>
      <c r="AG2799">
        <v>-1.0253817199999999</v>
      </c>
      <c r="AH2799">
        <v>37.608232192950602</v>
      </c>
      <c r="AI2799">
        <v>91.550510386881797</v>
      </c>
      <c r="AJ2799">
        <v>83.113446381952002</v>
      </c>
      <c r="AK2799">
        <v>37.895403182935098</v>
      </c>
    </row>
    <row r="2800" spans="1:37" x14ac:dyDescent="0.2">
      <c r="A2800" t="str">
        <f>"20200111155551765"</f>
        <v>20200111155551765</v>
      </c>
      <c r="B2800" t="str">
        <f>"1578729351754738"</f>
        <v>1578729351754738</v>
      </c>
      <c r="C2800" t="s">
        <v>37</v>
      </c>
      <c r="D2800">
        <v>5.1219209999999897</v>
      </c>
      <c r="E2800">
        <v>0.55620159999999996</v>
      </c>
      <c r="F2800" t="s">
        <v>61</v>
      </c>
      <c r="G2800">
        <v>-436.17079999999999</v>
      </c>
      <c r="H2800">
        <v>8.000024E-2</v>
      </c>
      <c r="I2800">
        <v>290.33659999999998</v>
      </c>
      <c r="J2800">
        <v>-399.42360000000002</v>
      </c>
      <c r="K2800">
        <v>1.10551</v>
      </c>
      <c r="L2800">
        <v>284.39890000000003</v>
      </c>
      <c r="M2800">
        <v>-0.99905580000000005</v>
      </c>
      <c r="N2800">
        <v>0</v>
      </c>
      <c r="O2800">
        <v>4.104112E-2</v>
      </c>
      <c r="P2800">
        <v>-0.99927350000000004</v>
      </c>
      <c r="Q2800">
        <v>3.5939599999999898E-2</v>
      </c>
      <c r="R2800">
        <v>1.26847E-2</v>
      </c>
      <c r="S2800">
        <v>-2.99880999999999</v>
      </c>
      <c r="T2800">
        <v>-8.3003160000000006E-2</v>
      </c>
      <c r="U2800">
        <v>0.48159790000000002</v>
      </c>
      <c r="V2800">
        <v>-2.8406420000000002E-2</v>
      </c>
      <c r="W2800">
        <v>5.0135869999999999E-2</v>
      </c>
      <c r="X2800">
        <v>0.99833830000000001</v>
      </c>
      <c r="Y2800">
        <v>0.117876299999999</v>
      </c>
      <c r="Z2800">
        <v>4.9316599999999996E-4</v>
      </c>
      <c r="AA2800">
        <v>0.99302819999999903</v>
      </c>
      <c r="AB2800">
        <v>30</v>
      </c>
      <c r="AC2800">
        <v>-36.7471999999999</v>
      </c>
      <c r="AD2800">
        <v>-1.02550976</v>
      </c>
      <c r="AE2800">
        <v>5.9376999999999498</v>
      </c>
      <c r="AF2800">
        <v>4.4210412380184003</v>
      </c>
      <c r="AG2800">
        <v>-1.02550976</v>
      </c>
      <c r="AH2800">
        <v>36.931916213153997</v>
      </c>
      <c r="AI2800">
        <v>91.579286608236799</v>
      </c>
      <c r="AJ2800">
        <v>83.173727044182201</v>
      </c>
      <c r="AK2800">
        <v>37.2097260279022</v>
      </c>
    </row>
    <row r="2801" spans="1:37" x14ac:dyDescent="0.2">
      <c r="A2801" t="str">
        <f>"20200111155551787"</f>
        <v>20200111155551787</v>
      </c>
      <c r="B2801" t="str">
        <f>"1578729351784993"</f>
        <v>1578729351784993</v>
      </c>
      <c r="C2801" t="s">
        <v>37</v>
      </c>
      <c r="D2801">
        <v>5.0789939999999998</v>
      </c>
      <c r="E2801">
        <v>0.55546709999999999</v>
      </c>
      <c r="F2801" t="s">
        <v>61</v>
      </c>
      <c r="G2801">
        <v>-435.85379999999998</v>
      </c>
      <c r="H2801">
        <v>8.0000210000000002E-2</v>
      </c>
      <c r="I2801">
        <v>290.17720000000003</v>
      </c>
      <c r="J2801">
        <v>-399.7183</v>
      </c>
      <c r="K2801">
        <v>1.10562</v>
      </c>
      <c r="L2801">
        <v>284.4101</v>
      </c>
      <c r="M2801">
        <v>-0.9990926</v>
      </c>
      <c r="N2801">
        <v>0</v>
      </c>
      <c r="O2801">
        <v>4.0140849999999999E-2</v>
      </c>
      <c r="P2801">
        <v>-0.99925180000000002</v>
      </c>
      <c r="Q2801">
        <v>3.691266E-2</v>
      </c>
      <c r="R2801">
        <v>1.156183E-2</v>
      </c>
      <c r="S2801">
        <v>-2.9991759999999998</v>
      </c>
      <c r="T2801">
        <v>-8.4426639999999997E-2</v>
      </c>
      <c r="U2801">
        <v>0.47570800000000002</v>
      </c>
      <c r="V2801">
        <v>-2.8642089999999999E-2</v>
      </c>
      <c r="W2801">
        <v>5.1098320000000003E-2</v>
      </c>
      <c r="X2801">
        <v>0.99828280000000003</v>
      </c>
      <c r="Y2801">
        <v>0.11684939999999901</v>
      </c>
      <c r="Z2801">
        <v>5.1239259999999996E-4</v>
      </c>
      <c r="AA2801">
        <v>0.99314950000000002</v>
      </c>
      <c r="AB2801">
        <v>30</v>
      </c>
      <c r="AC2801">
        <v>-36.135499999999901</v>
      </c>
      <c r="AD2801">
        <v>-1.0256197899999999</v>
      </c>
      <c r="AE2801">
        <v>5.7671000000000197</v>
      </c>
      <c r="AF2801">
        <v>4.3084097175930198</v>
      </c>
      <c r="AG2801">
        <v>-1.0256197899999999</v>
      </c>
      <c r="AH2801">
        <v>36.309366461795697</v>
      </c>
      <c r="AI2801">
        <v>91.606720831491202</v>
      </c>
      <c r="AJ2801">
        <v>83.233017910836494</v>
      </c>
      <c r="AK2801">
        <v>36.578468845828702</v>
      </c>
    </row>
    <row r="2802" spans="1:37" x14ac:dyDescent="0.2">
      <c r="A2802" t="str">
        <f>"20200111155551810"</f>
        <v>20200111155551810</v>
      </c>
      <c r="B2802" t="str">
        <f>"1578729351804513"</f>
        <v>1578729351804513</v>
      </c>
      <c r="C2802" t="s">
        <v>37</v>
      </c>
      <c r="D2802">
        <v>5.0959050000000001</v>
      </c>
      <c r="E2802">
        <v>0.55500519999999998</v>
      </c>
      <c r="F2802" t="s">
        <v>61</v>
      </c>
      <c r="G2802">
        <v>-436.57960000000003</v>
      </c>
      <c r="H2802">
        <v>8.000032E-2</v>
      </c>
      <c r="I2802">
        <v>290.13670000000002</v>
      </c>
      <c r="J2802">
        <v>-400.0138</v>
      </c>
      <c r="K2802">
        <v>1.1057159999999999</v>
      </c>
      <c r="L2802">
        <v>284.42090000000002</v>
      </c>
      <c r="M2802">
        <v>-0.9991331</v>
      </c>
      <c r="N2802">
        <v>0</v>
      </c>
      <c r="O2802">
        <v>3.9119460000000002E-2</v>
      </c>
      <c r="P2802">
        <v>-0.99923209999999996</v>
      </c>
      <c r="Q2802">
        <v>3.7852299999999998E-2</v>
      </c>
      <c r="R2802">
        <v>1.013406E-2</v>
      </c>
      <c r="S2802">
        <v>-2.9999689999999899</v>
      </c>
      <c r="T2802">
        <v>-8.3470340000000004E-2</v>
      </c>
      <c r="U2802">
        <v>0.46606449999999999</v>
      </c>
      <c r="V2802">
        <v>-2.9060059999999999E-2</v>
      </c>
      <c r="W2802">
        <v>5.202739E-2</v>
      </c>
      <c r="X2802">
        <v>0.99822279999999997</v>
      </c>
      <c r="Y2802">
        <v>0.11470909999999999</v>
      </c>
      <c r="Z2802">
        <v>5.0516089999999895E-4</v>
      </c>
      <c r="AA2802">
        <v>0.99339900000000003</v>
      </c>
      <c r="AB2802">
        <v>30</v>
      </c>
      <c r="AC2802">
        <v>-36.565800000000003</v>
      </c>
      <c r="AD2802">
        <v>-1.02571568</v>
      </c>
      <c r="AE2802">
        <v>5.7157999999999998</v>
      </c>
      <c r="AF2802">
        <v>4.2775589359775603</v>
      </c>
      <c r="AG2802">
        <v>-1.02571568</v>
      </c>
      <c r="AH2802">
        <v>36.733211476589403</v>
      </c>
      <c r="AI2802">
        <v>91.588746369898502</v>
      </c>
      <c r="AJ2802">
        <v>83.357858871021705</v>
      </c>
      <c r="AK2802">
        <v>36.995654183847101</v>
      </c>
    </row>
    <row r="2803" spans="1:37" x14ac:dyDescent="0.2">
      <c r="A2803" t="str">
        <f>"20200111155551832"</f>
        <v>20200111155551832</v>
      </c>
      <c r="B2803" t="str">
        <f>"1578729351825009"</f>
        <v>1578729351825009</v>
      </c>
      <c r="C2803" t="s">
        <v>37</v>
      </c>
      <c r="D2803">
        <v>5.0531569999999997</v>
      </c>
      <c r="E2803">
        <v>0.55455849999999995</v>
      </c>
      <c r="F2803" t="s">
        <v>61</v>
      </c>
      <c r="G2803">
        <v>-437.64249999999998</v>
      </c>
      <c r="H2803">
        <v>8.0000479999999999E-2</v>
      </c>
      <c r="I2803">
        <v>290.16489999999999</v>
      </c>
      <c r="J2803">
        <v>-400.3109</v>
      </c>
      <c r="K2803">
        <v>1.1057939999999999</v>
      </c>
      <c r="L2803">
        <v>284.43130000000002</v>
      </c>
      <c r="M2803">
        <v>-0.99917659999999997</v>
      </c>
      <c r="N2803">
        <v>0</v>
      </c>
      <c r="O2803">
        <v>3.7989479999999999E-2</v>
      </c>
      <c r="P2803">
        <v>-0.99922929999999999</v>
      </c>
      <c r="Q2803">
        <v>3.8181510000000002E-2</v>
      </c>
      <c r="R2803">
        <v>9.1170850000000005E-3</v>
      </c>
      <c r="S2803">
        <v>-3.0007929999999998</v>
      </c>
      <c r="T2803">
        <v>-8.1798079999999995E-2</v>
      </c>
      <c r="U2803">
        <v>0.4580688</v>
      </c>
      <c r="V2803">
        <v>-2.8957710000000001E-2</v>
      </c>
      <c r="W2803">
        <v>5.2348819999999997E-2</v>
      </c>
      <c r="X2803">
        <v>0.99820889999999995</v>
      </c>
      <c r="Y2803">
        <v>0.1132068</v>
      </c>
      <c r="Z2803">
        <v>5.0520129999999895E-4</v>
      </c>
      <c r="AA2803">
        <v>0.99357129999999905</v>
      </c>
      <c r="AB2803">
        <v>30</v>
      </c>
      <c r="AC2803">
        <v>-37.331599999999902</v>
      </c>
      <c r="AD2803">
        <v>-1.0257935199999999</v>
      </c>
      <c r="AE2803">
        <v>5.7335999999999601</v>
      </c>
      <c r="AF2803">
        <v>4.3079306338936902</v>
      </c>
      <c r="AG2803">
        <v>-1.0257935199999999</v>
      </c>
      <c r="AH2803">
        <v>37.494827412955601</v>
      </c>
      <c r="AI2803">
        <v>91.556885206874995</v>
      </c>
      <c r="AJ2803">
        <v>83.445797853313593</v>
      </c>
      <c r="AK2803">
        <v>37.7554314161478</v>
      </c>
    </row>
    <row r="2804" spans="1:37" x14ac:dyDescent="0.2">
      <c r="A2804" t="str">
        <f>"20200111155551854"</f>
        <v>20200111155551854</v>
      </c>
      <c r="B2804" t="str">
        <f>"1578729351844528"</f>
        <v>1578729351844528</v>
      </c>
      <c r="C2804" t="s">
        <v>37</v>
      </c>
      <c r="D2804">
        <v>5.11829</v>
      </c>
      <c r="E2804">
        <v>0.55414140000000001</v>
      </c>
      <c r="F2804" t="s">
        <v>61</v>
      </c>
      <c r="G2804">
        <v>-437.86959999999999</v>
      </c>
      <c r="H2804">
        <v>8.0000520000000006E-2</v>
      </c>
      <c r="I2804">
        <v>290.0788</v>
      </c>
      <c r="J2804">
        <v>-400.60230000000001</v>
      </c>
      <c r="K2804">
        <v>1.1058619999999999</v>
      </c>
      <c r="L2804">
        <v>284.44119999999998</v>
      </c>
      <c r="M2804">
        <v>-0.99922109999999997</v>
      </c>
      <c r="N2804">
        <v>0</v>
      </c>
      <c r="O2804">
        <v>3.6802649999999999E-2</v>
      </c>
      <c r="P2804">
        <v>-0.9992337</v>
      </c>
      <c r="Q2804">
        <v>3.8432649999999999E-2</v>
      </c>
      <c r="R2804">
        <v>7.4278360000000002E-3</v>
      </c>
      <c r="S2804">
        <v>-3.0013429999999999</v>
      </c>
      <c r="T2804">
        <v>-8.1972119999999996E-2</v>
      </c>
      <c r="U2804">
        <v>0.45129390000000003</v>
      </c>
      <c r="V2804">
        <v>-2.9468069999999999E-2</v>
      </c>
      <c r="W2804">
        <v>5.2591190000000003E-2</v>
      </c>
      <c r="X2804">
        <v>0.99818119999999999</v>
      </c>
      <c r="Y2804">
        <v>0.11216710000000001</v>
      </c>
      <c r="Z2804">
        <v>5.243111E-4</v>
      </c>
      <c r="AA2804">
        <v>0.99368919999999905</v>
      </c>
      <c r="AB2804">
        <v>30</v>
      </c>
      <c r="AC2804">
        <v>-37.267299999999899</v>
      </c>
      <c r="AD2804">
        <v>-1.0258614800000001</v>
      </c>
      <c r="AE2804">
        <v>5.6376000000000204</v>
      </c>
      <c r="AF2804">
        <v>4.2589505969410002</v>
      </c>
      <c r="AG2804">
        <v>-1.0258614800000001</v>
      </c>
      <c r="AH2804">
        <v>37.421826195508899</v>
      </c>
      <c r="AI2804">
        <v>91.5602150477892</v>
      </c>
      <c r="AJ2804">
        <v>83.507146177984495</v>
      </c>
      <c r="AK2804">
        <v>37.677368907212902</v>
      </c>
    </row>
    <row r="2805" spans="1:37" x14ac:dyDescent="0.2">
      <c r="A2805" t="str">
        <f>"20200111155551877"</f>
        <v>20200111155551877</v>
      </c>
      <c r="B2805" t="str">
        <f>"1578729351874427"</f>
        <v>1578729351874427</v>
      </c>
      <c r="C2805" t="s">
        <v>37</v>
      </c>
      <c r="D2805">
        <v>5.1394269999999898</v>
      </c>
      <c r="E2805">
        <v>0.55356590000000006</v>
      </c>
      <c r="F2805" t="s">
        <v>61</v>
      </c>
      <c r="G2805">
        <v>-437.97340000000003</v>
      </c>
      <c r="H2805">
        <v>8.0000550000000004E-2</v>
      </c>
      <c r="I2805">
        <v>289.9556</v>
      </c>
      <c r="J2805">
        <v>-400.90140000000002</v>
      </c>
      <c r="K2805">
        <v>1.105912</v>
      </c>
      <c r="L2805">
        <v>284.45089999999999</v>
      </c>
      <c r="M2805">
        <v>-0.99926780000000004</v>
      </c>
      <c r="N2805">
        <v>0</v>
      </c>
      <c r="O2805">
        <v>3.5522779999999997E-2</v>
      </c>
      <c r="P2805">
        <v>-0.99926550000000003</v>
      </c>
      <c r="Q2805">
        <v>3.7921339999999998E-2</v>
      </c>
      <c r="R2805">
        <v>5.5209949999999999E-3</v>
      </c>
      <c r="S2805">
        <v>-3.002167</v>
      </c>
      <c r="T2805">
        <v>-8.2411529999999997E-2</v>
      </c>
      <c r="U2805">
        <v>0.44299319999999998</v>
      </c>
      <c r="V2805">
        <v>-3.0101490000000002E-2</v>
      </c>
      <c r="W2805">
        <v>5.2043590000000001E-2</v>
      </c>
      <c r="X2805">
        <v>0.9981911</v>
      </c>
      <c r="Y2805">
        <v>0.1107115</v>
      </c>
      <c r="Z2805">
        <v>5.4208320000000002E-4</v>
      </c>
      <c r="AA2805">
        <v>0.99385239999999997</v>
      </c>
      <c r="AB2805">
        <v>30</v>
      </c>
      <c r="AC2805">
        <v>-37.072000000000003</v>
      </c>
      <c r="AD2805">
        <v>-1.0259114499999999</v>
      </c>
      <c r="AE2805">
        <v>5.5047000000000104</v>
      </c>
      <c r="AF2805">
        <v>4.18105870343165</v>
      </c>
      <c r="AG2805">
        <v>-1.0259114499999999</v>
      </c>
      <c r="AH2805">
        <v>37.216273713867501</v>
      </c>
      <c r="AI2805">
        <v>91.569160895374907</v>
      </c>
      <c r="AJ2805">
        <v>83.589988696093698</v>
      </c>
      <c r="AK2805">
        <v>37.464446817353199</v>
      </c>
    </row>
    <row r="2806" spans="1:37" x14ac:dyDescent="0.2">
      <c r="A2806" t="str">
        <f>"20200111155551899"</f>
        <v>20200111155551899</v>
      </c>
      <c r="B2806" t="str">
        <f>"1578729351894922"</f>
        <v>1578729351894922</v>
      </c>
      <c r="C2806" t="s">
        <v>37</v>
      </c>
      <c r="D2806">
        <v>5.0608190000000004</v>
      </c>
      <c r="E2806">
        <v>0.55319229999999997</v>
      </c>
      <c r="F2806" t="s">
        <v>61</v>
      </c>
      <c r="G2806">
        <v>-437.10489999999999</v>
      </c>
      <c r="H2806">
        <v>8.0000450000000001E-2</v>
      </c>
      <c r="I2806">
        <v>289.66489999999999</v>
      </c>
      <c r="J2806">
        <v>-401.19400000000002</v>
      </c>
      <c r="K2806">
        <v>1.105931</v>
      </c>
      <c r="L2806">
        <v>284.4599</v>
      </c>
      <c r="M2806">
        <v>-0.99931479999999995</v>
      </c>
      <c r="N2806">
        <v>0</v>
      </c>
      <c r="O2806">
        <v>3.4222580000000002E-2</v>
      </c>
      <c r="P2806">
        <v>-0.99926859999999995</v>
      </c>
      <c r="Q2806">
        <v>3.8132430000000002E-2</v>
      </c>
      <c r="R2806">
        <v>2.9214609999999898E-3</v>
      </c>
      <c r="S2806">
        <v>-3.0030519999999998</v>
      </c>
      <c r="T2806">
        <v>-8.5098510000000002E-2</v>
      </c>
      <c r="U2806">
        <v>0.43249510000000002</v>
      </c>
      <c r="V2806">
        <v>-3.140594E-2</v>
      </c>
      <c r="W2806">
        <v>5.2144049999999997E-2</v>
      </c>
      <c r="X2806">
        <v>0.99814559999999997</v>
      </c>
      <c r="Y2806">
        <v>0.10855860000000001</v>
      </c>
      <c r="Z2806">
        <v>5.6596199999999896E-4</v>
      </c>
      <c r="AA2806">
        <v>0.99408989999999997</v>
      </c>
      <c r="AB2806">
        <v>30</v>
      </c>
      <c r="AC2806">
        <v>-35.910899999999899</v>
      </c>
      <c r="AD2806">
        <v>-1.02593055</v>
      </c>
      <c r="AE2806">
        <v>5.2049999999999796</v>
      </c>
      <c r="AF2806">
        <v>3.9696914020004601</v>
      </c>
      <c r="AG2806">
        <v>-1.02593055</v>
      </c>
      <c r="AH2806">
        <v>36.039197666373298</v>
      </c>
      <c r="AI2806">
        <v>91.620805309901002</v>
      </c>
      <c r="AJ2806">
        <v>83.714251217386106</v>
      </c>
      <c r="AK2806">
        <v>36.271679748206701</v>
      </c>
    </row>
    <row r="2807" spans="1:37" x14ac:dyDescent="0.2">
      <c r="A2807" t="str">
        <f>"20200111155551922"</f>
        <v>20200111155551922</v>
      </c>
      <c r="B2807" t="str">
        <f>"1578729351914443"</f>
        <v>1578729351914443</v>
      </c>
      <c r="C2807" t="s">
        <v>37</v>
      </c>
      <c r="D2807">
        <v>5.4527029999999996</v>
      </c>
      <c r="E2807">
        <v>0.55276059999999905</v>
      </c>
      <c r="F2807" t="s">
        <v>61</v>
      </c>
      <c r="G2807">
        <v>-438.03210000000001</v>
      </c>
      <c r="H2807">
        <v>6.6262929999999998E-2</v>
      </c>
      <c r="I2807">
        <v>289.63260000000002</v>
      </c>
      <c r="J2807">
        <v>-401.48899999999998</v>
      </c>
      <c r="K2807">
        <v>1.105928</v>
      </c>
      <c r="L2807">
        <v>284.46850000000001</v>
      </c>
      <c r="M2807">
        <v>-0.99936179999999997</v>
      </c>
      <c r="N2807">
        <v>0</v>
      </c>
      <c r="O2807">
        <v>3.2891589999999998E-2</v>
      </c>
      <c r="P2807">
        <v>-0.99923259999999903</v>
      </c>
      <c r="Q2807">
        <v>3.9168429999999997E-2</v>
      </c>
      <c r="R2807">
        <v>2.7144890000000002E-4</v>
      </c>
      <c r="S2807">
        <v>-3.0042110000000002</v>
      </c>
      <c r="T2807">
        <v>-8.4786769999999997E-2</v>
      </c>
      <c r="U2807">
        <v>0.42184449999999901</v>
      </c>
      <c r="V2807">
        <v>-3.2729960000000002E-2</v>
      </c>
      <c r="W2807">
        <v>5.3003090000000003E-2</v>
      </c>
      <c r="X2807">
        <v>0.99805779999999999</v>
      </c>
      <c r="Y2807">
        <v>0.10637439999999999</v>
      </c>
      <c r="Z2807">
        <v>5.7045309999999999E-4</v>
      </c>
      <c r="AA2807">
        <v>0.99432600000000004</v>
      </c>
      <c r="AB2807">
        <v>30</v>
      </c>
      <c r="AC2807">
        <v>-36.543099999999903</v>
      </c>
      <c r="AD2807">
        <v>-1.0396650700000001</v>
      </c>
      <c r="AE2807">
        <v>5.1641000000000101</v>
      </c>
      <c r="AF2807">
        <v>3.9560884835288199</v>
      </c>
      <c r="AG2807">
        <v>-1.0396650700000001</v>
      </c>
      <c r="AH2807">
        <v>36.664099798482603</v>
      </c>
      <c r="AI2807">
        <v>91.614903143934797</v>
      </c>
      <c r="AJ2807">
        <v>83.841561526635203</v>
      </c>
      <c r="AK2807">
        <v>36.891567513191703</v>
      </c>
    </row>
    <row r="2808" spans="1:37" x14ac:dyDescent="0.2">
      <c r="A2808" t="str">
        <f>"20200111155551944"</f>
        <v>20200111155551944</v>
      </c>
      <c r="B2808" t="str">
        <f>"1578729351934939"</f>
        <v>1578729351934939</v>
      </c>
      <c r="C2808" t="s">
        <v>37</v>
      </c>
      <c r="D2808">
        <v>5.1604570000000001</v>
      </c>
      <c r="E2808">
        <v>0.55238169999999898</v>
      </c>
      <c r="F2808" t="s">
        <v>61</v>
      </c>
      <c r="G2808">
        <v>-439.31199999999899</v>
      </c>
      <c r="H2808">
        <v>7.2434750000000006E-2</v>
      </c>
      <c r="I2808">
        <v>289.6388</v>
      </c>
      <c r="J2808">
        <v>-401.7835</v>
      </c>
      <c r="K2808">
        <v>1.1059129999999999</v>
      </c>
      <c r="L2808">
        <v>284.47669999999999</v>
      </c>
      <c r="M2808">
        <v>-0.99940779999999996</v>
      </c>
      <c r="N2808">
        <v>0</v>
      </c>
      <c r="O2808">
        <v>3.154875E-2</v>
      </c>
      <c r="P2808">
        <v>-0.99921949999999904</v>
      </c>
      <c r="Q2808">
        <v>3.9452499999999897E-2</v>
      </c>
      <c r="R2808">
        <v>-1.959489E-3</v>
      </c>
      <c r="S2808">
        <v>-3.0054319999999999</v>
      </c>
      <c r="T2808">
        <v>-8.2121609999999998E-2</v>
      </c>
      <c r="U2808">
        <v>0.41082759999999902</v>
      </c>
      <c r="V2808">
        <v>-3.3619740000000002E-2</v>
      </c>
      <c r="W2808">
        <v>5.3094040000000002E-2</v>
      </c>
      <c r="X2808">
        <v>0.9980234</v>
      </c>
      <c r="Y2808">
        <v>0.10408050000000001</v>
      </c>
      <c r="Z2808">
        <v>5.5770989999999996E-4</v>
      </c>
      <c r="AA2808">
        <v>0.99456869999999997</v>
      </c>
      <c r="AB2808">
        <v>30</v>
      </c>
      <c r="AC2808">
        <v>-37.528499999999902</v>
      </c>
      <c r="AD2808">
        <v>-1.0334782499999999</v>
      </c>
      <c r="AE2808">
        <v>5.1620999999999997</v>
      </c>
      <c r="AF2808">
        <v>3.9724842260957201</v>
      </c>
      <c r="AG2808">
        <v>-1.0334782499999999</v>
      </c>
      <c r="AH2808">
        <v>37.644670082871997</v>
      </c>
      <c r="AI2808">
        <v>91.563896057589503</v>
      </c>
      <c r="AJ2808">
        <v>83.976110626970197</v>
      </c>
      <c r="AK2808">
        <v>37.867794943303501</v>
      </c>
    </row>
    <row r="2809" spans="1:37" x14ac:dyDescent="0.2">
      <c r="A2809" t="str">
        <f>"20200111155551967"</f>
        <v>20200111155551967</v>
      </c>
      <c r="B2809" t="str">
        <f>"1578729351954459"</f>
        <v>1578729351954459</v>
      </c>
      <c r="C2809" t="s">
        <v>37</v>
      </c>
      <c r="D2809">
        <v>5.0815099999999997</v>
      </c>
      <c r="E2809">
        <v>0.55201290000000003</v>
      </c>
      <c r="F2809" t="s">
        <v>59</v>
      </c>
      <c r="G2809">
        <v>-440.32929999999999</v>
      </c>
      <c r="H2809">
        <v>5.4578880000000003E-2</v>
      </c>
      <c r="I2809">
        <v>289.62090000000001</v>
      </c>
      <c r="J2809">
        <v>-402.08080000000001</v>
      </c>
      <c r="K2809">
        <v>1.105885</v>
      </c>
      <c r="L2809">
        <v>284.4846</v>
      </c>
      <c r="M2809">
        <v>-0.99945280000000003</v>
      </c>
      <c r="N2809">
        <v>0</v>
      </c>
      <c r="O2809">
        <v>3.01830999999999E-2</v>
      </c>
      <c r="P2809">
        <v>-0.99920980000000004</v>
      </c>
      <c r="Q2809">
        <v>3.9602110000000003E-2</v>
      </c>
      <c r="R2809">
        <v>-3.3976329999999902E-3</v>
      </c>
      <c r="S2809">
        <v>-3.006348</v>
      </c>
      <c r="T2809">
        <v>-8.199787E-2</v>
      </c>
      <c r="U2809">
        <v>0.40121459999999998</v>
      </c>
      <c r="V2809">
        <v>-3.3692649999999998E-2</v>
      </c>
      <c r="W2809">
        <v>5.3036409999999999E-2</v>
      </c>
      <c r="X2809">
        <v>0.99802400000000002</v>
      </c>
      <c r="Y2809">
        <v>0.1022758</v>
      </c>
      <c r="Z2809">
        <v>5.6934290000000001E-4</v>
      </c>
      <c r="AA2809">
        <v>0.99475590000000003</v>
      </c>
      <c r="AB2809">
        <v>30</v>
      </c>
      <c r="AC2809">
        <v>-38.2484999999999</v>
      </c>
      <c r="AD2809">
        <v>-1.05130612</v>
      </c>
      <c r="AE2809">
        <v>5.1363000000000003</v>
      </c>
      <c r="AF2809">
        <v>3.9764444540637198</v>
      </c>
      <c r="AG2809">
        <v>-1.05130612</v>
      </c>
      <c r="AH2809">
        <v>38.357648370707501</v>
      </c>
      <c r="AI2809">
        <v>91.561604572496407</v>
      </c>
      <c r="AJ2809">
        <v>84.081427194966196</v>
      </c>
      <c r="AK2809">
        <v>38.577539366644999</v>
      </c>
    </row>
    <row r="2810" spans="1:37" x14ac:dyDescent="0.2">
      <c r="A2810" t="str">
        <f>"20200111155551989"</f>
        <v>20200111155551989</v>
      </c>
      <c r="B2810" t="str">
        <f>"1578729351984715"</f>
        <v>1578729351984715</v>
      </c>
      <c r="C2810" t="s">
        <v>37</v>
      </c>
      <c r="D2810">
        <v>5.1843360000000001</v>
      </c>
      <c r="E2810">
        <v>0.55149469999999901</v>
      </c>
      <c r="F2810" t="s">
        <v>59</v>
      </c>
      <c r="G2810">
        <v>-441.2808</v>
      </c>
      <c r="H2810">
        <v>3.1656810000000001E-2</v>
      </c>
      <c r="I2810">
        <v>289.61630000000002</v>
      </c>
      <c r="J2810">
        <v>-402.3843</v>
      </c>
      <c r="K2810">
        <v>1.105853</v>
      </c>
      <c r="L2810">
        <v>284.4923</v>
      </c>
      <c r="M2810">
        <v>-0.99949699999999997</v>
      </c>
      <c r="N2810">
        <v>0</v>
      </c>
      <c r="O2810">
        <v>2.8786659999999999E-2</v>
      </c>
      <c r="P2810">
        <v>-0.99921329999999997</v>
      </c>
      <c r="Q2810">
        <v>3.9380569999999997E-2</v>
      </c>
      <c r="R2810">
        <v>-4.7101720000000003E-3</v>
      </c>
      <c r="S2810">
        <v>-3.0069889999999999</v>
      </c>
      <c r="T2810">
        <v>-8.2402939999999994E-2</v>
      </c>
      <c r="U2810">
        <v>0.3936462</v>
      </c>
      <c r="V2810">
        <v>-3.36078E-2</v>
      </c>
      <c r="W2810">
        <v>5.2588339999999997E-2</v>
      </c>
      <c r="X2810">
        <v>0.99805059999999901</v>
      </c>
      <c r="Y2810">
        <v>0.1011768</v>
      </c>
      <c r="Z2810">
        <v>5.9518250000000004E-4</v>
      </c>
      <c r="AA2810">
        <v>0.99486830000000004</v>
      </c>
      <c r="AB2810">
        <v>30</v>
      </c>
      <c r="AC2810">
        <v>-38.896500000000003</v>
      </c>
      <c r="AD2810">
        <v>-1.0741961900000001</v>
      </c>
      <c r="AE2810">
        <v>5.1240000000000201</v>
      </c>
      <c r="AF2810">
        <v>3.9990786405010899</v>
      </c>
      <c r="AG2810">
        <v>-1.0741961900000001</v>
      </c>
      <c r="AH2810">
        <v>38.998657104148499</v>
      </c>
      <c r="AI2810">
        <v>91.569554831391997</v>
      </c>
      <c r="AJ2810">
        <v>84.145125715303607</v>
      </c>
      <c r="AK2810">
        <v>39.217875813899902</v>
      </c>
    </row>
    <row r="2811" spans="1:37" x14ac:dyDescent="0.2">
      <c r="A2811" t="str">
        <f>"20200111155552011"</f>
        <v>20200111155552011</v>
      </c>
      <c r="B2811" t="str">
        <f>"1578729352005210"</f>
        <v>1578729352005210</v>
      </c>
      <c r="C2811" t="s">
        <v>37</v>
      </c>
      <c r="D2811">
        <v>5.1214120000000003</v>
      </c>
      <c r="E2811">
        <v>0.55113599999999996</v>
      </c>
      <c r="F2811" t="s">
        <v>59</v>
      </c>
      <c r="G2811">
        <v>-441.66399999999999</v>
      </c>
      <c r="H2811" s="1">
        <v>-8.658978E-7</v>
      </c>
      <c r="I2811">
        <v>289.52640000000002</v>
      </c>
      <c r="J2811">
        <v>-402.67410000000001</v>
      </c>
      <c r="K2811">
        <v>1.105823</v>
      </c>
      <c r="L2811">
        <v>284.49930000000001</v>
      </c>
      <c r="M2811">
        <v>-0.99953729999999996</v>
      </c>
      <c r="N2811">
        <v>0</v>
      </c>
      <c r="O2811">
        <v>2.7458460000000001E-2</v>
      </c>
      <c r="P2811">
        <v>-0.99917739999999999</v>
      </c>
      <c r="Q2811">
        <v>4.0150110000000003E-2</v>
      </c>
      <c r="R2811">
        <v>-5.7371319999999998E-3</v>
      </c>
      <c r="S2811">
        <v>-3.0075069999999999</v>
      </c>
      <c r="T2811">
        <v>-8.4671259999999998E-2</v>
      </c>
      <c r="U2811">
        <v>0.38543699999999997</v>
      </c>
      <c r="V2811">
        <v>-3.3307469999999999E-2</v>
      </c>
      <c r="W2811">
        <v>5.313594E-2</v>
      </c>
      <c r="X2811">
        <v>0.99803169999999897</v>
      </c>
      <c r="Y2811">
        <v>9.9804480000000001E-2</v>
      </c>
      <c r="Z2811">
        <v>6.2951350000000001E-4</v>
      </c>
      <c r="AA2811">
        <v>0.99500689999999903</v>
      </c>
      <c r="AB2811">
        <v>30</v>
      </c>
      <c r="AC2811">
        <v>-38.989899999999899</v>
      </c>
      <c r="AD2811">
        <v>-1.1058238658977999</v>
      </c>
      <c r="AE2811">
        <v>5.0271000000000097</v>
      </c>
      <c r="AF2811">
        <v>3.95138342258495</v>
      </c>
      <c r="AG2811">
        <v>-1.1058238658977999</v>
      </c>
      <c r="AH2811">
        <v>39.082320968093299</v>
      </c>
      <c r="AI2811">
        <v>91.612520106185499</v>
      </c>
      <c r="AJ2811">
        <v>84.226779026112894</v>
      </c>
      <c r="AK2811">
        <v>39.297125717127599</v>
      </c>
    </row>
    <row r="2812" spans="1:37" x14ac:dyDescent="0.2">
      <c r="A2812" t="str">
        <f>"20200111155552033"</f>
        <v>20200111155552033</v>
      </c>
      <c r="B2812" t="str">
        <f>"1578729352024730"</f>
        <v>1578729352024730</v>
      </c>
      <c r="C2812" t="s">
        <v>37</v>
      </c>
      <c r="D2812">
        <v>5.1681689999999998</v>
      </c>
      <c r="E2812">
        <v>0.55081369999999996</v>
      </c>
      <c r="F2812" t="s">
        <v>59</v>
      </c>
      <c r="G2812">
        <v>-442.56709999999998</v>
      </c>
      <c r="H2812" s="1">
        <v>-3.85572999999999E-7</v>
      </c>
      <c r="I2812">
        <v>289.5326</v>
      </c>
      <c r="J2812">
        <v>-402.96289999999999</v>
      </c>
      <c r="K2812">
        <v>1.105802</v>
      </c>
      <c r="L2812">
        <v>284.50580000000002</v>
      </c>
      <c r="M2812">
        <v>-0.9995754</v>
      </c>
      <c r="N2812">
        <v>0</v>
      </c>
      <c r="O2812">
        <v>2.614176E-2</v>
      </c>
      <c r="P2812">
        <v>-0.9990985</v>
      </c>
      <c r="Q2812">
        <v>4.1834780000000002E-2</v>
      </c>
      <c r="R2812">
        <v>-7.21111699999999E-3</v>
      </c>
      <c r="S2812">
        <v>-3.0079959999999999</v>
      </c>
      <c r="T2812">
        <v>-8.3380700000000002E-2</v>
      </c>
      <c r="U2812">
        <v>0.37951659999999998</v>
      </c>
      <c r="V2812">
        <v>-3.34671E-2</v>
      </c>
      <c r="W2812">
        <v>5.4605790000000001E-2</v>
      </c>
      <c r="X2812">
        <v>0.99794699999999903</v>
      </c>
      <c r="Y2812">
        <v>9.9168210000000007E-2</v>
      </c>
      <c r="Z2812">
        <v>6.4742420000000003E-4</v>
      </c>
      <c r="AA2812">
        <v>0.99507049999999997</v>
      </c>
      <c r="AB2812">
        <v>30</v>
      </c>
      <c r="AC2812">
        <v>-39.604199999999899</v>
      </c>
      <c r="AD2812">
        <v>-1.1058023855729999</v>
      </c>
      <c r="AE2812">
        <v>5.0267999999999802</v>
      </c>
      <c r="AF2812">
        <v>3.98661385074185</v>
      </c>
      <c r="AG2812">
        <v>-1.1058023855729999</v>
      </c>
      <c r="AH2812">
        <v>39.691630096542198</v>
      </c>
      <c r="AI2812">
        <v>91.587853328826895</v>
      </c>
      <c r="AJ2812">
        <v>84.264466672664497</v>
      </c>
      <c r="AK2812">
        <v>39.906658449832697</v>
      </c>
    </row>
    <row r="2813" spans="1:37" x14ac:dyDescent="0.2">
      <c r="A2813" t="str">
        <f>"20200111155552145"</f>
        <v>20200111155552145</v>
      </c>
      <c r="B2813" t="str">
        <f>"1578729352135019"</f>
        <v>1578729352135019</v>
      </c>
      <c r="C2813" t="s">
        <v>37</v>
      </c>
      <c r="D2813">
        <v>4.9635590000000001</v>
      </c>
      <c r="E2813">
        <v>0.55078830000000001</v>
      </c>
      <c r="F2813" t="s">
        <v>59</v>
      </c>
      <c r="G2813">
        <v>-444.23790000000002</v>
      </c>
      <c r="H2813">
        <v>2.220944E-2</v>
      </c>
      <c r="I2813">
        <v>289.61630000000002</v>
      </c>
      <c r="J2813">
        <v>-404.45119999999997</v>
      </c>
      <c r="K2813">
        <v>1.1057189999999999</v>
      </c>
      <c r="L2813">
        <v>284.53359999999998</v>
      </c>
      <c r="M2813">
        <v>-0.99974059999999898</v>
      </c>
      <c r="N2813">
        <v>0</v>
      </c>
      <c r="O2813">
        <v>1.9418589999999999E-2</v>
      </c>
      <c r="P2813">
        <v>-0.9989633</v>
      </c>
      <c r="Q2813">
        <v>4.2326229999999999E-2</v>
      </c>
      <c r="R2813">
        <v>-1.67645999999999E-2</v>
      </c>
      <c r="S2813">
        <v>-3.0086979999999999</v>
      </c>
      <c r="T2813">
        <v>-7.8987479999999999E-2</v>
      </c>
      <c r="U2813">
        <v>0.37252809999999997</v>
      </c>
      <c r="V2813">
        <v>-3.6299749999999999E-2</v>
      </c>
      <c r="W2813">
        <v>5.4121570000000001E-2</v>
      </c>
      <c r="X2813">
        <v>0.99787429999999999</v>
      </c>
      <c r="Y2813">
        <v>0.103554199999999</v>
      </c>
      <c r="Z2813">
        <v>8.4627469999999996E-4</v>
      </c>
      <c r="AA2813">
        <v>0.99462340000000005</v>
      </c>
      <c r="AB2813">
        <v>30</v>
      </c>
      <c r="AC2813">
        <v>-39.786700000000003</v>
      </c>
      <c r="AD2813">
        <v>-1.08350956</v>
      </c>
      <c r="AE2813">
        <v>5.08270000000004</v>
      </c>
      <c r="AF2813">
        <v>4.3059429821787596</v>
      </c>
      <c r="AG2813">
        <v>-1.08350956</v>
      </c>
      <c r="AH2813">
        <v>39.8488239833896</v>
      </c>
      <c r="AI2813">
        <v>91.548507531221603</v>
      </c>
      <c r="AJ2813">
        <v>83.832721348104798</v>
      </c>
      <c r="AK2813">
        <v>40.095435036816198</v>
      </c>
    </row>
    <row r="2814" spans="1:37" x14ac:dyDescent="0.2">
      <c r="A2814" t="str">
        <f>"20200111155552168"</f>
        <v>20200111155552168</v>
      </c>
      <c r="B2814" t="str">
        <f>"1578729352165275"</f>
        <v>1578729352165275</v>
      </c>
      <c r="C2814" t="s">
        <v>37</v>
      </c>
      <c r="D2814">
        <v>5.1500769999999996</v>
      </c>
      <c r="E2814">
        <v>0.4954865</v>
      </c>
      <c r="F2814" t="s">
        <v>59</v>
      </c>
      <c r="G2814">
        <v>-447.6078</v>
      </c>
      <c r="H2814" s="1">
        <v>2.2999560000000001E-6</v>
      </c>
      <c r="I2814">
        <v>289.46039999999999</v>
      </c>
      <c r="J2814">
        <v>-404.74770000000001</v>
      </c>
      <c r="K2814">
        <v>1.1057030000000001</v>
      </c>
      <c r="L2814">
        <v>284.53789999999998</v>
      </c>
      <c r="M2814">
        <v>-0.99976759999999998</v>
      </c>
      <c r="N2814">
        <v>0</v>
      </c>
      <c r="O2814">
        <v>1.8083410000000001E-2</v>
      </c>
      <c r="P2814">
        <v>-0.99896620000000003</v>
      </c>
      <c r="Q2814">
        <v>4.1608720000000002E-2</v>
      </c>
      <c r="R2814">
        <v>-1.832079E-2</v>
      </c>
      <c r="S2814">
        <v>-3.0121769999999999</v>
      </c>
      <c r="T2814">
        <v>-7.7175140000000003E-2</v>
      </c>
      <c r="U2814">
        <v>0.34387209999999901</v>
      </c>
      <c r="V2814">
        <v>-3.6520370000000003E-2</v>
      </c>
      <c r="W2814">
        <v>5.3235930000000001E-2</v>
      </c>
      <c r="X2814">
        <v>0.99791390000000002</v>
      </c>
      <c r="Y2814">
        <v>9.5412430000000006E-2</v>
      </c>
      <c r="Z2814">
        <v>7.5649349999999996E-4</v>
      </c>
      <c r="AA2814">
        <v>0.99543760000000003</v>
      </c>
      <c r="AB2814">
        <v>30</v>
      </c>
      <c r="AC2814">
        <v>-42.860099999999903</v>
      </c>
      <c r="AD2814">
        <v>-1.105700700044</v>
      </c>
      <c r="AE2814">
        <v>4.9225000000000101</v>
      </c>
      <c r="AF2814">
        <v>4.14386285940643</v>
      </c>
      <c r="AG2814">
        <v>-1.105700700044</v>
      </c>
      <c r="AH2814">
        <v>42.913923589957697</v>
      </c>
      <c r="AI2814">
        <v>91.469100303914701</v>
      </c>
      <c r="AJ2814">
        <v>84.484493747696007</v>
      </c>
      <c r="AK2814">
        <v>43.127705843464199</v>
      </c>
    </row>
    <row r="2815" spans="1:37" x14ac:dyDescent="0.2">
      <c r="A2815" t="str">
        <f>"20200111155552257"</f>
        <v>20200111155552257</v>
      </c>
      <c r="B2815" t="str">
        <f>"1578729352255067"</f>
        <v>1578729352255067</v>
      </c>
      <c r="C2815" t="s">
        <v>37</v>
      </c>
      <c r="D2815">
        <v>5.1587529999999999</v>
      </c>
      <c r="E2815">
        <v>0.48060439999999999</v>
      </c>
      <c r="F2815" t="s">
        <v>61</v>
      </c>
      <c r="G2815">
        <v>-428.21449999999999</v>
      </c>
      <c r="H2815" s="1">
        <v>2.5868610000000002E-6</v>
      </c>
      <c r="I2815">
        <v>283.70839999999998</v>
      </c>
      <c r="J2815">
        <v>-405.94490000000002</v>
      </c>
      <c r="K2815">
        <v>1.1055839999999999</v>
      </c>
      <c r="L2815">
        <v>284.55169999999998</v>
      </c>
      <c r="M2815">
        <v>-0.99985579999999996</v>
      </c>
      <c r="N2815">
        <v>0</v>
      </c>
      <c r="O2815">
        <v>1.282529E-2</v>
      </c>
      <c r="P2815">
        <v>-0.99902269999999904</v>
      </c>
      <c r="Q2815">
        <v>3.7733879999999997E-2</v>
      </c>
      <c r="R2815">
        <v>-2.3028239999999998E-2</v>
      </c>
      <c r="S2815">
        <v>-3.0069889999999999</v>
      </c>
      <c r="T2815">
        <v>-0.14168239999999999</v>
      </c>
      <c r="U2815">
        <v>-0.106292699999999</v>
      </c>
      <c r="V2815">
        <v>-3.5959940000000003E-2</v>
      </c>
      <c r="W2815">
        <v>4.876664E-2</v>
      </c>
      <c r="X2815">
        <v>0.99816269999999996</v>
      </c>
      <c r="Y2815">
        <v>-4.8074190000000003E-2</v>
      </c>
      <c r="Z2815">
        <v>-1.7354270000000001E-3</v>
      </c>
      <c r="AA2815">
        <v>0.99884219999999901</v>
      </c>
      <c r="AB2815">
        <v>30</v>
      </c>
      <c r="AC2815">
        <v>-22.269599999999901</v>
      </c>
      <c r="AD2815">
        <v>-1.105581413139</v>
      </c>
      <c r="AE2815">
        <v>-0.84329999999999905</v>
      </c>
      <c r="AF2815">
        <v>-1.12609094987809</v>
      </c>
      <c r="AG2815">
        <v>-1.105581413139</v>
      </c>
      <c r="AH2815">
        <v>22.202309180907399</v>
      </c>
      <c r="AI2815">
        <v>92.847079993326602</v>
      </c>
      <c r="AJ2815">
        <v>92.903527645250904</v>
      </c>
      <c r="AK2815">
        <v>22.258322579500099</v>
      </c>
    </row>
    <row r="2816" spans="1:37" x14ac:dyDescent="0.2">
      <c r="A2816" t="str">
        <f>"20200111155552270"</f>
        <v>20200111155552270</v>
      </c>
      <c r="B2816" t="str">
        <f>"1578729352264828"</f>
        <v>1578729352264828</v>
      </c>
      <c r="C2816" t="s">
        <v>37</v>
      </c>
      <c r="D2816">
        <v>5.0852190000000004</v>
      </c>
      <c r="E2816">
        <v>0.47786469999999998</v>
      </c>
      <c r="F2816" t="s">
        <v>61</v>
      </c>
      <c r="G2816">
        <v>-425.9187</v>
      </c>
      <c r="H2816" s="1">
        <v>3.05994599999999E-6</v>
      </c>
      <c r="I2816">
        <v>282.95519999999999</v>
      </c>
      <c r="J2816">
        <v>-406.11160000000001</v>
      </c>
      <c r="K2816">
        <v>1.1055629999999901</v>
      </c>
      <c r="L2816">
        <v>284.55309999999997</v>
      </c>
      <c r="M2816">
        <v>-0.99986520000000001</v>
      </c>
      <c r="N2816">
        <v>0</v>
      </c>
      <c r="O2816">
        <v>1.2133619999999999E-2</v>
      </c>
      <c r="P2816">
        <v>-0.99900730000000004</v>
      </c>
      <c r="Q2816">
        <v>3.7802820000000001E-2</v>
      </c>
      <c r="R2816">
        <v>-2.3566859999999999E-2</v>
      </c>
      <c r="S2816">
        <v>-3.0036930000000002</v>
      </c>
      <c r="T2816">
        <v>-0.1662595</v>
      </c>
      <c r="U2816">
        <v>-0.24008179999999901</v>
      </c>
      <c r="V2816">
        <v>-3.5806699999999997E-2</v>
      </c>
      <c r="W2816">
        <v>4.8761880000000001E-2</v>
      </c>
      <c r="X2816">
        <v>0.99816839999999996</v>
      </c>
      <c r="Y2816">
        <v>-9.1606889999999996E-2</v>
      </c>
      <c r="Z2816">
        <v>-3.1994829999999999E-3</v>
      </c>
      <c r="AA2816">
        <v>0.99579010000000001</v>
      </c>
      <c r="AB2816">
        <v>30</v>
      </c>
      <c r="AC2816">
        <v>-19.807099999999899</v>
      </c>
      <c r="AD2816">
        <v>-1.1055599400539999</v>
      </c>
      <c r="AE2816">
        <v>-1.5978999999999799</v>
      </c>
      <c r="AF2816">
        <v>-1.8324568456046</v>
      </c>
      <c r="AG2816">
        <v>-1.1055599400539999</v>
      </c>
      <c r="AH2816">
        <v>19.725196434698301</v>
      </c>
      <c r="AI2816">
        <v>93.194238383823105</v>
      </c>
      <c r="AJ2816">
        <v>95.307504099285197</v>
      </c>
      <c r="AK2816">
        <v>19.840956006692</v>
      </c>
    </row>
    <row r="2817" spans="1:37" x14ac:dyDescent="0.2">
      <c r="A2817" t="str">
        <f>"20200111155552285"</f>
        <v>20200111155552285</v>
      </c>
      <c r="B2817" t="str">
        <f>"1578729352274587"</f>
        <v>1578729352274587</v>
      </c>
      <c r="C2817" t="s">
        <v>37</v>
      </c>
      <c r="D2817">
        <v>5.0399919999999998</v>
      </c>
      <c r="E2817">
        <v>0.47627459999999999</v>
      </c>
      <c r="F2817" t="s">
        <v>61</v>
      </c>
      <c r="G2817">
        <v>-426.81119999999999</v>
      </c>
      <c r="H2817" s="1">
        <v>2.9205889999999999E-6</v>
      </c>
      <c r="I2817">
        <v>282.73820000000001</v>
      </c>
      <c r="J2817">
        <v>-406.31310000000002</v>
      </c>
      <c r="K2817">
        <v>1.1055330000000001</v>
      </c>
      <c r="L2817">
        <v>284.55470000000003</v>
      </c>
      <c r="M2817">
        <v>-0.99987579999999998</v>
      </c>
      <c r="N2817">
        <v>0</v>
      </c>
      <c r="O2817">
        <v>1.131359E-2</v>
      </c>
      <c r="P2817">
        <v>-0.99897159999999996</v>
      </c>
      <c r="Q2817">
        <v>3.8238029999999999E-2</v>
      </c>
      <c r="R2817">
        <v>-2.4361339999999999E-2</v>
      </c>
      <c r="S2817">
        <v>-3.0028380000000001</v>
      </c>
      <c r="T2817">
        <v>-0.1603802</v>
      </c>
      <c r="U2817">
        <v>-0.26327509999999998</v>
      </c>
      <c r="V2817">
        <v>-3.5779909999999998E-2</v>
      </c>
      <c r="W2817">
        <v>4.9107169999999999E-2</v>
      </c>
      <c r="X2817">
        <v>0.99815239999999905</v>
      </c>
      <c r="Y2817">
        <v>-9.8450560000000006E-2</v>
      </c>
      <c r="Z2817">
        <v>-3.2249790000000002E-3</v>
      </c>
      <c r="AA2817">
        <v>0.99513669999999999</v>
      </c>
      <c r="AB2817">
        <v>30</v>
      </c>
      <c r="AC2817">
        <v>-20.498099999999901</v>
      </c>
      <c r="AD2817">
        <v>-1.1055300794109999</v>
      </c>
      <c r="AE2817">
        <v>-1.81650000000001</v>
      </c>
      <c r="AF2817">
        <v>-2.0424101169574902</v>
      </c>
      <c r="AG2817">
        <v>-1.1055300794109999</v>
      </c>
      <c r="AH2817">
        <v>20.417308465122499</v>
      </c>
      <c r="AI2817">
        <v>93.083989491783299</v>
      </c>
      <c r="AJ2817">
        <v>95.712480451044598</v>
      </c>
      <c r="AK2817">
        <v>20.548968850097999</v>
      </c>
    </row>
    <row r="2818" spans="1:37" x14ac:dyDescent="0.2">
      <c r="A2818" t="str">
        <f>"20200111155552299"</f>
        <v>20200111155552299</v>
      </c>
      <c r="B2818" t="str">
        <f>"1578729352295083"</f>
        <v>1578729352295083</v>
      </c>
      <c r="C2818" t="s">
        <v>37</v>
      </c>
      <c r="D2818">
        <v>5.0960260000000002</v>
      </c>
      <c r="E2818">
        <v>0.4753193</v>
      </c>
      <c r="F2818" t="s">
        <v>61</v>
      </c>
      <c r="G2818">
        <v>-427.21039999999999</v>
      </c>
      <c r="H2818" s="1">
        <v>2.8603429999999899E-6</v>
      </c>
      <c r="I2818">
        <v>282.61750000000001</v>
      </c>
      <c r="J2818">
        <v>-406.51350000000002</v>
      </c>
      <c r="K2818">
        <v>1.1055029999999999</v>
      </c>
      <c r="L2818">
        <v>284.55619999999999</v>
      </c>
      <c r="M2818">
        <v>-0.99988559999999904</v>
      </c>
      <c r="N2818">
        <v>0</v>
      </c>
      <c r="O2818">
        <v>1.052001E-2</v>
      </c>
      <c r="P2818">
        <v>-0.99894210000000006</v>
      </c>
      <c r="Q2818">
        <v>3.8480769999999997E-2</v>
      </c>
      <c r="R2818">
        <v>-2.5181680000000001E-2</v>
      </c>
      <c r="S2818">
        <v>-3.0024109999999999</v>
      </c>
      <c r="T2818">
        <v>-0.15883699999999901</v>
      </c>
      <c r="U2818">
        <v>-0.27832030000000002</v>
      </c>
      <c r="V2818">
        <v>-3.5805339999999998E-2</v>
      </c>
      <c r="W2818">
        <v>4.92591E-2</v>
      </c>
      <c r="X2818">
        <v>0.99814400000000003</v>
      </c>
      <c r="Y2818">
        <v>-0.102616899999999</v>
      </c>
      <c r="Z2818">
        <v>-3.2617499999999999E-3</v>
      </c>
      <c r="AA2818">
        <v>0.99471559999999903</v>
      </c>
      <c r="AB2818">
        <v>30</v>
      </c>
      <c r="AC2818">
        <v>-20.6968999999999</v>
      </c>
      <c r="AD2818">
        <v>-1.1055001396569999</v>
      </c>
      <c r="AE2818">
        <v>-1.9386999999999801</v>
      </c>
      <c r="AF2818">
        <v>-2.1502557669106599</v>
      </c>
      <c r="AG2818">
        <v>-1.1055001396569999</v>
      </c>
      <c r="AH2818">
        <v>20.6170486906489</v>
      </c>
      <c r="AI2818">
        <v>93.052772516986593</v>
      </c>
      <c r="AJ2818">
        <v>95.954138839985106</v>
      </c>
      <c r="AK2818">
        <v>20.758333920006798</v>
      </c>
    </row>
    <row r="2819" spans="1:37" x14ac:dyDescent="0.2">
      <c r="A2819" t="str">
        <f>"20200111155552340"</f>
        <v>20200111155552340</v>
      </c>
      <c r="B2819" t="str">
        <f>"1578729352335099"</f>
        <v>1578729352335099</v>
      </c>
      <c r="C2819" t="s">
        <v>37</v>
      </c>
      <c r="D2819">
        <v>5.1688619999999998</v>
      </c>
      <c r="E2819">
        <v>0.47460219999999997</v>
      </c>
      <c r="F2819" t="s">
        <v>61</v>
      </c>
      <c r="G2819">
        <v>-427.63060000000002</v>
      </c>
      <c r="H2819" s="1">
        <v>2.7937619999999899E-6</v>
      </c>
      <c r="I2819">
        <v>282.52640000000002</v>
      </c>
      <c r="J2819">
        <v>-407.05520000000001</v>
      </c>
      <c r="K2819">
        <v>1.105397</v>
      </c>
      <c r="L2819">
        <v>284.55950000000001</v>
      </c>
      <c r="M2819">
        <v>-0.9999074</v>
      </c>
      <c r="N2819">
        <v>0</v>
      </c>
      <c r="O2819">
        <v>8.5217290000000005E-3</v>
      </c>
      <c r="P2819">
        <v>-0.99885480000000004</v>
      </c>
      <c r="Q2819">
        <v>3.8841340000000002E-2</v>
      </c>
      <c r="R2819">
        <v>-2.794816E-2</v>
      </c>
      <c r="S2819">
        <v>-3.0019529999999999</v>
      </c>
      <c r="T2819">
        <v>-0.1571555</v>
      </c>
      <c r="U2819">
        <v>-0.28854370000000001</v>
      </c>
      <c r="V2819">
        <v>-3.65657E-2</v>
      </c>
      <c r="W2819">
        <v>4.9374359999999999E-2</v>
      </c>
      <c r="X2819">
        <v>0.99811079999999996</v>
      </c>
      <c r="Y2819">
        <v>-0.1040046</v>
      </c>
      <c r="Z2819">
        <v>-3.1591309999999999E-3</v>
      </c>
      <c r="AA2819">
        <v>0.99457180000000001</v>
      </c>
      <c r="AB2819">
        <v>30</v>
      </c>
      <c r="AC2819">
        <v>-20.575399999999998</v>
      </c>
      <c r="AD2819">
        <v>-1.105394206238</v>
      </c>
      <c r="AE2819">
        <v>-2.0330999999999899</v>
      </c>
      <c r="AF2819">
        <v>-2.2020796696754901</v>
      </c>
      <c r="AG2819">
        <v>-1.105394206238</v>
      </c>
      <c r="AH2819">
        <v>20.498733406962</v>
      </c>
      <c r="AI2819">
        <v>93.069061426394896</v>
      </c>
      <c r="AJ2819">
        <v>96.131494149502998</v>
      </c>
      <c r="AK2819">
        <v>20.646285925378599</v>
      </c>
    </row>
    <row r="2820" spans="1:37" x14ac:dyDescent="0.2">
      <c r="A2820" t="str">
        <f>"20200111155552357"</f>
        <v>20200111155552357</v>
      </c>
      <c r="B2820" t="str">
        <f>"1578729352354619"</f>
        <v>1578729352354619</v>
      </c>
      <c r="C2820" t="s">
        <v>37</v>
      </c>
      <c r="D2820">
        <v>5.1129169999999897</v>
      </c>
      <c r="E2820">
        <v>0.4740528</v>
      </c>
      <c r="F2820" t="s">
        <v>61</v>
      </c>
      <c r="G2820">
        <v>-429.02530000000002</v>
      </c>
      <c r="H2820" s="1">
        <v>2.5622580000000001E-6</v>
      </c>
      <c r="I2820">
        <v>282.34469999999999</v>
      </c>
      <c r="J2820">
        <v>-407.29849999999999</v>
      </c>
      <c r="K2820">
        <v>1.1053360000000001</v>
      </c>
      <c r="L2820">
        <v>284.56079999999997</v>
      </c>
      <c r="M2820">
        <v>-0.99991509999999995</v>
      </c>
      <c r="N2820">
        <v>0</v>
      </c>
      <c r="O2820">
        <v>7.7043149999999998E-3</v>
      </c>
      <c r="P2820">
        <v>-0.99882789999999999</v>
      </c>
      <c r="Q2820">
        <v>3.8328470000000003E-2</v>
      </c>
      <c r="R2820">
        <v>-2.9560579999999999E-2</v>
      </c>
      <c r="S2820">
        <v>-3.0008539999999999</v>
      </c>
      <c r="T2820">
        <v>-0.15098399999999901</v>
      </c>
      <c r="U2820">
        <v>-0.30252079999999998</v>
      </c>
      <c r="V2820">
        <v>-3.7354520000000002E-2</v>
      </c>
      <c r="W2820">
        <v>4.8749019999999997E-2</v>
      </c>
      <c r="X2820">
        <v>0.99811229999999995</v>
      </c>
      <c r="Y2820">
        <v>-0.1078214</v>
      </c>
      <c r="Z2820">
        <v>-3.0903559999999998E-3</v>
      </c>
      <c r="AA2820">
        <v>0.99416550000000004</v>
      </c>
      <c r="AB2820">
        <v>30</v>
      </c>
      <c r="AC2820">
        <v>-21.726800000000001</v>
      </c>
      <c r="AD2820">
        <v>-1.1053334377420001</v>
      </c>
      <c r="AE2820">
        <v>-2.21609999999998</v>
      </c>
      <c r="AF2820">
        <v>-2.3773439288807898</v>
      </c>
      <c r="AG2820">
        <v>-1.1053334377420001</v>
      </c>
      <c r="AH2820">
        <v>21.653614157188802</v>
      </c>
      <c r="AI2820">
        <v>92.904767950157293</v>
      </c>
      <c r="AJ2820">
        <v>96.2653932998507</v>
      </c>
      <c r="AK2820">
        <v>21.811752158714501</v>
      </c>
    </row>
    <row r="2821" spans="1:37" x14ac:dyDescent="0.2">
      <c r="A2821" t="str">
        <f>"20200111155552391"</f>
        <v>20200111155552391</v>
      </c>
      <c r="B2821" t="str">
        <f>"1578729352384874"</f>
        <v>1578729352384874</v>
      </c>
      <c r="C2821" t="s">
        <v>37</v>
      </c>
      <c r="D2821">
        <v>5.1075210000000002</v>
      </c>
      <c r="E2821">
        <v>0.4737749</v>
      </c>
      <c r="F2821" t="s">
        <v>61</v>
      </c>
      <c r="G2821">
        <v>-429.0104</v>
      </c>
      <c r="H2821" s="1">
        <v>2.56834299999999E-6</v>
      </c>
      <c r="I2821">
        <v>282.30520000000001</v>
      </c>
      <c r="J2821">
        <v>-407.7509</v>
      </c>
      <c r="K2821">
        <v>1.1052059999999999</v>
      </c>
      <c r="L2821">
        <v>284.56270000000001</v>
      </c>
      <c r="M2821">
        <v>-0.9999266</v>
      </c>
      <c r="N2821">
        <v>0</v>
      </c>
      <c r="O2821">
        <v>6.364878E-3</v>
      </c>
      <c r="P2821">
        <v>-0.99880020000000003</v>
      </c>
      <c r="Q2821">
        <v>3.7313199999999998E-2</v>
      </c>
      <c r="R2821">
        <v>-3.172113E-2</v>
      </c>
      <c r="S2821">
        <v>-3.0001829999999998</v>
      </c>
      <c r="T2821">
        <v>-0.15273639999999999</v>
      </c>
      <c r="U2821">
        <v>-0.31167600000000001</v>
      </c>
      <c r="V2821">
        <v>-3.816344E-2</v>
      </c>
      <c r="W2821">
        <v>4.7539730000000002E-2</v>
      </c>
      <c r="X2821">
        <v>0.99813999999999903</v>
      </c>
      <c r="Y2821">
        <v>-0.109510199999999</v>
      </c>
      <c r="Z2821">
        <v>-3.101258E-3</v>
      </c>
      <c r="AA2821">
        <v>0.9939808</v>
      </c>
      <c r="AB2821">
        <v>30</v>
      </c>
      <c r="AC2821">
        <v>-21.259499999999999</v>
      </c>
      <c r="AD2821">
        <v>-1.1052034316570001</v>
      </c>
      <c r="AE2821">
        <v>-2.2574999999999901</v>
      </c>
      <c r="AF2821">
        <v>-2.3863980655838701</v>
      </c>
      <c r="AG2821">
        <v>-1.1052034316570001</v>
      </c>
      <c r="AH2821">
        <v>21.1880758851099</v>
      </c>
      <c r="AI2821">
        <v>92.9672051735688</v>
      </c>
      <c r="AJ2821">
        <v>96.426102139857804</v>
      </c>
      <c r="AK2821">
        <v>21.350665799125402</v>
      </c>
    </row>
    <row r="2822" spans="1:37" x14ac:dyDescent="0.2">
      <c r="A2822" t="str">
        <f>"20200111155552424"</f>
        <v>20200111155552424</v>
      </c>
      <c r="B2822" t="str">
        <f>"1578729352415131"</f>
        <v>1578729352415131</v>
      </c>
      <c r="C2822" t="s">
        <v>37</v>
      </c>
      <c r="D2822">
        <v>5.2304940000000002</v>
      </c>
      <c r="E2822">
        <v>0.47401290000000001</v>
      </c>
      <c r="F2822" t="s">
        <v>61</v>
      </c>
      <c r="G2822">
        <v>-429.0102</v>
      </c>
      <c r="H2822" s="1">
        <v>2.569563E-6</v>
      </c>
      <c r="I2822">
        <v>282.29180000000002</v>
      </c>
      <c r="J2822">
        <v>-408.20179999999999</v>
      </c>
      <c r="K2822">
        <v>1.105051</v>
      </c>
      <c r="L2822">
        <v>284.56420000000003</v>
      </c>
      <c r="M2822">
        <v>-0.99993489999999996</v>
      </c>
      <c r="N2822">
        <v>0</v>
      </c>
      <c r="O2822">
        <v>5.2744769999999996E-3</v>
      </c>
      <c r="P2822">
        <v>-0.99878899999999904</v>
      </c>
      <c r="Q2822">
        <v>3.629814E-2</v>
      </c>
      <c r="R2822">
        <v>-3.3221290000000001E-2</v>
      </c>
      <c r="S2822">
        <v>-2.9992679999999998</v>
      </c>
      <c r="T2822">
        <v>-0.15592229999999899</v>
      </c>
      <c r="U2822">
        <v>-0.32037349999999998</v>
      </c>
      <c r="V2822">
        <v>-3.8557760000000003E-2</v>
      </c>
      <c r="W2822">
        <v>4.6359919999999999E-2</v>
      </c>
      <c r="X2822">
        <v>0.99818039999999997</v>
      </c>
      <c r="Y2822">
        <v>-0.11130080000000001</v>
      </c>
      <c r="Z2822">
        <v>-3.1562249999999999E-3</v>
      </c>
      <c r="AA2822">
        <v>0.99378169999999899</v>
      </c>
      <c r="AB2822">
        <v>30</v>
      </c>
      <c r="AC2822">
        <v>-20.808399999999999</v>
      </c>
      <c r="AD2822">
        <v>-1.1050484304370001</v>
      </c>
      <c r="AE2822">
        <v>-2.2724000000000002</v>
      </c>
      <c r="AF2822">
        <v>-2.3755069020444002</v>
      </c>
      <c r="AG2822">
        <v>-1.1050484304370001</v>
      </c>
      <c r="AH2822">
        <v>20.738326530303599</v>
      </c>
      <c r="AI2822">
        <v>93.030361009915595</v>
      </c>
      <c r="AJ2822">
        <v>96.534561999352704</v>
      </c>
      <c r="AK2822">
        <v>20.903166084418</v>
      </c>
    </row>
    <row r="2823" spans="1:37" x14ac:dyDescent="0.2">
      <c r="A2823" t="str">
        <f>"20200111155552447"</f>
        <v>20200111155552447</v>
      </c>
      <c r="B2823" t="str">
        <f>"1578729352434651"</f>
        <v>1578729352434651</v>
      </c>
      <c r="C2823" t="s">
        <v>37</v>
      </c>
      <c r="D2823">
        <v>5.2324390000000003</v>
      </c>
      <c r="E2823">
        <v>0.47404649999999998</v>
      </c>
      <c r="F2823" t="s">
        <v>61</v>
      </c>
      <c r="G2823">
        <v>-429.0129</v>
      </c>
      <c r="H2823" s="1">
        <v>2.5662679999999999E-6</v>
      </c>
      <c r="I2823">
        <v>282.32389999999998</v>
      </c>
      <c r="J2823">
        <v>-408.5052</v>
      </c>
      <c r="K2823">
        <v>1.1049439999999999</v>
      </c>
      <c r="L2823">
        <v>284.5652</v>
      </c>
      <c r="M2823">
        <v>-0.99993880000000002</v>
      </c>
      <c r="N2823">
        <v>0</v>
      </c>
      <c r="O2823">
        <v>4.6879030000000002E-3</v>
      </c>
      <c r="P2823">
        <v>-0.998781699999999</v>
      </c>
      <c r="Q2823">
        <v>3.5785129999999998E-2</v>
      </c>
      <c r="R2823">
        <v>-3.3985799999999997E-2</v>
      </c>
      <c r="S2823">
        <v>-2.998688</v>
      </c>
      <c r="T2823">
        <v>-0.159226799999999</v>
      </c>
      <c r="U2823">
        <v>-0.32281490000000002</v>
      </c>
      <c r="V2823">
        <v>-3.8725919999999997E-2</v>
      </c>
      <c r="W2823">
        <v>4.575212E-2</v>
      </c>
      <c r="X2823">
        <v>0.99820189999999998</v>
      </c>
      <c r="Y2823">
        <v>-0.1115318</v>
      </c>
      <c r="Z2823">
        <v>-3.198574E-3</v>
      </c>
      <c r="AA2823">
        <v>0.99375569999999902</v>
      </c>
      <c r="AB2823">
        <v>30</v>
      </c>
      <c r="AC2823">
        <v>-20.5077</v>
      </c>
      <c r="AD2823">
        <v>-1.104941433732</v>
      </c>
      <c r="AE2823">
        <v>-2.2413000000000198</v>
      </c>
      <c r="AF2823">
        <v>-2.3307320910145002</v>
      </c>
      <c r="AG2823">
        <v>-1.104941433732</v>
      </c>
      <c r="AH2823">
        <v>20.438335277783501</v>
      </c>
      <c r="AI2823">
        <v>93.074634745840498</v>
      </c>
      <c r="AJ2823">
        <v>96.505750442966502</v>
      </c>
      <c r="AK2823">
        <v>20.6004552517451</v>
      </c>
    </row>
    <row r="2824" spans="1:37" x14ac:dyDescent="0.2">
      <c r="A2824" t="str">
        <f>"20200111155552470"</f>
        <v>20200111155552470</v>
      </c>
      <c r="B2824" t="str">
        <f>"1578729352464906"</f>
        <v>1578729352464906</v>
      </c>
      <c r="C2824" t="s">
        <v>37</v>
      </c>
      <c r="D2824">
        <v>5.0717879999999997</v>
      </c>
      <c r="E2824">
        <v>0.47386149999999999</v>
      </c>
      <c r="F2824" t="s">
        <v>61</v>
      </c>
      <c r="G2824">
        <v>-429.07839999999999</v>
      </c>
      <c r="H2824" s="1">
        <v>2.5536870000000001E-6</v>
      </c>
      <c r="I2824">
        <v>282.3349</v>
      </c>
      <c r="J2824">
        <v>-408.81560000000002</v>
      </c>
      <c r="K2824">
        <v>1.1048450000000001</v>
      </c>
      <c r="L2824">
        <v>284.56610000000001</v>
      </c>
      <c r="M2824">
        <v>-0.99994189999999905</v>
      </c>
      <c r="N2824">
        <v>0</v>
      </c>
      <c r="O2824">
        <v>4.2036809999999999E-3</v>
      </c>
      <c r="P2824">
        <v>-0.99877959999999999</v>
      </c>
      <c r="Q2824">
        <v>3.5677010000000002E-2</v>
      </c>
      <c r="R2824">
        <v>-3.4153929999999999E-2</v>
      </c>
      <c r="S2824">
        <v>-2.998383</v>
      </c>
      <c r="T2824">
        <v>-0.16103679999999901</v>
      </c>
      <c r="U2824">
        <v>-0.32504270000000002</v>
      </c>
      <c r="V2824">
        <v>-3.840068E-2</v>
      </c>
      <c r="W2824">
        <v>4.5558719999999997E-2</v>
      </c>
      <c r="X2824">
        <v>0.99822330000000004</v>
      </c>
      <c r="Y2824">
        <v>-0.11178779999999899</v>
      </c>
      <c r="Z2824">
        <v>-3.2160140000000001E-3</v>
      </c>
      <c r="AA2824">
        <v>0.99372689999999997</v>
      </c>
      <c r="AB2824">
        <v>30</v>
      </c>
      <c r="AC2824">
        <v>-20.262799999999899</v>
      </c>
      <c r="AD2824">
        <v>-1.104842446313</v>
      </c>
      <c r="AE2824">
        <v>-2.2311999999999999</v>
      </c>
      <c r="AF2824">
        <v>-2.3095786002468</v>
      </c>
      <c r="AG2824">
        <v>-1.104842446313</v>
      </c>
      <c r="AH2824">
        <v>20.193922979268301</v>
      </c>
      <c r="AI2824">
        <v>93.111380455840603</v>
      </c>
      <c r="AJ2824">
        <v>96.5245676210357</v>
      </c>
      <c r="AK2824">
        <v>20.355573080473899</v>
      </c>
    </row>
    <row r="2825" spans="1:37" x14ac:dyDescent="0.2">
      <c r="A2825" t="str">
        <f>"20200111155552525"</f>
        <v>20200111155552525</v>
      </c>
      <c r="B2825" t="str">
        <f>"1578729352514683"</f>
        <v>1578729352514683</v>
      </c>
      <c r="C2825" t="s">
        <v>37</v>
      </c>
      <c r="D2825">
        <v>5.1235689999999998</v>
      </c>
      <c r="E2825">
        <v>0.49439329999999998</v>
      </c>
      <c r="F2825" t="s">
        <v>61</v>
      </c>
      <c r="G2825">
        <v>-429.24740000000003</v>
      </c>
      <c r="H2825" s="1">
        <v>2.5235079999999999E-6</v>
      </c>
      <c r="I2825">
        <v>282.3372</v>
      </c>
      <c r="J2825">
        <v>-409.56400000000002</v>
      </c>
      <c r="K2825">
        <v>1.1046229999999999</v>
      </c>
      <c r="L2825">
        <v>284.56830000000002</v>
      </c>
      <c r="M2825">
        <v>-0.99994640000000001</v>
      </c>
      <c r="N2825">
        <v>0</v>
      </c>
      <c r="O2825">
        <v>3.5140470000000002E-3</v>
      </c>
      <c r="P2825">
        <v>-0.99877719999999903</v>
      </c>
      <c r="Q2825">
        <v>3.6271629999999999E-2</v>
      </c>
      <c r="R2825">
        <v>-3.359322E-2</v>
      </c>
      <c r="S2825">
        <v>-2.9982599999999899</v>
      </c>
      <c r="T2825">
        <v>-0.16212960000000001</v>
      </c>
      <c r="U2825">
        <v>-0.32708739999999997</v>
      </c>
      <c r="V2825">
        <v>-3.7129009999999997E-2</v>
      </c>
      <c r="W2825">
        <v>4.5994569999999999E-2</v>
      </c>
      <c r="X2825">
        <v>0.99825140000000001</v>
      </c>
      <c r="Y2825">
        <v>-0.11177529999999999</v>
      </c>
      <c r="Z2825">
        <v>-3.2003219999999998E-3</v>
      </c>
      <c r="AA2825">
        <v>0.99372830000000001</v>
      </c>
      <c r="AB2825">
        <v>31</v>
      </c>
      <c r="AC2825">
        <v>-19.683399999999999</v>
      </c>
      <c r="AD2825">
        <v>-1.104620476492</v>
      </c>
      <c r="AE2825">
        <v>-2.2311000000000201</v>
      </c>
      <c r="AF2825">
        <v>-2.2931275628052501</v>
      </c>
      <c r="AG2825">
        <v>-1.104620476492</v>
      </c>
      <c r="AH2825">
        <v>19.614448022421598</v>
      </c>
      <c r="AI2825">
        <v>93.201543741012998</v>
      </c>
      <c r="AJ2825">
        <v>96.668186460384106</v>
      </c>
      <c r="AK2825">
        <v>19.778907746401501</v>
      </c>
    </row>
    <row r="2826" spans="1:37" x14ac:dyDescent="0.2">
      <c r="A2826" t="str">
        <f>"20200111155552539"</f>
        <v>20200111155552539</v>
      </c>
      <c r="B2826" t="str">
        <f>"1578729352535179"</f>
        <v>1578729352535179</v>
      </c>
      <c r="C2826" t="s">
        <v>37</v>
      </c>
      <c r="D2826">
        <v>5.1233699999999898</v>
      </c>
      <c r="E2826">
        <v>0.49575140000000001</v>
      </c>
      <c r="F2826" t="s">
        <v>61</v>
      </c>
      <c r="G2826">
        <v>-434.23630000000003</v>
      </c>
      <c r="H2826" s="1">
        <v>4.2148900000000002E-6</v>
      </c>
      <c r="I2826">
        <v>283.25200000000001</v>
      </c>
      <c r="J2826">
        <v>-409.75209999999998</v>
      </c>
      <c r="K2826">
        <v>1.104568</v>
      </c>
      <c r="L2826">
        <v>284.56880000000001</v>
      </c>
      <c r="M2826">
        <v>-0.99994699999999903</v>
      </c>
      <c r="N2826">
        <v>0</v>
      </c>
      <c r="O2826">
        <v>3.4291909999999998E-3</v>
      </c>
      <c r="P2826">
        <v>-0.99877660000000001</v>
      </c>
      <c r="Q2826">
        <v>3.657933E-2</v>
      </c>
      <c r="R2826">
        <v>-3.3279240000000002E-2</v>
      </c>
      <c r="S2826">
        <v>-3.003174</v>
      </c>
      <c r="T2826">
        <v>-0.13445660000000001</v>
      </c>
      <c r="U2826">
        <v>-0.16021729999999901</v>
      </c>
      <c r="V2826">
        <v>-3.6724890000000003E-2</v>
      </c>
      <c r="W2826">
        <v>4.6270360000000003E-2</v>
      </c>
      <c r="X2826">
        <v>0.99825359999999996</v>
      </c>
      <c r="Y2826">
        <v>-5.6637739999999999E-2</v>
      </c>
      <c r="Z2826">
        <v>-1.4197000000000001E-3</v>
      </c>
      <c r="AA2826">
        <v>0.9983938</v>
      </c>
      <c r="AB2826">
        <v>31</v>
      </c>
      <c r="AC2826">
        <v>-24.484200000000001</v>
      </c>
      <c r="AD2826">
        <v>-1.1045637851100001</v>
      </c>
      <c r="AE2826">
        <v>-1.3168</v>
      </c>
      <c r="AF2826">
        <v>-1.3979203521271799</v>
      </c>
      <c r="AG2826">
        <v>-1.1045637851100001</v>
      </c>
      <c r="AH2826">
        <v>24.429963487035199</v>
      </c>
      <c r="AI2826">
        <v>92.584556667964307</v>
      </c>
      <c r="AJ2826">
        <v>93.274981938485794</v>
      </c>
      <c r="AK2826">
        <v>24.494843507239299</v>
      </c>
    </row>
    <row r="2827" spans="1:37" x14ac:dyDescent="0.2">
      <c r="A2827" t="str">
        <f>"20200111155552551"</f>
        <v>20200111155552551</v>
      </c>
      <c r="B2827" t="str">
        <f>"1578729352544939"</f>
        <v>1578729352544939</v>
      </c>
      <c r="C2827" t="s">
        <v>37</v>
      </c>
      <c r="D2827">
        <v>4.9985710000000001</v>
      </c>
      <c r="E2827">
        <v>0.49565150000000002</v>
      </c>
      <c r="F2827" t="s">
        <v>61</v>
      </c>
      <c r="G2827">
        <v>-434.81549999999999</v>
      </c>
      <c r="H2827" s="1">
        <v>4.4649299999999998E-6</v>
      </c>
      <c r="I2827">
        <v>283.3297</v>
      </c>
      <c r="J2827">
        <v>-409.94110000000001</v>
      </c>
      <c r="K2827">
        <v>1.104522</v>
      </c>
      <c r="L2827">
        <v>284.56939999999997</v>
      </c>
      <c r="M2827">
        <v>-0.99994740000000004</v>
      </c>
      <c r="N2827">
        <v>0</v>
      </c>
      <c r="O2827">
        <v>3.3815949999999998E-3</v>
      </c>
      <c r="P2827">
        <v>-0.99878940000000005</v>
      </c>
      <c r="Q2827">
        <v>3.6489290000000001E-2</v>
      </c>
      <c r="R2827">
        <v>-3.2993469999999997E-2</v>
      </c>
      <c r="S2827">
        <v>-3.00360099999999</v>
      </c>
      <c r="T2827">
        <v>-0.13237109999999999</v>
      </c>
      <c r="U2827">
        <v>-0.14849849999999901</v>
      </c>
      <c r="V2827">
        <v>-3.638665E-2</v>
      </c>
      <c r="W2827">
        <v>4.6151749999999998E-2</v>
      </c>
      <c r="X2827">
        <v>0.99827149999999998</v>
      </c>
      <c r="Y2827">
        <v>-5.2702890000000002E-2</v>
      </c>
      <c r="Z2827">
        <v>-1.308935E-3</v>
      </c>
      <c r="AA2827">
        <v>0.99860939999999998</v>
      </c>
      <c r="AB2827">
        <v>31</v>
      </c>
      <c r="AC2827">
        <v>-24.874399999999898</v>
      </c>
      <c r="AD2827">
        <v>-1.1045175350700001</v>
      </c>
      <c r="AE2827">
        <v>-1.23969999999997</v>
      </c>
      <c r="AF2827">
        <v>-1.3212134245734599</v>
      </c>
      <c r="AG2827">
        <v>-1.1045175350700001</v>
      </c>
      <c r="AH2827">
        <v>24.821246705625899</v>
      </c>
      <c r="AI2827">
        <v>92.544319651472804</v>
      </c>
      <c r="AJ2827">
        <v>93.046929135957797</v>
      </c>
      <c r="AK2827">
        <v>24.880913406064799</v>
      </c>
    </row>
    <row r="2828" spans="1:37" x14ac:dyDescent="0.2">
      <c r="A2828" t="str">
        <f>"20200111155552570"</f>
        <v>20200111155552570</v>
      </c>
      <c r="B2828" t="str">
        <f>"1578729352565435"</f>
        <v>1578729352565435</v>
      </c>
      <c r="C2828" t="s">
        <v>37</v>
      </c>
      <c r="D2828">
        <v>5.1480689999999996</v>
      </c>
      <c r="E2828">
        <v>0.49548409999999898</v>
      </c>
      <c r="F2828" t="s">
        <v>61</v>
      </c>
      <c r="G2828">
        <v>-435.28969999999998</v>
      </c>
      <c r="H2828" s="1">
        <v>4.6763480000000001E-6</v>
      </c>
      <c r="I2828">
        <v>283.31709999999998</v>
      </c>
      <c r="J2828">
        <v>-410.18290000000002</v>
      </c>
      <c r="K2828">
        <v>1.104473</v>
      </c>
      <c r="L2828">
        <v>284.5702</v>
      </c>
      <c r="M2828">
        <v>-0.99994780000000005</v>
      </c>
      <c r="N2828">
        <v>0</v>
      </c>
      <c r="O2828">
        <v>3.3432790000000002E-3</v>
      </c>
      <c r="P2828">
        <v>-0.99881799999999998</v>
      </c>
      <c r="Q2828">
        <v>3.6190720000000003E-2</v>
      </c>
      <c r="R2828">
        <v>-3.2449209999999999E-2</v>
      </c>
      <c r="S2828">
        <v>-3.0035099999999999</v>
      </c>
      <c r="T2828">
        <v>-0.13087199999999999</v>
      </c>
      <c r="U2828">
        <v>-0.14837649999999999</v>
      </c>
      <c r="V2828">
        <v>-3.5799310000000001E-2</v>
      </c>
      <c r="W2828">
        <v>4.5822139999999997E-2</v>
      </c>
      <c r="X2828">
        <v>0.99830790000000003</v>
      </c>
      <c r="Y2828">
        <v>-5.2626970000000002E-2</v>
      </c>
      <c r="Z2828">
        <v>-1.290846E-3</v>
      </c>
      <c r="AA2828">
        <v>0.99861339999999998</v>
      </c>
      <c r="AB2828">
        <v>31</v>
      </c>
      <c r="AC2828">
        <v>-25.1067999999999</v>
      </c>
      <c r="AD2828">
        <v>-1.1044683236520001</v>
      </c>
      <c r="AE2828">
        <v>-1.2531000000000101</v>
      </c>
      <c r="AF2828">
        <v>-1.3344599283444301</v>
      </c>
      <c r="AG2828">
        <v>-1.1044683236520001</v>
      </c>
      <c r="AH2828">
        <v>25.0541060145136</v>
      </c>
      <c r="AI2828">
        <v>92.520586026997506</v>
      </c>
      <c r="AJ2828">
        <v>93.048871149619302</v>
      </c>
      <c r="AK2828">
        <v>25.1139176904918</v>
      </c>
    </row>
    <row r="2829" spans="1:37" x14ac:dyDescent="0.2">
      <c r="A2829" t="str">
        <f>"20200111155552583"</f>
        <v>20200111155552583</v>
      </c>
      <c r="B2829" t="str">
        <f>"1578729352575195"</f>
        <v>1578729352575195</v>
      </c>
      <c r="C2829" t="s">
        <v>37</v>
      </c>
      <c r="D2829">
        <v>4.9429259999999999</v>
      </c>
      <c r="E2829">
        <v>0.49543530000000002</v>
      </c>
      <c r="F2829" t="s">
        <v>61</v>
      </c>
      <c r="G2829">
        <v>-435.86430000000001</v>
      </c>
      <c r="H2829" s="1">
        <v>4.9321919999999998E-6</v>
      </c>
      <c r="I2829">
        <v>283.30509999999998</v>
      </c>
      <c r="J2829">
        <v>-410.37779999999998</v>
      </c>
      <c r="K2829">
        <v>1.104441</v>
      </c>
      <c r="L2829">
        <v>284.57080000000002</v>
      </c>
      <c r="M2829">
        <v>-0.99994810000000001</v>
      </c>
      <c r="N2829">
        <v>0</v>
      </c>
      <c r="O2829">
        <v>3.3295519999999999E-3</v>
      </c>
      <c r="P2829">
        <v>-0.99882130000000002</v>
      </c>
      <c r="Q2829">
        <v>3.6355930000000002E-2</v>
      </c>
      <c r="R2829">
        <v>-3.2159840000000002E-2</v>
      </c>
      <c r="S2829">
        <v>-3.0034179999999999</v>
      </c>
      <c r="T2829">
        <v>-0.12916659999999999</v>
      </c>
      <c r="U2829">
        <v>-0.1479492</v>
      </c>
      <c r="V2829">
        <v>-3.5492990000000002E-2</v>
      </c>
      <c r="W2829">
        <v>4.5966460000000001E-2</v>
      </c>
      <c r="X2829">
        <v>0.99831219999999998</v>
      </c>
      <c r="Y2829">
        <v>-5.2474569999999998E-2</v>
      </c>
      <c r="Z2829">
        <v>-1.2702200000000001E-3</v>
      </c>
      <c r="AA2829">
        <v>0.99862150000000005</v>
      </c>
      <c r="AB2829">
        <v>31</v>
      </c>
      <c r="AC2829">
        <v>-25.486499999999999</v>
      </c>
      <c r="AD2829">
        <v>-1.1044360678080001</v>
      </c>
      <c r="AE2829">
        <v>-1.26570000000003</v>
      </c>
      <c r="AF2829">
        <v>-1.34803037431378</v>
      </c>
      <c r="AG2829">
        <v>-1.1044360678080001</v>
      </c>
      <c r="AH2829">
        <v>25.434499650900801</v>
      </c>
      <c r="AI2829">
        <v>92.482898285122801</v>
      </c>
      <c r="AJ2829">
        <v>93.0338420074753</v>
      </c>
      <c r="AK2829">
        <v>25.4941314307748</v>
      </c>
    </row>
    <row r="2830" spans="1:37" x14ac:dyDescent="0.2">
      <c r="A2830" t="str">
        <f>"20200111155552597"</f>
        <v>20200111155552597</v>
      </c>
      <c r="B2830" t="str">
        <f>"1578729352584955"</f>
        <v>1578729352584955</v>
      </c>
      <c r="C2830" t="s">
        <v>37</v>
      </c>
      <c r="D2830">
        <v>5.0640349999999996</v>
      </c>
      <c r="E2830">
        <v>0.49578230000000001</v>
      </c>
      <c r="F2830" t="s">
        <v>61</v>
      </c>
      <c r="G2830">
        <v>-436.0557</v>
      </c>
      <c r="H2830" s="1">
        <v>5.0167230000000002E-6</v>
      </c>
      <c r="I2830">
        <v>283.30930000000001</v>
      </c>
      <c r="J2830">
        <v>-410.56540000000001</v>
      </c>
      <c r="K2830">
        <v>1.1044209999999901</v>
      </c>
      <c r="L2830">
        <v>284.57139999999998</v>
      </c>
      <c r="M2830">
        <v>-0.99994830000000001</v>
      </c>
      <c r="N2830">
        <v>0</v>
      </c>
      <c r="O2830">
        <v>3.3272179999999998E-3</v>
      </c>
      <c r="P2830">
        <v>-0.99883080000000002</v>
      </c>
      <c r="Q2830">
        <v>3.6572540000000001E-2</v>
      </c>
      <c r="R2830">
        <v>-3.1612250000000001E-2</v>
      </c>
      <c r="S2830">
        <v>-3.0034480000000001</v>
      </c>
      <c r="T2830">
        <v>-0.12918179999999899</v>
      </c>
      <c r="U2830">
        <v>-0.1475525</v>
      </c>
      <c r="V2830">
        <v>-3.494046E-2</v>
      </c>
      <c r="W2830">
        <v>4.6166039999999998E-2</v>
      </c>
      <c r="X2830">
        <v>0.9983225</v>
      </c>
      <c r="Y2830">
        <v>-5.2340249999999998E-2</v>
      </c>
      <c r="Z2830">
        <v>-1.2673750000000001E-3</v>
      </c>
      <c r="AA2830">
        <v>0.99862850000000003</v>
      </c>
      <c r="AB2830">
        <v>31</v>
      </c>
      <c r="AC2830">
        <v>-25.490299999999898</v>
      </c>
      <c r="AD2830">
        <v>-1.104415983277</v>
      </c>
      <c r="AE2830">
        <v>-1.26209999999997</v>
      </c>
      <c r="AF2830">
        <v>-1.3443911659566401</v>
      </c>
      <c r="AG2830">
        <v>-1.104415983277</v>
      </c>
      <c r="AH2830">
        <v>25.4383228384335</v>
      </c>
      <c r="AI2830">
        <v>92.482500264395796</v>
      </c>
      <c r="AJ2830">
        <v>93.025213048682005</v>
      </c>
      <c r="AK2830">
        <v>25.497752667707498</v>
      </c>
    </row>
    <row r="2831" spans="1:37" x14ac:dyDescent="0.2">
      <c r="A2831" t="str">
        <f>"20200111155552615"</f>
        <v>20200111155552615</v>
      </c>
      <c r="B2831" t="str">
        <f>"1578729352605451"</f>
        <v>1578729352605451</v>
      </c>
      <c r="C2831" t="s">
        <v>37</v>
      </c>
      <c r="D2831">
        <v>4.9780809999999898</v>
      </c>
      <c r="E2831">
        <v>0.49572470000000002</v>
      </c>
      <c r="F2831" t="s">
        <v>61</v>
      </c>
      <c r="G2831">
        <v>-436.50850000000003</v>
      </c>
      <c r="H2831" s="1">
        <v>5.2153559999999997E-6</v>
      </c>
      <c r="I2831">
        <v>283.33359999999999</v>
      </c>
      <c r="J2831">
        <v>-410.78980000000001</v>
      </c>
      <c r="K2831">
        <v>1.1044049999999901</v>
      </c>
      <c r="L2831">
        <v>284.57209999999998</v>
      </c>
      <c r="M2831">
        <v>-0.99994839999999996</v>
      </c>
      <c r="N2831">
        <v>0</v>
      </c>
      <c r="O2831">
        <v>3.3365980000000001E-3</v>
      </c>
      <c r="P2831">
        <v>-0.99883999999999995</v>
      </c>
      <c r="Q2831">
        <v>3.7271970000000001E-2</v>
      </c>
      <c r="R2831">
        <v>-3.048971E-2</v>
      </c>
      <c r="S2831">
        <v>-3.00360099999999</v>
      </c>
      <c r="T2831">
        <v>-0.1278658</v>
      </c>
      <c r="U2831">
        <v>-0.14331050000000001</v>
      </c>
      <c r="V2831">
        <v>-3.3825429999999997E-2</v>
      </c>
      <c r="W2831">
        <v>4.6852419999999999E-2</v>
      </c>
      <c r="X2831">
        <v>0.99832889999999996</v>
      </c>
      <c r="Y2831">
        <v>-5.0942330000000001E-2</v>
      </c>
      <c r="Z2831">
        <v>-1.2251289999999999E-3</v>
      </c>
      <c r="AA2831">
        <v>0.9987009</v>
      </c>
      <c r="AB2831">
        <v>31</v>
      </c>
      <c r="AC2831">
        <v>-25.718699999999998</v>
      </c>
      <c r="AD2831">
        <v>-1.1043997846439999</v>
      </c>
      <c r="AE2831">
        <v>-1.23849999999998</v>
      </c>
      <c r="AF2831">
        <v>-1.32187815027481</v>
      </c>
      <c r="AG2831">
        <v>-1.1043997846439999</v>
      </c>
      <c r="AH2831">
        <v>25.667204123517301</v>
      </c>
      <c r="AI2831">
        <v>92.460526846669694</v>
      </c>
      <c r="AJ2831">
        <v>92.9481662498861</v>
      </c>
      <c r="AK2831">
        <v>25.724937866723799</v>
      </c>
    </row>
    <row r="2832" spans="1:37" x14ac:dyDescent="0.2">
      <c r="A2832" t="str">
        <f>"20200111155552629"</f>
        <v>20200111155552629</v>
      </c>
      <c r="B2832" t="str">
        <f>"1578729352624972"</f>
        <v>1578729352624972</v>
      </c>
      <c r="C2832" t="s">
        <v>37</v>
      </c>
      <c r="D2832">
        <v>4.8574380000000001</v>
      </c>
      <c r="E2832">
        <v>0.49567739999999999</v>
      </c>
      <c r="F2832" t="s">
        <v>61</v>
      </c>
      <c r="G2832">
        <v>-438.21820000000002</v>
      </c>
      <c r="H2832" s="1">
        <v>5.9773519999999899E-6</v>
      </c>
      <c r="I2832">
        <v>283.2903</v>
      </c>
      <c r="J2832">
        <v>-411.00170000000003</v>
      </c>
      <c r="K2832">
        <v>1.104398</v>
      </c>
      <c r="L2832">
        <v>284.57279999999997</v>
      </c>
      <c r="M2832">
        <v>-0.99994859999999897</v>
      </c>
      <c r="N2832">
        <v>0</v>
      </c>
      <c r="O2832">
        <v>3.3494050000000002E-3</v>
      </c>
      <c r="P2832">
        <v>-0.99884810000000002</v>
      </c>
      <c r="Q2832">
        <v>3.7767639999999998E-2</v>
      </c>
      <c r="R2832">
        <v>-2.9607209999999998E-2</v>
      </c>
      <c r="S2832">
        <v>-3.0036930000000002</v>
      </c>
      <c r="T2832">
        <v>-0.1209432</v>
      </c>
      <c r="U2832">
        <v>-0.1403809</v>
      </c>
      <c r="V2832">
        <v>-3.295493E-2</v>
      </c>
      <c r="W2832">
        <v>4.733921E-2</v>
      </c>
      <c r="X2832">
        <v>0.99833510000000003</v>
      </c>
      <c r="Y2832">
        <v>-4.9987660000000003E-2</v>
      </c>
      <c r="Z2832">
        <v>-1.140161E-3</v>
      </c>
      <c r="AA2832">
        <v>0.9987492</v>
      </c>
      <c r="AB2832">
        <v>31</v>
      </c>
      <c r="AC2832">
        <v>-27.2165</v>
      </c>
      <c r="AD2832">
        <v>-1.104392022648</v>
      </c>
      <c r="AE2832">
        <v>-1.28249999999997</v>
      </c>
      <c r="AF2832">
        <v>-1.3714029439117901</v>
      </c>
      <c r="AG2832">
        <v>-1.104392022648</v>
      </c>
      <c r="AH2832">
        <v>27.1674173854339</v>
      </c>
      <c r="AI2832">
        <v>92.324911669805203</v>
      </c>
      <c r="AJ2832">
        <v>92.889820527917806</v>
      </c>
      <c r="AK2832">
        <v>27.2244190969915</v>
      </c>
    </row>
    <row r="2833" spans="1:37" x14ac:dyDescent="0.2">
      <c r="A2833" t="str">
        <f>"20200111155552644"</f>
        <v>20200111155552644</v>
      </c>
      <c r="B2833" t="str">
        <f>"1578729352634730"</f>
        <v>1578729352634730</v>
      </c>
      <c r="C2833" t="s">
        <v>37</v>
      </c>
      <c r="D2833">
        <v>5.0728150000000003</v>
      </c>
      <c r="E2833">
        <v>0.49591380000000002</v>
      </c>
      <c r="F2833" t="s">
        <v>61</v>
      </c>
      <c r="G2833">
        <v>-438.5376</v>
      </c>
      <c r="H2833" s="1">
        <v>6.1175619999999999E-6</v>
      </c>
      <c r="I2833">
        <v>283.3064</v>
      </c>
      <c r="J2833">
        <v>-411.19510000000002</v>
      </c>
      <c r="K2833">
        <v>1.104392</v>
      </c>
      <c r="L2833">
        <v>284.57350000000002</v>
      </c>
      <c r="M2833">
        <v>-0.99994859999999897</v>
      </c>
      <c r="N2833">
        <v>0</v>
      </c>
      <c r="O2833">
        <v>3.3624530000000001E-3</v>
      </c>
      <c r="P2833">
        <v>-0.99884589999999995</v>
      </c>
      <c r="Q2833">
        <v>3.8248940000000002E-2</v>
      </c>
      <c r="R2833">
        <v>-2.9053929999999999E-2</v>
      </c>
      <c r="S2833">
        <v>-3.0038450000000001</v>
      </c>
      <c r="T2833">
        <v>-0.1204765</v>
      </c>
      <c r="U2833">
        <v>-0.1381531</v>
      </c>
      <c r="V2833">
        <v>-3.2413879999999999E-2</v>
      </c>
      <c r="W2833">
        <v>4.7815030000000001E-2</v>
      </c>
      <c r="X2833">
        <v>0.9983301</v>
      </c>
      <c r="Y2833">
        <v>-4.9260089999999999E-2</v>
      </c>
      <c r="Z2833">
        <v>-1.121672E-3</v>
      </c>
      <c r="AA2833">
        <v>0.99878539999999905</v>
      </c>
      <c r="AB2833">
        <v>31</v>
      </c>
      <c r="AC2833">
        <v>-27.342499999999902</v>
      </c>
      <c r="AD2833">
        <v>-1.104385882438</v>
      </c>
      <c r="AE2833">
        <v>-1.2671000000000201</v>
      </c>
      <c r="AF2833">
        <v>-1.3568261065539999</v>
      </c>
      <c r="AG2833">
        <v>-1.104385882438</v>
      </c>
      <c r="AH2833">
        <v>27.2936527217012</v>
      </c>
      <c r="AI2833">
        <v>92.314246296007795</v>
      </c>
      <c r="AJ2833">
        <v>92.845953420850904</v>
      </c>
      <c r="AK2833">
        <v>27.349664059245502</v>
      </c>
    </row>
    <row r="2834" spans="1:37" x14ac:dyDescent="0.2">
      <c r="A2834" t="str">
        <f>"20200111155552657"</f>
        <v>20200111155552657</v>
      </c>
      <c r="B2834" t="str">
        <f>"1578729352645467"</f>
        <v>1578729352645467</v>
      </c>
      <c r="C2834" t="s">
        <v>37</v>
      </c>
      <c r="D2834">
        <v>4.85588</v>
      </c>
      <c r="E2834">
        <v>0.49581449999999999</v>
      </c>
      <c r="F2834" t="s">
        <v>61</v>
      </c>
      <c r="G2834">
        <v>-439.33569999999997</v>
      </c>
      <c r="H2834" s="1">
        <v>6.4709569999999901E-6</v>
      </c>
      <c r="I2834">
        <v>283.31270000000001</v>
      </c>
      <c r="J2834">
        <v>-411.38819999999998</v>
      </c>
      <c r="K2834">
        <v>1.1043889999999901</v>
      </c>
      <c r="L2834">
        <v>284.57409999999999</v>
      </c>
      <c r="M2834">
        <v>-0.99994859999999897</v>
      </c>
      <c r="N2834">
        <v>0</v>
      </c>
      <c r="O2834">
        <v>3.375173E-3</v>
      </c>
      <c r="P2834">
        <v>-0.99885699999999999</v>
      </c>
      <c r="Q2834">
        <v>3.8310379999999998E-2</v>
      </c>
      <c r="R2834">
        <v>-2.858776E-2</v>
      </c>
      <c r="S2834">
        <v>-3.0040589999999998</v>
      </c>
      <c r="T2834">
        <v>-0.1178951</v>
      </c>
      <c r="U2834">
        <v>-0.13458249999999999</v>
      </c>
      <c r="V2834">
        <v>-3.1959649999999999E-2</v>
      </c>
      <c r="W2834">
        <v>4.787218E-2</v>
      </c>
      <c r="X2834">
        <v>0.99834199999999995</v>
      </c>
      <c r="Y2834">
        <v>-4.8087489999999997E-2</v>
      </c>
      <c r="Z2834">
        <v>-1.075119E-3</v>
      </c>
      <c r="AA2834">
        <v>0.99884249999999997</v>
      </c>
      <c r="AB2834">
        <v>31</v>
      </c>
      <c r="AC2834">
        <v>-27.947499999999899</v>
      </c>
      <c r="AD2834">
        <v>-1.1043825290429901</v>
      </c>
      <c r="AE2834">
        <v>-1.2613999999999801</v>
      </c>
      <c r="AF2834">
        <v>-1.3536153458892799</v>
      </c>
      <c r="AG2834">
        <v>-1.1043825290429901</v>
      </c>
      <c r="AH2834">
        <v>27.899605380207198</v>
      </c>
      <c r="AI2834">
        <v>92.264161507136805</v>
      </c>
      <c r="AJ2834">
        <v>92.777662152578898</v>
      </c>
      <c r="AK2834">
        <v>27.954246826669699</v>
      </c>
    </row>
    <row r="2835" spans="1:37" x14ac:dyDescent="0.2">
      <c r="A2835" t="str">
        <f>"20200111155552670"</f>
        <v>20200111155552670</v>
      </c>
      <c r="B2835" t="str">
        <f>"1578729352664987"</f>
        <v>1578729352664987</v>
      </c>
      <c r="C2835" t="s">
        <v>37</v>
      </c>
      <c r="D2835">
        <v>5.0315120000000002</v>
      </c>
      <c r="E2835">
        <v>0.4958515</v>
      </c>
      <c r="F2835" t="s">
        <v>61</v>
      </c>
      <c r="G2835">
        <v>-439.6429</v>
      </c>
      <c r="H2835" s="1">
        <v>6.6071450000000004E-6</v>
      </c>
      <c r="I2835">
        <v>283.31290000000001</v>
      </c>
      <c r="J2835">
        <v>-411.56880000000001</v>
      </c>
      <c r="K2835">
        <v>1.104387</v>
      </c>
      <c r="L2835">
        <v>284.57470000000001</v>
      </c>
      <c r="M2835">
        <v>-0.99994850000000002</v>
      </c>
      <c r="N2835">
        <v>0</v>
      </c>
      <c r="O2835">
        <v>3.384275E-3</v>
      </c>
      <c r="P2835">
        <v>-0.99888269999999901</v>
      </c>
      <c r="Q2835">
        <v>3.8512339999999999E-2</v>
      </c>
      <c r="R2835">
        <v>-2.73966E-2</v>
      </c>
      <c r="S2835">
        <v>-3.004089</v>
      </c>
      <c r="T2835">
        <v>-0.1174201</v>
      </c>
      <c r="U2835">
        <v>-0.1340942</v>
      </c>
      <c r="V2835">
        <v>-3.07772999999999E-2</v>
      </c>
      <c r="W2835">
        <v>4.8075079999999999E-2</v>
      </c>
      <c r="X2835">
        <v>0.99836950000000002</v>
      </c>
      <c r="Y2835">
        <v>-4.7934539999999998E-2</v>
      </c>
      <c r="Z2835">
        <v>-1.0681519999999999E-3</v>
      </c>
      <c r="AA2835">
        <v>0.99884989999999996</v>
      </c>
      <c r="AB2835">
        <v>31</v>
      </c>
      <c r="AC2835">
        <v>-28.074099999999898</v>
      </c>
      <c r="AD2835">
        <v>-1.104380392855</v>
      </c>
      <c r="AE2835">
        <v>-1.26179999999999</v>
      </c>
      <c r="AF2835">
        <v>-1.3547154255373699</v>
      </c>
      <c r="AG2835">
        <v>-1.104380392855</v>
      </c>
      <c r="AH2835">
        <v>28.026385839448</v>
      </c>
      <c r="AI2835">
        <v>92.253945159294403</v>
      </c>
      <c r="AJ2835">
        <v>92.767360346494101</v>
      </c>
      <c r="AK2835">
        <v>28.080833555254799</v>
      </c>
    </row>
    <row r="2836" spans="1:37" x14ac:dyDescent="0.2">
      <c r="A2836" t="str">
        <f>"20200111155552686"</f>
        <v>20200111155552686</v>
      </c>
      <c r="B2836" t="str">
        <f>"1578729352674748"</f>
        <v>1578729352674748</v>
      </c>
      <c r="C2836" t="s">
        <v>37</v>
      </c>
      <c r="D2836">
        <v>4.9104660000000004</v>
      </c>
      <c r="E2836">
        <v>0.49584479999999997</v>
      </c>
      <c r="F2836" t="s">
        <v>59</v>
      </c>
      <c r="G2836">
        <v>-440.42689999999999</v>
      </c>
      <c r="H2836" s="1">
        <v>-1.253187E-6</v>
      </c>
      <c r="I2836">
        <v>283.32530000000003</v>
      </c>
      <c r="J2836">
        <v>-411.77690000000001</v>
      </c>
      <c r="K2836">
        <v>1.1043829999999999</v>
      </c>
      <c r="L2836">
        <v>284.5754</v>
      </c>
      <c r="M2836">
        <v>-0.99994839999999996</v>
      </c>
      <c r="N2836">
        <v>0</v>
      </c>
      <c r="O2836">
        <v>3.3927039999999999E-3</v>
      </c>
      <c r="P2836">
        <v>-0.99889430000000001</v>
      </c>
      <c r="Q2836">
        <v>3.8484119999999997E-2</v>
      </c>
      <c r="R2836">
        <v>-2.7006459999999999E-2</v>
      </c>
      <c r="S2836">
        <v>-3.0041500000000001</v>
      </c>
      <c r="T2836">
        <v>-0.11496779999999999</v>
      </c>
      <c r="U2836">
        <v>-0.13006589999999901</v>
      </c>
      <c r="V2836">
        <v>-3.0395539999999999E-2</v>
      </c>
      <c r="W2836">
        <v>4.8051280000000002E-2</v>
      </c>
      <c r="X2836">
        <v>0.99838229999999994</v>
      </c>
      <c r="Y2836">
        <v>-4.6607799999999998E-2</v>
      </c>
      <c r="Z2836">
        <v>-1.020827E-3</v>
      </c>
      <c r="AA2836">
        <v>0.99891280000000005</v>
      </c>
      <c r="AB2836">
        <v>31</v>
      </c>
      <c r="AC2836">
        <v>-28.649999999999899</v>
      </c>
      <c r="AD2836">
        <v>-1.1043842531869901</v>
      </c>
      <c r="AE2836">
        <v>-1.25009999999997</v>
      </c>
      <c r="AF2836">
        <v>-1.3453030362340801</v>
      </c>
      <c r="AG2836">
        <v>-1.1043842531869901</v>
      </c>
      <c r="AH2836">
        <v>28.603172839203499</v>
      </c>
      <c r="AI2836">
        <v>92.208684087159199</v>
      </c>
      <c r="AJ2836">
        <v>92.692827981374194</v>
      </c>
      <c r="AK2836">
        <v>28.6560814018131</v>
      </c>
    </row>
    <row r="2837" spans="1:37" x14ac:dyDescent="0.2">
      <c r="A2837" t="str">
        <f>"20200111155552704"</f>
        <v>20200111155552704</v>
      </c>
      <c r="B2837" t="str">
        <f>"1578729352695243"</f>
        <v>1578729352695243</v>
      </c>
      <c r="C2837" t="s">
        <v>37</v>
      </c>
      <c r="D2837">
        <v>4.7920189999999998</v>
      </c>
      <c r="E2837">
        <v>0.49549219999999999</v>
      </c>
      <c r="F2837" t="s">
        <v>59</v>
      </c>
      <c r="G2837">
        <v>-440.7593</v>
      </c>
      <c r="H2837" s="1">
        <v>-1.076517E-6</v>
      </c>
      <c r="I2837">
        <v>283.33069999999998</v>
      </c>
      <c r="J2837">
        <v>-412.02670000000001</v>
      </c>
      <c r="K2837">
        <v>1.1043810000000001</v>
      </c>
      <c r="L2837">
        <v>284.5763</v>
      </c>
      <c r="M2837">
        <v>-0.99994830000000001</v>
      </c>
      <c r="N2837">
        <v>0</v>
      </c>
      <c r="O2837">
        <v>3.3989529999999902E-3</v>
      </c>
      <c r="P2837">
        <v>-0.99891070000000004</v>
      </c>
      <c r="Q2837">
        <v>3.8237710000000001E-2</v>
      </c>
      <c r="R2837">
        <v>-2.6746430000000002E-2</v>
      </c>
      <c r="S2837">
        <v>-3.0042110000000002</v>
      </c>
      <c r="T2837">
        <v>-0.11447649999999999</v>
      </c>
      <c r="U2837">
        <v>-0.12902830000000001</v>
      </c>
      <c r="V2837">
        <v>-3.014118E-2</v>
      </c>
      <c r="W2837">
        <v>4.7816459999999998E-2</v>
      </c>
      <c r="X2837">
        <v>0.99840130000000005</v>
      </c>
      <c r="Y2837">
        <v>-4.6269339999999999E-2</v>
      </c>
      <c r="Z2837">
        <v>-1.010249E-3</v>
      </c>
      <c r="AA2837">
        <v>0.9989285</v>
      </c>
      <c r="AB2837">
        <v>31</v>
      </c>
      <c r="AC2837">
        <v>-28.732599999999898</v>
      </c>
      <c r="AD2837">
        <v>-1.104382076517</v>
      </c>
      <c r="AE2837">
        <v>-1.24560000000002</v>
      </c>
      <c r="AF2837">
        <v>-1.3412801981623399</v>
      </c>
      <c r="AG2837">
        <v>-1.104382076517</v>
      </c>
      <c r="AH2837">
        <v>28.685899932549098</v>
      </c>
      <c r="AI2837">
        <v>92.202344823024006</v>
      </c>
      <c r="AJ2837">
        <v>92.677056098121199</v>
      </c>
      <c r="AK2837">
        <v>28.738468074710202</v>
      </c>
    </row>
    <row r="2838" spans="1:37" x14ac:dyDescent="0.2">
      <c r="A2838" t="str">
        <f>"20200111155552719"</f>
        <v>20200111155552719</v>
      </c>
      <c r="B2838" t="str">
        <f>"1578729352714764"</f>
        <v>1578729352714764</v>
      </c>
      <c r="C2838" t="s">
        <v>37</v>
      </c>
      <c r="D2838">
        <v>4.8687800000000001</v>
      </c>
      <c r="E2838">
        <v>0.49511909999999998</v>
      </c>
      <c r="F2838" t="s">
        <v>59</v>
      </c>
      <c r="G2838">
        <v>-441.06920000000002</v>
      </c>
      <c r="H2838" s="1">
        <v>-9.1078500000000004E-7</v>
      </c>
      <c r="I2838">
        <v>283.31180000000001</v>
      </c>
      <c r="J2838">
        <v>-412.23989999999998</v>
      </c>
      <c r="K2838">
        <v>1.104379</v>
      </c>
      <c r="L2838">
        <v>284.577</v>
      </c>
      <c r="M2838">
        <v>-0.99994810000000001</v>
      </c>
      <c r="N2838">
        <v>0</v>
      </c>
      <c r="O2838">
        <v>3.4014290000000001E-3</v>
      </c>
      <c r="P2838">
        <v>-0.99892009999999898</v>
      </c>
      <c r="Q2838">
        <v>3.7855300000000001E-2</v>
      </c>
      <c r="R2838">
        <v>-2.6940240000000001E-2</v>
      </c>
      <c r="S2838">
        <v>-3.0041199999999999</v>
      </c>
      <c r="T2838">
        <v>-0.114235899999999</v>
      </c>
      <c r="U2838">
        <v>-0.13079830000000001</v>
      </c>
      <c r="V2838">
        <v>-3.0337380000000001E-2</v>
      </c>
      <c r="W2838">
        <v>4.7447330000000003E-2</v>
      </c>
      <c r="X2838">
        <v>0.998412999999999</v>
      </c>
      <c r="Y2838">
        <v>-4.6860300000000001E-2</v>
      </c>
      <c r="Z2838">
        <v>-1.0194659999999999E-3</v>
      </c>
      <c r="AA2838">
        <v>0.99890089999999998</v>
      </c>
      <c r="AB2838">
        <v>31</v>
      </c>
      <c r="AC2838">
        <v>-28.8293</v>
      </c>
      <c r="AD2838">
        <v>-1.1043799107850001</v>
      </c>
      <c r="AE2838">
        <v>-1.2651999999999901</v>
      </c>
      <c r="AF2838">
        <v>-1.3612642471254399</v>
      </c>
      <c r="AG2838">
        <v>-1.1043799107850001</v>
      </c>
      <c r="AH2838">
        <v>28.782673049125801</v>
      </c>
      <c r="AI2838">
        <v>92.194887790801303</v>
      </c>
      <c r="AJ2838">
        <v>92.707761774233106</v>
      </c>
      <c r="AK2838">
        <v>28.836001165049201</v>
      </c>
    </row>
    <row r="2839" spans="1:37" x14ac:dyDescent="0.2">
      <c r="A2839" t="str">
        <f>"20200111155552734"</f>
        <v>20200111155552734</v>
      </c>
      <c r="B2839" t="str">
        <f>"1578729352725499"</f>
        <v>1578729352725499</v>
      </c>
      <c r="C2839" t="s">
        <v>37</v>
      </c>
      <c r="D2839">
        <v>4.8634909999999998</v>
      </c>
      <c r="E2839">
        <v>0.4947957</v>
      </c>
      <c r="F2839" t="s">
        <v>59</v>
      </c>
      <c r="G2839">
        <v>-441.4135</v>
      </c>
      <c r="H2839" s="1">
        <v>-7.2585789999999997E-7</v>
      </c>
      <c r="I2839">
        <v>283.27210000000002</v>
      </c>
      <c r="J2839">
        <v>-412.45010000000002</v>
      </c>
      <c r="K2839">
        <v>1.1043769999999999</v>
      </c>
      <c r="L2839">
        <v>284.57780000000002</v>
      </c>
      <c r="M2839">
        <v>-0.99994799999999995</v>
      </c>
      <c r="N2839">
        <v>0</v>
      </c>
      <c r="O2839">
        <v>3.4017299999999999E-3</v>
      </c>
      <c r="P2839">
        <v>-0.99891869999999905</v>
      </c>
      <c r="Q2839">
        <v>3.7818589999999999E-2</v>
      </c>
      <c r="R2839">
        <v>-2.7046830000000001E-2</v>
      </c>
      <c r="S2839">
        <v>-3.0039370000000001</v>
      </c>
      <c r="T2839">
        <v>-0.11371539999999999</v>
      </c>
      <c r="U2839">
        <v>-0.13436889999999899</v>
      </c>
      <c r="V2839">
        <v>-3.0443580000000001E-2</v>
      </c>
      <c r="W2839">
        <v>4.7427329999999997E-2</v>
      </c>
      <c r="X2839">
        <v>0.99841059999999904</v>
      </c>
      <c r="Y2839">
        <v>-4.8047699999999999E-2</v>
      </c>
      <c r="Z2839">
        <v>-1.0373260000000001E-3</v>
      </c>
      <c r="AA2839">
        <v>0.99884450000000002</v>
      </c>
      <c r="AB2839">
        <v>31</v>
      </c>
      <c r="AC2839">
        <v>-28.963399999999901</v>
      </c>
      <c r="AD2839">
        <v>-1.1043777258579</v>
      </c>
      <c r="AE2839">
        <v>-1.3057000000000001</v>
      </c>
      <c r="AF2839">
        <v>-1.40218815040664</v>
      </c>
      <c r="AG2839">
        <v>-1.1043777258579</v>
      </c>
      <c r="AH2839">
        <v>28.9168334857895</v>
      </c>
      <c r="AI2839">
        <v>92.184585414186401</v>
      </c>
      <c r="AJ2839">
        <v>92.776119452626403</v>
      </c>
      <c r="AK2839">
        <v>28.971866364033001</v>
      </c>
    </row>
    <row r="2840" spans="1:37" x14ac:dyDescent="0.2">
      <c r="A2840" t="str">
        <f>"20200111155552749"</f>
        <v>20200111155552749</v>
      </c>
      <c r="B2840" t="str">
        <f>"1578729352745019"</f>
        <v>1578729352745019</v>
      </c>
      <c r="C2840" t="s">
        <v>37</v>
      </c>
      <c r="D2840">
        <v>4.7796510000000003</v>
      </c>
      <c r="E2840">
        <v>0.49453059999999899</v>
      </c>
      <c r="F2840" t="s">
        <v>59</v>
      </c>
      <c r="G2840">
        <v>-441.9282</v>
      </c>
      <c r="H2840" s="1">
        <v>-4.5028599999999999E-7</v>
      </c>
      <c r="I2840">
        <v>283.23360000000002</v>
      </c>
      <c r="J2840">
        <v>-412.65949999999998</v>
      </c>
      <c r="K2840">
        <v>1.104379</v>
      </c>
      <c r="L2840">
        <v>284.57839999999999</v>
      </c>
      <c r="M2840">
        <v>-0.999947699999999</v>
      </c>
      <c r="N2840">
        <v>0</v>
      </c>
      <c r="O2840">
        <v>3.4014549999999998E-3</v>
      </c>
      <c r="P2840">
        <v>-0.99889380000000005</v>
      </c>
      <c r="Q2840">
        <v>3.788242E-2</v>
      </c>
      <c r="R2840">
        <v>-2.7856430000000001E-2</v>
      </c>
      <c r="S2840">
        <v>-3.003784</v>
      </c>
      <c r="T2840">
        <v>-0.112535</v>
      </c>
      <c r="U2840">
        <v>-0.1369629</v>
      </c>
      <c r="V2840">
        <v>-3.1252769999999999E-2</v>
      </c>
      <c r="W2840">
        <v>4.7514960000000002E-2</v>
      </c>
      <c r="X2840">
        <v>0.99838150000000003</v>
      </c>
      <c r="Y2840">
        <v>-4.891065E-2</v>
      </c>
      <c r="Z2840">
        <v>-1.042739E-3</v>
      </c>
      <c r="AA2840">
        <v>0.99880259999999998</v>
      </c>
      <c r="AB2840">
        <v>31</v>
      </c>
      <c r="AC2840">
        <v>-29.268699999999999</v>
      </c>
      <c r="AD2840">
        <v>-1.104379450286</v>
      </c>
      <c r="AE2840">
        <v>-1.34479999999996</v>
      </c>
      <c r="AF2840">
        <v>-1.4423038812073199</v>
      </c>
      <c r="AG2840">
        <v>-1.104379450286</v>
      </c>
      <c r="AH2840">
        <v>29.222438756866801</v>
      </c>
      <c r="AI2840">
        <v>92.161673159991693</v>
      </c>
      <c r="AJ2840">
        <v>92.825599918292895</v>
      </c>
      <c r="AK2840">
        <v>29.278845970338299</v>
      </c>
    </row>
    <row r="2841" spans="1:37" x14ac:dyDescent="0.2">
      <c r="A2841" t="str">
        <f>"20200111155552771"</f>
        <v>20200111155552771</v>
      </c>
      <c r="B2841" t="str">
        <f>"1578729352765497"</f>
        <v>1578729352765497</v>
      </c>
      <c r="C2841" t="s">
        <v>37</v>
      </c>
      <c r="D2841">
        <v>4.9038620000000002</v>
      </c>
      <c r="E2841">
        <v>0.49443419999999999</v>
      </c>
      <c r="F2841" t="s">
        <v>59</v>
      </c>
      <c r="G2841">
        <v>-442.44749999999999</v>
      </c>
      <c r="H2841" s="1">
        <v>-1.71290799999999E-7</v>
      </c>
      <c r="I2841">
        <v>283.17410000000001</v>
      </c>
      <c r="J2841">
        <v>-412.96170000000001</v>
      </c>
      <c r="K2841">
        <v>1.1043889999999901</v>
      </c>
      <c r="L2841">
        <v>284.5795</v>
      </c>
      <c r="M2841">
        <v>-0.99994740000000004</v>
      </c>
      <c r="N2841">
        <v>0</v>
      </c>
      <c r="O2841">
        <v>3.4002109999999898E-3</v>
      </c>
      <c r="P2841">
        <v>-0.99887700000000001</v>
      </c>
      <c r="Q2841">
        <v>3.7911559999999997E-2</v>
      </c>
      <c r="R2841">
        <v>-2.8423090000000002E-2</v>
      </c>
      <c r="S2841">
        <v>-3.00360099999999</v>
      </c>
      <c r="T2841">
        <v>-0.1113575</v>
      </c>
      <c r="U2841">
        <v>-0.14160159999999999</v>
      </c>
      <c r="V2841">
        <v>-3.1817739999999997E-2</v>
      </c>
      <c r="W2841">
        <v>4.7594980000000002E-2</v>
      </c>
      <c r="X2841">
        <v>0.99835989999999997</v>
      </c>
      <c r="Y2841">
        <v>-5.0451040000000003E-2</v>
      </c>
      <c r="Z2841">
        <v>-1.0603450000000001E-3</v>
      </c>
      <c r="AA2841">
        <v>0.998726</v>
      </c>
      <c r="AB2841">
        <v>31</v>
      </c>
      <c r="AC2841">
        <v>-29.485799999999902</v>
      </c>
      <c r="AD2841">
        <v>-1.1043891712907901</v>
      </c>
      <c r="AE2841">
        <v>-1.40539999999998</v>
      </c>
      <c r="AF2841">
        <v>-1.5035500016157599</v>
      </c>
      <c r="AG2841">
        <v>-1.1043891712907901</v>
      </c>
      <c r="AH2841">
        <v>29.439644177249999</v>
      </c>
      <c r="AI2841">
        <v>92.145573912910905</v>
      </c>
      <c r="AJ2841">
        <v>92.9236863215352</v>
      </c>
      <c r="AK2841">
        <v>29.498694671665</v>
      </c>
    </row>
    <row r="2842" spans="1:37" x14ac:dyDescent="0.2">
      <c r="A2842" t="str">
        <f>"20200111155552785"</f>
        <v>20200111155552785</v>
      </c>
      <c r="B2842" t="str">
        <f>"1578729352775258"</f>
        <v>1578729352775258</v>
      </c>
      <c r="C2842" t="s">
        <v>37</v>
      </c>
      <c r="D2842">
        <v>4.759188</v>
      </c>
      <c r="E2842">
        <v>0.49433969999999999</v>
      </c>
      <c r="F2842" t="s">
        <v>59</v>
      </c>
      <c r="G2842">
        <v>-443.07060000000001</v>
      </c>
      <c r="H2842" s="1">
        <v>1.6204979999999999E-7</v>
      </c>
      <c r="I2842">
        <v>283.1336</v>
      </c>
      <c r="J2842">
        <v>-413.15690000000001</v>
      </c>
      <c r="K2842">
        <v>1.1043969999999901</v>
      </c>
      <c r="L2842">
        <v>284.58010000000002</v>
      </c>
      <c r="M2842">
        <v>-0.99994689999999997</v>
      </c>
      <c r="N2842">
        <v>0</v>
      </c>
      <c r="O2842">
        <v>3.3995100000000001E-3</v>
      </c>
      <c r="P2842">
        <v>-0.99886749999999902</v>
      </c>
      <c r="Q2842">
        <v>3.7836199999999903E-2</v>
      </c>
      <c r="R2842">
        <v>-2.885385E-2</v>
      </c>
      <c r="S2842">
        <v>-3.0034179999999999</v>
      </c>
      <c r="T2842">
        <v>-0.1101646</v>
      </c>
      <c r="U2842">
        <v>-0.1442261</v>
      </c>
      <c r="V2842">
        <v>-3.2247659999999997E-2</v>
      </c>
      <c r="W2842">
        <v>4.7566890000000001E-2</v>
      </c>
      <c r="X2842">
        <v>0.9983474</v>
      </c>
      <c r="Y2842">
        <v>-5.1324149999999999E-2</v>
      </c>
      <c r="Z2842">
        <v>-1.065009E-3</v>
      </c>
      <c r="AA2842">
        <v>0.9986815</v>
      </c>
      <c r="AB2842">
        <v>31</v>
      </c>
      <c r="AC2842">
        <v>-29.913699999999999</v>
      </c>
      <c r="AD2842">
        <v>-1.1043968379501901</v>
      </c>
      <c r="AE2842">
        <v>-1.4465000000000101</v>
      </c>
      <c r="AF2842">
        <v>-1.54608590777502</v>
      </c>
      <c r="AG2842">
        <v>-1.1043968379501901</v>
      </c>
      <c r="AH2842">
        <v>29.867993076165298</v>
      </c>
      <c r="AI2842">
        <v>92.114771239101501</v>
      </c>
      <c r="AJ2842">
        <v>92.963212268979206</v>
      </c>
      <c r="AK2842">
        <v>29.928365882683099</v>
      </c>
    </row>
    <row r="2843" spans="1:37" x14ac:dyDescent="0.2">
      <c r="A2843" t="str">
        <f>"20200111155552799"</f>
        <v>20200111155552799</v>
      </c>
      <c r="B2843" t="str">
        <f>"1578729352794777"</f>
        <v>1578729352794777</v>
      </c>
      <c r="C2843" t="s">
        <v>37</v>
      </c>
      <c r="D2843">
        <v>5.0357010000000004</v>
      </c>
      <c r="E2843">
        <v>0.49450899999999998</v>
      </c>
      <c r="F2843" t="s">
        <v>59</v>
      </c>
      <c r="G2843">
        <v>-443.36709999999999</v>
      </c>
      <c r="H2843" s="1">
        <v>3.2089919999999998E-7</v>
      </c>
      <c r="I2843">
        <v>283.10879999999997</v>
      </c>
      <c r="J2843">
        <v>-413.3605</v>
      </c>
      <c r="K2843">
        <v>1.1044049999999901</v>
      </c>
      <c r="L2843">
        <v>284.58080000000001</v>
      </c>
      <c r="M2843">
        <v>-0.99994620000000001</v>
      </c>
      <c r="N2843">
        <v>0</v>
      </c>
      <c r="O2843">
        <v>3.3990380000000001E-3</v>
      </c>
      <c r="P2843">
        <v>-0.998849599999999</v>
      </c>
      <c r="Q2843">
        <v>3.8086719999999998E-2</v>
      </c>
      <c r="R2843">
        <v>-2.913787E-2</v>
      </c>
      <c r="S2843">
        <v>-3.00329599999999</v>
      </c>
      <c r="T2843">
        <v>-0.10979169999999901</v>
      </c>
      <c r="U2843">
        <v>-0.14627079999999901</v>
      </c>
      <c r="V2843">
        <v>-3.253089E-2</v>
      </c>
      <c r="W2843">
        <v>4.7877429999999999E-2</v>
      </c>
      <c r="X2843">
        <v>0.99832330000000002</v>
      </c>
      <c r="Y2843">
        <v>-5.2003729999999998E-2</v>
      </c>
      <c r="Z2843">
        <v>-1.073825E-3</v>
      </c>
      <c r="AA2843">
        <v>0.99864629999999999</v>
      </c>
      <c r="AB2843">
        <v>31</v>
      </c>
      <c r="AC2843">
        <v>-30.006599999999899</v>
      </c>
      <c r="AD2843">
        <v>-1.10440467910079</v>
      </c>
      <c r="AE2843">
        <v>-1.47200000000003</v>
      </c>
      <c r="AF2843">
        <v>-1.5718657722057301</v>
      </c>
      <c r="AG2843">
        <v>-1.10440467910079</v>
      </c>
      <c r="AH2843">
        <v>29.960934267146602</v>
      </c>
      <c r="AI2843">
        <v>92.108155319775307</v>
      </c>
      <c r="AJ2843">
        <v>93.003203445992995</v>
      </c>
      <c r="AK2843">
        <v>30.0224591574596</v>
      </c>
    </row>
    <row r="2844" spans="1:37" x14ac:dyDescent="0.2">
      <c r="A2844" t="str">
        <f>"20200111155552813"</f>
        <v>20200111155552813</v>
      </c>
      <c r="B2844" t="str">
        <f>"1578729352805514"</f>
        <v>1578729352805514</v>
      </c>
      <c r="C2844" t="s">
        <v>37</v>
      </c>
      <c r="D2844">
        <v>4.7805749999999998</v>
      </c>
      <c r="E2844">
        <v>0.4944519</v>
      </c>
      <c r="F2844" t="s">
        <v>59</v>
      </c>
      <c r="G2844">
        <v>-444.12199999999899</v>
      </c>
      <c r="H2844" s="1">
        <v>7.2353890000000001E-7</v>
      </c>
      <c r="I2844">
        <v>283.08760000000001</v>
      </c>
      <c r="J2844">
        <v>-413.55560000000003</v>
      </c>
      <c r="K2844">
        <v>1.1044209999999901</v>
      </c>
      <c r="L2844">
        <v>284.58150000000001</v>
      </c>
      <c r="M2844">
        <v>-0.99994539999999998</v>
      </c>
      <c r="N2844">
        <v>0</v>
      </c>
      <c r="O2844">
        <v>3.3986629999999901E-3</v>
      </c>
      <c r="P2844">
        <v>-0.99885709999999905</v>
      </c>
      <c r="Q2844">
        <v>3.7745269999999997E-2</v>
      </c>
      <c r="R2844">
        <v>-2.9324780000000002E-2</v>
      </c>
      <c r="S2844">
        <v>-3.0033569999999998</v>
      </c>
      <c r="T2844">
        <v>-0.1078272</v>
      </c>
      <c r="U2844">
        <v>-0.14578250000000001</v>
      </c>
      <c r="V2844">
        <v>-3.271744E-2</v>
      </c>
      <c r="W2844">
        <v>4.7612599999999998E-2</v>
      </c>
      <c r="X2844">
        <v>0.99832989999999999</v>
      </c>
      <c r="Y2844">
        <v>-5.1841810000000002E-2</v>
      </c>
      <c r="Z2844">
        <v>-1.051689E-3</v>
      </c>
      <c r="AA2844">
        <v>0.99865479999999995</v>
      </c>
      <c r="AB2844">
        <v>31</v>
      </c>
      <c r="AC2844">
        <v>-30.566399999999899</v>
      </c>
      <c r="AD2844">
        <v>-1.1044202764611</v>
      </c>
      <c r="AE2844">
        <v>-1.49389999999999</v>
      </c>
      <c r="AF2844">
        <v>-1.59570309433269</v>
      </c>
      <c r="AG2844">
        <v>-1.1044202764611</v>
      </c>
      <c r="AH2844">
        <v>30.521394906333501</v>
      </c>
      <c r="AI2844">
        <v>92.069526394250602</v>
      </c>
      <c r="AJ2844">
        <v>92.992782228498001</v>
      </c>
      <c r="AK2844">
        <v>30.5830273115773</v>
      </c>
    </row>
    <row r="2845" spans="1:37" x14ac:dyDescent="0.2">
      <c r="A2845" t="str">
        <f>"20200111155552826"</f>
        <v>20200111155552826</v>
      </c>
      <c r="B2845" t="str">
        <f>"1578729352815274"</f>
        <v>1578729352815274</v>
      </c>
      <c r="C2845" t="s">
        <v>37</v>
      </c>
      <c r="D2845">
        <v>4.7806499999999996</v>
      </c>
      <c r="E2845">
        <v>0.49437809999999999</v>
      </c>
      <c r="F2845" t="s">
        <v>59</v>
      </c>
      <c r="G2845">
        <v>-444.08109999999999</v>
      </c>
      <c r="H2845" s="1">
        <v>7.0166849999999997E-7</v>
      </c>
      <c r="I2845">
        <v>283.09039999999999</v>
      </c>
      <c r="J2845">
        <v>-413.73329999999999</v>
      </c>
      <c r="K2845">
        <v>1.1044350000000001</v>
      </c>
      <c r="L2845">
        <v>284.58210000000003</v>
      </c>
      <c r="M2845">
        <v>-0.99994479999999997</v>
      </c>
      <c r="N2845">
        <v>0</v>
      </c>
      <c r="O2845">
        <v>3.3980779999999901E-3</v>
      </c>
      <c r="P2845">
        <v>-0.99884050000000002</v>
      </c>
      <c r="Q2845">
        <v>3.816199E-2</v>
      </c>
      <c r="R2845">
        <v>-2.9356509999999999E-2</v>
      </c>
      <c r="S2845">
        <v>-3.0032040000000002</v>
      </c>
      <c r="T2845">
        <v>-0.10865669999999999</v>
      </c>
      <c r="U2845">
        <v>-0.146698</v>
      </c>
      <c r="V2845">
        <v>-3.2748550000000001E-2</v>
      </c>
      <c r="W2845">
        <v>4.8110809999999997E-2</v>
      </c>
      <c r="X2845">
        <v>0.998304999999999</v>
      </c>
      <c r="Y2845">
        <v>-5.2146650000000003E-2</v>
      </c>
      <c r="Z2845">
        <v>-1.0653080000000001E-3</v>
      </c>
      <c r="AA2845">
        <v>0.9986389</v>
      </c>
      <c r="AB2845">
        <v>31</v>
      </c>
      <c r="AC2845">
        <v>-30.347799999999999</v>
      </c>
      <c r="AD2845">
        <v>-1.1044342983315001</v>
      </c>
      <c r="AE2845">
        <v>-1.49170000000003</v>
      </c>
      <c r="AF2845">
        <v>-1.5927163363901</v>
      </c>
      <c r="AG2845">
        <v>-1.1044342983315001</v>
      </c>
      <c r="AH2845">
        <v>30.302519110763999</v>
      </c>
      <c r="AI2845">
        <v>92.084457550148102</v>
      </c>
      <c r="AJ2845">
        <v>93.008727687423999</v>
      </c>
      <c r="AK2845">
        <v>30.364439479525299</v>
      </c>
    </row>
    <row r="2846" spans="1:37" x14ac:dyDescent="0.2">
      <c r="A2846" t="str">
        <f>"20200111155552850"</f>
        <v>20200111155552850</v>
      </c>
      <c r="B2846" t="str">
        <f>"1578729352845529"</f>
        <v>1578729352845529</v>
      </c>
      <c r="C2846" t="s">
        <v>37</v>
      </c>
      <c r="D2846">
        <v>4.8553459999999999</v>
      </c>
      <c r="E2846">
        <v>0.5274858</v>
      </c>
      <c r="F2846" t="s">
        <v>59</v>
      </c>
      <c r="G2846">
        <v>-444.5908</v>
      </c>
      <c r="H2846" s="1">
        <v>9.7384069999999994E-7</v>
      </c>
      <c r="I2846">
        <v>283.06889999999999</v>
      </c>
      <c r="J2846">
        <v>-414.05279999999999</v>
      </c>
      <c r="K2846">
        <v>1.1044719999999999</v>
      </c>
      <c r="L2846">
        <v>284.58319999999998</v>
      </c>
      <c r="M2846">
        <v>-0.99994280000000002</v>
      </c>
      <c r="N2846">
        <v>0</v>
      </c>
      <c r="O2846">
        <v>3.3976129999999998E-3</v>
      </c>
      <c r="P2846">
        <v>-0.99885230000000003</v>
      </c>
      <c r="Q2846">
        <v>3.7985240000000003E-2</v>
      </c>
      <c r="R2846">
        <v>-2.9182429999999999E-2</v>
      </c>
      <c r="S2846">
        <v>-3.0032649999999999</v>
      </c>
      <c r="T2846">
        <v>-0.1074913</v>
      </c>
      <c r="U2846">
        <v>-0.14727779999999999</v>
      </c>
      <c r="V2846">
        <v>-3.2574310000000002E-2</v>
      </c>
      <c r="W2846">
        <v>4.8121280000000002E-2</v>
      </c>
      <c r="X2846">
        <v>0.99831019999999904</v>
      </c>
      <c r="Y2846">
        <v>-5.233819E-2</v>
      </c>
      <c r="Z2846">
        <v>-1.057271E-3</v>
      </c>
      <c r="AA2846">
        <v>0.99862890000000004</v>
      </c>
      <c r="AB2846">
        <v>31</v>
      </c>
      <c r="AC2846">
        <v>-30.538</v>
      </c>
      <c r="AD2846">
        <v>-1.10447102615929</v>
      </c>
      <c r="AE2846">
        <v>-1.51429999999999</v>
      </c>
      <c r="AF2846">
        <v>-1.6159443342980599</v>
      </c>
      <c r="AG2846">
        <v>-1.10447102615929</v>
      </c>
      <c r="AH2846">
        <v>30.492889774510498</v>
      </c>
      <c r="AI2846">
        <v>92.071477004326496</v>
      </c>
      <c r="AJ2846">
        <v>93.033502688894202</v>
      </c>
      <c r="AK2846">
        <v>30.555645290839902</v>
      </c>
    </row>
    <row r="2847" spans="1:37" x14ac:dyDescent="0.2">
      <c r="A2847" t="str">
        <f>"20200111155552884"</f>
        <v>20200111155552884</v>
      </c>
      <c r="B2847" t="str">
        <f>"1578729352874810"</f>
        <v>1578729352874810</v>
      </c>
      <c r="C2847" t="s">
        <v>37</v>
      </c>
      <c r="D2847">
        <v>4.7671039999999998</v>
      </c>
      <c r="E2847">
        <v>0.53426070000000003</v>
      </c>
      <c r="F2847" t="s">
        <v>59</v>
      </c>
      <c r="G2847">
        <v>-443.3383</v>
      </c>
      <c r="H2847" s="1">
        <v>1.9122280000000001E-7</v>
      </c>
      <c r="I2847">
        <v>285.7253</v>
      </c>
      <c r="J2847">
        <v>-414.53910000000002</v>
      </c>
      <c r="K2847">
        <v>1.104552</v>
      </c>
      <c r="L2847">
        <v>284.58479999999997</v>
      </c>
      <c r="M2847">
        <v>-0.99993849999999995</v>
      </c>
      <c r="N2847">
        <v>0</v>
      </c>
      <c r="O2847">
        <v>3.3998700000000001E-3</v>
      </c>
      <c r="P2847">
        <v>-0.99883849999999996</v>
      </c>
      <c r="Q2847">
        <v>3.8609240000000003E-2</v>
      </c>
      <c r="R2847">
        <v>-2.8825460000000001E-2</v>
      </c>
      <c r="S2847">
        <v>-3.0112000000000001</v>
      </c>
      <c r="T2847">
        <v>-0.1135641</v>
      </c>
      <c r="U2847">
        <v>0.1174316</v>
      </c>
      <c r="V2847">
        <v>-3.2219459999999998E-2</v>
      </c>
      <c r="W2847">
        <v>4.9158130000000001E-2</v>
      </c>
      <c r="X2847">
        <v>0.99827119999999903</v>
      </c>
      <c r="Y2847">
        <v>3.5548150000000001E-2</v>
      </c>
      <c r="Z2847">
        <v>5.4170409999999998E-4</v>
      </c>
      <c r="AA2847">
        <v>0.99936780000000003</v>
      </c>
      <c r="AB2847">
        <v>31</v>
      </c>
      <c r="AC2847">
        <v>-28.7991999999999</v>
      </c>
      <c r="AD2847">
        <v>-1.1045518087771999</v>
      </c>
      <c r="AE2847">
        <v>1.14050000000003</v>
      </c>
      <c r="AF2847">
        <v>1.04104544027079</v>
      </c>
      <c r="AG2847">
        <v>-1.1045518087771999</v>
      </c>
      <c r="AH2847">
        <v>28.760670731805298</v>
      </c>
      <c r="AI2847">
        <v>92.197922055199001</v>
      </c>
      <c r="AJ2847">
        <v>87.926978798816705</v>
      </c>
      <c r="AK2847">
        <v>28.800694284171399</v>
      </c>
    </row>
    <row r="2848" spans="1:37" x14ac:dyDescent="0.2">
      <c r="A2848" t="str">
        <f>"20200111155552905"</f>
        <v>20200111155552905</v>
      </c>
      <c r="B2848" t="str">
        <f>"1578729352895306"</f>
        <v>1578729352895306</v>
      </c>
      <c r="C2848" t="s">
        <v>37</v>
      </c>
      <c r="D2848">
        <v>4.8092110000000003</v>
      </c>
      <c r="E2848">
        <v>0.54055280000000006</v>
      </c>
      <c r="F2848" t="s">
        <v>59</v>
      </c>
      <c r="G2848">
        <v>-447.31709999999998</v>
      </c>
      <c r="H2848" s="1">
        <v>2.275903E-6</v>
      </c>
      <c r="I2848">
        <v>286.47230000000002</v>
      </c>
      <c r="J2848">
        <v>-414.82170000000002</v>
      </c>
      <c r="K2848">
        <v>1.104609</v>
      </c>
      <c r="L2848">
        <v>284.58580000000001</v>
      </c>
      <c r="M2848">
        <v>-0.99993519999999902</v>
      </c>
      <c r="N2848">
        <v>0</v>
      </c>
      <c r="O2848">
        <v>3.400546E-3</v>
      </c>
      <c r="P2848">
        <v>-0.99882719999999903</v>
      </c>
      <c r="Q2848">
        <v>3.8891429999999998E-2</v>
      </c>
      <c r="R2848">
        <v>-2.884772E-2</v>
      </c>
      <c r="S2848">
        <v>-3.0123899999999999</v>
      </c>
      <c r="T2848">
        <v>-0.10151110000000001</v>
      </c>
      <c r="U2848">
        <v>0.1734619</v>
      </c>
      <c r="V2848">
        <v>-3.2242800000000002E-2</v>
      </c>
      <c r="W2848">
        <v>4.9748210000000001E-2</v>
      </c>
      <c r="X2848">
        <v>0.99824120000000005</v>
      </c>
      <c r="Y2848">
        <v>5.4063479999999997E-2</v>
      </c>
      <c r="Z2848">
        <v>7.9543289999999998E-4</v>
      </c>
      <c r="AA2848">
        <v>0.99853719999999901</v>
      </c>
      <c r="AB2848">
        <v>31</v>
      </c>
      <c r="AC2848">
        <v>-32.495399999999897</v>
      </c>
      <c r="AD2848">
        <v>-1.1046067240969999</v>
      </c>
      <c r="AE2848">
        <v>1.8865000000000101</v>
      </c>
      <c r="AF2848">
        <v>1.7739375593825</v>
      </c>
      <c r="AG2848">
        <v>-1.1046067240969999</v>
      </c>
      <c r="AH2848">
        <v>32.464241034272597</v>
      </c>
      <c r="AI2848">
        <v>91.945855764670398</v>
      </c>
      <c r="AJ2848">
        <v>86.872307697040796</v>
      </c>
      <c r="AK2848">
        <v>32.531430285354098</v>
      </c>
    </row>
    <row r="2849" spans="1:37" x14ac:dyDescent="0.2">
      <c r="A2849" t="str">
        <f>"20200111155552919"</f>
        <v>20200111155552919</v>
      </c>
      <c r="B2849" t="str">
        <f>"1578729352914826"</f>
        <v>1578729352914826</v>
      </c>
      <c r="C2849" t="s">
        <v>37</v>
      </c>
      <c r="D2849">
        <v>4.7973439999999998</v>
      </c>
      <c r="E2849">
        <v>0.54294690000000001</v>
      </c>
      <c r="F2849" t="s">
        <v>59</v>
      </c>
      <c r="G2849">
        <v>-447.361999999999</v>
      </c>
      <c r="H2849" s="1">
        <v>2.27690699999999E-6</v>
      </c>
      <c r="I2849">
        <v>286.99560000000002</v>
      </c>
      <c r="J2849">
        <v>-415.01940000000002</v>
      </c>
      <c r="K2849">
        <v>1.104649</v>
      </c>
      <c r="L2849">
        <v>284.5865</v>
      </c>
      <c r="M2849">
        <v>-0.99993259999999995</v>
      </c>
      <c r="N2849">
        <v>0</v>
      </c>
      <c r="O2849">
        <v>3.400312E-3</v>
      </c>
      <c r="P2849">
        <v>-0.99883199999999905</v>
      </c>
      <c r="Q2849">
        <v>3.883839E-2</v>
      </c>
      <c r="R2849">
        <v>-2.8744840000000001E-2</v>
      </c>
      <c r="S2849">
        <v>-3.0139469999999999</v>
      </c>
      <c r="T2849">
        <v>-0.1023109</v>
      </c>
      <c r="U2849">
        <v>0.2232056</v>
      </c>
      <c r="V2849">
        <v>-3.21397E-2</v>
      </c>
      <c r="W2849">
        <v>4.9923000000000002E-2</v>
      </c>
      <c r="X2849">
        <v>0.99823580000000001</v>
      </c>
      <c r="Y2849">
        <v>7.0425269999999998E-2</v>
      </c>
      <c r="Z2849">
        <v>1.0781059999999999E-3</v>
      </c>
      <c r="AA2849">
        <v>0.99751650000000003</v>
      </c>
      <c r="AB2849">
        <v>31</v>
      </c>
      <c r="AC2849">
        <v>-32.342599999999898</v>
      </c>
      <c r="AD2849">
        <v>-1.1046467230929999</v>
      </c>
      <c r="AE2849">
        <v>2.40910000000002</v>
      </c>
      <c r="AF2849">
        <v>2.29644027153818</v>
      </c>
      <c r="AG2849">
        <v>-1.1046467230929999</v>
      </c>
      <c r="AH2849">
        <v>32.313118870312501</v>
      </c>
      <c r="AI2849">
        <v>91.953012076721606</v>
      </c>
      <c r="AJ2849">
        <v>85.934917739129801</v>
      </c>
      <c r="AK2849">
        <v>32.413446799600401</v>
      </c>
    </row>
    <row r="2850" spans="1:37" x14ac:dyDescent="0.2">
      <c r="A2850" t="str">
        <f>"20200111155552932"</f>
        <v>20200111155552932</v>
      </c>
      <c r="B2850" t="str">
        <f>"1578729352925562"</f>
        <v>1578729352925562</v>
      </c>
      <c r="C2850" t="s">
        <v>37</v>
      </c>
      <c r="D2850">
        <v>4.8039379999999996</v>
      </c>
      <c r="E2850">
        <v>0.5437246</v>
      </c>
      <c r="F2850" t="s">
        <v>59</v>
      </c>
      <c r="G2850">
        <v>-448.1318</v>
      </c>
      <c r="H2850" s="1">
        <v>2.6752889999999999E-6</v>
      </c>
      <c r="I2850">
        <v>287.25349999999997</v>
      </c>
      <c r="J2850">
        <v>-415.21469999999999</v>
      </c>
      <c r="K2850">
        <v>1.104684</v>
      </c>
      <c r="L2850">
        <v>284.58710000000002</v>
      </c>
      <c r="M2850">
        <v>-0.99993009999999904</v>
      </c>
      <c r="N2850">
        <v>0</v>
      </c>
      <c r="O2850">
        <v>3.3996069999999998E-3</v>
      </c>
      <c r="P2850">
        <v>-0.99882969999999904</v>
      </c>
      <c r="Q2850">
        <v>3.8920599999999902E-2</v>
      </c>
      <c r="R2850">
        <v>-2.8716220000000001E-2</v>
      </c>
      <c r="S2850">
        <v>-3.0144039999999999</v>
      </c>
      <c r="T2850">
        <v>-0.100562</v>
      </c>
      <c r="U2850">
        <v>0.24279789999999901</v>
      </c>
      <c r="V2850">
        <v>-3.211017E-2</v>
      </c>
      <c r="W2850">
        <v>5.0227790000000001E-2</v>
      </c>
      <c r="X2850">
        <v>0.99822149999999998</v>
      </c>
      <c r="Y2850">
        <v>7.6855969999999996E-2</v>
      </c>
      <c r="Z2850">
        <v>1.166348E-3</v>
      </c>
      <c r="AA2850">
        <v>0.99704150000000002</v>
      </c>
      <c r="AB2850">
        <v>31</v>
      </c>
      <c r="AC2850">
        <v>-32.917099999999998</v>
      </c>
      <c r="AD2850">
        <v>-1.1046813247109999</v>
      </c>
      <c r="AE2850">
        <v>2.6663999999999501</v>
      </c>
      <c r="AF2850">
        <v>2.5516172105224699</v>
      </c>
      <c r="AG2850">
        <v>-1.1046813247109999</v>
      </c>
      <c r="AH2850">
        <v>32.889175414780503</v>
      </c>
      <c r="AI2850">
        <v>91.917967769050193</v>
      </c>
      <c r="AJ2850">
        <v>85.563749172214401</v>
      </c>
      <c r="AK2850">
        <v>33.006498309914697</v>
      </c>
    </row>
    <row r="2851" spans="1:37" x14ac:dyDescent="0.2">
      <c r="A2851" t="str">
        <f>"20200111155552947"</f>
        <v>20200111155552947</v>
      </c>
      <c r="B2851" t="str">
        <f>"1578729352945082"</f>
        <v>1578729352945082</v>
      </c>
      <c r="C2851" t="s">
        <v>37</v>
      </c>
      <c r="D2851">
        <v>4.8731619999999998</v>
      </c>
      <c r="E2851">
        <v>0.54506080000000001</v>
      </c>
      <c r="F2851" t="s">
        <v>59</v>
      </c>
      <c r="G2851">
        <v>-447.77839999999998</v>
      </c>
      <c r="H2851" s="1">
        <v>2.48621299999999E-6</v>
      </c>
      <c r="I2851">
        <v>287.27699999999999</v>
      </c>
      <c r="J2851">
        <v>-415.40219999999999</v>
      </c>
      <c r="K2851">
        <v>1.1047119999999999</v>
      </c>
      <c r="L2851">
        <v>284.58780000000002</v>
      </c>
      <c r="M2851">
        <v>-0.99992780000000003</v>
      </c>
      <c r="N2851">
        <v>0</v>
      </c>
      <c r="O2851">
        <v>3.3989089999999999E-3</v>
      </c>
      <c r="P2851">
        <v>-0.99882649999999995</v>
      </c>
      <c r="Q2851">
        <v>3.9076909999999999E-2</v>
      </c>
      <c r="R2851">
        <v>-2.860998E-2</v>
      </c>
      <c r="S2851">
        <v>-3.01464799999999</v>
      </c>
      <c r="T2851">
        <v>-0.1022677</v>
      </c>
      <c r="U2851">
        <v>0.24902340000000001</v>
      </c>
      <c r="V2851">
        <v>-3.2002959999999997E-2</v>
      </c>
      <c r="W2851">
        <v>5.059019E-2</v>
      </c>
      <c r="X2851">
        <v>0.99820659999999894</v>
      </c>
      <c r="Y2851">
        <v>7.8892870000000004E-2</v>
      </c>
      <c r="Z2851">
        <v>1.22043E-3</v>
      </c>
      <c r="AA2851">
        <v>0.99688239999999995</v>
      </c>
      <c r="AB2851">
        <v>31</v>
      </c>
      <c r="AC2851">
        <v>-32.376199999999898</v>
      </c>
      <c r="AD2851">
        <v>-1.104709513787</v>
      </c>
      <c r="AE2851">
        <v>2.6891999999999698</v>
      </c>
      <c r="AF2851">
        <v>2.5761546717843302</v>
      </c>
      <c r="AG2851">
        <v>-1.104709513787</v>
      </c>
      <c r="AH2851">
        <v>32.347751246722801</v>
      </c>
      <c r="AI2851">
        <v>91.949781968760902</v>
      </c>
      <c r="AJ2851">
        <v>85.4466102560434</v>
      </c>
      <c r="AK2851">
        <v>32.468969289502603</v>
      </c>
    </row>
    <row r="2852" spans="1:37" x14ac:dyDescent="0.2">
      <c r="A2852" t="str">
        <f>"20200111155552960"</f>
        <v>20200111155552960</v>
      </c>
      <c r="B2852" t="str">
        <f>"1578729352954842"</f>
        <v>1578729352954842</v>
      </c>
      <c r="C2852" t="s">
        <v>37</v>
      </c>
      <c r="D2852">
        <v>4.8198999999999996</v>
      </c>
      <c r="E2852">
        <v>0.54521430000000004</v>
      </c>
      <c r="F2852" t="s">
        <v>59</v>
      </c>
      <c r="G2852">
        <v>-448.18599999999998</v>
      </c>
      <c r="H2852" s="1">
        <v>2.6970690000000002E-6</v>
      </c>
      <c r="I2852">
        <v>287.4144</v>
      </c>
      <c r="J2852">
        <v>-415.59429999999998</v>
      </c>
      <c r="K2852">
        <v>1.104732</v>
      </c>
      <c r="L2852">
        <v>284.58839999999998</v>
      </c>
      <c r="M2852">
        <v>-0.99992539999999996</v>
      </c>
      <c r="N2852">
        <v>0</v>
      </c>
      <c r="O2852">
        <v>3.3984390000000001E-3</v>
      </c>
      <c r="P2852">
        <v>-0.99881540000000002</v>
      </c>
      <c r="Q2852">
        <v>3.927489E-2</v>
      </c>
      <c r="R2852">
        <v>-2.8730200000000001E-2</v>
      </c>
      <c r="S2852">
        <v>-3.0149539999999999</v>
      </c>
      <c r="T2852">
        <v>-0.1015944</v>
      </c>
      <c r="U2852">
        <v>0.25994869999999998</v>
      </c>
      <c r="V2852">
        <v>-3.2122730000000002E-2</v>
      </c>
      <c r="W2852">
        <v>5.0992599999999999E-2</v>
      </c>
      <c r="X2852">
        <v>0.99818229999999997</v>
      </c>
      <c r="Y2852">
        <v>8.2469959999999995E-2</v>
      </c>
      <c r="Z2852">
        <v>1.272249E-3</v>
      </c>
      <c r="AA2852">
        <v>0.99659279999999995</v>
      </c>
      <c r="AB2852">
        <v>31</v>
      </c>
      <c r="AC2852">
        <v>-32.591700000000003</v>
      </c>
      <c r="AD2852">
        <v>-1.1047293029309999</v>
      </c>
      <c r="AE2852">
        <v>2.8260000000000201</v>
      </c>
      <c r="AF2852">
        <v>2.7121223352251902</v>
      </c>
      <c r="AG2852">
        <v>-1.1047293029309999</v>
      </c>
      <c r="AH2852">
        <v>32.563981521428502</v>
      </c>
      <c r="AI2852">
        <v>91.936308598309296</v>
      </c>
      <c r="AJ2852">
        <v>85.239054114926503</v>
      </c>
      <c r="AK2852">
        <v>32.695396112020397</v>
      </c>
    </row>
    <row r="2853" spans="1:37" x14ac:dyDescent="0.2">
      <c r="A2853" t="str">
        <f>"20200111155552974"</f>
        <v>20200111155552974</v>
      </c>
      <c r="B2853" t="str">
        <f>"1578729352965579"</f>
        <v>1578729352965579</v>
      </c>
      <c r="C2853" t="s">
        <v>37</v>
      </c>
      <c r="D2853">
        <v>4.8876039999999996</v>
      </c>
      <c r="E2853">
        <v>0.54541870000000003</v>
      </c>
      <c r="F2853" t="s">
        <v>59</v>
      </c>
      <c r="G2853">
        <v>-448.15660000000003</v>
      </c>
      <c r="H2853" s="1">
        <v>2.681705E-6</v>
      </c>
      <c r="I2853">
        <v>287.40809999999999</v>
      </c>
      <c r="J2853">
        <v>-415.78640000000001</v>
      </c>
      <c r="K2853">
        <v>1.104751</v>
      </c>
      <c r="L2853">
        <v>284.58909999999997</v>
      </c>
      <c r="M2853">
        <v>-0.99992320000000001</v>
      </c>
      <c r="N2853">
        <v>0</v>
      </c>
      <c r="O2853">
        <v>3.3981340000000001E-3</v>
      </c>
      <c r="P2853">
        <v>-0.99882950000000004</v>
      </c>
      <c r="Q2853">
        <v>3.893112E-2</v>
      </c>
      <c r="R2853">
        <v>-2.8708440000000002E-2</v>
      </c>
      <c r="S2853">
        <v>-3.0150450000000002</v>
      </c>
      <c r="T2853">
        <v>-0.10229049999999899</v>
      </c>
      <c r="U2853">
        <v>0.26107789999999997</v>
      </c>
      <c r="V2853">
        <v>-3.2100610000000002E-2</v>
      </c>
      <c r="W2853">
        <v>5.0841169999999998E-2</v>
      </c>
      <c r="X2853">
        <v>0.99819069999999899</v>
      </c>
      <c r="Y2853">
        <v>8.2837309999999997E-2</v>
      </c>
      <c r="Z2853">
        <v>1.28713E-3</v>
      </c>
      <c r="AA2853">
        <v>0.99656219999999995</v>
      </c>
      <c r="AB2853">
        <v>31</v>
      </c>
      <c r="AC2853">
        <v>-32.370199999999997</v>
      </c>
      <c r="AD2853">
        <v>-1.104748318295</v>
      </c>
      <c r="AE2853">
        <v>2.8190000000000102</v>
      </c>
      <c r="AF2853">
        <v>2.70584969181066</v>
      </c>
      <c r="AG2853">
        <v>-1.104748318295</v>
      </c>
      <c r="AH2853">
        <v>32.342205781803202</v>
      </c>
      <c r="AI2853">
        <v>91.949548592773496</v>
      </c>
      <c r="AJ2853">
        <v>85.217594017593896</v>
      </c>
      <c r="AK2853">
        <v>32.473995230552603</v>
      </c>
    </row>
    <row r="2854" spans="1:37" x14ac:dyDescent="0.2">
      <c r="A2854" t="str">
        <f>"20200111155552988"</f>
        <v>20200111155552988</v>
      </c>
      <c r="B2854" t="str">
        <f>"1578729352985098"</f>
        <v>1578729352985098</v>
      </c>
      <c r="C2854" t="s">
        <v>37</v>
      </c>
      <c r="D2854">
        <v>4.8633730000000002</v>
      </c>
      <c r="E2854">
        <v>0.54565540000000001</v>
      </c>
      <c r="F2854" t="s">
        <v>59</v>
      </c>
      <c r="G2854">
        <v>-448.18389999999999</v>
      </c>
      <c r="H2854" s="1">
        <v>2.6960539999999999E-6</v>
      </c>
      <c r="I2854">
        <v>287.41239999999999</v>
      </c>
      <c r="J2854">
        <v>-415.97370000000001</v>
      </c>
      <c r="K2854">
        <v>1.1047639999999901</v>
      </c>
      <c r="L2854">
        <v>284.58969999999999</v>
      </c>
      <c r="M2854">
        <v>-0.99992099999999995</v>
      </c>
      <c r="N2854">
        <v>0</v>
      </c>
      <c r="O2854">
        <v>3.3981979999999998E-3</v>
      </c>
      <c r="P2854">
        <v>-0.99883219999999995</v>
      </c>
      <c r="Q2854">
        <v>3.9046320000000002E-2</v>
      </c>
      <c r="R2854">
        <v>-2.8457110000000001E-2</v>
      </c>
      <c r="S2854">
        <v>-3.0150759999999899</v>
      </c>
      <c r="T2854">
        <v>-0.1028134</v>
      </c>
      <c r="U2854">
        <v>0.2627563</v>
      </c>
      <c r="V2854">
        <v>-3.1849769999999999E-2</v>
      </c>
      <c r="W2854">
        <v>5.1134039999999999E-2</v>
      </c>
      <c r="X2854">
        <v>0.99818379999999995</v>
      </c>
      <c r="Y2854">
        <v>8.3386210000000002E-2</v>
      </c>
      <c r="Z2854">
        <v>1.302997E-3</v>
      </c>
      <c r="AA2854">
        <v>0.99651650000000003</v>
      </c>
      <c r="AB2854">
        <v>31</v>
      </c>
      <c r="AC2854">
        <v>-32.210199999999901</v>
      </c>
      <c r="AD2854">
        <v>-1.10476130394599</v>
      </c>
      <c r="AE2854">
        <v>2.82269999999999</v>
      </c>
      <c r="AF2854">
        <v>2.7100552708854901</v>
      </c>
      <c r="AG2854">
        <v>-1.10476130394599</v>
      </c>
      <c r="AH2854">
        <v>32.182036799145301</v>
      </c>
      <c r="AI2854">
        <v>91.959177636260307</v>
      </c>
      <c r="AJ2854">
        <v>85.186468527457606</v>
      </c>
      <c r="AK2854">
        <v>32.314832347569002</v>
      </c>
    </row>
    <row r="2855" spans="1:37" x14ac:dyDescent="0.2">
      <c r="A2855" t="str">
        <f>"20200111155553002"</f>
        <v>20200111155553002</v>
      </c>
      <c r="B2855" t="str">
        <f>"1578729352994858"</f>
        <v>1578729352994858</v>
      </c>
      <c r="C2855" t="s">
        <v>37</v>
      </c>
      <c r="D2855">
        <v>4.981414</v>
      </c>
      <c r="E2855">
        <v>0.54563930000000005</v>
      </c>
      <c r="F2855" t="s">
        <v>59</v>
      </c>
      <c r="G2855">
        <v>-448.29559999999998</v>
      </c>
      <c r="H2855" s="1">
        <v>2.7545699999999999E-6</v>
      </c>
      <c r="I2855">
        <v>287.43369999999999</v>
      </c>
      <c r="J2855">
        <v>-416.16809999999998</v>
      </c>
      <c r="K2855">
        <v>1.104781</v>
      </c>
      <c r="L2855">
        <v>284.59039999999999</v>
      </c>
      <c r="M2855">
        <v>-0.9999188</v>
      </c>
      <c r="N2855">
        <v>0</v>
      </c>
      <c r="O2855">
        <v>3.3983159999999902E-3</v>
      </c>
      <c r="P2855">
        <v>-0.99883120000000003</v>
      </c>
      <c r="Q2855">
        <v>3.8908150000000002E-2</v>
      </c>
      <c r="R2855">
        <v>-2.8683859999999999E-2</v>
      </c>
      <c r="S2855">
        <v>-3.0150759999999899</v>
      </c>
      <c r="T2855">
        <v>-0.1030551</v>
      </c>
      <c r="U2855">
        <v>0.26528930000000001</v>
      </c>
      <c r="V2855">
        <v>-3.2076739999999999E-2</v>
      </c>
      <c r="W2855">
        <v>5.1171660000000001E-2</v>
      </c>
      <c r="X2855">
        <v>0.99817459999999902</v>
      </c>
      <c r="Y2855">
        <v>8.4216159999999998E-2</v>
      </c>
      <c r="Z2855">
        <v>1.320159E-3</v>
      </c>
      <c r="AA2855">
        <v>0.99644659999999996</v>
      </c>
      <c r="AB2855">
        <v>31</v>
      </c>
      <c r="AC2855">
        <v>-32.127499999999998</v>
      </c>
      <c r="AD2855">
        <v>-1.1047782454299999</v>
      </c>
      <c r="AE2855">
        <v>2.8433000000000002</v>
      </c>
      <c r="AF2855">
        <v>2.7308917986925798</v>
      </c>
      <c r="AG2855">
        <v>-1.1047782454299999</v>
      </c>
      <c r="AH2855">
        <v>32.099315578697599</v>
      </c>
      <c r="AI2855">
        <v>91.964109799814395</v>
      </c>
      <c r="AJ2855">
        <v>85.137195387781404</v>
      </c>
      <c r="AK2855">
        <v>32.2342111057268</v>
      </c>
    </row>
    <row r="2856" spans="1:37" x14ac:dyDescent="0.2">
      <c r="A2856" t="str">
        <f>"20200111155553016"</f>
        <v>20200111155553016</v>
      </c>
      <c r="B2856" t="str">
        <f>"1578729353005595"</f>
        <v>1578729353005595</v>
      </c>
      <c r="C2856" t="s">
        <v>37</v>
      </c>
      <c r="D2856">
        <v>4.8713199999999999</v>
      </c>
      <c r="E2856">
        <v>0.54575499999999999</v>
      </c>
      <c r="F2856" t="s">
        <v>59</v>
      </c>
      <c r="G2856">
        <v>-448.12759999999997</v>
      </c>
      <c r="H2856" s="1">
        <v>2.6668699999999998E-6</v>
      </c>
      <c r="I2856">
        <v>287.39429999999999</v>
      </c>
      <c r="J2856">
        <v>-416.36810000000003</v>
      </c>
      <c r="K2856">
        <v>1.104789</v>
      </c>
      <c r="L2856">
        <v>284.59109999999998</v>
      </c>
      <c r="M2856">
        <v>-0.9999169</v>
      </c>
      <c r="N2856">
        <v>0</v>
      </c>
      <c r="O2856">
        <v>3.3984559999999998E-3</v>
      </c>
      <c r="P2856">
        <v>-0.99883709999999903</v>
      </c>
      <c r="Q2856">
        <v>3.8442869999999997E-2</v>
      </c>
      <c r="R2856">
        <v>-2.9098929999999999E-2</v>
      </c>
      <c r="S2856">
        <v>-3.0151059999999998</v>
      </c>
      <c r="T2856">
        <v>-0.1042265</v>
      </c>
      <c r="U2856">
        <v>0.26452639999999999</v>
      </c>
      <c r="V2856">
        <v>-3.2491800000000001E-2</v>
      </c>
      <c r="W2856">
        <v>5.087593E-2</v>
      </c>
      <c r="X2856">
        <v>0.99817630000000002</v>
      </c>
      <c r="Y2856">
        <v>8.3963999999999997E-2</v>
      </c>
      <c r="Z2856">
        <v>1.330803E-3</v>
      </c>
      <c r="AA2856">
        <v>0.99646789999999996</v>
      </c>
      <c r="AB2856">
        <v>31</v>
      </c>
      <c r="AC2856">
        <v>-31.7594999999999</v>
      </c>
      <c r="AD2856">
        <v>-1.1047863331300001</v>
      </c>
      <c r="AE2856">
        <v>2.8031999999999999</v>
      </c>
      <c r="AF2856">
        <v>2.6920098697545498</v>
      </c>
      <c r="AG2856">
        <v>-1.1047863331300001</v>
      </c>
      <c r="AH2856">
        <v>31.730744353679</v>
      </c>
      <c r="AI2856">
        <v>91.986960156019904</v>
      </c>
      <c r="AJ2856">
        <v>85.150686244747305</v>
      </c>
      <c r="AK2856">
        <v>31.863891903207001</v>
      </c>
    </row>
    <row r="2857" spans="1:37" x14ac:dyDescent="0.2">
      <c r="A2857" t="str">
        <f>"20200111155553039"</f>
        <v>20200111155553039</v>
      </c>
      <c r="B2857" t="str">
        <f>"1578729353034874"</f>
        <v>1578729353034874</v>
      </c>
      <c r="C2857" t="s">
        <v>37</v>
      </c>
      <c r="D2857">
        <v>4.9268269999999896</v>
      </c>
      <c r="E2857">
        <v>0.54596889999999998</v>
      </c>
      <c r="F2857" t="s">
        <v>59</v>
      </c>
      <c r="G2857">
        <v>-447.86950000000002</v>
      </c>
      <c r="H2857" s="1">
        <v>2.5314029999999999E-6</v>
      </c>
      <c r="I2857">
        <v>287.35210000000001</v>
      </c>
      <c r="J2857">
        <v>-416.67160000000001</v>
      </c>
      <c r="K2857">
        <v>1.1048</v>
      </c>
      <c r="L2857">
        <v>284.59210000000002</v>
      </c>
      <c r="M2857">
        <v>-0.99991390000000002</v>
      </c>
      <c r="N2857">
        <v>0</v>
      </c>
      <c r="O2857">
        <v>3.3988299999999998E-3</v>
      </c>
      <c r="P2857">
        <v>-0.99883709999999903</v>
      </c>
      <c r="Q2857">
        <v>3.7847649999999997E-2</v>
      </c>
      <c r="R2857">
        <v>-2.986919E-2</v>
      </c>
      <c r="S2857">
        <v>-3.015228</v>
      </c>
      <c r="T2857">
        <v>-0.10574699999999999</v>
      </c>
      <c r="U2857">
        <v>0.26428220000000002</v>
      </c>
      <c r="V2857">
        <v>-3.326204E-2</v>
      </c>
      <c r="W2857">
        <v>5.0513999999999899E-2</v>
      </c>
      <c r="X2857">
        <v>0.99816930000000004</v>
      </c>
      <c r="Y2857">
        <v>8.3878699999999903E-2</v>
      </c>
      <c r="Z2857">
        <v>1.348651E-3</v>
      </c>
      <c r="AA2857">
        <v>0.996475</v>
      </c>
      <c r="AB2857">
        <v>31</v>
      </c>
      <c r="AC2857">
        <v>-31.197900000000001</v>
      </c>
      <c r="AD2857">
        <v>-1.1047974685969999</v>
      </c>
      <c r="AE2857">
        <v>2.75999999999999</v>
      </c>
      <c r="AF2857">
        <v>2.6506409582396402</v>
      </c>
      <c r="AG2857">
        <v>-1.1047974685969999</v>
      </c>
      <c r="AH2857">
        <v>31.168318222395499</v>
      </c>
      <c r="AI2857">
        <v>92.022770600686997</v>
      </c>
      <c r="AJ2857">
        <v>85.139102593685195</v>
      </c>
      <c r="AK2857">
        <v>31.300328045383601</v>
      </c>
    </row>
    <row r="2858" spans="1:37" x14ac:dyDescent="0.2">
      <c r="A2858" t="str">
        <f>"20200111155553053"</f>
        <v>20200111155553053</v>
      </c>
      <c r="B2858" t="str">
        <f>"1578729353045611"</f>
        <v>1578729353045611</v>
      </c>
      <c r="C2858" t="s">
        <v>37</v>
      </c>
      <c r="D2858">
        <v>4.9627239999999997</v>
      </c>
      <c r="E2858">
        <v>0.54603669999999904</v>
      </c>
      <c r="F2858" t="s">
        <v>59</v>
      </c>
      <c r="G2858">
        <v>-449.45519999999999</v>
      </c>
      <c r="H2858" s="1">
        <v>3.370319E-6</v>
      </c>
      <c r="I2858">
        <v>287.46350000000001</v>
      </c>
      <c r="J2858">
        <v>-416.87</v>
      </c>
      <c r="K2858">
        <v>1.104805</v>
      </c>
      <c r="L2858">
        <v>284.59280000000001</v>
      </c>
      <c r="M2858">
        <v>-0.99991200000000002</v>
      </c>
      <c r="N2858">
        <v>0</v>
      </c>
      <c r="O2858">
        <v>3.3989699999999999E-3</v>
      </c>
      <c r="P2858">
        <v>-0.99884300000000004</v>
      </c>
      <c r="Q2858">
        <v>3.7514930000000002E-2</v>
      </c>
      <c r="R2858">
        <v>-3.0089339999999999E-2</v>
      </c>
      <c r="S2858">
        <v>-3.0152589999999999</v>
      </c>
      <c r="T2858">
        <v>-0.1016133</v>
      </c>
      <c r="U2858">
        <v>0.26409909999999998</v>
      </c>
      <c r="V2858">
        <v>-3.3482739999999997E-2</v>
      </c>
      <c r="W2858">
        <v>5.0318259999999997E-2</v>
      </c>
      <c r="X2858">
        <v>0.99817180000000005</v>
      </c>
      <c r="Y2858">
        <v>8.3821399999999893E-2</v>
      </c>
      <c r="Z2858">
        <v>1.294983E-3</v>
      </c>
      <c r="AA2858">
        <v>0.99647989999999997</v>
      </c>
      <c r="AB2858">
        <v>31</v>
      </c>
      <c r="AC2858">
        <v>-32.585199999999901</v>
      </c>
      <c r="AD2858">
        <v>-1.1048016296809999</v>
      </c>
      <c r="AE2858">
        <v>2.8706999999999998</v>
      </c>
      <c r="AF2858">
        <v>2.7567735476942299</v>
      </c>
      <c r="AG2858">
        <v>-1.1048016296809999</v>
      </c>
      <c r="AH2858">
        <v>32.557631585669199</v>
      </c>
      <c r="AI2858">
        <v>91.936588712072094</v>
      </c>
      <c r="AJ2858">
        <v>85.160101861478907</v>
      </c>
      <c r="AK2858">
        <v>32.692809018228701</v>
      </c>
    </row>
    <row r="2859" spans="1:37" x14ac:dyDescent="0.2">
      <c r="A2859" t="str">
        <f>"20200111155553067"</f>
        <v>20200111155553067</v>
      </c>
      <c r="B2859" t="str">
        <f>"1578729353055370"</f>
        <v>1578729353055370</v>
      </c>
      <c r="C2859" t="s">
        <v>37</v>
      </c>
      <c r="D2859">
        <v>4.940334</v>
      </c>
      <c r="E2859">
        <v>0.54619399999999996</v>
      </c>
      <c r="F2859" t="s">
        <v>59</v>
      </c>
      <c r="G2859">
        <v>-449.07089999999999</v>
      </c>
      <c r="H2859" s="1">
        <v>3.16813499999999E-6</v>
      </c>
      <c r="I2859">
        <v>287.41109999999998</v>
      </c>
      <c r="J2859">
        <v>-417.05419999999998</v>
      </c>
      <c r="K2859">
        <v>1.1048129999999901</v>
      </c>
      <c r="L2859">
        <v>284.59339999999997</v>
      </c>
      <c r="M2859">
        <v>-0.99991070000000004</v>
      </c>
      <c r="N2859">
        <v>0</v>
      </c>
      <c r="O2859">
        <v>3.398861E-3</v>
      </c>
      <c r="P2859">
        <v>-0.99885800000000002</v>
      </c>
      <c r="Q2859">
        <v>3.7026400000000001E-2</v>
      </c>
      <c r="R2859">
        <v>-3.0204000000000002E-2</v>
      </c>
      <c r="S2859">
        <v>-3.0153810000000001</v>
      </c>
      <c r="T2859">
        <v>-0.10345650000000001</v>
      </c>
      <c r="U2859">
        <v>0.26391599999999998</v>
      </c>
      <c r="V2859">
        <v>-3.3597120000000001E-2</v>
      </c>
      <c r="W2859">
        <v>4.994871E-2</v>
      </c>
      <c r="X2859">
        <v>0.99818649999999998</v>
      </c>
      <c r="Y2859">
        <v>8.3756339999999999E-2</v>
      </c>
      <c r="Z2859">
        <v>1.3173E-3</v>
      </c>
      <c r="AA2859">
        <v>0.99648539999999997</v>
      </c>
      <c r="AB2859">
        <v>31</v>
      </c>
      <c r="AC2859">
        <v>-32.0167</v>
      </c>
      <c r="AD2859">
        <v>-1.1048098318649999</v>
      </c>
      <c r="AE2859">
        <v>2.8176999999999999</v>
      </c>
      <c r="AF2859">
        <v>2.7056573093898799</v>
      </c>
      <c r="AG2859">
        <v>-1.1048098318649999</v>
      </c>
      <c r="AH2859">
        <v>31.988295377759702</v>
      </c>
      <c r="AI2859">
        <v>91.971059352952295</v>
      </c>
      <c r="AJ2859">
        <v>85.165274304691295</v>
      </c>
      <c r="AK2859">
        <v>32.121522806605</v>
      </c>
    </row>
    <row r="2860" spans="1:37" x14ac:dyDescent="0.2">
      <c r="A2860" t="str">
        <f>"20200111155553083"</f>
        <v>20200111155553083</v>
      </c>
      <c r="B2860" t="str">
        <f>"1578729353074890"</f>
        <v>1578729353074890</v>
      </c>
      <c r="C2860" t="s">
        <v>37</v>
      </c>
      <c r="D2860">
        <v>4.9647449999999997</v>
      </c>
      <c r="E2860">
        <v>0.54627029999999999</v>
      </c>
      <c r="F2860" t="s">
        <v>59</v>
      </c>
      <c r="G2860">
        <v>-448.69479999999999</v>
      </c>
      <c r="H2860" s="1">
        <v>2.9696739999999998E-6</v>
      </c>
      <c r="I2860">
        <v>287.37259999999998</v>
      </c>
      <c r="J2860">
        <v>-417.28530000000001</v>
      </c>
      <c r="K2860">
        <v>1.104816</v>
      </c>
      <c r="L2860">
        <v>284.5942</v>
      </c>
      <c r="M2860">
        <v>-0.99990879999999904</v>
      </c>
      <c r="N2860">
        <v>0</v>
      </c>
      <c r="O2860">
        <v>3.3986809999999902E-3</v>
      </c>
      <c r="P2860">
        <v>-0.9988572</v>
      </c>
      <c r="Q2860">
        <v>3.672545E-2</v>
      </c>
      <c r="R2860">
        <v>-3.05975E-2</v>
      </c>
      <c r="S2860">
        <v>-3.0153810000000001</v>
      </c>
      <c r="T2860">
        <v>-0.1052893</v>
      </c>
      <c r="U2860">
        <v>0.26486209999999999</v>
      </c>
      <c r="V2860">
        <v>-3.3990079999999999E-2</v>
      </c>
      <c r="W2860">
        <v>4.9784879999999997E-2</v>
      </c>
      <c r="X2860">
        <v>0.9981814</v>
      </c>
      <c r="Y2860">
        <v>8.4064899999999901E-2</v>
      </c>
      <c r="Z2860">
        <v>1.3459870000000001E-3</v>
      </c>
      <c r="AA2860">
        <v>0.9964594</v>
      </c>
      <c r="AB2860">
        <v>31</v>
      </c>
      <c r="AC2860">
        <v>-31.409499999999898</v>
      </c>
      <c r="AD2860">
        <v>-1.104813030326</v>
      </c>
      <c r="AE2860">
        <v>2.7783999999999698</v>
      </c>
      <c r="AF2860">
        <v>2.6683481925626298</v>
      </c>
      <c r="AG2860">
        <v>-1.104813030326</v>
      </c>
      <c r="AH2860">
        <v>31.380238672336802</v>
      </c>
      <c r="AI2860">
        <v>92.009151417118204</v>
      </c>
      <c r="AJ2860">
        <v>85.139673742085094</v>
      </c>
      <c r="AK2860">
        <v>31.512855678937601</v>
      </c>
    </row>
    <row r="2861" spans="1:37" x14ac:dyDescent="0.2">
      <c r="A2861" t="str">
        <f>"20200111155553099"</f>
        <v>20200111155553099</v>
      </c>
      <c r="B2861" t="str">
        <f>"1578729353095386"</f>
        <v>1578729353095386</v>
      </c>
      <c r="C2861" t="s">
        <v>37</v>
      </c>
      <c r="D2861">
        <v>4.948868</v>
      </c>
      <c r="E2861">
        <v>0.54636169999999995</v>
      </c>
      <c r="F2861" t="s">
        <v>59</v>
      </c>
      <c r="G2861">
        <v>-448.31509999999997</v>
      </c>
      <c r="H2861" s="1">
        <v>2.770194E-6</v>
      </c>
      <c r="I2861">
        <v>287.3134</v>
      </c>
      <c r="J2861">
        <v>-417.49130000000002</v>
      </c>
      <c r="K2861">
        <v>1.1048199999999999</v>
      </c>
      <c r="L2861">
        <v>284.5949</v>
      </c>
      <c r="M2861">
        <v>-0.9999072</v>
      </c>
      <c r="N2861">
        <v>0</v>
      </c>
      <c r="O2861">
        <v>3.3985959999999998E-3</v>
      </c>
      <c r="P2861">
        <v>-0.99886620000000004</v>
      </c>
      <c r="Q2861">
        <v>3.635555E-2</v>
      </c>
      <c r="R2861">
        <v>-3.0731330000000001E-2</v>
      </c>
      <c r="S2861">
        <v>-3.01544199999999</v>
      </c>
      <c r="T2861">
        <v>-0.1073645</v>
      </c>
      <c r="U2861">
        <v>0.26425169999999998</v>
      </c>
      <c r="V2861">
        <v>-3.4124729999999999E-2</v>
      </c>
      <c r="W2861">
        <v>4.9527710000000003E-2</v>
      </c>
      <c r="X2861">
        <v>0.99818960000000001</v>
      </c>
      <c r="Y2861">
        <v>8.3861270000000002E-2</v>
      </c>
      <c r="Z2861">
        <v>1.368869E-3</v>
      </c>
      <c r="AA2861">
        <v>0.99647649999999999</v>
      </c>
      <c r="AB2861">
        <v>31</v>
      </c>
      <c r="AC2861">
        <v>-30.823799999999899</v>
      </c>
      <c r="AD2861">
        <v>-1.1048172298059999</v>
      </c>
      <c r="AE2861">
        <v>2.7185000000000001</v>
      </c>
      <c r="AF2861">
        <v>2.6103898005978299</v>
      </c>
      <c r="AG2861">
        <v>-1.1048172298059999</v>
      </c>
      <c r="AH2861">
        <v>30.793606021272002</v>
      </c>
      <c r="AI2861">
        <v>92.047447421191293</v>
      </c>
      <c r="AJ2861">
        <v>85.154591613762705</v>
      </c>
      <c r="AK2861">
        <v>30.923792261229298</v>
      </c>
    </row>
    <row r="2862" spans="1:37" x14ac:dyDescent="0.2">
      <c r="A2862" t="str">
        <f>"20200111155553113"</f>
        <v>20200111155553113</v>
      </c>
      <c r="B2862" t="str">
        <f>"1578729353105147"</f>
        <v>1578729353105147</v>
      </c>
      <c r="C2862" t="s">
        <v>37</v>
      </c>
      <c r="D2862">
        <v>5.0135319999999997</v>
      </c>
      <c r="E2862">
        <v>0.54652259999999997</v>
      </c>
      <c r="F2862" t="s">
        <v>59</v>
      </c>
      <c r="G2862">
        <v>-447.24880000000002</v>
      </c>
      <c r="H2862" s="1">
        <v>2.2075579999999999E-6</v>
      </c>
      <c r="I2862">
        <v>287.20370000000003</v>
      </c>
      <c r="J2862">
        <v>-417.69510000000002</v>
      </c>
      <c r="K2862">
        <v>1.1048229999999899</v>
      </c>
      <c r="L2862">
        <v>284.59559999999999</v>
      </c>
      <c r="M2862">
        <v>-0.99990590000000001</v>
      </c>
      <c r="N2862">
        <v>0</v>
      </c>
      <c r="O2862">
        <v>3.3985949999999999E-3</v>
      </c>
      <c r="P2862">
        <v>-0.99888060000000001</v>
      </c>
      <c r="Q2862">
        <v>3.5824689999999999E-2</v>
      </c>
      <c r="R2862">
        <v>-3.0887700000000001E-2</v>
      </c>
      <c r="S2862">
        <v>-3.015625</v>
      </c>
      <c r="T2862">
        <v>-0.1119622</v>
      </c>
      <c r="U2862">
        <v>0.26437379999999999</v>
      </c>
      <c r="V2862">
        <v>-3.4280629999999999E-2</v>
      </c>
      <c r="W2862">
        <v>4.9095739999999999E-2</v>
      </c>
      <c r="X2862">
        <v>0.99820560000000003</v>
      </c>
      <c r="Y2862">
        <v>8.3891569999999999E-2</v>
      </c>
      <c r="Z2862">
        <v>1.427921E-3</v>
      </c>
      <c r="AA2862">
        <v>0.99647379999999997</v>
      </c>
      <c r="AB2862">
        <v>31</v>
      </c>
      <c r="AC2862">
        <v>-29.5536999999999</v>
      </c>
      <c r="AD2862">
        <v>-1.1048207924419999</v>
      </c>
      <c r="AE2862">
        <v>2.6081000000000301</v>
      </c>
      <c r="AF2862">
        <v>2.5041624175852801</v>
      </c>
      <c r="AG2862">
        <v>-1.1048207924419999</v>
      </c>
      <c r="AH2862">
        <v>29.5214557666446</v>
      </c>
      <c r="AI2862">
        <v>92.135593888455006</v>
      </c>
      <c r="AJ2862">
        <v>85.151482561516502</v>
      </c>
      <c r="AK2862">
        <v>29.648065855617102</v>
      </c>
    </row>
    <row r="2863" spans="1:37" x14ac:dyDescent="0.2">
      <c r="A2863" t="str">
        <f>"20200111155553128"</f>
        <v>20200111155553128</v>
      </c>
      <c r="B2863" t="str">
        <f>"1578729353124666"</f>
        <v>1578729353124666</v>
      </c>
      <c r="C2863" t="s">
        <v>37</v>
      </c>
      <c r="D2863">
        <v>4.9974769999999999</v>
      </c>
      <c r="E2863">
        <v>0.54665790000000003</v>
      </c>
      <c r="F2863" t="s">
        <v>59</v>
      </c>
      <c r="G2863">
        <v>-446.89569999999998</v>
      </c>
      <c r="H2863" s="1">
        <v>2.0214729999999999E-6</v>
      </c>
      <c r="I2863">
        <v>287.16199999999998</v>
      </c>
      <c r="J2863">
        <v>-417.89729999999997</v>
      </c>
      <c r="K2863">
        <v>1.1048229999999899</v>
      </c>
      <c r="L2863">
        <v>284.59629999999999</v>
      </c>
      <c r="M2863">
        <v>-0.99990480000000004</v>
      </c>
      <c r="N2863">
        <v>0</v>
      </c>
      <c r="O2863">
        <v>3.3983479999999998E-3</v>
      </c>
      <c r="P2863">
        <v>-0.99889989999999995</v>
      </c>
      <c r="Q2863">
        <v>3.5394120000000001E-2</v>
      </c>
      <c r="R2863">
        <v>-3.076102E-2</v>
      </c>
      <c r="S2863">
        <v>-3.0156860000000001</v>
      </c>
      <c r="T2863">
        <v>-0.11410039999999901</v>
      </c>
      <c r="U2863">
        <v>0.26504519999999998</v>
      </c>
      <c r="V2863">
        <v>-3.4154110000000001E-2</v>
      </c>
      <c r="W2863">
        <v>4.8756639999999997E-2</v>
      </c>
      <c r="X2863">
        <v>0.99822659999999996</v>
      </c>
      <c r="Y2863">
        <v>8.4107950000000001E-2</v>
      </c>
      <c r="Z2863">
        <v>1.4592209999999999E-3</v>
      </c>
      <c r="AA2863">
        <v>0.9964556</v>
      </c>
      <c r="AB2863">
        <v>31</v>
      </c>
      <c r="AC2863">
        <v>-28.9984</v>
      </c>
      <c r="AD2863">
        <v>-1.10482097852699</v>
      </c>
      <c r="AE2863">
        <v>2.5657000000000401</v>
      </c>
      <c r="AF2863">
        <v>2.4635814480989802</v>
      </c>
      <c r="AG2863">
        <v>-1.10482097852699</v>
      </c>
      <c r="AH2863">
        <v>28.965234174289598</v>
      </c>
      <c r="AI2863">
        <v>92.176523367154601</v>
      </c>
      <c r="AJ2863">
        <v>85.138519479055802</v>
      </c>
      <c r="AK2863">
        <v>29.0908001560191</v>
      </c>
    </row>
    <row r="2864" spans="1:37" x14ac:dyDescent="0.2">
      <c r="A2864" t="str">
        <f>"20200111155553143"</f>
        <v>20200111155553143</v>
      </c>
      <c r="B2864" t="str">
        <f>"1578729353135403"</f>
        <v>1578729353135403</v>
      </c>
      <c r="C2864" t="s">
        <v>37</v>
      </c>
      <c r="D2864">
        <v>4.9805269999999897</v>
      </c>
      <c r="E2864">
        <v>0.54676819999999904</v>
      </c>
      <c r="F2864" t="s">
        <v>59</v>
      </c>
      <c r="G2864">
        <v>-446.48880000000003</v>
      </c>
      <c r="H2864" s="1">
        <v>1.806645E-6</v>
      </c>
      <c r="I2864">
        <v>287.1234</v>
      </c>
      <c r="J2864">
        <v>-418.10270000000003</v>
      </c>
      <c r="K2864">
        <v>1.1048249999999999</v>
      </c>
      <c r="L2864">
        <v>284.59699999999998</v>
      </c>
      <c r="M2864">
        <v>-0.99990369999999995</v>
      </c>
      <c r="N2864">
        <v>0</v>
      </c>
      <c r="O2864">
        <v>3.3980770000000002E-3</v>
      </c>
      <c r="P2864">
        <v>-0.99890299999999999</v>
      </c>
      <c r="Q2864">
        <v>3.5155060000000002E-2</v>
      </c>
      <c r="R2864">
        <v>-3.0937329999999999E-2</v>
      </c>
      <c r="S2864">
        <v>-3.0156559999999999</v>
      </c>
      <c r="T2864">
        <v>-0.1165296</v>
      </c>
      <c r="U2864">
        <v>0.26654050000000001</v>
      </c>
      <c r="V2864">
        <v>-3.4330489999999998E-2</v>
      </c>
      <c r="W2864">
        <v>4.8602329999999999E-2</v>
      </c>
      <c r="X2864">
        <v>0.99822809999999995</v>
      </c>
      <c r="Y2864">
        <v>8.4596569999999996E-2</v>
      </c>
      <c r="Z2864">
        <v>1.499677E-3</v>
      </c>
      <c r="AA2864">
        <v>0.99641420000000003</v>
      </c>
      <c r="AB2864">
        <v>31</v>
      </c>
      <c r="AC2864">
        <v>-28.386099999999999</v>
      </c>
      <c r="AD2864">
        <v>-1.1048231933549999</v>
      </c>
      <c r="AE2864">
        <v>2.5264000000000202</v>
      </c>
      <c r="AF2864">
        <v>2.42627193450592</v>
      </c>
      <c r="AG2864">
        <v>-1.1048231933549999</v>
      </c>
      <c r="AH2864">
        <v>28.351909967036502</v>
      </c>
      <c r="AI2864">
        <v>92.223466237351005</v>
      </c>
      <c r="AJ2864">
        <v>85.108715086828795</v>
      </c>
      <c r="AK2864">
        <v>28.4769771669623</v>
      </c>
    </row>
    <row r="2865" spans="1:37" x14ac:dyDescent="0.2">
      <c r="A2865" t="str">
        <f>"20200111155553157"</f>
        <v>20200111155553157</v>
      </c>
      <c r="B2865" t="str">
        <f>"1578729353145162"</f>
        <v>1578729353145162</v>
      </c>
      <c r="C2865" t="s">
        <v>37</v>
      </c>
      <c r="D2865">
        <v>4.950393</v>
      </c>
      <c r="E2865">
        <v>0.54673130000000003</v>
      </c>
      <c r="F2865" t="s">
        <v>59</v>
      </c>
      <c r="G2865">
        <v>-446.22899999999998</v>
      </c>
      <c r="H2865" s="1">
        <v>1.6700249999999999E-6</v>
      </c>
      <c r="I2865">
        <v>287.08539999999999</v>
      </c>
      <c r="J2865">
        <v>-418.296999999999</v>
      </c>
      <c r="K2865">
        <v>1.104827</v>
      </c>
      <c r="L2865">
        <v>284.5976</v>
      </c>
      <c r="M2865">
        <v>-0.99990249999999903</v>
      </c>
      <c r="N2865">
        <v>0</v>
      </c>
      <c r="O2865">
        <v>3.3981159999999901E-3</v>
      </c>
      <c r="P2865">
        <v>-0.99890669999999904</v>
      </c>
      <c r="Q2865">
        <v>3.5031369999999999E-2</v>
      </c>
      <c r="R2865">
        <v>-3.0956689999999999E-2</v>
      </c>
      <c r="S2865">
        <v>-3.0156860000000001</v>
      </c>
      <c r="T2865">
        <v>-0.11845849999999999</v>
      </c>
      <c r="U2865">
        <v>0.26681519999999997</v>
      </c>
      <c r="V2865">
        <v>-3.4349619999999997E-2</v>
      </c>
      <c r="W2865">
        <v>4.8551839999999999E-2</v>
      </c>
      <c r="X2865">
        <v>0.9982299</v>
      </c>
      <c r="Y2865">
        <v>8.4683599999999998E-2</v>
      </c>
      <c r="Z2865">
        <v>1.526164E-3</v>
      </c>
      <c r="AA2865">
        <v>0.99640669999999898</v>
      </c>
      <c r="AB2865">
        <v>31</v>
      </c>
      <c r="AC2865">
        <v>-27.931999999999999</v>
      </c>
      <c r="AD2865">
        <v>-1.1048253299749999</v>
      </c>
      <c r="AE2865">
        <v>2.4877999999999898</v>
      </c>
      <c r="AF2865">
        <v>2.3891522749715199</v>
      </c>
      <c r="AG2865">
        <v>-1.1048253299749999</v>
      </c>
      <c r="AH2865">
        <v>27.896991209901</v>
      </c>
      <c r="AI2865">
        <v>92.259679128739194</v>
      </c>
      <c r="AJ2865">
        <v>85.105022795432504</v>
      </c>
      <c r="AK2865">
        <v>28.020899453230498</v>
      </c>
    </row>
    <row r="2866" spans="1:37" x14ac:dyDescent="0.2">
      <c r="A2866" t="str">
        <f>"20200111155553171"</f>
        <v>20200111155553171</v>
      </c>
      <c r="B2866" t="str">
        <f>"1578729353164681"</f>
        <v>1578729353164681</v>
      </c>
      <c r="C2866" t="s">
        <v>37</v>
      </c>
      <c r="D2866">
        <v>4.9856049999999996</v>
      </c>
      <c r="E2866">
        <v>0.54704119999999901</v>
      </c>
      <c r="F2866" t="s">
        <v>59</v>
      </c>
      <c r="G2866">
        <v>-445.6472</v>
      </c>
      <c r="H2866" s="1">
        <v>1.3636429999999899E-6</v>
      </c>
      <c r="I2866">
        <v>287.01240000000001</v>
      </c>
      <c r="J2866">
        <v>-418.48340000000002</v>
      </c>
      <c r="K2866">
        <v>1.1048309999999999</v>
      </c>
      <c r="L2866">
        <v>284.59820000000002</v>
      </c>
      <c r="M2866">
        <v>-0.99990179999999995</v>
      </c>
      <c r="N2866">
        <v>0</v>
      </c>
      <c r="O2866">
        <v>3.3978699999999999E-3</v>
      </c>
      <c r="P2866">
        <v>-0.99890800000000002</v>
      </c>
      <c r="Q2866">
        <v>3.5181789999999998E-2</v>
      </c>
      <c r="R2866">
        <v>-3.0739450000000001E-2</v>
      </c>
      <c r="S2866">
        <v>-3.0158390000000002</v>
      </c>
      <c r="T2866">
        <v>-0.1218265</v>
      </c>
      <c r="U2866">
        <v>0.2662659</v>
      </c>
      <c r="V2866">
        <v>-3.4131740000000001E-2</v>
      </c>
      <c r="W2866">
        <v>4.8764259999999997E-2</v>
      </c>
      <c r="X2866">
        <v>0.99822690000000003</v>
      </c>
      <c r="Y2866">
        <v>8.4495920000000002E-2</v>
      </c>
      <c r="Z2866">
        <v>1.56568299999999E-3</v>
      </c>
      <c r="AA2866">
        <v>0.99642260000000005</v>
      </c>
      <c r="AB2866">
        <v>31</v>
      </c>
      <c r="AC2866">
        <v>-27.163799999999899</v>
      </c>
      <c r="AD2866">
        <v>-1.1048296363569901</v>
      </c>
      <c r="AE2866">
        <v>2.4141999999999899</v>
      </c>
      <c r="AF2866">
        <v>2.3180737727666099</v>
      </c>
      <c r="AG2866">
        <v>-1.1048296363569901</v>
      </c>
      <c r="AH2866">
        <v>27.127322505225202</v>
      </c>
      <c r="AI2866">
        <v>92.323769021055796</v>
      </c>
      <c r="AJ2866">
        <v>85.1158475059663</v>
      </c>
      <c r="AK2866">
        <v>27.248591538717399</v>
      </c>
    </row>
    <row r="2867" spans="1:37" x14ac:dyDescent="0.2">
      <c r="A2867" t="str">
        <f>"20200111155553452"</f>
        <v>20200111155553452</v>
      </c>
      <c r="B2867" t="str">
        <f>"1578729353444833"</f>
        <v>1578729353444833</v>
      </c>
      <c r="C2867" t="s">
        <v>37</v>
      </c>
      <c r="D2867">
        <v>5.2544180000000003</v>
      </c>
      <c r="E2867">
        <v>0.54689219999999905</v>
      </c>
      <c r="F2867" t="s">
        <v>59</v>
      </c>
      <c r="G2867">
        <v>-445.72230000000002</v>
      </c>
      <c r="H2867" s="1">
        <v>1.402726E-6</v>
      </c>
      <c r="I2867">
        <v>287.03179999999998</v>
      </c>
      <c r="J2867">
        <v>-422.29</v>
      </c>
      <c r="K2867">
        <v>1.104889</v>
      </c>
      <c r="L2867">
        <v>284.61110000000002</v>
      </c>
      <c r="M2867">
        <v>-0.99989409999999901</v>
      </c>
      <c r="N2867">
        <v>0</v>
      </c>
      <c r="O2867">
        <v>3.3970649999999999E-3</v>
      </c>
      <c r="P2867">
        <v>-0.99890659999999898</v>
      </c>
      <c r="Q2867">
        <v>3.524973E-2</v>
      </c>
      <c r="R2867">
        <v>-3.0708929999999999E-2</v>
      </c>
      <c r="S2867">
        <v>-3.0158689999999999</v>
      </c>
      <c r="T2867">
        <v>-0.122326</v>
      </c>
      <c r="U2867">
        <v>0.2694397</v>
      </c>
      <c r="V2867">
        <v>-3.4100220000000001E-2</v>
      </c>
      <c r="W2867">
        <v>4.93853E-2</v>
      </c>
      <c r="X2867">
        <v>0.99819749999999996</v>
      </c>
      <c r="Y2867">
        <v>8.5534780000000005E-2</v>
      </c>
      <c r="Z2867">
        <v>1.5930579999999901E-3</v>
      </c>
      <c r="AA2867">
        <v>0.99633389999999999</v>
      </c>
      <c r="AB2867">
        <v>30</v>
      </c>
      <c r="AC2867">
        <v>-23.432300000000001</v>
      </c>
      <c r="AD2867">
        <v>-1.104887597274</v>
      </c>
      <c r="AE2867">
        <v>2.4206999999999499</v>
      </c>
      <c r="AF2867">
        <v>2.3359382630944401</v>
      </c>
      <c r="AG2867">
        <v>-1.104887597274</v>
      </c>
      <c r="AH2867">
        <v>23.3889363604025</v>
      </c>
      <c r="AI2867">
        <v>92.691258669350603</v>
      </c>
      <c r="AJ2867">
        <v>84.296575036038902</v>
      </c>
      <c r="AK2867">
        <v>23.531250035698399</v>
      </c>
    </row>
    <row r="2868" spans="1:37" x14ac:dyDescent="0.2">
      <c r="A2868" t="str">
        <f>"20200111155553475"</f>
        <v>20200111155553475</v>
      </c>
      <c r="B2868" t="str">
        <f>"1578729353465328"</f>
        <v>1578729353465328</v>
      </c>
      <c r="C2868" t="s">
        <v>37</v>
      </c>
      <c r="D2868">
        <v>5.0888819999999999</v>
      </c>
      <c r="E2868">
        <v>0.52080969999999904</v>
      </c>
      <c r="F2868" t="s">
        <v>59</v>
      </c>
      <c r="G2868">
        <v>-451.79730000000001</v>
      </c>
      <c r="H2868" s="1">
        <v>-6.9516139999999998E-7</v>
      </c>
      <c r="I2868">
        <v>287.24310000000003</v>
      </c>
      <c r="J2868">
        <v>-422.58670000000001</v>
      </c>
      <c r="K2868">
        <v>1.104897</v>
      </c>
      <c r="L2868">
        <v>284.6121</v>
      </c>
      <c r="M2868">
        <v>-0.99989399999999995</v>
      </c>
      <c r="N2868">
        <v>0</v>
      </c>
      <c r="O2868">
        <v>3.3969809999999999E-3</v>
      </c>
      <c r="P2868">
        <v>-0.99890800000000002</v>
      </c>
      <c r="Q2868">
        <v>3.519009E-2</v>
      </c>
      <c r="R2868">
        <v>-3.0737110000000002E-2</v>
      </c>
      <c r="S2868">
        <v>-3.015533</v>
      </c>
      <c r="T2868">
        <v>-0.1129155</v>
      </c>
      <c r="U2868">
        <v>0.2689819</v>
      </c>
      <c r="V2868">
        <v>-3.4128859999999997E-2</v>
      </c>
      <c r="W2868">
        <v>4.933767E-2</v>
      </c>
      <c r="X2868">
        <v>0.9981989</v>
      </c>
      <c r="Y2868">
        <v>8.5404629999999995E-2</v>
      </c>
      <c r="Z2868">
        <v>1.4683389999999999E-3</v>
      </c>
      <c r="AA2868">
        <v>0.99634529999999999</v>
      </c>
      <c r="AB2868">
        <v>30</v>
      </c>
      <c r="AC2868">
        <v>-29.210599999999999</v>
      </c>
      <c r="AD2868">
        <v>-1.10489769516139</v>
      </c>
      <c r="AE2868">
        <v>2.6310000000000202</v>
      </c>
      <c r="AF2868">
        <v>2.5281589667631499</v>
      </c>
      <c r="AG2868">
        <v>-1.10489769516139</v>
      </c>
      <c r="AH2868">
        <v>29.177959417105701</v>
      </c>
      <c r="AI2868">
        <v>92.160527084623396</v>
      </c>
      <c r="AJ2868">
        <v>85.0479070991735</v>
      </c>
      <c r="AK2868">
        <v>29.308116664573699</v>
      </c>
    </row>
    <row r="2869" spans="1:37" x14ac:dyDescent="0.2">
      <c r="A2869" t="str">
        <f>"20200111155553497"</f>
        <v>20200111155553497</v>
      </c>
      <c r="B2869" t="str">
        <f>"1578729353484850"</f>
        <v>1578729353484850</v>
      </c>
      <c r="C2869" t="s">
        <v>37</v>
      </c>
      <c r="D2869">
        <v>5.0185899999999997</v>
      </c>
      <c r="E2869">
        <v>0.52166769999999996</v>
      </c>
      <c r="F2869" t="s">
        <v>48</v>
      </c>
      <c r="G2869">
        <v>0</v>
      </c>
      <c r="H2869">
        <v>0</v>
      </c>
      <c r="I2869">
        <v>0</v>
      </c>
      <c r="J2869">
        <v>-422.88389999999998</v>
      </c>
      <c r="K2869">
        <v>1.1049059999999999</v>
      </c>
      <c r="L2869">
        <v>284.61320000000001</v>
      </c>
      <c r="M2869">
        <v>-0.9998937</v>
      </c>
      <c r="N2869">
        <v>0</v>
      </c>
      <c r="O2869">
        <v>3.39703099999999E-3</v>
      </c>
      <c r="P2869">
        <v>-0.99886260000000004</v>
      </c>
      <c r="Q2869">
        <v>3.6132450000000003E-2</v>
      </c>
      <c r="R2869">
        <v>-3.111185E-2</v>
      </c>
      <c r="S2869">
        <v>-3.0039370000000001</v>
      </c>
      <c r="T2869">
        <v>4.239714E-2</v>
      </c>
      <c r="U2869">
        <v>7.0159910000000006E-2</v>
      </c>
      <c r="V2869">
        <v>-3.4503249999999999E-2</v>
      </c>
      <c r="W2869">
        <v>5.0289220000000003E-2</v>
      </c>
      <c r="X2869">
        <v>0.99813850000000004</v>
      </c>
      <c r="Y2869">
        <v>1.9951400000000001E-2</v>
      </c>
      <c r="Z2869" s="1">
        <v>-9.2828820000000003E-5</v>
      </c>
      <c r="AA2869">
        <v>0.99980089999999999</v>
      </c>
      <c r="AB2869">
        <v>30</v>
      </c>
      <c r="AC2869">
        <v>-3.0039370000000001</v>
      </c>
      <c r="AD2869">
        <v>4.239714E-2</v>
      </c>
      <c r="AE2869">
        <v>7.0159910000000006E-2</v>
      </c>
      <c r="AF2869">
        <v>5.9942078026008899E-2</v>
      </c>
      <c r="AG2869">
        <v>4.239714E-2</v>
      </c>
      <c r="AH2869">
        <v>3.0035600374543701</v>
      </c>
      <c r="AI2869">
        <v>89.191448705047506</v>
      </c>
      <c r="AJ2869">
        <v>88.856699318478704</v>
      </c>
      <c r="AK2869">
        <v>3.0044572669271199</v>
      </c>
    </row>
    <row r="2870" spans="1:37" x14ac:dyDescent="0.2">
      <c r="A2870" t="str">
        <f>"20200111155553513"</f>
        <v>20200111155553513</v>
      </c>
      <c r="B2870" t="str">
        <f>"1578729353505346"</f>
        <v>1578729353505346</v>
      </c>
      <c r="C2870" t="s">
        <v>37</v>
      </c>
      <c r="D2870">
        <v>5.0753979999999999</v>
      </c>
      <c r="E2870">
        <v>0.52210190000000001</v>
      </c>
      <c r="F2870" t="s">
        <v>48</v>
      </c>
      <c r="G2870">
        <v>0</v>
      </c>
      <c r="H2870">
        <v>0</v>
      </c>
      <c r="I2870">
        <v>0</v>
      </c>
      <c r="J2870">
        <v>-423.09300000000002</v>
      </c>
      <c r="K2870">
        <v>1.104914</v>
      </c>
      <c r="L2870">
        <v>284.61380000000003</v>
      </c>
      <c r="M2870">
        <v>-0.9998937</v>
      </c>
      <c r="N2870">
        <v>0</v>
      </c>
      <c r="O2870">
        <v>3.3969899999999999E-3</v>
      </c>
      <c r="P2870">
        <v>-0.99886249999999999</v>
      </c>
      <c r="Q2870">
        <v>3.6182369999999998E-2</v>
      </c>
      <c r="R2870">
        <v>-3.1058860000000001E-2</v>
      </c>
      <c r="S2870">
        <v>-3.0052490000000001</v>
      </c>
      <c r="T2870">
        <v>1.2584329999999999E-2</v>
      </c>
      <c r="U2870">
        <v>7.403564E-2</v>
      </c>
      <c r="V2870">
        <v>-3.445032E-2</v>
      </c>
      <c r="W2870">
        <v>5.0344939999999998E-2</v>
      </c>
      <c r="X2870">
        <v>0.99813750000000001</v>
      </c>
      <c r="Y2870">
        <v>2.1231369999999999E-2</v>
      </c>
      <c r="Z2870" s="1">
        <v>-3.022195E-5</v>
      </c>
      <c r="AA2870">
        <v>0.99977459999999996</v>
      </c>
      <c r="AB2870">
        <v>30</v>
      </c>
      <c r="AC2870">
        <v>-3.0052490000000001</v>
      </c>
      <c r="AD2870">
        <v>1.2584329999999999E-2</v>
      </c>
      <c r="AE2870">
        <v>7.403564E-2</v>
      </c>
      <c r="AF2870">
        <v>6.3824267090544201E-2</v>
      </c>
      <c r="AG2870">
        <v>1.2584329999999999E-2</v>
      </c>
      <c r="AH2870">
        <v>3.00543051300872</v>
      </c>
      <c r="AI2870">
        <v>89.760146756780401</v>
      </c>
      <c r="AJ2870">
        <v>88.783431677205996</v>
      </c>
      <c r="AK2870">
        <v>3.0061344731989399</v>
      </c>
    </row>
    <row r="2871" spans="1:37" x14ac:dyDescent="0.2">
      <c r="A2871" t="str">
        <f>"20200111155553530"</f>
        <v>20200111155553530</v>
      </c>
      <c r="B2871" t="str">
        <f>"1578729353524865"</f>
        <v>1578729353524865</v>
      </c>
      <c r="C2871" t="s">
        <v>37</v>
      </c>
      <c r="D2871">
        <v>5.0549559999999998</v>
      </c>
      <c r="E2871">
        <v>0.52261679999999999</v>
      </c>
      <c r="F2871" t="s">
        <v>39</v>
      </c>
      <c r="G2871">
        <v>-529.91199999999901</v>
      </c>
      <c r="H2871">
        <v>-0.05</v>
      </c>
      <c r="I2871">
        <v>287.2688</v>
      </c>
      <c r="J2871">
        <v>-423.334</v>
      </c>
      <c r="K2871">
        <v>1.104911</v>
      </c>
      <c r="L2871">
        <v>284.61470000000003</v>
      </c>
      <c r="M2871">
        <v>-0.9998937</v>
      </c>
      <c r="N2871">
        <v>0</v>
      </c>
      <c r="O2871">
        <v>3.3969489999999998E-3</v>
      </c>
      <c r="P2871">
        <v>-0.99886049999999904</v>
      </c>
      <c r="Q2871">
        <v>3.6356319999999998E-2</v>
      </c>
      <c r="R2871">
        <v>-3.09199E-2</v>
      </c>
      <c r="S2871">
        <v>-3.0069270000000001</v>
      </c>
      <c r="T2871">
        <v>-3.2510520000000001E-2</v>
      </c>
      <c r="U2871">
        <v>7.473755E-2</v>
      </c>
      <c r="V2871">
        <v>-3.4311019999999998E-2</v>
      </c>
      <c r="W2871">
        <v>5.0524479999999997E-2</v>
      </c>
      <c r="X2871">
        <v>0.9981333</v>
      </c>
      <c r="Y2871">
        <v>2.1450009999999999E-2</v>
      </c>
      <c r="Z2871" s="1">
        <v>7.9212210000000001E-5</v>
      </c>
      <c r="AA2871">
        <v>0.99976989999999999</v>
      </c>
      <c r="AB2871">
        <v>30</v>
      </c>
      <c r="AC2871">
        <v>-106.57799999999899</v>
      </c>
      <c r="AD2871">
        <v>-1.154911</v>
      </c>
      <c r="AE2871">
        <v>2.6540999999999699</v>
      </c>
      <c r="AF2871">
        <v>2.2917393121847001</v>
      </c>
      <c r="AG2871">
        <v>-1.154911</v>
      </c>
      <c r="AH2871">
        <v>106.573894985625</v>
      </c>
      <c r="AI2871">
        <v>90.620730281002395</v>
      </c>
      <c r="AJ2871">
        <v>88.768115243697807</v>
      </c>
      <c r="AK2871">
        <v>106.604788733433</v>
      </c>
    </row>
    <row r="2872" spans="1:37" x14ac:dyDescent="0.2">
      <c r="A2872" t="str">
        <f>"20200111155553544"</f>
        <v>20200111155553544</v>
      </c>
      <c r="B2872" t="str">
        <f>"1578729353535602"</f>
        <v>1578729353535602</v>
      </c>
      <c r="C2872" t="s">
        <v>37</v>
      </c>
      <c r="D2872">
        <v>5.015936</v>
      </c>
      <c r="E2872">
        <v>0.52285090000000001</v>
      </c>
      <c r="F2872" t="s">
        <v>56</v>
      </c>
      <c r="G2872">
        <v>-480.56630000000001</v>
      </c>
      <c r="H2872" s="1">
        <v>2.4353499999999999E-6</v>
      </c>
      <c r="I2872">
        <v>286.09359999999998</v>
      </c>
      <c r="J2872">
        <v>-423.51679999999999</v>
      </c>
      <c r="K2872">
        <v>1.10491299999999</v>
      </c>
      <c r="L2872">
        <v>284.61529999999999</v>
      </c>
      <c r="M2872">
        <v>-0.99989349999999999</v>
      </c>
      <c r="N2872">
        <v>0</v>
      </c>
      <c r="O2872">
        <v>3.3969220000000001E-3</v>
      </c>
      <c r="P2872">
        <v>-0.99886070000000005</v>
      </c>
      <c r="Q2872">
        <v>3.6206879999999997E-2</v>
      </c>
      <c r="R2872">
        <v>-3.108727E-2</v>
      </c>
      <c r="S2872">
        <v>-3.0079349999999998</v>
      </c>
      <c r="T2872">
        <v>-5.8070179999999999E-2</v>
      </c>
      <c r="U2872">
        <v>7.7728270000000002E-2</v>
      </c>
      <c r="V2872">
        <v>-3.4478340000000003E-2</v>
      </c>
      <c r="W2872">
        <v>5.0378270000000003E-2</v>
      </c>
      <c r="X2872">
        <v>0.99813490000000005</v>
      </c>
      <c r="Y2872">
        <v>2.2432629999999999E-2</v>
      </c>
      <c r="Z2872">
        <v>1.5091360000000001E-4</v>
      </c>
      <c r="AA2872">
        <v>0.99974830000000003</v>
      </c>
      <c r="AB2872">
        <v>30</v>
      </c>
      <c r="AC2872">
        <v>-57.049500000000002</v>
      </c>
      <c r="AD2872">
        <v>-1.1049105646499899</v>
      </c>
      <c r="AE2872">
        <v>1.47829999999999</v>
      </c>
      <c r="AF2872">
        <v>1.28399793649816</v>
      </c>
      <c r="AG2872">
        <v>-1.1049105646499899</v>
      </c>
      <c r="AH2872">
        <v>57.032814132985997</v>
      </c>
      <c r="AI2872">
        <v>91.109585127728295</v>
      </c>
      <c r="AJ2872">
        <v>88.710299705241297</v>
      </c>
      <c r="AK2872">
        <v>57.0579649653274</v>
      </c>
    </row>
    <row r="2873" spans="1:37" x14ac:dyDescent="0.2">
      <c r="A2873" t="str">
        <f>"20200111155553563"</f>
        <v>20200111155553563</v>
      </c>
      <c r="B2873" t="str">
        <f>"1578729353555120"</f>
        <v>1578729353555120</v>
      </c>
      <c r="C2873" t="s">
        <v>37</v>
      </c>
      <c r="D2873">
        <v>5.0187029999999897</v>
      </c>
      <c r="E2873">
        <v>0.52269259999999995</v>
      </c>
      <c r="F2873" t="s">
        <v>56</v>
      </c>
      <c r="G2873">
        <v>-473.2045</v>
      </c>
      <c r="H2873" s="1">
        <v>5.3063149999999997E-6</v>
      </c>
      <c r="I2873">
        <v>285.9117</v>
      </c>
      <c r="J2873">
        <v>-423.77620000000002</v>
      </c>
      <c r="K2873">
        <v>1.1049199999999999</v>
      </c>
      <c r="L2873">
        <v>284.61619999999999</v>
      </c>
      <c r="M2873">
        <v>-0.99989340000000004</v>
      </c>
      <c r="N2873">
        <v>0</v>
      </c>
      <c r="O2873">
        <v>3.396891E-3</v>
      </c>
      <c r="P2873">
        <v>-0.99885740000000001</v>
      </c>
      <c r="Q2873">
        <v>3.6527820000000003E-2</v>
      </c>
      <c r="R2873">
        <v>-3.0818669999999999E-2</v>
      </c>
      <c r="S2873">
        <v>-3.0083009999999999</v>
      </c>
      <c r="T2873">
        <v>-6.6895839999999998E-2</v>
      </c>
      <c r="U2873">
        <v>7.8491210000000006E-2</v>
      </c>
      <c r="V2873">
        <v>-3.420981E-2</v>
      </c>
      <c r="W2873">
        <v>5.0704010000000001E-2</v>
      </c>
      <c r="X2873">
        <v>0.9981276</v>
      </c>
      <c r="Y2873">
        <v>2.2681679999999999E-2</v>
      </c>
      <c r="Z2873">
        <v>1.76591699999999E-4</v>
      </c>
      <c r="AA2873">
        <v>0.99974269999999998</v>
      </c>
      <c r="AB2873">
        <v>30</v>
      </c>
      <c r="AC2873">
        <v>-49.428299999999901</v>
      </c>
      <c r="AD2873">
        <v>-1.1049146936849901</v>
      </c>
      <c r="AE2873">
        <v>1.2955000000000001</v>
      </c>
      <c r="AF2873">
        <v>1.12701026915268</v>
      </c>
      <c r="AG2873">
        <v>-1.1049146936849901</v>
      </c>
      <c r="AH2873">
        <v>49.407743964906899</v>
      </c>
      <c r="AI2873">
        <v>91.280769736288605</v>
      </c>
      <c r="AJ2873">
        <v>88.693287108469505</v>
      </c>
      <c r="AK2873">
        <v>49.4329460211395</v>
      </c>
    </row>
    <row r="2874" spans="1:37" x14ac:dyDescent="0.2">
      <c r="A2874" t="str">
        <f>"20200111155553586"</f>
        <v>20200111155553586</v>
      </c>
      <c r="B2874" t="str">
        <f>"1578729353574641"</f>
        <v>1578729353574641</v>
      </c>
      <c r="C2874" t="s">
        <v>37</v>
      </c>
      <c r="D2874">
        <v>5.0499890000000001</v>
      </c>
      <c r="E2874">
        <v>0.52270509999999903</v>
      </c>
      <c r="F2874" t="s">
        <v>59</v>
      </c>
      <c r="G2874">
        <v>-465.00830000000002</v>
      </c>
      <c r="H2874" s="1">
        <v>1.082122E-6</v>
      </c>
      <c r="I2874">
        <v>285.67469999999997</v>
      </c>
      <c r="J2874">
        <v>-424.0795</v>
      </c>
      <c r="K2874">
        <v>1.1049260000000001</v>
      </c>
      <c r="L2874">
        <v>284.61720000000003</v>
      </c>
      <c r="M2874">
        <v>-0.99989340000000004</v>
      </c>
      <c r="N2874">
        <v>0</v>
      </c>
      <c r="O2874">
        <v>3.3968620000000001E-3</v>
      </c>
      <c r="P2874">
        <v>-0.99885659999999898</v>
      </c>
      <c r="Q2874">
        <v>3.6744859999999997E-2</v>
      </c>
      <c r="R2874">
        <v>-3.058423E-2</v>
      </c>
      <c r="S2874">
        <v>-3.008759</v>
      </c>
      <c r="T2874">
        <v>-8.0627199999999996E-2</v>
      </c>
      <c r="U2874">
        <v>7.7239989999999994E-2</v>
      </c>
      <c r="V2874">
        <v>-3.3975270000000002E-2</v>
      </c>
      <c r="W2874">
        <v>5.0924980000000002E-2</v>
      </c>
      <c r="X2874">
        <v>0.99812440000000002</v>
      </c>
      <c r="Y2874">
        <v>2.226026E-2</v>
      </c>
      <c r="Z2874">
        <v>2.071528E-4</v>
      </c>
      <c r="AA2874">
        <v>0.99975219999999898</v>
      </c>
      <c r="AB2874">
        <v>30</v>
      </c>
      <c r="AC2874">
        <v>-40.928800000000003</v>
      </c>
      <c r="AD2874">
        <v>-1.1049249178780001</v>
      </c>
      <c r="AE2874">
        <v>1.0574999999999399</v>
      </c>
      <c r="AF2874">
        <v>0.91778196053816397</v>
      </c>
      <c r="AG2874">
        <v>-1.1049249178780001</v>
      </c>
      <c r="AH2874">
        <v>40.902366664129403</v>
      </c>
      <c r="AI2874">
        <v>91.547006386215202</v>
      </c>
      <c r="AJ2874">
        <v>88.714592464065504</v>
      </c>
      <c r="AK2874">
        <v>40.927579717448701</v>
      </c>
    </row>
    <row r="2875" spans="1:37" x14ac:dyDescent="0.2">
      <c r="A2875" t="str">
        <f>"20200111155553600"</f>
        <v>20200111155553600</v>
      </c>
      <c r="B2875" t="str">
        <f>"1578729353594899"</f>
        <v>1578729353594899</v>
      </c>
      <c r="C2875" t="s">
        <v>37</v>
      </c>
      <c r="D2875">
        <v>5.0599230000000004</v>
      </c>
      <c r="E2875">
        <v>0.52305760000000001</v>
      </c>
      <c r="F2875" t="s">
        <v>59</v>
      </c>
      <c r="G2875">
        <v>-460.49009999999998</v>
      </c>
      <c r="H2875" s="1">
        <v>-1.3169919999999901E-6</v>
      </c>
      <c r="I2875">
        <v>285.55439999999999</v>
      </c>
      <c r="J2875">
        <v>-424.26459999999997</v>
      </c>
      <c r="K2875">
        <v>1.1049279999999999</v>
      </c>
      <c r="L2875">
        <v>284.61790000000002</v>
      </c>
      <c r="M2875">
        <v>-0.99989349999999999</v>
      </c>
      <c r="N2875">
        <v>0</v>
      </c>
      <c r="O2875">
        <v>3.3968480000000001E-3</v>
      </c>
      <c r="P2875">
        <v>-0.99886569999999997</v>
      </c>
      <c r="Q2875">
        <v>3.6418300000000001E-2</v>
      </c>
      <c r="R2875">
        <v>-3.068369E-2</v>
      </c>
      <c r="S2875">
        <v>-3.0091549999999998</v>
      </c>
      <c r="T2875">
        <v>-9.1316820000000007E-2</v>
      </c>
      <c r="U2875">
        <v>7.7453610000000006E-2</v>
      </c>
      <c r="V2875">
        <v>-3.407483E-2</v>
      </c>
      <c r="W2875">
        <v>5.060067E-2</v>
      </c>
      <c r="X2875">
        <v>0.99813750000000001</v>
      </c>
      <c r="Y2875">
        <v>2.2325879999999999E-2</v>
      </c>
      <c r="Z2875">
        <v>2.3557E-4</v>
      </c>
      <c r="AA2875">
        <v>0.99975069999999999</v>
      </c>
      <c r="AB2875">
        <v>30</v>
      </c>
      <c r="AC2875">
        <v>-36.225499999999997</v>
      </c>
      <c r="AD2875">
        <v>-1.104929316992</v>
      </c>
      <c r="AE2875">
        <v>0.93649999999996603</v>
      </c>
      <c r="AF2875">
        <v>0.81267412667098704</v>
      </c>
      <c r="AG2875">
        <v>-1.104929316992</v>
      </c>
      <c r="AH2875">
        <v>36.194821544502503</v>
      </c>
      <c r="AI2875">
        <v>91.748100758382805</v>
      </c>
      <c r="AJ2875">
        <v>88.7137669579419</v>
      </c>
      <c r="AK2875">
        <v>36.220800856277201</v>
      </c>
    </row>
    <row r="2876" spans="1:37" x14ac:dyDescent="0.2">
      <c r="A2876" t="str">
        <f>"20200111155553620"</f>
        <v>20200111155553620</v>
      </c>
      <c r="B2876" t="str">
        <f>"1578729353615394"</f>
        <v>1578729353615394</v>
      </c>
      <c r="C2876" t="s">
        <v>37</v>
      </c>
      <c r="D2876">
        <v>5.0573300000000003</v>
      </c>
      <c r="E2876">
        <v>0.52310109999999999</v>
      </c>
      <c r="F2876" t="s">
        <v>59</v>
      </c>
      <c r="G2876">
        <v>-461.55059999999997</v>
      </c>
      <c r="H2876" s="1">
        <v>-7.5505580000000005E-7</v>
      </c>
      <c r="I2876">
        <v>285.60969999999998</v>
      </c>
      <c r="J2876">
        <v>-424.52120000000002</v>
      </c>
      <c r="K2876">
        <v>1.1049290000000001</v>
      </c>
      <c r="L2876">
        <v>284.61869999999999</v>
      </c>
      <c r="M2876">
        <v>-0.99989349999999999</v>
      </c>
      <c r="N2876">
        <v>0</v>
      </c>
      <c r="O2876">
        <v>3.3968340000000001E-3</v>
      </c>
      <c r="P2876">
        <v>-0.99886450000000004</v>
      </c>
      <c r="Q2876">
        <v>3.6458709999999998E-2</v>
      </c>
      <c r="R2876">
        <v>-3.067222E-2</v>
      </c>
      <c r="S2876">
        <v>-3.009125</v>
      </c>
      <c r="T2876">
        <v>-8.9171890000000004E-2</v>
      </c>
      <c r="U2876">
        <v>8.0047610000000005E-2</v>
      </c>
      <c r="V2876">
        <v>-3.4063330000000003E-2</v>
      </c>
      <c r="W2876">
        <v>5.0643059999999997E-2</v>
      </c>
      <c r="X2876">
        <v>0.99813569999999996</v>
      </c>
      <c r="Y2876">
        <v>2.3187409999999999E-2</v>
      </c>
      <c r="Z2876">
        <v>2.4279950000000001E-4</v>
      </c>
      <c r="AA2876">
        <v>0.99973109999999998</v>
      </c>
      <c r="AB2876">
        <v>30</v>
      </c>
      <c r="AC2876">
        <v>-37.029399999999903</v>
      </c>
      <c r="AD2876">
        <v>-1.1049297550557999</v>
      </c>
      <c r="AE2876">
        <v>0.990999999999985</v>
      </c>
      <c r="AF2876">
        <v>0.864429764051454</v>
      </c>
      <c r="AG2876">
        <v>-1.1049297550557999</v>
      </c>
      <c r="AH2876">
        <v>36.999632727076801</v>
      </c>
      <c r="AI2876">
        <v>91.710064179907505</v>
      </c>
      <c r="AJ2876">
        <v>88.661630805632996</v>
      </c>
      <c r="AK2876">
        <v>37.0262195007694</v>
      </c>
    </row>
    <row r="2877" spans="1:37" x14ac:dyDescent="0.2">
      <c r="A2877" t="str">
        <f>"20200111155553641"</f>
        <v>20200111155553641</v>
      </c>
      <c r="B2877" t="str">
        <f>"1578729353634915"</f>
        <v>1578729353634915</v>
      </c>
      <c r="C2877" t="s">
        <v>37</v>
      </c>
      <c r="D2877">
        <v>5.1113989999999996</v>
      </c>
      <c r="E2877">
        <v>0.52355030000000002</v>
      </c>
      <c r="F2877" t="s">
        <v>59</v>
      </c>
      <c r="G2877">
        <v>-461.20519999999999</v>
      </c>
      <c r="H2877" s="1">
        <v>-9.3835880000000003E-7</v>
      </c>
      <c r="I2877">
        <v>285.59859999999998</v>
      </c>
      <c r="J2877">
        <v>-424.8141</v>
      </c>
      <c r="K2877">
        <v>1.104927</v>
      </c>
      <c r="L2877">
        <v>284.6198</v>
      </c>
      <c r="M2877">
        <v>-0.99989349999999999</v>
      </c>
      <c r="N2877">
        <v>0</v>
      </c>
      <c r="O2877">
        <v>3.396703E-3</v>
      </c>
      <c r="P2877">
        <v>-0.9988667</v>
      </c>
      <c r="Q2877">
        <v>3.6517460000000002E-2</v>
      </c>
      <c r="R2877">
        <v>-3.05312999999999E-2</v>
      </c>
      <c r="S2877">
        <v>-3.0091860000000001</v>
      </c>
      <c r="T2877">
        <v>-9.0637330000000002E-2</v>
      </c>
      <c r="U2877">
        <v>8.0383300000000005E-2</v>
      </c>
      <c r="V2877">
        <v>-3.3922340000000002E-2</v>
      </c>
      <c r="W2877">
        <v>5.0703529999999997E-2</v>
      </c>
      <c r="X2877">
        <v>0.99813750000000001</v>
      </c>
      <c r="Y2877">
        <v>2.329811E-2</v>
      </c>
      <c r="Z2877">
        <v>2.4845299999999999E-4</v>
      </c>
      <c r="AA2877">
        <v>0.99972859999999997</v>
      </c>
      <c r="AB2877">
        <v>30</v>
      </c>
      <c r="AC2877">
        <v>-36.391100000000002</v>
      </c>
      <c r="AD2877">
        <v>-1.1049279383588</v>
      </c>
      <c r="AE2877">
        <v>0.97879999999997802</v>
      </c>
      <c r="AF2877">
        <v>0.854385064445078</v>
      </c>
      <c r="AG2877">
        <v>-1.1049279383588</v>
      </c>
      <c r="AH2877">
        <v>36.360718821729698</v>
      </c>
      <c r="AI2877">
        <v>91.740086003135801</v>
      </c>
      <c r="AJ2877">
        <v>88.653941577355297</v>
      </c>
      <c r="AK2877">
        <v>36.387535129769397</v>
      </c>
    </row>
    <row r="2878" spans="1:37" x14ac:dyDescent="0.2">
      <c r="A2878" t="str">
        <f>"20200111155553664"</f>
        <v>20200111155553664</v>
      </c>
      <c r="B2878" t="str">
        <f>"1578729353655411"</f>
        <v>1578729353655411</v>
      </c>
      <c r="C2878" t="s">
        <v>37</v>
      </c>
      <c r="D2878">
        <v>5.1017710000000003</v>
      </c>
      <c r="E2878">
        <v>0.52370430000000001</v>
      </c>
      <c r="F2878" t="s">
        <v>59</v>
      </c>
      <c r="G2878">
        <v>-460.8109</v>
      </c>
      <c r="H2878" s="1">
        <v>-1.1494829999999999E-6</v>
      </c>
      <c r="I2878">
        <v>285.62830000000002</v>
      </c>
      <c r="J2878">
        <v>-425.10829999999999</v>
      </c>
      <c r="K2878">
        <v>1.104922</v>
      </c>
      <c r="L2878">
        <v>284.62079999999997</v>
      </c>
      <c r="M2878">
        <v>-0.99989340000000004</v>
      </c>
      <c r="N2878">
        <v>0</v>
      </c>
      <c r="O2878">
        <v>3.3965179999999998E-3</v>
      </c>
      <c r="P2878">
        <v>-0.99886949999999997</v>
      </c>
      <c r="Q2878">
        <v>3.6112989999999998E-2</v>
      </c>
      <c r="R2878">
        <v>-3.09152E-2</v>
      </c>
      <c r="S2878">
        <v>-3.00943</v>
      </c>
      <c r="T2878">
        <v>-9.2375040000000005E-2</v>
      </c>
      <c r="U2878">
        <v>8.4320069999999997E-2</v>
      </c>
      <c r="V2878">
        <v>-3.4306179999999999E-2</v>
      </c>
      <c r="W2878">
        <v>5.0299699999999899E-2</v>
      </c>
      <c r="X2878">
        <v>0.99814480000000005</v>
      </c>
      <c r="Y2878">
        <v>2.4601959999999999E-2</v>
      </c>
      <c r="Z2878">
        <v>2.7319719999999999E-4</v>
      </c>
      <c r="AA2878">
        <v>0.99969730000000001</v>
      </c>
      <c r="AB2878">
        <v>30</v>
      </c>
      <c r="AC2878">
        <v>-35.702599999999997</v>
      </c>
      <c r="AD2878">
        <v>-1.1049231494830001</v>
      </c>
      <c r="AE2878">
        <v>1.00750000000005</v>
      </c>
      <c r="AF2878">
        <v>0.88537012284359495</v>
      </c>
      <c r="AG2878">
        <v>-1.1049231494830001</v>
      </c>
      <c r="AH2878">
        <v>35.671678024533399</v>
      </c>
      <c r="AI2878">
        <v>91.773612282444006</v>
      </c>
      <c r="AJ2878">
        <v>88.578212146621993</v>
      </c>
      <c r="AK2878">
        <v>35.699766785045902</v>
      </c>
    </row>
    <row r="2879" spans="1:37" x14ac:dyDescent="0.2">
      <c r="A2879" t="str">
        <f>"20200111155553686"</f>
        <v>20200111155553686</v>
      </c>
      <c r="B2879" t="str">
        <f>"1578729353674931"</f>
        <v>1578729353674931</v>
      </c>
      <c r="C2879" t="s">
        <v>37</v>
      </c>
      <c r="D2879">
        <v>5.067043</v>
      </c>
      <c r="E2879">
        <v>0.52380609999999905</v>
      </c>
      <c r="F2879" t="s">
        <v>59</v>
      </c>
      <c r="G2879">
        <v>-459.84449999999998</v>
      </c>
      <c r="H2879" s="1">
        <v>3.6592469999999999E-6</v>
      </c>
      <c r="I2879">
        <v>285.59399999999999</v>
      </c>
      <c r="J2879">
        <v>-425.40539999999999</v>
      </c>
      <c r="K2879">
        <v>1.10493</v>
      </c>
      <c r="L2879">
        <v>284.62169999999998</v>
      </c>
      <c r="M2879">
        <v>-0.99989340000000004</v>
      </c>
      <c r="N2879">
        <v>0</v>
      </c>
      <c r="O2879">
        <v>3.3965150000000001E-3</v>
      </c>
      <c r="P2879">
        <v>-0.99890639999999997</v>
      </c>
      <c r="Q2879">
        <v>3.500665E-2</v>
      </c>
      <c r="R2879">
        <v>-3.1001629999999999E-2</v>
      </c>
      <c r="S2879">
        <v>-3.0094599999999998</v>
      </c>
      <c r="T2879">
        <v>-9.5727320000000005E-2</v>
      </c>
      <c r="U2879">
        <v>8.4320069999999997E-2</v>
      </c>
      <c r="V2879">
        <v>-3.4392789999999999E-2</v>
      </c>
      <c r="W2879">
        <v>4.9194799999999997E-2</v>
      </c>
      <c r="X2879">
        <v>0.99819690000000005</v>
      </c>
      <c r="Y2879">
        <v>2.4600940000000002E-2</v>
      </c>
      <c r="Z2879">
        <v>2.830876E-4</v>
      </c>
      <c r="AA2879">
        <v>0.99969730000000001</v>
      </c>
      <c r="AB2879">
        <v>30</v>
      </c>
      <c r="AC2879">
        <v>-34.439100000000003</v>
      </c>
      <c r="AD2879">
        <v>-1.1049263407529999</v>
      </c>
      <c r="AE2879">
        <v>0.97230000000001804</v>
      </c>
      <c r="AF2879">
        <v>0.85443086708546201</v>
      </c>
      <c r="AG2879">
        <v>-1.1049263407529999</v>
      </c>
      <c r="AH2879">
        <v>34.406815625365198</v>
      </c>
      <c r="AI2879">
        <v>91.838774505729802</v>
      </c>
      <c r="AJ2879">
        <v>88.577455598913104</v>
      </c>
      <c r="AK2879">
        <v>34.435154650487497</v>
      </c>
    </row>
    <row r="2880" spans="1:37" x14ac:dyDescent="0.2">
      <c r="A2880" t="str">
        <f>"20200111155553709"</f>
        <v>20200111155553709</v>
      </c>
      <c r="B2880" t="str">
        <f>"1578729353705191"</f>
        <v>1578729353705191</v>
      </c>
      <c r="C2880" t="s">
        <v>37</v>
      </c>
      <c r="D2880">
        <v>5.1843909999999997</v>
      </c>
      <c r="E2880">
        <v>0.52414490000000002</v>
      </c>
      <c r="F2880" t="s">
        <v>59</v>
      </c>
      <c r="G2880">
        <v>-458.43900000000002</v>
      </c>
      <c r="H2880" s="1">
        <v>2.913149E-6</v>
      </c>
      <c r="I2880">
        <v>285.55200000000002</v>
      </c>
      <c r="J2880">
        <v>-425.70249999999999</v>
      </c>
      <c r="K2880">
        <v>1.1049340000000001</v>
      </c>
      <c r="L2880">
        <v>284.62270000000001</v>
      </c>
      <c r="M2880">
        <v>-0.99989340000000004</v>
      </c>
      <c r="N2880">
        <v>0</v>
      </c>
      <c r="O2880">
        <v>3.3965150000000001E-3</v>
      </c>
      <c r="P2880">
        <v>-0.99891790000000003</v>
      </c>
      <c r="Q2880">
        <v>3.4141949999999997E-2</v>
      </c>
      <c r="R2880">
        <v>-3.1584849999999998E-2</v>
      </c>
      <c r="S2880">
        <v>-3.0094599999999998</v>
      </c>
      <c r="T2880">
        <v>-0.1006621</v>
      </c>
      <c r="U2880">
        <v>8.4747310000000006E-2</v>
      </c>
      <c r="V2880">
        <v>-3.4976390000000003E-2</v>
      </c>
      <c r="W2880">
        <v>4.8330369999999997E-2</v>
      </c>
      <c r="X2880">
        <v>0.99821879999999996</v>
      </c>
      <c r="Y2880">
        <v>2.4741539999999999E-2</v>
      </c>
      <c r="Z2880">
        <v>3.0002270000000002E-4</v>
      </c>
      <c r="AA2880">
        <v>0.99969379999999997</v>
      </c>
      <c r="AB2880">
        <v>30</v>
      </c>
      <c r="AC2880">
        <v>-32.736499999999999</v>
      </c>
      <c r="AD2880">
        <v>-1.1049310868510001</v>
      </c>
      <c r="AE2880">
        <v>0.92930000000001201</v>
      </c>
      <c r="AF2880">
        <v>0.81716323722421402</v>
      </c>
      <c r="AG2880">
        <v>-1.1049310868510001</v>
      </c>
      <c r="AH2880">
        <v>32.702242926188603</v>
      </c>
      <c r="AI2880">
        <v>91.934548672627997</v>
      </c>
      <c r="AJ2880">
        <v>88.568591652111394</v>
      </c>
      <c r="AK2880">
        <v>32.731106319011197</v>
      </c>
    </row>
    <row r="2881" spans="1:37" x14ac:dyDescent="0.2">
      <c r="A2881" t="str">
        <f>"20200111155553730"</f>
        <v>20200111155553730</v>
      </c>
      <c r="B2881" t="str">
        <f>"1578729353724710"</f>
        <v>1578729353724710</v>
      </c>
      <c r="C2881" t="s">
        <v>37</v>
      </c>
      <c r="D2881">
        <v>5.0898529999999997</v>
      </c>
      <c r="E2881">
        <v>0.52410630000000002</v>
      </c>
      <c r="F2881" t="s">
        <v>59</v>
      </c>
      <c r="G2881">
        <v>-457.0754</v>
      </c>
      <c r="H2881" s="1">
        <v>2.189109E-6</v>
      </c>
      <c r="I2881">
        <v>285.51479999999998</v>
      </c>
      <c r="J2881">
        <v>-425.99509999999998</v>
      </c>
      <c r="K2881">
        <v>1.1049329999999999</v>
      </c>
      <c r="L2881">
        <v>284.62369999999999</v>
      </c>
      <c r="M2881">
        <v>-0.99989340000000004</v>
      </c>
      <c r="N2881">
        <v>0</v>
      </c>
      <c r="O2881">
        <v>3.3965190000000002E-3</v>
      </c>
      <c r="P2881">
        <v>-0.99890400000000001</v>
      </c>
      <c r="Q2881">
        <v>3.3840820000000001E-2</v>
      </c>
      <c r="R2881">
        <v>-3.2337400000000002E-2</v>
      </c>
      <c r="S2881">
        <v>-3.0095830000000001</v>
      </c>
      <c r="T2881">
        <v>-0.10599549999999899</v>
      </c>
      <c r="U2881">
        <v>8.5571289999999994E-2</v>
      </c>
      <c r="V2881">
        <v>-3.572848E-2</v>
      </c>
      <c r="W2881">
        <v>4.8028410000000001E-2</v>
      </c>
      <c r="X2881">
        <v>0.99820679999999995</v>
      </c>
      <c r="Y2881">
        <v>2.5012409999999999E-2</v>
      </c>
      <c r="Z2881">
        <v>3.2066259999999997E-4</v>
      </c>
      <c r="AA2881">
        <v>0.99968709999999905</v>
      </c>
      <c r="AB2881">
        <v>30</v>
      </c>
      <c r="AC2881">
        <v>-31.080300000000001</v>
      </c>
      <c r="AD2881">
        <v>-1.1049308108910001</v>
      </c>
      <c r="AE2881">
        <v>0.89109999999999401</v>
      </c>
      <c r="AF2881">
        <v>0.78452866233461604</v>
      </c>
      <c r="AG2881">
        <v>-1.1049308108910001</v>
      </c>
      <c r="AH2881">
        <v>31.043944584240101</v>
      </c>
      <c r="AI2881">
        <v>92.037788024592004</v>
      </c>
      <c r="AJ2881">
        <v>88.552354851766793</v>
      </c>
      <c r="AK2881">
        <v>31.073507247625699</v>
      </c>
    </row>
    <row r="2882" spans="1:37" x14ac:dyDescent="0.2">
      <c r="A2882" t="str">
        <f>"20200111155553753"</f>
        <v>20200111155553753</v>
      </c>
      <c r="B2882" t="str">
        <f>"1578729353745205"</f>
        <v>1578729353745205</v>
      </c>
      <c r="C2882" t="s">
        <v>37</v>
      </c>
      <c r="D2882">
        <v>5.0990349999999998</v>
      </c>
      <c r="E2882">
        <v>0.52429159999999997</v>
      </c>
      <c r="F2882" t="s">
        <v>59</v>
      </c>
      <c r="G2882">
        <v>-456.85739999999998</v>
      </c>
      <c r="H2882" s="1">
        <v>2.0747600000000002E-6</v>
      </c>
      <c r="I2882">
        <v>285.47649999999999</v>
      </c>
      <c r="J2882">
        <v>-426.29180000000002</v>
      </c>
      <c r="K2882">
        <v>1.1049420000000001</v>
      </c>
      <c r="L2882">
        <v>284.62470000000002</v>
      </c>
      <c r="M2882">
        <v>-0.99989340000000004</v>
      </c>
      <c r="N2882">
        <v>0</v>
      </c>
      <c r="O2882">
        <v>3.3965250000000001E-3</v>
      </c>
      <c r="P2882">
        <v>-0.99885809999999997</v>
      </c>
      <c r="Q2882">
        <v>3.4533689999999999E-2</v>
      </c>
      <c r="R2882">
        <v>-3.3016080000000003E-2</v>
      </c>
      <c r="S2882">
        <v>-3.009674</v>
      </c>
      <c r="T2882">
        <v>-0.107752399999999</v>
      </c>
      <c r="U2882">
        <v>8.3160399999999995E-2</v>
      </c>
      <c r="V2882">
        <v>-3.6406960000000002E-2</v>
      </c>
      <c r="W2882">
        <v>4.8719970000000001E-2</v>
      </c>
      <c r="X2882">
        <v>0.998148699999999</v>
      </c>
      <c r="Y2882">
        <v>2.4211429999999999E-2</v>
      </c>
      <c r="Z2882">
        <v>3.1163669999999998E-4</v>
      </c>
      <c r="AA2882">
        <v>0.99970680000000001</v>
      </c>
      <c r="AB2882">
        <v>30</v>
      </c>
      <c r="AC2882">
        <v>-30.5655999999999</v>
      </c>
      <c r="AD2882">
        <v>-1.1049399252399901</v>
      </c>
      <c r="AE2882">
        <v>0.85179999999996803</v>
      </c>
      <c r="AF2882">
        <v>0.74699237467670798</v>
      </c>
      <c r="AG2882">
        <v>-1.1049399252399901</v>
      </c>
      <c r="AH2882">
        <v>30.528453267395701</v>
      </c>
      <c r="AI2882">
        <v>92.0722259451844</v>
      </c>
      <c r="AJ2882">
        <v>88.598324930874796</v>
      </c>
      <c r="AK2882">
        <v>30.557574326928801</v>
      </c>
    </row>
    <row r="2883" spans="1:37" x14ac:dyDescent="0.2">
      <c r="A2883" t="str">
        <f>"20200111155553775"</f>
        <v>20200111155553775</v>
      </c>
      <c r="B2883" t="str">
        <f>"1578729353764726"</f>
        <v>1578729353764726</v>
      </c>
      <c r="C2883" t="s">
        <v>37</v>
      </c>
      <c r="D2883">
        <v>5.1073510000000004</v>
      </c>
      <c r="E2883">
        <v>0.52433289999999999</v>
      </c>
      <c r="F2883" t="s">
        <v>59</v>
      </c>
      <c r="G2883">
        <v>-457.27870000000001</v>
      </c>
      <c r="H2883" s="1">
        <v>2.2991269999999998E-6</v>
      </c>
      <c r="I2883">
        <v>285.47359999999998</v>
      </c>
      <c r="J2883">
        <v>-426.5838</v>
      </c>
      <c r="K2883">
        <v>1.104946</v>
      </c>
      <c r="L2883">
        <v>284.62569999999999</v>
      </c>
      <c r="M2883">
        <v>-0.99989340000000004</v>
      </c>
      <c r="N2883">
        <v>0</v>
      </c>
      <c r="O2883">
        <v>3.3965329999999902E-3</v>
      </c>
      <c r="P2883">
        <v>-0.99882660000000001</v>
      </c>
      <c r="Q2883">
        <v>3.5125699999999899E-2</v>
      </c>
      <c r="R2883">
        <v>-3.3342219999999999E-2</v>
      </c>
      <c r="S2883">
        <v>-3.0098569999999998</v>
      </c>
      <c r="T2883">
        <v>-0.10732609999999999</v>
      </c>
      <c r="U2883">
        <v>8.2458500000000004E-2</v>
      </c>
      <c r="V2883">
        <v>-3.6733349999999998E-2</v>
      </c>
      <c r="W2883">
        <v>4.9309579999999999E-2</v>
      </c>
      <c r="X2883">
        <v>0.99810789999999905</v>
      </c>
      <c r="Y2883">
        <v>2.3977040000000002E-2</v>
      </c>
      <c r="Z2883">
        <v>3.0620970000000002E-4</v>
      </c>
      <c r="AA2883">
        <v>0.9997125</v>
      </c>
      <c r="AB2883">
        <v>30</v>
      </c>
      <c r="AC2883">
        <v>-30.694900000000001</v>
      </c>
      <c r="AD2883">
        <v>-1.1049437008730001</v>
      </c>
      <c r="AE2883">
        <v>0.847899999999981</v>
      </c>
      <c r="AF2883">
        <v>0.74266671836206499</v>
      </c>
      <c r="AG2883">
        <v>-1.1049437008730001</v>
      </c>
      <c r="AH2883">
        <v>30.657905992493301</v>
      </c>
      <c r="AI2883">
        <v>92.063502876510796</v>
      </c>
      <c r="AJ2883">
        <v>88.6123204848287</v>
      </c>
      <c r="AK2883">
        <v>30.686799348925501</v>
      </c>
    </row>
    <row r="2884" spans="1:37" x14ac:dyDescent="0.2">
      <c r="A2884" t="str">
        <f>"20200111155553797"</f>
        <v>20200111155553797</v>
      </c>
      <c r="B2884" t="str">
        <f>"1578729353794982"</f>
        <v>1578729353794982</v>
      </c>
      <c r="C2884" t="s">
        <v>37</v>
      </c>
      <c r="D2884">
        <v>5.0485769999999999</v>
      </c>
      <c r="E2884">
        <v>0.52074209999999999</v>
      </c>
      <c r="F2884" t="s">
        <v>59</v>
      </c>
      <c r="G2884">
        <v>-457.6377</v>
      </c>
      <c r="H2884" s="1">
        <v>2.490411E-6</v>
      </c>
      <c r="I2884">
        <v>285.46789999999999</v>
      </c>
      <c r="J2884">
        <v>-426.88139999999999</v>
      </c>
      <c r="K2884">
        <v>1.1049519999999999</v>
      </c>
      <c r="L2884">
        <v>284.6266</v>
      </c>
      <c r="M2884">
        <v>-0.99989340000000004</v>
      </c>
      <c r="N2884">
        <v>0</v>
      </c>
      <c r="O2884">
        <v>3.396544E-3</v>
      </c>
      <c r="P2884">
        <v>-0.99881749999999903</v>
      </c>
      <c r="Q2884">
        <v>3.5467070000000003E-2</v>
      </c>
      <c r="R2884">
        <v>-3.3254859999999997E-2</v>
      </c>
      <c r="S2884">
        <v>-3.0100099999999999</v>
      </c>
      <c r="T2884">
        <v>-0.1071005</v>
      </c>
      <c r="U2884">
        <v>8.1634520000000002E-2</v>
      </c>
      <c r="V2884">
        <v>-3.6645629999999998E-2</v>
      </c>
      <c r="W2884">
        <v>4.964963E-2</v>
      </c>
      <c r="X2884">
        <v>0.99809419999999904</v>
      </c>
      <c r="Y2884">
        <v>2.370241E-2</v>
      </c>
      <c r="Z2884">
        <v>3.0066799999999997E-4</v>
      </c>
      <c r="AA2884">
        <v>0.99971900000000002</v>
      </c>
      <c r="AB2884">
        <v>29</v>
      </c>
      <c r="AC2884">
        <v>-30.7563</v>
      </c>
      <c r="AD2884">
        <v>-1.1049495095889901</v>
      </c>
      <c r="AE2884">
        <v>0.84129999999998895</v>
      </c>
      <c r="AF2884">
        <v>0.735870426549599</v>
      </c>
      <c r="AG2884">
        <v>-1.1049495095889901</v>
      </c>
      <c r="AH2884">
        <v>30.719361305505402</v>
      </c>
      <c r="AI2884">
        <v>92.059402491712802</v>
      </c>
      <c r="AJ2884">
        <v>88.627764181069793</v>
      </c>
      <c r="AK2884">
        <v>30.748033721225099</v>
      </c>
    </row>
    <row r="2885" spans="1:37" x14ac:dyDescent="0.2">
      <c r="A2885" t="str">
        <f>"20200111155553820"</f>
        <v>20200111155553820</v>
      </c>
      <c r="B2885" t="str">
        <f>"1578729353815478"</f>
        <v>1578729353815478</v>
      </c>
      <c r="C2885" t="s">
        <v>37</v>
      </c>
      <c r="D2885">
        <v>5.0860709999999996</v>
      </c>
      <c r="E2885">
        <v>0.52259100000000003</v>
      </c>
      <c r="F2885" t="s">
        <v>48</v>
      </c>
      <c r="G2885">
        <v>0</v>
      </c>
      <c r="H2885">
        <v>0</v>
      </c>
      <c r="I2885">
        <v>0</v>
      </c>
      <c r="J2885">
        <v>-427.17110000000002</v>
      </c>
      <c r="K2885">
        <v>1.104949</v>
      </c>
      <c r="L2885">
        <v>284.62759999999997</v>
      </c>
      <c r="M2885">
        <v>-0.99989349999999999</v>
      </c>
      <c r="N2885">
        <v>0</v>
      </c>
      <c r="O2885">
        <v>3.3965559999999998E-3</v>
      </c>
      <c r="P2885">
        <v>-0.99882519999999997</v>
      </c>
      <c r="Q2885">
        <v>3.5587479999999998E-2</v>
      </c>
      <c r="R2885">
        <v>-3.2892070000000002E-2</v>
      </c>
      <c r="S2885">
        <v>-3.0054020000000001</v>
      </c>
      <c r="T2885">
        <v>3.06403599999999E-3</v>
      </c>
      <c r="U2885">
        <v>5.9906010000000003E-2</v>
      </c>
      <c r="V2885">
        <v>-3.6282759999999997E-2</v>
      </c>
      <c r="W2885">
        <v>4.976821E-2</v>
      </c>
      <c r="X2885">
        <v>0.99810149999999997</v>
      </c>
      <c r="Y2885">
        <v>1.6532479999999999E-2</v>
      </c>
      <c r="Z2885" s="1">
        <v>-4.9638809999999997E-6</v>
      </c>
      <c r="AA2885">
        <v>0.99986330000000001</v>
      </c>
      <c r="AB2885">
        <v>29</v>
      </c>
      <c r="AC2885">
        <v>-3.0054020000000001</v>
      </c>
      <c r="AD2885">
        <v>3.06403599999999E-3</v>
      </c>
      <c r="AE2885">
        <v>5.9906010000000003E-2</v>
      </c>
      <c r="AF2885">
        <v>4.96965681758142E-2</v>
      </c>
      <c r="AG2885">
        <v>3.06403599999999E-3</v>
      </c>
      <c r="AH2885">
        <v>3.0055850322600599</v>
      </c>
      <c r="AI2885">
        <v>89.941597966792898</v>
      </c>
      <c r="AJ2885">
        <v>89.052715483469797</v>
      </c>
      <c r="AK2885">
        <v>3.0059974257059401</v>
      </c>
    </row>
    <row r="2886" spans="1:37" x14ac:dyDescent="0.2">
      <c r="A2886" t="str">
        <f>"20200111155553842"</f>
        <v>20200111155553842</v>
      </c>
      <c r="B2886" t="str">
        <f>"1578729353834997"</f>
        <v>1578729353834997</v>
      </c>
      <c r="C2886" t="s">
        <v>37</v>
      </c>
      <c r="D2886">
        <v>5.0083779999999898</v>
      </c>
      <c r="E2886">
        <v>0.52362690000000001</v>
      </c>
      <c r="F2886" t="s">
        <v>48</v>
      </c>
      <c r="G2886">
        <v>0</v>
      </c>
      <c r="H2886">
        <v>0</v>
      </c>
      <c r="I2886">
        <v>0</v>
      </c>
      <c r="J2886">
        <v>-427.47</v>
      </c>
      <c r="K2886">
        <v>1.104954</v>
      </c>
      <c r="L2886">
        <v>284.62860000000001</v>
      </c>
      <c r="M2886">
        <v>-0.99989349999999999</v>
      </c>
      <c r="N2886">
        <v>0</v>
      </c>
      <c r="O2886">
        <v>3.39639E-3</v>
      </c>
      <c r="P2886">
        <v>-0.99885199999999996</v>
      </c>
      <c r="Q2886">
        <v>3.5430499999999997E-2</v>
      </c>
      <c r="R2886">
        <v>-3.2239919999999998E-2</v>
      </c>
      <c r="S2886">
        <v>-3.0062869999999999</v>
      </c>
      <c r="T2886">
        <v>-7.8632830000000004E-3</v>
      </c>
      <c r="U2886">
        <v>7.4951169999999998E-2</v>
      </c>
      <c r="V2886">
        <v>-3.5630519999999999E-2</v>
      </c>
      <c r="W2886">
        <v>4.961057E-2</v>
      </c>
      <c r="X2886">
        <v>0.99813289999999999</v>
      </c>
      <c r="Y2886">
        <v>2.1527859999999999E-2</v>
      </c>
      <c r="Z2886" s="1">
        <v>1.9266820000000001E-5</v>
      </c>
      <c r="AA2886">
        <v>0.99976830000000005</v>
      </c>
      <c r="AB2886">
        <v>29</v>
      </c>
      <c r="AC2886">
        <v>-3.0062869999999999</v>
      </c>
      <c r="AD2886">
        <v>-7.8632830000000004E-3</v>
      </c>
      <c r="AE2886">
        <v>7.4951169999999998E-2</v>
      </c>
      <c r="AF2886">
        <v>6.4738743252261394E-2</v>
      </c>
      <c r="AG2886">
        <v>-7.8632830000000004E-3</v>
      </c>
      <c r="AH2886">
        <v>3.0065036900367499</v>
      </c>
      <c r="AI2886">
        <v>90.149817707492701</v>
      </c>
      <c r="AJ2886">
        <v>88.766446339009704</v>
      </c>
      <c r="AK2886">
        <v>3.0072108962129702</v>
      </c>
    </row>
    <row r="2887" spans="1:37" x14ac:dyDescent="0.2">
      <c r="A2887" t="str">
        <f>"20200111155553865"</f>
        <v>20200111155553865</v>
      </c>
      <c r="B2887" t="str">
        <f>"1578729353854518"</f>
        <v>1578729353854518</v>
      </c>
      <c r="C2887" t="s">
        <v>37</v>
      </c>
      <c r="D2887">
        <v>5.0926410000000004</v>
      </c>
      <c r="E2887">
        <v>0.52373049999999999</v>
      </c>
      <c r="F2887" t="s">
        <v>48</v>
      </c>
      <c r="G2887">
        <v>0</v>
      </c>
      <c r="H2887">
        <v>0</v>
      </c>
      <c r="I2887">
        <v>0</v>
      </c>
      <c r="J2887">
        <v>-427.75760000000002</v>
      </c>
      <c r="K2887">
        <v>1.104954</v>
      </c>
      <c r="L2887">
        <v>284.62959999999998</v>
      </c>
      <c r="M2887">
        <v>-0.99989349999999999</v>
      </c>
      <c r="N2887">
        <v>0</v>
      </c>
      <c r="O2887">
        <v>3.39622599999999E-3</v>
      </c>
      <c r="P2887">
        <v>-0.99885889999999999</v>
      </c>
      <c r="Q2887">
        <v>3.5447970000000002E-2</v>
      </c>
      <c r="R2887">
        <v>-3.2011299999999999E-2</v>
      </c>
      <c r="S2887">
        <v>-3.0062869999999999</v>
      </c>
      <c r="T2887">
        <v>-1.723051E-3</v>
      </c>
      <c r="U2887">
        <v>8.5662840000000004E-2</v>
      </c>
      <c r="V2887">
        <v>-3.5402040000000003E-2</v>
      </c>
      <c r="W2887">
        <v>4.9625809999999999E-2</v>
      </c>
      <c r="X2887">
        <v>0.99814029999999998</v>
      </c>
      <c r="Y2887">
        <v>2.508765E-2</v>
      </c>
      <c r="Z2887" s="1">
        <v>5.2417079999999902E-6</v>
      </c>
      <c r="AA2887">
        <v>0.99968519999999905</v>
      </c>
      <c r="AB2887">
        <v>29</v>
      </c>
      <c r="AC2887">
        <v>-3.0062869999999999</v>
      </c>
      <c r="AD2887">
        <v>-1.723051E-3</v>
      </c>
      <c r="AE2887">
        <v>8.5662840000000004E-2</v>
      </c>
      <c r="AF2887">
        <v>7.5451262445224695E-2</v>
      </c>
      <c r="AG2887">
        <v>-1.723051E-3</v>
      </c>
      <c r="AH2887">
        <v>3.0065596314915601</v>
      </c>
      <c r="AI2887">
        <v>90.032825714031503</v>
      </c>
      <c r="AJ2887">
        <v>88.562432734087693</v>
      </c>
      <c r="AK2887">
        <v>3.0075067214594902</v>
      </c>
    </row>
    <row r="2888" spans="1:37" x14ac:dyDescent="0.2">
      <c r="A2888" t="str">
        <f>"20200111155553887"</f>
        <v>20200111155553887</v>
      </c>
      <c r="B2888" t="str">
        <f>"1578729353884775"</f>
        <v>1578729353884775</v>
      </c>
      <c r="C2888" t="s">
        <v>37</v>
      </c>
      <c r="D2888">
        <v>4.9738860000000003</v>
      </c>
      <c r="E2888">
        <v>0.52430330000000003</v>
      </c>
      <c r="F2888" t="s">
        <v>48</v>
      </c>
      <c r="G2888">
        <v>0</v>
      </c>
      <c r="H2888">
        <v>0</v>
      </c>
      <c r="I2888">
        <v>0</v>
      </c>
      <c r="J2888">
        <v>-428.05130000000003</v>
      </c>
      <c r="K2888">
        <v>1.104959</v>
      </c>
      <c r="L2888">
        <v>284.63060000000002</v>
      </c>
      <c r="M2888">
        <v>-0.99989349999999999</v>
      </c>
      <c r="N2888">
        <v>0</v>
      </c>
      <c r="O2888">
        <v>3.3962409999999999E-3</v>
      </c>
      <c r="P2888">
        <v>-0.99885299999999999</v>
      </c>
      <c r="Q2888">
        <v>3.5347099999999999E-2</v>
      </c>
      <c r="R2888">
        <v>-3.2302600000000001E-2</v>
      </c>
      <c r="S2888">
        <v>-3.0069270000000001</v>
      </c>
      <c r="T2888">
        <v>-2.031732E-2</v>
      </c>
      <c r="U2888">
        <v>8.612061E-2</v>
      </c>
      <c r="V2888">
        <v>-3.5693040000000002E-2</v>
      </c>
      <c r="W2888">
        <v>4.9522469999999999E-2</v>
      </c>
      <c r="X2888">
        <v>0.99813499999999999</v>
      </c>
      <c r="Y2888">
        <v>2.5233140000000001E-2</v>
      </c>
      <c r="Z2888" s="1">
        <v>6.2284770000000002E-5</v>
      </c>
      <c r="AA2888">
        <v>0.99968159999999895</v>
      </c>
      <c r="AB2888">
        <v>29</v>
      </c>
      <c r="AC2888">
        <v>-3.0069270000000001</v>
      </c>
      <c r="AD2888">
        <v>-2.031732E-2</v>
      </c>
      <c r="AE2888">
        <v>8.612061E-2</v>
      </c>
      <c r="AF2888">
        <v>7.5903373136296706E-2</v>
      </c>
      <c r="AG2888">
        <v>-2.031732E-2</v>
      </c>
      <c r="AH2888">
        <v>3.0070649960129998</v>
      </c>
      <c r="AI2888">
        <v>90.386991409049401</v>
      </c>
      <c r="AJ2888">
        <v>88.554065290174606</v>
      </c>
      <c r="AK2888">
        <v>3.0080914224458102</v>
      </c>
    </row>
    <row r="2889" spans="1:37" x14ac:dyDescent="0.2">
      <c r="A2889" t="str">
        <f>"20200111155553910"</f>
        <v>20200111155553910</v>
      </c>
      <c r="B2889" t="str">
        <f>"1578729353905270"</f>
        <v>1578729353905270</v>
      </c>
      <c r="C2889" t="s">
        <v>37</v>
      </c>
      <c r="D2889">
        <v>4.9456189999999998</v>
      </c>
      <c r="E2889">
        <v>0.52440339999999996</v>
      </c>
      <c r="F2889" t="s">
        <v>56</v>
      </c>
      <c r="G2889">
        <v>-492.68369999999999</v>
      </c>
      <c r="H2889" s="1">
        <v>3.6550670000000001E-6</v>
      </c>
      <c r="I2889">
        <v>286.52099999999899</v>
      </c>
      <c r="J2889">
        <v>-428.34730000000002</v>
      </c>
      <c r="K2889">
        <v>1.10497</v>
      </c>
      <c r="L2889">
        <v>284.63159999999999</v>
      </c>
      <c r="M2889">
        <v>-0.99989349999999999</v>
      </c>
      <c r="N2889">
        <v>0</v>
      </c>
      <c r="O2889">
        <v>3.3962570000000002E-3</v>
      </c>
      <c r="P2889">
        <v>-0.99885579999999996</v>
      </c>
      <c r="Q2889">
        <v>3.4983680000000003E-2</v>
      </c>
      <c r="R2889">
        <v>-3.2605820000000001E-2</v>
      </c>
      <c r="S2889">
        <v>-3.0081479999999998</v>
      </c>
      <c r="T2889">
        <v>-5.1427250000000001E-2</v>
      </c>
      <c r="U2889">
        <v>8.7982179999999993E-2</v>
      </c>
      <c r="V2889">
        <v>-3.5996859999999999E-2</v>
      </c>
      <c r="W2889">
        <v>4.9157180000000002E-2</v>
      </c>
      <c r="X2889">
        <v>0.99814219999999898</v>
      </c>
      <c r="Y2889">
        <v>2.583686E-2</v>
      </c>
      <c r="Z2889">
        <v>1.627392E-4</v>
      </c>
      <c r="AA2889">
        <v>0.99966619999999995</v>
      </c>
      <c r="AB2889">
        <v>29</v>
      </c>
      <c r="AC2889">
        <v>-64.336399999999898</v>
      </c>
      <c r="AD2889">
        <v>-1.1049663449330001</v>
      </c>
      <c r="AE2889">
        <v>1.88939999999996</v>
      </c>
      <c r="AF2889">
        <v>1.6703718470815301</v>
      </c>
      <c r="AG2889">
        <v>-1.1049663449330001</v>
      </c>
      <c r="AH2889">
        <v>64.323488968328704</v>
      </c>
      <c r="AI2889">
        <v>90.983814050292196</v>
      </c>
      <c r="AJ2889">
        <v>88.512460156383298</v>
      </c>
      <c r="AK2889">
        <v>64.354660482281005</v>
      </c>
    </row>
    <row r="2890" spans="1:37" x14ac:dyDescent="0.2">
      <c r="A2890" t="str">
        <f>"20200111155553931"</f>
        <v>20200111155553931</v>
      </c>
      <c r="B2890" t="str">
        <f>"1578729353924790"</f>
        <v>1578729353924790</v>
      </c>
      <c r="C2890" t="s">
        <v>37</v>
      </c>
      <c r="D2890">
        <v>5.1704160000000003</v>
      </c>
      <c r="E2890">
        <v>0.52498310000000004</v>
      </c>
      <c r="F2890" t="s">
        <v>56</v>
      </c>
      <c r="G2890">
        <v>-481.14530000000002</v>
      </c>
      <c r="H2890" s="1">
        <v>2.5442979999999999E-6</v>
      </c>
      <c r="I2890">
        <v>286.16500000000002</v>
      </c>
      <c r="J2890">
        <v>-428.63150000000002</v>
      </c>
      <c r="K2890">
        <v>1.1049819999999999</v>
      </c>
      <c r="L2890">
        <v>284.63260000000002</v>
      </c>
      <c r="M2890">
        <v>-0.9998937</v>
      </c>
      <c r="N2890">
        <v>0</v>
      </c>
      <c r="O2890">
        <v>3.396095E-3</v>
      </c>
      <c r="P2890">
        <v>-0.998849599999999</v>
      </c>
      <c r="Q2890">
        <v>3.5196850000000002E-2</v>
      </c>
      <c r="R2890">
        <v>-3.2574659999999998E-2</v>
      </c>
      <c r="S2890">
        <v>-3.0084529999999998</v>
      </c>
      <c r="T2890">
        <v>-6.2961459999999997E-2</v>
      </c>
      <c r="U2890">
        <v>8.7371829999999998E-2</v>
      </c>
      <c r="V2890">
        <v>-3.5965080000000003E-2</v>
      </c>
      <c r="W2890">
        <v>4.9367689999999999E-2</v>
      </c>
      <c r="X2890">
        <v>0.99813289999999999</v>
      </c>
      <c r="Y2890">
        <v>2.5629829999999999E-2</v>
      </c>
      <c r="Z2890">
        <v>1.9704950000000001E-4</v>
      </c>
      <c r="AA2890">
        <v>0.99967150000000005</v>
      </c>
      <c r="AB2890">
        <v>29</v>
      </c>
      <c r="AC2890">
        <v>-52.513800000000003</v>
      </c>
      <c r="AD2890">
        <v>-1.1049794557019901</v>
      </c>
      <c r="AE2890">
        <v>1.53239999999999</v>
      </c>
      <c r="AF2890">
        <v>1.35343265012314</v>
      </c>
      <c r="AG2890">
        <v>-1.1049794557019901</v>
      </c>
      <c r="AH2890">
        <v>52.495479048282199</v>
      </c>
      <c r="AI2890">
        <v>91.205442659451904</v>
      </c>
      <c r="AJ2890">
        <v>88.523133702040795</v>
      </c>
      <c r="AK2890">
        <v>52.524547404471498</v>
      </c>
    </row>
    <row r="2891" spans="1:37" x14ac:dyDescent="0.2">
      <c r="A2891" t="str">
        <f>"20200111155553954"</f>
        <v>20200111155553954</v>
      </c>
      <c r="B2891" t="str">
        <f>"1578729353945286"</f>
        <v>1578729353945286</v>
      </c>
      <c r="C2891" t="s">
        <v>37</v>
      </c>
      <c r="D2891">
        <v>4.8927659999999999</v>
      </c>
      <c r="E2891">
        <v>0.52522049999999998</v>
      </c>
      <c r="F2891" t="s">
        <v>56</v>
      </c>
      <c r="G2891">
        <v>-474.91539999999998</v>
      </c>
      <c r="H2891" s="1">
        <v>4.5585719999999999E-6</v>
      </c>
      <c r="I2891">
        <v>286.03750000000002</v>
      </c>
      <c r="J2891">
        <v>-428.92380000000003</v>
      </c>
      <c r="K2891">
        <v>1.1049929999999999</v>
      </c>
      <c r="L2891">
        <v>284.63350000000003</v>
      </c>
      <c r="M2891">
        <v>-0.9998937</v>
      </c>
      <c r="N2891">
        <v>0</v>
      </c>
      <c r="O2891">
        <v>3.3961120000000002E-3</v>
      </c>
      <c r="P2891">
        <v>-0.99880170000000001</v>
      </c>
      <c r="Q2891">
        <v>3.6644629999999997E-2</v>
      </c>
      <c r="R2891">
        <v>-3.2443409999999999E-2</v>
      </c>
      <c r="S2891">
        <v>-3.0090330000000001</v>
      </c>
      <c r="T2891">
        <v>-7.1837310000000001E-2</v>
      </c>
      <c r="U2891">
        <v>9.1339110000000001E-2</v>
      </c>
      <c r="V2891">
        <v>-3.5833490000000003E-2</v>
      </c>
      <c r="W2891">
        <v>5.0812110000000001E-2</v>
      </c>
      <c r="X2891">
        <v>0.99806519999999999</v>
      </c>
      <c r="Y2891">
        <v>2.6939230000000002E-2</v>
      </c>
      <c r="Z2891">
        <v>2.403971E-4</v>
      </c>
      <c r="AA2891">
        <v>0.99963709999999995</v>
      </c>
      <c r="AB2891">
        <v>29</v>
      </c>
      <c r="AC2891">
        <v>-45.991599999999899</v>
      </c>
      <c r="AD2891">
        <v>-1.104988441428</v>
      </c>
      <c r="AE2891">
        <v>1.4039999999999899</v>
      </c>
      <c r="AF2891">
        <v>1.24706438452474</v>
      </c>
      <c r="AG2891">
        <v>-1.104988441428</v>
      </c>
      <c r="AH2891">
        <v>45.969592438008497</v>
      </c>
      <c r="AI2891">
        <v>91.376468907700797</v>
      </c>
      <c r="AJ2891">
        <v>88.446059619197698</v>
      </c>
      <c r="AK2891">
        <v>45.999778238068203</v>
      </c>
    </row>
    <row r="2892" spans="1:37" x14ac:dyDescent="0.2">
      <c r="A2892" t="str">
        <f>"20200111155553976"</f>
        <v>20200111155553976</v>
      </c>
      <c r="B2892" t="str">
        <f>"1578729353964806"</f>
        <v>1578729353964806</v>
      </c>
      <c r="C2892" t="s">
        <v>37</v>
      </c>
      <c r="D2892">
        <v>4.9452980000000002</v>
      </c>
      <c r="E2892">
        <v>0.52537449999999997</v>
      </c>
      <c r="F2892" t="s">
        <v>56</v>
      </c>
      <c r="G2892">
        <v>-473.94799999999998</v>
      </c>
      <c r="H2892" s="1">
        <v>4.9869849999999997E-6</v>
      </c>
      <c r="I2892">
        <v>286.03070000000002</v>
      </c>
      <c r="J2892">
        <v>-429.21559999999999</v>
      </c>
      <c r="K2892">
        <v>1.104994</v>
      </c>
      <c r="L2892">
        <v>284.6345</v>
      </c>
      <c r="M2892">
        <v>-0.99989380000000005</v>
      </c>
      <c r="N2892">
        <v>0</v>
      </c>
      <c r="O2892">
        <v>3.3959509999999999E-3</v>
      </c>
      <c r="P2892">
        <v>-0.99885959999999996</v>
      </c>
      <c r="Q2892">
        <v>3.527628E-2</v>
      </c>
      <c r="R2892">
        <v>-3.2179770000000003E-2</v>
      </c>
      <c r="S2892">
        <v>-3.0093079999999999</v>
      </c>
      <c r="T2892">
        <v>-7.3854680000000006E-2</v>
      </c>
      <c r="U2892">
        <v>9.3383789999999994E-2</v>
      </c>
      <c r="V2892">
        <v>-3.5569900000000002E-2</v>
      </c>
      <c r="W2892">
        <v>4.9442460000000001E-2</v>
      </c>
      <c r="X2892">
        <v>0.99814340000000001</v>
      </c>
      <c r="Y2892">
        <v>2.7614599999999899E-2</v>
      </c>
      <c r="Z2892">
        <v>2.5540919999999899E-4</v>
      </c>
      <c r="AA2892">
        <v>0.99961860000000002</v>
      </c>
      <c r="AB2892">
        <v>29</v>
      </c>
      <c r="AC2892">
        <v>-44.732399999999998</v>
      </c>
      <c r="AD2892">
        <v>-1.104989013015</v>
      </c>
      <c r="AE2892">
        <v>1.3962000000000201</v>
      </c>
      <c r="AF2892">
        <v>1.2435096009148101</v>
      </c>
      <c r="AG2892">
        <v>-1.104989013015</v>
      </c>
      <c r="AH2892">
        <v>44.709628692330597</v>
      </c>
      <c r="AI2892">
        <v>91.415217802715802</v>
      </c>
      <c r="AJ2892">
        <v>88.406842308139403</v>
      </c>
      <c r="AK2892">
        <v>44.740565649670998</v>
      </c>
    </row>
    <row r="2893" spans="1:37" x14ac:dyDescent="0.2">
      <c r="A2893" t="str">
        <f>"20200111155553999"</f>
        <v>20200111155553999</v>
      </c>
      <c r="B2893" t="str">
        <f>"1578729353995062"</f>
        <v>1578729353995062</v>
      </c>
      <c r="C2893" t="s">
        <v>37</v>
      </c>
      <c r="D2893">
        <v>4.9310689999999999</v>
      </c>
      <c r="E2893">
        <v>0.5250899</v>
      </c>
      <c r="F2893" t="s">
        <v>56</v>
      </c>
      <c r="G2893">
        <v>-472.02190000000002</v>
      </c>
      <c r="H2893" s="1">
        <v>5.8379980000000002E-6</v>
      </c>
      <c r="I2893">
        <v>285.99459999999999</v>
      </c>
      <c r="J2893">
        <v>-429.50709999999998</v>
      </c>
      <c r="K2893">
        <v>1.104994</v>
      </c>
      <c r="L2893">
        <v>284.63549999999998</v>
      </c>
      <c r="M2893">
        <v>-0.9998937</v>
      </c>
      <c r="N2893">
        <v>0</v>
      </c>
      <c r="O2893">
        <v>3.396147E-3</v>
      </c>
      <c r="P2893">
        <v>-0.99887159999999997</v>
      </c>
      <c r="Q2893">
        <v>3.4841329999999997E-2</v>
      </c>
      <c r="R2893">
        <v>-3.2278540000000001E-2</v>
      </c>
      <c r="S2893">
        <v>-3.0092469999999998</v>
      </c>
      <c r="T2893">
        <v>-7.7679869999999998E-2</v>
      </c>
      <c r="U2893">
        <v>9.5611570000000007E-2</v>
      </c>
      <c r="V2893">
        <v>-3.5668720000000001E-2</v>
      </c>
      <c r="W2893">
        <v>4.9004770000000003E-2</v>
      </c>
      <c r="X2893">
        <v>0.99816139999999998</v>
      </c>
      <c r="Y2893">
        <v>2.8353300000000001E-2</v>
      </c>
      <c r="Z2893">
        <v>2.7816089999999999E-4</v>
      </c>
      <c r="AA2893">
        <v>0.99959789999999904</v>
      </c>
      <c r="AB2893">
        <v>29</v>
      </c>
      <c r="AC2893">
        <v>-42.514800000000001</v>
      </c>
      <c r="AD2893">
        <v>-1.1049881620019999</v>
      </c>
      <c r="AE2893">
        <v>1.35910000000001</v>
      </c>
      <c r="AF2893">
        <v>1.21387198156422</v>
      </c>
      <c r="AG2893">
        <v>-1.1049881620019999</v>
      </c>
      <c r="AH2893">
        <v>42.4904972746452</v>
      </c>
      <c r="AI2893">
        <v>91.489064467634194</v>
      </c>
      <c r="AJ2893">
        <v>88.363614585223303</v>
      </c>
      <c r="AK2893">
        <v>42.522192354962399</v>
      </c>
    </row>
    <row r="2894" spans="1:37" x14ac:dyDescent="0.2">
      <c r="A2894" t="str">
        <f>"20200111155554021"</f>
        <v>20200111155554021</v>
      </c>
      <c r="B2894" t="str">
        <f>"1578729354014582"</f>
        <v>1578729354014582</v>
      </c>
      <c r="C2894" t="s">
        <v>37</v>
      </c>
      <c r="D2894">
        <v>4.9382339999999996</v>
      </c>
      <c r="E2894">
        <v>0.48838890000000001</v>
      </c>
      <c r="F2894" t="s">
        <v>59</v>
      </c>
      <c r="G2894">
        <v>-468.8177</v>
      </c>
      <c r="H2894" s="1">
        <v>3.1016859999999999E-6</v>
      </c>
      <c r="I2894">
        <v>285.84899999999999</v>
      </c>
      <c r="J2894">
        <v>-429.7953</v>
      </c>
      <c r="K2894">
        <v>1.1049949999999999</v>
      </c>
      <c r="L2894">
        <v>284.63650000000001</v>
      </c>
      <c r="M2894">
        <v>-0.9998937</v>
      </c>
      <c r="N2894">
        <v>0</v>
      </c>
      <c r="O2894">
        <v>3.396165E-3</v>
      </c>
      <c r="P2894">
        <v>-0.99887929999999903</v>
      </c>
      <c r="Q2894">
        <v>3.4283340000000002E-2</v>
      </c>
      <c r="R2894">
        <v>-3.2631569999999999E-2</v>
      </c>
      <c r="S2894">
        <v>-3.0093380000000001</v>
      </c>
      <c r="T2894">
        <v>-8.4590079999999998E-2</v>
      </c>
      <c r="U2894">
        <v>9.2895510000000001E-2</v>
      </c>
      <c r="V2894">
        <v>-3.6022390000000001E-2</v>
      </c>
      <c r="W2894">
        <v>4.8444670000000002E-2</v>
      </c>
      <c r="X2894">
        <v>0.99817610000000001</v>
      </c>
      <c r="Y2894">
        <v>2.744982E-2</v>
      </c>
      <c r="Z2894">
        <v>2.9019819999999999E-4</v>
      </c>
      <c r="AA2894">
        <v>0.99962309999999999</v>
      </c>
      <c r="AB2894">
        <v>29</v>
      </c>
      <c r="AC2894">
        <v>-39.022399999999998</v>
      </c>
      <c r="AD2894">
        <v>-1.1049918983139999</v>
      </c>
      <c r="AE2894">
        <v>1.2124999999999699</v>
      </c>
      <c r="AF2894">
        <v>1.07908874551275</v>
      </c>
      <c r="AG2894">
        <v>-1.1049918983139999</v>
      </c>
      <c r="AH2894">
        <v>38.995055359732802</v>
      </c>
      <c r="AI2894">
        <v>91.622519229297396</v>
      </c>
      <c r="AJ2894">
        <v>88.4148898927114</v>
      </c>
      <c r="AK2894">
        <v>39.025629810736604</v>
      </c>
    </row>
    <row r="2895" spans="1:37" x14ac:dyDescent="0.2">
      <c r="A2895" t="str">
        <f>"20200111155554043"</f>
        <v>20200111155554043</v>
      </c>
      <c r="B2895" t="str">
        <f>"1578729354035079"</f>
        <v>1578729354035079</v>
      </c>
      <c r="C2895" t="s">
        <v>37</v>
      </c>
      <c r="D2895">
        <v>4.9746610000000002</v>
      </c>
      <c r="E2895">
        <v>0.48665789999999998</v>
      </c>
      <c r="F2895" t="s">
        <v>59</v>
      </c>
      <c r="G2895">
        <v>-464.23270000000002</v>
      </c>
      <c r="H2895" s="1">
        <v>8.1603150000000002E-7</v>
      </c>
      <c r="I2895">
        <v>282.32</v>
      </c>
      <c r="J2895">
        <v>-430.08170000000001</v>
      </c>
      <c r="K2895">
        <v>1.1049990000000001</v>
      </c>
      <c r="L2895">
        <v>284.63749999999999</v>
      </c>
      <c r="M2895">
        <v>-0.9998937</v>
      </c>
      <c r="N2895">
        <v>0</v>
      </c>
      <c r="O2895">
        <v>3.3960040000000002E-3</v>
      </c>
      <c r="P2895">
        <v>-0.99884309999999998</v>
      </c>
      <c r="Q2895">
        <v>3.4346599999999998E-2</v>
      </c>
      <c r="R2895">
        <v>-3.3656650000000003E-2</v>
      </c>
      <c r="S2895">
        <v>-3.0001220000000002</v>
      </c>
      <c r="T2895">
        <v>-9.6265080000000003E-2</v>
      </c>
      <c r="U2895">
        <v>-0.20181270000000001</v>
      </c>
      <c r="V2895">
        <v>-3.7047490000000002E-2</v>
      </c>
      <c r="W2895">
        <v>4.8504690000000003E-2</v>
      </c>
      <c r="X2895">
        <v>0.99813560000000001</v>
      </c>
      <c r="Y2895">
        <v>-7.0466959999999995E-2</v>
      </c>
      <c r="Z2895">
        <v>-1.2378039999999999E-3</v>
      </c>
      <c r="AA2895">
        <v>0.99751339999999999</v>
      </c>
      <c r="AB2895">
        <v>29</v>
      </c>
      <c r="AC2895">
        <v>-34.151000000000003</v>
      </c>
      <c r="AD2895">
        <v>-1.1049981839684999</v>
      </c>
      <c r="AE2895">
        <v>-2.3174999999999901</v>
      </c>
      <c r="AF2895">
        <v>-2.4309418750710301</v>
      </c>
      <c r="AG2895">
        <v>-1.1049981839684999</v>
      </c>
      <c r="AH2895">
        <v>34.107387747507097</v>
      </c>
      <c r="AI2895">
        <v>91.850905909412802</v>
      </c>
      <c r="AJ2895">
        <v>94.076758417639098</v>
      </c>
      <c r="AK2895">
        <v>34.211758188455399</v>
      </c>
    </row>
    <row r="2896" spans="1:37" x14ac:dyDescent="0.2">
      <c r="A2896" t="str">
        <f>"20200111155554067"</f>
        <v>20200111155554067</v>
      </c>
      <c r="B2896" t="str">
        <f>"1578729354054597"</f>
        <v>1578729354054597</v>
      </c>
      <c r="C2896" t="s">
        <v>37</v>
      </c>
      <c r="D2896">
        <v>4.8007169999999997</v>
      </c>
      <c r="E2896">
        <v>0.48475390000000002</v>
      </c>
      <c r="F2896" t="s">
        <v>56</v>
      </c>
      <c r="G2896">
        <v>-482.43619999999999</v>
      </c>
      <c r="H2896" s="1">
        <v>2.3087509999999999E-6</v>
      </c>
      <c r="I2896">
        <v>280.85140000000001</v>
      </c>
      <c r="J2896">
        <v>-430.38130000000001</v>
      </c>
      <c r="K2896">
        <v>1.104997</v>
      </c>
      <c r="L2896">
        <v>284.63850000000002</v>
      </c>
      <c r="M2896">
        <v>-0.99989380000000005</v>
      </c>
      <c r="N2896">
        <v>0</v>
      </c>
      <c r="O2896">
        <v>3.3959049999999998E-3</v>
      </c>
      <c r="P2896">
        <v>-0.99878459999999902</v>
      </c>
      <c r="Q2896">
        <v>3.5131170000000003E-2</v>
      </c>
      <c r="R2896">
        <v>-3.457085E-2</v>
      </c>
      <c r="S2896">
        <v>-2.9983520000000001</v>
      </c>
      <c r="T2896">
        <v>-6.3283320000000004E-2</v>
      </c>
      <c r="U2896">
        <v>-0.216827399999999</v>
      </c>
      <c r="V2896">
        <v>-3.7960800000000003E-2</v>
      </c>
      <c r="W2896">
        <v>4.928577E-2</v>
      </c>
      <c r="X2896">
        <v>0.99806309999999998</v>
      </c>
      <c r="Y2896">
        <v>-7.5496670000000002E-2</v>
      </c>
      <c r="Z2896">
        <v>-8.6717259999999905E-4</v>
      </c>
      <c r="AA2896">
        <v>0.99714570000000002</v>
      </c>
      <c r="AB2896">
        <v>29</v>
      </c>
      <c r="AC2896">
        <v>-52.054899999999897</v>
      </c>
      <c r="AD2896">
        <v>-1.1049946912490001</v>
      </c>
      <c r="AE2896">
        <v>-3.7871000000000001</v>
      </c>
      <c r="AF2896">
        <v>-3.9620934657182598</v>
      </c>
      <c r="AG2896">
        <v>-1.1049946912490001</v>
      </c>
      <c r="AH2896">
        <v>52.018421450202297</v>
      </c>
      <c r="AI2896">
        <v>91.213401692698397</v>
      </c>
      <c r="AJ2896">
        <v>94.355644643846702</v>
      </c>
      <c r="AK2896">
        <v>52.180795011858997</v>
      </c>
    </row>
    <row r="2897" spans="1:37" x14ac:dyDescent="0.2">
      <c r="A2897" t="str">
        <f>"20200111155554089"</f>
        <v>20200111155554089</v>
      </c>
      <c r="B2897" t="str">
        <f>"1578729354085363"</f>
        <v>1578729354085363</v>
      </c>
      <c r="C2897" t="s">
        <v>37</v>
      </c>
      <c r="D2897">
        <v>4.9041139999999999</v>
      </c>
      <c r="E2897">
        <v>0.48356120000000002</v>
      </c>
      <c r="F2897" t="s">
        <v>56</v>
      </c>
      <c r="G2897">
        <v>-493.62860000000001</v>
      </c>
      <c r="H2897" s="1">
        <v>2.8907609999999999E-6</v>
      </c>
      <c r="I2897">
        <v>279.69560000000001</v>
      </c>
      <c r="J2897">
        <v>-430.67</v>
      </c>
      <c r="K2897">
        <v>1.1049949999999999</v>
      </c>
      <c r="L2897">
        <v>284.6395</v>
      </c>
      <c r="M2897">
        <v>-0.99989380000000005</v>
      </c>
      <c r="N2897">
        <v>0</v>
      </c>
      <c r="O2897">
        <v>3.3959239999999998E-3</v>
      </c>
      <c r="P2897">
        <v>-0.99877260000000001</v>
      </c>
      <c r="Q2897">
        <v>3.505076E-2</v>
      </c>
      <c r="R2897">
        <v>-3.4999780000000001E-2</v>
      </c>
      <c r="S2897">
        <v>-2.9974059999999998</v>
      </c>
      <c r="T2897">
        <v>-5.2367690000000001E-2</v>
      </c>
      <c r="U2897">
        <v>-0.23425289999999999</v>
      </c>
      <c r="V2897">
        <v>-3.838975E-2</v>
      </c>
      <c r="W2897">
        <v>4.9202900000000001E-2</v>
      </c>
      <c r="X2897">
        <v>0.99805069999999996</v>
      </c>
      <c r="Y2897">
        <v>-8.1286949999999997E-2</v>
      </c>
      <c r="Z2897">
        <v>-7.6819080000000003E-4</v>
      </c>
      <c r="AA2897">
        <v>0.99669050000000003</v>
      </c>
      <c r="AB2897">
        <v>29</v>
      </c>
      <c r="AC2897">
        <v>-62.958599999999898</v>
      </c>
      <c r="AD2897">
        <v>-1.104992109239</v>
      </c>
      <c r="AE2897">
        <v>-4.9438999999999798</v>
      </c>
      <c r="AF2897">
        <v>-5.1561170223345103</v>
      </c>
      <c r="AG2897">
        <v>-1.104992109239</v>
      </c>
      <c r="AH2897">
        <v>62.922182291196698</v>
      </c>
      <c r="AI2897">
        <v>91.002721779592406</v>
      </c>
      <c r="AJ2897">
        <v>94.684598342621399</v>
      </c>
      <c r="AK2897">
        <v>63.142755519505698</v>
      </c>
    </row>
    <row r="2898" spans="1:37" x14ac:dyDescent="0.2">
      <c r="A2898" t="str">
        <f>"20200111155554111"</f>
        <v>20200111155554111</v>
      </c>
      <c r="B2898" t="str">
        <f>"1578729354104882"</f>
        <v>1578729354104882</v>
      </c>
      <c r="C2898" t="s">
        <v>37</v>
      </c>
      <c r="D2898">
        <v>4.8975869999999997</v>
      </c>
      <c r="E2898">
        <v>0.48329060000000001</v>
      </c>
      <c r="F2898" t="s">
        <v>56</v>
      </c>
      <c r="G2898">
        <v>-485.61219999999997</v>
      </c>
      <c r="H2898" s="1">
        <v>2.809833E-6</v>
      </c>
      <c r="I2898">
        <v>280.13889999999998</v>
      </c>
      <c r="J2898">
        <v>-430.96170000000001</v>
      </c>
      <c r="K2898">
        <v>1.104992</v>
      </c>
      <c r="L2898">
        <v>284.64049999999997</v>
      </c>
      <c r="M2898">
        <v>-0.9998939</v>
      </c>
      <c r="N2898">
        <v>0</v>
      </c>
      <c r="O2898">
        <v>3.3959429999999998E-3</v>
      </c>
      <c r="P2898">
        <v>-0.99880230000000003</v>
      </c>
      <c r="Q2898">
        <v>3.4021719999999998E-2</v>
      </c>
      <c r="R2898">
        <v>-3.5162099999999898E-2</v>
      </c>
      <c r="S2898">
        <v>-2.9971919999999899</v>
      </c>
      <c r="T2898">
        <v>-6.0279249999999999E-2</v>
      </c>
      <c r="U2898">
        <v>-0.24551390000000001</v>
      </c>
      <c r="V2898">
        <v>-3.8552540000000003E-2</v>
      </c>
      <c r="W2898">
        <v>4.8171289999999999E-2</v>
      </c>
      <c r="X2898">
        <v>0.99809479999999995</v>
      </c>
      <c r="Y2898">
        <v>-8.5007920000000001E-2</v>
      </c>
      <c r="Z2898">
        <v>-9.2150770000000003E-4</v>
      </c>
      <c r="AA2898">
        <v>0.99637989999999999</v>
      </c>
      <c r="AB2898">
        <v>29</v>
      </c>
      <c r="AC2898">
        <v>-54.650499999999901</v>
      </c>
      <c r="AD2898">
        <v>-1.1049891901669999</v>
      </c>
      <c r="AE2898">
        <v>-4.5015999999999901</v>
      </c>
      <c r="AF2898">
        <v>-4.6852801345222499</v>
      </c>
      <c r="AG2898">
        <v>-1.1049891901669999</v>
      </c>
      <c r="AH2898">
        <v>54.612720013266703</v>
      </c>
      <c r="AI2898">
        <v>91.154876813280794</v>
      </c>
      <c r="AJ2898">
        <v>94.903456055986496</v>
      </c>
      <c r="AK2898">
        <v>54.8244656909376</v>
      </c>
    </row>
    <row r="2899" spans="1:37" x14ac:dyDescent="0.2">
      <c r="A2899" t="str">
        <f>"20200111155554130"</f>
        <v>20200111155554130</v>
      </c>
      <c r="B2899" t="str">
        <f>"1578729354125380"</f>
        <v>1578729354125380</v>
      </c>
      <c r="C2899" t="s">
        <v>37</v>
      </c>
      <c r="D2899">
        <v>4.912407</v>
      </c>
      <c r="E2899">
        <v>0.48314799999999902</v>
      </c>
      <c r="F2899" t="s">
        <v>56</v>
      </c>
      <c r="G2899">
        <v>-482.86110000000002</v>
      </c>
      <c r="H2899" s="1">
        <v>2.340322E-6</v>
      </c>
      <c r="I2899">
        <v>280.3503</v>
      </c>
      <c r="J2899">
        <v>-431.17680000000001</v>
      </c>
      <c r="K2899">
        <v>1.1049949999999999</v>
      </c>
      <c r="L2899">
        <v>284.64120000000003</v>
      </c>
      <c r="M2899">
        <v>-0.9998939</v>
      </c>
      <c r="N2899">
        <v>0</v>
      </c>
      <c r="O2899">
        <v>3.3959579999999902E-3</v>
      </c>
      <c r="P2899">
        <v>-0.99881759999999997</v>
      </c>
      <c r="Q2899">
        <v>3.348011E-2</v>
      </c>
      <c r="R2899">
        <v>-3.5251409999999997E-2</v>
      </c>
      <c r="S2899">
        <v>-2.9970089999999998</v>
      </c>
      <c r="T2899">
        <v>-6.3809279999999996E-2</v>
      </c>
      <c r="U2899">
        <v>-0.24774169999999901</v>
      </c>
      <c r="V2899">
        <v>-3.8641599999999998E-2</v>
      </c>
      <c r="W2899">
        <v>4.7628320000000002E-2</v>
      </c>
      <c r="X2899">
        <v>0.99811740000000004</v>
      </c>
      <c r="Y2899">
        <v>-8.5746219999999998E-2</v>
      </c>
      <c r="Z2899">
        <v>-9.8333579999999995E-4</v>
      </c>
      <c r="AA2899">
        <v>0.996316599999999</v>
      </c>
      <c r="AB2899">
        <v>29</v>
      </c>
      <c r="AC2899">
        <v>-51.6843</v>
      </c>
      <c r="AD2899">
        <v>-1.104992659678</v>
      </c>
      <c r="AE2899">
        <v>-4.2909000000000201</v>
      </c>
      <c r="AF2899">
        <v>-4.4643839211213203</v>
      </c>
      <c r="AG2899">
        <v>-1.104992659678</v>
      </c>
      <c r="AH2899">
        <v>51.645983481907798</v>
      </c>
      <c r="AI2899">
        <v>91.221133563243299</v>
      </c>
      <c r="AJ2899">
        <v>94.940482745737</v>
      </c>
      <c r="AK2899">
        <v>51.850355277342203</v>
      </c>
    </row>
    <row r="2900" spans="1:37" x14ac:dyDescent="0.2">
      <c r="A2900" t="str">
        <f>"20200111155554143"</f>
        <v>20200111155554143</v>
      </c>
      <c r="B2900" t="str">
        <f>"1578729354135139"</f>
        <v>1578729354135139</v>
      </c>
      <c r="C2900" t="s">
        <v>37</v>
      </c>
      <c r="D2900">
        <v>4.8899460000000001</v>
      </c>
      <c r="E2900">
        <v>0.48292380000000001</v>
      </c>
      <c r="F2900" t="s">
        <v>56</v>
      </c>
      <c r="G2900">
        <v>-480.71190000000001</v>
      </c>
      <c r="H2900" s="1">
        <v>1.973945E-6</v>
      </c>
      <c r="I2900">
        <v>280.52030000000002</v>
      </c>
      <c r="J2900">
        <v>-431.38319999999999</v>
      </c>
      <c r="K2900">
        <v>1.105005</v>
      </c>
      <c r="L2900">
        <v>284.64190000000002</v>
      </c>
      <c r="M2900">
        <v>-0.99989399999999995</v>
      </c>
      <c r="N2900">
        <v>0</v>
      </c>
      <c r="O2900">
        <v>3.3957929999999998E-3</v>
      </c>
      <c r="P2900">
        <v>-0.99872369999999899</v>
      </c>
      <c r="Q2900">
        <v>3.5644849999999999E-2</v>
      </c>
      <c r="R2900">
        <v>-3.5785119999999997E-2</v>
      </c>
      <c r="S2900">
        <v>-2.9970089999999998</v>
      </c>
      <c r="T2900">
        <v>-6.6855070000000003E-2</v>
      </c>
      <c r="U2900">
        <v>-0.24932860000000001</v>
      </c>
      <c r="V2900">
        <v>-3.9174800000000003E-2</v>
      </c>
      <c r="W2900">
        <v>4.9789170000000001E-2</v>
      </c>
      <c r="X2900">
        <v>0.99799110000000002</v>
      </c>
      <c r="Y2900">
        <v>-8.6267880000000005E-2</v>
      </c>
      <c r="Z2900">
        <v>-1.0360429999999999E-3</v>
      </c>
      <c r="AA2900">
        <v>0.99627140000000003</v>
      </c>
      <c r="AB2900">
        <v>29</v>
      </c>
      <c r="AC2900">
        <v>-49.328699999999998</v>
      </c>
      <c r="AD2900">
        <v>-1.1050030260549999</v>
      </c>
      <c r="AE2900">
        <v>-4.1215999999999999</v>
      </c>
      <c r="AF2900">
        <v>-4.2869668062721997</v>
      </c>
      <c r="AG2900">
        <v>-1.1050030260549999</v>
      </c>
      <c r="AH2900">
        <v>49.289856021795799</v>
      </c>
      <c r="AI2900">
        <v>91.279439951790096</v>
      </c>
      <c r="AJ2900">
        <v>94.970770254851004</v>
      </c>
      <c r="AK2900">
        <v>49.488271567463599</v>
      </c>
    </row>
    <row r="2901" spans="1:37" x14ac:dyDescent="0.2">
      <c r="A2901" t="str">
        <f>"20200111155554160"</f>
        <v>20200111155554160</v>
      </c>
      <c r="B2901" t="str">
        <f>"1578729354154658"</f>
        <v>1578729354154658</v>
      </c>
      <c r="C2901" t="s">
        <v>37</v>
      </c>
      <c r="D2901">
        <v>4.8920029999999999</v>
      </c>
      <c r="E2901">
        <v>0.48260239999999999</v>
      </c>
      <c r="F2901" t="s">
        <v>56</v>
      </c>
      <c r="G2901">
        <v>-485.6112</v>
      </c>
      <c r="H2901" s="1">
        <v>2.8039949999999998E-6</v>
      </c>
      <c r="I2901">
        <v>280.07420000000002</v>
      </c>
      <c r="J2901">
        <v>-431.58539999999999</v>
      </c>
      <c r="K2901">
        <v>1.1050120000000001</v>
      </c>
      <c r="L2901">
        <v>284.64269999999999</v>
      </c>
      <c r="M2901">
        <v>-0.9998939</v>
      </c>
      <c r="N2901">
        <v>0</v>
      </c>
      <c r="O2901">
        <v>3.3959870000000001E-3</v>
      </c>
      <c r="P2901">
        <v>-0.99868449999999998</v>
      </c>
      <c r="Q2901">
        <v>3.6296969999999998E-2</v>
      </c>
      <c r="R2901">
        <v>-3.6216369999999998E-2</v>
      </c>
      <c r="S2901">
        <v>-2.9969790000000001</v>
      </c>
      <c r="T2901">
        <v>-6.1069369999999998E-2</v>
      </c>
      <c r="U2901">
        <v>-0.25244139999999998</v>
      </c>
      <c r="V2901">
        <v>-3.9606549999999997E-2</v>
      </c>
      <c r="W2901">
        <v>5.0438749999999997E-2</v>
      </c>
      <c r="X2901">
        <v>0.99794150000000004</v>
      </c>
      <c r="Y2901">
        <v>-8.7299909999999994E-2</v>
      </c>
      <c r="Z2901">
        <v>-9.5687039999999902E-4</v>
      </c>
      <c r="AA2901">
        <v>0.996181599999999</v>
      </c>
      <c r="AB2901">
        <v>29</v>
      </c>
      <c r="AC2901">
        <v>-54.025799999999997</v>
      </c>
      <c r="AD2901">
        <v>-1.1050091960049999</v>
      </c>
      <c r="AE2901">
        <v>-4.56849999999997</v>
      </c>
      <c r="AF2901">
        <v>-4.7499899730271196</v>
      </c>
      <c r="AG2901">
        <v>-1.1050091960049999</v>
      </c>
      <c r="AH2901">
        <v>53.9875474828549</v>
      </c>
      <c r="AI2901">
        <v>91.168046916286997</v>
      </c>
      <c r="AJ2901">
        <v>95.028110810193695</v>
      </c>
      <c r="AK2901">
        <v>54.207367887406498</v>
      </c>
    </row>
    <row r="2902" spans="1:37" x14ac:dyDescent="0.2">
      <c r="A2902" t="str">
        <f>"20200111155554174"</f>
        <v>20200111155554174</v>
      </c>
      <c r="B2902" t="str">
        <f>"1578729354165394"</f>
        <v>1578729354165394</v>
      </c>
      <c r="C2902" t="s">
        <v>37</v>
      </c>
      <c r="D2902">
        <v>4.9413169999999997</v>
      </c>
      <c r="E2902">
        <v>0.48258329999999899</v>
      </c>
      <c r="F2902" t="s">
        <v>56</v>
      </c>
      <c r="G2902">
        <v>-487.06979999999999</v>
      </c>
      <c r="H2902" s="1">
        <v>3.04719E-6</v>
      </c>
      <c r="I2902">
        <v>279.8965</v>
      </c>
      <c r="J2902">
        <v>-431.7688</v>
      </c>
      <c r="K2902">
        <v>1.1050249999999999</v>
      </c>
      <c r="L2902">
        <v>284.64330000000001</v>
      </c>
      <c r="M2902">
        <v>-0.99989399999999995</v>
      </c>
      <c r="N2902">
        <v>0</v>
      </c>
      <c r="O2902">
        <v>3.3958209999999998E-3</v>
      </c>
      <c r="P2902">
        <v>-0.99861759999999999</v>
      </c>
      <c r="Q2902">
        <v>3.7526039999999997E-2</v>
      </c>
      <c r="R2902">
        <v>-3.6807050000000001E-2</v>
      </c>
      <c r="S2902">
        <v>-2.996826</v>
      </c>
      <c r="T2902">
        <v>-5.9683800000000002E-2</v>
      </c>
      <c r="U2902">
        <v>-0.25634770000000001</v>
      </c>
      <c r="V2902">
        <v>-4.0196469999999998E-2</v>
      </c>
      <c r="W2902">
        <v>5.166453E-2</v>
      </c>
      <c r="X2902">
        <v>0.99785519999999905</v>
      </c>
      <c r="Y2902">
        <v>-8.8593679999999994E-2</v>
      </c>
      <c r="Z2902">
        <v>-9.4801569999999999E-4</v>
      </c>
      <c r="AA2902">
        <v>0.99606740000000005</v>
      </c>
      <c r="AB2902">
        <v>29</v>
      </c>
      <c r="AC2902">
        <v>-55.300999999999902</v>
      </c>
      <c r="AD2902">
        <v>-1.10502195280999</v>
      </c>
      <c r="AE2902">
        <v>-4.7468000000000004</v>
      </c>
      <c r="AF2902">
        <v>-4.9326286598731901</v>
      </c>
      <c r="AG2902">
        <v>-1.10502195280999</v>
      </c>
      <c r="AH2902">
        <v>55.262656377447001</v>
      </c>
      <c r="AI2902">
        <v>91.140988365816099</v>
      </c>
      <c r="AJ2902">
        <v>95.100584214506</v>
      </c>
      <c r="AK2902">
        <v>55.493360764186697</v>
      </c>
    </row>
    <row r="2903" spans="1:37" x14ac:dyDescent="0.2">
      <c r="A2903" t="str">
        <f>"20200111155554189"</f>
        <v>20200111155554189</v>
      </c>
      <c r="B2903" t="str">
        <f>"1578729354185421"</f>
        <v>1578729354185421</v>
      </c>
      <c r="C2903" t="s">
        <v>37</v>
      </c>
      <c r="D2903">
        <v>4.9350529999999999</v>
      </c>
      <c r="E2903">
        <v>0.48252679999999998</v>
      </c>
      <c r="F2903" t="s">
        <v>56</v>
      </c>
      <c r="G2903">
        <v>-490.66070000000002</v>
      </c>
      <c r="H2903" s="1">
        <v>3.4027870000000001E-6</v>
      </c>
      <c r="I2903">
        <v>279.57369999999997</v>
      </c>
      <c r="J2903">
        <v>-431.96129999999999</v>
      </c>
      <c r="K2903">
        <v>1.105056</v>
      </c>
      <c r="L2903">
        <v>284.64389999999997</v>
      </c>
      <c r="M2903">
        <v>-0.99989399999999995</v>
      </c>
      <c r="N2903">
        <v>0</v>
      </c>
      <c r="O2903">
        <v>3.3958339999999999E-3</v>
      </c>
      <c r="P2903">
        <v>-0.99838449999999901</v>
      </c>
      <c r="Q2903">
        <v>4.2156239999999998E-2</v>
      </c>
      <c r="R2903">
        <v>-3.8101389999999999E-2</v>
      </c>
      <c r="S2903">
        <v>-2.9967349999999899</v>
      </c>
      <c r="T2903">
        <v>-5.6229349999999997E-2</v>
      </c>
      <c r="U2903">
        <v>-0.2579651</v>
      </c>
      <c r="V2903">
        <v>-4.14893E-2</v>
      </c>
      <c r="W2903">
        <v>5.62893E-2</v>
      </c>
      <c r="X2903">
        <v>0.99755210000000005</v>
      </c>
      <c r="Y2903">
        <v>-8.9131890000000005E-2</v>
      </c>
      <c r="Z2903">
        <v>-8.982021E-4</v>
      </c>
      <c r="AA2903">
        <v>0.9960194</v>
      </c>
      <c r="AB2903">
        <v>29</v>
      </c>
      <c r="AC2903">
        <v>-58.699399999999997</v>
      </c>
      <c r="AD2903">
        <v>-1.1050525972130001</v>
      </c>
      <c r="AE2903">
        <v>-5.0701999999999998</v>
      </c>
      <c r="AF2903">
        <v>-5.2676711019502704</v>
      </c>
      <c r="AG2903">
        <v>-1.1050525972130001</v>
      </c>
      <c r="AH2903">
        <v>58.661206390504503</v>
      </c>
      <c r="AI2903">
        <v>91.074879169398201</v>
      </c>
      <c r="AJ2903">
        <v>95.131295312239999</v>
      </c>
      <c r="AK2903">
        <v>58.907611013096599</v>
      </c>
    </row>
    <row r="2904" spans="1:37" x14ac:dyDescent="0.2">
      <c r="A2904" t="str">
        <f>"20200111155554204"</f>
        <v>20200111155554204</v>
      </c>
      <c r="B2904" t="str">
        <f>"1578729354195183"</f>
        <v>1578729354195183</v>
      </c>
      <c r="C2904" t="s">
        <v>37</v>
      </c>
      <c r="D2904">
        <v>4.9338189999999997</v>
      </c>
      <c r="E2904">
        <v>0.48257109999999898</v>
      </c>
      <c r="F2904" t="s">
        <v>56</v>
      </c>
      <c r="G2904">
        <v>-503.17660000000001</v>
      </c>
      <c r="H2904">
        <v>8.0000150000000006E-2</v>
      </c>
      <c r="I2904">
        <v>278.40609999999998</v>
      </c>
      <c r="J2904">
        <v>-432.16050000000001</v>
      </c>
      <c r="K2904">
        <v>1.1050659999999899</v>
      </c>
      <c r="L2904">
        <v>284.64460000000003</v>
      </c>
      <c r="M2904">
        <v>-0.99989399999999995</v>
      </c>
      <c r="N2904">
        <v>0</v>
      </c>
      <c r="O2904">
        <v>3.3958479999999999E-3</v>
      </c>
      <c r="P2904">
        <v>-0.99827949999999999</v>
      </c>
      <c r="Q2904">
        <v>4.3894099999999998E-2</v>
      </c>
      <c r="R2904">
        <v>-3.8878830000000003E-2</v>
      </c>
      <c r="S2904">
        <v>-2.9966740000000001</v>
      </c>
      <c r="T2904">
        <v>-4.3133379999999999E-2</v>
      </c>
      <c r="U2904">
        <v>-0.26248169999999998</v>
      </c>
      <c r="V2904">
        <v>-4.2266600000000001E-2</v>
      </c>
      <c r="W2904">
        <v>5.8024050000000001E-2</v>
      </c>
      <c r="X2904">
        <v>0.99742009999999903</v>
      </c>
      <c r="Y2904">
        <v>-9.0629989999999994E-2</v>
      </c>
      <c r="Z2904">
        <v>-6.9976279999999999E-4</v>
      </c>
      <c r="AA2904">
        <v>0.9958844</v>
      </c>
      <c r="AB2904">
        <v>29</v>
      </c>
      <c r="AC2904">
        <v>-71.016099999999994</v>
      </c>
      <c r="AD2904">
        <v>-1.0250658499999901</v>
      </c>
      <c r="AE2904">
        <v>-6.2385000000000401</v>
      </c>
      <c r="AF2904">
        <v>-6.4783086698288201</v>
      </c>
      <c r="AG2904">
        <v>-1.0250658499999901</v>
      </c>
      <c r="AH2904">
        <v>70.979828048592196</v>
      </c>
      <c r="AI2904">
        <v>90.823963807150307</v>
      </c>
      <c r="AJ2904">
        <v>95.214921110804994</v>
      </c>
      <c r="AK2904">
        <v>71.282222419240995</v>
      </c>
    </row>
    <row r="2905" spans="1:37" x14ac:dyDescent="0.2">
      <c r="A2905" t="str">
        <f>"20200111155554222"</f>
        <v>20200111155554222</v>
      </c>
      <c r="B2905" t="str">
        <f>"1578729354214701"</f>
        <v>1578729354214701</v>
      </c>
      <c r="C2905" t="s">
        <v>37</v>
      </c>
      <c r="D2905">
        <v>4.9803610000000003</v>
      </c>
      <c r="E2905">
        <v>0.4827707</v>
      </c>
      <c r="F2905" t="s">
        <v>60</v>
      </c>
      <c r="G2905">
        <v>-511.95859999999999</v>
      </c>
      <c r="H2905">
        <v>9.2124280000000003E-2</v>
      </c>
      <c r="I2905">
        <v>277.6003</v>
      </c>
      <c r="J2905">
        <v>-432.38990000000001</v>
      </c>
      <c r="K2905">
        <v>1.1050739999999999</v>
      </c>
      <c r="L2905">
        <v>284.6454</v>
      </c>
      <c r="M2905">
        <v>-0.99989399999999995</v>
      </c>
      <c r="N2905">
        <v>0</v>
      </c>
      <c r="O2905">
        <v>3.3956849999999998E-3</v>
      </c>
      <c r="P2905">
        <v>-0.99818680000000004</v>
      </c>
      <c r="Q2905">
        <v>4.4266739999999999E-2</v>
      </c>
      <c r="R2905">
        <v>-4.0791569999999999E-2</v>
      </c>
      <c r="S2905">
        <v>-2.9965820000000001</v>
      </c>
      <c r="T2905">
        <v>-3.803492E-2</v>
      </c>
      <c r="U2905">
        <v>-0.26452639999999999</v>
      </c>
      <c r="V2905">
        <v>-4.417894E-2</v>
      </c>
      <c r="W2905">
        <v>5.8392970000000002E-2</v>
      </c>
      <c r="X2905">
        <v>0.99731559999999897</v>
      </c>
      <c r="Y2905">
        <v>-9.1308890000000004E-2</v>
      </c>
      <c r="Z2905">
        <v>-6.2135480000000002E-4</v>
      </c>
      <c r="AA2905">
        <v>0.9958224</v>
      </c>
      <c r="AB2905">
        <v>29</v>
      </c>
      <c r="AC2905">
        <v>-79.568699999999893</v>
      </c>
      <c r="AD2905">
        <v>-1.0129497199999999</v>
      </c>
      <c r="AE2905">
        <v>-7.0450999999999899</v>
      </c>
      <c r="AF2905">
        <v>-7.3141005555964096</v>
      </c>
      <c r="AG2905">
        <v>-1.0129497199999999</v>
      </c>
      <c r="AH2905">
        <v>79.5315267511982</v>
      </c>
      <c r="AI2905">
        <v>90.726639682763803</v>
      </c>
      <c r="AJ2905">
        <v>95.254414767877407</v>
      </c>
      <c r="AK2905">
        <v>79.873561842759798</v>
      </c>
    </row>
    <row r="2906" spans="1:37" x14ac:dyDescent="0.2">
      <c r="A2906" t="str">
        <f>"20200111155554237"</f>
        <v>20200111155554237</v>
      </c>
      <c r="B2906" t="str">
        <f>"1578729354235198"</f>
        <v>1578729354235198</v>
      </c>
      <c r="C2906" t="s">
        <v>37</v>
      </c>
      <c r="D2906">
        <v>4.9937949999999898</v>
      </c>
      <c r="E2906">
        <v>0.48325950000000001</v>
      </c>
      <c r="F2906" t="s">
        <v>60</v>
      </c>
      <c r="G2906">
        <v>-511.95859999999999</v>
      </c>
      <c r="H2906">
        <v>6.335723E-2</v>
      </c>
      <c r="I2906">
        <v>277.50540000000001</v>
      </c>
      <c r="J2906">
        <v>-432.58350000000002</v>
      </c>
      <c r="K2906">
        <v>1.10507</v>
      </c>
      <c r="L2906">
        <v>284.64609999999999</v>
      </c>
      <c r="M2906">
        <v>-0.99989409999999901</v>
      </c>
      <c r="N2906">
        <v>0</v>
      </c>
      <c r="O2906">
        <v>3.3956989999999999E-3</v>
      </c>
      <c r="P2906">
        <v>-0.9981757</v>
      </c>
      <c r="Q2906">
        <v>4.4130199999999897E-2</v>
      </c>
      <c r="R2906">
        <v>-4.1203789999999997E-2</v>
      </c>
      <c r="S2906">
        <v>-2.996216</v>
      </c>
      <c r="T2906">
        <v>-3.9223429999999997E-2</v>
      </c>
      <c r="U2906">
        <v>-0.26885989999999999</v>
      </c>
      <c r="V2906">
        <v>-4.459113E-2</v>
      </c>
      <c r="W2906">
        <v>5.8253970000000002E-2</v>
      </c>
      <c r="X2906">
        <v>0.99730540000000001</v>
      </c>
      <c r="Y2906">
        <v>-9.274781E-2</v>
      </c>
      <c r="Z2906">
        <v>-6.5020559999999896E-4</v>
      </c>
      <c r="AA2906">
        <v>0.99568939999999995</v>
      </c>
      <c r="AB2906">
        <v>29</v>
      </c>
      <c r="AC2906">
        <v>-79.375099999999904</v>
      </c>
      <c r="AD2906">
        <v>-1.04171277</v>
      </c>
      <c r="AE2906">
        <v>-7.1406999999999803</v>
      </c>
      <c r="AF2906">
        <v>-7.4089539085052598</v>
      </c>
      <c r="AG2906">
        <v>-1.04171277</v>
      </c>
      <c r="AH2906">
        <v>79.336837116066505</v>
      </c>
      <c r="AI2906">
        <v>90.749006309440304</v>
      </c>
      <c r="AJ2906">
        <v>95.335153276020506</v>
      </c>
      <c r="AK2906">
        <v>79.688841672437505</v>
      </c>
    </row>
    <row r="2907" spans="1:37" x14ac:dyDescent="0.2">
      <c r="A2907" t="str">
        <f>"20200111155554250"</f>
        <v>20200111155554250</v>
      </c>
      <c r="B2907" t="str">
        <f>"1578729354244958"</f>
        <v>1578729354244958</v>
      </c>
      <c r="C2907" t="s">
        <v>37</v>
      </c>
      <c r="D2907">
        <v>4.9822139999999999</v>
      </c>
      <c r="E2907">
        <v>0.51066259999999997</v>
      </c>
      <c r="F2907" t="s">
        <v>60</v>
      </c>
      <c r="G2907">
        <v>-511.95859999999999</v>
      </c>
      <c r="H2907">
        <v>-1.6745360000000001E-2</v>
      </c>
      <c r="I2907">
        <v>277.59410000000003</v>
      </c>
      <c r="J2907">
        <v>-432.75209999999998</v>
      </c>
      <c r="K2907">
        <v>1.1050709999999999</v>
      </c>
      <c r="L2907">
        <v>284.64659999999998</v>
      </c>
      <c r="M2907">
        <v>-0.99989409999999901</v>
      </c>
      <c r="N2907">
        <v>0</v>
      </c>
      <c r="O2907">
        <v>3.3957119999999999E-3</v>
      </c>
      <c r="P2907">
        <v>-0.99815730000000003</v>
      </c>
      <c r="Q2907">
        <v>4.4382169999999999E-2</v>
      </c>
      <c r="R2907">
        <v>-4.1381359999999999E-2</v>
      </c>
      <c r="S2907">
        <v>-2.9963679999999999</v>
      </c>
      <c r="T2907">
        <v>-4.2344809999999997E-2</v>
      </c>
      <c r="U2907">
        <v>-0.26620479999999902</v>
      </c>
      <c r="V2907">
        <v>-4.4768799999999997E-2</v>
      </c>
      <c r="W2907">
        <v>5.8503869999999999E-2</v>
      </c>
      <c r="X2907">
        <v>0.99728289999999997</v>
      </c>
      <c r="Y2907">
        <v>-9.1866719999999999E-2</v>
      </c>
      <c r="Z2907">
        <v>-6.9572250000000003E-4</v>
      </c>
      <c r="AA2907">
        <v>0.99577109999999902</v>
      </c>
      <c r="AB2907">
        <v>29</v>
      </c>
      <c r="AC2907">
        <v>-79.206500000000005</v>
      </c>
      <c r="AD2907">
        <v>-1.12181636</v>
      </c>
      <c r="AE2907">
        <v>-7.0524999999999496</v>
      </c>
      <c r="AF2907">
        <v>-7.3199919183375597</v>
      </c>
      <c r="AG2907">
        <v>-1.12181636</v>
      </c>
      <c r="AH2907">
        <v>79.166337063809806</v>
      </c>
      <c r="AI2907">
        <v>90.8084002221308</v>
      </c>
      <c r="AJ2907">
        <v>95.282744166789001</v>
      </c>
      <c r="AK2907">
        <v>79.511946761042395</v>
      </c>
    </row>
    <row r="2908" spans="1:37" x14ac:dyDescent="0.2">
      <c r="A2908" t="str">
        <f>"20200111155554265"</f>
        <v>20200111155554265</v>
      </c>
      <c r="B2908" t="str">
        <f>"1578729354254718"</f>
        <v>1578729354254718</v>
      </c>
      <c r="C2908" t="s">
        <v>37</v>
      </c>
      <c r="D2908">
        <v>5.0319560000000001</v>
      </c>
      <c r="E2908">
        <v>0.51123370000000001</v>
      </c>
      <c r="F2908" t="s">
        <v>59</v>
      </c>
      <c r="G2908">
        <v>-454.72300000000001</v>
      </c>
      <c r="H2908" s="1">
        <v>9.9251430000000002E-7</v>
      </c>
      <c r="I2908">
        <v>284.25150000000002</v>
      </c>
      <c r="J2908">
        <v>-432.93060000000003</v>
      </c>
      <c r="K2908">
        <v>1.1050690000000001</v>
      </c>
      <c r="L2908">
        <v>284.6472</v>
      </c>
      <c r="M2908">
        <v>-0.99989409999999901</v>
      </c>
      <c r="N2908">
        <v>0</v>
      </c>
      <c r="O2908">
        <v>3.3957240000000001E-3</v>
      </c>
      <c r="P2908">
        <v>-0.99814009999999997</v>
      </c>
      <c r="Q2908">
        <v>4.4791209999999998E-2</v>
      </c>
      <c r="R2908">
        <v>-4.1353300000000003E-2</v>
      </c>
      <c r="S2908">
        <v>-3.0100709999999999</v>
      </c>
      <c r="T2908">
        <v>-0.15139759999999999</v>
      </c>
      <c r="U2908">
        <v>-5.4138180000000001E-2</v>
      </c>
      <c r="V2908">
        <v>-4.4740630000000003E-2</v>
      </c>
      <c r="W2908">
        <v>5.8910879999999999E-2</v>
      </c>
      <c r="X2908">
        <v>0.99726019999999904</v>
      </c>
      <c r="Y2908">
        <v>-2.1346919999999998E-2</v>
      </c>
      <c r="Z2908">
        <v>-7.0715250000000002E-4</v>
      </c>
      <c r="AA2908">
        <v>0.99977190000000005</v>
      </c>
      <c r="AB2908">
        <v>29</v>
      </c>
      <c r="AC2908">
        <v>-21.792399999999901</v>
      </c>
      <c r="AD2908">
        <v>-1.1050680074857</v>
      </c>
      <c r="AE2908">
        <v>-0.39569999999997602</v>
      </c>
      <c r="AF2908">
        <v>-0.46850180097670102</v>
      </c>
      <c r="AG2908">
        <v>-1.1050680074857</v>
      </c>
      <c r="AH2908">
        <v>21.735059622292098</v>
      </c>
      <c r="AI2908">
        <v>92.909888262707597</v>
      </c>
      <c r="AJ2908">
        <v>91.234826137805797</v>
      </c>
      <c r="AK2908">
        <v>21.768175992105501</v>
      </c>
    </row>
    <row r="2909" spans="1:37" x14ac:dyDescent="0.2">
      <c r="A2909" t="str">
        <f>"20200111155554279"</f>
        <v>20200111155554279</v>
      </c>
      <c r="B2909" t="str">
        <f>"1578729354275213"</f>
        <v>1578729354275213</v>
      </c>
      <c r="C2909" t="s">
        <v>37</v>
      </c>
      <c r="D2909">
        <v>4.9551540000000003</v>
      </c>
      <c r="E2909">
        <v>0.51174209999999998</v>
      </c>
      <c r="F2909" t="s">
        <v>59</v>
      </c>
      <c r="G2909">
        <v>-454.97120000000001</v>
      </c>
      <c r="H2909" s="1">
        <v>1.123144E-6</v>
      </c>
      <c r="I2909">
        <v>284.28410000000002</v>
      </c>
      <c r="J2909">
        <v>-433.10599999999999</v>
      </c>
      <c r="K2909">
        <v>1.1050599999999999</v>
      </c>
      <c r="L2909">
        <v>284.64780000000002</v>
      </c>
      <c r="M2909">
        <v>-0.99989409999999901</v>
      </c>
      <c r="N2909">
        <v>0</v>
      </c>
      <c r="O2909">
        <v>3.3955589999999998E-3</v>
      </c>
      <c r="P2909">
        <v>-0.99813180000000001</v>
      </c>
      <c r="Q2909">
        <v>4.5488859999999999E-2</v>
      </c>
      <c r="R2909">
        <v>-4.0789289999999999E-2</v>
      </c>
      <c r="S2909">
        <v>-3.0103149999999999</v>
      </c>
      <c r="T2909">
        <v>-0.1509308</v>
      </c>
      <c r="U2909">
        <v>-4.9591059999999999E-2</v>
      </c>
      <c r="V2909">
        <v>-4.4176720000000003E-2</v>
      </c>
      <c r="W2909">
        <v>5.960679E-2</v>
      </c>
      <c r="X2909">
        <v>0.99724389999999996</v>
      </c>
      <c r="Y2909">
        <v>-1.9837649999999998E-2</v>
      </c>
      <c r="Z2909">
        <v>-6.6710879999999997E-4</v>
      </c>
      <c r="AA2909">
        <v>0.999803</v>
      </c>
      <c r="AB2909">
        <v>29</v>
      </c>
      <c r="AC2909">
        <v>-21.865200000000002</v>
      </c>
      <c r="AD2909">
        <v>-1.1050588768559999</v>
      </c>
      <c r="AE2909">
        <v>-0.36369999999999397</v>
      </c>
      <c r="AF2909">
        <v>-0.43683443763162499</v>
      </c>
      <c r="AG2909">
        <v>-1.1050588768559999</v>
      </c>
      <c r="AH2909">
        <v>21.8081507065951</v>
      </c>
      <c r="AI2909">
        <v>92.900220111129599</v>
      </c>
      <c r="AJ2909">
        <v>91.147526138873801</v>
      </c>
      <c r="AK2909">
        <v>21.840499460607202</v>
      </c>
    </row>
    <row r="2910" spans="1:37" x14ac:dyDescent="0.2">
      <c r="A2910" t="str">
        <f>"20200111155554294"</f>
        <v>20200111155554294</v>
      </c>
      <c r="B2910" t="str">
        <f>"1578729354284973"</f>
        <v>1578729354284973</v>
      </c>
      <c r="C2910" t="s">
        <v>37</v>
      </c>
      <c r="D2910">
        <v>5.005223</v>
      </c>
      <c r="E2910">
        <v>0.51217879999999905</v>
      </c>
      <c r="F2910" t="s">
        <v>59</v>
      </c>
      <c r="G2910">
        <v>-455.71129999999999</v>
      </c>
      <c r="H2910" s="1">
        <v>1.5155919999999999E-6</v>
      </c>
      <c r="I2910">
        <v>284.31630000000001</v>
      </c>
      <c r="J2910">
        <v>-433.30939999999998</v>
      </c>
      <c r="K2910">
        <v>1.1050450000000001</v>
      </c>
      <c r="L2910">
        <v>284.64850000000001</v>
      </c>
      <c r="M2910">
        <v>-0.99989409999999901</v>
      </c>
      <c r="N2910">
        <v>0</v>
      </c>
      <c r="O2910">
        <v>3.3955729999999998E-3</v>
      </c>
      <c r="P2910">
        <v>-0.99815900000000002</v>
      </c>
      <c r="Q2910">
        <v>4.5027249999999998E-2</v>
      </c>
      <c r="R2910">
        <v>-4.0632139999999997E-2</v>
      </c>
      <c r="S2910">
        <v>-3.010529</v>
      </c>
      <c r="T2910">
        <v>-0.1471692</v>
      </c>
      <c r="U2910">
        <v>-4.4158940000000001E-2</v>
      </c>
      <c r="V2910">
        <v>-4.4019580000000003E-2</v>
      </c>
      <c r="W2910">
        <v>5.9143170000000002E-2</v>
      </c>
      <c r="X2910">
        <v>0.99727849999999996</v>
      </c>
      <c r="Y2910">
        <v>-1.8036469999999999E-2</v>
      </c>
      <c r="Z2910">
        <v>-6.0646980000000005E-4</v>
      </c>
      <c r="AA2910">
        <v>0.99983719999999998</v>
      </c>
      <c r="AB2910">
        <v>29</v>
      </c>
      <c r="AC2910">
        <v>-22.401900000000001</v>
      </c>
      <c r="AD2910">
        <v>-1.1050434844079999</v>
      </c>
      <c r="AE2910">
        <v>-0.3322</v>
      </c>
      <c r="AF2910">
        <v>-0.40728218227065</v>
      </c>
      <c r="AG2910">
        <v>-1.1050434844079999</v>
      </c>
      <c r="AH2910">
        <v>22.346280285893901</v>
      </c>
      <c r="AI2910">
        <v>92.830551904539604</v>
      </c>
      <c r="AJ2910">
        <v>91.044154392716194</v>
      </c>
      <c r="AK2910">
        <v>22.377293010866101</v>
      </c>
    </row>
    <row r="2911" spans="1:37" x14ac:dyDescent="0.2">
      <c r="A2911" t="str">
        <f>"20200111155554309"</f>
        <v>20200111155554309</v>
      </c>
      <c r="B2911" t="str">
        <f>"1578729354305471"</f>
        <v>1578729354305471</v>
      </c>
      <c r="C2911" t="s">
        <v>37</v>
      </c>
      <c r="D2911">
        <v>4.0657059999999996</v>
      </c>
      <c r="E2911">
        <v>0.51237489999999997</v>
      </c>
      <c r="F2911" t="s">
        <v>59</v>
      </c>
      <c r="G2911">
        <v>-456.25740000000002</v>
      </c>
      <c r="H2911" s="1">
        <v>1.805011E-6</v>
      </c>
      <c r="I2911">
        <v>284.34399999999999</v>
      </c>
      <c r="J2911">
        <v>-433.488</v>
      </c>
      <c r="K2911">
        <v>1.105029</v>
      </c>
      <c r="L2911">
        <v>284.64909999999998</v>
      </c>
      <c r="M2911">
        <v>-0.99989430000000001</v>
      </c>
      <c r="N2911">
        <v>0</v>
      </c>
      <c r="O2911">
        <v>3.395407E-3</v>
      </c>
      <c r="P2911">
        <v>-0.9983476</v>
      </c>
      <c r="Q2911">
        <v>4.1551339999999999E-2</v>
      </c>
      <c r="R2911">
        <v>-3.9695649999999999E-2</v>
      </c>
      <c r="S2911">
        <v>-3.0104679999999999</v>
      </c>
      <c r="T2911">
        <v>-0.1449666</v>
      </c>
      <c r="U2911">
        <v>-3.9947509999999999E-2</v>
      </c>
      <c r="V2911">
        <v>-4.3083759999999999E-2</v>
      </c>
      <c r="W2911">
        <v>5.5668479999999999E-2</v>
      </c>
      <c r="X2911">
        <v>0.9975193</v>
      </c>
      <c r="Y2911">
        <v>-1.6640530000000001E-2</v>
      </c>
      <c r="Z2911">
        <v>-5.6382429999999998E-4</v>
      </c>
      <c r="AA2911">
        <v>0.99986140000000001</v>
      </c>
      <c r="AB2911">
        <v>29</v>
      </c>
      <c r="AC2911">
        <v>-22.769399999999901</v>
      </c>
      <c r="AD2911">
        <v>-1.105027194989</v>
      </c>
      <c r="AE2911">
        <v>-0.305099999999981</v>
      </c>
      <c r="AF2911">
        <v>-0.381518924930282</v>
      </c>
      <c r="AG2911">
        <v>-1.105027194989</v>
      </c>
      <c r="AH2911">
        <v>22.714742677786099</v>
      </c>
      <c r="AI2911">
        <v>92.784738181107102</v>
      </c>
      <c r="AJ2911">
        <v>90.962254747176601</v>
      </c>
      <c r="AK2911">
        <v>22.7448054885018</v>
      </c>
    </row>
    <row r="2912" spans="1:37" x14ac:dyDescent="0.2">
      <c r="A2912" t="str">
        <f>"20200111155554321"</f>
        <v>20200111155554321</v>
      </c>
      <c r="B2912" t="str">
        <f>"1578729354314947"</f>
        <v>1578729354314947</v>
      </c>
      <c r="C2912" t="s">
        <v>37</v>
      </c>
      <c r="D2912">
        <v>4.0494750000000002</v>
      </c>
      <c r="E2912">
        <v>0.51237489999999997</v>
      </c>
      <c r="F2912" t="s">
        <v>59</v>
      </c>
      <c r="G2912">
        <v>-455.0847</v>
      </c>
      <c r="H2912" s="1">
        <v>1.178744E-6</v>
      </c>
      <c r="I2912">
        <v>284.39359999999999</v>
      </c>
      <c r="J2912">
        <v>-433.66140000000001</v>
      </c>
      <c r="K2912">
        <v>1.1050169999999999</v>
      </c>
      <c r="L2912">
        <v>284.6497</v>
      </c>
      <c r="M2912">
        <v>-0.99989430000000001</v>
      </c>
      <c r="N2912">
        <v>0</v>
      </c>
      <c r="O2912">
        <v>3.3954200000000001E-3</v>
      </c>
      <c r="P2912">
        <v>-0.99851979999999996</v>
      </c>
      <c r="Q2912">
        <v>3.8203519999999998E-2</v>
      </c>
      <c r="R2912">
        <v>-3.871521E-2</v>
      </c>
      <c r="S2912">
        <v>-3.0098880000000001</v>
      </c>
      <c r="T2912">
        <v>-0.1540057</v>
      </c>
      <c r="U2912">
        <v>-3.5614010000000001E-2</v>
      </c>
      <c r="V2912">
        <v>-4.2103439999999999E-2</v>
      </c>
      <c r="W2912">
        <v>5.2321680000000002E-2</v>
      </c>
      <c r="X2912">
        <v>0.99774229999999997</v>
      </c>
      <c r="Y2912">
        <v>-1.520264E-2</v>
      </c>
      <c r="Z2912">
        <v>-5.6229640000000003E-4</v>
      </c>
      <c r="AA2912">
        <v>0.999884199999999</v>
      </c>
      <c r="AB2912">
        <v>29</v>
      </c>
      <c r="AC2912">
        <v>-21.423299999999902</v>
      </c>
      <c r="AD2912">
        <v>-1.105015821256</v>
      </c>
      <c r="AE2912">
        <v>-0.25610000000000299</v>
      </c>
      <c r="AF2912">
        <v>-0.32797444150683203</v>
      </c>
      <c r="AG2912">
        <v>-1.105015821256</v>
      </c>
      <c r="AH2912">
        <v>21.3654719818547</v>
      </c>
      <c r="AI2912">
        <v>92.960334440936904</v>
      </c>
      <c r="AJ2912">
        <v>90.879459881672005</v>
      </c>
      <c r="AK2912">
        <v>21.396542248852398</v>
      </c>
    </row>
    <row r="2913" spans="1:37" x14ac:dyDescent="0.2">
      <c r="A2913" t="str">
        <f>"20200111155554334"</f>
        <v>20200111155554334</v>
      </c>
      <c r="B2913" t="str">
        <f>"1578729354324707"</f>
        <v>1578729354324707</v>
      </c>
      <c r="C2913" t="s">
        <v>37</v>
      </c>
      <c r="D2913">
        <v>5.0185510000000004</v>
      </c>
      <c r="E2913">
        <v>0.51264779999999999</v>
      </c>
      <c r="F2913" t="s">
        <v>59</v>
      </c>
      <c r="G2913">
        <v>-453.9196</v>
      </c>
      <c r="H2913" s="1">
        <v>5.5722639999999998E-7</v>
      </c>
      <c r="I2913">
        <v>284.42950000000002</v>
      </c>
      <c r="J2913">
        <v>-433.820999999999</v>
      </c>
      <c r="K2913">
        <v>1.10501</v>
      </c>
      <c r="L2913">
        <v>284.65019999999998</v>
      </c>
      <c r="M2913">
        <v>-0.99989419999999996</v>
      </c>
      <c r="N2913">
        <v>0</v>
      </c>
      <c r="O2913">
        <v>3.3956109999999898E-3</v>
      </c>
      <c r="P2913">
        <v>-0.99866129999999997</v>
      </c>
      <c r="Q2913">
        <v>3.6702270000000002E-2</v>
      </c>
      <c r="R2913">
        <v>-3.6452970000000001E-2</v>
      </c>
      <c r="S2913">
        <v>-3.0094910000000001</v>
      </c>
      <c r="T2913">
        <v>-0.16415750000000001</v>
      </c>
      <c r="U2913">
        <v>-3.2714840000000002E-2</v>
      </c>
      <c r="V2913">
        <v>-3.9842280000000001E-2</v>
      </c>
      <c r="W2913">
        <v>5.0821169999999999E-2</v>
      </c>
      <c r="X2913">
        <v>0.99791269999999999</v>
      </c>
      <c r="Y2913">
        <v>-1.4239389999999999E-2</v>
      </c>
      <c r="Z2913">
        <v>-5.7315019999999999E-4</v>
      </c>
      <c r="AA2913">
        <v>0.99989839999999997</v>
      </c>
      <c r="AB2913">
        <v>29</v>
      </c>
      <c r="AC2913">
        <v>-20.098600000000001</v>
      </c>
      <c r="AD2913">
        <v>-1.1050094427735999</v>
      </c>
      <c r="AE2913">
        <v>-0.22069999999996501</v>
      </c>
      <c r="AF2913">
        <v>-0.28808189154931002</v>
      </c>
      <c r="AG2913">
        <v>-1.1050094427735999</v>
      </c>
      <c r="AH2913">
        <v>20.037174812218598</v>
      </c>
      <c r="AI2913">
        <v>93.156222778466301</v>
      </c>
      <c r="AJ2913">
        <v>90.823705913252397</v>
      </c>
      <c r="AK2913">
        <v>20.069688874027499</v>
      </c>
    </row>
    <row r="2914" spans="1:37" x14ac:dyDescent="0.2">
      <c r="A2914" t="str">
        <f>"20200111155554350"</f>
        <v>20200111155554350</v>
      </c>
      <c r="B2914" t="str">
        <f>"1578729354345203"</f>
        <v>1578729354345203</v>
      </c>
      <c r="C2914" t="s">
        <v>37</v>
      </c>
      <c r="D2914">
        <v>5.0824619999999996</v>
      </c>
      <c r="E2914">
        <v>0.5131696</v>
      </c>
      <c r="F2914" t="s">
        <v>59</v>
      </c>
      <c r="G2914">
        <v>-453.35649999999998</v>
      </c>
      <c r="H2914" s="1">
        <v>2.5473659999999901E-7</v>
      </c>
      <c r="I2914">
        <v>284.4939</v>
      </c>
      <c r="J2914">
        <v>-434.0127</v>
      </c>
      <c r="K2914">
        <v>1.105013</v>
      </c>
      <c r="L2914">
        <v>284.65089999999998</v>
      </c>
      <c r="M2914">
        <v>-0.99989430000000001</v>
      </c>
      <c r="N2914">
        <v>0</v>
      </c>
      <c r="O2914">
        <v>3.3954469999999998E-3</v>
      </c>
      <c r="P2914">
        <v>-0.99871189999999999</v>
      </c>
      <c r="Q2914">
        <v>3.639005E-2</v>
      </c>
      <c r="R2914">
        <v>-3.5359870000000002E-2</v>
      </c>
      <c r="S2914">
        <v>-3.009369</v>
      </c>
      <c r="T2914">
        <v>-0.17022209999999999</v>
      </c>
      <c r="U2914">
        <v>-2.4078370000000002E-2</v>
      </c>
      <c r="V2914">
        <v>-3.8749390000000002E-2</v>
      </c>
      <c r="W2914">
        <v>5.0507330000000003E-2</v>
      </c>
      <c r="X2914">
        <v>0.99797169999999902</v>
      </c>
      <c r="Y2914">
        <v>-1.137291E-2</v>
      </c>
      <c r="Z2914">
        <v>-5.1331019999999996E-4</v>
      </c>
      <c r="AA2914">
        <v>0.99993519999999902</v>
      </c>
      <c r="AB2914">
        <v>29</v>
      </c>
      <c r="AC2914">
        <v>-19.343799999999899</v>
      </c>
      <c r="AD2914">
        <v>-1.1050127452634</v>
      </c>
      <c r="AE2914">
        <v>-0.15699999999998199</v>
      </c>
      <c r="AF2914">
        <v>-0.221962235304348</v>
      </c>
      <c r="AG2914">
        <v>-1.1050127452634</v>
      </c>
      <c r="AH2914">
        <v>19.2802431290215</v>
      </c>
      <c r="AI2914">
        <v>93.280000045500103</v>
      </c>
      <c r="AJ2914">
        <v>90.659583876226804</v>
      </c>
      <c r="AK2914">
        <v>19.3131586105245</v>
      </c>
    </row>
    <row r="2915" spans="1:37" x14ac:dyDescent="0.2">
      <c r="A2915" t="str">
        <f>"20200111155554364"</f>
        <v>20200111155554364</v>
      </c>
      <c r="B2915" t="str">
        <f>"1578729354354963"</f>
        <v>1578729354354963</v>
      </c>
      <c r="C2915" t="s">
        <v>37</v>
      </c>
      <c r="D2915">
        <v>5.0708260000000003</v>
      </c>
      <c r="E2915">
        <v>0.51310149999999999</v>
      </c>
      <c r="F2915" t="s">
        <v>59</v>
      </c>
      <c r="G2915">
        <v>-453.98</v>
      </c>
      <c r="H2915" s="1">
        <v>5.8434879999999995E-7</v>
      </c>
      <c r="I2915">
        <v>284.54349999999999</v>
      </c>
      <c r="J2915">
        <v>-434.20370000000003</v>
      </c>
      <c r="K2915">
        <v>1.105013</v>
      </c>
      <c r="L2915">
        <v>284.65159999999997</v>
      </c>
      <c r="M2915">
        <v>-0.99989430000000001</v>
      </c>
      <c r="N2915">
        <v>0</v>
      </c>
      <c r="O2915">
        <v>3.3954759999999902E-3</v>
      </c>
      <c r="P2915">
        <v>-0.9987606</v>
      </c>
      <c r="Q2915">
        <v>3.6098400000000003E-2</v>
      </c>
      <c r="R2915">
        <v>-3.4267779999999998E-2</v>
      </c>
      <c r="S2915">
        <v>-3.009369</v>
      </c>
      <c r="T2915">
        <v>-0.16654169999999999</v>
      </c>
      <c r="U2915">
        <v>-1.6174319999999999E-2</v>
      </c>
      <c r="V2915">
        <v>-3.7657330000000003E-2</v>
      </c>
      <c r="W2915">
        <v>5.0212550000000002E-2</v>
      </c>
      <c r="X2915">
        <v>0.99802839999999904</v>
      </c>
      <c r="Y2915">
        <v>-8.7517240000000007E-3</v>
      </c>
      <c r="Z2915">
        <v>-4.2976119999999998E-4</v>
      </c>
      <c r="AA2915">
        <v>0.99996160000000001</v>
      </c>
      <c r="AB2915">
        <v>28</v>
      </c>
      <c r="AC2915">
        <v>-19.7762999999999</v>
      </c>
      <c r="AD2915">
        <v>-1.1050124156512</v>
      </c>
      <c r="AE2915">
        <v>-0.108099999999979</v>
      </c>
      <c r="AF2915">
        <v>-0.17471059560566701</v>
      </c>
      <c r="AG2915">
        <v>-1.1050124156512</v>
      </c>
      <c r="AH2915">
        <v>19.714271164407901</v>
      </c>
      <c r="AI2915">
        <v>93.208025768708197</v>
      </c>
      <c r="AJ2915">
        <v>90.507749824233798</v>
      </c>
      <c r="AK2915">
        <v>19.745988548937401</v>
      </c>
    </row>
    <row r="2916" spans="1:37" x14ac:dyDescent="0.2">
      <c r="A2916" t="str">
        <f>"20200111155554380"</f>
        <v>20200111155554380</v>
      </c>
      <c r="B2916" t="str">
        <f>"1578729354375459"</f>
        <v>1578729354375459</v>
      </c>
      <c r="C2916" t="s">
        <v>37</v>
      </c>
      <c r="D2916">
        <v>5.0761810000000001</v>
      </c>
      <c r="E2916">
        <v>0.51355499999999998</v>
      </c>
      <c r="F2916" t="s">
        <v>59</v>
      </c>
      <c r="G2916">
        <v>-454.36430000000001</v>
      </c>
      <c r="H2916" s="1">
        <v>7.8803789999999996E-7</v>
      </c>
      <c r="I2916">
        <v>284.56259999999997</v>
      </c>
      <c r="J2916">
        <v>-434.40069999999997</v>
      </c>
      <c r="K2916">
        <v>1.105011</v>
      </c>
      <c r="L2916">
        <v>284.65219999999999</v>
      </c>
      <c r="M2916">
        <v>-0.99989459999999997</v>
      </c>
      <c r="N2916">
        <v>0</v>
      </c>
      <c r="O2916">
        <v>3.3952509999999902E-3</v>
      </c>
      <c r="P2916">
        <v>-0.99879580000000001</v>
      </c>
      <c r="Q2916">
        <v>3.5918489999999997E-2</v>
      </c>
      <c r="R2916">
        <v>-3.3426780000000003E-2</v>
      </c>
      <c r="S2916">
        <v>-3.0092469999999998</v>
      </c>
      <c r="T2916">
        <v>-0.1649378</v>
      </c>
      <c r="U2916">
        <v>-1.3275149999999999E-2</v>
      </c>
      <c r="V2916">
        <v>-3.6815800000000003E-2</v>
      </c>
      <c r="W2916">
        <v>5.0022520000000001E-2</v>
      </c>
      <c r="X2916">
        <v>0.99806930000000005</v>
      </c>
      <c r="Y2916">
        <v>-7.7901519999999998E-3</v>
      </c>
      <c r="Z2916">
        <v>-3.9930219999999999E-4</v>
      </c>
      <c r="AA2916">
        <v>0.99996960000000001</v>
      </c>
      <c r="AB2916">
        <v>28</v>
      </c>
      <c r="AC2916">
        <v>-19.9636</v>
      </c>
      <c r="AD2916">
        <v>-1.1050102119620999</v>
      </c>
      <c r="AE2916">
        <v>-8.9600000000018498E-2</v>
      </c>
      <c r="AF2916">
        <v>-0.15690695472626701</v>
      </c>
      <c r="AG2916">
        <v>-1.1050102119620999</v>
      </c>
      <c r="AH2916">
        <v>19.9022062919754</v>
      </c>
      <c r="AI2916">
        <v>93.177814638146799</v>
      </c>
      <c r="AJ2916">
        <v>90.451704695177398</v>
      </c>
      <c r="AK2916">
        <v>19.933476431604401</v>
      </c>
    </row>
    <row r="2917" spans="1:37" x14ac:dyDescent="0.2">
      <c r="A2917" t="str">
        <f>"20200111155554392"</f>
        <v>20200111155554392</v>
      </c>
      <c r="B2917" t="str">
        <f>"1578729354385218"</f>
        <v>1578729354385218</v>
      </c>
      <c r="C2917" t="s">
        <v>37</v>
      </c>
      <c r="D2917">
        <v>5.0640839999999896</v>
      </c>
      <c r="E2917">
        <v>0.51358709999999996</v>
      </c>
      <c r="F2917" t="s">
        <v>59</v>
      </c>
      <c r="G2917">
        <v>-454.79300000000001</v>
      </c>
      <c r="H2917" s="1">
        <v>1.0143190000000001E-6</v>
      </c>
      <c r="I2917">
        <v>284.60480000000001</v>
      </c>
      <c r="J2917">
        <v>-434.553</v>
      </c>
      <c r="K2917">
        <v>1.1050070000000001</v>
      </c>
      <c r="L2917">
        <v>284.65280000000001</v>
      </c>
      <c r="M2917">
        <v>-0.99989490000000003</v>
      </c>
      <c r="N2917">
        <v>0</v>
      </c>
      <c r="O2917">
        <v>3.3952559999999902E-3</v>
      </c>
      <c r="P2917">
        <v>-0.99884099999999998</v>
      </c>
      <c r="Q2917">
        <v>3.6039429999999997E-2</v>
      </c>
      <c r="R2917">
        <v>-3.1909649999999998E-2</v>
      </c>
      <c r="S2917">
        <v>-3.009277</v>
      </c>
      <c r="T2917">
        <v>-0.1630654</v>
      </c>
      <c r="U2917">
        <v>-6.9885249999999998E-3</v>
      </c>
      <c r="V2917">
        <v>-3.529885E-2</v>
      </c>
      <c r="W2917">
        <v>5.0118250000000003E-2</v>
      </c>
      <c r="X2917">
        <v>0.99811930000000004</v>
      </c>
      <c r="Y2917">
        <v>-5.7045419999999999E-3</v>
      </c>
      <c r="Z2917">
        <v>-3.3830790000000002E-4</v>
      </c>
      <c r="AA2917">
        <v>0.99998369999999903</v>
      </c>
      <c r="AB2917">
        <v>28</v>
      </c>
      <c r="AC2917">
        <v>-20.239999999999899</v>
      </c>
      <c r="AD2917">
        <v>-1.1050059856809999</v>
      </c>
      <c r="AE2917">
        <v>-4.8000000000001798E-2</v>
      </c>
      <c r="AF2917">
        <v>-0.11637964886898799</v>
      </c>
      <c r="AG2917">
        <v>-1.1050059856809999</v>
      </c>
      <c r="AH2917">
        <v>20.179572800806898</v>
      </c>
      <c r="AI2917">
        <v>93.134256761057102</v>
      </c>
      <c r="AJ2917">
        <v>90.330432603344406</v>
      </c>
      <c r="AK2917">
        <v>20.210139556028</v>
      </c>
    </row>
    <row r="2918" spans="1:37" x14ac:dyDescent="0.2">
      <c r="A2918" t="str">
        <f>"20200111155554412"</f>
        <v>20200111155554412</v>
      </c>
      <c r="B2918" t="str">
        <f>"1578729354404739"</f>
        <v>1578729354404739</v>
      </c>
      <c r="C2918" t="s">
        <v>37</v>
      </c>
      <c r="D2918">
        <v>5.1175850000000001</v>
      </c>
      <c r="E2918">
        <v>0.51340140000000001</v>
      </c>
      <c r="F2918" t="s">
        <v>59</v>
      </c>
      <c r="G2918">
        <v>-455.07859999999999</v>
      </c>
      <c r="H2918" s="1">
        <v>1.1649610000000001E-6</v>
      </c>
      <c r="I2918">
        <v>284.63470000000001</v>
      </c>
      <c r="J2918">
        <v>-434.81270000000001</v>
      </c>
      <c r="K2918">
        <v>1.1049869999999999</v>
      </c>
      <c r="L2918">
        <v>284.65359999999998</v>
      </c>
      <c r="M2918">
        <v>-0.99989609999999995</v>
      </c>
      <c r="N2918">
        <v>0</v>
      </c>
      <c r="O2918">
        <v>3.3951749999999998E-3</v>
      </c>
      <c r="P2918">
        <v>-0.99880740000000001</v>
      </c>
      <c r="Q2918">
        <v>3.69839E-2</v>
      </c>
      <c r="R2918">
        <v>-3.1876839999999997E-2</v>
      </c>
      <c r="S2918">
        <v>-3.0092469999999998</v>
      </c>
      <c r="T2918">
        <v>-0.16200479999999901</v>
      </c>
      <c r="U2918">
        <v>-2.6550290000000002E-3</v>
      </c>
      <c r="V2918">
        <v>-3.5266369999999998E-2</v>
      </c>
      <c r="W2918">
        <v>5.0980699999999997E-2</v>
      </c>
      <c r="X2918">
        <v>0.99807679999999999</v>
      </c>
      <c r="Y2918">
        <v>-4.26669599999999E-3</v>
      </c>
      <c r="Z2918">
        <v>-2.9743409999999999E-4</v>
      </c>
      <c r="AA2918">
        <v>0.99999090000000002</v>
      </c>
      <c r="AB2918">
        <v>28</v>
      </c>
      <c r="AC2918">
        <v>-20.265899999999899</v>
      </c>
      <c r="AD2918">
        <v>-1.1049858350390001</v>
      </c>
      <c r="AE2918">
        <v>-1.8899999999973702E-2</v>
      </c>
      <c r="AF2918">
        <v>-8.7452931710445506E-2</v>
      </c>
      <c r="AG2918">
        <v>-1.1049858350390001</v>
      </c>
      <c r="AH2918">
        <v>20.205649489888501</v>
      </c>
      <c r="AI2918">
        <v>93.130185573378</v>
      </c>
      <c r="AJ2918">
        <v>90.247982753924106</v>
      </c>
      <c r="AK2918">
        <v>20.236030070622299</v>
      </c>
    </row>
    <row r="2919" spans="1:37" x14ac:dyDescent="0.2">
      <c r="A2919" t="str">
        <f>"20200111155554430"</f>
        <v>20200111155554430</v>
      </c>
      <c r="B2919" t="str">
        <f>"1578729354425235"</f>
        <v>1578729354425235</v>
      </c>
      <c r="C2919" t="s">
        <v>37</v>
      </c>
      <c r="D2919">
        <v>5.1956709999999999</v>
      </c>
      <c r="E2919">
        <v>0.51316700000000004</v>
      </c>
      <c r="F2919" t="s">
        <v>59</v>
      </c>
      <c r="G2919">
        <v>-455.90870000000001</v>
      </c>
      <c r="H2919" s="1">
        <v>1.6071799999999999E-6</v>
      </c>
      <c r="I2919">
        <v>284.62450000000001</v>
      </c>
      <c r="J2919">
        <v>-435.03059999999999</v>
      </c>
      <c r="K2919">
        <v>1.1049579999999899</v>
      </c>
      <c r="L2919">
        <v>284.65440000000001</v>
      </c>
      <c r="M2919">
        <v>-0.99989779999999995</v>
      </c>
      <c r="N2919">
        <v>0</v>
      </c>
      <c r="O2919">
        <v>3.395122E-3</v>
      </c>
      <c r="P2919">
        <v>-0.9987954</v>
      </c>
      <c r="Q2919">
        <v>3.7110079999999997E-2</v>
      </c>
      <c r="R2919">
        <v>-3.2108739999999997E-2</v>
      </c>
      <c r="S2919">
        <v>-3.009277</v>
      </c>
      <c r="T2919">
        <v>-0.15762219999999999</v>
      </c>
      <c r="U2919">
        <v>-4.1503909999999998E-3</v>
      </c>
      <c r="V2919">
        <v>-3.5498130000000003E-2</v>
      </c>
      <c r="W2919">
        <v>5.0986410000000003E-2</v>
      </c>
      <c r="X2919">
        <v>0.99806830000000002</v>
      </c>
      <c r="Y2919">
        <v>-4.7634510000000001E-3</v>
      </c>
      <c r="Z2919">
        <v>-3.0239360000000002E-4</v>
      </c>
      <c r="AA2919">
        <v>0.99998860000000001</v>
      </c>
      <c r="AB2919">
        <v>28</v>
      </c>
      <c r="AC2919">
        <v>-20.8781</v>
      </c>
      <c r="AD2919">
        <v>-1.1049563928199999</v>
      </c>
      <c r="AE2919">
        <v>-2.98999999999978E-2</v>
      </c>
      <c r="AF2919">
        <v>-0.100508839083763</v>
      </c>
      <c r="AG2919">
        <v>-1.1049563928199999</v>
      </c>
      <c r="AH2919">
        <v>20.8195632874849</v>
      </c>
      <c r="AI2919">
        <v>93.037972485982394</v>
      </c>
      <c r="AJ2919">
        <v>90.276599824258895</v>
      </c>
      <c r="AK2919">
        <v>20.8491066028825</v>
      </c>
    </row>
    <row r="2920" spans="1:37" x14ac:dyDescent="0.2">
      <c r="A2920" t="str">
        <f>"20200111155554446"</f>
        <v>20200111155554446</v>
      </c>
      <c r="B2920" t="str">
        <f>"1578729354434995"</f>
        <v>1578729354434995</v>
      </c>
      <c r="C2920" t="s">
        <v>37</v>
      </c>
      <c r="D2920">
        <v>5.1310339999999997</v>
      </c>
      <c r="E2920">
        <v>0.51300809999999997</v>
      </c>
      <c r="F2920" t="s">
        <v>59</v>
      </c>
      <c r="G2920">
        <v>-456.6737</v>
      </c>
      <c r="H2920" s="1">
        <v>2.015125E-6</v>
      </c>
      <c r="I2920">
        <v>284.60520000000002</v>
      </c>
      <c r="J2920">
        <v>-435.2373</v>
      </c>
      <c r="K2920">
        <v>1.1049260000000001</v>
      </c>
      <c r="L2920">
        <v>284.6551</v>
      </c>
      <c r="M2920">
        <v>-0.99990000000000001</v>
      </c>
      <c r="N2920">
        <v>0</v>
      </c>
      <c r="O2920">
        <v>3.3950640000000002E-3</v>
      </c>
      <c r="P2920">
        <v>-0.99875910000000001</v>
      </c>
      <c r="Q2920">
        <v>3.8006980000000003E-2</v>
      </c>
      <c r="R2920">
        <v>-3.2189280000000001E-2</v>
      </c>
      <c r="S2920">
        <v>-3.0090330000000001</v>
      </c>
      <c r="T2920">
        <v>-0.1536217</v>
      </c>
      <c r="U2920">
        <v>-6.8359379999999997E-3</v>
      </c>
      <c r="V2920">
        <v>-3.557863E-2</v>
      </c>
      <c r="W2920">
        <v>5.1727389999999998E-2</v>
      </c>
      <c r="X2920">
        <v>0.99802729999999995</v>
      </c>
      <c r="Y2920">
        <v>-5.6553740000000003E-3</v>
      </c>
      <c r="Z2920">
        <v>-3.1750240000000002E-4</v>
      </c>
      <c r="AA2920">
        <v>0.99998399999999998</v>
      </c>
      <c r="AB2920">
        <v>28</v>
      </c>
      <c r="AC2920">
        <v>-21.4363999999999</v>
      </c>
      <c r="AD2920">
        <v>-1.1049239848750001</v>
      </c>
      <c r="AE2920">
        <v>-4.98999999999796E-2</v>
      </c>
      <c r="AF2920">
        <v>-0.12235943679097699</v>
      </c>
      <c r="AG2920">
        <v>-1.1049239848750001</v>
      </c>
      <c r="AH2920">
        <v>21.379306477845098</v>
      </c>
      <c r="AI2920">
        <v>92.958476316673</v>
      </c>
      <c r="AJ2920">
        <v>90.327915350003195</v>
      </c>
      <c r="AK2920">
        <v>21.408189421755299</v>
      </c>
    </row>
    <row r="2921" spans="1:37" x14ac:dyDescent="0.2">
      <c r="A2921" t="str">
        <f>"20200111155554465"</f>
        <v>20200111155554465</v>
      </c>
      <c r="B2921" t="str">
        <f>"1578729354455491"</f>
        <v>1578729354455491</v>
      </c>
      <c r="C2921" t="s">
        <v>37</v>
      </c>
      <c r="D2921">
        <v>5.1678649999999999</v>
      </c>
      <c r="E2921">
        <v>0.51281620000000006</v>
      </c>
      <c r="F2921" t="s">
        <v>59</v>
      </c>
      <c r="G2921">
        <v>-457.49810000000002</v>
      </c>
      <c r="H2921" s="1">
        <v>2.4543029999999998E-6</v>
      </c>
      <c r="I2921">
        <v>284.59370000000001</v>
      </c>
      <c r="J2921">
        <v>-435.47519999999997</v>
      </c>
      <c r="K2921">
        <v>1.104889</v>
      </c>
      <c r="L2921">
        <v>284.65589999999997</v>
      </c>
      <c r="M2921">
        <v>-0.99990290000000004</v>
      </c>
      <c r="N2921">
        <v>0</v>
      </c>
      <c r="O2921">
        <v>3.3948359999999901E-3</v>
      </c>
      <c r="P2921">
        <v>-0.99874540000000001</v>
      </c>
      <c r="Q2921">
        <v>3.8352209999999998E-2</v>
      </c>
      <c r="R2921">
        <v>-3.220402E-2</v>
      </c>
      <c r="S2921">
        <v>-3.009125</v>
      </c>
      <c r="T2921">
        <v>-0.149359299999999</v>
      </c>
      <c r="U2921">
        <v>-8.3007810000000001E-3</v>
      </c>
      <c r="V2921">
        <v>-3.5592680000000002E-2</v>
      </c>
      <c r="W2921">
        <v>5.1853110000000001E-2</v>
      </c>
      <c r="X2921">
        <v>0.99802019999999902</v>
      </c>
      <c r="Y2921">
        <v>-6.1419029999999998E-3</v>
      </c>
      <c r="Z2921">
        <v>-3.207498E-4</v>
      </c>
      <c r="AA2921">
        <v>0.99998109999999996</v>
      </c>
      <c r="AB2921">
        <v>28</v>
      </c>
      <c r="AC2921">
        <v>-22.0229</v>
      </c>
      <c r="AD2921">
        <v>-1.1048865456970001</v>
      </c>
      <c r="AE2921">
        <v>-6.2199999999961599E-2</v>
      </c>
      <c r="AF2921">
        <v>-0.136626715421757</v>
      </c>
      <c r="AG2921">
        <v>-1.1048865456970001</v>
      </c>
      <c r="AH2921">
        <v>21.9672703141261</v>
      </c>
      <c r="AI2921">
        <v>92.879320538456099</v>
      </c>
      <c r="AJ2921">
        <v>90.356349838395204</v>
      </c>
      <c r="AK2921">
        <v>21.995463309330699</v>
      </c>
    </row>
    <row r="2922" spans="1:37" x14ac:dyDescent="0.2">
      <c r="A2922" t="str">
        <f>"20200111155554479"</f>
        <v>20200111155554479</v>
      </c>
      <c r="B2922" t="str">
        <f>"1578729354475010"</f>
        <v>1578729354475010</v>
      </c>
      <c r="C2922" t="s">
        <v>37</v>
      </c>
      <c r="D2922">
        <v>5.1145769999999997</v>
      </c>
      <c r="E2922">
        <v>0.51255699999999904</v>
      </c>
      <c r="F2922" t="s">
        <v>59</v>
      </c>
      <c r="G2922">
        <v>-458.20049999999998</v>
      </c>
      <c r="H2922" s="1">
        <v>2.82859399999999E-6</v>
      </c>
      <c r="I2922">
        <v>284.58210000000003</v>
      </c>
      <c r="J2922">
        <v>-435.66289999999998</v>
      </c>
      <c r="K2922">
        <v>1.1048549999999999</v>
      </c>
      <c r="L2922">
        <v>284.65649999999999</v>
      </c>
      <c r="M2922">
        <v>-0.9999055</v>
      </c>
      <c r="N2922">
        <v>0</v>
      </c>
      <c r="O2922">
        <v>3.3946429999999902E-3</v>
      </c>
      <c r="P2922">
        <v>-0.99871010000000005</v>
      </c>
      <c r="Q2922">
        <v>3.9022889999999998E-2</v>
      </c>
      <c r="R2922">
        <v>-3.2483209999999998E-2</v>
      </c>
      <c r="S2922">
        <v>-3.0090330000000001</v>
      </c>
      <c r="T2922">
        <v>-0.14629690000000001</v>
      </c>
      <c r="U2922">
        <v>-9.765625E-3</v>
      </c>
      <c r="V2922">
        <v>-3.5871609999999998E-2</v>
      </c>
      <c r="W2922">
        <v>5.2330719999999997E-2</v>
      </c>
      <c r="X2922">
        <v>0.99798529999999996</v>
      </c>
      <c r="Y2922">
        <v>-6.6284859999999899E-3</v>
      </c>
      <c r="Z2922">
        <v>-3.2600209999999899E-4</v>
      </c>
      <c r="AA2922">
        <v>0.99997800000000003</v>
      </c>
      <c r="AB2922">
        <v>28</v>
      </c>
      <c r="AC2922">
        <v>-22.537600000000001</v>
      </c>
      <c r="AD2922">
        <v>-1.104852171406</v>
      </c>
      <c r="AE2922">
        <v>-7.43999999999687E-2</v>
      </c>
      <c r="AF2922">
        <v>-0.15055166259246799</v>
      </c>
      <c r="AG2922">
        <v>-1.104852171406</v>
      </c>
      <c r="AH2922">
        <v>22.483186145958101</v>
      </c>
      <c r="AI2922">
        <v>92.813260878793102</v>
      </c>
      <c r="AJ2922">
        <v>90.383657631358602</v>
      </c>
      <c r="AK2922">
        <v>22.510820140491798</v>
      </c>
    </row>
    <row r="2923" spans="1:37" x14ac:dyDescent="0.2">
      <c r="A2923" t="str">
        <f>"20200111155554495"</f>
        <v>20200111155554495</v>
      </c>
      <c r="B2923" t="str">
        <f>"1578729354485280"</f>
        <v>1578729354485280</v>
      </c>
      <c r="C2923" t="s">
        <v>37</v>
      </c>
      <c r="D2923">
        <v>5.153403</v>
      </c>
      <c r="E2923">
        <v>0.51246029999999998</v>
      </c>
      <c r="F2923" t="s">
        <v>59</v>
      </c>
      <c r="G2923">
        <v>-459.10559999999998</v>
      </c>
      <c r="H2923" s="1">
        <v>3.3112050000000001E-6</v>
      </c>
      <c r="I2923">
        <v>284.55990000000003</v>
      </c>
      <c r="J2923">
        <v>-435.86059999999998</v>
      </c>
      <c r="K2923">
        <v>1.104822</v>
      </c>
      <c r="L2923">
        <v>284.65719999999999</v>
      </c>
      <c r="M2923">
        <v>-0.99990829999999997</v>
      </c>
      <c r="N2923">
        <v>0</v>
      </c>
      <c r="O2923">
        <v>3.3946139999999998E-3</v>
      </c>
      <c r="P2923">
        <v>-0.99871430000000005</v>
      </c>
      <c r="Q2923">
        <v>3.8880230000000002E-2</v>
      </c>
      <c r="R2923">
        <v>-3.2532770000000003E-2</v>
      </c>
      <c r="S2923">
        <v>-3.0090029999999999</v>
      </c>
      <c r="T2923">
        <v>-0.14181389999999999</v>
      </c>
      <c r="U2923">
        <v>-1.2390139999999999E-2</v>
      </c>
      <c r="V2923">
        <v>-3.5920819999999999E-2</v>
      </c>
      <c r="W2923">
        <v>5.1967399999999997E-2</v>
      </c>
      <c r="X2923">
        <v>0.99800250000000001</v>
      </c>
      <c r="Y2923">
        <v>-7.5004140000000004E-3</v>
      </c>
      <c r="Z2923">
        <v>-3.365601E-4</v>
      </c>
      <c r="AA2923">
        <v>0.99997179999999997</v>
      </c>
      <c r="AB2923">
        <v>28</v>
      </c>
      <c r="AC2923">
        <v>-23.245000000000001</v>
      </c>
      <c r="AD2923">
        <v>-1.104818688795</v>
      </c>
      <c r="AE2923">
        <v>-9.7299999999961501E-2</v>
      </c>
      <c r="AF2923">
        <v>-0.17581685402859301</v>
      </c>
      <c r="AG2923">
        <v>-1.104818688795</v>
      </c>
      <c r="AH2923">
        <v>23.1921447770954</v>
      </c>
      <c r="AI2923">
        <v>92.727294723979497</v>
      </c>
      <c r="AJ2923">
        <v>90.434344077771598</v>
      </c>
      <c r="AK2923">
        <v>23.219110992090702</v>
      </c>
    </row>
    <row r="2924" spans="1:37" x14ac:dyDescent="0.2">
      <c r="A2924" t="str">
        <f>"20200111155554509"</f>
        <v>20200111155554509</v>
      </c>
      <c r="B2924" t="str">
        <f>"1578729354504800"</f>
        <v>1578729354504800</v>
      </c>
      <c r="C2924" t="s">
        <v>37</v>
      </c>
      <c r="D2924">
        <v>5.11843</v>
      </c>
      <c r="E2924">
        <v>0.51223949999999996</v>
      </c>
      <c r="F2924" t="s">
        <v>59</v>
      </c>
      <c r="G2924">
        <v>-459.38869999999997</v>
      </c>
      <c r="H2924" s="1">
        <v>3.4620469999999999E-6</v>
      </c>
      <c r="I2924">
        <v>284.55549999999999</v>
      </c>
      <c r="J2924">
        <v>-436.0496</v>
      </c>
      <c r="K2924">
        <v>1.104784</v>
      </c>
      <c r="L2924">
        <v>284.65780000000001</v>
      </c>
      <c r="M2924">
        <v>-0.999911199999999</v>
      </c>
      <c r="N2924">
        <v>0</v>
      </c>
      <c r="O2924">
        <v>3.3943390000000001E-3</v>
      </c>
      <c r="P2924">
        <v>-0.99869730000000001</v>
      </c>
      <c r="Q2924">
        <v>3.9360489999999998E-2</v>
      </c>
      <c r="R2924">
        <v>-3.2471930000000003E-2</v>
      </c>
      <c r="S2924">
        <v>-3.0089419999999998</v>
      </c>
      <c r="T2924">
        <v>-0.14129229999999901</v>
      </c>
      <c r="U2924">
        <v>-1.300049E-2</v>
      </c>
      <c r="V2924">
        <v>-3.5859910000000002E-2</v>
      </c>
      <c r="W2924">
        <v>5.222454E-2</v>
      </c>
      <c r="X2924">
        <v>0.99799130000000003</v>
      </c>
      <c r="Y2924">
        <v>-7.7029150000000003E-3</v>
      </c>
      <c r="Z2924">
        <v>-3.400686E-4</v>
      </c>
      <c r="AA2924">
        <v>0.99997029999999998</v>
      </c>
      <c r="AB2924">
        <v>28</v>
      </c>
      <c r="AC2924">
        <v>-23.339099999999899</v>
      </c>
      <c r="AD2924">
        <v>-1.104780537953</v>
      </c>
      <c r="AE2924">
        <v>-0.10230000000001301</v>
      </c>
      <c r="AF2924">
        <v>-0.18112097679657699</v>
      </c>
      <c r="AG2924">
        <v>-1.104780537953</v>
      </c>
      <c r="AH2924">
        <v>23.286441317032601</v>
      </c>
      <c r="AI2924">
        <v>92.716169580433501</v>
      </c>
      <c r="AJ2924">
        <v>90.445635215391604</v>
      </c>
      <c r="AK2924">
        <v>23.313337256962502</v>
      </c>
    </row>
    <row r="2925" spans="1:37" x14ac:dyDescent="0.2">
      <c r="A2925" t="str">
        <f>"20200111155554523"</f>
        <v>20200111155554523</v>
      </c>
      <c r="B2925" t="str">
        <f>"1578729354514560"</f>
        <v>1578729354514560</v>
      </c>
      <c r="C2925" t="s">
        <v>37</v>
      </c>
      <c r="D2925">
        <v>5.3828019999999999</v>
      </c>
      <c r="E2925">
        <v>0.51223949999999996</v>
      </c>
      <c r="F2925" t="s">
        <v>59</v>
      </c>
      <c r="G2925">
        <v>-459.9966</v>
      </c>
      <c r="H2925" s="1">
        <v>-1.535295E-6</v>
      </c>
      <c r="I2925">
        <v>284.54140000000001</v>
      </c>
      <c r="J2925">
        <v>-436.22269999999997</v>
      </c>
      <c r="K2925">
        <v>1.104751</v>
      </c>
      <c r="L2925">
        <v>284.65839999999997</v>
      </c>
      <c r="M2925">
        <v>-0.99991399999999997</v>
      </c>
      <c r="N2925">
        <v>0</v>
      </c>
      <c r="O2925">
        <v>3.3942170000000002E-3</v>
      </c>
      <c r="P2925">
        <v>-0.99868480000000004</v>
      </c>
      <c r="Q2925">
        <v>3.9613410000000002E-2</v>
      </c>
      <c r="R2925">
        <v>-3.2551099999999999E-2</v>
      </c>
      <c r="S2925">
        <v>-3.0088810000000001</v>
      </c>
      <c r="T2925">
        <v>-0.13881299999999999</v>
      </c>
      <c r="U2925">
        <v>-1.461792E-2</v>
      </c>
      <c r="V2925">
        <v>-3.5938829999999998E-2</v>
      </c>
      <c r="W2925">
        <v>5.2263110000000002E-2</v>
      </c>
      <c r="X2925">
        <v>0.99798639999999905</v>
      </c>
      <c r="Y2925">
        <v>-8.2402489999999998E-3</v>
      </c>
      <c r="Z2925">
        <v>-3.4649629999999897E-4</v>
      </c>
      <c r="AA2925">
        <v>0.99996600000000002</v>
      </c>
      <c r="AB2925">
        <v>29</v>
      </c>
      <c r="AC2925">
        <v>-23.773900000000001</v>
      </c>
      <c r="AD2925">
        <v>-1.1047525352949901</v>
      </c>
      <c r="AE2925">
        <v>-0.116999999999961</v>
      </c>
      <c r="AF2925">
        <v>-0.19727359836534999</v>
      </c>
      <c r="AG2925">
        <v>-1.1047525352949901</v>
      </c>
      <c r="AH2925">
        <v>23.722141988985999</v>
      </c>
      <c r="AI2925">
        <v>92.666275795560196</v>
      </c>
      <c r="AJ2925">
        <v>90.476461360703198</v>
      </c>
      <c r="AK2925">
        <v>23.748671869863902</v>
      </c>
    </row>
    <row r="2926" spans="1:37" x14ac:dyDescent="0.2">
      <c r="A2926" t="str">
        <f>"20200111155554537"</f>
        <v>20200111155554537</v>
      </c>
      <c r="B2926" t="str">
        <f>"1578729354525295"</f>
        <v>1578729354525295</v>
      </c>
      <c r="C2926" t="s">
        <v>37</v>
      </c>
      <c r="D2926">
        <v>5.3390570000000004</v>
      </c>
      <c r="E2926">
        <v>0.51234299999999999</v>
      </c>
      <c r="F2926" t="s">
        <v>59</v>
      </c>
      <c r="G2926">
        <v>-460.30099999999999</v>
      </c>
      <c r="H2926" s="1">
        <v>-1.3731710000000001E-6</v>
      </c>
      <c r="I2926">
        <v>284.53769999999997</v>
      </c>
      <c r="J2926">
        <v>-436.4</v>
      </c>
      <c r="K2926">
        <v>1.104716</v>
      </c>
      <c r="L2926">
        <v>284.65890000000002</v>
      </c>
      <c r="M2926">
        <v>-0.9999169</v>
      </c>
      <c r="N2926">
        <v>0</v>
      </c>
      <c r="O2926">
        <v>3.393989E-3</v>
      </c>
      <c r="P2926">
        <v>-0.99864850000000005</v>
      </c>
      <c r="Q2926">
        <v>4.0313450000000001E-2</v>
      </c>
      <c r="R2926">
        <v>-3.2804960000000001E-2</v>
      </c>
      <c r="S2926">
        <v>-3.0089419999999998</v>
      </c>
      <c r="T2926">
        <v>-0.13805529999999999</v>
      </c>
      <c r="U2926">
        <v>-1.5075679999999999E-2</v>
      </c>
      <c r="V2926">
        <v>-3.6192050000000003E-2</v>
      </c>
      <c r="W2926">
        <v>5.2733099999999998E-2</v>
      </c>
      <c r="X2926">
        <v>0.99795259999999997</v>
      </c>
      <c r="Y2926">
        <v>-8.3920139999999997E-3</v>
      </c>
      <c r="Z2926">
        <v>-3.4806870000000001E-4</v>
      </c>
      <c r="AA2926">
        <v>0.99996469999999904</v>
      </c>
      <c r="AB2926">
        <v>29</v>
      </c>
      <c r="AC2926">
        <v>-23.901</v>
      </c>
      <c r="AD2926">
        <v>-1.104717373171</v>
      </c>
      <c r="AE2926">
        <v>-0.12120000000004399</v>
      </c>
      <c r="AF2926">
        <v>-0.20189400420035999</v>
      </c>
      <c r="AG2926">
        <v>-1.104717373171</v>
      </c>
      <c r="AH2926">
        <v>23.849501618488301</v>
      </c>
      <c r="AI2926">
        <v>92.651970290574795</v>
      </c>
      <c r="AJ2926">
        <v>90.485016342318005</v>
      </c>
      <c r="AK2926">
        <v>23.875926979151899</v>
      </c>
    </row>
    <row r="2927" spans="1:37" x14ac:dyDescent="0.2">
      <c r="A2927" t="str">
        <f>"20200111155554552"</f>
        <v>20200111155554552</v>
      </c>
      <c r="B2927" t="str">
        <f>"1578729354544816"</f>
        <v>1578729354544816</v>
      </c>
      <c r="C2927" t="s">
        <v>37</v>
      </c>
      <c r="D2927">
        <v>5.1474970000000004</v>
      </c>
      <c r="E2927">
        <v>0.51217749999999995</v>
      </c>
      <c r="F2927" t="s">
        <v>59</v>
      </c>
      <c r="G2927">
        <v>-461.03539999999998</v>
      </c>
      <c r="H2927" s="1">
        <v>-9.8242989999999994E-7</v>
      </c>
      <c r="I2927">
        <v>284.53949999999998</v>
      </c>
      <c r="J2927">
        <v>-436.59339999999997</v>
      </c>
      <c r="K2927">
        <v>1.1046799999999899</v>
      </c>
      <c r="L2927">
        <v>284.65960000000001</v>
      </c>
      <c r="M2927">
        <v>-0.99992000000000003</v>
      </c>
      <c r="N2927">
        <v>0</v>
      </c>
      <c r="O2927">
        <v>3.3938890000000002E-3</v>
      </c>
      <c r="P2927">
        <v>-0.99862669999999998</v>
      </c>
      <c r="Q2927">
        <v>4.0554119999999999E-2</v>
      </c>
      <c r="R2927">
        <v>-3.3170709999999999E-2</v>
      </c>
      <c r="S2927">
        <v>-3.0090330000000001</v>
      </c>
      <c r="T2927">
        <v>-0.134933</v>
      </c>
      <c r="U2927">
        <v>-1.45874E-2</v>
      </c>
      <c r="V2927">
        <v>-3.6558010000000002E-2</v>
      </c>
      <c r="W2927">
        <v>5.2719290000000002E-2</v>
      </c>
      <c r="X2927">
        <v>0.99793989999999999</v>
      </c>
      <c r="Y2927">
        <v>-8.2302050000000009E-3</v>
      </c>
      <c r="Z2927">
        <v>-3.365633E-4</v>
      </c>
      <c r="AA2927">
        <v>0.99996609999999997</v>
      </c>
      <c r="AB2927">
        <v>29</v>
      </c>
      <c r="AC2927">
        <v>-24.442</v>
      </c>
      <c r="AD2927">
        <v>-1.10468098242989</v>
      </c>
      <c r="AE2927">
        <v>-0.120100000000036</v>
      </c>
      <c r="AF2927">
        <v>-0.20264497331305101</v>
      </c>
      <c r="AG2927">
        <v>-1.10468098242989</v>
      </c>
      <c r="AH2927">
        <v>24.391628493256398</v>
      </c>
      <c r="AI2927">
        <v>92.593027239183698</v>
      </c>
      <c r="AJ2927">
        <v>90.476000796412805</v>
      </c>
      <c r="AK2927">
        <v>24.417471728481399</v>
      </c>
    </row>
    <row r="2928" spans="1:37" x14ac:dyDescent="0.2">
      <c r="A2928" t="str">
        <f>"20200111155554568"</f>
        <v>20200111155554568</v>
      </c>
      <c r="B2928" t="str">
        <f>"1578729354565311"</f>
        <v>1578729354565311</v>
      </c>
      <c r="C2928" t="s">
        <v>37</v>
      </c>
      <c r="D2928">
        <v>5.160355</v>
      </c>
      <c r="E2928">
        <v>0.51199839999999996</v>
      </c>
      <c r="F2928" t="s">
        <v>59</v>
      </c>
      <c r="G2928">
        <v>-461.49299999999999</v>
      </c>
      <c r="H2928" s="1">
        <v>-7.3796850000000005E-7</v>
      </c>
      <c r="I2928">
        <v>284.5179</v>
      </c>
      <c r="J2928">
        <v>-436.79309999999998</v>
      </c>
      <c r="K2928">
        <v>1.1046479999999901</v>
      </c>
      <c r="L2928">
        <v>284.66030000000001</v>
      </c>
      <c r="M2928">
        <v>-0.99992320000000001</v>
      </c>
      <c r="N2928">
        <v>0</v>
      </c>
      <c r="O2928">
        <v>3.3932429999999898E-3</v>
      </c>
      <c r="P2928">
        <v>-0.99861869999999997</v>
      </c>
      <c r="Q2928">
        <v>4.0362420000000003E-2</v>
      </c>
      <c r="R2928">
        <v>-3.3639420000000003E-2</v>
      </c>
      <c r="S2928">
        <v>-3.008972</v>
      </c>
      <c r="T2928">
        <v>-0.1334941</v>
      </c>
      <c r="U2928">
        <v>-1.7120360000000001E-2</v>
      </c>
      <c r="V2928">
        <v>-3.7025699999999898E-2</v>
      </c>
      <c r="W2928">
        <v>5.2270259999999999E-2</v>
      </c>
      <c r="X2928">
        <v>0.99794629999999995</v>
      </c>
      <c r="Y2928">
        <v>-9.0708149999999994E-3</v>
      </c>
      <c r="Z2928">
        <v>-3.5159250000000003E-4</v>
      </c>
      <c r="AA2928">
        <v>0.99995879999999904</v>
      </c>
      <c r="AB2928">
        <v>29</v>
      </c>
      <c r="AC2928">
        <v>-24.6999</v>
      </c>
      <c r="AD2928">
        <v>-1.1046487379684999</v>
      </c>
      <c r="AE2928">
        <v>-0.14240000000000899</v>
      </c>
      <c r="AF2928">
        <v>-0.22576635072453399</v>
      </c>
      <c r="AG2928">
        <v>-1.1046487379684999</v>
      </c>
      <c r="AH2928">
        <v>24.6499730608727</v>
      </c>
      <c r="AI2928">
        <v>92.5657936385889</v>
      </c>
      <c r="AJ2928">
        <v>90.524750974000497</v>
      </c>
      <c r="AK2928">
        <v>24.675744997490298</v>
      </c>
    </row>
    <row r="2929" spans="1:37" x14ac:dyDescent="0.2">
      <c r="A2929" t="str">
        <f>"20200111155554581"</f>
        <v>20200111155554581</v>
      </c>
      <c r="B2929" t="str">
        <f>"1578729354575072"</f>
        <v>1578729354575072</v>
      </c>
      <c r="C2929" t="s">
        <v>37</v>
      </c>
      <c r="D2929">
        <v>5.1402469999999996</v>
      </c>
      <c r="E2929">
        <v>0.51193670000000002</v>
      </c>
      <c r="F2929" t="s">
        <v>59</v>
      </c>
      <c r="G2929">
        <v>-461.65730000000002</v>
      </c>
      <c r="H2929" s="1">
        <v>-6.4958629999999995E-7</v>
      </c>
      <c r="I2929">
        <v>284.49610000000001</v>
      </c>
      <c r="J2929">
        <v>-436.96749999999997</v>
      </c>
      <c r="K2929">
        <v>1.104617</v>
      </c>
      <c r="L2929">
        <v>284.66090000000003</v>
      </c>
      <c r="M2929">
        <v>-0.99992579999999998</v>
      </c>
      <c r="N2929">
        <v>0</v>
      </c>
      <c r="O2929">
        <v>3.3926939999999999E-3</v>
      </c>
      <c r="P2929">
        <v>-0.99860479999999996</v>
      </c>
      <c r="Q2929">
        <v>4.0044419999999997E-2</v>
      </c>
      <c r="R2929">
        <v>-3.4428670000000001E-2</v>
      </c>
      <c r="S2929">
        <v>-3.0088810000000001</v>
      </c>
      <c r="T2929">
        <v>-0.1336763</v>
      </c>
      <c r="U2929">
        <v>-1.986694E-2</v>
      </c>
      <c r="V2929">
        <v>-3.7814769999999998E-2</v>
      </c>
      <c r="W2929">
        <v>5.1732640000000003E-2</v>
      </c>
      <c r="X2929">
        <v>0.99794479999999997</v>
      </c>
      <c r="Y2929">
        <v>-9.9822469999999996E-3</v>
      </c>
      <c r="Z2929">
        <v>-3.7229279999999998E-4</v>
      </c>
      <c r="AA2929">
        <v>0.99995009999999995</v>
      </c>
      <c r="AB2929">
        <v>29</v>
      </c>
      <c r="AC2929">
        <v>-24.689800000000002</v>
      </c>
      <c r="AD2929">
        <v>-1.1046176495863</v>
      </c>
      <c r="AE2929">
        <v>-0.16480000000001299</v>
      </c>
      <c r="AF2929">
        <v>-0.24807318702716</v>
      </c>
      <c r="AG2929">
        <v>-1.1046176495863</v>
      </c>
      <c r="AH2929">
        <v>24.6397806356185</v>
      </c>
      <c r="AI2929">
        <v>92.566759035091593</v>
      </c>
      <c r="AJ2929">
        <v>90.576834129192207</v>
      </c>
      <c r="AK2929">
        <v>24.665776092174699</v>
      </c>
    </row>
    <row r="2930" spans="1:37" x14ac:dyDescent="0.2">
      <c r="A2930" t="str">
        <f>"20200111155554602"</f>
        <v>20200111155554602</v>
      </c>
      <c r="B2930" t="str">
        <f>"1578729354594591"</f>
        <v>1578729354594591</v>
      </c>
      <c r="C2930" t="s">
        <v>37</v>
      </c>
      <c r="D2930">
        <v>5.1288169999999997</v>
      </c>
      <c r="E2930">
        <v>0.51176670000000002</v>
      </c>
      <c r="F2930" t="s">
        <v>59</v>
      </c>
      <c r="G2930">
        <v>-461.67410000000001</v>
      </c>
      <c r="H2930" s="1">
        <v>-6.3968489999999996E-7</v>
      </c>
      <c r="I2930">
        <v>284.47340000000003</v>
      </c>
      <c r="J2930">
        <v>-437.23099999999999</v>
      </c>
      <c r="K2930">
        <v>1.1045780000000001</v>
      </c>
      <c r="L2930">
        <v>284.66180000000003</v>
      </c>
      <c r="M2930">
        <v>-0.99992939999999997</v>
      </c>
      <c r="N2930">
        <v>0</v>
      </c>
      <c r="O2930">
        <v>3.39228599999999E-3</v>
      </c>
      <c r="P2930">
        <v>-0.99862129999999905</v>
      </c>
      <c r="Q2930">
        <v>3.9639380000000002E-2</v>
      </c>
      <c r="R2930">
        <v>-3.4419350000000001E-2</v>
      </c>
      <c r="S2930">
        <v>-3.008759</v>
      </c>
      <c r="T2930">
        <v>-0.13452020000000001</v>
      </c>
      <c r="U2930">
        <v>-2.2827150000000001E-2</v>
      </c>
      <c r="V2930">
        <v>-3.7804740000000003E-2</v>
      </c>
      <c r="W2930">
        <v>5.1017369999999999E-2</v>
      </c>
      <c r="X2930">
        <v>0.99798199999999904</v>
      </c>
      <c r="Y2930">
        <v>-1.0964710000000001E-2</v>
      </c>
      <c r="Z2930">
        <v>-3.965873E-4</v>
      </c>
      <c r="AA2930">
        <v>0.99993980000000005</v>
      </c>
      <c r="AB2930">
        <v>29</v>
      </c>
      <c r="AC2930">
        <v>-24.443100000000001</v>
      </c>
      <c r="AD2930">
        <v>-1.1045786396849</v>
      </c>
      <c r="AE2930">
        <v>-0.18840000000000101</v>
      </c>
      <c r="AF2930">
        <v>-0.27076936899875098</v>
      </c>
      <c r="AG2930">
        <v>-1.1045786396849</v>
      </c>
      <c r="AH2930">
        <v>24.392510780148299</v>
      </c>
      <c r="AI2930">
        <v>92.592623525727703</v>
      </c>
      <c r="AJ2930">
        <v>90.635986390886401</v>
      </c>
      <c r="AK2930">
        <v>24.419008828822001</v>
      </c>
    </row>
    <row r="2931" spans="1:37" x14ac:dyDescent="0.2">
      <c r="A2931" t="str">
        <f>"20200111155554618"</f>
        <v>20200111155554618</v>
      </c>
      <c r="B2931" t="str">
        <f>"1578729354615088"</f>
        <v>1578729354615088</v>
      </c>
      <c r="C2931" t="s">
        <v>37</v>
      </c>
      <c r="D2931">
        <v>5.3010779999999897</v>
      </c>
      <c r="E2931">
        <v>0.5118241</v>
      </c>
      <c r="F2931" t="s">
        <v>59</v>
      </c>
      <c r="G2931">
        <v>-461.86059999999998</v>
      </c>
      <c r="H2931" s="1">
        <v>-5.400023E-7</v>
      </c>
      <c r="I2931">
        <v>284.46339999999998</v>
      </c>
      <c r="J2931">
        <v>-437.43860000000001</v>
      </c>
      <c r="K2931">
        <v>1.1045529999999999</v>
      </c>
      <c r="L2931">
        <v>284.66250000000002</v>
      </c>
      <c r="M2931">
        <v>-0.99993189999999998</v>
      </c>
      <c r="N2931">
        <v>0</v>
      </c>
      <c r="O2931">
        <v>3.3920879999999902E-3</v>
      </c>
      <c r="P2931">
        <v>-0.99863489999999999</v>
      </c>
      <c r="Q2931">
        <v>3.9248699999999997E-2</v>
      </c>
      <c r="R2931">
        <v>-3.4468499999999999E-2</v>
      </c>
      <c r="S2931">
        <v>-3.008667</v>
      </c>
      <c r="T2931">
        <v>-0.13493189999999999</v>
      </c>
      <c r="U2931">
        <v>-2.4230959999999999E-2</v>
      </c>
      <c r="V2931">
        <v>-3.7853999999999999E-2</v>
      </c>
      <c r="W2931">
        <v>5.0398279999999997E-2</v>
      </c>
      <c r="X2931">
        <v>0.9980116</v>
      </c>
      <c r="Y2931">
        <v>-1.14307E-2</v>
      </c>
      <c r="Z2931">
        <v>-4.0824619999999998E-4</v>
      </c>
      <c r="AA2931">
        <v>0.99993460000000001</v>
      </c>
      <c r="AB2931">
        <v>29</v>
      </c>
      <c r="AC2931">
        <v>-24.421999999999901</v>
      </c>
      <c r="AD2931">
        <v>-1.1045535400023001</v>
      </c>
      <c r="AE2931">
        <v>-0.19910000000004299</v>
      </c>
      <c r="AF2931">
        <v>-0.28137007313048001</v>
      </c>
      <c r="AG2931">
        <v>-1.1045535400023001</v>
      </c>
      <c r="AH2931">
        <v>24.371334488496299</v>
      </c>
      <c r="AI2931">
        <v>92.594801255768203</v>
      </c>
      <c r="AJ2931">
        <v>90.661457478540399</v>
      </c>
      <c r="AK2931">
        <v>24.3979743501577</v>
      </c>
    </row>
    <row r="2932" spans="1:37" x14ac:dyDescent="0.2">
      <c r="A2932" t="str">
        <f>"20200111155554631"</f>
        <v>20200111155554631</v>
      </c>
      <c r="B2932" t="str">
        <f>"1578729354624847"</f>
        <v>1578729354624847</v>
      </c>
      <c r="C2932" t="s">
        <v>37</v>
      </c>
      <c r="D2932">
        <v>5.1609550000000004</v>
      </c>
      <c r="E2932">
        <v>0.5118241</v>
      </c>
      <c r="F2932" t="s">
        <v>59</v>
      </c>
      <c r="G2932">
        <v>-462.14420000000001</v>
      </c>
      <c r="H2932" s="1">
        <v>-3.8918009999999898E-7</v>
      </c>
      <c r="I2932">
        <v>284.46620000000001</v>
      </c>
      <c r="J2932">
        <v>-437.61079999999998</v>
      </c>
      <c r="K2932">
        <v>1.104536</v>
      </c>
      <c r="L2932">
        <v>284.66309999999999</v>
      </c>
      <c r="M2932">
        <v>-0.99993390000000004</v>
      </c>
      <c r="N2932">
        <v>0</v>
      </c>
      <c r="O2932">
        <v>3.3916809999999901E-3</v>
      </c>
      <c r="P2932">
        <v>-0.99865159999999997</v>
      </c>
      <c r="Q2932">
        <v>3.8784949999999999E-2</v>
      </c>
      <c r="R2932">
        <v>-3.4513009999999997E-2</v>
      </c>
      <c r="S2932">
        <v>-3.0085139999999999</v>
      </c>
      <c r="T2932">
        <v>-0.1345066</v>
      </c>
      <c r="U2932">
        <v>-2.3895260000000001E-2</v>
      </c>
      <c r="V2932">
        <v>-3.7898040000000001E-2</v>
      </c>
      <c r="W2932">
        <v>4.976059E-2</v>
      </c>
      <c r="X2932">
        <v>0.99804190000000004</v>
      </c>
      <c r="Y2932">
        <v>-1.1319330000000001E-2</v>
      </c>
      <c r="Z2932">
        <v>-4.0447449999999902E-4</v>
      </c>
      <c r="AA2932">
        <v>0.99993589999999999</v>
      </c>
      <c r="AB2932">
        <v>29</v>
      </c>
      <c r="AC2932">
        <v>-24.5334</v>
      </c>
      <c r="AD2932">
        <v>-1.1045363891801001</v>
      </c>
      <c r="AE2932">
        <v>-0.19689999999997099</v>
      </c>
      <c r="AF2932">
        <v>-0.27954676297820003</v>
      </c>
      <c r="AG2932">
        <v>-1.1045363891801001</v>
      </c>
      <c r="AH2932">
        <v>24.4829682779705</v>
      </c>
      <c r="AI2932">
        <v>92.582949639682496</v>
      </c>
      <c r="AJ2932">
        <v>90.654175323999894</v>
      </c>
      <c r="AK2932">
        <v>24.509465166091001</v>
      </c>
    </row>
    <row r="2933" spans="1:37" x14ac:dyDescent="0.2">
      <c r="A2933" t="str">
        <f>"20200111155554648"</f>
        <v>20200111155554648</v>
      </c>
      <c r="B2933" t="str">
        <f>"1578729354645344"</f>
        <v>1578729354645344</v>
      </c>
      <c r="C2933" t="s">
        <v>37</v>
      </c>
      <c r="D2933">
        <v>5.2065599999999996</v>
      </c>
      <c r="E2933">
        <v>0.51174359999999997</v>
      </c>
      <c r="F2933" t="s">
        <v>59</v>
      </c>
      <c r="G2933">
        <v>-462.06169999999997</v>
      </c>
      <c r="H2933" s="1">
        <v>-4.3313879999999901E-7</v>
      </c>
      <c r="I2933">
        <v>284.46769999999998</v>
      </c>
      <c r="J2933">
        <v>-437.8116</v>
      </c>
      <c r="K2933">
        <v>1.104517</v>
      </c>
      <c r="L2933">
        <v>284.66379999999998</v>
      </c>
      <c r="M2933">
        <v>-0.99993589999999999</v>
      </c>
      <c r="N2933">
        <v>0</v>
      </c>
      <c r="O2933">
        <v>3.3915339999999999E-3</v>
      </c>
      <c r="P2933">
        <v>-0.99867609999999996</v>
      </c>
      <c r="Q2933">
        <v>3.832634E-2</v>
      </c>
      <c r="R2933">
        <v>-3.4309729999999997E-2</v>
      </c>
      <c r="S2933">
        <v>-3.0084840000000002</v>
      </c>
      <c r="T2933">
        <v>-0.13590429999999901</v>
      </c>
      <c r="U2933">
        <v>-2.4047849999999999E-2</v>
      </c>
      <c r="V2933">
        <v>-3.7694610000000003E-2</v>
      </c>
      <c r="W2933">
        <v>4.9110979999999999E-2</v>
      </c>
      <c r="X2933">
        <v>0.99808180000000002</v>
      </c>
      <c r="Y2933">
        <v>-1.136962E-2</v>
      </c>
      <c r="Z2933">
        <v>-4.0980550000000002E-4</v>
      </c>
      <c r="AA2933">
        <v>0.99993529999999997</v>
      </c>
      <c r="AB2933">
        <v>29</v>
      </c>
      <c r="AC2933">
        <v>-24.2500999999999</v>
      </c>
      <c r="AD2933">
        <v>-1.1045174331387999</v>
      </c>
      <c r="AE2933">
        <v>-0.196100000000001</v>
      </c>
      <c r="AF2933">
        <v>-0.277772502307292</v>
      </c>
      <c r="AG2933">
        <v>-1.1045174331387999</v>
      </c>
      <c r="AH2933">
        <v>24.1990971151982</v>
      </c>
      <c r="AI2933">
        <v>92.613160965058299</v>
      </c>
      <c r="AJ2933">
        <v>90.6576482187224</v>
      </c>
      <c r="AK2933">
        <v>24.225883214321399</v>
      </c>
    </row>
    <row r="2934" spans="1:37" x14ac:dyDescent="0.2">
      <c r="A2934" t="str">
        <f>"20200111155554663"</f>
        <v>20200111155554663</v>
      </c>
      <c r="B2934" t="str">
        <f>"1578729354655105"</f>
        <v>1578729354655105</v>
      </c>
      <c r="C2934" t="s">
        <v>37</v>
      </c>
      <c r="D2934">
        <v>5.1598899999999999</v>
      </c>
      <c r="E2934">
        <v>0.51170269999999995</v>
      </c>
      <c r="F2934" t="s">
        <v>59</v>
      </c>
      <c r="G2934">
        <v>-462.05529999999999</v>
      </c>
      <c r="H2934" s="1">
        <v>-4.3676639999999998E-7</v>
      </c>
      <c r="I2934">
        <v>284.47269999999997</v>
      </c>
      <c r="J2934">
        <v>-438.01940000000002</v>
      </c>
      <c r="K2934">
        <v>1.104498</v>
      </c>
      <c r="L2934">
        <v>284.66449999999998</v>
      </c>
      <c r="M2934">
        <v>-0.99993799999999899</v>
      </c>
      <c r="N2934">
        <v>0</v>
      </c>
      <c r="O2934">
        <v>3.3913859999999902E-3</v>
      </c>
      <c r="P2934">
        <v>-0.998691</v>
      </c>
      <c r="Q2934">
        <v>3.82119E-2</v>
      </c>
      <c r="R2934">
        <v>-3.400392E-2</v>
      </c>
      <c r="S2934">
        <v>-3.0084230000000001</v>
      </c>
      <c r="T2934">
        <v>-0.1370606</v>
      </c>
      <c r="U2934">
        <v>-2.3712159999999999E-2</v>
      </c>
      <c r="V2934">
        <v>-3.7389140000000001E-2</v>
      </c>
      <c r="W2934">
        <v>4.8812359999999999E-2</v>
      </c>
      <c r="X2934">
        <v>0.99810789999999905</v>
      </c>
      <c r="Y2934">
        <v>-1.1257909999999999E-2</v>
      </c>
      <c r="Z2934">
        <v>-4.1074709999999899E-4</v>
      </c>
      <c r="AA2934">
        <v>0.99993650000000001</v>
      </c>
      <c r="AB2934">
        <v>29</v>
      </c>
      <c r="AC2934">
        <v>-24.035899999999899</v>
      </c>
      <c r="AD2934">
        <v>-1.1044984367663999</v>
      </c>
      <c r="AE2934">
        <v>-0.1918</v>
      </c>
      <c r="AF2934">
        <v>-0.27274261333571598</v>
      </c>
      <c r="AG2934">
        <v>-1.1044984367663999</v>
      </c>
      <c r="AH2934">
        <v>23.984469133653</v>
      </c>
      <c r="AI2934">
        <v>92.636470245495801</v>
      </c>
      <c r="AJ2934">
        <v>90.651518572526101</v>
      </c>
      <c r="AK2934">
        <v>24.011436128501401</v>
      </c>
    </row>
    <row r="2935" spans="1:37" x14ac:dyDescent="0.2">
      <c r="A2935" t="str">
        <f>"20200111155554677"</f>
        <v>20200111155554677</v>
      </c>
      <c r="B2935" t="str">
        <f>"1578729354674624"</f>
        <v>1578729354674624</v>
      </c>
      <c r="C2935" t="s">
        <v>37</v>
      </c>
      <c r="D2935">
        <v>5.1695039999999999</v>
      </c>
      <c r="E2935">
        <v>0.51164799999999999</v>
      </c>
      <c r="F2935" t="s">
        <v>59</v>
      </c>
      <c r="G2935">
        <v>-462.23480000000001</v>
      </c>
      <c r="H2935" s="1">
        <v>-3.41399E-7</v>
      </c>
      <c r="I2935">
        <v>284.47609999999997</v>
      </c>
      <c r="J2935">
        <v>-438.20780000000002</v>
      </c>
      <c r="K2935">
        <v>1.104487</v>
      </c>
      <c r="L2935">
        <v>284.6651</v>
      </c>
      <c r="M2935">
        <v>-0.99993960000000004</v>
      </c>
      <c r="N2935">
        <v>0</v>
      </c>
      <c r="O2935">
        <v>3.3911869999999999E-3</v>
      </c>
      <c r="P2935">
        <v>-0.99870599999999998</v>
      </c>
      <c r="Q2935">
        <v>3.7978980000000002E-2</v>
      </c>
      <c r="R2935">
        <v>-3.3824369999999999E-2</v>
      </c>
      <c r="S2935">
        <v>-3.00839199999999</v>
      </c>
      <c r="T2935">
        <v>-0.13721710000000001</v>
      </c>
      <c r="U2935">
        <v>-2.3406980000000001E-2</v>
      </c>
      <c r="V2935">
        <v>-3.7208989999999997E-2</v>
      </c>
      <c r="W2935">
        <v>4.8425629999999997E-2</v>
      </c>
      <c r="X2935">
        <v>0.99813349999999901</v>
      </c>
      <c r="Y2935">
        <v>-1.115643E-2</v>
      </c>
      <c r="Z2935">
        <v>-4.0889730000000002E-4</v>
      </c>
      <c r="AA2935">
        <v>0.99993770000000004</v>
      </c>
      <c r="AB2935">
        <v>29</v>
      </c>
      <c r="AC2935">
        <v>-24.026999999999902</v>
      </c>
      <c r="AD2935">
        <v>-1.104487341399</v>
      </c>
      <c r="AE2935">
        <v>-0.18900000000002101</v>
      </c>
      <c r="AF2935">
        <v>-0.26991309511471301</v>
      </c>
      <c r="AG2935">
        <v>-1.104487341399</v>
      </c>
      <c r="AH2935">
        <v>23.975560962039001</v>
      </c>
      <c r="AI2935">
        <v>92.637425381896406</v>
      </c>
      <c r="AJ2935">
        <v>90.644999627950398</v>
      </c>
      <c r="AK2935">
        <v>24.002505469443701</v>
      </c>
    </row>
    <row r="2936" spans="1:37" x14ac:dyDescent="0.2">
      <c r="A2936" t="str">
        <f>"20200111155554691"</f>
        <v>20200111155554691</v>
      </c>
      <c r="B2936" t="str">
        <f>"1578729354685360"</f>
        <v>1578729354685360</v>
      </c>
      <c r="C2936" t="s">
        <v>37</v>
      </c>
      <c r="D2936">
        <v>5.1514800000000003</v>
      </c>
      <c r="E2936">
        <v>0.51161659999999998</v>
      </c>
      <c r="F2936" t="s">
        <v>59</v>
      </c>
      <c r="G2936">
        <v>-462.3725</v>
      </c>
      <c r="H2936" s="1">
        <v>-2.6829179999999999E-7</v>
      </c>
      <c r="I2936">
        <v>284.47980000000001</v>
      </c>
      <c r="J2936">
        <v>-438.38170000000002</v>
      </c>
      <c r="K2936">
        <v>1.1044780000000001</v>
      </c>
      <c r="L2936">
        <v>284.66570000000002</v>
      </c>
      <c r="M2936">
        <v>-0.99994089999999902</v>
      </c>
      <c r="N2936">
        <v>0</v>
      </c>
      <c r="O2936">
        <v>3.3909439999999999E-3</v>
      </c>
      <c r="P2936">
        <v>-0.9987028</v>
      </c>
      <c r="Q2936">
        <v>3.8168639999999997E-2</v>
      </c>
      <c r="R2936">
        <v>-3.3709990000000002E-2</v>
      </c>
      <c r="S2936">
        <v>-3.0083009999999999</v>
      </c>
      <c r="T2936">
        <v>-0.13749939999999999</v>
      </c>
      <c r="U2936">
        <v>-2.3071290000000001E-2</v>
      </c>
      <c r="V2936">
        <v>-3.709465E-2</v>
      </c>
      <c r="W2936">
        <v>4.8489930000000001E-2</v>
      </c>
      <c r="X2936">
        <v>0.99813459999999998</v>
      </c>
      <c r="Y2936">
        <v>-1.10449E-2</v>
      </c>
      <c r="Z2936">
        <v>-4.0719150000000001E-4</v>
      </c>
      <c r="AA2936">
        <v>0.99993889999999996</v>
      </c>
      <c r="AB2936">
        <v>29</v>
      </c>
      <c r="AC2936">
        <v>-23.990799999999901</v>
      </c>
      <c r="AD2936">
        <v>-1.1044782682918</v>
      </c>
      <c r="AE2936">
        <v>-0.18590000000000301</v>
      </c>
      <c r="AF2936">
        <v>-0.26668952736624502</v>
      </c>
      <c r="AG2936">
        <v>-1.1044782682918</v>
      </c>
      <c r="AH2936">
        <v>23.939296350075001</v>
      </c>
      <c r="AI2936">
        <v>92.641396855627093</v>
      </c>
      <c r="AJ2936">
        <v>90.638262381085099</v>
      </c>
      <c r="AK2936">
        <v>23.966245122794</v>
      </c>
    </row>
    <row r="2937" spans="1:37" x14ac:dyDescent="0.2">
      <c r="A2937" t="str">
        <f>"20200111155554702"</f>
        <v>20200111155554702</v>
      </c>
      <c r="B2937" t="str">
        <f>"1578729354695119"</f>
        <v>1578729354695119</v>
      </c>
      <c r="C2937" t="s">
        <v>37</v>
      </c>
      <c r="D2937">
        <v>5.3585229999999999</v>
      </c>
      <c r="E2937">
        <v>0.51147399999999998</v>
      </c>
      <c r="F2937" t="s">
        <v>59</v>
      </c>
      <c r="G2937">
        <v>-462.6832</v>
      </c>
      <c r="H2937" s="1">
        <v>-1.028909E-7</v>
      </c>
      <c r="I2937">
        <v>284.47859999999997</v>
      </c>
      <c r="J2937">
        <v>-438.53190000000001</v>
      </c>
      <c r="K2937">
        <v>1.1044659999999999</v>
      </c>
      <c r="L2937">
        <v>284.6662</v>
      </c>
      <c r="M2937">
        <v>-0.99994189999999905</v>
      </c>
      <c r="N2937">
        <v>0</v>
      </c>
      <c r="O2937">
        <v>3.3908079999999999E-3</v>
      </c>
      <c r="P2937">
        <v>-0.99870409999999898</v>
      </c>
      <c r="Q2937">
        <v>3.7848E-2</v>
      </c>
      <c r="R2937">
        <v>-3.4028999999999997E-2</v>
      </c>
      <c r="S2937">
        <v>-3.0083009999999999</v>
      </c>
      <c r="T2937">
        <v>-0.13672379999999901</v>
      </c>
      <c r="U2937">
        <v>-2.3162840000000001E-2</v>
      </c>
      <c r="V2937">
        <v>-3.7413809999999999E-2</v>
      </c>
      <c r="W2937">
        <v>4.8068409999999999E-2</v>
      </c>
      <c r="X2937">
        <v>0.99814309999999995</v>
      </c>
      <c r="Y2937">
        <v>-1.107532E-2</v>
      </c>
      <c r="Z2937">
        <v>-4.0558160000000001E-4</v>
      </c>
      <c r="AA2937">
        <v>0.99993860000000001</v>
      </c>
      <c r="AB2937">
        <v>29</v>
      </c>
      <c r="AC2937">
        <v>-24.1512999999999</v>
      </c>
      <c r="AD2937">
        <v>-1.1044661028909</v>
      </c>
      <c r="AE2937">
        <v>-0.18760000000003099</v>
      </c>
      <c r="AF2937">
        <v>-0.26893323427832699</v>
      </c>
      <c r="AG2937">
        <v>-1.1044661028909</v>
      </c>
      <c r="AH2937">
        <v>24.100126580473699</v>
      </c>
      <c r="AI2937">
        <v>92.623765017340304</v>
      </c>
      <c r="AJ2937">
        <v>90.639336881049005</v>
      </c>
      <c r="AK2937">
        <v>24.126920061454001</v>
      </c>
    </row>
    <row r="2938" spans="1:37" x14ac:dyDescent="0.2">
      <c r="A2938" t="str">
        <f>"20200111155554719"</f>
        <v>20200111155554719</v>
      </c>
      <c r="B2938" t="str">
        <f>"1578729354714640"</f>
        <v>1578729354714640</v>
      </c>
      <c r="C2938" t="s">
        <v>37</v>
      </c>
      <c r="D2938">
        <v>5.1969029999999998</v>
      </c>
      <c r="E2938">
        <v>0.51136000000000004</v>
      </c>
      <c r="F2938" t="s">
        <v>59</v>
      </c>
      <c r="G2938">
        <v>-462.75009999999997</v>
      </c>
      <c r="H2938" s="1">
        <v>-6.6646259999999898E-8</v>
      </c>
      <c r="I2938">
        <v>284.4633</v>
      </c>
      <c r="J2938">
        <v>-438.75080000000003</v>
      </c>
      <c r="K2938">
        <v>1.1044609999999999</v>
      </c>
      <c r="L2938">
        <v>284.66699999999997</v>
      </c>
      <c r="M2938">
        <v>-0.99994329999999998</v>
      </c>
      <c r="N2938">
        <v>0</v>
      </c>
      <c r="O2938">
        <v>3.3904600000000001E-3</v>
      </c>
      <c r="P2938">
        <v>-0.99870340000000002</v>
      </c>
      <c r="Q2938">
        <v>3.7942070000000001E-2</v>
      </c>
      <c r="R2938">
        <v>-3.3947119999999997E-2</v>
      </c>
      <c r="S2938">
        <v>-3.0082399999999998</v>
      </c>
      <c r="T2938">
        <v>-0.13719000000000001</v>
      </c>
      <c r="U2938">
        <v>-2.5207520000000001E-2</v>
      </c>
      <c r="V2938">
        <v>-3.7331540000000003E-2</v>
      </c>
      <c r="W2938">
        <v>4.8031749999999998E-2</v>
      </c>
      <c r="X2938">
        <v>0.99814799999999904</v>
      </c>
      <c r="Y2938">
        <v>-1.1753919999999999E-2</v>
      </c>
      <c r="Z2938">
        <v>-4.2241970000000002E-4</v>
      </c>
      <c r="AA2938">
        <v>0.99993089999999996</v>
      </c>
      <c r="AB2938">
        <v>29</v>
      </c>
      <c r="AC2938">
        <v>-23.999299999999899</v>
      </c>
      <c r="AD2938">
        <v>-1.10446106664626</v>
      </c>
      <c r="AE2938">
        <v>-0.203700000000026</v>
      </c>
      <c r="AF2938">
        <v>-0.28446921040648199</v>
      </c>
      <c r="AG2938">
        <v>-1.10446106664626</v>
      </c>
      <c r="AH2938">
        <v>23.947756283178698</v>
      </c>
      <c r="AI2938">
        <v>92.640401586451105</v>
      </c>
      <c r="AJ2938">
        <v>90.680569754198203</v>
      </c>
      <c r="AK2938">
        <v>23.974899123415099</v>
      </c>
    </row>
    <row r="2939" spans="1:37" x14ac:dyDescent="0.2">
      <c r="A2939" t="str">
        <f>"20200111155554733"</f>
        <v>20200111155554733</v>
      </c>
      <c r="B2939" t="str">
        <f>"1578729354725375"</f>
        <v>1578729354725375</v>
      </c>
      <c r="C2939" t="s">
        <v>37</v>
      </c>
      <c r="D2939">
        <v>5.1614550000000001</v>
      </c>
      <c r="E2939">
        <v>0.51129650000000004</v>
      </c>
      <c r="F2939" t="s">
        <v>59</v>
      </c>
      <c r="G2939">
        <v>-463.07990000000001</v>
      </c>
      <c r="H2939" s="1">
        <v>1.091013E-7</v>
      </c>
      <c r="I2939">
        <v>284.4579</v>
      </c>
      <c r="J2939">
        <v>-438.92809999999997</v>
      </c>
      <c r="K2939">
        <v>1.1044639999999999</v>
      </c>
      <c r="L2939">
        <v>284.66759999999999</v>
      </c>
      <c r="M2939">
        <v>-0.99994419999999995</v>
      </c>
      <c r="N2939">
        <v>0</v>
      </c>
      <c r="O2939">
        <v>3.3902619999999998E-3</v>
      </c>
      <c r="P2939">
        <v>-0.99869330000000001</v>
      </c>
      <c r="Q2939">
        <v>3.8116959999999998E-2</v>
      </c>
      <c r="R2939">
        <v>-3.4047040000000001E-2</v>
      </c>
      <c r="S2939">
        <v>-3.0082399999999998</v>
      </c>
      <c r="T2939">
        <v>-0.13656409999999999</v>
      </c>
      <c r="U2939">
        <v>-2.5848389999999999E-2</v>
      </c>
      <c r="V2939">
        <v>-3.743134E-2</v>
      </c>
      <c r="W2939">
        <v>4.811605E-2</v>
      </c>
      <c r="X2939">
        <v>0.99814020000000003</v>
      </c>
      <c r="Y2939">
        <v>-1.196666E-2</v>
      </c>
      <c r="Z2939">
        <v>-4.2531120000000001E-4</v>
      </c>
      <c r="AA2939">
        <v>0.99992829999999999</v>
      </c>
      <c r="AB2939">
        <v>29</v>
      </c>
      <c r="AC2939">
        <v>-24.151800000000001</v>
      </c>
      <c r="AD2939">
        <v>-1.1044638908986999</v>
      </c>
      <c r="AE2939">
        <v>-0.209699999999998</v>
      </c>
      <c r="AF2939">
        <v>-0.29097536940156499</v>
      </c>
      <c r="AG2939">
        <v>-1.1044638908986999</v>
      </c>
      <c r="AH2939">
        <v>24.100553951628601</v>
      </c>
      <c r="AI2939">
        <v>92.623685482597807</v>
      </c>
      <c r="AJ2939">
        <v>90.691720640756202</v>
      </c>
      <c r="AK2939">
        <v>24.127602614583498</v>
      </c>
    </row>
    <row r="2940" spans="1:37" x14ac:dyDescent="0.2">
      <c r="A2940" t="str">
        <f>"20200111155554746"</f>
        <v>20200111155554746</v>
      </c>
      <c r="B2940" t="str">
        <f>"1578729354735136"</f>
        <v>1578729354735136</v>
      </c>
      <c r="C2940" t="s">
        <v>37</v>
      </c>
      <c r="D2940">
        <v>5.1461800000000002</v>
      </c>
      <c r="E2940">
        <v>0.51125750000000003</v>
      </c>
      <c r="F2940" t="s">
        <v>59</v>
      </c>
      <c r="G2940">
        <v>-463.41210000000001</v>
      </c>
      <c r="H2940" s="1">
        <v>2.8624730000000001E-7</v>
      </c>
      <c r="I2940">
        <v>284.45</v>
      </c>
      <c r="J2940">
        <v>-439.10309999999998</v>
      </c>
      <c r="K2940">
        <v>1.104463</v>
      </c>
      <c r="L2940">
        <v>284.66820000000001</v>
      </c>
      <c r="M2940">
        <v>-0.99994490000000003</v>
      </c>
      <c r="N2940">
        <v>0</v>
      </c>
      <c r="O2940">
        <v>3.3901359999999902E-3</v>
      </c>
      <c r="P2940">
        <v>-0.99870040000000004</v>
      </c>
      <c r="Q2940">
        <v>3.7918930000000003E-2</v>
      </c>
      <c r="R2940">
        <v>-3.4055589999999997E-2</v>
      </c>
      <c r="S2940">
        <v>-3.0081790000000002</v>
      </c>
      <c r="T2940">
        <v>-0.1356974</v>
      </c>
      <c r="U2940">
        <v>-2.6733400000000001E-2</v>
      </c>
      <c r="V2940">
        <v>-3.7439449999999999E-2</v>
      </c>
      <c r="W2940">
        <v>4.7835509999999998E-2</v>
      </c>
      <c r="X2940">
        <v>0.99815330000000002</v>
      </c>
      <c r="Y2940">
        <v>-1.2260760000000001E-2</v>
      </c>
      <c r="Z2940">
        <v>-4.2924669999999898E-4</v>
      </c>
      <c r="AA2940">
        <v>0.999924699999999</v>
      </c>
      <c r="AB2940">
        <v>29</v>
      </c>
      <c r="AC2940">
        <v>-24.309000000000001</v>
      </c>
      <c r="AD2940">
        <v>-1.1044627137526899</v>
      </c>
      <c r="AE2940">
        <v>-0.21820000000002401</v>
      </c>
      <c r="AF2940">
        <v>-0.29999440784165499</v>
      </c>
      <c r="AG2940">
        <v>-1.1044627137526899</v>
      </c>
      <c r="AH2940">
        <v>24.2580492358396</v>
      </c>
      <c r="AI2940">
        <v>92.6066626810847</v>
      </c>
      <c r="AJ2940">
        <v>90.708529243550302</v>
      </c>
      <c r="AK2940">
        <v>24.285032165085301</v>
      </c>
    </row>
    <row r="2941" spans="1:37" x14ac:dyDescent="0.2">
      <c r="A2941" t="str">
        <f>"20200111155554759"</f>
        <v>20200111155554759</v>
      </c>
      <c r="B2941" t="str">
        <f>"1578729354754655"</f>
        <v>1578729354754655</v>
      </c>
      <c r="C2941" t="s">
        <v>37</v>
      </c>
      <c r="D2941">
        <v>5.1629639999999997</v>
      </c>
      <c r="E2941">
        <v>0.51134959999999996</v>
      </c>
      <c r="F2941" t="s">
        <v>59</v>
      </c>
      <c r="G2941">
        <v>-463.47519999999997</v>
      </c>
      <c r="H2941" s="1">
        <v>3.1978290000000001E-7</v>
      </c>
      <c r="I2941">
        <v>284.45010000000002</v>
      </c>
      <c r="J2941">
        <v>-439.26920000000001</v>
      </c>
      <c r="K2941">
        <v>1.1044620000000001</v>
      </c>
      <c r="L2941">
        <v>284.66879999999998</v>
      </c>
      <c r="M2941">
        <v>-0.99994559999999999</v>
      </c>
      <c r="N2941">
        <v>0</v>
      </c>
      <c r="O2941">
        <v>3.3901970000000002E-3</v>
      </c>
      <c r="P2941">
        <v>-0.9986988</v>
      </c>
      <c r="Q2941">
        <v>3.7993770000000003E-2</v>
      </c>
      <c r="R2941">
        <v>-3.4020019999999998E-2</v>
      </c>
      <c r="S2941">
        <v>-3.0082089999999999</v>
      </c>
      <c r="T2941">
        <v>-0.13632249999999899</v>
      </c>
      <c r="U2941">
        <v>-2.6916499999999999E-2</v>
      </c>
      <c r="V2941">
        <v>-3.7403749999999999E-2</v>
      </c>
      <c r="W2941">
        <v>4.7838369999999998E-2</v>
      </c>
      <c r="X2941">
        <v>0.99815449999999994</v>
      </c>
      <c r="Y2941">
        <v>-1.232138E-2</v>
      </c>
      <c r="Z2941">
        <v>-4.3259309999999998E-4</v>
      </c>
      <c r="AA2941">
        <v>0.99992399999999904</v>
      </c>
      <c r="AB2941">
        <v>29</v>
      </c>
      <c r="AC2941">
        <v>-24.2059999999999</v>
      </c>
      <c r="AD2941">
        <v>-1.1044616802170999</v>
      </c>
      <c r="AE2941">
        <v>-0.21869999999995501</v>
      </c>
      <c r="AF2941">
        <v>-0.30014103847817097</v>
      </c>
      <c r="AG2941">
        <v>-1.1044616802170999</v>
      </c>
      <c r="AH2941">
        <v>24.154836094981999</v>
      </c>
      <c r="AI2941">
        <v>92.617781083296293</v>
      </c>
      <c r="AJ2941">
        <v>90.711904221776905</v>
      </c>
      <c r="AK2941">
        <v>24.181935965126801</v>
      </c>
    </row>
    <row r="2942" spans="1:37" x14ac:dyDescent="0.2">
      <c r="A2942" t="str">
        <f>"20200111155554776"</f>
        <v>20200111155554776</v>
      </c>
      <c r="B2942" t="str">
        <f>"1578729354765391"</f>
        <v>1578729354765391</v>
      </c>
      <c r="C2942" t="s">
        <v>37</v>
      </c>
      <c r="D2942">
        <v>5.1496740000000001</v>
      </c>
      <c r="E2942">
        <v>0.52371459999999903</v>
      </c>
      <c r="F2942" t="s">
        <v>59</v>
      </c>
      <c r="G2942">
        <v>-463.6071</v>
      </c>
      <c r="H2942" s="1">
        <v>3.8968069999999998E-7</v>
      </c>
      <c r="I2942">
        <v>284.45670000000001</v>
      </c>
      <c r="J2942">
        <v>-439.49239999999998</v>
      </c>
      <c r="K2942">
        <v>1.1044609999999999</v>
      </c>
      <c r="L2942">
        <v>284.66950000000003</v>
      </c>
      <c r="M2942">
        <v>-0.99994649999999996</v>
      </c>
      <c r="N2942">
        <v>0</v>
      </c>
      <c r="O2942">
        <v>3.3897649999999999E-3</v>
      </c>
      <c r="P2942">
        <v>-0.99869039999999998</v>
      </c>
      <c r="Q2942">
        <v>3.8495590000000003E-2</v>
      </c>
      <c r="R2942">
        <v>-3.3703660000000003E-2</v>
      </c>
      <c r="S2942">
        <v>-3.0082089999999999</v>
      </c>
      <c r="T2942">
        <v>-0.13651389999999999</v>
      </c>
      <c r="U2942">
        <v>-2.6214600000000001E-2</v>
      </c>
      <c r="V2942">
        <v>-3.7086960000000002E-2</v>
      </c>
      <c r="W2942">
        <v>4.8257969999999997E-2</v>
      </c>
      <c r="X2942">
        <v>0.99814609999999904</v>
      </c>
      <c r="Y2942">
        <v>-1.2087850000000001E-2</v>
      </c>
      <c r="Z2942">
        <v>-4.2788449999999899E-4</v>
      </c>
      <c r="AA2942">
        <v>0.99992689999999995</v>
      </c>
      <c r="AB2942">
        <v>29</v>
      </c>
      <c r="AC2942">
        <v>-24.114699999999999</v>
      </c>
      <c r="AD2942">
        <v>-1.1044606103193</v>
      </c>
      <c r="AE2942">
        <v>-0.212800000000015</v>
      </c>
      <c r="AF2942">
        <v>-0.29392932900711799</v>
      </c>
      <c r="AG2942">
        <v>-1.1044606103193</v>
      </c>
      <c r="AH2942">
        <v>24.063367042184399</v>
      </c>
      <c r="AI2942">
        <v>92.6277220800241</v>
      </c>
      <c r="AJ2942">
        <v>90.6998219538402</v>
      </c>
      <c r="AK2942">
        <v>24.090493168407399</v>
      </c>
    </row>
    <row r="2943" spans="1:37" x14ac:dyDescent="0.2">
      <c r="A2943" t="str">
        <f>"20200111155554790"</f>
        <v>20200111155554790</v>
      </c>
      <c r="B2943" t="str">
        <f>"1578729354784912"</f>
        <v>1578729354784912</v>
      </c>
      <c r="C2943" t="s">
        <v>37</v>
      </c>
      <c r="D2943">
        <v>5.1310479999999998</v>
      </c>
      <c r="E2943">
        <v>0.52407599999999999</v>
      </c>
      <c r="F2943" t="s">
        <v>59</v>
      </c>
      <c r="G2943">
        <v>-460.90379999999999</v>
      </c>
      <c r="H2943" s="1">
        <v>-1.080659E-6</v>
      </c>
      <c r="I2943">
        <v>285.18400000000003</v>
      </c>
      <c r="J2943">
        <v>-439.6737</v>
      </c>
      <c r="K2943">
        <v>1.104463</v>
      </c>
      <c r="L2943">
        <v>284.67009999999999</v>
      </c>
      <c r="M2943">
        <v>-0.99994709999999998</v>
      </c>
      <c r="N2943">
        <v>0</v>
      </c>
      <c r="O2943">
        <v>3.389502E-3</v>
      </c>
      <c r="P2943">
        <v>-0.99868690000000004</v>
      </c>
      <c r="Q2943">
        <v>3.877767E-2</v>
      </c>
      <c r="R2943">
        <v>-3.348023E-2</v>
      </c>
      <c r="S2943">
        <v>-3.0123899999999999</v>
      </c>
      <c r="T2943">
        <v>-0.15538779999999999</v>
      </c>
      <c r="U2943">
        <v>7.2387699999999999E-2</v>
      </c>
      <c r="V2943">
        <v>-3.6863350000000003E-2</v>
      </c>
      <c r="W2943">
        <v>4.848421E-2</v>
      </c>
      <c r="X2943">
        <v>0.99814349999999996</v>
      </c>
      <c r="Y2943">
        <v>2.0611350000000001E-2</v>
      </c>
      <c r="Z2943">
        <v>3.5646179999999998E-4</v>
      </c>
      <c r="AA2943">
        <v>0.99978750000000005</v>
      </c>
      <c r="AB2943">
        <v>29</v>
      </c>
      <c r="AC2943">
        <v>-21.2301</v>
      </c>
      <c r="AD2943">
        <v>-1.104464080659</v>
      </c>
      <c r="AE2943">
        <v>0.513900000000035</v>
      </c>
      <c r="AF2943">
        <v>0.44074204252480698</v>
      </c>
      <c r="AG2943">
        <v>-1.104464080659</v>
      </c>
      <c r="AH2943">
        <v>21.174446079591402</v>
      </c>
      <c r="AI2943">
        <v>92.985209975099593</v>
      </c>
      <c r="AJ2943">
        <v>88.807571504539297</v>
      </c>
      <c r="AK2943">
        <v>21.207811325807299</v>
      </c>
    </row>
    <row r="2944" spans="1:37" x14ac:dyDescent="0.2">
      <c r="A2944" t="str">
        <f>"20200111155554803"</f>
        <v>20200111155554803</v>
      </c>
      <c r="B2944" t="str">
        <f>"1578729354794672"</f>
        <v>1578729354794672</v>
      </c>
      <c r="C2944" t="s">
        <v>37</v>
      </c>
      <c r="D2944">
        <v>5.4327449999999997</v>
      </c>
      <c r="E2944">
        <v>0.52407599999999999</v>
      </c>
      <c r="F2944" t="s">
        <v>59</v>
      </c>
      <c r="G2944">
        <v>-462.27839999999998</v>
      </c>
      <c r="H2944" s="1">
        <v>-3.5169689999999998E-7</v>
      </c>
      <c r="I2944">
        <v>285.24189999999999</v>
      </c>
      <c r="J2944">
        <v>-439.84300000000002</v>
      </c>
      <c r="K2944">
        <v>1.1044639999999999</v>
      </c>
      <c r="L2944">
        <v>284.67070000000001</v>
      </c>
      <c r="M2944">
        <v>-0.99994740000000004</v>
      </c>
      <c r="N2944">
        <v>0</v>
      </c>
      <c r="O2944">
        <v>3.3894309999999901E-3</v>
      </c>
      <c r="P2944">
        <v>-0.99866999999999995</v>
      </c>
      <c r="Q2944">
        <v>3.9619999999999898E-2</v>
      </c>
      <c r="R2944">
        <v>-3.2995959999999998E-2</v>
      </c>
      <c r="S2944">
        <v>-3.012238</v>
      </c>
      <c r="T2944">
        <v>-0.1471779</v>
      </c>
      <c r="U2944">
        <v>7.6202389999999995E-2</v>
      </c>
      <c r="V2944">
        <v>-3.6378819999999999E-2</v>
      </c>
      <c r="W2944">
        <v>4.9279580000000003E-2</v>
      </c>
      <c r="X2944">
        <v>0.99812230000000002</v>
      </c>
      <c r="Y2944">
        <v>2.187882E-2</v>
      </c>
      <c r="Z2944">
        <v>3.686076E-4</v>
      </c>
      <c r="AA2944">
        <v>0.9997606</v>
      </c>
      <c r="AB2944">
        <v>29</v>
      </c>
      <c r="AC2944">
        <v>-22.435399999999898</v>
      </c>
      <c r="AD2944">
        <v>-1.1044643516968999</v>
      </c>
      <c r="AE2944">
        <v>0.57119999999997595</v>
      </c>
      <c r="AF2944">
        <v>0.49395361401373</v>
      </c>
      <c r="AG2944">
        <v>-1.1044643516968999</v>
      </c>
      <c r="AH2944">
        <v>22.382998097879501</v>
      </c>
      <c r="AI2944">
        <v>92.824219303584798</v>
      </c>
      <c r="AJ2944">
        <v>88.735787572601097</v>
      </c>
      <c r="AK2944">
        <v>22.4156738807167</v>
      </c>
    </row>
    <row r="2945" spans="1:37" x14ac:dyDescent="0.2">
      <c r="A2945" t="str">
        <f>"20200111155554820"</f>
        <v>20200111155554820</v>
      </c>
      <c r="B2945" t="str">
        <f>"1578729354815167"</f>
        <v>1578729354815167</v>
      </c>
      <c r="C2945" t="s">
        <v>37</v>
      </c>
      <c r="D2945">
        <v>5.1732969999999998</v>
      </c>
      <c r="E2945">
        <v>0.52418169999999997</v>
      </c>
      <c r="F2945" t="s">
        <v>59</v>
      </c>
      <c r="G2945">
        <v>-462.83350000000002</v>
      </c>
      <c r="H2945" s="1">
        <v>-5.7250509999999997E-8</v>
      </c>
      <c r="I2945">
        <v>285.26369999999997</v>
      </c>
      <c r="J2945">
        <v>-440.0548</v>
      </c>
      <c r="K2945">
        <v>1.104463</v>
      </c>
      <c r="L2945">
        <v>284.67140000000001</v>
      </c>
      <c r="M2945">
        <v>-0.99994799999999995</v>
      </c>
      <c r="N2945">
        <v>0</v>
      </c>
      <c r="O2945">
        <v>3.389132E-3</v>
      </c>
      <c r="P2945">
        <v>-0.99867830000000002</v>
      </c>
      <c r="Q2945">
        <v>3.9676799999999998E-2</v>
      </c>
      <c r="R2945">
        <v>-3.2675280000000001E-2</v>
      </c>
      <c r="S2945">
        <v>-3.0122990000000001</v>
      </c>
      <c r="T2945">
        <v>-0.14471099999999901</v>
      </c>
      <c r="U2945">
        <v>7.7697749999999996E-2</v>
      </c>
      <c r="V2945">
        <v>-3.6058029999999998E-2</v>
      </c>
      <c r="W2945">
        <v>4.9286719999999999E-2</v>
      </c>
      <c r="X2945">
        <v>0.99813359999999995</v>
      </c>
      <c r="Y2945">
        <v>2.2374740000000001E-2</v>
      </c>
      <c r="Z2945">
        <v>3.7434419999999999E-4</v>
      </c>
      <c r="AA2945">
        <v>0.99974959999999902</v>
      </c>
      <c r="AB2945">
        <v>29</v>
      </c>
      <c r="AC2945">
        <v>-22.778700000000001</v>
      </c>
      <c r="AD2945">
        <v>-1.1044630572505101</v>
      </c>
      <c r="AE2945">
        <v>0.59229999999996596</v>
      </c>
      <c r="AF2945">
        <v>0.51388569933981798</v>
      </c>
      <c r="AG2945">
        <v>-1.1044630572505101</v>
      </c>
      <c r="AH2945">
        <v>22.7271821366786</v>
      </c>
      <c r="AI2945">
        <v>92.781479649580803</v>
      </c>
      <c r="AJ2945">
        <v>88.704702354782199</v>
      </c>
      <c r="AK2945">
        <v>22.759805030592499</v>
      </c>
    </row>
    <row r="2946" spans="1:37" x14ac:dyDescent="0.2">
      <c r="A2946" t="str">
        <f>"20200111155554832"</f>
        <v>20200111155554832</v>
      </c>
      <c r="B2946" t="str">
        <f>"1578729354824928"</f>
        <v>1578729354824928</v>
      </c>
      <c r="C2946" t="s">
        <v>37</v>
      </c>
      <c r="D2946">
        <v>5.2068640000000004</v>
      </c>
      <c r="E2946">
        <v>0.52442390000000005</v>
      </c>
      <c r="F2946" t="s">
        <v>59</v>
      </c>
      <c r="G2946">
        <v>-463.43369999999999</v>
      </c>
      <c r="H2946" s="1">
        <v>2.61053E-7</v>
      </c>
      <c r="I2946">
        <v>285.28870000000001</v>
      </c>
      <c r="J2946">
        <v>-440.23270000000002</v>
      </c>
      <c r="K2946">
        <v>1.104463</v>
      </c>
      <c r="L2946">
        <v>284.67200000000003</v>
      </c>
      <c r="M2946">
        <v>-0.99994830000000001</v>
      </c>
      <c r="N2946">
        <v>0</v>
      </c>
      <c r="O2946">
        <v>3.3889319999999999E-3</v>
      </c>
      <c r="P2946">
        <v>-0.99869249999999898</v>
      </c>
      <c r="Q2946">
        <v>3.9607820000000002E-2</v>
      </c>
      <c r="R2946">
        <v>-3.2320679999999997E-2</v>
      </c>
      <c r="S2946">
        <v>-3.012238</v>
      </c>
      <c r="T2946">
        <v>-0.14230390000000001</v>
      </c>
      <c r="U2946">
        <v>7.9528810000000005E-2</v>
      </c>
      <c r="V2946">
        <v>-3.5703150000000003E-2</v>
      </c>
      <c r="W2946">
        <v>4.9185279999999998E-2</v>
      </c>
      <c r="X2946">
        <v>0.99815140000000002</v>
      </c>
      <c r="Y2946">
        <v>2.2982809999999999E-2</v>
      </c>
      <c r="Z2946">
        <v>3.8249139999999899E-4</v>
      </c>
      <c r="AA2946">
        <v>0.99973579999999995</v>
      </c>
      <c r="AB2946">
        <v>29</v>
      </c>
      <c r="AC2946">
        <v>-23.200999999999901</v>
      </c>
      <c r="AD2946">
        <v>-1.1044627389470001</v>
      </c>
      <c r="AE2946">
        <v>0.61669999999998004</v>
      </c>
      <c r="AF2946">
        <v>0.53685050830462699</v>
      </c>
      <c r="AG2946">
        <v>-1.1044627389470001</v>
      </c>
      <c r="AH2946">
        <v>23.1505312625914</v>
      </c>
      <c r="AI2946">
        <v>92.730656105143893</v>
      </c>
      <c r="AJ2946">
        <v>88.671574482237801</v>
      </c>
      <c r="AK2946">
        <v>23.1830788324202</v>
      </c>
    </row>
    <row r="2947" spans="1:37" x14ac:dyDescent="0.2">
      <c r="A2947" t="str">
        <f>"20200111155554847"</f>
        <v>20200111155554847</v>
      </c>
      <c r="B2947" t="str">
        <f>"1578729354845423"</f>
        <v>1578729354845423</v>
      </c>
      <c r="C2947" t="s">
        <v>37</v>
      </c>
      <c r="D2947">
        <v>5.0791599999999999</v>
      </c>
      <c r="E2947">
        <v>0.52432029999999996</v>
      </c>
      <c r="F2947" t="s">
        <v>59</v>
      </c>
      <c r="G2947">
        <v>-463.44979999999998</v>
      </c>
      <c r="H2947" s="1">
        <v>2.6877309999999901E-7</v>
      </c>
      <c r="I2947">
        <v>285.30849999999998</v>
      </c>
      <c r="J2947">
        <v>-440.42290000000003</v>
      </c>
      <c r="K2947">
        <v>1.1044620000000001</v>
      </c>
      <c r="L2947">
        <v>284.67259999999999</v>
      </c>
      <c r="M2947">
        <v>-0.99994859999999897</v>
      </c>
      <c r="N2947">
        <v>0</v>
      </c>
      <c r="O2947">
        <v>3.3887819999999999E-3</v>
      </c>
      <c r="P2947">
        <v>-0.99871739999999998</v>
      </c>
      <c r="Q2947">
        <v>3.9284649999999997E-2</v>
      </c>
      <c r="R2947">
        <v>-3.1948810000000001E-2</v>
      </c>
      <c r="S2947">
        <v>-3.0122680000000002</v>
      </c>
      <c r="T2947">
        <v>-0.1432969</v>
      </c>
      <c r="U2947">
        <v>8.2580570000000006E-2</v>
      </c>
      <c r="V2947">
        <v>-3.5331090000000002E-2</v>
      </c>
      <c r="W2947">
        <v>4.8831409999999999E-2</v>
      </c>
      <c r="X2947">
        <v>0.99818189999999996</v>
      </c>
      <c r="Y2947">
        <v>2.399335E-2</v>
      </c>
      <c r="Z2947">
        <v>4.0917360000000002E-4</v>
      </c>
      <c r="AA2947">
        <v>0.99971200000000005</v>
      </c>
      <c r="AB2947">
        <v>29</v>
      </c>
      <c r="AC2947">
        <v>-23.026899999999898</v>
      </c>
      <c r="AD2947">
        <v>-1.1044617312268901</v>
      </c>
      <c r="AE2947">
        <v>0.63589999999999203</v>
      </c>
      <c r="AF2947">
        <v>0.55658018013205901</v>
      </c>
      <c r="AG2947">
        <v>-1.1044617312268901</v>
      </c>
      <c r="AH2947">
        <v>22.9761055494563</v>
      </c>
      <c r="AI2947">
        <v>92.751284600277998</v>
      </c>
      <c r="AJ2947">
        <v>88.612320978222201</v>
      </c>
      <c r="AK2947">
        <v>23.009368601341901</v>
      </c>
    </row>
    <row r="2948" spans="1:37" x14ac:dyDescent="0.2">
      <c r="A2948" t="str">
        <f>"20200111155554861"</f>
        <v>20200111155554861</v>
      </c>
      <c r="B2948" t="str">
        <f>"1578729354855183"</f>
        <v>1578729354855183</v>
      </c>
      <c r="C2948" t="s">
        <v>37</v>
      </c>
      <c r="D2948">
        <v>5.0740679999999996</v>
      </c>
      <c r="E2948">
        <v>0.5209857</v>
      </c>
      <c r="F2948" t="s">
        <v>59</v>
      </c>
      <c r="G2948">
        <v>-463.36540000000002</v>
      </c>
      <c r="H2948" s="1">
        <v>2.240483E-7</v>
      </c>
      <c r="I2948">
        <v>285.30369999999999</v>
      </c>
      <c r="J2948">
        <v>-440.59699999999998</v>
      </c>
      <c r="K2948">
        <v>1.1044579999999999</v>
      </c>
      <c r="L2948">
        <v>284.67320000000001</v>
      </c>
      <c r="M2948">
        <v>-0.99994889999999903</v>
      </c>
      <c r="N2948">
        <v>0</v>
      </c>
      <c r="O2948">
        <v>3.388542E-3</v>
      </c>
      <c r="P2948">
        <v>-0.99872240000000001</v>
      </c>
      <c r="Q2948">
        <v>3.949242E-2</v>
      </c>
      <c r="R2948">
        <v>-3.1529010000000003E-2</v>
      </c>
      <c r="S2948">
        <v>-3.012146</v>
      </c>
      <c r="T2948">
        <v>-0.14500650000000001</v>
      </c>
      <c r="U2948">
        <v>8.2855219999999993E-2</v>
      </c>
      <c r="V2948">
        <v>-3.4911440000000002E-2</v>
      </c>
      <c r="W2948">
        <v>4.9014290000000002E-2</v>
      </c>
      <c r="X2948">
        <v>0.99818779999999996</v>
      </c>
      <c r="Y2948">
        <v>2.4085120000000002E-2</v>
      </c>
      <c r="Z2948">
        <v>4.1628470000000002E-4</v>
      </c>
      <c r="AA2948">
        <v>0.99970979999999998</v>
      </c>
      <c r="AB2948">
        <v>29</v>
      </c>
      <c r="AC2948">
        <v>-22.7684</v>
      </c>
      <c r="AD2948">
        <v>-1.10445777595169</v>
      </c>
      <c r="AE2948">
        <v>0.63049999999998296</v>
      </c>
      <c r="AF2948">
        <v>0.55204320451881395</v>
      </c>
      <c r="AG2948">
        <v>-1.10445777595169</v>
      </c>
      <c r="AH2948">
        <v>22.716992332634799</v>
      </c>
      <c r="AI2948">
        <v>92.782601986823494</v>
      </c>
      <c r="AJ2948">
        <v>88.607935358284394</v>
      </c>
      <c r="AK2948">
        <v>22.750523495504599</v>
      </c>
    </row>
    <row r="2949" spans="1:37" x14ac:dyDescent="0.2">
      <c r="A2949" t="str">
        <f>"20200111155554875"</f>
        <v>20200111155554875</v>
      </c>
      <c r="B2949" t="str">
        <f>"1578729354864943"</f>
        <v>1578729354864943</v>
      </c>
      <c r="C2949" t="s">
        <v>37</v>
      </c>
      <c r="D2949">
        <v>5.1637550000000001</v>
      </c>
      <c r="E2949">
        <v>0.52197059999999995</v>
      </c>
      <c r="F2949" t="s">
        <v>40</v>
      </c>
      <c r="G2949">
        <v>-441.55669999999998</v>
      </c>
      <c r="H2949">
        <v>1.041733</v>
      </c>
      <c r="I2949">
        <v>284.69080000000002</v>
      </c>
      <c r="J2949">
        <v>-440.80009999999999</v>
      </c>
      <c r="K2949">
        <v>1.1044559999999899</v>
      </c>
      <c r="L2949">
        <v>284.6739</v>
      </c>
      <c r="M2949">
        <v>-0.99994919999999998</v>
      </c>
      <c r="N2949">
        <v>0</v>
      </c>
      <c r="O2949">
        <v>3.388641E-3</v>
      </c>
      <c r="P2949">
        <v>-0.99872109999999903</v>
      </c>
      <c r="Q2949">
        <v>3.9442570000000003E-2</v>
      </c>
      <c r="R2949">
        <v>-3.1632880000000002E-2</v>
      </c>
      <c r="S2949">
        <v>-3.0133969999999999</v>
      </c>
      <c r="T2949">
        <v>-0.19709549999999901</v>
      </c>
      <c r="U2949">
        <v>5.450439E-2</v>
      </c>
      <c r="V2949">
        <v>-3.50158E-2</v>
      </c>
      <c r="W2949">
        <v>4.8943340000000002E-2</v>
      </c>
      <c r="X2949">
        <v>0.99818759999999995</v>
      </c>
      <c r="Y2949">
        <v>1.467196E-2</v>
      </c>
      <c r="Z2949">
        <v>2.5787660000000002E-4</v>
      </c>
      <c r="AA2949">
        <v>0.99989240000000001</v>
      </c>
      <c r="AB2949">
        <v>29</v>
      </c>
      <c r="AC2949">
        <v>-0.75659999999999095</v>
      </c>
      <c r="AD2949">
        <v>-6.2722999999999807E-2</v>
      </c>
      <c r="AE2949">
        <v>1.6900000000020999E-2</v>
      </c>
      <c r="AF2949">
        <v>1.42381374483801E-2</v>
      </c>
      <c r="AG2949">
        <v>-6.2722999999999807E-2</v>
      </c>
      <c r="AH2949">
        <v>0.75149080721116202</v>
      </c>
      <c r="AI2949">
        <v>94.770267715863994</v>
      </c>
      <c r="AJ2949">
        <v>88.914574093546406</v>
      </c>
      <c r="AK2949">
        <v>0.75423824658385197</v>
      </c>
    </row>
    <row r="2950" spans="1:37" x14ac:dyDescent="0.2">
      <c r="A2950" t="str">
        <f>"20200111155554890"</f>
        <v>20200111155554890</v>
      </c>
      <c r="B2950" t="str">
        <f>"1578729354885439"</f>
        <v>1578729354885439</v>
      </c>
      <c r="C2950" t="s">
        <v>37</v>
      </c>
      <c r="D2950">
        <v>5.1752349999999998</v>
      </c>
      <c r="E2950">
        <v>0.52293279999999998</v>
      </c>
      <c r="F2950" t="s">
        <v>59</v>
      </c>
      <c r="G2950">
        <v>-459.0453</v>
      </c>
      <c r="H2950" s="1">
        <v>3.2574660000000001E-6</v>
      </c>
      <c r="I2950">
        <v>285.05579999999998</v>
      </c>
      <c r="J2950">
        <v>-440.9905</v>
      </c>
      <c r="K2950">
        <v>1.104455</v>
      </c>
      <c r="L2950">
        <v>284.6746</v>
      </c>
      <c r="M2950">
        <v>-0.99994919999999998</v>
      </c>
      <c r="N2950">
        <v>0</v>
      </c>
      <c r="O2950">
        <v>3.3884129999999998E-3</v>
      </c>
      <c r="P2950">
        <v>-0.99872099999999897</v>
      </c>
      <c r="Q2950">
        <v>3.9378539999999997E-2</v>
      </c>
      <c r="R2950">
        <v>-3.1712839999999999E-2</v>
      </c>
      <c r="S2950">
        <v>-3.0130619999999899</v>
      </c>
      <c r="T2950">
        <v>-0.18239229999999901</v>
      </c>
      <c r="U2950">
        <v>6.3079830000000003E-2</v>
      </c>
      <c r="V2950">
        <v>-3.509495E-2</v>
      </c>
      <c r="W2950">
        <v>4.8865230000000003E-2</v>
      </c>
      <c r="X2950">
        <v>0.99818859999999998</v>
      </c>
      <c r="Y2950">
        <v>1.7517080000000001E-2</v>
      </c>
      <c r="Z2950">
        <v>3.2473490000000001E-4</v>
      </c>
      <c r="AA2950">
        <v>0.99984649999999997</v>
      </c>
      <c r="AB2950">
        <v>29</v>
      </c>
      <c r="AC2950">
        <v>-18.0548</v>
      </c>
      <c r="AD2950">
        <v>-1.1044517425339999</v>
      </c>
      <c r="AE2950">
        <v>0.381199999999978</v>
      </c>
      <c r="AF2950">
        <v>0.31882541070055598</v>
      </c>
      <c r="AG2950">
        <v>-1.1044517425339999</v>
      </c>
      <c r="AH2950">
        <v>17.9887036568167</v>
      </c>
      <c r="AI2950">
        <v>93.512826215229495</v>
      </c>
      <c r="AJ2950">
        <v>88.984616213385806</v>
      </c>
      <c r="AK2950">
        <v>18.0253965988787</v>
      </c>
    </row>
    <row r="2951" spans="1:37" x14ac:dyDescent="0.2">
      <c r="A2951" t="str">
        <f>"20200111155554903"</f>
        <v>20200111155554903</v>
      </c>
      <c r="B2951" t="str">
        <f>"1578729354895199"</f>
        <v>1578729354895199</v>
      </c>
      <c r="C2951" t="s">
        <v>37</v>
      </c>
      <c r="D2951">
        <v>5.1820349999999999</v>
      </c>
      <c r="E2951">
        <v>0.52327959999999996</v>
      </c>
      <c r="F2951" t="s">
        <v>59</v>
      </c>
      <c r="G2951">
        <v>-460.87430000000001</v>
      </c>
      <c r="H2951" s="1">
        <v>-1.0946309999999899E-6</v>
      </c>
      <c r="I2951">
        <v>285.14510000000001</v>
      </c>
      <c r="J2951">
        <v>-441.1619</v>
      </c>
      <c r="K2951">
        <v>1.104455</v>
      </c>
      <c r="L2951">
        <v>284.67509999999999</v>
      </c>
      <c r="M2951">
        <v>-0.99994919999999998</v>
      </c>
      <c r="N2951">
        <v>0</v>
      </c>
      <c r="O2951">
        <v>3.3880959999999902E-3</v>
      </c>
      <c r="P2951">
        <v>-0.99872000000000005</v>
      </c>
      <c r="Q2951">
        <v>3.9330270000000001E-2</v>
      </c>
      <c r="R2951">
        <v>-3.1801709999999997E-2</v>
      </c>
      <c r="S2951">
        <v>-3.0126949999999999</v>
      </c>
      <c r="T2951">
        <v>-0.16734179999999901</v>
      </c>
      <c r="U2951">
        <v>7.1289060000000001E-2</v>
      </c>
      <c r="V2951">
        <v>-3.518404E-2</v>
      </c>
      <c r="W2951">
        <v>4.8808560000000001E-2</v>
      </c>
      <c r="X2951">
        <v>0.99818830000000003</v>
      </c>
      <c r="Y2951">
        <v>2.0242860000000001E-2</v>
      </c>
      <c r="Z2951">
        <v>3.7366040000000002E-4</v>
      </c>
      <c r="AA2951">
        <v>0.99979499999999999</v>
      </c>
      <c r="AB2951">
        <v>29</v>
      </c>
      <c r="AC2951">
        <v>-19.712399999999999</v>
      </c>
      <c r="AD2951">
        <v>-1.104456094631</v>
      </c>
      <c r="AE2951">
        <v>0.47000000000002701</v>
      </c>
      <c r="AF2951">
        <v>0.40194572098372999</v>
      </c>
      <c r="AG2951">
        <v>-1.104456094631</v>
      </c>
      <c r="AH2951">
        <v>19.652222273288</v>
      </c>
      <c r="AI2951">
        <v>93.2159714570967</v>
      </c>
      <c r="AJ2951">
        <v>88.828296230534804</v>
      </c>
      <c r="AK2951">
        <v>19.6873366382125</v>
      </c>
    </row>
    <row r="2952" spans="1:37" x14ac:dyDescent="0.2">
      <c r="A2952" t="str">
        <f>"20200111155554919"</f>
        <v>20200111155554919</v>
      </c>
      <c r="B2952" t="str">
        <f>"1578729354915695"</f>
        <v>1578729354915695</v>
      </c>
      <c r="C2952" t="s">
        <v>37</v>
      </c>
      <c r="D2952">
        <v>5.1946820000000002</v>
      </c>
      <c r="E2952">
        <v>0.52360189999999995</v>
      </c>
      <c r="F2952" t="s">
        <v>59</v>
      </c>
      <c r="G2952">
        <v>-461.23020000000002</v>
      </c>
      <c r="H2952" s="1">
        <v>-9.0625360000000004E-7</v>
      </c>
      <c r="I2952">
        <v>285.16820000000001</v>
      </c>
      <c r="J2952">
        <v>-441.37299999999999</v>
      </c>
      <c r="K2952">
        <v>1.104454</v>
      </c>
      <c r="L2952">
        <v>284.67579999999998</v>
      </c>
      <c r="M2952">
        <v>-0.99994919999999998</v>
      </c>
      <c r="N2952">
        <v>0</v>
      </c>
      <c r="O2952">
        <v>3.3879259999999999E-3</v>
      </c>
      <c r="P2952">
        <v>-0.99872249999999996</v>
      </c>
      <c r="Q2952">
        <v>3.9118769999999997E-2</v>
      </c>
      <c r="R2952">
        <v>-3.198782E-2</v>
      </c>
      <c r="S2952">
        <v>-3.012756</v>
      </c>
      <c r="T2952">
        <v>-0.1658067</v>
      </c>
      <c r="U2952">
        <v>7.403564E-2</v>
      </c>
      <c r="V2952">
        <v>-3.5369100000000001E-2</v>
      </c>
      <c r="W2952">
        <v>4.8594709999999999E-2</v>
      </c>
      <c r="X2952">
        <v>0.99819210000000003</v>
      </c>
      <c r="Y2952">
        <v>2.1152580000000001E-2</v>
      </c>
      <c r="Z2952">
        <v>3.9524580000000002E-4</v>
      </c>
      <c r="AA2952">
        <v>0.999776199999999</v>
      </c>
      <c r="AB2952">
        <v>29</v>
      </c>
      <c r="AC2952">
        <v>-19.857199999999899</v>
      </c>
      <c r="AD2952">
        <v>-1.1044549062536</v>
      </c>
      <c r="AE2952">
        <v>0.49240000000003098</v>
      </c>
      <c r="AF2952">
        <v>0.42380914050132301</v>
      </c>
      <c r="AG2952">
        <v>-1.1044549062536</v>
      </c>
      <c r="AH2952">
        <v>19.797546856086498</v>
      </c>
      <c r="AI2952">
        <v>93.192346489269198</v>
      </c>
      <c r="AJ2952">
        <v>88.773647715739301</v>
      </c>
      <c r="AK2952">
        <v>19.832859005863501</v>
      </c>
    </row>
    <row r="2953" spans="1:37" x14ac:dyDescent="0.2">
      <c r="A2953" t="str">
        <f>"20200111155554934"</f>
        <v>20200111155554934</v>
      </c>
      <c r="B2953" t="str">
        <f>"1578729354925455"</f>
        <v>1578729354925455</v>
      </c>
      <c r="C2953" t="s">
        <v>37</v>
      </c>
      <c r="D2953">
        <v>5.2183839999999897</v>
      </c>
      <c r="E2953">
        <v>0.5235687</v>
      </c>
      <c r="F2953" t="s">
        <v>40</v>
      </c>
      <c r="G2953">
        <v>-442.36520000000002</v>
      </c>
      <c r="H2953">
        <v>1.050908</v>
      </c>
      <c r="I2953">
        <v>284.7011</v>
      </c>
      <c r="J2953">
        <v>-441.57240000000002</v>
      </c>
      <c r="K2953">
        <v>1.1044499999999999</v>
      </c>
      <c r="L2953">
        <v>284.67649999999998</v>
      </c>
      <c r="M2953">
        <v>-0.99994930000000004</v>
      </c>
      <c r="N2953">
        <v>0</v>
      </c>
      <c r="O2953">
        <v>3.3875450000000001E-3</v>
      </c>
      <c r="P2953">
        <v>-0.99871699999999997</v>
      </c>
      <c r="Q2953">
        <v>3.8957060000000002E-2</v>
      </c>
      <c r="R2953">
        <v>-3.235677E-2</v>
      </c>
      <c r="S2953">
        <v>-3.0126650000000001</v>
      </c>
      <c r="T2953">
        <v>-0.1627151</v>
      </c>
      <c r="U2953">
        <v>7.6171879999999997E-2</v>
      </c>
      <c r="V2953">
        <v>-3.5737770000000002E-2</v>
      </c>
      <c r="W2953">
        <v>4.8438019999999998E-2</v>
      </c>
      <c r="X2953">
        <v>0.99818660000000003</v>
      </c>
      <c r="Y2953">
        <v>2.1862139999999999E-2</v>
      </c>
      <c r="Z2953">
        <v>4.0706089999999998E-4</v>
      </c>
      <c r="AA2953">
        <v>0.99976089999999995</v>
      </c>
      <c r="AB2953">
        <v>30</v>
      </c>
      <c r="AC2953">
        <v>-0.79279999999999895</v>
      </c>
      <c r="AD2953">
        <v>-5.3541999999999902E-2</v>
      </c>
      <c r="AE2953">
        <v>2.46000000000208E-2</v>
      </c>
      <c r="AF2953">
        <v>2.18146908875483E-2</v>
      </c>
      <c r="AG2953">
        <v>-5.3541999999999902E-2</v>
      </c>
      <c r="AH2953">
        <v>0.78928231901556101</v>
      </c>
      <c r="AI2953">
        <v>93.879311833406007</v>
      </c>
      <c r="AJ2953">
        <v>88.416825546911895</v>
      </c>
      <c r="AK2953">
        <v>0.79139699621182602</v>
      </c>
    </row>
    <row r="2954" spans="1:37" x14ac:dyDescent="0.2">
      <c r="A2954" t="str">
        <f>"20200111155554948"</f>
        <v>20200111155554948</v>
      </c>
      <c r="B2954" t="str">
        <f>"1578729354945951"</f>
        <v>1578729354945951</v>
      </c>
      <c r="C2954" t="s">
        <v>37</v>
      </c>
      <c r="D2954">
        <v>5.1996039999999999</v>
      </c>
      <c r="E2954">
        <v>0.52389889999999995</v>
      </c>
      <c r="F2954" t="s">
        <v>59</v>
      </c>
      <c r="G2954">
        <v>-462.20170000000002</v>
      </c>
      <c r="H2954" s="1">
        <v>-3.9026319999999901E-7</v>
      </c>
      <c r="I2954">
        <v>285.19069999999999</v>
      </c>
      <c r="J2954">
        <v>-441.76150000000001</v>
      </c>
      <c r="K2954">
        <v>1.1044479999999901</v>
      </c>
      <c r="L2954">
        <v>284.6771</v>
      </c>
      <c r="M2954">
        <v>-0.99994919999999998</v>
      </c>
      <c r="N2954">
        <v>0</v>
      </c>
      <c r="O2954">
        <v>3.3872030000000001E-3</v>
      </c>
      <c r="P2954">
        <v>-0.9986969</v>
      </c>
      <c r="Q2954">
        <v>3.9048310000000003E-2</v>
      </c>
      <c r="R2954">
        <v>-3.2861210000000002E-2</v>
      </c>
      <c r="S2954">
        <v>-3.0125730000000002</v>
      </c>
      <c r="T2954">
        <v>-0.16128709999999999</v>
      </c>
      <c r="U2954">
        <v>7.5103760000000006E-2</v>
      </c>
      <c r="V2954">
        <v>-3.6242120000000003E-2</v>
      </c>
      <c r="W2954">
        <v>4.8538030000000003E-2</v>
      </c>
      <c r="X2954">
        <v>0.99816360000000004</v>
      </c>
      <c r="Y2954">
        <v>2.1509980000000001E-2</v>
      </c>
      <c r="Z2954">
        <v>3.9410709999999899E-4</v>
      </c>
      <c r="AA2954">
        <v>0.99976860000000001</v>
      </c>
      <c r="AB2954">
        <v>30</v>
      </c>
      <c r="AC2954">
        <v>-20.440200000000001</v>
      </c>
      <c r="AD2954">
        <v>-1.1044483902631901</v>
      </c>
      <c r="AE2954">
        <v>0.51359999999999595</v>
      </c>
      <c r="AF2954">
        <v>0.44306607534340298</v>
      </c>
      <c r="AG2954">
        <v>-1.1044483902631901</v>
      </c>
      <c r="AH2954">
        <v>20.382352091987901</v>
      </c>
      <c r="AI2954">
        <v>93.100893568558902</v>
      </c>
      <c r="AJ2954">
        <v>88.754715909600904</v>
      </c>
      <c r="AK2954">
        <v>20.417061262474601</v>
      </c>
    </row>
    <row r="2955" spans="1:37" x14ac:dyDescent="0.2">
      <c r="A2955" t="str">
        <f>"20200111155554971"</f>
        <v>20200111155554971</v>
      </c>
      <c r="B2955" t="str">
        <f>"1578729354965471"</f>
        <v>1578729354965471</v>
      </c>
      <c r="C2955" t="s">
        <v>37</v>
      </c>
      <c r="D2955">
        <v>5.2054650000000002</v>
      </c>
      <c r="E2955">
        <v>0.5240707</v>
      </c>
      <c r="F2955" t="s">
        <v>59</v>
      </c>
      <c r="G2955">
        <v>-462.6927</v>
      </c>
      <c r="H2955" s="1">
        <v>-1.297132E-7</v>
      </c>
      <c r="I2955">
        <v>285.20740000000001</v>
      </c>
      <c r="J2955">
        <v>-442.0523</v>
      </c>
      <c r="K2955">
        <v>1.104457</v>
      </c>
      <c r="L2955">
        <v>284.67809999999997</v>
      </c>
      <c r="M2955">
        <v>-0.99994889999999903</v>
      </c>
      <c r="N2955">
        <v>0</v>
      </c>
      <c r="O2955">
        <v>3.3868759999999901E-3</v>
      </c>
      <c r="P2955">
        <v>-0.99867119999999998</v>
      </c>
      <c r="Q2955">
        <v>3.9311350000000002E-2</v>
      </c>
      <c r="R2955">
        <v>-3.3328370000000003E-2</v>
      </c>
      <c r="S2955">
        <v>-3.0126040000000001</v>
      </c>
      <c r="T2955">
        <v>-0.15896189999999999</v>
      </c>
      <c r="U2955">
        <v>7.6324459999999997E-2</v>
      </c>
      <c r="V2955">
        <v>-3.6708980000000002E-2</v>
      </c>
      <c r="W2955">
        <v>4.8831890000000003E-2</v>
      </c>
      <c r="X2955">
        <v>0.99813220000000002</v>
      </c>
      <c r="Y2955">
        <v>2.191508E-2</v>
      </c>
      <c r="Z2955">
        <v>3.9912319999999999E-4</v>
      </c>
      <c r="AA2955">
        <v>0.99975970000000003</v>
      </c>
      <c r="AB2955">
        <v>30</v>
      </c>
      <c r="AC2955">
        <v>-20.6404</v>
      </c>
      <c r="AD2955">
        <v>-1.1044571297132</v>
      </c>
      <c r="AE2955">
        <v>0.52930000000003397</v>
      </c>
      <c r="AF2955">
        <v>0.45807658455464501</v>
      </c>
      <c r="AG2955">
        <v>-1.1044571297132</v>
      </c>
      <c r="AH2955">
        <v>20.583178004078299</v>
      </c>
      <c r="AI2955">
        <v>93.070686364562107</v>
      </c>
      <c r="AJ2955">
        <v>88.725098561081595</v>
      </c>
      <c r="AK2955">
        <v>20.617877593396098</v>
      </c>
    </row>
    <row r="2956" spans="1:37" x14ac:dyDescent="0.2">
      <c r="A2956" t="str">
        <f>"20200111155554986"</f>
        <v>20200111155554986</v>
      </c>
      <c r="B2956" t="str">
        <f>"1578729354975232"</f>
        <v>1578729354975232</v>
      </c>
      <c r="C2956" t="s">
        <v>37</v>
      </c>
      <c r="D2956">
        <v>5.2533370000000001</v>
      </c>
      <c r="E2956">
        <v>0.52423699999999995</v>
      </c>
      <c r="F2956" t="s">
        <v>59</v>
      </c>
      <c r="G2956">
        <v>-463.37380000000002</v>
      </c>
      <c r="H2956" s="1">
        <v>2.3220700000000001E-7</v>
      </c>
      <c r="I2956">
        <v>285.21929999999998</v>
      </c>
      <c r="J2956">
        <v>-442.26819999999998</v>
      </c>
      <c r="K2956">
        <v>1.1044639999999999</v>
      </c>
      <c r="L2956">
        <v>284.67880000000002</v>
      </c>
      <c r="M2956">
        <v>-0.99994839999999996</v>
      </c>
      <c r="N2956">
        <v>0</v>
      </c>
      <c r="O2956">
        <v>3.3868520000000001E-3</v>
      </c>
      <c r="P2956">
        <v>-0.99866149999999998</v>
      </c>
      <c r="Q2956">
        <v>3.9348699999999903E-2</v>
      </c>
      <c r="R2956">
        <v>-3.3570599999999999E-2</v>
      </c>
      <c r="S2956">
        <v>-3.0126949999999999</v>
      </c>
      <c r="T2956">
        <v>-0.15605829999999901</v>
      </c>
      <c r="U2956">
        <v>7.6477050000000005E-2</v>
      </c>
      <c r="V2956">
        <v>-3.6951089999999999E-2</v>
      </c>
      <c r="W2956">
        <v>4.8911900000000001E-2</v>
      </c>
      <c r="X2956">
        <v>0.99811939999999999</v>
      </c>
      <c r="Y2956">
        <v>2.19657999999999E-2</v>
      </c>
      <c r="Z2956">
        <v>3.9314419999999899E-4</v>
      </c>
      <c r="AA2956">
        <v>0.9997587</v>
      </c>
      <c r="AB2956">
        <v>30</v>
      </c>
      <c r="AC2956">
        <v>-21.105599999999999</v>
      </c>
      <c r="AD2956">
        <v>-1.10446376779299</v>
      </c>
      <c r="AE2956">
        <v>0.54049999999995102</v>
      </c>
      <c r="AF2956">
        <v>0.46773204818388497</v>
      </c>
      <c r="AG2956">
        <v>-1.10446376779299</v>
      </c>
      <c r="AH2956">
        <v>21.049703475408698</v>
      </c>
      <c r="AI2956">
        <v>93.002776880879793</v>
      </c>
      <c r="AJ2956">
        <v>88.727076464060502</v>
      </c>
      <c r="AK2956">
        <v>21.083847606305099</v>
      </c>
    </row>
    <row r="2957" spans="1:37" x14ac:dyDescent="0.2">
      <c r="A2957" t="str">
        <f>"20200111155555001"</f>
        <v>20200111155555001</v>
      </c>
      <c r="B2957" t="str">
        <f>"1578729354995728"</f>
        <v>1578729354995728</v>
      </c>
      <c r="C2957" t="s">
        <v>37</v>
      </c>
      <c r="D2957">
        <v>5.189705</v>
      </c>
      <c r="E2957">
        <v>0.52432290000000004</v>
      </c>
      <c r="F2957" t="s">
        <v>59</v>
      </c>
      <c r="G2957">
        <v>-463.76609999999999</v>
      </c>
      <c r="H2957" s="1">
        <v>4.4056179999999999E-7</v>
      </c>
      <c r="I2957">
        <v>285.22910000000002</v>
      </c>
      <c r="J2957">
        <v>-442.46480000000003</v>
      </c>
      <c r="K2957">
        <v>1.1044769999999999</v>
      </c>
      <c r="L2957">
        <v>284.67939999999999</v>
      </c>
      <c r="M2957">
        <v>-0.99994780000000005</v>
      </c>
      <c r="N2957">
        <v>0</v>
      </c>
      <c r="O2957">
        <v>3.3865990000000001E-3</v>
      </c>
      <c r="P2957">
        <v>-0.99865349999999997</v>
      </c>
      <c r="Q2957">
        <v>3.9448730000000001E-2</v>
      </c>
      <c r="R2957">
        <v>-3.3687979999999999E-2</v>
      </c>
      <c r="S2957">
        <v>-3.0127259999999998</v>
      </c>
      <c r="T2957">
        <v>-0.1547799</v>
      </c>
      <c r="U2957">
        <v>7.7117920000000006E-2</v>
      </c>
      <c r="V2957">
        <v>-3.7068860000000002E-2</v>
      </c>
      <c r="W2957">
        <v>4.9064299999999998E-2</v>
      </c>
      <c r="X2957">
        <v>0.99810750000000004</v>
      </c>
      <c r="Y2957">
        <v>2.2178449999999999E-2</v>
      </c>
      <c r="Z2957">
        <v>3.9539379999999899E-4</v>
      </c>
      <c r="AA2957">
        <v>0.99975400000000003</v>
      </c>
      <c r="AB2957">
        <v>30</v>
      </c>
      <c r="AC2957">
        <v>-21.301299999999902</v>
      </c>
      <c r="AD2957">
        <v>-1.1044765594382</v>
      </c>
      <c r="AE2957">
        <v>0.54970000000002905</v>
      </c>
      <c r="AF2957">
        <v>0.47627494825964201</v>
      </c>
      <c r="AG2957">
        <v>-1.1044765594382</v>
      </c>
      <c r="AH2957">
        <v>21.245959004059898</v>
      </c>
      <c r="AI2957">
        <v>92.975110714281996</v>
      </c>
      <c r="AJ2957">
        <v>88.715804041460103</v>
      </c>
      <c r="AK2957">
        <v>21.279978390470301</v>
      </c>
    </row>
    <row r="2958" spans="1:37" x14ac:dyDescent="0.2">
      <c r="A2958" t="str">
        <f>"20200111155555015"</f>
        <v>20200111155555015</v>
      </c>
      <c r="B2958" t="str">
        <f>"1578729355005487"</f>
        <v>1578729355005487</v>
      </c>
      <c r="C2958" t="s">
        <v>37</v>
      </c>
      <c r="D2958">
        <v>5.3001709999999997</v>
      </c>
      <c r="E2958">
        <v>0.52452359999999998</v>
      </c>
      <c r="F2958" t="s">
        <v>59</v>
      </c>
      <c r="G2958">
        <v>-463.95119999999997</v>
      </c>
      <c r="H2958" s="1">
        <v>5.3898199999999998E-7</v>
      </c>
      <c r="I2958">
        <v>285.23140000000001</v>
      </c>
      <c r="J2958">
        <v>-442.64389999999997</v>
      </c>
      <c r="K2958">
        <v>1.1044909999999999</v>
      </c>
      <c r="L2958">
        <v>284.68009999999998</v>
      </c>
      <c r="M2958">
        <v>-0.99994729999999998</v>
      </c>
      <c r="N2958">
        <v>0</v>
      </c>
      <c r="O2958">
        <v>3.3862850000000002E-3</v>
      </c>
      <c r="P2958">
        <v>-0.99866160000000004</v>
      </c>
      <c r="Q2958">
        <v>3.913705E-2</v>
      </c>
      <c r="R2958">
        <v>-3.3814329999999997E-2</v>
      </c>
      <c r="S2958">
        <v>-3.0127869999999999</v>
      </c>
      <c r="T2958">
        <v>-0.15486759999999999</v>
      </c>
      <c r="U2958">
        <v>7.7392580000000002E-2</v>
      </c>
      <c r="V2958">
        <v>-3.7193990000000003E-2</v>
      </c>
      <c r="W2958">
        <v>4.8817599999999899E-2</v>
      </c>
      <c r="X2958">
        <v>0.99811489999999903</v>
      </c>
      <c r="Y2958">
        <v>2.226918E-2</v>
      </c>
      <c r="Z2958">
        <v>3.979551E-4</v>
      </c>
      <c r="AA2958">
        <v>0.99975190000000003</v>
      </c>
      <c r="AB2958">
        <v>30</v>
      </c>
      <c r="AC2958">
        <v>-21.307300000000001</v>
      </c>
      <c r="AD2958">
        <v>-1.104490461018</v>
      </c>
      <c r="AE2958">
        <v>0.55130000000002599</v>
      </c>
      <c r="AF2958">
        <v>0.47785771655910603</v>
      </c>
      <c r="AG2958">
        <v>-1.104490461018</v>
      </c>
      <c r="AH2958">
        <v>21.251978980223001</v>
      </c>
      <c r="AI2958">
        <v>92.974302307978107</v>
      </c>
      <c r="AJ2958">
        <v>88.711902662341799</v>
      </c>
      <c r="AK2958">
        <v>21.2860249401243</v>
      </c>
    </row>
    <row r="2959" spans="1:37" x14ac:dyDescent="0.2">
      <c r="A2959" t="str">
        <f>"20200111155555027"</f>
        <v>20200111155555027</v>
      </c>
      <c r="B2959" t="str">
        <f>"1578729355025008"</f>
        <v>1578729355025008</v>
      </c>
      <c r="C2959" t="s">
        <v>37</v>
      </c>
      <c r="D2959">
        <v>5.2136379999999898</v>
      </c>
      <c r="E2959">
        <v>0.52453109999999903</v>
      </c>
      <c r="F2959" t="s">
        <v>59</v>
      </c>
      <c r="G2959">
        <v>-464.14859999999999</v>
      </c>
      <c r="H2959" s="1">
        <v>6.4355849999999999E-7</v>
      </c>
      <c r="I2959">
        <v>285.24180000000001</v>
      </c>
      <c r="J2959">
        <v>-442.80799999999999</v>
      </c>
      <c r="K2959">
        <v>1.1045039999999999</v>
      </c>
      <c r="L2959">
        <v>284.68060000000003</v>
      </c>
      <c r="M2959">
        <v>-0.99994649999999996</v>
      </c>
      <c r="N2959">
        <v>0</v>
      </c>
      <c r="O2959">
        <v>3.3860829999999998E-3</v>
      </c>
      <c r="P2959">
        <v>-0.99865439999999905</v>
      </c>
      <c r="Q2959">
        <v>3.9208359999999998E-2</v>
      </c>
      <c r="R2959">
        <v>-3.3948440000000003E-2</v>
      </c>
      <c r="S2959">
        <v>-3.0127869999999999</v>
      </c>
      <c r="T2959">
        <v>-0.1547375</v>
      </c>
      <c r="U2959">
        <v>7.8704830000000003E-2</v>
      </c>
      <c r="V2959">
        <v>-3.7328409999999999E-2</v>
      </c>
      <c r="W2959">
        <v>4.8967150000000001E-2</v>
      </c>
      <c r="X2959">
        <v>0.99810259999999995</v>
      </c>
      <c r="Y2959">
        <v>2.270401E-2</v>
      </c>
      <c r="Z2959">
        <v>4.0878629999999898E-4</v>
      </c>
      <c r="AA2959">
        <v>0.99974219999999903</v>
      </c>
      <c r="AB2959">
        <v>30</v>
      </c>
      <c r="AC2959">
        <v>-21.340599999999899</v>
      </c>
      <c r="AD2959">
        <v>-1.1045033564415001</v>
      </c>
      <c r="AE2959">
        <v>0.56119999999998504</v>
      </c>
      <c r="AF2959">
        <v>0.48762699374148599</v>
      </c>
      <c r="AG2959">
        <v>-1.1045033564415001</v>
      </c>
      <c r="AH2959">
        <v>21.285400634007502</v>
      </c>
      <c r="AI2959">
        <v>92.969646639372996</v>
      </c>
      <c r="AJ2959">
        <v>88.6876412111082</v>
      </c>
      <c r="AK2959">
        <v>21.319615097361002</v>
      </c>
    </row>
    <row r="2960" spans="1:37" x14ac:dyDescent="0.2">
      <c r="A2960" t="str">
        <f>"20200111155555049"</f>
        <v>20200111155555049</v>
      </c>
      <c r="B2960" t="str">
        <f>"1578729355045504"</f>
        <v>1578729355045504</v>
      </c>
      <c r="C2960" t="s">
        <v>37</v>
      </c>
      <c r="D2960">
        <v>5.21739</v>
      </c>
      <c r="E2960">
        <v>0.52449630000000003</v>
      </c>
      <c r="F2960" t="s">
        <v>59</v>
      </c>
      <c r="G2960">
        <v>-464.33359999999999</v>
      </c>
      <c r="H2960" s="1">
        <v>7.4205419999999899E-7</v>
      </c>
      <c r="I2960">
        <v>285.2405</v>
      </c>
      <c r="J2960">
        <v>-443.09100000000001</v>
      </c>
      <c r="K2960">
        <v>1.104538</v>
      </c>
      <c r="L2960">
        <v>284.68150000000003</v>
      </c>
      <c r="M2960">
        <v>-0.99994470000000002</v>
      </c>
      <c r="N2960">
        <v>0</v>
      </c>
      <c r="O2960">
        <v>3.385828E-3</v>
      </c>
      <c r="P2960">
        <v>-0.99866169999999999</v>
      </c>
      <c r="Q2960">
        <v>3.9145369999999999E-2</v>
      </c>
      <c r="R2960">
        <v>-3.3807049999999998E-2</v>
      </c>
      <c r="S2960">
        <v>-3.0127869999999999</v>
      </c>
      <c r="T2960">
        <v>-0.15458939999999999</v>
      </c>
      <c r="U2960">
        <v>7.8369140000000004E-2</v>
      </c>
      <c r="V2960">
        <v>-3.7186839999999999E-2</v>
      </c>
      <c r="W2960">
        <v>4.9088590000000001E-2</v>
      </c>
      <c r="X2960">
        <v>0.99810189999999999</v>
      </c>
      <c r="Y2960">
        <v>2.2593129999999999E-2</v>
      </c>
      <c r="Z2960">
        <v>4.0556689999999998E-4</v>
      </c>
      <c r="AA2960">
        <v>0.99974470000000004</v>
      </c>
      <c r="AB2960">
        <v>30</v>
      </c>
      <c r="AC2960">
        <v>-21.2425999999999</v>
      </c>
      <c r="AD2960">
        <v>-1.1045372579457999</v>
      </c>
      <c r="AE2960">
        <v>0.55899999999996897</v>
      </c>
      <c r="AF2960">
        <v>0.48575704748521498</v>
      </c>
      <c r="AG2960">
        <v>-1.1045372579457999</v>
      </c>
      <c r="AH2960">
        <v>21.187128726129998</v>
      </c>
      <c r="AI2960">
        <v>92.983486054611106</v>
      </c>
      <c r="AJ2960">
        <v>88.686610440877701</v>
      </c>
      <c r="AK2960">
        <v>21.2214605086685</v>
      </c>
    </row>
    <row r="2961" spans="1:37" x14ac:dyDescent="0.2">
      <c r="A2961" t="str">
        <f>"20200111155555065"</f>
        <v>20200111155555065</v>
      </c>
      <c r="B2961" t="str">
        <f>"1578729355055263"</f>
        <v>1578729355055263</v>
      </c>
      <c r="C2961" t="s">
        <v>37</v>
      </c>
      <c r="D2961">
        <v>5.2621149999999997</v>
      </c>
      <c r="E2961">
        <v>0.52459259999999996</v>
      </c>
      <c r="F2961" t="s">
        <v>59</v>
      </c>
      <c r="G2961">
        <v>-464.6189</v>
      </c>
      <c r="H2961" s="1">
        <v>8.9378509999999902E-7</v>
      </c>
      <c r="I2961">
        <v>285.24310000000003</v>
      </c>
      <c r="J2961">
        <v>-443.30110000000002</v>
      </c>
      <c r="K2961">
        <v>1.104571</v>
      </c>
      <c r="L2961">
        <v>284.68220000000002</v>
      </c>
      <c r="M2961">
        <v>-0.99994280000000002</v>
      </c>
      <c r="N2961">
        <v>0</v>
      </c>
      <c r="O2961">
        <v>3.3857229999999898E-3</v>
      </c>
      <c r="P2961">
        <v>-0.99867150000000005</v>
      </c>
      <c r="Q2961">
        <v>3.8880169999999999E-2</v>
      </c>
      <c r="R2961">
        <v>-3.3817699999999999E-2</v>
      </c>
      <c r="S2961">
        <v>-3.0127869999999999</v>
      </c>
      <c r="T2961">
        <v>-0.15457779999999999</v>
      </c>
      <c r="U2961">
        <v>7.8582760000000001E-2</v>
      </c>
      <c r="V2961">
        <v>-3.7197460000000002E-2</v>
      </c>
      <c r="W2961">
        <v>4.9010489999999997E-2</v>
      </c>
      <c r="X2961">
        <v>0.99810529999999997</v>
      </c>
      <c r="Y2961">
        <v>2.266398E-2</v>
      </c>
      <c r="Z2961">
        <v>4.0735720000000002E-4</v>
      </c>
      <c r="AA2961">
        <v>0.99974300000000005</v>
      </c>
      <c r="AB2961">
        <v>30</v>
      </c>
      <c r="AC2961">
        <v>-21.317799999999899</v>
      </c>
      <c r="AD2961">
        <v>-1.10457010621489</v>
      </c>
      <c r="AE2961">
        <v>0.56090000000000295</v>
      </c>
      <c r="AF2961">
        <v>0.48740924357248899</v>
      </c>
      <c r="AG2961">
        <v>-1.10457010621489</v>
      </c>
      <c r="AH2961">
        <v>21.262532129910198</v>
      </c>
      <c r="AI2961">
        <v>92.973013218933701</v>
      </c>
      <c r="AJ2961">
        <v>88.686816682808399</v>
      </c>
      <c r="AK2961">
        <v>21.296781810069898</v>
      </c>
    </row>
    <row r="2962" spans="1:37" x14ac:dyDescent="0.2">
      <c r="A2962" t="str">
        <f>"20200111155555079"</f>
        <v>20200111155555079</v>
      </c>
      <c r="B2962" t="str">
        <f>"1578729355074783"</f>
        <v>1578729355074783</v>
      </c>
      <c r="C2962" t="s">
        <v>37</v>
      </c>
      <c r="D2962">
        <v>5.2201409999999999</v>
      </c>
      <c r="E2962">
        <v>0.524644</v>
      </c>
      <c r="F2962" t="s">
        <v>59</v>
      </c>
      <c r="G2962">
        <v>-464.76589999999999</v>
      </c>
      <c r="H2962" s="1">
        <v>9.7184489999999999E-7</v>
      </c>
      <c r="I2962">
        <v>285.24689999999998</v>
      </c>
      <c r="J2962">
        <v>-443.49689999999998</v>
      </c>
      <c r="K2962">
        <v>1.104608</v>
      </c>
      <c r="L2962">
        <v>284.68290000000002</v>
      </c>
      <c r="M2962">
        <v>-0.99994079999999996</v>
      </c>
      <c r="N2962">
        <v>0</v>
      </c>
      <c r="O2962">
        <v>3.3856849999999998E-3</v>
      </c>
      <c r="P2962">
        <v>-0.99866790000000005</v>
      </c>
      <c r="Q2962">
        <v>3.913577E-2</v>
      </c>
      <c r="R2962">
        <v>-3.363505E-2</v>
      </c>
      <c r="S2962">
        <v>-3.012756</v>
      </c>
      <c r="T2962">
        <v>-0.1550348</v>
      </c>
      <c r="U2962">
        <v>7.9254149999999995E-2</v>
      </c>
      <c r="V2962">
        <v>-3.7014329999999998E-2</v>
      </c>
      <c r="W2962">
        <v>4.9471029999999999E-2</v>
      </c>
      <c r="X2962">
        <v>0.99808940000000002</v>
      </c>
      <c r="Y2962">
        <v>2.2886460000000001E-2</v>
      </c>
      <c r="Z2962">
        <v>4.142843E-4</v>
      </c>
      <c r="AA2962">
        <v>0.99973799999999902</v>
      </c>
      <c r="AB2962">
        <v>30</v>
      </c>
      <c r="AC2962">
        <v>-21.268999999999998</v>
      </c>
      <c r="AD2962">
        <v>-1.1046070281550999</v>
      </c>
      <c r="AE2962">
        <v>0.56399999999996397</v>
      </c>
      <c r="AF2962">
        <v>0.49066027811712798</v>
      </c>
      <c r="AG2962">
        <v>-1.1046070281550999</v>
      </c>
      <c r="AH2962">
        <v>21.2136094771923</v>
      </c>
      <c r="AI2962">
        <v>92.979942531307103</v>
      </c>
      <c r="AJ2962">
        <v>88.675013247951199</v>
      </c>
      <c r="AK2962">
        <v>21.2480147601133</v>
      </c>
    </row>
    <row r="2963" spans="1:37" x14ac:dyDescent="0.2">
      <c r="A2963" t="str">
        <f>"20200111155555093"</f>
        <v>20200111155555093</v>
      </c>
      <c r="B2963" t="str">
        <f>"1578729355085519"</f>
        <v>1578729355085519</v>
      </c>
      <c r="C2963" t="s">
        <v>37</v>
      </c>
      <c r="D2963">
        <v>5.22302</v>
      </c>
      <c r="E2963">
        <v>0.524692099999999</v>
      </c>
      <c r="F2963" t="s">
        <v>59</v>
      </c>
      <c r="G2963">
        <v>-465.04219999999998</v>
      </c>
      <c r="H2963" s="1">
        <v>1.118495E-6</v>
      </c>
      <c r="I2963">
        <v>285.25560000000002</v>
      </c>
      <c r="J2963">
        <v>-443.67930000000001</v>
      </c>
      <c r="K2963">
        <v>1.1046469999999999</v>
      </c>
      <c r="L2963">
        <v>284.68349999999998</v>
      </c>
      <c r="M2963">
        <v>-0.99993849999999995</v>
      </c>
      <c r="N2963">
        <v>0</v>
      </c>
      <c r="O2963">
        <v>3.3855399999999998E-3</v>
      </c>
      <c r="P2963">
        <v>-0.99870149999999902</v>
      </c>
      <c r="Q2963">
        <v>3.8712789999999997E-2</v>
      </c>
      <c r="R2963">
        <v>-3.3119559999999999E-2</v>
      </c>
      <c r="S2963">
        <v>-3.0127259999999998</v>
      </c>
      <c r="T2963">
        <v>-0.15445899999999901</v>
      </c>
      <c r="U2963">
        <v>8.0078129999999997E-2</v>
      </c>
      <c r="V2963">
        <v>-3.6498790000000003E-2</v>
      </c>
      <c r="W2963">
        <v>4.926958E-2</v>
      </c>
      <c r="X2963">
        <v>0.99811839999999996</v>
      </c>
      <c r="Y2963">
        <v>2.315994E-2</v>
      </c>
      <c r="Z2963">
        <v>4.197618E-4</v>
      </c>
      <c r="AA2963">
        <v>0.999731699999999</v>
      </c>
      <c r="AB2963">
        <v>30</v>
      </c>
      <c r="AC2963">
        <v>-21.3628999999999</v>
      </c>
      <c r="AD2963">
        <v>-1.104645881505</v>
      </c>
      <c r="AE2963">
        <v>0.57210000000003403</v>
      </c>
      <c r="AF2963">
        <v>0.49843598151606</v>
      </c>
      <c r="AG2963">
        <v>-1.104645881505</v>
      </c>
      <c r="AH2963">
        <v>21.307783028363701</v>
      </c>
      <c r="AI2963">
        <v>92.966881804523297</v>
      </c>
      <c r="AJ2963">
        <v>88.659969890528401</v>
      </c>
      <c r="AK2963">
        <v>21.342218688201498</v>
      </c>
    </row>
    <row r="2964" spans="1:37" x14ac:dyDescent="0.2">
      <c r="A2964" t="str">
        <f>"20200111155555109"</f>
        <v>20200111155555109</v>
      </c>
      <c r="B2964" t="str">
        <f>"1578729355106016"</f>
        <v>1578729355106016</v>
      </c>
      <c r="C2964" t="s">
        <v>37</v>
      </c>
      <c r="D2964">
        <v>5.2115450000000001</v>
      </c>
      <c r="E2964">
        <v>0.52467680000000005</v>
      </c>
      <c r="F2964" t="s">
        <v>59</v>
      </c>
      <c r="G2964">
        <v>-464.99509999999998</v>
      </c>
      <c r="H2964" s="1">
        <v>1.093116E-6</v>
      </c>
      <c r="I2964">
        <v>285.26260000000002</v>
      </c>
      <c r="J2964">
        <v>-443.89080000000001</v>
      </c>
      <c r="K2964">
        <v>1.104689</v>
      </c>
      <c r="L2964">
        <v>284.68419999999998</v>
      </c>
      <c r="M2964">
        <v>-0.99993569999999998</v>
      </c>
      <c r="N2964">
        <v>0</v>
      </c>
      <c r="O2964">
        <v>3.3854429999999902E-3</v>
      </c>
      <c r="P2964">
        <v>-0.99870079999999894</v>
      </c>
      <c r="Q2964">
        <v>3.8744269999999997E-2</v>
      </c>
      <c r="R2964">
        <v>-3.3103170000000001E-2</v>
      </c>
      <c r="S2964">
        <v>-3.0126650000000001</v>
      </c>
      <c r="T2964">
        <v>-0.15612470000000001</v>
      </c>
      <c r="U2964">
        <v>8.184814E-2</v>
      </c>
      <c r="V2964">
        <v>-3.6482550000000002E-2</v>
      </c>
      <c r="W2964">
        <v>4.9563429999999999E-2</v>
      </c>
      <c r="X2964">
        <v>0.99810449999999995</v>
      </c>
      <c r="Y2964">
        <v>2.3746150000000001E-2</v>
      </c>
      <c r="Z2964">
        <v>4.39469E-4</v>
      </c>
      <c r="AA2964">
        <v>0.999718</v>
      </c>
      <c r="AB2964">
        <v>30</v>
      </c>
      <c r="AC2964">
        <v>-21.104299999999899</v>
      </c>
      <c r="AD2964">
        <v>-1.1046879068840001</v>
      </c>
      <c r="AE2964">
        <v>0.57840000000004399</v>
      </c>
      <c r="AF2964">
        <v>0.50556094047858802</v>
      </c>
      <c r="AG2964">
        <v>-1.1046879068840001</v>
      </c>
      <c r="AH2964">
        <v>21.0485094317537</v>
      </c>
      <c r="AI2964">
        <v>93.003430620690295</v>
      </c>
      <c r="AJ2964">
        <v>88.624085953015907</v>
      </c>
      <c r="AK2964">
        <v>21.083540417462601</v>
      </c>
    </row>
    <row r="2965" spans="1:37" x14ac:dyDescent="0.2">
      <c r="A2965" t="str">
        <f>"20200111155555126"</f>
        <v>20200111155555126</v>
      </c>
      <c r="B2965" t="str">
        <f>"1578729355114800"</f>
        <v>1578729355114800</v>
      </c>
      <c r="C2965" t="s">
        <v>37</v>
      </c>
      <c r="D2965">
        <v>5.1945699999999997</v>
      </c>
      <c r="E2965">
        <v>0.52456510000000001</v>
      </c>
      <c r="F2965" t="s">
        <v>59</v>
      </c>
      <c r="G2965">
        <v>-465.24630000000002</v>
      </c>
      <c r="H2965" s="1">
        <v>1.2266649999999999E-6</v>
      </c>
      <c r="I2965">
        <v>285.26499999999999</v>
      </c>
      <c r="J2965">
        <v>-444.10890000000001</v>
      </c>
      <c r="K2965">
        <v>1.1047279999999999</v>
      </c>
      <c r="L2965">
        <v>284.68490000000003</v>
      </c>
      <c r="M2965">
        <v>-0.99993259999999995</v>
      </c>
      <c r="N2965">
        <v>0</v>
      </c>
      <c r="O2965">
        <v>3.3853350000000002E-3</v>
      </c>
      <c r="P2965">
        <v>-0.99872179999999999</v>
      </c>
      <c r="Q2965">
        <v>3.8574079999999997E-2</v>
      </c>
      <c r="R2965">
        <v>-3.2660359999999999E-2</v>
      </c>
      <c r="S2965">
        <v>-3.0126949999999999</v>
      </c>
      <c r="T2965">
        <v>-0.15584239999999999</v>
      </c>
      <c r="U2965">
        <v>8.1939699999999893E-2</v>
      </c>
      <c r="V2965">
        <v>-3.6039269999999998E-2</v>
      </c>
      <c r="W2965">
        <v>4.9662959999999999E-2</v>
      </c>
      <c r="X2965">
        <v>0.99811559999999899</v>
      </c>
      <c r="Y2965">
        <v>2.3776390000000001E-2</v>
      </c>
      <c r="Z2965">
        <v>4.3945749999999998E-4</v>
      </c>
      <c r="AA2965">
        <v>0.99971719999999897</v>
      </c>
      <c r="AB2965">
        <v>30</v>
      </c>
      <c r="AC2965">
        <v>-21.1374</v>
      </c>
      <c r="AD2965">
        <v>-1.1047267733349999</v>
      </c>
      <c r="AE2965">
        <v>0.58009999999995898</v>
      </c>
      <c r="AF2965">
        <v>0.50715082510665599</v>
      </c>
      <c r="AG2965">
        <v>-1.1047267733349999</v>
      </c>
      <c r="AH2965">
        <v>21.081700771472502</v>
      </c>
      <c r="AI2965">
        <v>92.998813220352204</v>
      </c>
      <c r="AJ2965">
        <v>88.621932889494303</v>
      </c>
      <c r="AK2965">
        <v>21.116716852319499</v>
      </c>
    </row>
    <row r="2966" spans="1:37" x14ac:dyDescent="0.2">
      <c r="A2966" t="str">
        <f>"20200111155555140"</f>
        <v>20200111155555140</v>
      </c>
      <c r="B2966" t="str">
        <f>"1578729355135295"</f>
        <v>1578729355135295</v>
      </c>
      <c r="C2966" t="s">
        <v>37</v>
      </c>
      <c r="D2966">
        <v>5.2762079999999996</v>
      </c>
      <c r="E2966">
        <v>0.52456720000000001</v>
      </c>
      <c r="F2966" t="s">
        <v>59</v>
      </c>
      <c r="G2966">
        <v>-465.2704</v>
      </c>
      <c r="H2966" s="1">
        <v>1.239465E-6</v>
      </c>
      <c r="I2966">
        <v>285.26519999999999</v>
      </c>
      <c r="J2966">
        <v>-444.28960000000001</v>
      </c>
      <c r="K2966">
        <v>1.1047579999999999</v>
      </c>
      <c r="L2966">
        <v>284.68549999999999</v>
      </c>
      <c r="M2966">
        <v>-0.99993019999999999</v>
      </c>
      <c r="N2966">
        <v>0</v>
      </c>
      <c r="O2966">
        <v>3.3851300000000001E-3</v>
      </c>
      <c r="P2966">
        <v>-0.99875630000000004</v>
      </c>
      <c r="Q2966">
        <v>3.8054659999999997E-2</v>
      </c>
      <c r="R2966">
        <v>-3.2215239999999999E-2</v>
      </c>
      <c r="S2966">
        <v>-3.0126040000000001</v>
      </c>
      <c r="T2966">
        <v>-0.1572723</v>
      </c>
      <c r="U2966">
        <v>8.2611080000000003E-2</v>
      </c>
      <c r="V2966">
        <v>-3.559433E-2</v>
      </c>
      <c r="W2966">
        <v>4.9361019999999999E-2</v>
      </c>
      <c r="X2966">
        <v>0.99814650000000005</v>
      </c>
      <c r="Y2966">
        <v>2.399923E-2</v>
      </c>
      <c r="Z2966">
        <v>4.4931809999999899E-4</v>
      </c>
      <c r="AA2966">
        <v>0.99971189999999999</v>
      </c>
      <c r="AB2966">
        <v>30</v>
      </c>
      <c r="AC2966">
        <v>-20.980799999999899</v>
      </c>
      <c r="AD2966">
        <v>-1.1047567605349999</v>
      </c>
      <c r="AE2966">
        <v>0.57970000000000199</v>
      </c>
      <c r="AF2966">
        <v>0.50726401801676302</v>
      </c>
      <c r="AG2966">
        <v>-1.1047567605349999</v>
      </c>
      <c r="AH2966">
        <v>20.924670503438598</v>
      </c>
      <c r="AI2966">
        <v>93.021344754074093</v>
      </c>
      <c r="AJ2966">
        <v>88.611285384786299</v>
      </c>
      <c r="AK2966">
        <v>20.959953243301801</v>
      </c>
    </row>
    <row r="2967" spans="1:37" x14ac:dyDescent="0.2">
      <c r="A2967" t="str">
        <f>"20200111155555161"</f>
        <v>20200111155555161</v>
      </c>
      <c r="B2967" t="str">
        <f>"1578729355154815"</f>
        <v>1578729355154815</v>
      </c>
      <c r="C2967" t="s">
        <v>37</v>
      </c>
      <c r="D2967">
        <v>5.220224</v>
      </c>
      <c r="E2967">
        <v>0.52458800000000005</v>
      </c>
      <c r="F2967" t="s">
        <v>59</v>
      </c>
      <c r="G2967">
        <v>-465.19150000000002</v>
      </c>
      <c r="H2967" s="1">
        <v>1.1974679999999999E-6</v>
      </c>
      <c r="I2967">
        <v>285.26639999999998</v>
      </c>
      <c r="J2967">
        <v>-444.57299999999998</v>
      </c>
      <c r="K2967">
        <v>1.104787</v>
      </c>
      <c r="L2967">
        <v>284.68650000000002</v>
      </c>
      <c r="M2967">
        <v>-0.99992669999999995</v>
      </c>
      <c r="N2967">
        <v>0</v>
      </c>
      <c r="O2967">
        <v>3.384789E-3</v>
      </c>
      <c r="P2967">
        <v>-0.99879189999999995</v>
      </c>
      <c r="Q2967">
        <v>3.7572099999999997E-2</v>
      </c>
      <c r="R2967">
        <v>-3.1676009999999998E-2</v>
      </c>
      <c r="S2967">
        <v>-3.0124819999999999</v>
      </c>
      <c r="T2967">
        <v>-0.15922269999999999</v>
      </c>
      <c r="U2967">
        <v>8.3709720000000001E-2</v>
      </c>
      <c r="V2967">
        <v>-3.5054870000000002E-2</v>
      </c>
      <c r="W2967">
        <v>4.919718E-2</v>
      </c>
      <c r="X2967">
        <v>0.99817369999999905</v>
      </c>
      <c r="Y2967">
        <v>2.436377E-2</v>
      </c>
      <c r="Z2967">
        <v>4.6454120000000002E-4</v>
      </c>
      <c r="AA2967">
        <v>0.99970300000000001</v>
      </c>
      <c r="AB2967">
        <v>30</v>
      </c>
      <c r="AC2967">
        <v>-20.618499999999901</v>
      </c>
      <c r="AD2967">
        <v>-1.1047858025320001</v>
      </c>
      <c r="AE2967">
        <v>0.57989999999995201</v>
      </c>
      <c r="AF2967">
        <v>0.50864349862741898</v>
      </c>
      <c r="AG2967">
        <v>-1.1047858025320001</v>
      </c>
      <c r="AH2967">
        <v>20.561358641680702</v>
      </c>
      <c r="AI2967">
        <v>93.074672751427201</v>
      </c>
      <c r="AJ2967">
        <v>88.582915476357499</v>
      </c>
      <c r="AK2967">
        <v>20.597299314958502</v>
      </c>
    </row>
    <row r="2968" spans="1:37" x14ac:dyDescent="0.2">
      <c r="A2968" t="str">
        <f>"20200111155555183"</f>
        <v>20200111155555183</v>
      </c>
      <c r="B2968" t="str">
        <f>"1578729355175311"</f>
        <v>1578729355175311</v>
      </c>
      <c r="C2968" t="s">
        <v>37</v>
      </c>
      <c r="D2968">
        <v>5.2288230000000002</v>
      </c>
      <c r="E2968">
        <v>0.52465220000000001</v>
      </c>
      <c r="F2968" t="s">
        <v>59</v>
      </c>
      <c r="G2968">
        <v>-465.29649999999998</v>
      </c>
      <c r="H2968" s="1">
        <v>1.252995E-6</v>
      </c>
      <c r="I2968">
        <v>285.27460000000002</v>
      </c>
      <c r="J2968">
        <v>-444.86270000000002</v>
      </c>
      <c r="K2968">
        <v>1.104814</v>
      </c>
      <c r="L2968">
        <v>284.6875</v>
      </c>
      <c r="M2968">
        <v>-0.99992309999999995</v>
      </c>
      <c r="N2968">
        <v>0</v>
      </c>
      <c r="O2968">
        <v>3.3848609999999999E-3</v>
      </c>
      <c r="P2968">
        <v>-0.99881699999999995</v>
      </c>
      <c r="Q2968">
        <v>3.6765109999999997E-2</v>
      </c>
      <c r="R2968">
        <v>-3.1826699999999999E-2</v>
      </c>
      <c r="S2968">
        <v>-3.0123899999999999</v>
      </c>
      <c r="T2968">
        <v>-0.1605926</v>
      </c>
      <c r="U2968">
        <v>8.5479739999999999E-2</v>
      </c>
      <c r="V2968">
        <v>-3.5205670000000001E-2</v>
      </c>
      <c r="W2968">
        <v>4.8690909999999997E-2</v>
      </c>
      <c r="X2968">
        <v>0.99819329999999995</v>
      </c>
      <c r="Y2968">
        <v>2.4950139999999999E-2</v>
      </c>
      <c r="Z2968">
        <v>4.8415369999999999E-4</v>
      </c>
      <c r="AA2968">
        <v>0.99968860000000004</v>
      </c>
      <c r="AB2968">
        <v>29</v>
      </c>
      <c r="AC2968">
        <v>-20.433799999999898</v>
      </c>
      <c r="AD2968">
        <v>-1.104812747005</v>
      </c>
      <c r="AE2968">
        <v>0.58710000000002005</v>
      </c>
      <c r="AF2968">
        <v>0.51641772211560699</v>
      </c>
      <c r="AG2968">
        <v>-1.104812747005</v>
      </c>
      <c r="AH2968">
        <v>20.376153062308099</v>
      </c>
      <c r="AI2968">
        <v>93.102593643234101</v>
      </c>
      <c r="AJ2968">
        <v>88.548193906282293</v>
      </c>
      <c r="AK2968">
        <v>20.412616492950299</v>
      </c>
    </row>
    <row r="2969" spans="1:37" x14ac:dyDescent="0.2">
      <c r="A2969" t="str">
        <f>"20200111155555205"</f>
        <v>20200111155555205</v>
      </c>
      <c r="B2969" t="str">
        <f>"1578729355194832"</f>
        <v>1578729355194832</v>
      </c>
      <c r="C2969" t="s">
        <v>37</v>
      </c>
      <c r="D2969">
        <v>5.2339570000000002</v>
      </c>
      <c r="E2969">
        <v>0.52466979999999996</v>
      </c>
      <c r="F2969" t="s">
        <v>59</v>
      </c>
      <c r="G2969">
        <v>-465.21719999999999</v>
      </c>
      <c r="H2969" s="1">
        <v>1.211155E-6</v>
      </c>
      <c r="I2969">
        <v>285.26530000000002</v>
      </c>
      <c r="J2969">
        <v>-445.15309999999999</v>
      </c>
      <c r="K2969">
        <v>1.1048340000000001</v>
      </c>
      <c r="L2969">
        <v>284.68849999999998</v>
      </c>
      <c r="M2969">
        <v>-0.99991969999999997</v>
      </c>
      <c r="N2969">
        <v>0</v>
      </c>
      <c r="O2969">
        <v>3.385103E-3</v>
      </c>
      <c r="P2969">
        <v>-0.99881209999999898</v>
      </c>
      <c r="Q2969">
        <v>3.6507449999999997E-2</v>
      </c>
      <c r="R2969">
        <v>-3.2275930000000001E-2</v>
      </c>
      <c r="S2969">
        <v>-3.0122680000000002</v>
      </c>
      <c r="T2969">
        <v>-0.16350219999999999</v>
      </c>
      <c r="U2969">
        <v>8.5510249999999996E-2</v>
      </c>
      <c r="V2969">
        <v>-3.5654959999999999E-2</v>
      </c>
      <c r="W2969">
        <v>4.8708540000000002E-2</v>
      </c>
      <c r="X2969">
        <v>0.99817649999999902</v>
      </c>
      <c r="Y2969">
        <v>2.4960019999999999E-2</v>
      </c>
      <c r="Z2969">
        <v>4.9318680000000001E-4</v>
      </c>
      <c r="AA2969">
        <v>0.99968829999999997</v>
      </c>
      <c r="AB2969">
        <v>29</v>
      </c>
      <c r="AC2969">
        <v>-20.0641</v>
      </c>
      <c r="AD2969">
        <v>-1.104832788845</v>
      </c>
      <c r="AE2969">
        <v>0.57680000000004805</v>
      </c>
      <c r="AF2969">
        <v>0.50733552656518699</v>
      </c>
      <c r="AG2969">
        <v>-1.104832788845</v>
      </c>
      <c r="AH2969">
        <v>20.005328205852098</v>
      </c>
      <c r="AI2969">
        <v>93.160044714657801</v>
      </c>
      <c r="AJ2969">
        <v>88.547289250784502</v>
      </c>
      <c r="AK2969">
        <v>20.0422354404812</v>
      </c>
    </row>
    <row r="2970" spans="1:37" x14ac:dyDescent="0.2">
      <c r="A2970" t="str">
        <f>"20200111155555228"</f>
        <v>20200111155555228</v>
      </c>
      <c r="B2970" t="str">
        <f>"1578729355225087"</f>
        <v>1578729355225087</v>
      </c>
      <c r="C2970" t="s">
        <v>37</v>
      </c>
      <c r="D2970">
        <v>5.2617909999999997</v>
      </c>
      <c r="E2970">
        <v>0.52466210000000002</v>
      </c>
      <c r="F2970" t="s">
        <v>59</v>
      </c>
      <c r="G2970">
        <v>-465.27190000000002</v>
      </c>
      <c r="H2970" s="1">
        <v>1.240868E-6</v>
      </c>
      <c r="I2970">
        <v>285.2516</v>
      </c>
      <c r="J2970">
        <v>-445.44959999999998</v>
      </c>
      <c r="K2970">
        <v>1.1048519999999999</v>
      </c>
      <c r="L2970">
        <v>284.68950000000001</v>
      </c>
      <c r="M2970">
        <v>-0.99991659999999905</v>
      </c>
      <c r="N2970">
        <v>0</v>
      </c>
      <c r="O2970">
        <v>3.3850320000000001E-3</v>
      </c>
      <c r="P2970">
        <v>-0.99883549999999999</v>
      </c>
      <c r="Q2970">
        <v>3.6138429999999999E-2</v>
      </c>
      <c r="R2970">
        <v>-3.1967210000000003E-2</v>
      </c>
      <c r="S2970">
        <v>-3.0122990000000001</v>
      </c>
      <c r="T2970">
        <v>-0.1654217</v>
      </c>
      <c r="U2970">
        <v>8.4320069999999997E-2</v>
      </c>
      <c r="V2970">
        <v>-3.5346250000000003E-2</v>
      </c>
      <c r="W2970">
        <v>4.8592330000000003E-2</v>
      </c>
      <c r="X2970">
        <v>0.99819310000000006</v>
      </c>
      <c r="Y2970">
        <v>2.4564969999999998E-2</v>
      </c>
      <c r="Z2970">
        <v>4.8813239999999998E-4</v>
      </c>
      <c r="AA2970">
        <v>0.99969809999999903</v>
      </c>
      <c r="AB2970">
        <v>29</v>
      </c>
      <c r="AC2970">
        <v>-19.822299999999998</v>
      </c>
      <c r="AD2970">
        <v>-1.104850759132</v>
      </c>
      <c r="AE2970">
        <v>0.56209999999998606</v>
      </c>
      <c r="AF2970">
        <v>0.49346064542715301</v>
      </c>
      <c r="AG2970">
        <v>-1.104850759132</v>
      </c>
      <c r="AH2970">
        <v>19.762741734849399</v>
      </c>
      <c r="AI2970">
        <v>93.198837302442499</v>
      </c>
      <c r="AJ2970">
        <v>88.569665122977497</v>
      </c>
      <c r="AK2970">
        <v>19.799751500635001</v>
      </c>
    </row>
    <row r="2971" spans="1:37" x14ac:dyDescent="0.2">
      <c r="A2971" t="str">
        <f>"20200111155555244"</f>
        <v>20200111155555244</v>
      </c>
      <c r="B2971" t="str">
        <f>"1578729355234847"</f>
        <v>1578729355234847</v>
      </c>
      <c r="C2971" t="s">
        <v>37</v>
      </c>
      <c r="D2971">
        <v>5.2925599999999999</v>
      </c>
      <c r="E2971">
        <v>0.52464100000000002</v>
      </c>
      <c r="F2971" t="s">
        <v>59</v>
      </c>
      <c r="G2971">
        <v>-465.51440000000002</v>
      </c>
      <c r="H2971" s="1">
        <v>1.3698E-6</v>
      </c>
      <c r="I2971">
        <v>285.25479999999999</v>
      </c>
      <c r="J2971">
        <v>-445.66520000000003</v>
      </c>
      <c r="K2971">
        <v>1.1048610000000001</v>
      </c>
      <c r="L2971">
        <v>284.6902</v>
      </c>
      <c r="M2971">
        <v>-0.99991439999999998</v>
      </c>
      <c r="N2971">
        <v>0</v>
      </c>
      <c r="O2971">
        <v>3.385E-3</v>
      </c>
      <c r="P2971">
        <v>-0.99884150000000005</v>
      </c>
      <c r="Q2971">
        <v>3.6019049999999997E-2</v>
      </c>
      <c r="R2971">
        <v>-3.1913799999999999E-2</v>
      </c>
      <c r="S2971">
        <v>-3.0122070000000001</v>
      </c>
      <c r="T2971">
        <v>-0.1658645</v>
      </c>
      <c r="U2971">
        <v>8.4869379999999994E-2</v>
      </c>
      <c r="V2971">
        <v>-3.5293339999999999E-2</v>
      </c>
      <c r="W2971">
        <v>4.8639000000000002E-2</v>
      </c>
      <c r="X2971">
        <v>0.99819269999999904</v>
      </c>
      <c r="Y2971">
        <v>2.474755E-2</v>
      </c>
      <c r="Z2971">
        <v>4.9447420000000002E-4</v>
      </c>
      <c r="AA2971">
        <v>0.99969359999999996</v>
      </c>
      <c r="AB2971">
        <v>29</v>
      </c>
      <c r="AC2971">
        <v>-19.8492</v>
      </c>
      <c r="AD2971">
        <v>-1.1048596302</v>
      </c>
      <c r="AE2971">
        <v>0.564599999999984</v>
      </c>
      <c r="AF2971">
        <v>0.49586673733816899</v>
      </c>
      <c r="AG2971">
        <v>-1.1048596302</v>
      </c>
      <c r="AH2971">
        <v>19.789731962026998</v>
      </c>
      <c r="AI2971">
        <v>93.194502230644005</v>
      </c>
      <c r="AJ2971">
        <v>88.564653242447505</v>
      </c>
      <c r="AK2971">
        <v>19.826751870957501</v>
      </c>
    </row>
    <row r="2972" spans="1:37" x14ac:dyDescent="0.2">
      <c r="A2972" t="str">
        <f>"20200111155555261"</f>
        <v>20200111155555261</v>
      </c>
      <c r="B2972" t="str">
        <f>"1578729355255343"</f>
        <v>1578729355255343</v>
      </c>
      <c r="C2972" t="s">
        <v>37</v>
      </c>
      <c r="D2972">
        <v>5.2641580000000001</v>
      </c>
      <c r="E2972">
        <v>0.52463590000000004</v>
      </c>
      <c r="F2972" t="s">
        <v>59</v>
      </c>
      <c r="G2972">
        <v>-465.64409999999998</v>
      </c>
      <c r="H2972" s="1">
        <v>1.4388829999999899E-6</v>
      </c>
      <c r="I2972">
        <v>285.25310000000002</v>
      </c>
      <c r="J2972">
        <v>-445.8904</v>
      </c>
      <c r="K2972">
        <v>1.104868</v>
      </c>
      <c r="L2972">
        <v>284.69099999999997</v>
      </c>
      <c r="M2972">
        <v>-0.99991249999999998</v>
      </c>
      <c r="N2972">
        <v>0</v>
      </c>
      <c r="O2972">
        <v>3.3850019999999998E-3</v>
      </c>
      <c r="P2972">
        <v>-0.99888220000000005</v>
      </c>
      <c r="Q2972">
        <v>3.5355709999999999E-2</v>
      </c>
      <c r="R2972">
        <v>-3.138357E-2</v>
      </c>
      <c r="S2972">
        <v>-3.0122070000000001</v>
      </c>
      <c r="T2972">
        <v>-0.166578799999999</v>
      </c>
      <c r="U2972">
        <v>8.4869379999999994E-2</v>
      </c>
      <c r="V2972">
        <v>-3.4763000000000002E-2</v>
      </c>
      <c r="W2972">
        <v>4.8135089999999998E-2</v>
      </c>
      <c r="X2972">
        <v>0.99823569999999995</v>
      </c>
      <c r="Y2972">
        <v>2.4747269999999998E-2</v>
      </c>
      <c r="Z2972">
        <v>4.9659200000000002E-4</v>
      </c>
      <c r="AA2972">
        <v>0.99969359999999996</v>
      </c>
      <c r="AB2972">
        <v>29</v>
      </c>
      <c r="AC2972">
        <v>-19.753699999999899</v>
      </c>
      <c r="AD2972">
        <v>-1.1048665611169901</v>
      </c>
      <c r="AE2972">
        <v>0.56210000000004301</v>
      </c>
      <c r="AF2972">
        <v>0.49368181065755601</v>
      </c>
      <c r="AG2972">
        <v>-1.1048665611169901</v>
      </c>
      <c r="AH2972">
        <v>19.693928966766101</v>
      </c>
      <c r="AI2972">
        <v>93.210028988352903</v>
      </c>
      <c r="AJ2972">
        <v>88.5640264268946</v>
      </c>
      <c r="AK2972">
        <v>19.7310742230644</v>
      </c>
    </row>
    <row r="2973" spans="1:37" x14ac:dyDescent="0.2">
      <c r="A2973" t="str">
        <f>"20200111155555277"</f>
        <v>20200111155555277</v>
      </c>
      <c r="B2973" t="str">
        <f>"1578729355275839"</f>
        <v>1578729355275839</v>
      </c>
      <c r="C2973" t="s">
        <v>37</v>
      </c>
      <c r="D2973">
        <v>5.2670449999999898</v>
      </c>
      <c r="E2973">
        <v>0.52463419999999905</v>
      </c>
      <c r="F2973" t="s">
        <v>59</v>
      </c>
      <c r="G2973">
        <v>-465.55939999999998</v>
      </c>
      <c r="H2973" s="1">
        <v>1.3937979999999901E-6</v>
      </c>
      <c r="I2973">
        <v>285.25310000000002</v>
      </c>
      <c r="J2973">
        <v>-446.106999999999</v>
      </c>
      <c r="K2973">
        <v>1.1048719999999901</v>
      </c>
      <c r="L2973">
        <v>284.69170000000003</v>
      </c>
      <c r="M2973">
        <v>-0.99991059999999998</v>
      </c>
      <c r="N2973">
        <v>0</v>
      </c>
      <c r="O2973">
        <v>3.385122E-3</v>
      </c>
      <c r="P2973">
        <v>-0.9989017</v>
      </c>
      <c r="Q2973">
        <v>3.494266E-2</v>
      </c>
      <c r="R2973">
        <v>-3.1214840000000001E-2</v>
      </c>
      <c r="S2973">
        <v>-3.012054</v>
      </c>
      <c r="T2973">
        <v>-0.16919670000000001</v>
      </c>
      <c r="U2973">
        <v>8.6090089999999994E-2</v>
      </c>
      <c r="V2973">
        <v>-3.4594949999999999E-2</v>
      </c>
      <c r="W2973">
        <v>4.7861229999999998E-2</v>
      </c>
      <c r="X2973">
        <v>0.99825469999999905</v>
      </c>
      <c r="Y2973">
        <v>2.5151710000000001E-2</v>
      </c>
      <c r="Z2973">
        <v>5.1574789999999998E-4</v>
      </c>
      <c r="AA2973">
        <v>0.99968349999999995</v>
      </c>
      <c r="AB2973">
        <v>29</v>
      </c>
      <c r="AC2973">
        <v>-19.452400000000001</v>
      </c>
      <c r="AD2973">
        <v>-1.1048706062019999</v>
      </c>
      <c r="AE2973">
        <v>0.56139999999999102</v>
      </c>
      <c r="AF2973">
        <v>0.49395032372300302</v>
      </c>
      <c r="AG2973">
        <v>-1.1048706062019999</v>
      </c>
      <c r="AH2973">
        <v>19.391681849754399</v>
      </c>
      <c r="AI2973">
        <v>93.259933475141594</v>
      </c>
      <c r="AJ2973">
        <v>88.540861464748303</v>
      </c>
      <c r="AK2973">
        <v>19.429412007079598</v>
      </c>
    </row>
    <row r="2974" spans="1:37" x14ac:dyDescent="0.2">
      <c r="A2974" t="str">
        <f>"20200111155555292"</f>
        <v>20200111155555292</v>
      </c>
      <c r="B2974" t="str">
        <f>"1578729355285599"</f>
        <v>1578729355285599</v>
      </c>
      <c r="C2974" t="s">
        <v>37</v>
      </c>
      <c r="D2974">
        <v>5.2320799999999998</v>
      </c>
      <c r="E2974">
        <v>0.5246149</v>
      </c>
      <c r="F2974" t="s">
        <v>59</v>
      </c>
      <c r="G2974">
        <v>-465.6053</v>
      </c>
      <c r="H2974" s="1">
        <v>1.4182579999999999E-6</v>
      </c>
      <c r="I2974">
        <v>285.25259999999997</v>
      </c>
      <c r="J2974">
        <v>-446.29090000000002</v>
      </c>
      <c r="K2974">
        <v>1.1048709999999999</v>
      </c>
      <c r="L2974">
        <v>284.69229999999999</v>
      </c>
      <c r="M2974">
        <v>-0.9999093</v>
      </c>
      <c r="N2974">
        <v>0</v>
      </c>
      <c r="O2974">
        <v>3.385094E-3</v>
      </c>
      <c r="P2974">
        <v>-0.99892130000000001</v>
      </c>
      <c r="Q2974">
        <v>3.4860500000000003E-2</v>
      </c>
      <c r="R2974">
        <v>-3.0680200000000001E-2</v>
      </c>
      <c r="S2974">
        <v>-3.0119929999999999</v>
      </c>
      <c r="T2974">
        <v>-0.17067479999999999</v>
      </c>
      <c r="U2974">
        <v>8.6639399999999894E-2</v>
      </c>
      <c r="V2974">
        <v>-3.4059880000000001E-2</v>
      </c>
      <c r="W2974">
        <v>4.7884099999999999E-2</v>
      </c>
      <c r="X2974">
        <v>0.99827199999999905</v>
      </c>
      <c r="Y2974">
        <v>2.533359E-2</v>
      </c>
      <c r="Z2974">
        <v>5.2540469999999995E-4</v>
      </c>
      <c r="AA2974">
        <v>0.99967890000000004</v>
      </c>
      <c r="AB2974">
        <v>29</v>
      </c>
      <c r="AC2974">
        <v>-19.3143999999999</v>
      </c>
      <c r="AD2974">
        <v>-1.104869581742</v>
      </c>
      <c r="AE2974">
        <v>0.56029999999998303</v>
      </c>
      <c r="AF2974">
        <v>0.49329729029959102</v>
      </c>
      <c r="AG2974">
        <v>-1.104869581742</v>
      </c>
      <c r="AH2974">
        <v>19.253235821900599</v>
      </c>
      <c r="AI2974">
        <v>93.283308357504396</v>
      </c>
      <c r="AJ2974">
        <v>88.532315775136794</v>
      </c>
      <c r="AK2974">
        <v>19.2912199879373</v>
      </c>
    </row>
    <row r="2975" spans="1:37" x14ac:dyDescent="0.2">
      <c r="A2975" t="str">
        <f>"20200111155555307"</f>
        <v>20200111155555307</v>
      </c>
      <c r="B2975" t="str">
        <f>"1578729355295359"</f>
        <v>1578729355295359</v>
      </c>
      <c r="C2975" t="s">
        <v>37</v>
      </c>
      <c r="D2975">
        <v>5.2879199999999997</v>
      </c>
      <c r="E2975">
        <v>0.5246149</v>
      </c>
      <c r="F2975" t="s">
        <v>59</v>
      </c>
      <c r="G2975">
        <v>-465.76949999999999</v>
      </c>
      <c r="H2975" s="1">
        <v>1.5052119999999999E-6</v>
      </c>
      <c r="I2975">
        <v>285.2629</v>
      </c>
      <c r="J2975">
        <v>-446.47460000000001</v>
      </c>
      <c r="K2975">
        <v>1.104873</v>
      </c>
      <c r="L2975">
        <v>284.69290000000001</v>
      </c>
      <c r="M2975">
        <v>-0.99990800000000002</v>
      </c>
      <c r="N2975">
        <v>0</v>
      </c>
      <c r="O2975">
        <v>3.3848089999999999E-3</v>
      </c>
      <c r="P2975">
        <v>-0.99894349999999998</v>
      </c>
      <c r="Q2975">
        <v>3.4373319999999999E-2</v>
      </c>
      <c r="R2975">
        <v>-3.050576E-2</v>
      </c>
      <c r="S2975">
        <v>-3.0119020000000001</v>
      </c>
      <c r="T2975">
        <v>-0.17084160000000001</v>
      </c>
      <c r="U2975">
        <v>8.8226319999999997E-2</v>
      </c>
      <c r="V2975">
        <v>-3.3884860000000003E-2</v>
      </c>
      <c r="W2975">
        <v>4.7494960000000003E-2</v>
      </c>
      <c r="X2975">
        <v>0.99829659999999998</v>
      </c>
      <c r="Y2975">
        <v>2.5860089999999999E-2</v>
      </c>
      <c r="Z2975">
        <v>5.4086199999999905E-4</v>
      </c>
      <c r="AA2975">
        <v>0.99966540000000004</v>
      </c>
      <c r="AB2975">
        <v>29</v>
      </c>
      <c r="AC2975">
        <v>-19.294899999999899</v>
      </c>
      <c r="AD2975">
        <v>-1.1048714947880001</v>
      </c>
      <c r="AE2975">
        <v>0.56999999999999296</v>
      </c>
      <c r="AF2975">
        <v>0.50303355058963894</v>
      </c>
      <c r="AG2975">
        <v>-1.1048714947880001</v>
      </c>
      <c r="AH2975">
        <v>19.233707050375099</v>
      </c>
      <c r="AI2975">
        <v>93.286595255492799</v>
      </c>
      <c r="AJ2975">
        <v>88.501842078785401</v>
      </c>
      <c r="AK2975">
        <v>19.271981493159</v>
      </c>
    </row>
    <row r="2976" spans="1:37" x14ac:dyDescent="0.2">
      <c r="A2976" t="str">
        <f>"20200111155555321"</f>
        <v>20200111155555321</v>
      </c>
      <c r="B2976" t="str">
        <f>"1578729355314879"</f>
        <v>1578729355314879</v>
      </c>
      <c r="C2976" t="s">
        <v>37</v>
      </c>
      <c r="D2976">
        <v>5.2708639999999898</v>
      </c>
      <c r="E2976">
        <v>0.49389449999999901</v>
      </c>
      <c r="F2976" t="s">
        <v>59</v>
      </c>
      <c r="G2976">
        <v>-465.78750000000002</v>
      </c>
      <c r="H2976" s="1">
        <v>1.514804E-6</v>
      </c>
      <c r="I2976">
        <v>285.26260000000002</v>
      </c>
      <c r="J2976">
        <v>-446.66829999999999</v>
      </c>
      <c r="K2976">
        <v>1.1048719999999901</v>
      </c>
      <c r="L2976">
        <v>284.6936</v>
      </c>
      <c r="M2976">
        <v>-0.99990679999999998</v>
      </c>
      <c r="N2976">
        <v>0</v>
      </c>
      <c r="O2976">
        <v>3.384654E-3</v>
      </c>
      <c r="P2976">
        <v>-0.99895389999999995</v>
      </c>
      <c r="Q2976">
        <v>3.4302729999999997E-2</v>
      </c>
      <c r="R2976">
        <v>-3.0244509999999999E-2</v>
      </c>
      <c r="S2976">
        <v>-3.011841</v>
      </c>
      <c r="T2976">
        <v>-0.17230409999999999</v>
      </c>
      <c r="U2976">
        <v>8.8836670000000006E-2</v>
      </c>
      <c r="V2976">
        <v>-3.3623960000000001E-2</v>
      </c>
      <c r="W2976">
        <v>4.7520680000000003E-2</v>
      </c>
      <c r="X2976">
        <v>0.99830419999999997</v>
      </c>
      <c r="Y2976">
        <v>2.6062289999999998E-2</v>
      </c>
      <c r="Z2976">
        <v>5.5128060000000001E-4</v>
      </c>
      <c r="AA2976">
        <v>0.999660199999999</v>
      </c>
      <c r="AB2976">
        <v>29</v>
      </c>
      <c r="AC2976">
        <v>-19.119199999999999</v>
      </c>
      <c r="AD2976">
        <v>-1.1048704851959901</v>
      </c>
      <c r="AE2976">
        <v>0.56900000000001605</v>
      </c>
      <c r="AF2976">
        <v>0.50260224041557799</v>
      </c>
      <c r="AG2976">
        <v>-1.1048704851959901</v>
      </c>
      <c r="AH2976">
        <v>19.057430260060201</v>
      </c>
      <c r="AI2976">
        <v>93.316905858179894</v>
      </c>
      <c r="AJ2976">
        <v>88.4892866936367</v>
      </c>
      <c r="AK2976">
        <v>19.096046604420199</v>
      </c>
    </row>
    <row r="2977" spans="1:37" x14ac:dyDescent="0.2">
      <c r="A2977" t="str">
        <f>"20200111155555339"</f>
        <v>20200111155555339</v>
      </c>
      <c r="B2977" t="str">
        <f>"1578729355335375"</f>
        <v>1578729355335375</v>
      </c>
      <c r="C2977" t="s">
        <v>37</v>
      </c>
      <c r="D2977">
        <v>5.4018920000000001</v>
      </c>
      <c r="E2977">
        <v>0.4883402</v>
      </c>
      <c r="F2977" t="s">
        <v>59</v>
      </c>
      <c r="G2977">
        <v>-464.04090000000002</v>
      </c>
      <c r="H2977" s="1">
        <v>6.4988640000000002E-7</v>
      </c>
      <c r="I2977">
        <v>283.78590000000003</v>
      </c>
      <c r="J2977">
        <v>-446.90640000000002</v>
      </c>
      <c r="K2977">
        <v>1.1048690000000001</v>
      </c>
      <c r="L2977">
        <v>284.69439999999997</v>
      </c>
      <c r="M2977">
        <v>-0.99990540000000006</v>
      </c>
      <c r="N2977">
        <v>0</v>
      </c>
      <c r="O2977">
        <v>3.3844879999999902E-3</v>
      </c>
      <c r="P2977">
        <v>-0.99897380000000002</v>
      </c>
      <c r="Q2977">
        <v>3.4079760000000001E-2</v>
      </c>
      <c r="R2977">
        <v>-2.9830490000000001E-2</v>
      </c>
      <c r="S2977">
        <v>-3.0049739999999998</v>
      </c>
      <c r="T2977">
        <v>-0.19111129999999901</v>
      </c>
      <c r="U2977">
        <v>-0.15701289999999901</v>
      </c>
      <c r="V2977">
        <v>-3.3209990000000002E-2</v>
      </c>
      <c r="W2977">
        <v>4.7403029999999999E-2</v>
      </c>
      <c r="X2977">
        <v>0.99832359999999898</v>
      </c>
      <c r="Y2977">
        <v>-5.544118E-2</v>
      </c>
      <c r="Z2977">
        <v>-1.9749149999999998E-3</v>
      </c>
      <c r="AA2977">
        <v>0.99846000000000001</v>
      </c>
      <c r="AB2977">
        <v>29</v>
      </c>
      <c r="AC2977">
        <v>-17.134499999999999</v>
      </c>
      <c r="AD2977">
        <v>-1.1048683501136001</v>
      </c>
      <c r="AE2977">
        <v>-0.90849999999994602</v>
      </c>
      <c r="AF2977">
        <v>-0.96250065921660399</v>
      </c>
      <c r="AG2977">
        <v>-1.1048683501136001</v>
      </c>
      <c r="AH2977">
        <v>17.060588731165002</v>
      </c>
      <c r="AI2977">
        <v>93.699516556812299</v>
      </c>
      <c r="AJ2977">
        <v>93.229011011120207</v>
      </c>
      <c r="AK2977">
        <v>17.123400055013299</v>
      </c>
    </row>
    <row r="2978" spans="1:37" x14ac:dyDescent="0.2">
      <c r="A2978" t="str">
        <f>"20200111155555361"</f>
        <v>20200111155555361</v>
      </c>
      <c r="B2978" t="str">
        <f>"1578729355354895"</f>
        <v>1578729355354895</v>
      </c>
      <c r="C2978" t="s">
        <v>37</v>
      </c>
      <c r="D2978">
        <v>5.2660400000000003</v>
      </c>
      <c r="E2978">
        <v>0.4840701</v>
      </c>
      <c r="F2978" t="s">
        <v>59</v>
      </c>
      <c r="G2978">
        <v>-465.27620000000002</v>
      </c>
      <c r="H2978" s="1">
        <v>1.32081799999999E-6</v>
      </c>
      <c r="I2978">
        <v>283.47460000000001</v>
      </c>
      <c r="J2978">
        <v>-447.20139999999998</v>
      </c>
      <c r="K2978">
        <v>1.10487</v>
      </c>
      <c r="L2978">
        <v>284.69540000000001</v>
      </c>
      <c r="M2978">
        <v>-0.99990380000000001</v>
      </c>
      <c r="N2978">
        <v>0</v>
      </c>
      <c r="O2978">
        <v>3.384382E-3</v>
      </c>
      <c r="P2978">
        <v>-0.99898750000000003</v>
      </c>
      <c r="Q2978">
        <v>3.3323730000000003E-2</v>
      </c>
      <c r="R2978">
        <v>-3.0225510000000001E-2</v>
      </c>
      <c r="S2978">
        <v>-3.0033259999999999</v>
      </c>
      <c r="T2978">
        <v>-0.18063860000000001</v>
      </c>
      <c r="U2978">
        <v>-0.19943239999999901</v>
      </c>
      <c r="V2978">
        <v>-3.360469E-2</v>
      </c>
      <c r="W2978">
        <v>4.6760969999999999E-2</v>
      </c>
      <c r="X2978">
        <v>0.99834069999999997</v>
      </c>
      <c r="Y2978">
        <v>-6.9503640000000005E-2</v>
      </c>
      <c r="Z2978">
        <v>-2.289185E-3</v>
      </c>
      <c r="AA2978">
        <v>0.99757909999999905</v>
      </c>
      <c r="AB2978">
        <v>29</v>
      </c>
      <c r="AC2978">
        <v>-18.0748</v>
      </c>
      <c r="AD2978">
        <v>-1.1048686791819999</v>
      </c>
      <c r="AE2978">
        <v>-1.2207999999999899</v>
      </c>
      <c r="AF2978">
        <v>-1.27721980772452</v>
      </c>
      <c r="AG2978">
        <v>-1.1048686791819999</v>
      </c>
      <c r="AH2978">
        <v>18.0035980398468</v>
      </c>
      <c r="AI2978">
        <v>93.503017106458103</v>
      </c>
      <c r="AJ2978">
        <v>94.057905940359802</v>
      </c>
      <c r="AK2978">
        <v>18.082631656256702</v>
      </c>
    </row>
    <row r="2979" spans="1:37" x14ac:dyDescent="0.2">
      <c r="A2979" t="str">
        <f>"20200111155555384"</f>
        <v>20200111155555384</v>
      </c>
      <c r="B2979" t="str">
        <f>"1578729355375391"</f>
        <v>1578729355375391</v>
      </c>
      <c r="C2979" t="s">
        <v>37</v>
      </c>
      <c r="D2979">
        <v>5.2740429999999998</v>
      </c>
      <c r="E2979">
        <v>0.48261999999999999</v>
      </c>
      <c r="F2979" t="s">
        <v>59</v>
      </c>
      <c r="G2979">
        <v>-466.18889999999999</v>
      </c>
      <c r="H2979" s="1">
        <v>1.8179809999999999E-6</v>
      </c>
      <c r="I2979">
        <v>283.21350000000001</v>
      </c>
      <c r="J2979">
        <v>-447.48829999999998</v>
      </c>
      <c r="K2979">
        <v>1.1048719999999901</v>
      </c>
      <c r="L2979">
        <v>284.69639999999998</v>
      </c>
      <c r="M2979">
        <v>-0.99990249999999903</v>
      </c>
      <c r="N2979">
        <v>0</v>
      </c>
      <c r="O2979">
        <v>3.3842099999999999E-3</v>
      </c>
      <c r="P2979">
        <v>-0.99899419999999906</v>
      </c>
      <c r="Q2979">
        <v>3.2890460000000003E-2</v>
      </c>
      <c r="R2979">
        <v>-3.0477319999999999E-2</v>
      </c>
      <c r="S2979">
        <v>-3.0018009999999999</v>
      </c>
      <c r="T2979">
        <v>-0.17467240000000001</v>
      </c>
      <c r="U2979">
        <v>-0.234283399999999</v>
      </c>
      <c r="V2979">
        <v>-3.3856579999999997E-2</v>
      </c>
      <c r="W2979">
        <v>4.6423739999999998E-2</v>
      </c>
      <c r="X2979">
        <v>0.99834789999999995</v>
      </c>
      <c r="Y2979">
        <v>-8.1042859999999994E-2</v>
      </c>
      <c r="Z2979">
        <v>-2.5488350000000002E-3</v>
      </c>
      <c r="AA2979">
        <v>0.99670740000000002</v>
      </c>
      <c r="AB2979">
        <v>29</v>
      </c>
      <c r="AC2979">
        <v>-18.700600000000001</v>
      </c>
      <c r="AD2979">
        <v>-1.1048701820189999</v>
      </c>
      <c r="AE2979">
        <v>-1.4828999999999699</v>
      </c>
      <c r="AF2979">
        <v>-1.5408390886619601</v>
      </c>
      <c r="AG2979">
        <v>-1.1048701820189999</v>
      </c>
      <c r="AH2979">
        <v>18.6308458398711</v>
      </c>
      <c r="AI2979">
        <v>93.382331789995405</v>
      </c>
      <c r="AJ2979">
        <v>94.727810858599796</v>
      </c>
      <c r="AK2979">
        <v>18.727075049919101</v>
      </c>
    </row>
    <row r="2980" spans="1:37" x14ac:dyDescent="0.2">
      <c r="A2980" t="str">
        <f>"20200111155555406"</f>
        <v>20200111155555406</v>
      </c>
      <c r="B2980" t="str">
        <f>"1578729355394912"</f>
        <v>1578729355394912</v>
      </c>
      <c r="C2980" t="s">
        <v>37</v>
      </c>
      <c r="D2980">
        <v>5.2194149999999997</v>
      </c>
      <c r="E2980">
        <v>0.4815489</v>
      </c>
      <c r="F2980" t="s">
        <v>59</v>
      </c>
      <c r="G2980">
        <v>-466.5376</v>
      </c>
      <c r="H2980" s="1">
        <v>2.0070940000000001E-6</v>
      </c>
      <c r="I2980">
        <v>283.1311</v>
      </c>
      <c r="J2980">
        <v>-447.77890000000002</v>
      </c>
      <c r="K2980">
        <v>1.1048789999999999</v>
      </c>
      <c r="L2980">
        <v>284.69740000000002</v>
      </c>
      <c r="M2980">
        <v>-0.99990140000000005</v>
      </c>
      <c r="N2980">
        <v>0</v>
      </c>
      <c r="O2980">
        <v>3.3839949999999999E-3</v>
      </c>
      <c r="P2980">
        <v>-0.99897919999999996</v>
      </c>
      <c r="Q2980">
        <v>3.3074300000000001E-2</v>
      </c>
      <c r="R2980">
        <v>-3.077448E-2</v>
      </c>
      <c r="S2980">
        <v>-3.0011899999999998</v>
      </c>
      <c r="T2980">
        <v>-0.17407139999999999</v>
      </c>
      <c r="U2980">
        <v>-0.24661250000000001</v>
      </c>
      <c r="V2980">
        <v>-3.4153210000000003E-2</v>
      </c>
      <c r="W2980">
        <v>4.6690959999999997E-2</v>
      </c>
      <c r="X2980">
        <v>0.99832529999999997</v>
      </c>
      <c r="Y2980">
        <v>-8.5120280000000006E-2</v>
      </c>
      <c r="Z2980">
        <v>-2.658115E-3</v>
      </c>
      <c r="AA2980">
        <v>0.99636719999999901</v>
      </c>
      <c r="AB2980">
        <v>29</v>
      </c>
      <c r="AC2980">
        <v>-18.758699999999902</v>
      </c>
      <c r="AD2980">
        <v>-1.1048769929060001</v>
      </c>
      <c r="AE2980">
        <v>-1.56630000000001</v>
      </c>
      <c r="AF2980">
        <v>-1.62418076625232</v>
      </c>
      <c r="AG2980">
        <v>-1.1048769929060001</v>
      </c>
      <c r="AH2980">
        <v>18.688906097383001</v>
      </c>
      <c r="AI2980">
        <v>93.370678864543095</v>
      </c>
      <c r="AJ2980">
        <v>94.9668759509279</v>
      </c>
      <c r="AK2980">
        <v>18.791858009460199</v>
      </c>
    </row>
    <row r="2981" spans="1:37" x14ac:dyDescent="0.2">
      <c r="A2981" t="str">
        <f>"20200111155555429"</f>
        <v>20200111155555429</v>
      </c>
      <c r="B2981" t="str">
        <f>"1578729355425167"</f>
        <v>1578729355425167</v>
      </c>
      <c r="C2981" t="s">
        <v>37</v>
      </c>
      <c r="D2981">
        <v>5.2623530000000001</v>
      </c>
      <c r="E2981">
        <v>0.48100329999999902</v>
      </c>
      <c r="F2981" t="s">
        <v>59</v>
      </c>
      <c r="G2981">
        <v>-467.49549999999999</v>
      </c>
      <c r="H2981" s="1">
        <v>2.521826E-6</v>
      </c>
      <c r="I2981">
        <v>283.0179</v>
      </c>
      <c r="J2981">
        <v>-448.07249999999999</v>
      </c>
      <c r="K2981">
        <v>1.104887</v>
      </c>
      <c r="L2981">
        <v>284.69839999999999</v>
      </c>
      <c r="M2981">
        <v>-0.99990040000000002</v>
      </c>
      <c r="N2981">
        <v>0</v>
      </c>
      <c r="O2981">
        <v>3.3838520000000001E-3</v>
      </c>
      <c r="P2981">
        <v>-0.99898089999999995</v>
      </c>
      <c r="Q2981">
        <v>3.3108859999999997E-2</v>
      </c>
      <c r="R2981">
        <v>-3.0676269999999999E-2</v>
      </c>
      <c r="S2981">
        <v>-3.0007630000000001</v>
      </c>
      <c r="T2981">
        <v>-0.16815639999999901</v>
      </c>
      <c r="U2981">
        <v>-0.25561519999999999</v>
      </c>
      <c r="V2981">
        <v>-3.4054969999999997E-2</v>
      </c>
      <c r="W2981">
        <v>4.679908E-2</v>
      </c>
      <c r="X2981">
        <v>0.99832359999999898</v>
      </c>
      <c r="Y2981">
        <v>-8.8104999999999906E-2</v>
      </c>
      <c r="Z2981">
        <v>-2.6513829999999898E-3</v>
      </c>
      <c r="AA2981">
        <v>0.99610759999999898</v>
      </c>
      <c r="AB2981">
        <v>29</v>
      </c>
      <c r="AC2981">
        <v>-19.422999999999998</v>
      </c>
      <c r="AD2981">
        <v>-1.1048844781739999</v>
      </c>
      <c r="AE2981">
        <v>-1.6804999999999899</v>
      </c>
      <c r="AF2981">
        <v>-1.7406303723777701</v>
      </c>
      <c r="AG2981">
        <v>-1.1048844781739999</v>
      </c>
      <c r="AH2981">
        <v>19.355035224376799</v>
      </c>
      <c r="AI2981">
        <v>93.254086346126002</v>
      </c>
      <c r="AJ2981">
        <v>95.138880182707396</v>
      </c>
      <c r="AK2981">
        <v>19.4645306221399</v>
      </c>
    </row>
    <row r="2982" spans="1:37" x14ac:dyDescent="0.2">
      <c r="A2982" t="str">
        <f>"20200111155555451"</f>
        <v>20200111155555451</v>
      </c>
      <c r="B2982" t="str">
        <f>"1578729355445663"</f>
        <v>1578729355445663</v>
      </c>
      <c r="C2982" t="s">
        <v>37</v>
      </c>
      <c r="D2982">
        <v>5.2419919999999998</v>
      </c>
      <c r="E2982">
        <v>0.48075020000000002</v>
      </c>
      <c r="F2982" t="s">
        <v>59</v>
      </c>
      <c r="G2982">
        <v>-468.08710000000002</v>
      </c>
      <c r="H2982" s="1">
        <v>2.8388709999999999E-6</v>
      </c>
      <c r="I2982">
        <v>282.96629999999999</v>
      </c>
      <c r="J2982">
        <v>-448.3605</v>
      </c>
      <c r="K2982">
        <v>1.1048959999999901</v>
      </c>
      <c r="L2982">
        <v>284.69940000000003</v>
      </c>
      <c r="M2982">
        <v>-0.999899599999999</v>
      </c>
      <c r="N2982">
        <v>0</v>
      </c>
      <c r="O2982">
        <v>3.383427E-3</v>
      </c>
      <c r="P2982">
        <v>-0.99897590000000003</v>
      </c>
      <c r="Q2982">
        <v>3.3640499999999997E-2</v>
      </c>
      <c r="R2982">
        <v>-3.0264039999999999E-2</v>
      </c>
      <c r="S2982">
        <v>-3.0005799999999998</v>
      </c>
      <c r="T2982">
        <v>-0.16564379999999901</v>
      </c>
      <c r="U2982">
        <v>-0.25967410000000002</v>
      </c>
      <c r="V2982">
        <v>-3.3642249999999999E-2</v>
      </c>
      <c r="W2982">
        <v>4.7392549999999999E-2</v>
      </c>
      <c r="X2982">
        <v>0.99830969999999997</v>
      </c>
      <c r="Y2982">
        <v>-8.9449379999999995E-2</v>
      </c>
      <c r="Z2982">
        <v>-2.6488229999999998E-3</v>
      </c>
      <c r="AA2982">
        <v>0.99598779999999998</v>
      </c>
      <c r="AB2982">
        <v>29</v>
      </c>
      <c r="AC2982">
        <v>-19.726600000000001</v>
      </c>
      <c r="AD2982">
        <v>-1.1048931611289901</v>
      </c>
      <c r="AE2982">
        <v>-1.7331000000000301</v>
      </c>
      <c r="AF2982">
        <v>-1.7942541683955899</v>
      </c>
      <c r="AG2982">
        <v>-1.1048931611289901</v>
      </c>
      <c r="AH2982">
        <v>19.659420429492901</v>
      </c>
      <c r="AI2982">
        <v>93.203450903461103</v>
      </c>
      <c r="AJ2982">
        <v>95.214760611965303</v>
      </c>
      <c r="AK2982">
        <v>19.7720243915963</v>
      </c>
    </row>
    <row r="2983" spans="1:37" x14ac:dyDescent="0.2">
      <c r="A2983" t="str">
        <f>"20200111155555473"</f>
        <v>20200111155555473</v>
      </c>
      <c r="B2983" t="str">
        <f>"1578729355465183"</f>
        <v>1578729355465183</v>
      </c>
      <c r="C2983" t="s">
        <v>37</v>
      </c>
      <c r="D2983">
        <v>5.4486230000000004</v>
      </c>
      <c r="E2983">
        <v>0.48077159999999902</v>
      </c>
      <c r="F2983" t="s">
        <v>59</v>
      </c>
      <c r="G2983">
        <v>-469.01479999999998</v>
      </c>
      <c r="H2983" s="1">
        <v>3.335158E-6</v>
      </c>
      <c r="I2983">
        <v>282.90710000000001</v>
      </c>
      <c r="J2983">
        <v>-448.65280000000001</v>
      </c>
      <c r="K2983">
        <v>1.104903</v>
      </c>
      <c r="L2983">
        <v>284.7004</v>
      </c>
      <c r="M2983">
        <v>-0.99989889999999904</v>
      </c>
      <c r="N2983">
        <v>0</v>
      </c>
      <c r="O2983">
        <v>3.3833520000000001E-3</v>
      </c>
      <c r="P2983">
        <v>-0.99896689999999999</v>
      </c>
      <c r="Q2983">
        <v>3.4338779999999999E-2</v>
      </c>
      <c r="R2983">
        <v>-2.977608E-2</v>
      </c>
      <c r="S2983">
        <v>-3.00061</v>
      </c>
      <c r="T2983">
        <v>-0.16051660000000001</v>
      </c>
      <c r="U2983">
        <v>-0.260376</v>
      </c>
      <c r="V2983">
        <v>-3.3154070000000001E-2</v>
      </c>
      <c r="W2983">
        <v>4.8144140000000002E-2</v>
      </c>
      <c r="X2983">
        <v>0.99829000000000001</v>
      </c>
      <c r="Y2983">
        <v>-8.9687909999999996E-2</v>
      </c>
      <c r="Z2983">
        <v>-2.5732579999999902E-3</v>
      </c>
      <c r="AA2983">
        <v>0.99596659999999904</v>
      </c>
      <c r="AB2983">
        <v>29</v>
      </c>
      <c r="AC2983">
        <v>-20.361999999999899</v>
      </c>
      <c r="AD2983">
        <v>-1.104899664842</v>
      </c>
      <c r="AE2983">
        <v>-1.7932999999999799</v>
      </c>
      <c r="AF2983">
        <v>-1.8567630442605001</v>
      </c>
      <c r="AG2983">
        <v>-1.104899664842</v>
      </c>
      <c r="AH2983">
        <v>20.296513311670498</v>
      </c>
      <c r="AI2983">
        <v>93.103054481671805</v>
      </c>
      <c r="AJ2983">
        <v>95.226976194965204</v>
      </c>
      <c r="AK2983">
        <v>20.4111936172953</v>
      </c>
    </row>
    <row r="2984" spans="1:37" x14ac:dyDescent="0.2">
      <c r="A2984" t="str">
        <f>"20200111155555495"</f>
        <v>20200111155555495</v>
      </c>
      <c r="B2984" t="str">
        <f>"1578729355485679"</f>
        <v>1578729355485679</v>
      </c>
      <c r="C2984" t="s">
        <v>37</v>
      </c>
      <c r="D2984">
        <v>5.2074309999999997</v>
      </c>
      <c r="E2984">
        <v>0.48035509999999898</v>
      </c>
      <c r="F2984" t="s">
        <v>56</v>
      </c>
      <c r="G2984">
        <v>-470.11130000000003</v>
      </c>
      <c r="H2984" s="1">
        <v>6.4105120000000002E-6</v>
      </c>
      <c r="I2984">
        <v>282.8519</v>
      </c>
      <c r="J2984">
        <v>-448.93369999999999</v>
      </c>
      <c r="K2984">
        <v>1.1049059999999999</v>
      </c>
      <c r="L2984">
        <v>284.70139999999998</v>
      </c>
      <c r="M2984">
        <v>-0.99989830000000002</v>
      </c>
      <c r="N2984">
        <v>0</v>
      </c>
      <c r="O2984">
        <v>3.3832229999999999E-3</v>
      </c>
      <c r="P2984">
        <v>-0.99897239999999998</v>
      </c>
      <c r="Q2984">
        <v>3.4379270000000003E-2</v>
      </c>
      <c r="R2984">
        <v>-2.9538660000000001E-2</v>
      </c>
      <c r="S2984">
        <v>-3.000702</v>
      </c>
      <c r="T2984">
        <v>-0.154506</v>
      </c>
      <c r="U2984">
        <v>-0.25848389999999999</v>
      </c>
      <c r="V2984">
        <v>-3.2916399999999998E-2</v>
      </c>
      <c r="W2984">
        <v>4.8229399999999999E-2</v>
      </c>
      <c r="X2984">
        <v>0.99829380000000001</v>
      </c>
      <c r="Y2984">
        <v>-8.9072289999999998E-2</v>
      </c>
      <c r="Z2984">
        <v>-2.4612079999999999E-3</v>
      </c>
      <c r="AA2984">
        <v>0.99602209999999902</v>
      </c>
      <c r="AB2984">
        <v>29</v>
      </c>
      <c r="AC2984">
        <v>-21.177600000000002</v>
      </c>
      <c r="AD2984">
        <v>-1.104899589488</v>
      </c>
      <c r="AE2984">
        <v>-1.8494999999999699</v>
      </c>
      <c r="AF2984">
        <v>-1.91596899406358</v>
      </c>
      <c r="AG2984">
        <v>-1.104899589488</v>
      </c>
      <c r="AH2984">
        <v>21.114182598736399</v>
      </c>
      <c r="AI2984">
        <v>92.983305343243899</v>
      </c>
      <c r="AJ2984">
        <v>95.185003171301204</v>
      </c>
      <c r="AK2984">
        <v>21.229706712572501</v>
      </c>
    </row>
    <row r="2985" spans="1:37" x14ac:dyDescent="0.2">
      <c r="A2985" t="str">
        <f>"20200111155555518"</f>
        <v>20200111155555518</v>
      </c>
      <c r="B2985" t="str">
        <f>"1578729355514959"</f>
        <v>1578729355514959</v>
      </c>
      <c r="C2985" t="s">
        <v>37</v>
      </c>
      <c r="D2985">
        <v>5.1479619999999997</v>
      </c>
      <c r="E2985">
        <v>0.48001109999999902</v>
      </c>
      <c r="F2985" t="s">
        <v>56</v>
      </c>
      <c r="G2985">
        <v>-470.56900000000002</v>
      </c>
      <c r="H2985" s="1">
        <v>6.2048069999999901E-6</v>
      </c>
      <c r="I2985">
        <v>282.82049999999998</v>
      </c>
      <c r="J2985">
        <v>-449.22590000000002</v>
      </c>
      <c r="K2985">
        <v>1.1049040000000001</v>
      </c>
      <c r="L2985">
        <v>284.70229999999998</v>
      </c>
      <c r="M2985">
        <v>-0.99989760000000005</v>
      </c>
      <c r="N2985">
        <v>0</v>
      </c>
      <c r="O2985">
        <v>3.3834830000000001E-3</v>
      </c>
      <c r="P2985">
        <v>-0.99899459999999995</v>
      </c>
      <c r="Q2985">
        <v>3.4039779999999999E-2</v>
      </c>
      <c r="R2985">
        <v>-2.9176959999999998E-2</v>
      </c>
      <c r="S2985">
        <v>-3.0006710000000001</v>
      </c>
      <c r="T2985">
        <v>-0.15324260000000001</v>
      </c>
      <c r="U2985">
        <v>-0.26086429999999999</v>
      </c>
      <c r="V2985">
        <v>-3.2555569999999999E-2</v>
      </c>
      <c r="W2985">
        <v>4.7929819999999998E-2</v>
      </c>
      <c r="X2985">
        <v>0.99831999999999999</v>
      </c>
      <c r="Y2985">
        <v>-8.985862E-2</v>
      </c>
      <c r="Z2985">
        <v>-2.4610909999999999E-3</v>
      </c>
      <c r="AA2985">
        <v>0.99595149999999999</v>
      </c>
      <c r="AB2985">
        <v>29</v>
      </c>
      <c r="AC2985">
        <v>-21.3431</v>
      </c>
      <c r="AD2985">
        <v>-1.1048977951929999</v>
      </c>
      <c r="AE2985">
        <v>-1.8817999999999899</v>
      </c>
      <c r="AF2985">
        <v>-1.94882772092717</v>
      </c>
      <c r="AG2985">
        <v>-1.1048977951929999</v>
      </c>
      <c r="AH2985">
        <v>21.280020349072601</v>
      </c>
      <c r="AI2985">
        <v>92.959869220952498</v>
      </c>
      <c r="AJ2985">
        <v>95.2325610026475</v>
      </c>
      <c r="AK2985">
        <v>21.397616565417302</v>
      </c>
    </row>
    <row r="2986" spans="1:37" x14ac:dyDescent="0.2">
      <c r="A2986" t="str">
        <f>"20200111155555540"</f>
        <v>20200111155555540</v>
      </c>
      <c r="B2986" t="str">
        <f>"1578729355535455"</f>
        <v>1578729355535455</v>
      </c>
      <c r="C2986" t="s">
        <v>37</v>
      </c>
      <c r="D2986">
        <v>5.1578290000000004</v>
      </c>
      <c r="E2986">
        <v>0.4797189</v>
      </c>
      <c r="F2986" t="s">
        <v>56</v>
      </c>
      <c r="G2986">
        <v>-470.91640000000001</v>
      </c>
      <c r="H2986" s="1">
        <v>6.0491659999999999E-6</v>
      </c>
      <c r="I2986">
        <v>282.80290000000002</v>
      </c>
      <c r="J2986">
        <v>-449.5129</v>
      </c>
      <c r="K2986">
        <v>1.1049</v>
      </c>
      <c r="L2986">
        <v>284.70339999999999</v>
      </c>
      <c r="M2986">
        <v>-0.99989709999999998</v>
      </c>
      <c r="N2986">
        <v>0</v>
      </c>
      <c r="O2986">
        <v>3.3835509999999998E-3</v>
      </c>
      <c r="P2986">
        <v>-0.99904470000000001</v>
      </c>
      <c r="Q2986">
        <v>3.278205E-2</v>
      </c>
      <c r="R2986">
        <v>-2.8897639999999999E-2</v>
      </c>
      <c r="S2986">
        <v>-3.0005189999999899</v>
      </c>
      <c r="T2986">
        <v>-0.1528437</v>
      </c>
      <c r="U2986">
        <v>-0.2627563</v>
      </c>
      <c r="V2986">
        <v>-3.2276579999999999E-2</v>
      </c>
      <c r="W2986">
        <v>4.6705719999999999E-2</v>
      </c>
      <c r="X2986">
        <v>0.99838709999999997</v>
      </c>
      <c r="Y2986">
        <v>-9.0486140000000007E-2</v>
      </c>
      <c r="Z2986">
        <v>-2.4706960000000001E-3</v>
      </c>
      <c r="AA2986">
        <v>0.99589470000000002</v>
      </c>
      <c r="AB2986">
        <v>29</v>
      </c>
      <c r="AC2986">
        <v>-21.403500000000001</v>
      </c>
      <c r="AD2986">
        <v>-1.1048939508339899</v>
      </c>
      <c r="AE2986">
        <v>-1.9004999999999601</v>
      </c>
      <c r="AF2986">
        <v>-1.9677133634588699</v>
      </c>
      <c r="AG2986">
        <v>-1.1048939508339899</v>
      </c>
      <c r="AH2986">
        <v>21.3405221259626</v>
      </c>
      <c r="AI2986">
        <v>92.951314525158807</v>
      </c>
      <c r="AJ2986">
        <v>95.268089786183495</v>
      </c>
      <c r="AK2986">
        <v>21.4595100394213</v>
      </c>
    </row>
    <row r="2987" spans="1:37" x14ac:dyDescent="0.2">
      <c r="A2987" t="str">
        <f>"20200111155555562"</f>
        <v>20200111155555562</v>
      </c>
      <c r="B2987" t="str">
        <f>"1578729355554975"</f>
        <v>1578729355554975</v>
      </c>
      <c r="C2987" t="s">
        <v>37</v>
      </c>
      <c r="D2987">
        <v>5.1773619999999996</v>
      </c>
      <c r="E2987">
        <v>0.47960029999999998</v>
      </c>
      <c r="F2987" t="s">
        <v>56</v>
      </c>
      <c r="G2987">
        <v>-470.70510000000002</v>
      </c>
      <c r="H2987" s="1">
        <v>6.1458789999999999E-6</v>
      </c>
      <c r="I2987">
        <v>282.83690000000001</v>
      </c>
      <c r="J2987">
        <v>-449.79849999999999</v>
      </c>
      <c r="K2987">
        <v>1.1049040000000001</v>
      </c>
      <c r="L2987">
        <v>284.70429999999999</v>
      </c>
      <c r="M2987">
        <v>-0.99989680000000003</v>
      </c>
      <c r="N2987">
        <v>0</v>
      </c>
      <c r="O2987">
        <v>3.3833559999999901E-3</v>
      </c>
      <c r="P2987">
        <v>-0.99907889999999999</v>
      </c>
      <c r="Q2987">
        <v>3.1831770000000002E-2</v>
      </c>
      <c r="R2987">
        <v>-2.8777710000000001E-2</v>
      </c>
      <c r="S2987">
        <v>-3.0003660000000001</v>
      </c>
      <c r="T2987">
        <v>-0.15642979999999901</v>
      </c>
      <c r="U2987">
        <v>-0.26425169999999998</v>
      </c>
      <c r="V2987">
        <v>-3.2156079999999997E-2</v>
      </c>
      <c r="W2987">
        <v>4.5784030000000003E-2</v>
      </c>
      <c r="X2987">
        <v>0.99843359999999903</v>
      </c>
      <c r="Y2987">
        <v>-9.0976500000000002E-2</v>
      </c>
      <c r="Z2987">
        <v>-2.5413989999999902E-3</v>
      </c>
      <c r="AA2987">
        <v>0.99584980000000001</v>
      </c>
      <c r="AB2987">
        <v>29</v>
      </c>
      <c r="AC2987">
        <v>-20.906600000000001</v>
      </c>
      <c r="AD2987">
        <v>-1.1048978541209999</v>
      </c>
      <c r="AE2987">
        <v>-1.86739999999997</v>
      </c>
      <c r="AF2987">
        <v>-1.9327750824892</v>
      </c>
      <c r="AG2987">
        <v>-1.1048978541209999</v>
      </c>
      <c r="AH2987">
        <v>20.842408669947801</v>
      </c>
      <c r="AI2987">
        <v>93.0215837383858</v>
      </c>
      <c r="AJ2987">
        <v>95.298046565709498</v>
      </c>
      <c r="AK2987">
        <v>20.960973688086298</v>
      </c>
    </row>
    <row r="2988" spans="1:37" x14ac:dyDescent="0.2">
      <c r="A2988" t="str">
        <f>"20200111155555585"</f>
        <v>20200111155555585</v>
      </c>
      <c r="B2988" t="str">
        <f>"1578729355575471"</f>
        <v>1578729355575471</v>
      </c>
      <c r="C2988" t="s">
        <v>37</v>
      </c>
      <c r="D2988">
        <v>5.2225570000000001</v>
      </c>
      <c r="E2988">
        <v>0.479356</v>
      </c>
      <c r="F2988" t="s">
        <v>56</v>
      </c>
      <c r="G2988">
        <v>-470.70909999999998</v>
      </c>
      <c r="H2988" s="1">
        <v>6.1461659999999899E-6</v>
      </c>
      <c r="I2988">
        <v>282.8605</v>
      </c>
      <c r="J2988">
        <v>-450.0881</v>
      </c>
      <c r="K2988">
        <v>1.104903</v>
      </c>
      <c r="L2988">
        <v>284.70530000000002</v>
      </c>
      <c r="M2988">
        <v>-0.99989649999999997</v>
      </c>
      <c r="N2988">
        <v>0</v>
      </c>
      <c r="O2988">
        <v>3.383189E-3</v>
      </c>
      <c r="P2988">
        <v>-0.99907239999999997</v>
      </c>
      <c r="Q2988">
        <v>3.1767709999999998E-2</v>
      </c>
      <c r="R2988">
        <v>-2.907415E-2</v>
      </c>
      <c r="S2988">
        <v>-3.0002140000000002</v>
      </c>
      <c r="T2988">
        <v>-0.158529</v>
      </c>
      <c r="U2988">
        <v>-0.26455689999999998</v>
      </c>
      <c r="V2988">
        <v>-3.2452259999999997E-2</v>
      </c>
      <c r="W2988">
        <v>4.5744010000000002E-2</v>
      </c>
      <c r="X2988">
        <v>0.99842589999999998</v>
      </c>
      <c r="Y2988">
        <v>-9.1077690000000003E-2</v>
      </c>
      <c r="Z2988">
        <v>-2.5782330000000001E-3</v>
      </c>
      <c r="AA2988">
        <v>0.99584039999999996</v>
      </c>
      <c r="AB2988">
        <v>29</v>
      </c>
      <c r="AC2988">
        <v>-20.620999999999899</v>
      </c>
      <c r="AD2988">
        <v>-1.1048968538339901</v>
      </c>
      <c r="AE2988">
        <v>-1.84480000000002</v>
      </c>
      <c r="AF2988">
        <v>-1.90912354310447</v>
      </c>
      <c r="AG2988">
        <v>-1.1048968538339901</v>
      </c>
      <c r="AH2988">
        <v>20.556093324587</v>
      </c>
      <c r="AI2988">
        <v>93.063547766559495</v>
      </c>
      <c r="AJ2988">
        <v>95.306058711957704</v>
      </c>
      <c r="AK2988">
        <v>20.674102701921001</v>
      </c>
    </row>
    <row r="2989" spans="1:37" x14ac:dyDescent="0.2">
      <c r="A2989" t="str">
        <f>"20200111155555607"</f>
        <v>20200111155555607</v>
      </c>
      <c r="B2989" t="str">
        <f>"1578729355605729"</f>
        <v>1578729355605729</v>
      </c>
      <c r="C2989" t="s">
        <v>37</v>
      </c>
      <c r="D2989">
        <v>5.1746309999999998</v>
      </c>
      <c r="E2989">
        <v>0.4790452</v>
      </c>
      <c r="F2989" t="s">
        <v>56</v>
      </c>
      <c r="G2989">
        <v>-470.94310000000002</v>
      </c>
      <c r="H2989" s="1">
        <v>6.0411539999999999E-6</v>
      </c>
      <c r="I2989">
        <v>282.84629999999999</v>
      </c>
      <c r="J2989">
        <v>-450.37830000000002</v>
      </c>
      <c r="K2989">
        <v>1.1049069999999901</v>
      </c>
      <c r="L2989">
        <v>284.7063</v>
      </c>
      <c r="M2989">
        <v>-0.99989619999999901</v>
      </c>
      <c r="N2989">
        <v>0</v>
      </c>
      <c r="O2989">
        <v>3.3827509999999998E-3</v>
      </c>
      <c r="P2989">
        <v>-0.99907420000000002</v>
      </c>
      <c r="Q2989">
        <v>3.140138E-2</v>
      </c>
      <c r="R2989">
        <v>-2.9410530000000001E-2</v>
      </c>
      <c r="S2989">
        <v>-3.0001220000000002</v>
      </c>
      <c r="T2989">
        <v>-0.15894639999999999</v>
      </c>
      <c r="U2989">
        <v>-0.26742549999999998</v>
      </c>
      <c r="V2989">
        <v>-3.2788409999999997E-2</v>
      </c>
      <c r="W2989">
        <v>4.5398189999999998E-2</v>
      </c>
      <c r="X2989">
        <v>0.99843069999999901</v>
      </c>
      <c r="Y2989">
        <v>-9.2022660000000006E-2</v>
      </c>
      <c r="Z2989">
        <v>-2.609924E-3</v>
      </c>
      <c r="AA2989">
        <v>0.99575349999999996</v>
      </c>
      <c r="AB2989">
        <v>29</v>
      </c>
      <c r="AC2989">
        <v>-20.564799999999899</v>
      </c>
      <c r="AD2989">
        <v>-1.1049009588459999</v>
      </c>
      <c r="AE2989">
        <v>-1.8600000000000101</v>
      </c>
      <c r="AF2989">
        <v>-1.9240527308825499</v>
      </c>
      <c r="AG2989">
        <v>-1.1049009588459999</v>
      </c>
      <c r="AH2989">
        <v>20.499694007570099</v>
      </c>
      <c r="AI2989">
        <v>93.071692374576401</v>
      </c>
      <c r="AJ2989">
        <v>95.361938097398195</v>
      </c>
      <c r="AK2989">
        <v>20.619414139205801</v>
      </c>
    </row>
    <row r="2990" spans="1:37" x14ac:dyDescent="0.2">
      <c r="A2990" t="str">
        <f>"20200111155555631"</f>
        <v>20200111155555631</v>
      </c>
      <c r="B2990" t="str">
        <f>"1578729355625247"</f>
        <v>1578729355625247</v>
      </c>
      <c r="C2990" t="s">
        <v>37</v>
      </c>
      <c r="D2990">
        <v>5.1028390000000003</v>
      </c>
      <c r="E2990">
        <v>0.47882780000000003</v>
      </c>
      <c r="F2990" t="s">
        <v>56</v>
      </c>
      <c r="G2990">
        <v>-471.28960000000001</v>
      </c>
      <c r="H2990" s="1">
        <v>5.8850170000000002E-6</v>
      </c>
      <c r="I2990">
        <v>282.81819999999999</v>
      </c>
      <c r="J2990">
        <v>-450.67099999999999</v>
      </c>
      <c r="K2990">
        <v>1.1049119999999999</v>
      </c>
      <c r="L2990">
        <v>284.7072</v>
      </c>
      <c r="M2990">
        <v>-0.99989589999999995</v>
      </c>
      <c r="N2990">
        <v>0</v>
      </c>
      <c r="O2990">
        <v>3.3826279999999999E-3</v>
      </c>
      <c r="P2990">
        <v>-0.99907579999999996</v>
      </c>
      <c r="Q2990">
        <v>3.1092890000000001E-2</v>
      </c>
      <c r="R2990">
        <v>-2.9678820000000002E-2</v>
      </c>
      <c r="S2990">
        <v>-2.9997859999999998</v>
      </c>
      <c r="T2990">
        <v>-0.15850069999999999</v>
      </c>
      <c r="U2990">
        <v>-0.27084350000000001</v>
      </c>
      <c r="V2990">
        <v>-3.3056889999999998E-2</v>
      </c>
      <c r="W2990">
        <v>4.5107139999999997E-2</v>
      </c>
      <c r="X2990">
        <v>0.99843510000000002</v>
      </c>
      <c r="Y2990">
        <v>-9.3156970000000006E-2</v>
      </c>
      <c r="Z2990">
        <v>-2.6326520000000001E-3</v>
      </c>
      <c r="AA2990">
        <v>0.99564799999999998</v>
      </c>
      <c r="AB2990">
        <v>29</v>
      </c>
      <c r="AC2990">
        <v>-20.618600000000001</v>
      </c>
      <c r="AD2990">
        <v>-1.104906114983</v>
      </c>
      <c r="AE2990">
        <v>-1.88900000000001</v>
      </c>
      <c r="AF2990">
        <v>-1.9531789348977899</v>
      </c>
      <c r="AG2990">
        <v>-1.104906114983</v>
      </c>
      <c r="AH2990">
        <v>20.553560135949699</v>
      </c>
      <c r="AI2990">
        <v>93.063336606326104</v>
      </c>
      <c r="AJ2990">
        <v>95.4284444814772</v>
      </c>
      <c r="AK2990">
        <v>20.675699739954499</v>
      </c>
    </row>
    <row r="2991" spans="1:37" x14ac:dyDescent="0.2">
      <c r="A2991" t="str">
        <f>"20200111155555651"</f>
        <v>20200111155555651</v>
      </c>
      <c r="B2991" t="str">
        <f>"1578729355645747"</f>
        <v>1578729355645747</v>
      </c>
      <c r="C2991" t="s">
        <v>37</v>
      </c>
      <c r="D2991">
        <v>5.1675319999999996</v>
      </c>
      <c r="E2991">
        <v>0.4786416</v>
      </c>
      <c r="F2991" t="s">
        <v>56</v>
      </c>
      <c r="G2991">
        <v>-471.56110000000001</v>
      </c>
      <c r="H2991" s="1">
        <v>5.7634489999999996E-6</v>
      </c>
      <c r="I2991">
        <v>282.80459999999999</v>
      </c>
      <c r="J2991">
        <v>-450.94319999999999</v>
      </c>
      <c r="K2991">
        <v>1.104914</v>
      </c>
      <c r="L2991">
        <v>284.70819999999998</v>
      </c>
      <c r="M2991">
        <v>-0.99989570000000005</v>
      </c>
      <c r="N2991">
        <v>0</v>
      </c>
      <c r="O2991">
        <v>3.3865549999999999E-3</v>
      </c>
      <c r="P2991">
        <v>-0.99906130000000004</v>
      </c>
      <c r="Q2991">
        <v>3.110303E-2</v>
      </c>
      <c r="R2991">
        <v>-3.015495E-2</v>
      </c>
      <c r="S2991">
        <v>-2.9995419999999999</v>
      </c>
      <c r="T2991">
        <v>-0.1586497</v>
      </c>
      <c r="U2991">
        <v>-0.27319339999999998</v>
      </c>
      <c r="V2991">
        <v>-3.3536749999999997E-2</v>
      </c>
      <c r="W2991">
        <v>4.5130480000000001E-2</v>
      </c>
      <c r="X2991">
        <v>0.99841800000000003</v>
      </c>
      <c r="Y2991">
        <v>-9.3940410000000002E-2</v>
      </c>
      <c r="Z2991">
        <v>-2.6561150000000001E-3</v>
      </c>
      <c r="AA2991">
        <v>0.99557430000000002</v>
      </c>
      <c r="AB2991">
        <v>29</v>
      </c>
      <c r="AC2991">
        <v>-20.617899999999999</v>
      </c>
      <c r="AD2991">
        <v>-1.1049082365509999</v>
      </c>
      <c r="AE2991">
        <v>-1.90359999999998</v>
      </c>
      <c r="AF2991">
        <v>-1.9678160874191799</v>
      </c>
      <c r="AG2991">
        <v>-1.1049082365509999</v>
      </c>
      <c r="AH2991">
        <v>20.552808531513602</v>
      </c>
      <c r="AI2991">
        <v>93.063247454503994</v>
      </c>
      <c r="AJ2991">
        <v>95.4690783790018</v>
      </c>
      <c r="AK2991">
        <v>20.676340607036</v>
      </c>
    </row>
    <row r="2992" spans="1:37" x14ac:dyDescent="0.2">
      <c r="A2992" t="str">
        <f>"20200111155555675"</f>
        <v>20200111155555675</v>
      </c>
      <c r="B2992" t="str">
        <f>"1578729355665263"</f>
        <v>1578729355665263</v>
      </c>
      <c r="C2992" t="s">
        <v>37</v>
      </c>
      <c r="D2992">
        <v>5.232812</v>
      </c>
      <c r="E2992">
        <v>0.47860180000000002</v>
      </c>
      <c r="F2992" t="s">
        <v>56</v>
      </c>
      <c r="G2992">
        <v>-471.99439999999998</v>
      </c>
      <c r="H2992" s="1">
        <v>5.5682959999999996E-6</v>
      </c>
      <c r="I2992">
        <v>282.77019999999999</v>
      </c>
      <c r="J2992">
        <v>-451.23329999999999</v>
      </c>
      <c r="K2992">
        <v>1.1049089999999999</v>
      </c>
      <c r="L2992">
        <v>284.70909999999998</v>
      </c>
      <c r="M2992">
        <v>-0.99989539999999999</v>
      </c>
      <c r="N2992">
        <v>0</v>
      </c>
      <c r="O2992">
        <v>3.4058019999999999E-3</v>
      </c>
      <c r="P2992">
        <v>-0.99904689999999996</v>
      </c>
      <c r="Q2992">
        <v>3.1139190000000001E-2</v>
      </c>
      <c r="R2992">
        <v>-3.0587099999999999E-2</v>
      </c>
      <c r="S2992">
        <v>-2.99939</v>
      </c>
      <c r="T2992">
        <v>-0.1574286</v>
      </c>
      <c r="U2992">
        <v>-0.27612300000000001</v>
      </c>
      <c r="V2992">
        <v>-3.3987049999999998E-2</v>
      </c>
      <c r="W2992">
        <v>4.5179539999999997E-2</v>
      </c>
      <c r="X2992">
        <v>0.99840059999999997</v>
      </c>
      <c r="Y2992">
        <v>-9.492913E-2</v>
      </c>
      <c r="Z2992">
        <v>-2.6625970000000001E-3</v>
      </c>
      <c r="AA2992">
        <v>0.99548049999999999</v>
      </c>
      <c r="AB2992">
        <v>29</v>
      </c>
      <c r="AC2992">
        <v>-20.761099999999999</v>
      </c>
      <c r="AD2992">
        <v>-1.1049034317039901</v>
      </c>
      <c r="AE2992">
        <v>-1.9388999999999801</v>
      </c>
      <c r="AF2992">
        <v>-2.0039770348181798</v>
      </c>
      <c r="AG2992">
        <v>-1.1049034317039901</v>
      </c>
      <c r="AH2992">
        <v>20.696263057381099</v>
      </c>
      <c r="AI2992">
        <v>93.041727745477004</v>
      </c>
      <c r="AJ2992">
        <v>95.530592427330404</v>
      </c>
      <c r="AK2992">
        <v>20.822392756112102</v>
      </c>
    </row>
    <row r="2993" spans="1:37" x14ac:dyDescent="0.2">
      <c r="A2993" t="str">
        <f>"20200111155555696"</f>
        <v>20200111155555696</v>
      </c>
      <c r="B2993" t="str">
        <f>"1578729355684783"</f>
        <v>1578729355684783</v>
      </c>
      <c r="C2993" t="s">
        <v>37</v>
      </c>
      <c r="D2993">
        <v>4.1927050000000001</v>
      </c>
      <c r="E2993">
        <v>0.47860180000000002</v>
      </c>
      <c r="F2993" t="s">
        <v>56</v>
      </c>
      <c r="G2993">
        <v>-472.20599999999899</v>
      </c>
      <c r="H2993" s="1">
        <v>5.4742769999999998E-6</v>
      </c>
      <c r="I2993">
        <v>282.7681</v>
      </c>
      <c r="J2993">
        <v>-451.51249999999999</v>
      </c>
      <c r="K2993">
        <v>1.104897</v>
      </c>
      <c r="L2993">
        <v>284.71010000000001</v>
      </c>
      <c r="M2993">
        <v>-0.99989519999999998</v>
      </c>
      <c r="N2993">
        <v>0</v>
      </c>
      <c r="O2993">
        <v>3.452348E-3</v>
      </c>
      <c r="P2993">
        <v>-0.99902169999999901</v>
      </c>
      <c r="Q2993">
        <v>3.1212879999999998E-2</v>
      </c>
      <c r="R2993">
        <v>-3.1332159999999998E-2</v>
      </c>
      <c r="S2993">
        <v>-2.9993590000000001</v>
      </c>
      <c r="T2993">
        <v>-0.1580154</v>
      </c>
      <c r="U2993">
        <v>-0.2775879</v>
      </c>
      <c r="V2993">
        <v>-3.4776710000000002E-2</v>
      </c>
      <c r="W2993">
        <v>4.5263860000000003E-2</v>
      </c>
      <c r="X2993">
        <v>0.99836959999999997</v>
      </c>
      <c r="Y2993">
        <v>-9.5456669999999993E-2</v>
      </c>
      <c r="Z2993">
        <v>-2.6887779999999902E-3</v>
      </c>
      <c r="AA2993">
        <v>0.99542989999999998</v>
      </c>
      <c r="AB2993">
        <v>29</v>
      </c>
      <c r="AC2993">
        <v>-20.693499999999901</v>
      </c>
      <c r="AD2993">
        <v>-1.1048915257230001</v>
      </c>
      <c r="AE2993">
        <v>-1.9419999999999999</v>
      </c>
      <c r="AF2993">
        <v>-2.0077628282145801</v>
      </c>
      <c r="AG2993">
        <v>-1.1048915257230001</v>
      </c>
      <c r="AH2993">
        <v>20.6283769321556</v>
      </c>
      <c r="AI2993">
        <v>93.0515389840116</v>
      </c>
      <c r="AJ2993">
        <v>95.559096341861405</v>
      </c>
      <c r="AK2993">
        <v>20.755284428623501</v>
      </c>
    </row>
    <row r="2994" spans="1:37" x14ac:dyDescent="0.2">
      <c r="A2994" t="str">
        <f>"20200111155555720"</f>
        <v>20200111155555720</v>
      </c>
      <c r="B2994" t="str">
        <f>"1578729355715384"</f>
        <v>1578729355715384</v>
      </c>
      <c r="C2994" t="s">
        <v>37</v>
      </c>
      <c r="D2994">
        <v>4.1781730000000001</v>
      </c>
      <c r="E2994">
        <v>0.2444337</v>
      </c>
      <c r="F2994" t="s">
        <v>56</v>
      </c>
      <c r="G2994">
        <v>-472.50709999999998</v>
      </c>
      <c r="H2994" s="1">
        <v>5.3392929999999999E-6</v>
      </c>
      <c r="I2994">
        <v>282.7518</v>
      </c>
      <c r="J2994">
        <v>-451.8021</v>
      </c>
      <c r="K2994">
        <v>1.1048739999999999</v>
      </c>
      <c r="L2994">
        <v>284.71120000000002</v>
      </c>
      <c r="M2994">
        <v>-0.99989470000000003</v>
      </c>
      <c r="N2994">
        <v>0</v>
      </c>
      <c r="O2994">
        <v>3.5436320000000001E-3</v>
      </c>
      <c r="P2994">
        <v>-0.99901439999999997</v>
      </c>
      <c r="Q2994">
        <v>3.1215389999999999E-2</v>
      </c>
      <c r="R2994">
        <v>-3.1558250000000003E-2</v>
      </c>
      <c r="S2994">
        <v>-2.9991150000000002</v>
      </c>
      <c r="T2994">
        <v>-0.15783559999999999</v>
      </c>
      <c r="U2994">
        <v>-0.27975459999999902</v>
      </c>
      <c r="V2994">
        <v>-3.509089E-2</v>
      </c>
      <c r="W2994">
        <v>4.5276719999999999E-2</v>
      </c>
      <c r="X2994">
        <v>0.99835799999999997</v>
      </c>
      <c r="Y2994">
        <v>-9.6267039999999998E-2</v>
      </c>
      <c r="Z2994">
        <v>-2.7119050000000001E-3</v>
      </c>
      <c r="AA2994">
        <v>0.99535189999999996</v>
      </c>
      <c r="AB2994">
        <v>29</v>
      </c>
      <c r="AC2994">
        <v>-20.704999999999899</v>
      </c>
      <c r="AD2994">
        <v>-1.104868660707</v>
      </c>
      <c r="AE2994">
        <v>-1.95940000000001</v>
      </c>
      <c r="AF2994">
        <v>-2.0270449905073402</v>
      </c>
      <c r="AG2994">
        <v>-1.104868660707</v>
      </c>
      <c r="AH2994">
        <v>20.6396751289628</v>
      </c>
      <c r="AI2994">
        <v>93.049549030909205</v>
      </c>
      <c r="AJ2994">
        <v>95.609093091601395</v>
      </c>
      <c r="AK2994">
        <v>20.768385483231</v>
      </c>
    </row>
    <row r="2995" spans="1:37" x14ac:dyDescent="0.2">
      <c r="A2995" t="str">
        <f>"20200111155555741"</f>
        <v>20200111155555741</v>
      </c>
      <c r="B2995" t="str">
        <f>"1578729355734904"</f>
        <v>1578729355734904</v>
      </c>
      <c r="C2995" t="s">
        <v>37</v>
      </c>
      <c r="D2995">
        <v>4.1690690000000004</v>
      </c>
      <c r="E2995">
        <v>0.24601719999999999</v>
      </c>
      <c r="F2995" t="s">
        <v>60</v>
      </c>
      <c r="G2995">
        <v>-512.85410000000002</v>
      </c>
      <c r="H2995">
        <v>87.384190000000004</v>
      </c>
      <c r="I2995">
        <v>243.4179</v>
      </c>
      <c r="J2995">
        <v>-452.08580000000001</v>
      </c>
      <c r="K2995">
        <v>1.1048389999999999</v>
      </c>
      <c r="L2995">
        <v>284.71230000000003</v>
      </c>
      <c r="M2995">
        <v>-0.99989409999999901</v>
      </c>
      <c r="N2995">
        <v>0</v>
      </c>
      <c r="O2995">
        <v>3.68951E-3</v>
      </c>
      <c r="P2995">
        <v>-0.99899280000000001</v>
      </c>
      <c r="Q2995">
        <v>3.1096680000000002E-2</v>
      </c>
      <c r="R2995">
        <v>-3.2344669999999999E-2</v>
      </c>
      <c r="S2995">
        <v>-2.818298</v>
      </c>
      <c r="T2995">
        <v>3.9828379999999899</v>
      </c>
      <c r="U2995">
        <v>-1.9061889999999999</v>
      </c>
      <c r="V2995">
        <v>-3.6018410000000001E-2</v>
      </c>
      <c r="W2995">
        <v>4.5168590000000002E-2</v>
      </c>
      <c r="X2995">
        <v>0.99832980000000004</v>
      </c>
      <c r="Y2995">
        <v>-0.36449199999999998</v>
      </c>
      <c r="Z2995">
        <v>0.18383920000000001</v>
      </c>
      <c r="AA2995">
        <v>0.91287929999999995</v>
      </c>
      <c r="AB2995">
        <v>29</v>
      </c>
      <c r="AC2995">
        <v>-60.768300000000004</v>
      </c>
      <c r="AD2995">
        <v>86.279351000000005</v>
      </c>
      <c r="AE2995">
        <v>-41.294400000000003</v>
      </c>
      <c r="AF2995">
        <v>-17.451655399316</v>
      </c>
      <c r="AG2995">
        <v>86.279351000000005</v>
      </c>
      <c r="AH2995">
        <v>25.4788828192045</v>
      </c>
      <c r="AI2995">
        <v>19.694172421298202</v>
      </c>
      <c r="AJ2995">
        <v>124.409032163099</v>
      </c>
      <c r="AK2995">
        <v>91.639839343336007</v>
      </c>
    </row>
    <row r="2996" spans="1:37" x14ac:dyDescent="0.2">
      <c r="A2996" t="str">
        <f>"20200111155555786"</f>
        <v>20200111155555786</v>
      </c>
      <c r="B2996" t="str">
        <f>"1578729355774920"</f>
        <v>1578729355774920</v>
      </c>
      <c r="C2996" t="s">
        <v>37</v>
      </c>
      <c r="D2996">
        <v>4.327439</v>
      </c>
      <c r="E2996">
        <v>0.2484324</v>
      </c>
      <c r="F2996" t="s">
        <v>60</v>
      </c>
      <c r="G2996">
        <v>-512.85389999999995</v>
      </c>
      <c r="H2996">
        <v>86.678640000000001</v>
      </c>
      <c r="I2996">
        <v>243.74690000000001</v>
      </c>
      <c r="J2996">
        <v>-452.6542</v>
      </c>
      <c r="K2996">
        <v>1.104759</v>
      </c>
      <c r="L2996">
        <v>284.7149</v>
      </c>
      <c r="M2996">
        <v>-0.99989229999999996</v>
      </c>
      <c r="N2996">
        <v>0</v>
      </c>
      <c r="O2996">
        <v>4.1452620000000003E-3</v>
      </c>
      <c r="P2996">
        <v>-0.99900319999999898</v>
      </c>
      <c r="Q2996">
        <v>3.012397E-2</v>
      </c>
      <c r="R2996">
        <v>-3.2950680000000003E-2</v>
      </c>
      <c r="S2996">
        <v>-2.8179630000000002</v>
      </c>
      <c r="T2996">
        <v>3.9682519999999899</v>
      </c>
      <c r="U2996">
        <v>-1.8996580000000001</v>
      </c>
      <c r="V2996">
        <v>-3.707059E-2</v>
      </c>
      <c r="W2996">
        <v>4.4212540000000002E-2</v>
      </c>
      <c r="X2996">
        <v>0.9983341</v>
      </c>
      <c r="Y2996">
        <v>-0.36427520000000002</v>
      </c>
      <c r="Z2996">
        <v>0.1838273</v>
      </c>
      <c r="AA2996">
        <v>0.91296829999999995</v>
      </c>
      <c r="AB2996">
        <v>28</v>
      </c>
      <c r="AC2996">
        <v>-60.199699999999901</v>
      </c>
      <c r="AD2996">
        <v>85.573881</v>
      </c>
      <c r="AE2996">
        <v>-40.967999999999897</v>
      </c>
      <c r="AF2996">
        <v>-17.310471769986901</v>
      </c>
      <c r="AG2996">
        <v>85.573881</v>
      </c>
      <c r="AH2996">
        <v>25.2112184834548</v>
      </c>
      <c r="AI2996">
        <v>19.6656324157968</v>
      </c>
      <c r="AJ2996">
        <v>124.474186225175</v>
      </c>
      <c r="AK2996">
        <v>90.874347754039803</v>
      </c>
    </row>
    <row r="2997" spans="1:37" x14ac:dyDescent="0.2">
      <c r="A2997" t="str">
        <f>"20200111155555825"</f>
        <v>20200111155555825</v>
      </c>
      <c r="B2997" t="str">
        <f>"1578729355814938"</f>
        <v>1578729355814938</v>
      </c>
      <c r="C2997" t="s">
        <v>37</v>
      </c>
      <c r="D2997">
        <v>4.191878</v>
      </c>
      <c r="E2997">
        <v>0.248502</v>
      </c>
      <c r="F2997" t="s">
        <v>60</v>
      </c>
      <c r="G2997">
        <v>-512.85339999999997</v>
      </c>
      <c r="H2997">
        <v>85.175929999999994</v>
      </c>
      <c r="I2997">
        <v>244.46530000000001</v>
      </c>
      <c r="J2997">
        <v>-453.14620000000002</v>
      </c>
      <c r="K2997">
        <v>1.1046769999999999</v>
      </c>
      <c r="L2997">
        <v>284.7176</v>
      </c>
      <c r="M2997">
        <v>-0.99988940000000004</v>
      </c>
      <c r="N2997">
        <v>0</v>
      </c>
      <c r="O2997">
        <v>4.7712409999999999E-3</v>
      </c>
      <c r="P2997">
        <v>-0.998995999999999</v>
      </c>
      <c r="Q2997">
        <v>2.8934830000000002E-2</v>
      </c>
      <c r="R2997">
        <v>-3.4205399999999997E-2</v>
      </c>
      <c r="S2997">
        <v>-2.821869</v>
      </c>
      <c r="T2997">
        <v>3.940874</v>
      </c>
      <c r="U2997">
        <v>-1.88671899999999</v>
      </c>
      <c r="V2997">
        <v>-3.8942419999999998E-2</v>
      </c>
      <c r="W2997">
        <v>4.3037770000000003E-2</v>
      </c>
      <c r="X2997">
        <v>0.99831419999999904</v>
      </c>
      <c r="Y2997">
        <v>-0.36354930000000002</v>
      </c>
      <c r="Z2997">
        <v>0.18326029999999999</v>
      </c>
      <c r="AA2997">
        <v>0.91337159999999995</v>
      </c>
      <c r="AB2997">
        <v>28</v>
      </c>
      <c r="AC2997">
        <v>-59.707199999999901</v>
      </c>
      <c r="AD2997">
        <v>84.071252999999999</v>
      </c>
      <c r="AE2997">
        <v>-40.252299999999899</v>
      </c>
      <c r="AF2997">
        <v>-17.154008802141501</v>
      </c>
      <c r="AG2997">
        <v>84.071252999999999</v>
      </c>
      <c r="AH2997">
        <v>25.184836603649899</v>
      </c>
      <c r="AI2997">
        <v>19.923207129714299</v>
      </c>
      <c r="AJ2997">
        <v>124.259735520646</v>
      </c>
      <c r="AK2997">
        <v>89.423216189793195</v>
      </c>
    </row>
    <row r="2998" spans="1:37" x14ac:dyDescent="0.2">
      <c r="A2998" t="str">
        <f>"20200111155556054"</f>
        <v>20200111155556054</v>
      </c>
      <c r="B2998" t="str">
        <f>"1578729356044682"</f>
        <v>1578729356044682</v>
      </c>
      <c r="C2998" t="s">
        <v>37</v>
      </c>
      <c r="D2998">
        <v>5.436013</v>
      </c>
      <c r="E2998">
        <v>0.24811549999999999</v>
      </c>
      <c r="F2998" t="s">
        <v>60</v>
      </c>
      <c r="G2998">
        <v>-512.85310000000004</v>
      </c>
      <c r="H2998">
        <v>84.129189999999994</v>
      </c>
      <c r="I2998">
        <v>244.5299</v>
      </c>
      <c r="J2998">
        <v>-456.02839999999998</v>
      </c>
      <c r="K2998">
        <v>1.1041190000000001</v>
      </c>
      <c r="L2998">
        <v>284.75049999999999</v>
      </c>
      <c r="M2998">
        <v>-0.99980659999999899</v>
      </c>
      <c r="N2998">
        <v>0</v>
      </c>
      <c r="O2998">
        <v>1.3708329999999999E-2</v>
      </c>
      <c r="P2998">
        <v>-0.99900250000000002</v>
      </c>
      <c r="Q2998">
        <v>3.2386100000000001E-2</v>
      </c>
      <c r="R2998">
        <v>-3.074555E-2</v>
      </c>
      <c r="S2998">
        <v>-2.8241879999999999</v>
      </c>
      <c r="T2998">
        <v>3.9271269999999898</v>
      </c>
      <c r="U2998">
        <v>-1.900909</v>
      </c>
      <c r="V2998">
        <v>-4.4339240000000002E-2</v>
      </c>
      <c r="W2998">
        <v>4.6555680000000002E-2</v>
      </c>
      <c r="X2998">
        <v>0.99793120000000002</v>
      </c>
      <c r="Y2998">
        <v>-0.36807770000000001</v>
      </c>
      <c r="Z2998">
        <v>0.19363659999999999</v>
      </c>
      <c r="AA2998">
        <v>0.90940840000000001</v>
      </c>
      <c r="AB2998">
        <v>28</v>
      </c>
      <c r="AC2998">
        <v>-56.8247</v>
      </c>
      <c r="AD2998">
        <v>83.025070999999997</v>
      </c>
      <c r="AE2998">
        <v>-40.220599999999898</v>
      </c>
      <c r="AF2998">
        <v>-16.924876276218999</v>
      </c>
      <c r="AG2998">
        <v>83.025070999999997</v>
      </c>
      <c r="AH2998">
        <v>23.229853818763001</v>
      </c>
      <c r="AI2998">
        <v>19.094796684611499</v>
      </c>
      <c r="AJ2998">
        <v>126.076444155088</v>
      </c>
      <c r="AK2998">
        <v>87.859205322842897</v>
      </c>
    </row>
    <row r="2999" spans="1:37" x14ac:dyDescent="0.2">
      <c r="A2999" t="str">
        <f>"20200111155556076"</f>
        <v>20200111155556076</v>
      </c>
      <c r="B2999" t="str">
        <f>"1578729356065178"</f>
        <v>1578729356065178</v>
      </c>
      <c r="C2999" t="s">
        <v>37</v>
      </c>
      <c r="D2999">
        <v>5.153473</v>
      </c>
      <c r="E2999">
        <v>0.51124150000000002</v>
      </c>
      <c r="F2999" t="s">
        <v>60</v>
      </c>
      <c r="G2999">
        <v>-512.85180000000003</v>
      </c>
      <c r="H2999">
        <v>80.289630000000002</v>
      </c>
      <c r="I2999">
        <v>245.95359999999999</v>
      </c>
      <c r="J2999">
        <v>-456.3134</v>
      </c>
      <c r="K2999">
        <v>1.1041080000000001</v>
      </c>
      <c r="L2999">
        <v>284.75560000000002</v>
      </c>
      <c r="M2999">
        <v>-0.999789699999999</v>
      </c>
      <c r="N2999">
        <v>0</v>
      </c>
      <c r="O2999">
        <v>1.490343E-2</v>
      </c>
      <c r="P2999">
        <v>-0.99900940000000005</v>
      </c>
      <c r="Q2999">
        <v>3.2802339999999999E-2</v>
      </c>
      <c r="R2999">
        <v>-3.0080160000000002E-2</v>
      </c>
      <c r="S2999">
        <v>-2.8165589999999998</v>
      </c>
      <c r="T2999">
        <v>3.924973</v>
      </c>
      <c r="U2999">
        <v>-1.9230349999999901</v>
      </c>
      <c r="V2999">
        <v>-4.4864639999999997E-2</v>
      </c>
      <c r="W2999">
        <v>4.6972460000000001E-2</v>
      </c>
      <c r="X2999">
        <v>0.99788809999999994</v>
      </c>
      <c r="Y2999">
        <v>-0.37234289999999998</v>
      </c>
      <c r="Z2999">
        <v>0.19691819999999999</v>
      </c>
      <c r="AA2999">
        <v>0.9069642</v>
      </c>
      <c r="AB2999">
        <v>28</v>
      </c>
      <c r="AC2999">
        <v>-56.538400000000003</v>
      </c>
      <c r="AD2999">
        <v>79.185521999999906</v>
      </c>
      <c r="AE2999">
        <v>-38.802</v>
      </c>
      <c r="AF2999">
        <v>-16.987552752474901</v>
      </c>
      <c r="AG2999">
        <v>79.185521999999906</v>
      </c>
      <c r="AH2999">
        <v>23.9785176142972</v>
      </c>
      <c r="AI2999">
        <v>20.360150967053801</v>
      </c>
      <c r="AJ2999">
        <v>125.31561975266401</v>
      </c>
      <c r="AK2999">
        <v>84.462377126799794</v>
      </c>
    </row>
    <row r="3000" spans="1:37" x14ac:dyDescent="0.2">
      <c r="A3000" t="str">
        <f>"20200111155556092"</f>
        <v>20200111155556092</v>
      </c>
      <c r="B3000" t="str">
        <f>"1578729356085674"</f>
        <v>1578729356085674</v>
      </c>
      <c r="C3000" t="s">
        <v>37</v>
      </c>
      <c r="D3000">
        <v>5.0901719999999999</v>
      </c>
      <c r="E3000">
        <v>0.51296579999999903</v>
      </c>
      <c r="F3000" t="s">
        <v>56</v>
      </c>
      <c r="G3000">
        <v>-470.62110000000001</v>
      </c>
      <c r="H3000" s="1">
        <v>6.3442740000000001E-6</v>
      </c>
      <c r="I3000">
        <v>284.68020000000001</v>
      </c>
      <c r="J3000">
        <v>-456.51260000000002</v>
      </c>
      <c r="K3000">
        <v>1.1041049999999999</v>
      </c>
      <c r="L3000">
        <v>284.7595</v>
      </c>
      <c r="M3000">
        <v>-0.99977669999999996</v>
      </c>
      <c r="N3000">
        <v>0</v>
      </c>
      <c r="O3000">
        <v>1.5745459999999999E-2</v>
      </c>
      <c r="P3000">
        <v>-0.99901289999999998</v>
      </c>
      <c r="Q3000">
        <v>3.3174809999999999E-2</v>
      </c>
      <c r="R3000">
        <v>-2.9546240000000001E-2</v>
      </c>
      <c r="S3000">
        <v>-3.010132</v>
      </c>
      <c r="T3000">
        <v>-0.23228689999999999</v>
      </c>
      <c r="U3000">
        <v>-1.586914E-2</v>
      </c>
      <c r="V3000">
        <v>-4.517028E-2</v>
      </c>
      <c r="W3000">
        <v>4.734493E-2</v>
      </c>
      <c r="X3000">
        <v>0.99785669999999904</v>
      </c>
      <c r="Y3000">
        <v>-2.0909009999999999E-2</v>
      </c>
      <c r="Z3000">
        <v>-2.0188889999999998E-3</v>
      </c>
      <c r="AA3000">
        <v>0.99977929999999904</v>
      </c>
      <c r="AB3000">
        <v>28</v>
      </c>
      <c r="AC3000">
        <v>-14.1084999999999</v>
      </c>
      <c r="AD3000">
        <v>-1.104098655726</v>
      </c>
      <c r="AE3000">
        <v>-7.9299999999989199E-2</v>
      </c>
      <c r="AF3000">
        <v>-0.29962214761261502</v>
      </c>
      <c r="AG3000">
        <v>-1.104098655726</v>
      </c>
      <c r="AH3000">
        <v>14.0196445923544</v>
      </c>
      <c r="AI3000">
        <v>94.501935937112606</v>
      </c>
      <c r="AJ3000">
        <v>91.224315741366595</v>
      </c>
      <c r="AK3000">
        <v>14.0662447642876</v>
      </c>
    </row>
    <row r="3001" spans="1:37" x14ac:dyDescent="0.2">
      <c r="A3001" t="str">
        <f>"20200111155556107"</f>
        <v>20200111155556107</v>
      </c>
      <c r="B3001" t="str">
        <f>"1578729356095434"</f>
        <v>1578729356095434</v>
      </c>
      <c r="C3001" t="s">
        <v>37</v>
      </c>
      <c r="D3001">
        <v>5.0422370000000001</v>
      </c>
      <c r="E3001">
        <v>0.51360709999999998</v>
      </c>
      <c r="F3001" t="s">
        <v>56</v>
      </c>
      <c r="G3001">
        <v>-471.30360000000002</v>
      </c>
      <c r="H3001" s="1">
        <v>6.0485019999999901E-6</v>
      </c>
      <c r="I3001">
        <v>284.75920000000002</v>
      </c>
      <c r="J3001">
        <v>-456.68699999999899</v>
      </c>
      <c r="K3001">
        <v>1.1041069999999999</v>
      </c>
      <c r="L3001">
        <v>284.76310000000001</v>
      </c>
      <c r="M3001">
        <v>-0.99976469999999995</v>
      </c>
      <c r="N3001">
        <v>0</v>
      </c>
      <c r="O3001">
        <v>1.6484390000000002E-2</v>
      </c>
      <c r="P3001">
        <v>-0.9990059</v>
      </c>
      <c r="Q3001">
        <v>3.3769239999999999E-2</v>
      </c>
      <c r="R3001">
        <v>-2.910314E-2</v>
      </c>
      <c r="S3001">
        <v>-3.0104679999999999</v>
      </c>
      <c r="T3001">
        <v>-0.22472059999999999</v>
      </c>
      <c r="U3001" s="1">
        <v>-6.1035159999999999E-5</v>
      </c>
      <c r="V3001">
        <v>-4.5463509999999999E-2</v>
      </c>
      <c r="W3001">
        <v>4.793886E-2</v>
      </c>
      <c r="X3001">
        <v>0.99781509999999995</v>
      </c>
      <c r="Y3001">
        <v>-1.641476E-2</v>
      </c>
      <c r="Z3001">
        <v>-1.840672E-3</v>
      </c>
      <c r="AA3001">
        <v>0.99986359999999996</v>
      </c>
      <c r="AB3001">
        <v>28</v>
      </c>
      <c r="AC3001">
        <v>-14.6166</v>
      </c>
      <c r="AD3001">
        <v>-1.104100951498</v>
      </c>
      <c r="AE3001">
        <v>-3.8999999999873498E-3</v>
      </c>
      <c r="AF3001">
        <v>-0.24347988559310799</v>
      </c>
      <c r="AG3001">
        <v>-1.104100951498</v>
      </c>
      <c r="AH3001">
        <v>14.531633082235899</v>
      </c>
      <c r="AI3001">
        <v>94.3443284716611</v>
      </c>
      <c r="AJ3001">
        <v>90.959910323020694</v>
      </c>
      <c r="AK3001">
        <v>14.575550809575599</v>
      </c>
    </row>
    <row r="3002" spans="1:37" x14ac:dyDescent="0.2">
      <c r="A3002" t="str">
        <f>"20200111155556121"</f>
        <v>20200111155556121</v>
      </c>
      <c r="B3002" t="str">
        <f>"1578729356114954"</f>
        <v>1578729356114954</v>
      </c>
      <c r="C3002" t="s">
        <v>37</v>
      </c>
      <c r="D3002">
        <v>5.0172910000000002</v>
      </c>
      <c r="E3002">
        <v>0.51367169999999995</v>
      </c>
      <c r="F3002" t="s">
        <v>56</v>
      </c>
      <c r="G3002">
        <v>-471.76049999999998</v>
      </c>
      <c r="H3002" s="1">
        <v>5.8491359999999998E-6</v>
      </c>
      <c r="I3002">
        <v>284.79629999999997</v>
      </c>
      <c r="J3002">
        <v>-456.87049999999999</v>
      </c>
      <c r="K3002">
        <v>1.1041099999999999</v>
      </c>
      <c r="L3002">
        <v>284.76690000000002</v>
      </c>
      <c r="M3002">
        <v>-0.99975159999999996</v>
      </c>
      <c r="N3002">
        <v>0</v>
      </c>
      <c r="O3002">
        <v>1.7261780000000001E-2</v>
      </c>
      <c r="P3002">
        <v>-0.99897159999999996</v>
      </c>
      <c r="Q3002">
        <v>3.459752E-2</v>
      </c>
      <c r="R3002">
        <v>-2.930605E-2</v>
      </c>
      <c r="S3002">
        <v>-3.0106199999999999</v>
      </c>
      <c r="T3002">
        <v>-0.220521999999999</v>
      </c>
      <c r="U3002">
        <v>6.6223139999999998E-3</v>
      </c>
      <c r="V3002">
        <v>-4.6439870000000001E-2</v>
      </c>
      <c r="W3002">
        <v>4.8767119999999997E-2</v>
      </c>
      <c r="X3002">
        <v>0.99772999999999901</v>
      </c>
      <c r="Y3002">
        <v>-1.497777E-2</v>
      </c>
      <c r="Z3002">
        <v>-1.8105829999999999E-3</v>
      </c>
      <c r="AA3002">
        <v>0.99988619999999995</v>
      </c>
      <c r="AB3002">
        <v>28</v>
      </c>
      <c r="AC3002">
        <v>-14.889999999999899</v>
      </c>
      <c r="AD3002">
        <v>-1.1041041508639999</v>
      </c>
      <c r="AE3002">
        <v>2.9399999999952801E-2</v>
      </c>
      <c r="AF3002">
        <v>-0.22641294605390599</v>
      </c>
      <c r="AG3002">
        <v>-1.1041041508639999</v>
      </c>
      <c r="AH3002">
        <v>14.8068758097812</v>
      </c>
      <c r="AI3002">
        <v>94.263984997227794</v>
      </c>
      <c r="AJ3002">
        <v>90.876045391433806</v>
      </c>
      <c r="AK3002">
        <v>14.8497097629678</v>
      </c>
    </row>
    <row r="3003" spans="1:37" x14ac:dyDescent="0.2">
      <c r="A3003" t="str">
        <f>"20200111155556144"</f>
        <v>20200111155556144</v>
      </c>
      <c r="B3003" t="str">
        <f>"1578729356135450"</f>
        <v>1578729356135450</v>
      </c>
      <c r="C3003" t="s">
        <v>37</v>
      </c>
      <c r="D3003">
        <v>5.1188510000000003</v>
      </c>
      <c r="E3003">
        <v>0.51405529999999999</v>
      </c>
      <c r="F3003" t="s">
        <v>56</v>
      </c>
      <c r="G3003">
        <v>-471.8716</v>
      </c>
      <c r="H3003" s="1">
        <v>5.8001769999999902E-6</v>
      </c>
      <c r="I3003">
        <v>284.8</v>
      </c>
      <c r="J3003">
        <v>-457.14519999999999</v>
      </c>
      <c r="K3003">
        <v>1.10412</v>
      </c>
      <c r="L3003">
        <v>284.77289999999999</v>
      </c>
      <c r="M3003">
        <v>-0.99973109999999998</v>
      </c>
      <c r="N3003">
        <v>0</v>
      </c>
      <c r="O3003">
        <v>1.8422930000000001E-2</v>
      </c>
      <c r="P3003">
        <v>-0.99897800000000003</v>
      </c>
      <c r="Q3003">
        <v>3.4671359999999998E-2</v>
      </c>
      <c r="R3003">
        <v>-2.9004470000000001E-2</v>
      </c>
      <c r="S3003">
        <v>-3.0109560000000002</v>
      </c>
      <c r="T3003">
        <v>-0.22161069999999999</v>
      </c>
      <c r="U3003">
        <v>6.6528319999999896E-3</v>
      </c>
      <c r="V3003">
        <v>-4.7297930000000002E-2</v>
      </c>
      <c r="W3003">
        <v>4.8839979999999998E-2</v>
      </c>
      <c r="X3003">
        <v>0.99768609999999902</v>
      </c>
      <c r="Y3003">
        <v>-1.6122109999999999E-2</v>
      </c>
      <c r="Z3003">
        <v>-1.9466939999999999E-3</v>
      </c>
      <c r="AA3003">
        <v>0.99986819999999899</v>
      </c>
      <c r="AB3003">
        <v>28</v>
      </c>
      <c r="AC3003">
        <v>-14.7264</v>
      </c>
      <c r="AD3003">
        <v>-1.104114199823</v>
      </c>
      <c r="AE3003">
        <v>2.7100000000018502E-2</v>
      </c>
      <c r="AF3003">
        <v>-0.24286971076217001</v>
      </c>
      <c r="AG3003">
        <v>-1.104114199823</v>
      </c>
      <c r="AH3003">
        <v>14.642092555877101</v>
      </c>
      <c r="AI3003">
        <v>94.311742629804897</v>
      </c>
      <c r="AJ3003">
        <v>90.950283121508704</v>
      </c>
      <c r="AK3003">
        <v>14.6856708487398</v>
      </c>
    </row>
    <row r="3004" spans="1:37" x14ac:dyDescent="0.2">
      <c r="A3004" t="str">
        <f>"20200111155556166"</f>
        <v>20200111155556166</v>
      </c>
      <c r="B3004" t="str">
        <f>"1578729356154971"</f>
        <v>1578729356154971</v>
      </c>
      <c r="C3004" t="s">
        <v>37</v>
      </c>
      <c r="D3004">
        <v>5.0809430000000004</v>
      </c>
      <c r="E3004">
        <v>0.51451239999999998</v>
      </c>
      <c r="F3004" t="s">
        <v>56</v>
      </c>
      <c r="G3004">
        <v>-472.41980000000001</v>
      </c>
      <c r="H3004" s="1">
        <v>5.5597159999999999E-6</v>
      </c>
      <c r="I3004">
        <v>284.83</v>
      </c>
      <c r="J3004">
        <v>-457.423</v>
      </c>
      <c r="K3004">
        <v>1.1041259999999999</v>
      </c>
      <c r="L3004">
        <v>284.77940000000001</v>
      </c>
      <c r="M3004">
        <v>-0.99970890000000001</v>
      </c>
      <c r="N3004">
        <v>0</v>
      </c>
      <c r="O3004">
        <v>1.9591250000000001E-2</v>
      </c>
      <c r="P3004">
        <v>-0.99898639999999905</v>
      </c>
      <c r="Q3004">
        <v>3.4757339999999998E-2</v>
      </c>
      <c r="R3004">
        <v>-2.8606030000000001E-2</v>
      </c>
      <c r="S3004">
        <v>-3.0109249999999999</v>
      </c>
      <c r="T3004">
        <v>-0.21764229999999901</v>
      </c>
      <c r="U3004">
        <v>1.126099E-2</v>
      </c>
      <c r="V3004">
        <v>-4.8067470000000001E-2</v>
      </c>
      <c r="W3004">
        <v>4.8924769999999999E-2</v>
      </c>
      <c r="X3004">
        <v>0.99764519999999901</v>
      </c>
      <c r="Y3004">
        <v>-1.5761520000000001E-2</v>
      </c>
      <c r="Z3004">
        <v>-1.983257E-3</v>
      </c>
      <c r="AA3004">
        <v>0.99987380000000003</v>
      </c>
      <c r="AB3004">
        <v>28</v>
      </c>
      <c r="AC3004">
        <v>-14.9968</v>
      </c>
      <c r="AD3004">
        <v>-1.1041204402839999</v>
      </c>
      <c r="AE3004">
        <v>5.0599999999974402E-2</v>
      </c>
      <c r="AF3004">
        <v>-0.24193353160460199</v>
      </c>
      <c r="AG3004">
        <v>-1.1041204402839999</v>
      </c>
      <c r="AH3004">
        <v>14.914072424276901</v>
      </c>
      <c r="AI3004">
        <v>94.233449324728298</v>
      </c>
      <c r="AJ3004">
        <v>90.929360819999999</v>
      </c>
      <c r="AK3004">
        <v>14.956843586029301</v>
      </c>
    </row>
    <row r="3005" spans="1:37" x14ac:dyDescent="0.2">
      <c r="A3005" t="str">
        <f>"20200111155556183"</f>
        <v>20200111155556183</v>
      </c>
      <c r="B3005" t="str">
        <f>"1578729356175467"</f>
        <v>1578729356175467</v>
      </c>
      <c r="C3005" t="s">
        <v>37</v>
      </c>
      <c r="D3005">
        <v>5.040095</v>
      </c>
      <c r="E3005">
        <v>0.51489169999999995</v>
      </c>
      <c r="F3005" t="s">
        <v>56</v>
      </c>
      <c r="G3005">
        <v>-472.84449999999998</v>
      </c>
      <c r="H3005" s="1">
        <v>5.3743409999999899E-6</v>
      </c>
      <c r="I3005">
        <v>284.8639</v>
      </c>
      <c r="J3005">
        <v>-457.635999999999</v>
      </c>
      <c r="K3005">
        <v>1.104133</v>
      </c>
      <c r="L3005">
        <v>284.78449999999998</v>
      </c>
      <c r="M3005">
        <v>-0.999691</v>
      </c>
      <c r="N3005">
        <v>0</v>
      </c>
      <c r="O3005">
        <v>2.0477800000000001E-2</v>
      </c>
      <c r="P3005">
        <v>-0.99900270000000002</v>
      </c>
      <c r="Q3005">
        <v>3.4739920000000001E-2</v>
      </c>
      <c r="R3005">
        <v>-2.804533E-2</v>
      </c>
      <c r="S3005">
        <v>-3.0110169999999998</v>
      </c>
      <c r="T3005">
        <v>-0.21557779999999899</v>
      </c>
      <c r="U3005">
        <v>1.6510009999999999E-2</v>
      </c>
      <c r="V3005">
        <v>-4.839243E-2</v>
      </c>
      <c r="W3005">
        <v>4.8904759999999999E-2</v>
      </c>
      <c r="X3005">
        <v>0.99763040000000003</v>
      </c>
      <c r="Y3005">
        <v>-1.490699E-2</v>
      </c>
      <c r="Z3005">
        <v>-1.9972549999999999E-3</v>
      </c>
      <c r="AA3005">
        <v>0.99988690000000002</v>
      </c>
      <c r="AB3005">
        <v>28</v>
      </c>
      <c r="AC3005">
        <v>-15.208500000000001</v>
      </c>
      <c r="AD3005">
        <v>-1.104127625659</v>
      </c>
      <c r="AE3005">
        <v>7.9400000000020995E-2</v>
      </c>
      <c r="AF3005">
        <v>-0.23086740621185101</v>
      </c>
      <c r="AG3005">
        <v>-1.104127625659</v>
      </c>
      <c r="AH3005">
        <v>15.127208021022501</v>
      </c>
      <c r="AI3005">
        <v>94.1741041440755</v>
      </c>
      <c r="AJ3005">
        <v>90.874364993542898</v>
      </c>
      <c r="AK3005">
        <v>15.1692063102946</v>
      </c>
    </row>
    <row r="3006" spans="1:37" x14ac:dyDescent="0.2">
      <c r="A3006" t="str">
        <f>"20200111155556198"</f>
        <v>20200111155556198</v>
      </c>
      <c r="B3006" t="str">
        <f>"1578729356194986"</f>
        <v>1578729356194986</v>
      </c>
      <c r="C3006" t="s">
        <v>37</v>
      </c>
      <c r="D3006">
        <v>5.0004229999999996</v>
      </c>
      <c r="E3006">
        <v>0.51505559999999995</v>
      </c>
      <c r="F3006" t="s">
        <v>56</v>
      </c>
      <c r="G3006">
        <v>-473.16399999999999</v>
      </c>
      <c r="H3006" s="1">
        <v>5.2353060000000003E-6</v>
      </c>
      <c r="I3006">
        <v>284.89400000000001</v>
      </c>
      <c r="J3006">
        <v>-457.83240000000001</v>
      </c>
      <c r="K3006">
        <v>1.104147</v>
      </c>
      <c r="L3006">
        <v>284.7894</v>
      </c>
      <c r="M3006">
        <v>-0.99967430000000002</v>
      </c>
      <c r="N3006">
        <v>0</v>
      </c>
      <c r="O3006">
        <v>2.1283E-2</v>
      </c>
      <c r="P3006">
        <v>-0.99899269999999996</v>
      </c>
      <c r="Q3006">
        <v>3.5082629999999997E-2</v>
      </c>
      <c r="R3006">
        <v>-2.7977640000000002E-2</v>
      </c>
      <c r="S3006">
        <v>-3.011047</v>
      </c>
      <c r="T3006">
        <v>-0.214103499999999</v>
      </c>
      <c r="U3006">
        <v>2.1240229999999999E-2</v>
      </c>
      <c r="V3006">
        <v>-4.9129399999999997E-2</v>
      </c>
      <c r="W3006">
        <v>4.924576E-2</v>
      </c>
      <c r="X3006">
        <v>0.99757770000000001</v>
      </c>
      <c r="Y3006">
        <v>-1.414282E-2</v>
      </c>
      <c r="Z3006">
        <v>-2.0136379999999999E-3</v>
      </c>
      <c r="AA3006">
        <v>0.99989799999999995</v>
      </c>
      <c r="AB3006">
        <v>28</v>
      </c>
      <c r="AC3006">
        <v>-15.3315999999999</v>
      </c>
      <c r="AD3006">
        <v>-1.1041417646939999</v>
      </c>
      <c r="AE3006">
        <v>0.104600000000004</v>
      </c>
      <c r="AF3006">
        <v>-0.22061433866424701</v>
      </c>
      <c r="AG3006">
        <v>-1.1041417646939999</v>
      </c>
      <c r="AH3006">
        <v>15.251255974844099</v>
      </c>
      <c r="AI3006">
        <v>94.140373767073399</v>
      </c>
      <c r="AJ3006">
        <v>90.828744137328101</v>
      </c>
      <c r="AK3006">
        <v>15.2927632732997</v>
      </c>
    </row>
    <row r="3007" spans="1:37" x14ac:dyDescent="0.2">
      <c r="A3007" t="str">
        <f>"20200111155556211"</f>
        <v>20200111155556211</v>
      </c>
      <c r="B3007" t="str">
        <f>"1578729356204747"</f>
        <v>1578729356204747</v>
      </c>
      <c r="C3007" t="s">
        <v>37</v>
      </c>
      <c r="D3007">
        <v>5.0319519999999898</v>
      </c>
      <c r="E3007">
        <v>0.51516850000000003</v>
      </c>
      <c r="F3007" t="s">
        <v>56</v>
      </c>
      <c r="G3007">
        <v>-473.37729999999999</v>
      </c>
      <c r="H3007" s="1">
        <v>5.1416659999999997E-6</v>
      </c>
      <c r="I3007">
        <v>284.90530000000001</v>
      </c>
      <c r="J3007">
        <v>-457.99180000000001</v>
      </c>
      <c r="K3007">
        <v>1.1041639999999999</v>
      </c>
      <c r="L3007">
        <v>284.79349999999999</v>
      </c>
      <c r="M3007">
        <v>-0.99966060000000001</v>
      </c>
      <c r="N3007">
        <v>0</v>
      </c>
      <c r="O3007">
        <v>2.191481E-2</v>
      </c>
      <c r="P3007">
        <v>-0.99895290000000003</v>
      </c>
      <c r="Q3007">
        <v>3.6163859999999999E-2</v>
      </c>
      <c r="R3007">
        <v>-2.8022120000000001E-2</v>
      </c>
      <c r="S3007">
        <v>-3.0112000000000001</v>
      </c>
      <c r="T3007">
        <v>-0.21388289999999899</v>
      </c>
      <c r="U3007">
        <v>2.2460939999999999E-2</v>
      </c>
      <c r="V3007">
        <v>-4.9803609999999998E-2</v>
      </c>
      <c r="W3007">
        <v>5.0324460000000001E-2</v>
      </c>
      <c r="X3007">
        <v>0.99749030000000005</v>
      </c>
      <c r="Y3007">
        <v>-1.436784E-2</v>
      </c>
      <c r="Z3007">
        <v>-2.0642579999999998E-3</v>
      </c>
      <c r="AA3007">
        <v>0.99989459999999997</v>
      </c>
      <c r="AB3007">
        <v>28</v>
      </c>
      <c r="AC3007">
        <v>-15.385499999999899</v>
      </c>
      <c r="AD3007">
        <v>-1.1041588583339901</v>
      </c>
      <c r="AE3007">
        <v>0.111800000000016</v>
      </c>
      <c r="AF3007">
        <v>-0.22427557582351801</v>
      </c>
      <c r="AG3007">
        <v>-1.1041588583339901</v>
      </c>
      <c r="AH3007">
        <v>15.3054298997617</v>
      </c>
      <c r="AI3007">
        <v>94.125821913604</v>
      </c>
      <c r="AJ3007">
        <v>90.839514108643598</v>
      </c>
      <c r="AK3007">
        <v>15.3468449765698</v>
      </c>
    </row>
    <row r="3008" spans="1:37" x14ac:dyDescent="0.2">
      <c r="A3008" t="str">
        <f>"20200111155556233"</f>
        <v>20200111155556233</v>
      </c>
      <c r="B3008" t="str">
        <f>"1578729356225242"</f>
        <v>1578729356225242</v>
      </c>
      <c r="C3008" t="s">
        <v>37</v>
      </c>
      <c r="D3008">
        <v>5.0673349999999999</v>
      </c>
      <c r="E3008">
        <v>0.5154128</v>
      </c>
      <c r="F3008" t="s">
        <v>56</v>
      </c>
      <c r="G3008">
        <v>-473.760999999999</v>
      </c>
      <c r="H3008" s="1">
        <v>4.972092E-6</v>
      </c>
      <c r="I3008">
        <v>284.91210000000001</v>
      </c>
      <c r="J3008">
        <v>-458.25060000000002</v>
      </c>
      <c r="K3008">
        <v>1.1042099999999999</v>
      </c>
      <c r="L3008">
        <v>284.80029999999999</v>
      </c>
      <c r="M3008">
        <v>-0.99963849999999999</v>
      </c>
      <c r="N3008">
        <v>0</v>
      </c>
      <c r="O3008">
        <v>2.2906220000000001E-2</v>
      </c>
      <c r="P3008">
        <v>-0.99890599999999996</v>
      </c>
      <c r="Q3008">
        <v>3.7691959999999997E-2</v>
      </c>
      <c r="R3008">
        <v>-2.768402E-2</v>
      </c>
      <c r="S3008">
        <v>-3.0113829999999999</v>
      </c>
      <c r="T3008">
        <v>-0.210856399999999</v>
      </c>
      <c r="U3008">
        <v>2.2644040000000001E-2</v>
      </c>
      <c r="V3008">
        <v>-5.0455099999999899E-2</v>
      </c>
      <c r="W3008">
        <v>5.1845009999999997E-2</v>
      </c>
      <c r="X3008">
        <v>0.99737980000000004</v>
      </c>
      <c r="Y3008">
        <v>-1.529702E-2</v>
      </c>
      <c r="Z3008">
        <v>-2.136808E-3</v>
      </c>
      <c r="AA3008">
        <v>0.99988069999999896</v>
      </c>
      <c r="AB3008">
        <v>28</v>
      </c>
      <c r="AC3008">
        <v>-15.510399999999899</v>
      </c>
      <c r="AD3008">
        <v>-1.104205027908</v>
      </c>
      <c r="AE3008">
        <v>0.111800000000016</v>
      </c>
      <c r="AF3008">
        <v>-0.242321116959898</v>
      </c>
      <c r="AG3008">
        <v>-1.104205027908</v>
      </c>
      <c r="AH3008">
        <v>15.430689013545299</v>
      </c>
      <c r="AI3008">
        <v>94.092550199610699</v>
      </c>
      <c r="AJ3008">
        <v>90.8996899706151</v>
      </c>
      <c r="AK3008">
        <v>15.472044199139599</v>
      </c>
    </row>
    <row r="3009" spans="1:37" x14ac:dyDescent="0.2">
      <c r="A3009" t="str">
        <f>"20200111155556255"</f>
        <v>20200111155556255</v>
      </c>
      <c r="B3009" t="str">
        <f>"1578729356244762"</f>
        <v>1578729356244762</v>
      </c>
      <c r="C3009" t="s">
        <v>37</v>
      </c>
      <c r="D3009">
        <v>5.0390790000000001</v>
      </c>
      <c r="E3009">
        <v>0.51543679999999903</v>
      </c>
      <c r="F3009" t="s">
        <v>56</v>
      </c>
      <c r="G3009">
        <v>-474.18450000000001</v>
      </c>
      <c r="H3009" s="1">
        <v>4.7861980000000004E-6</v>
      </c>
      <c r="I3009">
        <v>284.93380000000002</v>
      </c>
      <c r="J3009">
        <v>-458.53089999999997</v>
      </c>
      <c r="K3009">
        <v>1.104282</v>
      </c>
      <c r="L3009">
        <v>284.80779999999999</v>
      </c>
      <c r="M3009">
        <v>-0.99961549999999999</v>
      </c>
      <c r="N3009">
        <v>0</v>
      </c>
      <c r="O3009">
        <v>2.389285E-2</v>
      </c>
      <c r="P3009">
        <v>-0.99887590000000004</v>
      </c>
      <c r="Q3009">
        <v>3.893485E-2</v>
      </c>
      <c r="R3009">
        <v>-2.704492E-2</v>
      </c>
      <c r="S3009">
        <v>-3.0119020000000001</v>
      </c>
      <c r="T3009">
        <v>-0.20872209999999999</v>
      </c>
      <c r="U3009">
        <v>2.523804E-2</v>
      </c>
      <c r="V3009">
        <v>-5.0806120000000003E-2</v>
      </c>
      <c r="W3009">
        <v>5.3076890000000002E-2</v>
      </c>
      <c r="X3009">
        <v>0.99729719999999999</v>
      </c>
      <c r="Y3009">
        <v>-1.5423350000000001E-2</v>
      </c>
      <c r="Z3009">
        <v>-2.1875079999999999E-3</v>
      </c>
      <c r="AA3009">
        <v>0.99987859999999995</v>
      </c>
      <c r="AB3009">
        <v>28</v>
      </c>
      <c r="AC3009">
        <v>-15.653600000000001</v>
      </c>
      <c r="AD3009">
        <v>-1.1042772138020001</v>
      </c>
      <c r="AE3009">
        <v>0.126000000000033</v>
      </c>
      <c r="AF3009">
        <v>-0.24685372452948101</v>
      </c>
      <c r="AG3009">
        <v>-1.1042772138020001</v>
      </c>
      <c r="AH3009">
        <v>15.5746383669251</v>
      </c>
      <c r="AI3009">
        <v>94.055106259326394</v>
      </c>
      <c r="AJ3009">
        <v>90.908046277278601</v>
      </c>
      <c r="AK3009">
        <v>15.6156884314055</v>
      </c>
    </row>
    <row r="3010" spans="1:37" x14ac:dyDescent="0.2">
      <c r="A3010" t="str">
        <f>"20200111155556277"</f>
        <v>20200111155556277</v>
      </c>
      <c r="B3010" t="str">
        <f>"1578729356275018"</f>
        <v>1578729356275018</v>
      </c>
      <c r="C3010" t="s">
        <v>37</v>
      </c>
      <c r="D3010">
        <v>4.9917809999999996</v>
      </c>
      <c r="E3010">
        <v>0.51516139999999999</v>
      </c>
      <c r="F3010" t="s">
        <v>56</v>
      </c>
      <c r="G3010">
        <v>-475.03989999999999</v>
      </c>
      <c r="H3010" s="1">
        <v>4.4089069999999901E-6</v>
      </c>
      <c r="I3010">
        <v>284.95670000000001</v>
      </c>
      <c r="J3010">
        <v>-458.80489999999998</v>
      </c>
      <c r="K3010">
        <v>1.104385</v>
      </c>
      <c r="L3010">
        <v>284.81540000000001</v>
      </c>
      <c r="M3010">
        <v>-0.99959529999999996</v>
      </c>
      <c r="N3010">
        <v>0</v>
      </c>
      <c r="O3010">
        <v>2.472974E-2</v>
      </c>
      <c r="P3010">
        <v>-0.9988378</v>
      </c>
      <c r="Q3010">
        <v>4.0004579999999998E-2</v>
      </c>
      <c r="R3010">
        <v>-2.6890049999999999E-2</v>
      </c>
      <c r="S3010">
        <v>-3.0119929999999999</v>
      </c>
      <c r="T3010">
        <v>-0.20147100000000001</v>
      </c>
      <c r="U3010">
        <v>2.716064E-2</v>
      </c>
      <c r="V3010">
        <v>-5.1496060000000003E-2</v>
      </c>
      <c r="W3010">
        <v>5.4131560000000002E-2</v>
      </c>
      <c r="X3010">
        <v>0.99720509999999996</v>
      </c>
      <c r="Y3010">
        <v>-1.5626649999999999E-2</v>
      </c>
      <c r="Z3010">
        <v>-2.17431E-3</v>
      </c>
      <c r="AA3010">
        <v>0.99987549999999903</v>
      </c>
      <c r="AB3010">
        <v>28</v>
      </c>
      <c r="AC3010">
        <v>-16.234999999999999</v>
      </c>
      <c r="AD3010">
        <v>-1.104380591093</v>
      </c>
      <c r="AE3010">
        <v>0.14130000000000101</v>
      </c>
      <c r="AF3010">
        <v>-0.25907151348529101</v>
      </c>
      <c r="AG3010">
        <v>-1.104380591093</v>
      </c>
      <c r="AH3010">
        <v>16.158761892157798</v>
      </c>
      <c r="AI3010">
        <v>93.909334469424394</v>
      </c>
      <c r="AJ3010">
        <v>90.918537740430196</v>
      </c>
      <c r="AK3010">
        <v>16.198529576061301</v>
      </c>
    </row>
    <row r="3011" spans="1:37" x14ac:dyDescent="0.2">
      <c r="A3011" t="str">
        <f>"20200111155556300"</f>
        <v>20200111155556300</v>
      </c>
      <c r="B3011" t="str">
        <f>"1578729356295514"</f>
        <v>1578729356295514</v>
      </c>
      <c r="C3011" t="s">
        <v>37</v>
      </c>
      <c r="D3011">
        <v>4.9841530000000001</v>
      </c>
      <c r="E3011">
        <v>0.51487709999999998</v>
      </c>
      <c r="F3011" t="s">
        <v>56</v>
      </c>
      <c r="G3011">
        <v>-475.23939999999999</v>
      </c>
      <c r="H3011" s="1">
        <v>4.3201579999999998E-6</v>
      </c>
      <c r="I3011">
        <v>284.95409999999998</v>
      </c>
      <c r="J3011">
        <v>-459.07889999999998</v>
      </c>
      <c r="K3011">
        <v>1.104517</v>
      </c>
      <c r="L3011">
        <v>284.82299999999998</v>
      </c>
      <c r="M3011">
        <v>-0.99957859999999998</v>
      </c>
      <c r="N3011">
        <v>0</v>
      </c>
      <c r="O3011">
        <v>2.5389330000000002E-2</v>
      </c>
      <c r="P3011">
        <v>-0.99874889999999905</v>
      </c>
      <c r="Q3011">
        <v>4.159968E-2</v>
      </c>
      <c r="R3011">
        <v>-2.7754839999999999E-2</v>
      </c>
      <c r="S3011">
        <v>-3.0122680000000002</v>
      </c>
      <c r="T3011">
        <v>-0.20242079999999901</v>
      </c>
      <c r="U3011">
        <v>2.5421139999999998E-2</v>
      </c>
      <c r="V3011">
        <v>-5.3030609999999999E-2</v>
      </c>
      <c r="W3011">
        <v>5.5707520000000003E-2</v>
      </c>
      <c r="X3011">
        <v>0.99703779999999997</v>
      </c>
      <c r="Y3011">
        <v>-1.6859490000000001E-2</v>
      </c>
      <c r="Z3011">
        <v>-2.2699869999999998E-3</v>
      </c>
      <c r="AA3011">
        <v>0.9998553</v>
      </c>
      <c r="AB3011">
        <v>28</v>
      </c>
      <c r="AC3011">
        <v>-16.160499999999999</v>
      </c>
      <c r="AD3011">
        <v>-1.104512679842</v>
      </c>
      <c r="AE3011">
        <v>0.13110000000000299</v>
      </c>
      <c r="AF3011">
        <v>-0.27798869899773998</v>
      </c>
      <c r="AG3011">
        <v>-1.104512679842</v>
      </c>
      <c r="AH3011">
        <v>16.083493471585601</v>
      </c>
      <c r="AI3011">
        <v>93.927959153470894</v>
      </c>
      <c r="AJ3011">
        <v>90.990207348201693</v>
      </c>
      <c r="AK3011">
        <v>16.123770905940098</v>
      </c>
    </row>
    <row r="3012" spans="1:37" x14ac:dyDescent="0.2">
      <c r="A3012" t="str">
        <f>"20200111155556321"</f>
        <v>20200111155556321</v>
      </c>
      <c r="B3012" t="str">
        <f>"1578729356315034"</f>
        <v>1578729356315034</v>
      </c>
      <c r="C3012" t="s">
        <v>37</v>
      </c>
      <c r="D3012">
        <v>4.9498049999999996</v>
      </c>
      <c r="E3012">
        <v>0.51491100000000001</v>
      </c>
      <c r="F3012" t="s">
        <v>56</v>
      </c>
      <c r="G3012">
        <v>-476.41469999999998</v>
      </c>
      <c r="H3012" s="1">
        <v>3.7980939999999999E-6</v>
      </c>
      <c r="I3012">
        <v>284.94400000000002</v>
      </c>
      <c r="J3012">
        <v>-459.35180000000003</v>
      </c>
      <c r="K3012">
        <v>1.1046769999999999</v>
      </c>
      <c r="L3012">
        <v>284.83049999999997</v>
      </c>
      <c r="M3012">
        <v>-0.99956699999999998</v>
      </c>
      <c r="N3012">
        <v>0</v>
      </c>
      <c r="O3012">
        <v>2.584564E-2</v>
      </c>
      <c r="P3012">
        <v>-0.99861650000000002</v>
      </c>
      <c r="Q3012">
        <v>4.3136399999999998E-2</v>
      </c>
      <c r="R3012">
        <v>-3.0072080000000001E-2</v>
      </c>
      <c r="S3012">
        <v>-3.0123289999999998</v>
      </c>
      <c r="T3012">
        <v>-0.19192429999999999</v>
      </c>
      <c r="U3012">
        <v>2.1026610000000001E-2</v>
      </c>
      <c r="V3012">
        <v>-5.5817289999999999E-2</v>
      </c>
      <c r="W3012">
        <v>5.7221439999999998E-2</v>
      </c>
      <c r="X3012">
        <v>0.99679989999999996</v>
      </c>
      <c r="Y3012">
        <v>-1.8779420000000002E-2</v>
      </c>
      <c r="Z3012">
        <v>-2.2426350000000002E-3</v>
      </c>
      <c r="AA3012">
        <v>0.99982109999999902</v>
      </c>
      <c r="AB3012">
        <v>28</v>
      </c>
      <c r="AC3012">
        <v>-17.0628999999999</v>
      </c>
      <c r="AD3012">
        <v>-1.1046732019059999</v>
      </c>
      <c r="AE3012">
        <v>0.113500000000044</v>
      </c>
      <c r="AF3012">
        <v>-0.32621586872427</v>
      </c>
      <c r="AG3012">
        <v>-1.1046732019059999</v>
      </c>
      <c r="AH3012">
        <v>16.988927999021598</v>
      </c>
      <c r="AI3012">
        <v>93.719629672213301</v>
      </c>
      <c r="AJ3012">
        <v>91.100039735994997</v>
      </c>
      <c r="AK3012">
        <v>17.027929828137001</v>
      </c>
    </row>
    <row r="3013" spans="1:37" x14ac:dyDescent="0.2">
      <c r="A3013" t="str">
        <f>"20200111155556344"</f>
        <v>20200111155556344</v>
      </c>
      <c r="B3013" t="str">
        <f>"1578729356335530"</f>
        <v>1578729356335530</v>
      </c>
      <c r="C3013" t="s">
        <v>37</v>
      </c>
      <c r="D3013">
        <v>4.9896760000000002</v>
      </c>
      <c r="E3013">
        <v>0.51473849999999999</v>
      </c>
      <c r="F3013" t="s">
        <v>56</v>
      </c>
      <c r="G3013">
        <v>-476.98950000000002</v>
      </c>
      <c r="H3013" s="1">
        <v>3.5408059999999998E-6</v>
      </c>
      <c r="I3013">
        <v>284.91669999999999</v>
      </c>
      <c r="J3013">
        <v>-459.6259</v>
      </c>
      <c r="K3013">
        <v>1.1048279999999999</v>
      </c>
      <c r="L3013">
        <v>284.837999999999</v>
      </c>
      <c r="M3013">
        <v>-0.99955949999999905</v>
      </c>
      <c r="N3013">
        <v>0</v>
      </c>
      <c r="O3013">
        <v>2.6133719999999999E-2</v>
      </c>
      <c r="P3013">
        <v>-0.99846819999999903</v>
      </c>
      <c r="Q3013">
        <v>4.4520270000000001E-2</v>
      </c>
      <c r="R3013">
        <v>-3.2855500000000003E-2</v>
      </c>
      <c r="S3013">
        <v>-3.0128169999999899</v>
      </c>
      <c r="T3013">
        <v>-0.18869649999999999</v>
      </c>
      <c r="U3013">
        <v>1.4709470000000001E-2</v>
      </c>
      <c r="V3013">
        <v>-5.8901889999999998E-2</v>
      </c>
      <c r="W3013">
        <v>5.8581950000000001E-2</v>
      </c>
      <c r="X3013">
        <v>0.99654339999999997</v>
      </c>
      <c r="Y3013">
        <v>-2.1162759999999999E-2</v>
      </c>
      <c r="Z3013">
        <v>-2.2972439999999999E-3</v>
      </c>
      <c r="AA3013">
        <v>0.99977340000000003</v>
      </c>
      <c r="AB3013">
        <v>27</v>
      </c>
      <c r="AC3013">
        <v>-17.363600000000002</v>
      </c>
      <c r="AD3013">
        <v>-1.104824459194</v>
      </c>
      <c r="AE3013">
        <v>7.8700000000026193E-2</v>
      </c>
      <c r="AF3013">
        <v>-0.37363456504159098</v>
      </c>
      <c r="AG3013">
        <v>-1.104824459194</v>
      </c>
      <c r="AH3013">
        <v>17.289727223065199</v>
      </c>
      <c r="AI3013">
        <v>93.655414147224306</v>
      </c>
      <c r="AJ3013">
        <v>91.237980903024393</v>
      </c>
      <c r="AK3013">
        <v>17.329019225617699</v>
      </c>
    </row>
    <row r="3014" spans="1:37" x14ac:dyDescent="0.2">
      <c r="A3014" t="str">
        <f>"20200111155556366"</f>
        <v>20200111155556366</v>
      </c>
      <c r="B3014" t="str">
        <f>"1578729356355050"</f>
        <v>1578729356355050</v>
      </c>
      <c r="C3014" t="s">
        <v>37</v>
      </c>
      <c r="D3014">
        <v>5.1542289999999999</v>
      </c>
      <c r="E3014">
        <v>0.51464319999999997</v>
      </c>
      <c r="F3014" t="s">
        <v>56</v>
      </c>
      <c r="G3014">
        <v>-477.46730000000002</v>
      </c>
      <c r="H3014" s="1">
        <v>3.3248209999999999E-6</v>
      </c>
      <c r="I3014">
        <v>284.86959999999999</v>
      </c>
      <c r="J3014">
        <v>-459.90219999999999</v>
      </c>
      <c r="K3014">
        <v>1.1049629999999999</v>
      </c>
      <c r="L3014">
        <v>284.84550000000002</v>
      </c>
      <c r="M3014">
        <v>-0.99955649999999996</v>
      </c>
      <c r="N3014">
        <v>0</v>
      </c>
      <c r="O3014">
        <v>2.6254449999999999E-2</v>
      </c>
      <c r="P3014">
        <v>-0.99831139999999996</v>
      </c>
      <c r="Q3014">
        <v>4.5842559999999997E-2</v>
      </c>
      <c r="R3014">
        <v>-3.5678830000000002E-2</v>
      </c>
      <c r="S3014">
        <v>-3.0130919999999999</v>
      </c>
      <c r="T3014">
        <v>-0.1865848</v>
      </c>
      <c r="U3014">
        <v>5.3405759999999997E-3</v>
      </c>
      <c r="V3014">
        <v>-6.185823E-2</v>
      </c>
      <c r="W3014">
        <v>5.9880950000000002E-2</v>
      </c>
      <c r="X3014">
        <v>0.99628700000000003</v>
      </c>
      <c r="Y3014">
        <v>-2.4388159999999999E-2</v>
      </c>
      <c r="Z3014">
        <v>-2.3786440000000001E-3</v>
      </c>
      <c r="AA3014">
        <v>0.99969969999999997</v>
      </c>
      <c r="AB3014">
        <v>27</v>
      </c>
      <c r="AC3014">
        <v>-17.565100000000001</v>
      </c>
      <c r="AD3014">
        <v>-1.1049596751789901</v>
      </c>
      <c r="AE3014">
        <v>2.4099999999975801E-2</v>
      </c>
      <c r="AF3014">
        <v>-0.43539294890374702</v>
      </c>
      <c r="AG3014">
        <v>-1.1049596751789901</v>
      </c>
      <c r="AH3014">
        <v>17.4904630723954</v>
      </c>
      <c r="AI3014">
        <v>93.613739320845596</v>
      </c>
      <c r="AJ3014">
        <v>91.425978684373703</v>
      </c>
      <c r="AK3014">
        <v>17.530738757695101</v>
      </c>
    </row>
    <row r="3015" spans="1:37" x14ac:dyDescent="0.2">
      <c r="A3015" t="str">
        <f>"20200111155556389"</f>
        <v>20200111155556389</v>
      </c>
      <c r="B3015" t="str">
        <f>"1578729356385305"</f>
        <v>1578729356385305</v>
      </c>
      <c r="C3015" t="s">
        <v>37</v>
      </c>
      <c r="D3015">
        <v>5.0224679999999999</v>
      </c>
      <c r="E3015">
        <v>0.5145113</v>
      </c>
      <c r="F3015" t="s">
        <v>56</v>
      </c>
      <c r="G3015">
        <v>-478.02719999999999</v>
      </c>
      <c r="H3015" s="1">
        <v>3.0725549999999998E-6</v>
      </c>
      <c r="I3015">
        <v>284.82429999999999</v>
      </c>
      <c r="J3015">
        <v>-460.17860000000002</v>
      </c>
      <c r="K3015">
        <v>1.1050899999999999</v>
      </c>
      <c r="L3015">
        <v>284.8528</v>
      </c>
      <c r="M3015">
        <v>-0.99955830000000001</v>
      </c>
      <c r="N3015">
        <v>0</v>
      </c>
      <c r="O3015">
        <v>2.61862E-2</v>
      </c>
      <c r="P3015">
        <v>-0.99814530000000001</v>
      </c>
      <c r="Q3015">
        <v>4.6799159999999999E-2</v>
      </c>
      <c r="R3015">
        <v>-3.8939979999999999E-2</v>
      </c>
      <c r="S3015">
        <v>-3.0133969999999999</v>
      </c>
      <c r="T3015">
        <v>-0.18370649999999999</v>
      </c>
      <c r="U3015">
        <v>-3.5095209999999998E-3</v>
      </c>
      <c r="V3015">
        <v>-6.5063780000000002E-2</v>
      </c>
      <c r="W3015">
        <v>6.0812430000000001E-2</v>
      </c>
      <c r="X3015">
        <v>0.99602639999999998</v>
      </c>
      <c r="Y3015">
        <v>-2.7253800000000002E-2</v>
      </c>
      <c r="Z3015">
        <v>-2.4249110000000001E-3</v>
      </c>
      <c r="AA3015">
        <v>0.999625599999999</v>
      </c>
      <c r="AB3015">
        <v>27</v>
      </c>
      <c r="AC3015">
        <v>-17.848599999999902</v>
      </c>
      <c r="AD3015">
        <v>-1.1050869274449999</v>
      </c>
      <c r="AE3015">
        <v>-2.8500000000008099E-2</v>
      </c>
      <c r="AF3015">
        <v>-0.49402958265309399</v>
      </c>
      <c r="AG3015">
        <v>-1.1050869274449999</v>
      </c>
      <c r="AH3015">
        <v>17.773598609340301</v>
      </c>
      <c r="AI3015">
        <v>93.556458398584695</v>
      </c>
      <c r="AJ3015">
        <v>91.592166242889903</v>
      </c>
      <c r="AK3015">
        <v>17.814771676103302</v>
      </c>
    </row>
    <row r="3016" spans="1:37" x14ac:dyDescent="0.2">
      <c r="A3016" t="str">
        <f>"20200111155556412"</f>
        <v>20200111155556412</v>
      </c>
      <c r="B3016" t="str">
        <f>"1578729356405558"</f>
        <v>1578729356405558</v>
      </c>
      <c r="C3016" t="s">
        <v>37</v>
      </c>
      <c r="D3016">
        <v>5.0103530000000003</v>
      </c>
      <c r="E3016">
        <v>0.51452799999999999</v>
      </c>
      <c r="F3016" t="s">
        <v>56</v>
      </c>
      <c r="G3016">
        <v>-478.42759999999998</v>
      </c>
      <c r="H3016" s="1">
        <v>2.88985E-6</v>
      </c>
      <c r="I3016">
        <v>284.76549999999997</v>
      </c>
      <c r="J3016">
        <v>-460.45499999999998</v>
      </c>
      <c r="K3016">
        <v>1.1052280000000001</v>
      </c>
      <c r="L3016">
        <v>284.85980000000001</v>
      </c>
      <c r="M3016">
        <v>-0.99956540000000005</v>
      </c>
      <c r="N3016">
        <v>0</v>
      </c>
      <c r="O3016">
        <v>2.591746E-2</v>
      </c>
      <c r="P3016">
        <v>-0.99805529999999998</v>
      </c>
      <c r="Q3016">
        <v>4.6351379999999998E-2</v>
      </c>
      <c r="R3016">
        <v>-4.1682829999999997E-2</v>
      </c>
      <c r="S3016">
        <v>-3.01355</v>
      </c>
      <c r="T3016">
        <v>-0.18248780000000001</v>
      </c>
      <c r="U3016">
        <v>-1.44043E-2</v>
      </c>
      <c r="V3016">
        <v>-6.7554680000000006E-2</v>
      </c>
      <c r="W3016">
        <v>6.0338370000000002E-2</v>
      </c>
      <c r="X3016">
        <v>0.99588940000000004</v>
      </c>
      <c r="Y3016">
        <v>-3.0594389999999999E-2</v>
      </c>
      <c r="Z3016">
        <v>-2.4935339999999999E-3</v>
      </c>
      <c r="AA3016">
        <v>0.9995288</v>
      </c>
      <c r="AB3016">
        <v>27</v>
      </c>
      <c r="AC3016">
        <v>-17.9726</v>
      </c>
      <c r="AD3016">
        <v>-1.1052251101499999</v>
      </c>
      <c r="AE3016">
        <v>-9.43000000000324E-2</v>
      </c>
      <c r="AF3016">
        <v>-0.558008290329297</v>
      </c>
      <c r="AG3016">
        <v>-1.1052251101499999</v>
      </c>
      <c r="AH3016">
        <v>17.896441351429299</v>
      </c>
      <c r="AI3016">
        <v>93.532197815941501</v>
      </c>
      <c r="AJ3016">
        <v>91.785895008964403</v>
      </c>
      <c r="AK3016">
        <v>17.939217063220202</v>
      </c>
    </row>
    <row r="3017" spans="1:37" x14ac:dyDescent="0.2">
      <c r="A3017" t="str">
        <f>"20200111155556434"</f>
        <v>20200111155556434</v>
      </c>
      <c r="B3017" t="str">
        <f>"1578729356425078"</f>
        <v>1578729356425078</v>
      </c>
      <c r="C3017" t="s">
        <v>37</v>
      </c>
      <c r="D3017">
        <v>5.0347479999999996</v>
      </c>
      <c r="E3017">
        <v>0.51446429999999999</v>
      </c>
      <c r="F3017" t="s">
        <v>56</v>
      </c>
      <c r="G3017">
        <v>-478.39429999999999</v>
      </c>
      <c r="H3017" s="1">
        <v>2.901282E-6</v>
      </c>
      <c r="I3017">
        <v>284.72739999999999</v>
      </c>
      <c r="J3017">
        <v>-460.72</v>
      </c>
      <c r="K3017">
        <v>1.105372</v>
      </c>
      <c r="L3017">
        <v>284.86630000000002</v>
      </c>
      <c r="M3017">
        <v>-0.99957689999999999</v>
      </c>
      <c r="N3017">
        <v>0</v>
      </c>
      <c r="O3017">
        <v>2.5464609999999999E-2</v>
      </c>
      <c r="P3017">
        <v>-0.99799640000000001</v>
      </c>
      <c r="Q3017">
        <v>4.4879879999999997E-2</v>
      </c>
      <c r="R3017">
        <v>-4.459772E-2</v>
      </c>
      <c r="S3017">
        <v>-3.01355</v>
      </c>
      <c r="T3017">
        <v>-0.1856614</v>
      </c>
      <c r="U3017">
        <v>-2.2247309999999999E-2</v>
      </c>
      <c r="V3017">
        <v>-7.0036299999999996E-2</v>
      </c>
      <c r="W3017">
        <v>5.8838050000000003E-2</v>
      </c>
      <c r="X3017">
        <v>0.99580769999999996</v>
      </c>
      <c r="Y3017">
        <v>-3.2735920000000002E-2</v>
      </c>
      <c r="Z3017">
        <v>-2.574846E-3</v>
      </c>
      <c r="AA3017">
        <v>0.99946069999999998</v>
      </c>
      <c r="AB3017">
        <v>27</v>
      </c>
      <c r="AC3017">
        <v>-17.674299999999899</v>
      </c>
      <c r="AD3017">
        <v>-1.105369098718</v>
      </c>
      <c r="AE3017">
        <v>-0.138900000000035</v>
      </c>
      <c r="AF3017">
        <v>-0.58667400919054002</v>
      </c>
      <c r="AG3017">
        <v>-1.105369098718</v>
      </c>
      <c r="AH3017">
        <v>17.596208898282502</v>
      </c>
      <c r="AI3017">
        <v>93.592526093665597</v>
      </c>
      <c r="AJ3017">
        <v>91.9095873369983</v>
      </c>
      <c r="AK3017">
        <v>17.640651768839401</v>
      </c>
    </row>
    <row r="3018" spans="1:37" x14ac:dyDescent="0.2">
      <c r="A3018" t="str">
        <f>"20200111155556457"</f>
        <v>20200111155556457</v>
      </c>
      <c r="B3018" t="str">
        <f>"1578729356445573"</f>
        <v>1578729356445573</v>
      </c>
      <c r="C3018" t="s">
        <v>37</v>
      </c>
      <c r="D3018">
        <v>2.8764080000000001</v>
      </c>
      <c r="E3018">
        <v>0.4921122</v>
      </c>
      <c r="F3018" t="s">
        <v>56</v>
      </c>
      <c r="G3018">
        <v>-478.17509999999999</v>
      </c>
      <c r="H3018" s="1">
        <v>2.995143E-6</v>
      </c>
      <c r="I3018">
        <v>284.68880000000001</v>
      </c>
      <c r="J3018">
        <v>-460.99790000000002</v>
      </c>
      <c r="K3018">
        <v>1.10554</v>
      </c>
      <c r="L3018">
        <v>284.87279999999998</v>
      </c>
      <c r="M3018">
        <v>-0.99959419999999899</v>
      </c>
      <c r="N3018">
        <v>0</v>
      </c>
      <c r="O3018">
        <v>2.4783989999999999E-2</v>
      </c>
      <c r="P3018">
        <v>-0.99796530000000006</v>
      </c>
      <c r="Q3018">
        <v>4.198027E-2</v>
      </c>
      <c r="R3018">
        <v>-4.7990270000000002E-2</v>
      </c>
      <c r="S3018">
        <v>-3.013245</v>
      </c>
      <c r="T3018">
        <v>-0.19081779999999901</v>
      </c>
      <c r="U3018">
        <v>-3.0639650000000001E-2</v>
      </c>
      <c r="V3018">
        <v>-7.2770589999999996E-2</v>
      </c>
      <c r="W3018">
        <v>5.5902720000000003E-2</v>
      </c>
      <c r="X3018">
        <v>0.99578080000000002</v>
      </c>
      <c r="Y3018">
        <v>-3.4830420000000001E-2</v>
      </c>
      <c r="Z3018">
        <v>-2.6696630000000001E-3</v>
      </c>
      <c r="AA3018">
        <v>0.99938959999999999</v>
      </c>
      <c r="AB3018">
        <v>27</v>
      </c>
      <c r="AC3018">
        <v>-17.1771999999999</v>
      </c>
      <c r="AD3018">
        <v>-1.1055370048569999</v>
      </c>
      <c r="AE3018">
        <v>-0.18399999999996899</v>
      </c>
      <c r="AF3018">
        <v>-0.60719012572228004</v>
      </c>
      <c r="AG3018">
        <v>-1.1055370048569999</v>
      </c>
      <c r="AH3018">
        <v>17.096550967734998</v>
      </c>
      <c r="AI3018">
        <v>93.697517262969995</v>
      </c>
      <c r="AJ3018">
        <v>92.034025200955796</v>
      </c>
      <c r="AK3018">
        <v>17.143014522254902</v>
      </c>
    </row>
    <row r="3019" spans="1:37" x14ac:dyDescent="0.2">
      <c r="A3019" t="str">
        <f>"20200111155556612"</f>
        <v>20200111155556612</v>
      </c>
      <c r="B3019" t="str">
        <f>"1578729356604661"</f>
        <v>1578729356604661</v>
      </c>
      <c r="C3019" t="s">
        <v>37</v>
      </c>
      <c r="D3019">
        <v>3.9447129999999899</v>
      </c>
      <c r="E3019">
        <v>0.2426777</v>
      </c>
      <c r="F3019" t="s">
        <v>56</v>
      </c>
      <c r="G3019">
        <v>-476.13729999999998</v>
      </c>
      <c r="H3019" s="1">
        <v>3.8182829999999997E-6</v>
      </c>
      <c r="I3019">
        <v>283.76769999999999</v>
      </c>
      <c r="J3019">
        <v>-462.88199999999898</v>
      </c>
      <c r="K3019">
        <v>1.106711</v>
      </c>
      <c r="L3019">
        <v>284.89999999999998</v>
      </c>
      <c r="M3019">
        <v>-0.99981229999999999</v>
      </c>
      <c r="N3019">
        <v>0</v>
      </c>
      <c r="O3019">
        <v>1.3339470000000001E-2</v>
      </c>
      <c r="P3019">
        <v>-0.99592729999999996</v>
      </c>
      <c r="Q3019">
        <v>3.3022679999999999E-2</v>
      </c>
      <c r="R3019">
        <v>-8.3895910000000004E-2</v>
      </c>
      <c r="S3019">
        <v>-3.004791</v>
      </c>
      <c r="T3019">
        <v>-0.21942129999999899</v>
      </c>
      <c r="U3019">
        <v>-0.21932979999999899</v>
      </c>
      <c r="V3019">
        <v>-9.7365590000000002E-2</v>
      </c>
      <c r="W3019">
        <v>4.6609030000000003E-2</v>
      </c>
      <c r="X3019">
        <v>0.99415669999999901</v>
      </c>
      <c r="Y3019">
        <v>-8.5835869999999995E-2</v>
      </c>
      <c r="Z3019">
        <v>-4.0974319999999998E-3</v>
      </c>
      <c r="AA3019">
        <v>0.99630090000000004</v>
      </c>
      <c r="AB3019">
        <v>27</v>
      </c>
      <c r="AC3019">
        <v>-13.2553</v>
      </c>
      <c r="AD3019">
        <v>-1.106707181717</v>
      </c>
      <c r="AE3019">
        <v>-1.1322999999999801</v>
      </c>
      <c r="AF3019">
        <v>-1.30003862980934</v>
      </c>
      <c r="AG3019">
        <v>-1.106707181717</v>
      </c>
      <c r="AH3019">
        <v>13.1480255150947</v>
      </c>
      <c r="AI3019">
        <v>94.788169214375898</v>
      </c>
      <c r="AJ3019">
        <v>95.646885637705495</v>
      </c>
      <c r="AK3019">
        <v>13.258411525165601</v>
      </c>
    </row>
    <row r="3020" spans="1:37" x14ac:dyDescent="0.2">
      <c r="A3020" t="str">
        <f>"20200111155556635"</f>
        <v>20200111155556635</v>
      </c>
      <c r="B3020" t="str">
        <f>"1578729356625157"</f>
        <v>1578729356625157</v>
      </c>
      <c r="C3020" t="s">
        <v>37</v>
      </c>
      <c r="D3020">
        <v>3.9907739999999898</v>
      </c>
      <c r="E3020">
        <v>0.2435997</v>
      </c>
      <c r="F3020" t="s">
        <v>60</v>
      </c>
      <c r="G3020">
        <v>-512.84990000000005</v>
      </c>
      <c r="H3020">
        <v>74.449029999999993</v>
      </c>
      <c r="I3020">
        <v>244.29320000000001</v>
      </c>
      <c r="J3020">
        <v>-463.15280000000001</v>
      </c>
      <c r="K3020">
        <v>1.106905</v>
      </c>
      <c r="L3020">
        <v>284.9008</v>
      </c>
      <c r="M3020">
        <v>-0.99984419999999996</v>
      </c>
      <c r="N3020">
        <v>0</v>
      </c>
      <c r="O3020">
        <v>1.066229E-2</v>
      </c>
      <c r="P3020">
        <v>-0.99550989999999995</v>
      </c>
      <c r="Q3020">
        <v>3.0930579999999999E-2</v>
      </c>
      <c r="R3020">
        <v>-8.9460100000000001E-2</v>
      </c>
      <c r="S3020">
        <v>-2.6964109999999999</v>
      </c>
      <c r="T3020">
        <v>3.9577529999999999</v>
      </c>
      <c r="U3020">
        <v>-2.1912539999999998</v>
      </c>
      <c r="V3020">
        <v>-0.1002748</v>
      </c>
      <c r="W3020">
        <v>4.4457860000000002E-2</v>
      </c>
      <c r="X3020">
        <v>0.99396600000000002</v>
      </c>
      <c r="Y3020">
        <v>-0.41751539999999998</v>
      </c>
      <c r="Z3020">
        <v>0.21812229999999999</v>
      </c>
      <c r="AA3020">
        <v>0.88210180000000005</v>
      </c>
      <c r="AB3020">
        <v>27</v>
      </c>
      <c r="AC3020">
        <v>-49.697099999999999</v>
      </c>
      <c r="AD3020">
        <v>73.342124999999996</v>
      </c>
      <c r="AE3020">
        <v>-40.607599999999898</v>
      </c>
      <c r="AF3020">
        <v>-17.838456064566198</v>
      </c>
      <c r="AG3020">
        <v>73.342124999999996</v>
      </c>
      <c r="AH3020">
        <v>21.362342723535601</v>
      </c>
      <c r="AI3020">
        <v>20.780104773169601</v>
      </c>
      <c r="AJ3020">
        <v>129.86330347285201</v>
      </c>
      <c r="AK3020">
        <v>78.445060398478105</v>
      </c>
    </row>
    <row r="3021" spans="1:37" x14ac:dyDescent="0.2">
      <c r="A3021" t="str">
        <f>"20200111155556658"</f>
        <v>20200111155556658</v>
      </c>
      <c r="B3021" t="str">
        <f>"1578729356655412"</f>
        <v>1578729356655412</v>
      </c>
      <c r="C3021" t="s">
        <v>37</v>
      </c>
      <c r="D3021">
        <v>3.955444</v>
      </c>
      <c r="E3021">
        <v>0.24231639999999999</v>
      </c>
      <c r="F3021" t="s">
        <v>60</v>
      </c>
      <c r="G3021">
        <v>-512.84969999999998</v>
      </c>
      <c r="H3021">
        <v>74.107320000000001</v>
      </c>
      <c r="I3021">
        <v>244.10740000000001</v>
      </c>
      <c r="J3021">
        <v>-463.42579999999998</v>
      </c>
      <c r="K3021">
        <v>1.107092</v>
      </c>
      <c r="L3021">
        <v>284.9006</v>
      </c>
      <c r="M3021">
        <v>-0.99987139999999997</v>
      </c>
      <c r="N3021">
        <v>0</v>
      </c>
      <c r="O3021">
        <v>7.6982159999999999E-3</v>
      </c>
      <c r="P3021">
        <v>-0.99503030000000003</v>
      </c>
      <c r="Q3021">
        <v>2.8771580000000001E-2</v>
      </c>
      <c r="R3021">
        <v>-9.5326149999999998E-2</v>
      </c>
      <c r="S3021">
        <v>-2.6920470000000001</v>
      </c>
      <c r="T3021">
        <v>3.9543680000000001</v>
      </c>
      <c r="U3021">
        <v>-2.2097470000000001</v>
      </c>
      <c r="V3021">
        <v>-0.1031987</v>
      </c>
      <c r="W3021">
        <v>4.2238369999999997E-2</v>
      </c>
      <c r="X3021">
        <v>0.99376350000000002</v>
      </c>
      <c r="Y3021">
        <v>-0.42039559999999998</v>
      </c>
      <c r="Z3021">
        <v>0.2164567</v>
      </c>
      <c r="AA3021">
        <v>0.88114359999999903</v>
      </c>
      <c r="AB3021">
        <v>27</v>
      </c>
      <c r="AC3021">
        <v>-49.423900000000003</v>
      </c>
      <c r="AD3021">
        <v>73.000228000000007</v>
      </c>
      <c r="AE3021">
        <v>-40.793199999999899</v>
      </c>
      <c r="AF3021">
        <v>-17.9197110039031</v>
      </c>
      <c r="AG3021">
        <v>73.000228000000007</v>
      </c>
      <c r="AH3021">
        <v>21.373676326384299</v>
      </c>
      <c r="AI3021">
        <v>20.910739923009199</v>
      </c>
      <c r="AJ3021">
        <v>129.976501213278</v>
      </c>
      <c r="AK3021">
        <v>78.147190417957006</v>
      </c>
    </row>
    <row r="3022" spans="1:37" x14ac:dyDescent="0.2">
      <c r="A3022" t="str">
        <f>"20200111155556679"</f>
        <v>20200111155556679</v>
      </c>
      <c r="B3022" t="str">
        <f>"1578729356674932"</f>
        <v>1578729356674932</v>
      </c>
      <c r="C3022" t="s">
        <v>37</v>
      </c>
      <c r="D3022">
        <v>4.012683</v>
      </c>
      <c r="E3022">
        <v>0.24375059999999901</v>
      </c>
      <c r="F3022" t="s">
        <v>60</v>
      </c>
      <c r="G3022">
        <v>-512.84969999999998</v>
      </c>
      <c r="H3022">
        <v>74.172380000000004</v>
      </c>
      <c r="I3022">
        <v>243.62309999999999</v>
      </c>
      <c r="J3022">
        <v>-463.68579999999997</v>
      </c>
      <c r="K3022">
        <v>1.1072569999999999</v>
      </c>
      <c r="L3022">
        <v>284.89920000000001</v>
      </c>
      <c r="M3022">
        <v>-0.99989030000000001</v>
      </c>
      <c r="N3022">
        <v>0</v>
      </c>
      <c r="O3022">
        <v>4.6188430000000001E-3</v>
      </c>
      <c r="P3022">
        <v>-0.99445709999999998</v>
      </c>
      <c r="Q3022">
        <v>2.6594759999999999E-2</v>
      </c>
      <c r="R3022">
        <v>-0.1017248</v>
      </c>
      <c r="S3022">
        <v>-2.685333</v>
      </c>
      <c r="T3022">
        <v>3.9698169999999999</v>
      </c>
      <c r="U3022">
        <v>-2.2427060000000001</v>
      </c>
      <c r="V3022">
        <v>-0.1065387</v>
      </c>
      <c r="W3022">
        <v>4.0001990000000001E-2</v>
      </c>
      <c r="X3022">
        <v>0.99350360000000004</v>
      </c>
      <c r="Y3022">
        <v>-0.42444290000000001</v>
      </c>
      <c r="Z3022">
        <v>0.21583049999999901</v>
      </c>
      <c r="AA3022">
        <v>0.87935509999999995</v>
      </c>
      <c r="AB3022">
        <v>27</v>
      </c>
      <c r="AC3022">
        <v>-49.163899999999998</v>
      </c>
      <c r="AD3022">
        <v>73.065123</v>
      </c>
      <c r="AE3022">
        <v>-41.2761</v>
      </c>
      <c r="AF3022">
        <v>-18.080036751141201</v>
      </c>
      <c r="AG3022">
        <v>73.065123</v>
      </c>
      <c r="AH3022">
        <v>21.334203362369401</v>
      </c>
      <c r="AI3022">
        <v>20.943820626317699</v>
      </c>
      <c r="AJ3022">
        <v>130.280180983804</v>
      </c>
      <c r="AK3022">
        <v>78.233932286666203</v>
      </c>
    </row>
    <row r="3023" spans="1:37" x14ac:dyDescent="0.2">
      <c r="A3023" t="str">
        <f>"20200111155556702"</f>
        <v>20200111155556702</v>
      </c>
      <c r="B3023" t="str">
        <f>"1578729356694950"</f>
        <v>1578729356694950</v>
      </c>
      <c r="C3023" t="s">
        <v>37</v>
      </c>
      <c r="D3023">
        <v>3.987822</v>
      </c>
      <c r="E3023">
        <v>0.24467889999999901</v>
      </c>
      <c r="F3023" t="s">
        <v>60</v>
      </c>
      <c r="G3023">
        <v>-512.84950000000003</v>
      </c>
      <c r="H3023">
        <v>73.611949999999993</v>
      </c>
      <c r="I3023">
        <v>243.5318</v>
      </c>
      <c r="J3023">
        <v>-463.9522</v>
      </c>
      <c r="K3023">
        <v>1.107415</v>
      </c>
      <c r="L3023">
        <v>284.89670000000001</v>
      </c>
      <c r="M3023">
        <v>-0.99990000000000001</v>
      </c>
      <c r="N3023">
        <v>0</v>
      </c>
      <c r="O3023">
        <v>1.2257500000000001E-3</v>
      </c>
      <c r="P3023">
        <v>-0.99375360000000001</v>
      </c>
      <c r="Q3023">
        <v>2.3931239999999999E-2</v>
      </c>
      <c r="R3023">
        <v>-0.10900019999999901</v>
      </c>
      <c r="S3023">
        <v>-2.6802980000000001</v>
      </c>
      <c r="T3023">
        <v>3.952782</v>
      </c>
      <c r="U3023">
        <v>-2.2552490000000001</v>
      </c>
      <c r="V3023">
        <v>-0.11043939999999999</v>
      </c>
      <c r="W3023">
        <v>3.7275559999999999E-2</v>
      </c>
      <c r="X3023">
        <v>0.99318359999999895</v>
      </c>
      <c r="Y3023">
        <v>-0.42717250000000001</v>
      </c>
      <c r="Z3023">
        <v>0.21329400000000001</v>
      </c>
      <c r="AA3023">
        <v>0.87865199999999999</v>
      </c>
      <c r="AB3023">
        <v>27</v>
      </c>
      <c r="AC3023">
        <v>-48.897300000000001</v>
      </c>
      <c r="AD3023">
        <v>72.504534999999905</v>
      </c>
      <c r="AE3023">
        <v>-41.364899999999999</v>
      </c>
      <c r="AF3023">
        <v>-18.1564560628719</v>
      </c>
      <c r="AG3023">
        <v>72.504534999999905</v>
      </c>
      <c r="AH3023">
        <v>21.409399768204501</v>
      </c>
      <c r="AI3023">
        <v>21.1649776148912</v>
      </c>
      <c r="AJ3023">
        <v>130.29994502044099</v>
      </c>
      <c r="AK3023">
        <v>77.749127909990193</v>
      </c>
    </row>
    <row r="3024" spans="1:37" x14ac:dyDescent="0.2">
      <c r="A3024" t="str">
        <f>"20200111155556746"</f>
        <v>20200111155556746</v>
      </c>
      <c r="B3024" t="str">
        <f>"1578729356734966"</f>
        <v>1578729356734966</v>
      </c>
      <c r="C3024" t="s">
        <v>37</v>
      </c>
      <c r="D3024">
        <v>3.9862199999999999</v>
      </c>
      <c r="E3024">
        <v>0.2456024</v>
      </c>
      <c r="F3024" t="s">
        <v>60</v>
      </c>
      <c r="G3024">
        <v>-512.84939999999995</v>
      </c>
      <c r="H3024">
        <v>73.117840000000001</v>
      </c>
      <c r="I3024">
        <v>243.24510000000001</v>
      </c>
      <c r="J3024">
        <v>-464.48439999999999</v>
      </c>
      <c r="K3024">
        <v>1.1076649999999999</v>
      </c>
      <c r="L3024">
        <v>284.88850000000002</v>
      </c>
      <c r="M3024">
        <v>-0.9998823</v>
      </c>
      <c r="N3024">
        <v>0</v>
      </c>
      <c r="O3024">
        <v>-6.0734819999999998E-3</v>
      </c>
      <c r="P3024">
        <v>-0.99209519999999995</v>
      </c>
      <c r="Q3024">
        <v>2.4968520000000001E-2</v>
      </c>
      <c r="R3024">
        <v>-0.12298009999999999</v>
      </c>
      <c r="S3024">
        <v>-2.674194</v>
      </c>
      <c r="T3024">
        <v>3.9382470000000001</v>
      </c>
      <c r="U3024">
        <v>-2.2779240000000001</v>
      </c>
      <c r="V3024">
        <v>-0.11720119999999901</v>
      </c>
      <c r="W3024">
        <v>3.8204259999999997E-2</v>
      </c>
      <c r="X3024">
        <v>0.99237299999999995</v>
      </c>
      <c r="Y3024">
        <v>-0.43079970000000001</v>
      </c>
      <c r="Z3024">
        <v>0.2073536</v>
      </c>
      <c r="AA3024">
        <v>0.8783029</v>
      </c>
      <c r="AB3024">
        <v>27</v>
      </c>
      <c r="AC3024">
        <v>-48.364999999999903</v>
      </c>
      <c r="AD3024">
        <v>72.010175000000004</v>
      </c>
      <c r="AE3024">
        <v>-41.6434</v>
      </c>
      <c r="AF3024">
        <v>-18.191126515814499</v>
      </c>
      <c r="AG3024">
        <v>72.010175000000004</v>
      </c>
      <c r="AH3024">
        <v>21.388715347675799</v>
      </c>
      <c r="AI3024">
        <v>21.301909463746401</v>
      </c>
      <c r="AJ3024">
        <v>130.38120152688401</v>
      </c>
      <c r="AK3024">
        <v>77.290746740272198</v>
      </c>
    </row>
    <row r="3025" spans="1:37" x14ac:dyDescent="0.2">
      <c r="A3025" t="str">
        <f>"20200111155556769"</f>
        <v>20200111155556769</v>
      </c>
      <c r="B3025" t="str">
        <f>"1578729356765222"</f>
        <v>1578729356765222</v>
      </c>
      <c r="C3025" t="s">
        <v>37</v>
      </c>
      <c r="D3025">
        <v>4.0483900000000004</v>
      </c>
      <c r="E3025">
        <v>0.22398509999999999</v>
      </c>
      <c r="F3025" t="s">
        <v>60</v>
      </c>
      <c r="G3025">
        <v>-512.84950000000003</v>
      </c>
      <c r="H3025">
        <v>73.266359999999906</v>
      </c>
      <c r="I3025">
        <v>242.4178</v>
      </c>
      <c r="J3025">
        <v>-464.74900000000002</v>
      </c>
      <c r="K3025">
        <v>1.1077729999999999</v>
      </c>
      <c r="L3025">
        <v>284.88260000000002</v>
      </c>
      <c r="M3025">
        <v>-0.9998513</v>
      </c>
      <c r="N3025">
        <v>0</v>
      </c>
      <c r="O3025">
        <v>-9.9408929999999993E-3</v>
      </c>
      <c r="P3025">
        <v>-0.99096459999999997</v>
      </c>
      <c r="Q3025">
        <v>2.498121E-2</v>
      </c>
      <c r="R3025">
        <v>-0.1317769</v>
      </c>
      <c r="S3025">
        <v>-2.6377259999999998</v>
      </c>
      <c r="T3025">
        <v>3.935371</v>
      </c>
      <c r="U3025">
        <v>-2.3162539999999998</v>
      </c>
      <c r="V3025">
        <v>-0.12217749999999999</v>
      </c>
      <c r="W3025">
        <v>3.815089E-2</v>
      </c>
      <c r="X3025">
        <v>0.99177469999999901</v>
      </c>
      <c r="Y3025">
        <v>-0.43791059999999998</v>
      </c>
      <c r="Z3025">
        <v>0.20795130000000001</v>
      </c>
      <c r="AA3025">
        <v>0.87463740000000001</v>
      </c>
      <c r="AB3025">
        <v>27</v>
      </c>
      <c r="AC3025">
        <v>-48.100499999999997</v>
      </c>
      <c r="AD3025">
        <v>72.158586999999997</v>
      </c>
      <c r="AE3025">
        <v>-42.464799999999997</v>
      </c>
      <c r="AF3025">
        <v>-18.5382646273329</v>
      </c>
      <c r="AG3025">
        <v>72.158586999999997</v>
      </c>
      <c r="AH3025">
        <v>21.424153799513501</v>
      </c>
      <c r="AI3025">
        <v>21.436225485675099</v>
      </c>
      <c r="AJ3025">
        <v>130.86955096468199</v>
      </c>
      <c r="AK3025">
        <v>77.521115183250501</v>
      </c>
    </row>
    <row r="3026" spans="1:37" x14ac:dyDescent="0.2">
      <c r="A3026" t="str">
        <f>"20200111155556785"</f>
        <v>20200111155556785</v>
      </c>
      <c r="B3026" t="str">
        <f>"1578729356774982"</f>
        <v>1578729356774982</v>
      </c>
      <c r="C3026" t="s">
        <v>37</v>
      </c>
      <c r="D3026">
        <v>3.9668389999999998</v>
      </c>
      <c r="E3026">
        <v>0.236419299999999</v>
      </c>
      <c r="F3026" t="s">
        <v>60</v>
      </c>
      <c r="G3026">
        <v>-512.85180000000003</v>
      </c>
      <c r="H3026">
        <v>80.25855</v>
      </c>
      <c r="I3026">
        <v>238.3158</v>
      </c>
      <c r="J3026">
        <v>-464.94729999999998</v>
      </c>
      <c r="K3026">
        <v>1.107853</v>
      </c>
      <c r="L3026">
        <v>284.8775</v>
      </c>
      <c r="M3026">
        <v>-0.99981679999999995</v>
      </c>
      <c r="N3026">
        <v>0</v>
      </c>
      <c r="O3026">
        <v>-1.294435E-2</v>
      </c>
      <c r="P3026">
        <v>-0.99020059999999999</v>
      </c>
      <c r="Q3026">
        <v>2.516169E-2</v>
      </c>
      <c r="R3026">
        <v>-0.1373692</v>
      </c>
      <c r="S3026">
        <v>-2.5870359999999999</v>
      </c>
      <c r="T3026">
        <v>4.2568330000000003</v>
      </c>
      <c r="U3026">
        <v>-2.5044249999999999</v>
      </c>
      <c r="V3026">
        <v>-0.1248063</v>
      </c>
      <c r="W3026">
        <v>3.8288599999999999E-2</v>
      </c>
      <c r="X3026">
        <v>0.99144209999999999</v>
      </c>
      <c r="Y3026">
        <v>-0.44827829999999902</v>
      </c>
      <c r="Z3026">
        <v>0.22029380000000001</v>
      </c>
      <c r="AA3026">
        <v>0.86632389999999904</v>
      </c>
      <c r="AB3026">
        <v>27</v>
      </c>
      <c r="AC3026">
        <v>-47.904499999999999</v>
      </c>
      <c r="AD3026">
        <v>79.150696999999994</v>
      </c>
      <c r="AE3026">
        <v>-46.561700000000002</v>
      </c>
      <c r="AF3026">
        <v>-19.110590991050099</v>
      </c>
      <c r="AG3026">
        <v>79.150696999999994</v>
      </c>
      <c r="AH3026">
        <v>20.177915496191101</v>
      </c>
      <c r="AI3026">
        <v>19.3472112482626</v>
      </c>
      <c r="AJ3026">
        <v>133.44386672432699</v>
      </c>
      <c r="AK3026">
        <v>83.887995549926202</v>
      </c>
    </row>
    <row r="3027" spans="1:37" x14ac:dyDescent="0.2">
      <c r="A3027" t="str">
        <f>"20200111155556799"</f>
        <v>20200111155556799</v>
      </c>
      <c r="B3027" t="str">
        <f>"1578729356795010"</f>
        <v>1578729356795010</v>
      </c>
      <c r="C3027" t="s">
        <v>37</v>
      </c>
      <c r="D3027">
        <v>4.0896889999999999</v>
      </c>
      <c r="E3027">
        <v>0.2465697</v>
      </c>
      <c r="F3027" t="s">
        <v>60</v>
      </c>
      <c r="G3027">
        <v>-512.851</v>
      </c>
      <c r="H3027">
        <v>77.697230000000005</v>
      </c>
      <c r="I3027">
        <v>240.0669</v>
      </c>
      <c r="J3027">
        <v>-465.11959999999999</v>
      </c>
      <c r="K3027">
        <v>1.1079289999999999</v>
      </c>
      <c r="L3027">
        <v>284.8725</v>
      </c>
      <c r="M3027">
        <v>-0.99977859999999996</v>
      </c>
      <c r="N3027">
        <v>0</v>
      </c>
      <c r="O3027">
        <v>-1.5621289999999999E-2</v>
      </c>
      <c r="P3027">
        <v>-0.989483</v>
      </c>
      <c r="Q3027">
        <v>2.4954069999999998E-2</v>
      </c>
      <c r="R3027">
        <v>-0.14248239999999901</v>
      </c>
      <c r="S3027">
        <v>-2.5886230000000001</v>
      </c>
      <c r="T3027">
        <v>4.138738</v>
      </c>
      <c r="U3027">
        <v>-2.421478</v>
      </c>
      <c r="V3027">
        <v>-0.12727959999999999</v>
      </c>
      <c r="W3027">
        <v>3.8040350000000001E-2</v>
      </c>
      <c r="X3027">
        <v>0.99113709999999899</v>
      </c>
      <c r="Y3027">
        <v>-0.44297890000000001</v>
      </c>
      <c r="Z3027">
        <v>0.2120244</v>
      </c>
      <c r="AA3027">
        <v>0.87110010000000004</v>
      </c>
      <c r="AB3027">
        <v>27</v>
      </c>
      <c r="AC3027">
        <v>-47.731400000000001</v>
      </c>
      <c r="AD3027">
        <v>76.589301000000006</v>
      </c>
      <c r="AE3027">
        <v>-44.805599999999998</v>
      </c>
      <c r="AF3027">
        <v>-18.598738459705501</v>
      </c>
      <c r="AG3027">
        <v>76.589301000000006</v>
      </c>
      <c r="AH3027">
        <v>20.444127744455201</v>
      </c>
      <c r="AI3027">
        <v>19.842671668745702</v>
      </c>
      <c r="AJ3027">
        <v>132.29388757392999</v>
      </c>
      <c r="AK3027">
        <v>81.423562064016394</v>
      </c>
    </row>
    <row r="3028" spans="1:37" x14ac:dyDescent="0.2">
      <c r="A3028" t="str">
        <f>"20200111155556814"</f>
        <v>20200111155556814</v>
      </c>
      <c r="B3028" t="str">
        <f>"1578729356804770"</f>
        <v>1578729356804770</v>
      </c>
      <c r="C3028" t="s">
        <v>37</v>
      </c>
      <c r="D3028">
        <v>3.9538730000000002</v>
      </c>
      <c r="E3028">
        <v>0.25005579999999999</v>
      </c>
      <c r="F3028" t="s">
        <v>60</v>
      </c>
      <c r="G3028">
        <v>-512.85029999999995</v>
      </c>
      <c r="H3028">
        <v>75.801029999999997</v>
      </c>
      <c r="I3028">
        <v>241.4786</v>
      </c>
      <c r="J3028">
        <v>-465.29899999999998</v>
      </c>
      <c r="K3028">
        <v>1.108015</v>
      </c>
      <c r="L3028">
        <v>284.86669999999998</v>
      </c>
      <c r="M3028">
        <v>-0.99972909999999904</v>
      </c>
      <c r="N3028">
        <v>0</v>
      </c>
      <c r="O3028">
        <v>-1.850599E-2</v>
      </c>
      <c r="P3028">
        <v>-0.98869989999999996</v>
      </c>
      <c r="Q3028">
        <v>2.5026949999999999E-2</v>
      </c>
      <c r="R3028">
        <v>-0.14780509999999999</v>
      </c>
      <c r="S3028">
        <v>-2.5905459999999998</v>
      </c>
      <c r="T3028">
        <v>4.0539019999999999</v>
      </c>
      <c r="U3028">
        <v>-2.3551639999999998</v>
      </c>
      <c r="V3028">
        <v>-0.12976260000000001</v>
      </c>
      <c r="W3028">
        <v>3.806942E-2</v>
      </c>
      <c r="X3028">
        <v>0.99081399999999997</v>
      </c>
      <c r="Y3028">
        <v>-0.4377645</v>
      </c>
      <c r="Z3028">
        <v>0.2044552</v>
      </c>
      <c r="AA3028">
        <v>0.87553440000000005</v>
      </c>
      <c r="AB3028">
        <v>27</v>
      </c>
      <c r="AC3028">
        <v>-47.551299999999898</v>
      </c>
      <c r="AD3028">
        <v>74.693015000000003</v>
      </c>
      <c r="AE3028">
        <v>-43.388099999999902</v>
      </c>
      <c r="AF3028">
        <v>-18.113049148477302</v>
      </c>
      <c r="AG3028">
        <v>74.693015000000003</v>
      </c>
      <c r="AH3028">
        <v>20.604337597804498</v>
      </c>
      <c r="AI3028">
        <v>20.167742676006899</v>
      </c>
      <c r="AJ3028">
        <v>131.318351628865</v>
      </c>
      <c r="AK3028">
        <v>79.571777453376498</v>
      </c>
    </row>
    <row r="3029" spans="1:37" x14ac:dyDescent="0.2">
      <c r="A3029" t="str">
        <f>"20200111155556829"</f>
        <v>20200111155556829</v>
      </c>
      <c r="B3029" t="str">
        <f>"1578729356825266"</f>
        <v>1578729356825266</v>
      </c>
      <c r="C3029" t="s">
        <v>37</v>
      </c>
      <c r="D3029">
        <v>4.9078879999999998</v>
      </c>
      <c r="E3029">
        <v>0.25185930000000001</v>
      </c>
      <c r="F3029" t="s">
        <v>60</v>
      </c>
      <c r="G3029">
        <v>-512.8501</v>
      </c>
      <c r="H3029">
        <v>75.179990000000004</v>
      </c>
      <c r="I3029">
        <v>241.7792</v>
      </c>
      <c r="J3029">
        <v>-465.4556</v>
      </c>
      <c r="K3029">
        <v>1.108098</v>
      </c>
      <c r="L3029">
        <v>284.86110000000002</v>
      </c>
      <c r="M3029">
        <v>-0.9996777</v>
      </c>
      <c r="N3029">
        <v>0</v>
      </c>
      <c r="O3029">
        <v>-2.110124E-2</v>
      </c>
      <c r="P3029">
        <v>-0.98761100000000002</v>
      </c>
      <c r="Q3029">
        <v>2.567931E-2</v>
      </c>
      <c r="R3029">
        <v>-0.15480759999999999</v>
      </c>
      <c r="S3029">
        <v>-2.582611</v>
      </c>
      <c r="T3029">
        <v>4.0230129999999997</v>
      </c>
      <c r="U3029">
        <v>-2.340179</v>
      </c>
      <c r="V3029">
        <v>-0.13422490000000001</v>
      </c>
      <c r="W3029">
        <v>3.8658820000000003E-2</v>
      </c>
      <c r="X3029">
        <v>0.99019650000000003</v>
      </c>
      <c r="Y3029">
        <v>-0.4373898</v>
      </c>
      <c r="Z3029">
        <v>0.20114409999999999</v>
      </c>
      <c r="AA3029">
        <v>0.87648799999999905</v>
      </c>
      <c r="AB3029">
        <v>27</v>
      </c>
      <c r="AC3029">
        <v>-47.394500000000001</v>
      </c>
      <c r="AD3029">
        <v>74.071892000000005</v>
      </c>
      <c r="AE3029">
        <v>-43.081899999999997</v>
      </c>
      <c r="AF3029">
        <v>-17.9990809133383</v>
      </c>
      <c r="AG3029">
        <v>74.071892000000005</v>
      </c>
      <c r="AH3029">
        <v>20.660514805880499</v>
      </c>
      <c r="AI3029">
        <v>20.3007750534093</v>
      </c>
      <c r="AJ3029">
        <v>131.06181308861099</v>
      </c>
      <c r="AK3029">
        <v>78.977648548361898</v>
      </c>
    </row>
    <row r="3030" spans="1:37" x14ac:dyDescent="0.2">
      <c r="A3030" t="str">
        <f>"20200111155556847"</f>
        <v>20200111155556847</v>
      </c>
      <c r="B3030" t="str">
        <f>"1578729356835026"</f>
        <v>1578729356835026</v>
      </c>
      <c r="C3030" t="s">
        <v>37</v>
      </c>
      <c r="D3030">
        <v>4.0639940000000001</v>
      </c>
      <c r="E3030">
        <v>0.25639780000000001</v>
      </c>
      <c r="F3030" t="s">
        <v>60</v>
      </c>
      <c r="G3030">
        <v>-512.8501</v>
      </c>
      <c r="H3030">
        <v>75.2834</v>
      </c>
      <c r="I3030">
        <v>241.65880000000001</v>
      </c>
      <c r="J3030">
        <v>-465.67680000000001</v>
      </c>
      <c r="K3030">
        <v>1.108223</v>
      </c>
      <c r="L3030">
        <v>284.85230000000001</v>
      </c>
      <c r="M3030">
        <v>-0.999590599999999</v>
      </c>
      <c r="N3030">
        <v>0</v>
      </c>
      <c r="O3030">
        <v>-2.488605E-2</v>
      </c>
      <c r="P3030">
        <v>-0.98643499999999995</v>
      </c>
      <c r="Q3030">
        <v>2.6539199999999999E-2</v>
      </c>
      <c r="R3030">
        <v>-0.1619942</v>
      </c>
      <c r="S3030">
        <v>-2.5664669999999998</v>
      </c>
      <c r="T3030">
        <v>4.0166690000000003</v>
      </c>
      <c r="U3030">
        <v>-2.3394469999999998</v>
      </c>
      <c r="V3030">
        <v>-0.13770479999999999</v>
      </c>
      <c r="W3030">
        <v>3.945216E-2</v>
      </c>
      <c r="X3030">
        <v>0.98968729999999905</v>
      </c>
      <c r="Y3030">
        <v>-0.4379576</v>
      </c>
      <c r="Z3030">
        <v>0.1980114</v>
      </c>
      <c r="AA3030">
        <v>0.87691770000000002</v>
      </c>
      <c r="AB3030">
        <v>27</v>
      </c>
      <c r="AC3030">
        <v>-47.173299999999898</v>
      </c>
      <c r="AD3030">
        <v>74.175177000000005</v>
      </c>
      <c r="AE3030">
        <v>-43.1935</v>
      </c>
      <c r="AF3030">
        <v>-17.913840762317399</v>
      </c>
      <c r="AG3030">
        <v>74.175177000000005</v>
      </c>
      <c r="AH3030">
        <v>20.5696818319507</v>
      </c>
      <c r="AI3030">
        <v>20.190156871363101</v>
      </c>
      <c r="AJ3030">
        <v>131.052139103455</v>
      </c>
      <c r="AK3030">
        <v>79.031477175279207</v>
      </c>
    </row>
    <row r="3031" spans="1:37" x14ac:dyDescent="0.2">
      <c r="A3031" t="str">
        <f>"20200111155556886"</f>
        <v>20200111155556886</v>
      </c>
      <c r="B3031" t="str">
        <f>"1578729356875043"</f>
        <v>1578729356875043</v>
      </c>
      <c r="C3031" t="s">
        <v>37</v>
      </c>
      <c r="D3031">
        <v>5.9004779999999997</v>
      </c>
      <c r="E3031">
        <v>0.26108710000000002</v>
      </c>
      <c r="F3031" t="s">
        <v>60</v>
      </c>
      <c r="G3031">
        <v>-512.85</v>
      </c>
      <c r="H3031">
        <v>74.763319999999993</v>
      </c>
      <c r="I3031">
        <v>241.952</v>
      </c>
      <c r="J3031">
        <v>-466.1395</v>
      </c>
      <c r="K3031">
        <v>1.108506</v>
      </c>
      <c r="L3031">
        <v>284.83069999999998</v>
      </c>
      <c r="M3031">
        <v>-0.9993436</v>
      </c>
      <c r="N3031">
        <v>0</v>
      </c>
      <c r="O3031">
        <v>-3.3351890000000002E-2</v>
      </c>
      <c r="P3031">
        <v>-0.98440890000000003</v>
      </c>
      <c r="Q3031">
        <v>2.6172359999999999E-2</v>
      </c>
      <c r="R3031">
        <v>-0.1739376</v>
      </c>
      <c r="S3031">
        <v>-2.552765</v>
      </c>
      <c r="T3031">
        <v>3.9858229999999999</v>
      </c>
      <c r="U3031">
        <v>-2.3215330000000001</v>
      </c>
      <c r="V3031">
        <v>-0.1413422</v>
      </c>
      <c r="W3031">
        <v>3.8971390000000002E-2</v>
      </c>
      <c r="X3031">
        <v>0.9891934</v>
      </c>
      <c r="Y3031">
        <v>-0.43667899999999998</v>
      </c>
      <c r="Z3031">
        <v>0.18854870000000001</v>
      </c>
      <c r="AA3031">
        <v>0.8796368</v>
      </c>
      <c r="AB3031">
        <v>27</v>
      </c>
      <c r="AC3031">
        <v>-46.710500000000003</v>
      </c>
      <c r="AD3031">
        <v>73.654813999999902</v>
      </c>
      <c r="AE3031">
        <v>-42.878699999999903</v>
      </c>
      <c r="AF3031">
        <v>-17.5779086338515</v>
      </c>
      <c r="AG3031">
        <v>73.654813999999902</v>
      </c>
      <c r="AH3031">
        <v>20.479950673565</v>
      </c>
      <c r="AI3031">
        <v>20.124185996852301</v>
      </c>
      <c r="AJ3031">
        <v>130.639439246877</v>
      </c>
      <c r="AK3031">
        <v>78.443883616928801</v>
      </c>
    </row>
    <row r="3032" spans="1:37" x14ac:dyDescent="0.2">
      <c r="A3032" t="str">
        <f>"20200111155556899"</f>
        <v>20200111155556899</v>
      </c>
      <c r="B3032" t="str">
        <f>"1578729356895071"</f>
        <v>1578729356895071</v>
      </c>
      <c r="C3032" t="s">
        <v>37</v>
      </c>
      <c r="D3032">
        <v>4.9052980000000002</v>
      </c>
      <c r="E3032">
        <v>0.53858379999999995</v>
      </c>
      <c r="F3032" t="s">
        <v>60</v>
      </c>
      <c r="G3032">
        <v>-512.84969999999998</v>
      </c>
      <c r="H3032">
        <v>73.903909999999996</v>
      </c>
      <c r="I3032">
        <v>242.1514</v>
      </c>
      <c r="J3032">
        <v>-466.30130000000003</v>
      </c>
      <c r="K3032">
        <v>1.1086149999999999</v>
      </c>
      <c r="L3032">
        <v>284.82209999999998</v>
      </c>
      <c r="M3032">
        <v>-0.99923419999999896</v>
      </c>
      <c r="N3032">
        <v>0</v>
      </c>
      <c r="O3032">
        <v>-3.6478549999999998E-2</v>
      </c>
      <c r="P3032">
        <v>-0.98374319999999904</v>
      </c>
      <c r="Q3032">
        <v>2.611952E-2</v>
      </c>
      <c r="R3032">
        <v>-0.17767269999999999</v>
      </c>
      <c r="S3032">
        <v>-2.5334779999999899</v>
      </c>
      <c r="T3032">
        <v>3.9482870000000001</v>
      </c>
      <c r="U3032">
        <v>-2.3148499999999999</v>
      </c>
      <c r="V3032">
        <v>-0.14201150000000001</v>
      </c>
      <c r="W3032">
        <v>3.8884200000000001E-2</v>
      </c>
      <c r="X3032">
        <v>0.98910100000000001</v>
      </c>
      <c r="Y3032">
        <v>-0.43838539999999998</v>
      </c>
      <c r="Z3032">
        <v>0.185921</v>
      </c>
      <c r="AA3032">
        <v>0.87934729999999905</v>
      </c>
      <c r="AB3032">
        <v>27</v>
      </c>
      <c r="AC3032">
        <v>-46.548399999999901</v>
      </c>
      <c r="AD3032">
        <v>72.795294999999996</v>
      </c>
      <c r="AE3032">
        <v>-42.670699999999897</v>
      </c>
      <c r="AF3032">
        <v>-17.5806690987189</v>
      </c>
      <c r="AG3032">
        <v>72.795294999999996</v>
      </c>
      <c r="AH3032">
        <v>20.642176026499801</v>
      </c>
      <c r="AI3032">
        <v>20.428941035192</v>
      </c>
      <c r="AJ3032">
        <v>130.42059858353201</v>
      </c>
      <c r="AK3032">
        <v>77.680977923843599</v>
      </c>
    </row>
    <row r="3033" spans="1:37" x14ac:dyDescent="0.2">
      <c r="A3033" t="str">
        <f>"20200111155556913"</f>
        <v>20200111155556913</v>
      </c>
      <c r="B3033" t="str">
        <f>"1578729356904831"</f>
        <v>1578729356904831</v>
      </c>
      <c r="C3033" t="s">
        <v>37</v>
      </c>
      <c r="D3033">
        <v>4.8886190000000003</v>
      </c>
      <c r="E3033">
        <v>0.54018599999999894</v>
      </c>
      <c r="F3033" t="s">
        <v>60</v>
      </c>
      <c r="G3033">
        <v>-551.0625</v>
      </c>
      <c r="H3033">
        <v>1.9594149999999999</v>
      </c>
      <c r="I3033">
        <v>278.30340000000001</v>
      </c>
      <c r="J3033">
        <v>-466.46179999999998</v>
      </c>
      <c r="K3033">
        <v>1.1087279999999999</v>
      </c>
      <c r="L3033">
        <v>284.81279999999998</v>
      </c>
      <c r="M3033">
        <v>-0.99911099999999997</v>
      </c>
      <c r="N3033">
        <v>0</v>
      </c>
      <c r="O3033">
        <v>-3.9708540000000001E-2</v>
      </c>
      <c r="P3033">
        <v>-0.98306919999999898</v>
      </c>
      <c r="Q3033">
        <v>2.5799200000000001E-2</v>
      </c>
      <c r="R3033">
        <v>-0.1814103</v>
      </c>
      <c r="S3033">
        <v>-3.00705</v>
      </c>
      <c r="T3033">
        <v>3.018641E-2</v>
      </c>
      <c r="U3033">
        <v>-0.2312622</v>
      </c>
      <c r="V3033">
        <v>-0.14258029999999999</v>
      </c>
      <c r="W3033">
        <v>3.8530170000000002E-2</v>
      </c>
      <c r="X3033">
        <v>0.98903299999999905</v>
      </c>
      <c r="Y3033">
        <v>-3.7024300000000003E-2</v>
      </c>
      <c r="Z3033">
        <v>-2.1227179999999999E-4</v>
      </c>
      <c r="AA3033">
        <v>0.99931440000000005</v>
      </c>
      <c r="AB3033">
        <v>27</v>
      </c>
      <c r="AC3033">
        <v>-84.600700000000003</v>
      </c>
      <c r="AD3033">
        <v>0.85068699999999997</v>
      </c>
      <c r="AE3033">
        <v>-6.5093999999999701</v>
      </c>
      <c r="AF3033">
        <v>-3.1442419877182601</v>
      </c>
      <c r="AG3033">
        <v>0.85068699999999997</v>
      </c>
      <c r="AH3033">
        <v>84.783945134776005</v>
      </c>
      <c r="AI3033">
        <v>89.425532039910394</v>
      </c>
      <c r="AJ3033">
        <v>92.123860531587098</v>
      </c>
      <c r="AK3033">
        <v>84.846492435845605</v>
      </c>
    </row>
    <row r="3034" spans="1:37" x14ac:dyDescent="0.2">
      <c r="A3034" t="str">
        <f>"20200111155556937"</f>
        <v>20200111155556937</v>
      </c>
      <c r="B3034" t="str">
        <f>"1578729356925327"</f>
        <v>1578729356925327</v>
      </c>
      <c r="C3034" t="s">
        <v>37</v>
      </c>
      <c r="D3034">
        <v>4.8553449999999998</v>
      </c>
      <c r="E3034">
        <v>0.54227860000000006</v>
      </c>
      <c r="F3034" t="s">
        <v>60</v>
      </c>
      <c r="G3034">
        <v>-551.06230000000005</v>
      </c>
      <c r="H3034">
        <v>1.316457</v>
      </c>
      <c r="I3034">
        <v>278.33550000000002</v>
      </c>
      <c r="J3034">
        <v>-466.72840000000002</v>
      </c>
      <c r="K3034">
        <v>1.10891299999999</v>
      </c>
      <c r="L3034">
        <v>284.79610000000002</v>
      </c>
      <c r="M3034">
        <v>-0.99887440000000005</v>
      </c>
      <c r="N3034">
        <v>0</v>
      </c>
      <c r="O3034">
        <v>-4.5268650000000001E-2</v>
      </c>
      <c r="P3034">
        <v>-0.98202350000000005</v>
      </c>
      <c r="Q3034">
        <v>2.619405E-2</v>
      </c>
      <c r="R3034">
        <v>-0.18693379999999901</v>
      </c>
      <c r="S3034">
        <v>-3.0090029999999999</v>
      </c>
      <c r="T3034">
        <v>7.3912140000000001E-3</v>
      </c>
      <c r="U3034">
        <v>-0.2303772</v>
      </c>
      <c r="V3034">
        <v>-0.14265629999999899</v>
      </c>
      <c r="W3034">
        <v>3.8878950000000002E-2</v>
      </c>
      <c r="X3034">
        <v>0.98900840000000001</v>
      </c>
      <c r="Y3034">
        <v>-3.1119919999999999E-2</v>
      </c>
      <c r="Z3034" s="1">
        <v>-7.280338E-5</v>
      </c>
      <c r="AA3034">
        <v>0.99951569999999901</v>
      </c>
      <c r="AB3034">
        <v>27</v>
      </c>
      <c r="AC3034">
        <v>-84.3339</v>
      </c>
      <c r="AD3034">
        <v>0.20754400000000001</v>
      </c>
      <c r="AE3034">
        <v>-6.4606000000000003</v>
      </c>
      <c r="AF3034">
        <v>-2.6358947791056</v>
      </c>
      <c r="AG3034">
        <v>0.20754400000000001</v>
      </c>
      <c r="AH3034">
        <v>84.539410644016598</v>
      </c>
      <c r="AI3034">
        <v>89.859407637693494</v>
      </c>
      <c r="AJ3034">
        <v>91.785873985878794</v>
      </c>
      <c r="AK3034">
        <v>84.580748210429803</v>
      </c>
    </row>
    <row r="3035" spans="1:37" x14ac:dyDescent="0.2">
      <c r="A3035" t="str">
        <f>"20200111155556952"</f>
        <v>20200111155556952</v>
      </c>
      <c r="B3035" t="str">
        <f>"1578729356944848"</f>
        <v>1578729356944848</v>
      </c>
      <c r="C3035" t="s">
        <v>37</v>
      </c>
      <c r="D3035">
        <v>4.8660779999999999</v>
      </c>
      <c r="E3035">
        <v>0.54381230000000003</v>
      </c>
      <c r="F3035" t="s">
        <v>60</v>
      </c>
      <c r="G3035">
        <v>-551.06190000000004</v>
      </c>
      <c r="H3035">
        <v>0.14994260000000001</v>
      </c>
      <c r="I3035">
        <v>278.30669999999998</v>
      </c>
      <c r="J3035">
        <v>-466.9178</v>
      </c>
      <c r="K3035">
        <v>1.109046</v>
      </c>
      <c r="L3035">
        <v>284.78309999999999</v>
      </c>
      <c r="M3035">
        <v>-0.99867759999999905</v>
      </c>
      <c r="N3035">
        <v>0</v>
      </c>
      <c r="O3035">
        <v>-4.9414979999999997E-2</v>
      </c>
      <c r="P3035">
        <v>-0.98130309999999898</v>
      </c>
      <c r="Q3035">
        <v>2.6550029999999999E-2</v>
      </c>
      <c r="R3035">
        <v>-0.19062960000000001</v>
      </c>
      <c r="S3035">
        <v>-3.0117189999999998</v>
      </c>
      <c r="T3035">
        <v>-3.4243820000000001E-2</v>
      </c>
      <c r="U3035">
        <v>-0.2317505</v>
      </c>
      <c r="V3035">
        <v>-0.1422899</v>
      </c>
      <c r="W3035">
        <v>3.9206299999999999E-2</v>
      </c>
      <c r="X3035">
        <v>0.98904820000000004</v>
      </c>
      <c r="Y3035">
        <v>-2.7356140000000001E-2</v>
      </c>
      <c r="Z3035">
        <v>4.0534179999999998E-4</v>
      </c>
      <c r="AA3035">
        <v>0.99962569999999995</v>
      </c>
      <c r="AB3035">
        <v>26</v>
      </c>
      <c r="AC3035">
        <v>-84.144099999999995</v>
      </c>
      <c r="AD3035">
        <v>-0.95910339999999905</v>
      </c>
      <c r="AE3035">
        <v>-6.4764000000000097</v>
      </c>
      <c r="AF3035">
        <v>-2.3097906834929098</v>
      </c>
      <c r="AG3035">
        <v>-0.95910339999999905</v>
      </c>
      <c r="AH3035">
        <v>84.350452200744996</v>
      </c>
      <c r="AI3035">
        <v>90.651207181430394</v>
      </c>
      <c r="AJ3035">
        <v>91.568553466524804</v>
      </c>
      <c r="AK3035">
        <v>84.387521582302796</v>
      </c>
    </row>
    <row r="3036" spans="1:37" x14ac:dyDescent="0.2">
      <c r="A3036" t="str">
        <f>"20200111155556967"</f>
        <v>20200111155556967</v>
      </c>
      <c r="B3036" t="str">
        <f>"1578729356965344"</f>
        <v>1578729356965344</v>
      </c>
      <c r="C3036" t="s">
        <v>37</v>
      </c>
      <c r="D3036">
        <v>5.0077169999999898</v>
      </c>
      <c r="E3036">
        <v>0.54394799999999999</v>
      </c>
      <c r="F3036" t="s">
        <v>39</v>
      </c>
      <c r="G3036">
        <v>-530.01880000000006</v>
      </c>
      <c r="H3036">
        <v>-0.05</v>
      </c>
      <c r="I3036">
        <v>279.93889999999999</v>
      </c>
      <c r="J3036">
        <v>-467.08929999999998</v>
      </c>
      <c r="K3036">
        <v>1.10917</v>
      </c>
      <c r="L3036">
        <v>284.77050000000003</v>
      </c>
      <c r="M3036">
        <v>-0.99847779999999997</v>
      </c>
      <c r="N3036">
        <v>0</v>
      </c>
      <c r="O3036">
        <v>-5.3295530000000001E-2</v>
      </c>
      <c r="P3036">
        <v>-0.98062899999999997</v>
      </c>
      <c r="Q3036">
        <v>2.7159880000000001E-2</v>
      </c>
      <c r="R3036">
        <v>-0.19398289999999899</v>
      </c>
      <c r="S3036">
        <v>-3.0136720000000001</v>
      </c>
      <c r="T3036">
        <v>-5.5355429999999997E-2</v>
      </c>
      <c r="U3036">
        <v>-0.2313538</v>
      </c>
      <c r="V3036">
        <v>-0.14184559999999999</v>
      </c>
      <c r="W3036">
        <v>3.9791399999999998E-2</v>
      </c>
      <c r="X3036">
        <v>0.98908869999999904</v>
      </c>
      <c r="Y3036">
        <v>-2.3294539999999999E-2</v>
      </c>
      <c r="Z3036">
        <v>7.6306379999999997E-4</v>
      </c>
      <c r="AA3036">
        <v>0.99972839999999996</v>
      </c>
      <c r="AB3036">
        <v>26</v>
      </c>
      <c r="AC3036">
        <v>-62.929499999999997</v>
      </c>
      <c r="AD3036">
        <v>-1.15917</v>
      </c>
      <c r="AE3036">
        <v>-4.8316000000000301</v>
      </c>
      <c r="AF3036">
        <v>-1.470036708991</v>
      </c>
      <c r="AG3036">
        <v>-1.15917</v>
      </c>
      <c r="AH3036">
        <v>63.0762976863139</v>
      </c>
      <c r="AI3036">
        <v>91.052535618508699</v>
      </c>
      <c r="AJ3036">
        <v>91.335076055254603</v>
      </c>
      <c r="AK3036">
        <v>63.104072870355701</v>
      </c>
    </row>
    <row r="3037" spans="1:37" x14ac:dyDescent="0.2">
      <c r="A3037" t="str">
        <f>"20200111155556981"</f>
        <v>20200111155556981</v>
      </c>
      <c r="B3037" t="str">
        <f>"1578729356975104"</f>
        <v>1578729356975104</v>
      </c>
      <c r="C3037" t="s">
        <v>37</v>
      </c>
      <c r="D3037">
        <v>4.8955060000000001</v>
      </c>
      <c r="E3037">
        <v>0.54431300000000005</v>
      </c>
      <c r="F3037" t="s">
        <v>39</v>
      </c>
      <c r="G3037">
        <v>-529.6046</v>
      </c>
      <c r="H3037">
        <v>-0.05</v>
      </c>
      <c r="I3037">
        <v>279.77429999999998</v>
      </c>
      <c r="J3037">
        <v>-467.25729999999999</v>
      </c>
      <c r="K3037">
        <v>1.1092930000000001</v>
      </c>
      <c r="L3037">
        <v>284.75760000000002</v>
      </c>
      <c r="M3037">
        <v>-0.99826170000000003</v>
      </c>
      <c r="N3037">
        <v>0</v>
      </c>
      <c r="O3037">
        <v>-5.7195999999999997E-2</v>
      </c>
      <c r="P3037">
        <v>-0.9798945</v>
      </c>
      <c r="Q3037">
        <v>2.8156750000000001E-2</v>
      </c>
      <c r="R3037">
        <v>-0.1975201</v>
      </c>
      <c r="S3037">
        <v>-3.0131839999999999</v>
      </c>
      <c r="T3037">
        <v>-5.5871009999999999E-2</v>
      </c>
      <c r="U3037">
        <v>-0.24081420000000001</v>
      </c>
      <c r="V3037">
        <v>-0.14157410000000001</v>
      </c>
      <c r="W3037">
        <v>4.0762399999999997E-2</v>
      </c>
      <c r="X3037">
        <v>0.98908809999999903</v>
      </c>
      <c r="Y3037">
        <v>-2.2521659999999999E-2</v>
      </c>
      <c r="Z3037">
        <v>8.4937979999999999E-4</v>
      </c>
      <c r="AA3037">
        <v>0.99974599999999902</v>
      </c>
      <c r="AB3037">
        <v>26</v>
      </c>
      <c r="AC3037">
        <v>-62.347299999999997</v>
      </c>
      <c r="AD3037">
        <v>-1.1592929999999999</v>
      </c>
      <c r="AE3037">
        <v>-4.9833000000000398</v>
      </c>
      <c r="AF3037">
        <v>-1.4082799795562799</v>
      </c>
      <c r="AG3037">
        <v>-1.1592929999999999</v>
      </c>
      <c r="AH3037">
        <v>62.5087938426554</v>
      </c>
      <c r="AI3037">
        <v>91.062220741390803</v>
      </c>
      <c r="AJ3037">
        <v>91.290616035219898</v>
      </c>
      <c r="AK3037">
        <v>62.535402136903699</v>
      </c>
    </row>
    <row r="3038" spans="1:37" x14ac:dyDescent="0.2">
      <c r="A3038" t="str">
        <f>"20200111155556994"</f>
        <v>20200111155556994</v>
      </c>
      <c r="B3038" t="str">
        <f>"1578729356984864"</f>
        <v>1578729356984864</v>
      </c>
      <c r="C3038" t="s">
        <v>37</v>
      </c>
      <c r="D3038">
        <v>4.9501039999999996</v>
      </c>
      <c r="E3038">
        <v>0.54472299999999996</v>
      </c>
      <c r="F3038" t="s">
        <v>39</v>
      </c>
      <c r="G3038">
        <v>-538.2296</v>
      </c>
      <c r="H3038">
        <v>-0.05</v>
      </c>
      <c r="I3038">
        <v>278.90019999999998</v>
      </c>
      <c r="J3038">
        <v>-467.41120000000001</v>
      </c>
      <c r="K3038">
        <v>1.1094109999999999</v>
      </c>
      <c r="L3038">
        <v>284.74489999999997</v>
      </c>
      <c r="M3038">
        <v>-0.99804400000000004</v>
      </c>
      <c r="N3038">
        <v>0</v>
      </c>
      <c r="O3038">
        <v>-6.0873999999999998E-2</v>
      </c>
      <c r="P3038">
        <v>-0.97934059999999901</v>
      </c>
      <c r="Q3038">
        <v>3.0476659999999999E-2</v>
      </c>
      <c r="R3038">
        <v>-0.19990859999999999</v>
      </c>
      <c r="S3038">
        <v>-3.0129090000000001</v>
      </c>
      <c r="T3038">
        <v>-4.921412E-2</v>
      </c>
      <c r="U3038">
        <v>-0.24865719999999999</v>
      </c>
      <c r="V3038">
        <v>-0.140379799999999</v>
      </c>
      <c r="W3038">
        <v>4.307064E-2</v>
      </c>
      <c r="X3038">
        <v>0.9891605</v>
      </c>
      <c r="Y3038">
        <v>-2.1429739999999999E-2</v>
      </c>
      <c r="Z3038">
        <v>8.1689380000000002E-4</v>
      </c>
      <c r="AA3038">
        <v>0.99977000000000005</v>
      </c>
      <c r="AB3038">
        <v>26</v>
      </c>
      <c r="AC3038">
        <v>-70.818399999999997</v>
      </c>
      <c r="AD3038">
        <v>-1.159411</v>
      </c>
      <c r="AE3038">
        <v>-5.84469999999998</v>
      </c>
      <c r="AF3038">
        <v>-1.52201747553867</v>
      </c>
      <c r="AG3038">
        <v>-1.159411</v>
      </c>
      <c r="AH3038">
        <v>71.023956274696104</v>
      </c>
      <c r="AI3038">
        <v>90.935011465184402</v>
      </c>
      <c r="AJ3038">
        <v>91.227639755474499</v>
      </c>
      <c r="AK3038">
        <v>71.049722983082106</v>
      </c>
    </row>
    <row r="3039" spans="1:37" x14ac:dyDescent="0.2">
      <c r="A3039" t="str">
        <f>"20200111155557010"</f>
        <v>20200111155557010</v>
      </c>
      <c r="B3039" t="str">
        <f>"1578729357004695"</f>
        <v>1578729357004695</v>
      </c>
      <c r="C3039" t="s">
        <v>37</v>
      </c>
      <c r="D3039">
        <v>4.8819759999999999</v>
      </c>
      <c r="E3039">
        <v>0.54586709999999905</v>
      </c>
      <c r="F3039" t="s">
        <v>60</v>
      </c>
      <c r="G3039">
        <v>-547.15440000000001</v>
      </c>
      <c r="H3039">
        <v>0.24037129999999901</v>
      </c>
      <c r="I3039">
        <v>278.05</v>
      </c>
      <c r="J3039">
        <v>-467.57799999999997</v>
      </c>
      <c r="K3039">
        <v>1.1095280000000001</v>
      </c>
      <c r="L3039">
        <v>284.7303</v>
      </c>
      <c r="M3039">
        <v>-0.99778559999999905</v>
      </c>
      <c r="N3039">
        <v>0</v>
      </c>
      <c r="O3039">
        <v>-6.497021E-2</v>
      </c>
      <c r="P3039">
        <v>-0.97862280000000001</v>
      </c>
      <c r="Q3039">
        <v>3.1719919999999999E-2</v>
      </c>
      <c r="R3039">
        <v>-0.2032023</v>
      </c>
      <c r="S3039">
        <v>-3.0126650000000001</v>
      </c>
      <c r="T3039">
        <v>-3.282881E-2</v>
      </c>
      <c r="U3039">
        <v>-0.25292969999999998</v>
      </c>
      <c r="V3039">
        <v>-0.1396752</v>
      </c>
      <c r="W3039">
        <v>4.4297799999999998E-2</v>
      </c>
      <c r="X3039">
        <v>0.98920599999999903</v>
      </c>
      <c r="Y3039">
        <v>-1.8738060000000001E-2</v>
      </c>
      <c r="Z3039">
        <v>6.0401819999999996E-4</v>
      </c>
      <c r="AA3039">
        <v>0.99982420000000005</v>
      </c>
      <c r="AB3039">
        <v>26</v>
      </c>
      <c r="AC3039">
        <v>-79.576399999999893</v>
      </c>
      <c r="AD3039">
        <v>-0.8691567</v>
      </c>
      <c r="AE3039">
        <v>-6.6802999999999804</v>
      </c>
      <c r="AF3039">
        <v>-1.4953862128091899</v>
      </c>
      <c r="AG3039">
        <v>-0.8691567</v>
      </c>
      <c r="AH3039">
        <v>79.832844536653099</v>
      </c>
      <c r="AI3039">
        <v>90.623656972171105</v>
      </c>
      <c r="AJ3039">
        <v>91.073108451002298</v>
      </c>
      <c r="AK3039">
        <v>79.851579070848999</v>
      </c>
    </row>
    <row r="3040" spans="1:37" x14ac:dyDescent="0.2">
      <c r="A3040" t="str">
        <f>"20200111155557026"</f>
        <v>20200111155557026</v>
      </c>
      <c r="B3040" t="str">
        <f>"1578729357015429"</f>
        <v>1578729357015429</v>
      </c>
      <c r="C3040" t="s">
        <v>37</v>
      </c>
      <c r="D3040">
        <v>4.8513149999999996</v>
      </c>
      <c r="E3040">
        <v>0.54666190000000003</v>
      </c>
      <c r="F3040" t="s">
        <v>60</v>
      </c>
      <c r="G3040">
        <v>-546.70979999999997</v>
      </c>
      <c r="H3040">
        <v>0.21922230000000001</v>
      </c>
      <c r="I3040">
        <v>278.05</v>
      </c>
      <c r="J3040">
        <v>-467.76530000000002</v>
      </c>
      <c r="K3040">
        <v>1.1096520000000001</v>
      </c>
      <c r="L3040">
        <v>284.71319999999997</v>
      </c>
      <c r="M3040">
        <v>-0.99746789999999996</v>
      </c>
      <c r="N3040">
        <v>0</v>
      </c>
      <c r="O3040">
        <v>-6.9676730000000006E-2</v>
      </c>
      <c r="P3040">
        <v>-0.97806469999999901</v>
      </c>
      <c r="Q3040">
        <v>3.315982E-2</v>
      </c>
      <c r="R3040">
        <v>-0.205646</v>
      </c>
      <c r="S3040">
        <v>-3.0137939999999999</v>
      </c>
      <c r="T3040">
        <v>-3.3904789999999997E-2</v>
      </c>
      <c r="U3040">
        <v>-0.25442500000000001</v>
      </c>
      <c r="V3040">
        <v>-0.13750979999999999</v>
      </c>
      <c r="W3040">
        <v>4.5739259999999997E-2</v>
      </c>
      <c r="X3040">
        <v>0.98944379999999998</v>
      </c>
      <c r="Y3040">
        <v>-1.448313E-2</v>
      </c>
      <c r="Z3040">
        <v>7.0014820000000001E-4</v>
      </c>
      <c r="AA3040">
        <v>0.99989490000000003</v>
      </c>
      <c r="AB3040">
        <v>26</v>
      </c>
      <c r="AC3040">
        <v>-78.944499999999906</v>
      </c>
      <c r="AD3040">
        <v>-0.89042969999999999</v>
      </c>
      <c r="AE3040">
        <v>-6.6631999999999598</v>
      </c>
      <c r="AF3040">
        <v>-1.14570505046486</v>
      </c>
      <c r="AG3040">
        <v>-0.89042969999999999</v>
      </c>
      <c r="AH3040">
        <v>79.2069078094828</v>
      </c>
      <c r="AI3040">
        <v>90.644014272012697</v>
      </c>
      <c r="AJ3040">
        <v>90.828709113373293</v>
      </c>
      <c r="AK3040">
        <v>79.2201978655267</v>
      </c>
    </row>
    <row r="3041" spans="1:37" x14ac:dyDescent="0.2">
      <c r="A3041" t="str">
        <f>"20200111155557041"</f>
        <v>20200111155557041</v>
      </c>
      <c r="B3041" t="str">
        <f>"1578729357034951"</f>
        <v>1578729357034951</v>
      </c>
      <c r="C3041" t="s">
        <v>37</v>
      </c>
      <c r="D3041">
        <v>4.7240820000000001</v>
      </c>
      <c r="E3041">
        <v>0.54770379999999996</v>
      </c>
      <c r="F3041" t="s">
        <v>60</v>
      </c>
      <c r="G3041">
        <v>-546.22580000000005</v>
      </c>
      <c r="H3041">
        <v>0.208586299999999</v>
      </c>
      <c r="I3041">
        <v>278.05</v>
      </c>
      <c r="J3041">
        <v>-467.94130000000001</v>
      </c>
      <c r="K3041">
        <v>1.1097600000000001</v>
      </c>
      <c r="L3041">
        <v>284.6961</v>
      </c>
      <c r="M3041">
        <v>-0.9971411</v>
      </c>
      <c r="N3041">
        <v>0</v>
      </c>
      <c r="O3041">
        <v>-7.4203320000000003E-2</v>
      </c>
      <c r="P3041">
        <v>-0.97741690000000003</v>
      </c>
      <c r="Q3041">
        <v>3.340895E-2</v>
      </c>
      <c r="R3041">
        <v>-0.2086626</v>
      </c>
      <c r="S3041">
        <v>-3.014618</v>
      </c>
      <c r="T3041">
        <v>-3.4617660000000001E-2</v>
      </c>
      <c r="U3041">
        <v>-0.25601199999999902</v>
      </c>
      <c r="V3041">
        <v>-0.13608609999999999</v>
      </c>
      <c r="W3041">
        <v>4.5984570000000002E-2</v>
      </c>
      <c r="X3041">
        <v>0.98962919999999999</v>
      </c>
      <c r="Y3041">
        <v>-1.0445050000000001E-2</v>
      </c>
      <c r="Z3041">
        <v>7.8950750000000001E-4</v>
      </c>
      <c r="AA3041">
        <v>0.99994519999999998</v>
      </c>
      <c r="AB3041">
        <v>26</v>
      </c>
      <c r="AC3041">
        <v>-78.284499999999994</v>
      </c>
      <c r="AD3041">
        <v>-0.90117369999999997</v>
      </c>
      <c r="AE3041">
        <v>-6.6460999999999899</v>
      </c>
      <c r="AF3041">
        <v>-0.81810527956650403</v>
      </c>
      <c r="AG3041">
        <v>-0.90117369999999997</v>
      </c>
      <c r="AH3041">
        <v>78.551514190511099</v>
      </c>
      <c r="AI3041">
        <v>90.657255118873906</v>
      </c>
      <c r="AJ3041">
        <v>90.5967075937929</v>
      </c>
      <c r="AK3041">
        <v>78.560943170942807</v>
      </c>
    </row>
    <row r="3042" spans="1:37" x14ac:dyDescent="0.2">
      <c r="A3042" t="str">
        <f>"20200111155557056"</f>
        <v>20200111155557056</v>
      </c>
      <c r="B3042" t="str">
        <f>"1578729357045686"</f>
        <v>1578729357045686</v>
      </c>
      <c r="C3042" t="s">
        <v>37</v>
      </c>
      <c r="D3042">
        <v>4.8102989999999997</v>
      </c>
      <c r="E3042">
        <v>0.54815700000000001</v>
      </c>
      <c r="F3042" t="s">
        <v>60</v>
      </c>
      <c r="G3042">
        <v>-545.84220000000005</v>
      </c>
      <c r="H3042">
        <v>1.4697309999999999E-3</v>
      </c>
      <c r="I3042">
        <v>278.05</v>
      </c>
      <c r="J3042">
        <v>-468.1155</v>
      </c>
      <c r="K3042">
        <v>1.1098569999999901</v>
      </c>
      <c r="L3042">
        <v>284.67829999999998</v>
      </c>
      <c r="M3042">
        <v>-0.99678919999999904</v>
      </c>
      <c r="N3042">
        <v>0</v>
      </c>
      <c r="O3042">
        <v>-7.8787679999999999E-2</v>
      </c>
      <c r="P3042">
        <v>-0.97679689999999997</v>
      </c>
      <c r="Q3042">
        <v>3.4100159999999997E-2</v>
      </c>
      <c r="R3042">
        <v>-0.21143609999999999</v>
      </c>
      <c r="S3042">
        <v>-3.0158079999999998</v>
      </c>
      <c r="T3042">
        <v>-4.2902469999999998E-2</v>
      </c>
      <c r="U3042">
        <v>-0.25729370000000001</v>
      </c>
      <c r="V3042">
        <v>-0.13436439999999999</v>
      </c>
      <c r="W3042">
        <v>4.6679999999999999E-2</v>
      </c>
      <c r="X3042">
        <v>0.98983189999999999</v>
      </c>
      <c r="Y3042">
        <v>-6.2386630000000002E-3</v>
      </c>
      <c r="Z3042">
        <v>1.0727480000000001E-3</v>
      </c>
      <c r="AA3042">
        <v>0.99997999999999998</v>
      </c>
      <c r="AB3042">
        <v>26</v>
      </c>
      <c r="AC3042">
        <v>-77.726699999999994</v>
      </c>
      <c r="AD3042">
        <v>-1.1083872689999901</v>
      </c>
      <c r="AE3042">
        <v>-6.6282999999999603</v>
      </c>
      <c r="AF3042">
        <v>-0.483063200662952</v>
      </c>
      <c r="AG3042">
        <v>-1.1083872689999901</v>
      </c>
      <c r="AH3042">
        <v>77.991567511457703</v>
      </c>
      <c r="AI3042">
        <v>90.814195967943903</v>
      </c>
      <c r="AJ3042">
        <v>90.354873348451207</v>
      </c>
      <c r="AK3042">
        <v>78.000938938503694</v>
      </c>
    </row>
    <row r="3043" spans="1:37" x14ac:dyDescent="0.2">
      <c r="A3043" t="str">
        <f>"20200111155557071"</f>
        <v>20200111155557071</v>
      </c>
      <c r="B3043" t="str">
        <f>"1578729357065206"</f>
        <v>1578729357065206</v>
      </c>
      <c r="C3043" t="s">
        <v>37</v>
      </c>
      <c r="D3043">
        <v>4.7807259999999996</v>
      </c>
      <c r="E3043">
        <v>0.54914439999999998</v>
      </c>
      <c r="F3043" t="s">
        <v>60</v>
      </c>
      <c r="G3043">
        <v>-544.25040000000001</v>
      </c>
      <c r="H3043">
        <v>-2.100807E-2</v>
      </c>
      <c r="I3043">
        <v>278.05</v>
      </c>
      <c r="J3043">
        <v>-468.28089999999997</v>
      </c>
      <c r="K3043">
        <v>1.1099459999999901</v>
      </c>
      <c r="L3043">
        <v>284.66050000000001</v>
      </c>
      <c r="M3043">
        <v>-0.99642770000000003</v>
      </c>
      <c r="N3043">
        <v>0</v>
      </c>
      <c r="O3043">
        <v>-8.3232429999999996E-2</v>
      </c>
      <c r="P3043">
        <v>-0.97667409999999999</v>
      </c>
      <c r="Q3043">
        <v>3.5225739999999998E-2</v>
      </c>
      <c r="R3043">
        <v>-0.2118178</v>
      </c>
      <c r="S3043">
        <v>-3.0159910000000001</v>
      </c>
      <c r="T3043">
        <v>-4.4794559999999997E-2</v>
      </c>
      <c r="U3043">
        <v>-0.26257320000000001</v>
      </c>
      <c r="V3043">
        <v>-0.13035930000000001</v>
      </c>
      <c r="W3043">
        <v>4.7845510000000001E-2</v>
      </c>
      <c r="X3043">
        <v>0.99031170000000002</v>
      </c>
      <c r="Y3043">
        <v>-3.5127079999999998E-3</v>
      </c>
      <c r="Z3043">
        <v>1.205701E-3</v>
      </c>
      <c r="AA3043">
        <v>0.99999309999999997</v>
      </c>
      <c r="AB3043">
        <v>26</v>
      </c>
      <c r="AC3043">
        <v>-75.969499999999996</v>
      </c>
      <c r="AD3043">
        <v>-1.13095406999999</v>
      </c>
      <c r="AE3043">
        <v>-6.6105</v>
      </c>
      <c r="AF3043">
        <v>-0.26372814553248602</v>
      </c>
      <c r="AG3043">
        <v>-1.13095406999999</v>
      </c>
      <c r="AH3043">
        <v>76.239339041659306</v>
      </c>
      <c r="AI3043">
        <v>90.849872988880605</v>
      </c>
      <c r="AJ3043">
        <v>90.198197539441097</v>
      </c>
      <c r="AK3043">
        <v>76.248183107220797</v>
      </c>
    </row>
    <row r="3044" spans="1:37" x14ac:dyDescent="0.2">
      <c r="A3044" t="str">
        <f>"20200111155557085"</f>
        <v>20200111155557085</v>
      </c>
      <c r="B3044" t="str">
        <f>"1578729357074964"</f>
        <v>1578729357074964</v>
      </c>
      <c r="C3044" t="s">
        <v>37</v>
      </c>
      <c r="D3044">
        <v>4.8128399999999996</v>
      </c>
      <c r="E3044">
        <v>0.54962709999999904</v>
      </c>
      <c r="F3044" t="s">
        <v>39</v>
      </c>
      <c r="G3044">
        <v>-539.68730000000005</v>
      </c>
      <c r="H3044">
        <v>-0.05</v>
      </c>
      <c r="I3044">
        <v>278.59109999999998</v>
      </c>
      <c r="J3044">
        <v>-468.44959999999998</v>
      </c>
      <c r="K3044">
        <v>1.1100179999999999</v>
      </c>
      <c r="L3044">
        <v>284.64150000000001</v>
      </c>
      <c r="M3044">
        <v>-0.9960331</v>
      </c>
      <c r="N3044">
        <v>0</v>
      </c>
      <c r="O3044">
        <v>-8.7826860000000007E-2</v>
      </c>
      <c r="P3044">
        <v>-0.97602960000000005</v>
      </c>
      <c r="Q3044">
        <v>3.5924659999999997E-2</v>
      </c>
      <c r="R3044">
        <v>-0.21465329999999999</v>
      </c>
      <c r="S3044">
        <v>-3.0177610000000001</v>
      </c>
      <c r="T3044">
        <v>-4.902136E-2</v>
      </c>
      <c r="U3044">
        <v>-0.25650020000000001</v>
      </c>
      <c r="V3044">
        <v>-0.1286863</v>
      </c>
      <c r="W3044">
        <v>4.8554699999999999E-2</v>
      </c>
      <c r="X3044">
        <v>0.99049599999999904</v>
      </c>
      <c r="Y3044">
        <v>3.1442429999999901E-3</v>
      </c>
      <c r="Z3044">
        <v>1.4469559999999999E-3</v>
      </c>
      <c r="AA3044">
        <v>0.99999400000000005</v>
      </c>
      <c r="AB3044">
        <v>26</v>
      </c>
      <c r="AC3044">
        <v>-71.237700000000004</v>
      </c>
      <c r="AD3044">
        <v>-1.160018</v>
      </c>
      <c r="AE3044">
        <v>-6.0504000000000202</v>
      </c>
      <c r="AF3044">
        <v>0.23014778796551899</v>
      </c>
      <c r="AG3044">
        <v>-1.160018</v>
      </c>
      <c r="AH3044">
        <v>71.474988998397293</v>
      </c>
      <c r="AI3044">
        <v>90.929807158039097</v>
      </c>
      <c r="AJ3044">
        <v>89.815509571583803</v>
      </c>
      <c r="AK3044">
        <v>71.484772239167498</v>
      </c>
    </row>
    <row r="3045" spans="1:37" x14ac:dyDescent="0.2">
      <c r="A3045" t="str">
        <f>"20200111155557099"</f>
        <v>20200111155557099</v>
      </c>
      <c r="B3045" t="str">
        <f>"1578729357094993"</f>
        <v>1578729357094993</v>
      </c>
      <c r="C3045" t="s">
        <v>37</v>
      </c>
      <c r="D3045">
        <v>4.8880489999999996</v>
      </c>
      <c r="E3045">
        <v>0.55043140000000002</v>
      </c>
      <c r="F3045" t="s">
        <v>39</v>
      </c>
      <c r="G3045">
        <v>-538.44230000000005</v>
      </c>
      <c r="H3045">
        <v>-0.05</v>
      </c>
      <c r="I3045">
        <v>278.57310000000001</v>
      </c>
      <c r="J3045">
        <v>-468.61709999999999</v>
      </c>
      <c r="K3045">
        <v>1.11008</v>
      </c>
      <c r="L3045">
        <v>284.62189999999998</v>
      </c>
      <c r="M3045">
        <v>-0.99561480000000002</v>
      </c>
      <c r="N3045">
        <v>0</v>
      </c>
      <c r="O3045">
        <v>-9.2446299999999995E-2</v>
      </c>
      <c r="P3045">
        <v>-0.97530349999999999</v>
      </c>
      <c r="Q3045">
        <v>3.6322529999999999E-2</v>
      </c>
      <c r="R3045">
        <v>-0.21786239999999901</v>
      </c>
      <c r="S3045">
        <v>-3.0179749999999999</v>
      </c>
      <c r="T3045">
        <v>-5.0018189999999997E-2</v>
      </c>
      <c r="U3045">
        <v>-0.26165769999999999</v>
      </c>
      <c r="V3045">
        <v>-0.12736259999999999</v>
      </c>
      <c r="W3045">
        <v>4.896143E-2</v>
      </c>
      <c r="X3045">
        <v>0.99064699999999895</v>
      </c>
      <c r="Y3045">
        <v>6.0910809999999999E-3</v>
      </c>
      <c r="Z3045">
        <v>1.5765449999999999E-3</v>
      </c>
      <c r="AA3045">
        <v>0.99998019999999999</v>
      </c>
      <c r="AB3045">
        <v>26</v>
      </c>
      <c r="AC3045">
        <v>-69.825199999999995</v>
      </c>
      <c r="AD3045">
        <v>-1.16008</v>
      </c>
      <c r="AE3045">
        <v>-6.0487999999999698</v>
      </c>
      <c r="AF3045">
        <v>0.43273236578996399</v>
      </c>
      <c r="AG3045">
        <v>-1.16008</v>
      </c>
      <c r="AH3045">
        <v>70.066174532947699</v>
      </c>
      <c r="AI3045">
        <v>90.948536842963804</v>
      </c>
      <c r="AJ3045">
        <v>89.646142762182194</v>
      </c>
      <c r="AK3045">
        <v>70.077113643387804</v>
      </c>
    </row>
    <row r="3046" spans="1:37" x14ac:dyDescent="0.2">
      <c r="A3046" t="str">
        <f>"20200111155557113"</f>
        <v>20200111155557113</v>
      </c>
      <c r="B3046" t="str">
        <f>"1578729357104754"</f>
        <v>1578729357104754</v>
      </c>
      <c r="C3046" t="s">
        <v>37</v>
      </c>
      <c r="D3046">
        <v>4.8834010000000001</v>
      </c>
      <c r="E3046">
        <v>0.55088340000000002</v>
      </c>
      <c r="F3046" t="s">
        <v>39</v>
      </c>
      <c r="G3046">
        <v>-533.70060000000001</v>
      </c>
      <c r="H3046">
        <v>-0.05</v>
      </c>
      <c r="I3046">
        <v>278.90019999999998</v>
      </c>
      <c r="J3046">
        <v>-468.77969999999999</v>
      </c>
      <c r="K3046">
        <v>1.110131</v>
      </c>
      <c r="L3046">
        <v>284.6019</v>
      </c>
      <c r="M3046">
        <v>-0.995181599999999</v>
      </c>
      <c r="N3046">
        <v>0</v>
      </c>
      <c r="O3046">
        <v>-9.6997340000000001E-2</v>
      </c>
      <c r="P3046">
        <v>-0.97454879999999999</v>
      </c>
      <c r="Q3046">
        <v>3.6949500000000003E-2</v>
      </c>
      <c r="R3046">
        <v>-0.22111039999999901</v>
      </c>
      <c r="S3046">
        <v>-3.0186769999999998</v>
      </c>
      <c r="T3046">
        <v>-5.3806300000000001E-2</v>
      </c>
      <c r="U3046">
        <v>-0.26538089999999998</v>
      </c>
      <c r="V3046">
        <v>-0.12614929999999999</v>
      </c>
      <c r="W3046">
        <v>4.9598669999999997E-2</v>
      </c>
      <c r="X3046">
        <v>0.99077059999999995</v>
      </c>
      <c r="Y3046">
        <v>9.4556859999999996E-3</v>
      </c>
      <c r="Z3046">
        <v>1.80587E-3</v>
      </c>
      <c r="AA3046">
        <v>0.99995369999999995</v>
      </c>
      <c r="AB3046">
        <v>26</v>
      </c>
      <c r="AC3046">
        <v>-64.920900000000003</v>
      </c>
      <c r="AD3046">
        <v>-1.160131</v>
      </c>
      <c r="AE3046">
        <v>-5.7017000000000104</v>
      </c>
      <c r="AF3046">
        <v>0.62279421543107505</v>
      </c>
      <c r="AG3046">
        <v>-1.160131</v>
      </c>
      <c r="AH3046">
        <v>65.1471736774471</v>
      </c>
      <c r="AI3046">
        <v>91.020160123514003</v>
      </c>
      <c r="AJ3046">
        <v>89.452280259315202</v>
      </c>
      <c r="AK3046">
        <v>65.160478932642803</v>
      </c>
    </row>
    <row r="3047" spans="1:37" x14ac:dyDescent="0.2">
      <c r="A3047" t="str">
        <f>"20200111155557129"</f>
        <v>20200111155557129</v>
      </c>
      <c r="B3047" t="str">
        <f>"1578729357125249"</f>
        <v>1578729357125249</v>
      </c>
      <c r="C3047" t="s">
        <v>37</v>
      </c>
      <c r="D3047">
        <v>5.0544979999999997</v>
      </c>
      <c r="E3047">
        <v>0.55088340000000002</v>
      </c>
      <c r="F3047" t="s">
        <v>39</v>
      </c>
      <c r="G3047">
        <v>-534.02380000000005</v>
      </c>
      <c r="H3047">
        <v>-0.05</v>
      </c>
      <c r="I3047">
        <v>278.7303</v>
      </c>
      <c r="J3047">
        <v>-468.94909999999999</v>
      </c>
      <c r="K3047">
        <v>1.1101760000000001</v>
      </c>
      <c r="L3047">
        <v>284.58030000000002</v>
      </c>
      <c r="M3047">
        <v>-0.99470429999999999</v>
      </c>
      <c r="N3047">
        <v>0</v>
      </c>
      <c r="O3047">
        <v>-0.101774</v>
      </c>
      <c r="P3047">
        <v>-0.97348539999999995</v>
      </c>
      <c r="Q3047">
        <v>3.8385280000000001E-2</v>
      </c>
      <c r="R3047">
        <v>-0.22550500000000001</v>
      </c>
      <c r="S3047">
        <v>-3.018707</v>
      </c>
      <c r="T3047">
        <v>-5.3676840000000003E-2</v>
      </c>
      <c r="U3047">
        <v>-0.27166750000000001</v>
      </c>
      <c r="V3047">
        <v>-0.1258917</v>
      </c>
      <c r="W3047">
        <v>5.1033559999999999E-2</v>
      </c>
      <c r="X3047">
        <v>0.99073049999999996</v>
      </c>
      <c r="Y3047">
        <v>1.2190049999999999E-2</v>
      </c>
      <c r="Z3047">
        <v>1.9098189999999899E-3</v>
      </c>
      <c r="AA3047">
        <v>0.99992389999999998</v>
      </c>
      <c r="AB3047">
        <v>26</v>
      </c>
      <c r="AC3047">
        <v>-65.074700000000007</v>
      </c>
      <c r="AD3047">
        <v>-1.1601760000000001</v>
      </c>
      <c r="AE3047">
        <v>-5.8500000000000201</v>
      </c>
      <c r="AF3047">
        <v>0.80372152304898103</v>
      </c>
      <c r="AG3047">
        <v>-1.1601760000000001</v>
      </c>
      <c r="AH3047">
        <v>65.311579124738003</v>
      </c>
      <c r="AI3047">
        <v>91.017601588727601</v>
      </c>
      <c r="AJ3047">
        <v>89.294956155422298</v>
      </c>
      <c r="AK3047">
        <v>65.326827141722603</v>
      </c>
    </row>
    <row r="3048" spans="1:37" x14ac:dyDescent="0.2">
      <c r="A3048" t="str">
        <f>"20200111155557144"</f>
        <v>20200111155557144</v>
      </c>
      <c r="B3048" t="str">
        <f>"1578729357135010"</f>
        <v>1578729357135010</v>
      </c>
      <c r="C3048" t="s">
        <v>37</v>
      </c>
      <c r="D3048">
        <v>4.8983460000000001</v>
      </c>
      <c r="E3048">
        <v>0.49102440000000003</v>
      </c>
      <c r="F3048" t="s">
        <v>60</v>
      </c>
      <c r="G3048">
        <v>-538.09209999999996</v>
      </c>
      <c r="H3048">
        <v>7.1602459999999899E-3</v>
      </c>
      <c r="I3048">
        <v>278.05</v>
      </c>
      <c r="J3048">
        <v>-469.12630000000001</v>
      </c>
      <c r="K3048">
        <v>1.1102080000000001</v>
      </c>
      <c r="L3048">
        <v>284.55669999999998</v>
      </c>
      <c r="M3048">
        <v>-0.99417699999999998</v>
      </c>
      <c r="N3048">
        <v>0</v>
      </c>
      <c r="O3048">
        <v>-0.10680000000000001</v>
      </c>
      <c r="P3048">
        <v>-0.97227450000000004</v>
      </c>
      <c r="Q3048">
        <v>3.904912E-2</v>
      </c>
      <c r="R3048">
        <v>-0.23055970000000001</v>
      </c>
      <c r="S3048">
        <v>-3.017639</v>
      </c>
      <c r="T3048">
        <v>-4.813576E-2</v>
      </c>
      <c r="U3048">
        <v>-0.28500370000000003</v>
      </c>
      <c r="V3048">
        <v>-0.1260471</v>
      </c>
      <c r="W3048">
        <v>5.1692630000000003E-2</v>
      </c>
      <c r="X3048">
        <v>0.99067649999999996</v>
      </c>
      <c r="Y3048">
        <v>1.2833219999999999E-2</v>
      </c>
      <c r="Z3048">
        <v>1.797451E-3</v>
      </c>
      <c r="AA3048">
        <v>0.99991600000000003</v>
      </c>
      <c r="AB3048">
        <v>26</v>
      </c>
      <c r="AC3048">
        <v>-68.965799999999902</v>
      </c>
      <c r="AD3048">
        <v>-1.1030477540000001</v>
      </c>
      <c r="AE3048">
        <v>-6.5066999999999604</v>
      </c>
      <c r="AF3048">
        <v>0.89660092834128902</v>
      </c>
      <c r="AG3048">
        <v>-1.1030477540000001</v>
      </c>
      <c r="AH3048">
        <v>69.248699033337402</v>
      </c>
      <c r="AI3048">
        <v>90.912498603647293</v>
      </c>
      <c r="AJ3048">
        <v>89.258201533208094</v>
      </c>
      <c r="AK3048">
        <v>69.263286995218806</v>
      </c>
    </row>
    <row r="3049" spans="1:37" x14ac:dyDescent="0.2">
      <c r="A3049" t="str">
        <f>"20200111155557160"</f>
        <v>20200111155557160</v>
      </c>
      <c r="B3049" t="str">
        <f>"1578729357155506"</f>
        <v>1578729357155506</v>
      </c>
      <c r="C3049" t="s">
        <v>37</v>
      </c>
      <c r="D3049">
        <v>4.5107970000000002</v>
      </c>
      <c r="E3049">
        <v>0.49102440000000003</v>
      </c>
      <c r="F3049" t="s">
        <v>60</v>
      </c>
      <c r="G3049">
        <v>-512.82539999999995</v>
      </c>
      <c r="H3049">
        <v>0.68024209999999996</v>
      </c>
      <c r="I3049">
        <v>273.05599999999998</v>
      </c>
      <c r="J3049">
        <v>-469.3098</v>
      </c>
      <c r="K3049">
        <v>1.11022</v>
      </c>
      <c r="L3049">
        <v>284.53140000000002</v>
      </c>
      <c r="M3049">
        <v>-0.99360130000000002</v>
      </c>
      <c r="N3049">
        <v>0</v>
      </c>
      <c r="O3049">
        <v>-0.11202999999999901</v>
      </c>
      <c r="P3049">
        <v>-0.97062099999999996</v>
      </c>
      <c r="Q3049">
        <v>3.976872E-2</v>
      </c>
      <c r="R3049">
        <v>-0.237304299999999</v>
      </c>
      <c r="S3049">
        <v>-2.9053339999999999</v>
      </c>
      <c r="T3049">
        <v>-2.8580899999999999E-2</v>
      </c>
      <c r="U3049">
        <v>-0.76461789999999996</v>
      </c>
      <c r="V3049">
        <v>-0.1277277</v>
      </c>
      <c r="W3049">
        <v>5.2387389999999999E-2</v>
      </c>
      <c r="X3049">
        <v>0.99042479999999999</v>
      </c>
      <c r="Y3049">
        <v>-0.14455479999999901</v>
      </c>
      <c r="Z3049">
        <v>3.7900679999999998E-4</v>
      </c>
      <c r="AA3049">
        <v>0.98949669999999901</v>
      </c>
      <c r="AB3049">
        <v>26</v>
      </c>
      <c r="AC3049">
        <v>-43.5155999999999</v>
      </c>
      <c r="AD3049">
        <v>-0.42997790000000002</v>
      </c>
      <c r="AE3049">
        <v>-11.4754</v>
      </c>
      <c r="AF3049">
        <v>-6.5269953801221101</v>
      </c>
      <c r="AG3049">
        <v>-0.42997790000000002</v>
      </c>
      <c r="AH3049">
        <v>44.5232621049256</v>
      </c>
      <c r="AI3049">
        <v>90.547458676011104</v>
      </c>
      <c r="AJ3049">
        <v>98.340007584872694</v>
      </c>
      <c r="AK3049">
        <v>45.001193519178202</v>
      </c>
    </row>
    <row r="3050" spans="1:37" x14ac:dyDescent="0.2">
      <c r="A3050" t="str">
        <f>"20200111155557267"</f>
        <v>20200111155557267</v>
      </c>
      <c r="B3050" t="str">
        <f>"1578729357265794"</f>
        <v>1578729357265794</v>
      </c>
      <c r="C3050" t="s">
        <v>37</v>
      </c>
      <c r="D3050">
        <v>3.0660470000000002</v>
      </c>
      <c r="E3050">
        <v>0.49102440000000003</v>
      </c>
      <c r="F3050" t="s">
        <v>60</v>
      </c>
      <c r="G3050">
        <v>-512.82539999999995</v>
      </c>
      <c r="H3050">
        <v>0.71185449999999995</v>
      </c>
      <c r="I3050">
        <v>272.76170000000002</v>
      </c>
      <c r="J3050">
        <v>-470.52839999999998</v>
      </c>
      <c r="K3050">
        <v>1.110004</v>
      </c>
      <c r="L3050">
        <v>284.33749999999998</v>
      </c>
      <c r="M3050">
        <v>-0.98910039999999999</v>
      </c>
      <c r="N3050">
        <v>0</v>
      </c>
      <c r="O3050">
        <v>-0.14654159999999999</v>
      </c>
      <c r="P3050">
        <v>-0.95997189999999999</v>
      </c>
      <c r="Q3050">
        <v>3.048182E-2</v>
      </c>
      <c r="R3050">
        <v>-0.27843259999999997</v>
      </c>
      <c r="S3050">
        <v>-2.9001160000000001</v>
      </c>
      <c r="T3050">
        <v>-2.6543859999999999E-2</v>
      </c>
      <c r="U3050">
        <v>-0.78439329999999996</v>
      </c>
      <c r="V3050">
        <v>-0.135269899999999</v>
      </c>
      <c r="W3050">
        <v>4.305635E-2</v>
      </c>
      <c r="X3050">
        <v>0.9898728</v>
      </c>
      <c r="Y3050">
        <v>-0.116797</v>
      </c>
      <c r="Z3050">
        <v>7.8270019999999996E-4</v>
      </c>
      <c r="AA3050">
        <v>0.99315549999999997</v>
      </c>
      <c r="AB3050">
        <v>26</v>
      </c>
      <c r="AC3050">
        <v>-42.296999999999898</v>
      </c>
      <c r="AD3050">
        <v>-0.39814949999999899</v>
      </c>
      <c r="AE3050">
        <v>-11.5757999999999</v>
      </c>
      <c r="AF3050">
        <v>-5.2514663207113799</v>
      </c>
      <c r="AG3050">
        <v>-0.39814949999999899</v>
      </c>
      <c r="AH3050">
        <v>43.5332108771265</v>
      </c>
      <c r="AI3050">
        <v>90.520234364780805</v>
      </c>
      <c r="AJ3050">
        <v>96.878426158309395</v>
      </c>
      <c r="AK3050">
        <v>43.850619959292203</v>
      </c>
    </row>
    <row r="3051" spans="1:37" x14ac:dyDescent="0.2">
      <c r="A3051" t="str">
        <f>"20200111155557281"</f>
        <v>20200111155557281</v>
      </c>
      <c r="B3051" t="str">
        <f>"1578729357275554"</f>
        <v>1578729357275554</v>
      </c>
      <c r="C3051" t="s">
        <v>37</v>
      </c>
      <c r="D3051">
        <v>3.0956759999999899</v>
      </c>
      <c r="E3051">
        <v>0.2912013</v>
      </c>
      <c r="F3051" t="s">
        <v>60</v>
      </c>
      <c r="G3051">
        <v>-512.82529999999997</v>
      </c>
      <c r="H3051">
        <v>0.3056835</v>
      </c>
      <c r="I3051">
        <v>270.94200000000001</v>
      </c>
      <c r="J3051">
        <v>-470.68049999999999</v>
      </c>
      <c r="K3051">
        <v>1.1099490000000001</v>
      </c>
      <c r="L3051">
        <v>284.31040000000002</v>
      </c>
      <c r="M3051">
        <v>-0.98846719999999899</v>
      </c>
      <c r="N3051">
        <v>0</v>
      </c>
      <c r="O3051">
        <v>-0.1507539</v>
      </c>
      <c r="P3051">
        <v>-0.95843120000000004</v>
      </c>
      <c r="Q3051">
        <v>2.757064E-2</v>
      </c>
      <c r="R3051">
        <v>-0.28398889999999999</v>
      </c>
      <c r="S3051">
        <v>-2.8637389999999998</v>
      </c>
      <c r="T3051">
        <v>-5.4451470000000002E-2</v>
      </c>
      <c r="U3051">
        <v>-0.90695190000000003</v>
      </c>
      <c r="V3051">
        <v>-0.136735</v>
      </c>
      <c r="W3051">
        <v>4.0136819999999997E-2</v>
      </c>
      <c r="X3051">
        <v>0.98979419999999996</v>
      </c>
      <c r="Y3051">
        <v>-0.15473680000000001</v>
      </c>
      <c r="Z3051">
        <v>1.3380449999999999E-3</v>
      </c>
      <c r="AA3051">
        <v>0.98795480000000002</v>
      </c>
      <c r="AB3051">
        <v>26</v>
      </c>
      <c r="AC3051">
        <v>-42.144799999999897</v>
      </c>
      <c r="AD3051">
        <v>-0.80426549999999997</v>
      </c>
      <c r="AE3051">
        <v>-13.368399999999999</v>
      </c>
      <c r="AF3051">
        <v>-6.85916863912027</v>
      </c>
      <c r="AG3051">
        <v>-0.80426549999999997</v>
      </c>
      <c r="AH3051">
        <v>43.664139141822098</v>
      </c>
      <c r="AI3051">
        <v>91.042451217556703</v>
      </c>
      <c r="AJ3051">
        <v>98.927594897194794</v>
      </c>
      <c r="AK3051">
        <v>44.206923489548302</v>
      </c>
    </row>
    <row r="3052" spans="1:37" x14ac:dyDescent="0.2">
      <c r="A3052" t="str">
        <f>"20200111155557293"</f>
        <v>20200111155557293</v>
      </c>
      <c r="B3052" t="str">
        <f>"1578729357285315"</f>
        <v>1578729357285315</v>
      </c>
      <c r="C3052" t="s">
        <v>37</v>
      </c>
      <c r="D3052">
        <v>3.1323400000000001</v>
      </c>
      <c r="E3052">
        <v>0.29211350000000003</v>
      </c>
      <c r="F3052" t="s">
        <v>60</v>
      </c>
      <c r="G3052">
        <v>-512.82569999999998</v>
      </c>
      <c r="H3052">
        <v>1.534232</v>
      </c>
      <c r="I3052">
        <v>241.36080000000001</v>
      </c>
      <c r="J3052">
        <v>-470.82040000000001</v>
      </c>
      <c r="K3052">
        <v>1.1098870000000001</v>
      </c>
      <c r="L3052">
        <v>284.28489999999999</v>
      </c>
      <c r="M3052">
        <v>-0.98787429999999998</v>
      </c>
      <c r="N3052">
        <v>0</v>
      </c>
      <c r="O3052">
        <v>-0.15459100000000001</v>
      </c>
      <c r="P3052">
        <v>-0.95637329999999998</v>
      </c>
      <c r="Q3052">
        <v>2.223033E-2</v>
      </c>
      <c r="R3052">
        <v>-0.29130040000000001</v>
      </c>
      <c r="S3052">
        <v>-2.4036249999999999</v>
      </c>
      <c r="T3052">
        <v>2.4201629999999998E-2</v>
      </c>
      <c r="U3052">
        <v>-2.4494929999999999</v>
      </c>
      <c r="V3052">
        <v>-0.1403626</v>
      </c>
      <c r="W3052">
        <v>3.4758549999999999E-2</v>
      </c>
      <c r="X3052">
        <v>0.98948989999999903</v>
      </c>
      <c r="Y3052">
        <v>-0.59687969999999901</v>
      </c>
      <c r="Z3052">
        <v>1.217058E-3</v>
      </c>
      <c r="AA3052">
        <v>0.80232979999999998</v>
      </c>
      <c r="AB3052">
        <v>26</v>
      </c>
      <c r="AC3052">
        <v>-42.005299999999899</v>
      </c>
      <c r="AD3052">
        <v>0.42434499999999897</v>
      </c>
      <c r="AE3052">
        <v>-42.924099999999903</v>
      </c>
      <c r="AF3052">
        <v>-35.911880198605203</v>
      </c>
      <c r="AG3052">
        <v>0.42434499999999897</v>
      </c>
      <c r="AH3052">
        <v>48.134190957259399</v>
      </c>
      <c r="AI3052">
        <v>89.595156003176001</v>
      </c>
      <c r="AJ3052">
        <v>126.725824445884</v>
      </c>
      <c r="AK3052">
        <v>60.056169934386503</v>
      </c>
    </row>
    <row r="3053" spans="1:37" x14ac:dyDescent="0.2">
      <c r="A3053" t="str">
        <f>"20200111155557307"</f>
        <v>20200111155557307</v>
      </c>
      <c r="B3053" t="str">
        <f>"1578729357295073"</f>
        <v>1578729357295073</v>
      </c>
      <c r="C3053" t="s">
        <v>37</v>
      </c>
      <c r="D3053">
        <v>3.1601849999999998</v>
      </c>
      <c r="E3053">
        <v>0.29298590000000002</v>
      </c>
      <c r="F3053" t="s">
        <v>60</v>
      </c>
      <c r="G3053">
        <v>-512.82550000000003</v>
      </c>
      <c r="H3053">
        <v>1.07117</v>
      </c>
      <c r="I3053">
        <v>240.99039999999999</v>
      </c>
      <c r="J3053">
        <v>-470.97359999999998</v>
      </c>
      <c r="K3053">
        <v>1.1098319999999999</v>
      </c>
      <c r="L3053">
        <v>284.25619999999998</v>
      </c>
      <c r="M3053">
        <v>-0.9872128</v>
      </c>
      <c r="N3053">
        <v>0</v>
      </c>
      <c r="O3053">
        <v>-0.15876119999999999</v>
      </c>
      <c r="P3053">
        <v>-0.95452890000000001</v>
      </c>
      <c r="Q3053">
        <v>1.9681500000000001E-2</v>
      </c>
      <c r="R3053">
        <v>-0.29746909999999999</v>
      </c>
      <c r="S3053">
        <v>-2.3874209999999998</v>
      </c>
      <c r="T3053">
        <v>-2.1965499999999998E-3</v>
      </c>
      <c r="U3053">
        <v>-2.460693</v>
      </c>
      <c r="V3053">
        <v>-0.1425293</v>
      </c>
      <c r="W3053">
        <v>3.2192220000000001E-2</v>
      </c>
      <c r="X3053">
        <v>0.98926689999999995</v>
      </c>
      <c r="Y3053">
        <v>-0.59804399999999902</v>
      </c>
      <c r="Z3053">
        <v>-1.082653E-4</v>
      </c>
      <c r="AA3053">
        <v>0.80146329999999999</v>
      </c>
      <c r="AB3053">
        <v>26</v>
      </c>
      <c r="AC3053">
        <v>-41.851900000000001</v>
      </c>
      <c r="AD3053">
        <v>-3.8661999999999697E-2</v>
      </c>
      <c r="AE3053">
        <v>-43.265799999999899</v>
      </c>
      <c r="AF3053">
        <v>-36.071790234425002</v>
      </c>
      <c r="AG3053">
        <v>-3.8661999999999697E-2</v>
      </c>
      <c r="AH3053">
        <v>48.190600152259996</v>
      </c>
      <c r="AI3053">
        <v>90.036799530454999</v>
      </c>
      <c r="AJ3053">
        <v>126.8157121218</v>
      </c>
      <c r="AK3053">
        <v>60.195593597053303</v>
      </c>
    </row>
    <row r="3054" spans="1:37" x14ac:dyDescent="0.2">
      <c r="A3054" t="str">
        <f>"20200111155557338"</f>
        <v>20200111155557338</v>
      </c>
      <c r="B3054" t="str">
        <f>"1578729357335090"</f>
        <v>1578729357335090</v>
      </c>
      <c r="C3054" t="s">
        <v>37</v>
      </c>
      <c r="D3054">
        <v>2.921948</v>
      </c>
      <c r="E3054">
        <v>0.29008410000000001</v>
      </c>
      <c r="F3054" t="s">
        <v>60</v>
      </c>
      <c r="G3054">
        <v>-512.82539999999995</v>
      </c>
      <c r="H3054">
        <v>0.86733009999999999</v>
      </c>
      <c r="I3054">
        <v>240.71510000000001</v>
      </c>
      <c r="J3054">
        <v>-471.32389999999998</v>
      </c>
      <c r="K3054">
        <v>1.1097090000000001</v>
      </c>
      <c r="L3054">
        <v>284.18869999999998</v>
      </c>
      <c r="M3054">
        <v>-0.985653</v>
      </c>
      <c r="N3054">
        <v>0</v>
      </c>
      <c r="O3054">
        <v>-0.1681742</v>
      </c>
      <c r="P3054">
        <v>-0.95006469999999899</v>
      </c>
      <c r="Q3054">
        <v>1.6438399999999999E-2</v>
      </c>
      <c r="R3054">
        <v>-0.31161990000000001</v>
      </c>
      <c r="S3054">
        <v>-2.3736269999999999</v>
      </c>
      <c r="T3054">
        <v>-1.374948E-2</v>
      </c>
      <c r="U3054">
        <v>-2.4694210000000001</v>
      </c>
      <c r="V3054">
        <v>-0.147733</v>
      </c>
      <c r="W3054">
        <v>2.8906919999999999E-2</v>
      </c>
      <c r="X3054">
        <v>0.988604699999999</v>
      </c>
      <c r="Y3054">
        <v>-0.5941244</v>
      </c>
      <c r="Z3054">
        <v>-6.277648E-4</v>
      </c>
      <c r="AA3054">
        <v>0.804373</v>
      </c>
      <c r="AB3054">
        <v>26</v>
      </c>
      <c r="AC3054">
        <v>-41.501499999999901</v>
      </c>
      <c r="AD3054">
        <v>-0.24237890000000001</v>
      </c>
      <c r="AE3054">
        <v>-43.473599999999898</v>
      </c>
      <c r="AF3054">
        <v>-35.873507369120901</v>
      </c>
      <c r="AG3054">
        <v>-0.24237890000000001</v>
      </c>
      <c r="AH3054">
        <v>48.221389196615497</v>
      </c>
      <c r="AI3054">
        <v>90.231062005445196</v>
      </c>
      <c r="AJ3054">
        <v>126.646795215623</v>
      </c>
      <c r="AK3054">
        <v>60.102160148741802</v>
      </c>
    </row>
    <row r="3055" spans="1:37" x14ac:dyDescent="0.2">
      <c r="A3055" t="str">
        <f>"20200111155557361"</f>
        <v>20200111155557361</v>
      </c>
      <c r="B3055" t="str">
        <f>"1578729357355585"</f>
        <v>1578729357355585</v>
      </c>
      <c r="C3055" t="s">
        <v>37</v>
      </c>
      <c r="D3055">
        <v>2.9185979999999998</v>
      </c>
      <c r="E3055">
        <v>0.28806419999999999</v>
      </c>
      <c r="F3055" t="s">
        <v>60</v>
      </c>
      <c r="G3055">
        <v>-512.82569999999998</v>
      </c>
      <c r="H3055">
        <v>1.5229239999999999</v>
      </c>
      <c r="I3055">
        <v>239.1789</v>
      </c>
      <c r="J3055">
        <v>-471.57819999999998</v>
      </c>
      <c r="K3055">
        <v>1.109637</v>
      </c>
      <c r="L3055">
        <v>284.13729999999998</v>
      </c>
      <c r="M3055">
        <v>-0.98448340000000001</v>
      </c>
      <c r="N3055">
        <v>0</v>
      </c>
      <c r="O3055">
        <v>-0.1748922</v>
      </c>
      <c r="P3055">
        <v>-0.94695969999999996</v>
      </c>
      <c r="Q3055">
        <v>1.620835E-2</v>
      </c>
      <c r="R3055">
        <v>-0.32094440000000002</v>
      </c>
      <c r="S3055">
        <v>-2.328827</v>
      </c>
      <c r="T3055">
        <v>2.319098E-2</v>
      </c>
      <c r="U3055">
        <v>-2.525665</v>
      </c>
      <c r="V3055">
        <v>-0.15070039999999901</v>
      </c>
      <c r="W3055">
        <v>2.865668E-2</v>
      </c>
      <c r="X3055">
        <v>0.98816409999999999</v>
      </c>
      <c r="Y3055">
        <v>-0.60526389999999997</v>
      </c>
      <c r="Z3055">
        <v>1.0591159999999999E-3</v>
      </c>
      <c r="AA3055">
        <v>0.79602419999999996</v>
      </c>
      <c r="AB3055">
        <v>26</v>
      </c>
      <c r="AC3055">
        <v>-41.247500000000002</v>
      </c>
      <c r="AD3055">
        <v>0.41328700000000002</v>
      </c>
      <c r="AE3055">
        <v>-44.958399999999898</v>
      </c>
      <c r="AF3055">
        <v>-37.049033274675097</v>
      </c>
      <c r="AG3055">
        <v>0.41328700000000002</v>
      </c>
      <c r="AH3055">
        <v>48.473101112300697</v>
      </c>
      <c r="AI3055">
        <v>89.611882112931994</v>
      </c>
      <c r="AJ3055">
        <v>127.391457079913</v>
      </c>
      <c r="AK3055">
        <v>61.011828395612604</v>
      </c>
    </row>
    <row r="3056" spans="1:37" x14ac:dyDescent="0.2">
      <c r="A3056" t="str">
        <f>"20200111155557374"</f>
        <v>20200111155557374</v>
      </c>
      <c r="B3056" t="str">
        <f>"1578729357365346"</f>
        <v>1578729357365346</v>
      </c>
      <c r="C3056" t="s">
        <v>37</v>
      </c>
      <c r="D3056">
        <v>2.9720009999999899</v>
      </c>
      <c r="E3056">
        <v>0.28741850000000002</v>
      </c>
      <c r="F3056" t="s">
        <v>60</v>
      </c>
      <c r="G3056">
        <v>-512.82579999999996</v>
      </c>
      <c r="H3056">
        <v>2.045696</v>
      </c>
      <c r="I3056">
        <v>238.12440000000001</v>
      </c>
      <c r="J3056">
        <v>-471.71719999999999</v>
      </c>
      <c r="K3056">
        <v>1.1095979999999901</v>
      </c>
      <c r="L3056">
        <v>284.10860000000002</v>
      </c>
      <c r="M3056">
        <v>-0.98383080000000001</v>
      </c>
      <c r="N3056">
        <v>0</v>
      </c>
      <c r="O3056">
        <v>-0.17852699999999999</v>
      </c>
      <c r="P3056">
        <v>-0.94533140000000004</v>
      </c>
      <c r="Q3056">
        <v>1.619872E-2</v>
      </c>
      <c r="R3056">
        <v>-0.32570919999999998</v>
      </c>
      <c r="S3056">
        <v>-2.2982480000000001</v>
      </c>
      <c r="T3056">
        <v>5.215931E-2</v>
      </c>
      <c r="U3056">
        <v>-2.5637509999999999</v>
      </c>
      <c r="V3056">
        <v>-0.15202489999999999</v>
      </c>
      <c r="W3056">
        <v>2.8639040000000001E-2</v>
      </c>
      <c r="X3056">
        <v>0.9879616</v>
      </c>
      <c r="Y3056">
        <v>-0.61341969999999901</v>
      </c>
      <c r="Z3056">
        <v>2.4038499999999999E-3</v>
      </c>
      <c r="AA3056">
        <v>0.7897535</v>
      </c>
      <c r="AB3056">
        <v>26</v>
      </c>
      <c r="AC3056">
        <v>-41.108599999999903</v>
      </c>
      <c r="AD3056">
        <v>0.93609799999999999</v>
      </c>
      <c r="AE3056">
        <v>-45.984200000000001</v>
      </c>
      <c r="AF3056">
        <v>-37.896835283457797</v>
      </c>
      <c r="AG3056">
        <v>0.93609799999999999</v>
      </c>
      <c r="AH3056">
        <v>48.6471126119513</v>
      </c>
      <c r="AI3056">
        <v>89.130311165802198</v>
      </c>
      <c r="AJ3056">
        <v>127.919129167226</v>
      </c>
      <c r="AK3056">
        <v>61.673235438454299</v>
      </c>
    </row>
    <row r="3057" spans="1:37" x14ac:dyDescent="0.2">
      <c r="A3057" t="str">
        <f>"20200111155557404"</f>
        <v>20200111155557404</v>
      </c>
      <c r="B3057" t="str">
        <f>"1578729357395601"</f>
        <v>1578729357395601</v>
      </c>
      <c r="C3057" t="s">
        <v>37</v>
      </c>
      <c r="D3057">
        <v>3.72503899999999</v>
      </c>
      <c r="E3057">
        <v>0.2870046</v>
      </c>
      <c r="F3057" t="s">
        <v>60</v>
      </c>
      <c r="G3057">
        <v>-512.82590000000005</v>
      </c>
      <c r="H3057">
        <v>2.2443900000000001</v>
      </c>
      <c r="I3057">
        <v>237.6651</v>
      </c>
      <c r="J3057">
        <v>-472.04419999999999</v>
      </c>
      <c r="K3057">
        <v>1.1095079999999999</v>
      </c>
      <c r="L3057">
        <v>284.03890000000001</v>
      </c>
      <c r="M3057">
        <v>-0.98225589999999996</v>
      </c>
      <c r="N3057">
        <v>0</v>
      </c>
      <c r="O3057">
        <v>-0.18699869999999999</v>
      </c>
      <c r="P3057">
        <v>-0.94144249999999996</v>
      </c>
      <c r="Q3057">
        <v>1.6760859999999999E-2</v>
      </c>
      <c r="R3057">
        <v>-0.33675690000000003</v>
      </c>
      <c r="S3057">
        <v>-2.28353899999999</v>
      </c>
      <c r="T3057">
        <v>6.3039899999999996E-2</v>
      </c>
      <c r="U3057">
        <v>-2.5798649999999999</v>
      </c>
      <c r="V3057">
        <v>-0.15508189999999999</v>
      </c>
      <c r="W3057">
        <v>2.9181450000000001E-2</v>
      </c>
      <c r="X3057">
        <v>0.98747050000000003</v>
      </c>
      <c r="Y3057">
        <v>-0.61156820000000001</v>
      </c>
      <c r="Z3057">
        <v>2.714943E-3</v>
      </c>
      <c r="AA3057">
        <v>0.79118710000000003</v>
      </c>
      <c r="AB3057">
        <v>26</v>
      </c>
      <c r="AC3057">
        <v>-40.781700000000001</v>
      </c>
      <c r="AD3057">
        <v>1.1348819999999999</v>
      </c>
      <c r="AE3057">
        <v>-46.373800000000003</v>
      </c>
      <c r="AF3057">
        <v>-37.915893518186202</v>
      </c>
      <c r="AG3057">
        <v>1.1348819999999999</v>
      </c>
      <c r="AH3057">
        <v>48.718444043928898</v>
      </c>
      <c r="AI3057">
        <v>88.946828371243996</v>
      </c>
      <c r="AJ3057">
        <v>127.892397877812</v>
      </c>
      <c r="AK3057">
        <v>61.744552217161598</v>
      </c>
    </row>
    <row r="3058" spans="1:37" x14ac:dyDescent="0.2">
      <c r="A3058" t="str">
        <f>"20200111155557419"</f>
        <v>20200111155557419</v>
      </c>
      <c r="B3058" t="str">
        <f>"1578729357415122"</f>
        <v>1578729357415122</v>
      </c>
      <c r="C3058" t="s">
        <v>37</v>
      </c>
      <c r="D3058">
        <v>3.7594940000000001</v>
      </c>
      <c r="E3058">
        <v>0.2870046</v>
      </c>
      <c r="F3058" t="s">
        <v>47</v>
      </c>
      <c r="G3058">
        <v>-502.08190000000002</v>
      </c>
      <c r="H3058">
        <v>2.0930970000000002</v>
      </c>
      <c r="I3058">
        <v>249.23400000000001</v>
      </c>
      <c r="J3058">
        <v>-472.21550000000002</v>
      </c>
      <c r="K3058">
        <v>1.1094649999999999</v>
      </c>
      <c r="L3058">
        <v>284.00139999999999</v>
      </c>
      <c r="M3058">
        <v>-0.98140949999999905</v>
      </c>
      <c r="N3058">
        <v>0</v>
      </c>
      <c r="O3058">
        <v>-0.1913918</v>
      </c>
      <c r="P3058">
        <v>-0.93940559999999995</v>
      </c>
      <c r="Q3058">
        <v>1.6492940000000001E-2</v>
      </c>
      <c r="R3058">
        <v>-0.34241120000000003</v>
      </c>
      <c r="S3058">
        <v>-2.2519230000000001</v>
      </c>
      <c r="T3058">
        <v>7.3739410000000005E-2</v>
      </c>
      <c r="U3058">
        <v>-2.6093139999999999</v>
      </c>
      <c r="V3058">
        <v>-0.15659400000000001</v>
      </c>
      <c r="W3058">
        <v>2.8903580000000002E-2</v>
      </c>
      <c r="X3058">
        <v>0.98724000000000001</v>
      </c>
      <c r="Y3058">
        <v>-0.6178979</v>
      </c>
      <c r="Z3058">
        <v>3.1684450000000002E-3</v>
      </c>
      <c r="AA3058">
        <v>0.78625199999999995</v>
      </c>
      <c r="AB3058">
        <v>26</v>
      </c>
      <c r="AC3058">
        <v>-29.866399999999999</v>
      </c>
      <c r="AD3058">
        <v>0.98363199999999995</v>
      </c>
      <c r="AE3058">
        <v>-34.767399999999903</v>
      </c>
      <c r="AF3058">
        <v>-28.394701008106502</v>
      </c>
      <c r="AG3058">
        <v>0.98363199999999995</v>
      </c>
      <c r="AH3058">
        <v>35.952485012244701</v>
      </c>
      <c r="AI3058">
        <v>88.770017673793603</v>
      </c>
      <c r="AJ3058">
        <v>128.30111813380199</v>
      </c>
      <c r="AK3058">
        <v>45.823659345439403</v>
      </c>
    </row>
    <row r="3059" spans="1:37" x14ac:dyDescent="0.2">
      <c r="A3059" t="str">
        <f>"20200111155558026"</f>
        <v>20200111155558026</v>
      </c>
      <c r="B3059" t="str">
        <f>"1578729358015362"</f>
        <v>1578729358015362</v>
      </c>
      <c r="C3059" t="s">
        <v>37</v>
      </c>
      <c r="D3059">
        <v>3.9479470000000001</v>
      </c>
      <c r="E3059">
        <v>0.2870046</v>
      </c>
      <c r="F3059" t="s">
        <v>60</v>
      </c>
      <c r="G3059">
        <v>-512.82600000000002</v>
      </c>
      <c r="H3059">
        <v>2.4315880000000001</v>
      </c>
      <c r="I3059">
        <v>236.36019999999999</v>
      </c>
      <c r="J3059">
        <v>-478.66449999999998</v>
      </c>
      <c r="K3059">
        <v>1.1093200000000001</v>
      </c>
      <c r="L3059">
        <v>282.0213</v>
      </c>
      <c r="M3059">
        <v>-0.93747349999999996</v>
      </c>
      <c r="N3059">
        <v>0</v>
      </c>
      <c r="O3059">
        <v>-0.3477674</v>
      </c>
      <c r="P3059">
        <v>-0.86382999999999899</v>
      </c>
      <c r="Q3059">
        <v>1.079546E-2</v>
      </c>
      <c r="R3059">
        <v>-0.50366829999999996</v>
      </c>
      <c r="S3059">
        <v>-2.236084</v>
      </c>
      <c r="T3059">
        <v>7.2801829999999998E-2</v>
      </c>
      <c r="U3059">
        <v>-2.6231990000000001</v>
      </c>
      <c r="V3059">
        <v>-0.1720354</v>
      </c>
      <c r="W3059">
        <v>2.293893E-2</v>
      </c>
      <c r="X3059">
        <v>0.98482359999999902</v>
      </c>
      <c r="Y3059">
        <v>-0.4878575</v>
      </c>
      <c r="Z3059">
        <v>-2.1875639999999999E-3</v>
      </c>
      <c r="AA3059">
        <v>0.87292060000000005</v>
      </c>
      <c r="AB3059">
        <v>25</v>
      </c>
      <c r="AC3059">
        <v>-34.161499999999997</v>
      </c>
      <c r="AD3059">
        <v>1.322268</v>
      </c>
      <c r="AE3059">
        <v>-45.661099999999998</v>
      </c>
      <c r="AF3059">
        <v>-30.912308061650101</v>
      </c>
      <c r="AG3059">
        <v>1.322268</v>
      </c>
      <c r="AH3059">
        <v>47.884020074126603</v>
      </c>
      <c r="AI3059">
        <v>88.670996520451794</v>
      </c>
      <c r="AJ3059">
        <v>122.84492266985001</v>
      </c>
      <c r="AK3059">
        <v>57.010512721966897</v>
      </c>
    </row>
    <row r="3060" spans="1:37" x14ac:dyDescent="0.2">
      <c r="A3060" t="str">
        <f>"20200111155558037"</f>
        <v>20200111155558037</v>
      </c>
      <c r="B3060" t="str">
        <f>"1578729358035857"</f>
        <v>1578729358035857</v>
      </c>
      <c r="C3060" t="s">
        <v>37</v>
      </c>
      <c r="D3060">
        <v>3.9950619999999999</v>
      </c>
      <c r="E3060">
        <v>0.2447482</v>
      </c>
      <c r="F3060" t="s">
        <v>60</v>
      </c>
      <c r="G3060">
        <v>-512.82619999999997</v>
      </c>
      <c r="H3060">
        <v>3.206852</v>
      </c>
      <c r="I3060">
        <v>223.4511</v>
      </c>
      <c r="J3060">
        <v>-478.79430000000002</v>
      </c>
      <c r="K3060">
        <v>1.1093740000000001</v>
      </c>
      <c r="L3060">
        <v>281.96899999999999</v>
      </c>
      <c r="M3060">
        <v>-0.93613550000000001</v>
      </c>
      <c r="N3060">
        <v>0</v>
      </c>
      <c r="O3060">
        <v>-0.35135309999999997</v>
      </c>
      <c r="P3060">
        <v>-0.86157519999999999</v>
      </c>
      <c r="Q3060">
        <v>1.0833880000000001E-2</v>
      </c>
      <c r="R3060">
        <v>-0.50751449999999998</v>
      </c>
      <c r="S3060">
        <v>-1.736084</v>
      </c>
      <c r="T3060">
        <v>0.106598499999999</v>
      </c>
      <c r="U3060">
        <v>-2.9765009999999998</v>
      </c>
      <c r="V3060">
        <v>-0.17266039999999999</v>
      </c>
      <c r="W3060">
        <v>2.2950370000000001E-2</v>
      </c>
      <c r="X3060">
        <v>0.98471399999999998</v>
      </c>
      <c r="Y3060">
        <v>-0.63155669999999897</v>
      </c>
      <c r="Z3060">
        <v>-5.670451E-4</v>
      </c>
      <c r="AA3060">
        <v>0.7753295</v>
      </c>
      <c r="AB3060">
        <v>25</v>
      </c>
      <c r="AC3060">
        <v>-34.031899999999901</v>
      </c>
      <c r="AD3060">
        <v>2.09747799999999</v>
      </c>
      <c r="AE3060">
        <v>-58.517899999999997</v>
      </c>
      <c r="AF3060">
        <v>-42.786704274132298</v>
      </c>
      <c r="AG3060">
        <v>2.09747799999999</v>
      </c>
      <c r="AH3060">
        <v>52.373911465006699</v>
      </c>
      <c r="AI3060">
        <v>88.223579980369394</v>
      </c>
      <c r="AJ3060">
        <v>129.24699767628999</v>
      </c>
      <c r="AK3060">
        <v>67.661865764601004</v>
      </c>
    </row>
    <row r="3061" spans="1:37" x14ac:dyDescent="0.2">
      <c r="A3061" t="str">
        <f>"20200111155558051"</f>
        <v>20200111155558051</v>
      </c>
      <c r="B3061" t="str">
        <f>"1578729358045617"</f>
        <v>1578729358045617</v>
      </c>
      <c r="C3061" t="s">
        <v>37</v>
      </c>
      <c r="D3061">
        <v>3.9600119999999999</v>
      </c>
      <c r="E3061">
        <v>0.2473013</v>
      </c>
      <c r="F3061" t="s">
        <v>65</v>
      </c>
      <c r="G3061">
        <v>-515.51639999999998</v>
      </c>
      <c r="H3061">
        <v>92.068650000000005</v>
      </c>
      <c r="I3061">
        <v>209.2</v>
      </c>
      <c r="J3061">
        <v>-478.92149999999998</v>
      </c>
      <c r="K3061">
        <v>1.109429</v>
      </c>
      <c r="L3061">
        <v>281.91669999999999</v>
      </c>
      <c r="M3061">
        <v>-0.93477589999999999</v>
      </c>
      <c r="N3061">
        <v>0</v>
      </c>
      <c r="O3061">
        <v>-0.35495409999999999</v>
      </c>
      <c r="P3061">
        <v>-0.85932160000000002</v>
      </c>
      <c r="Q3061">
        <v>1.0752869999999999E-2</v>
      </c>
      <c r="R3061">
        <v>-0.51132259999999996</v>
      </c>
      <c r="S3061">
        <v>-1.5838620000000001</v>
      </c>
      <c r="T3061">
        <v>3.9231440000000002</v>
      </c>
      <c r="U3061">
        <v>-3.1385800000000001</v>
      </c>
      <c r="V3061">
        <v>-0.17322989999999999</v>
      </c>
      <c r="W3061">
        <v>2.284359E-2</v>
      </c>
      <c r="X3061">
        <v>0.98461650000000001</v>
      </c>
      <c r="Y3061">
        <v>-0.5735789</v>
      </c>
      <c r="Z3061">
        <v>-5.434485E-2</v>
      </c>
      <c r="AA3061">
        <v>0.81734560000000001</v>
      </c>
      <c r="AB3061">
        <v>25</v>
      </c>
      <c r="AC3061">
        <v>-36.594900000000003</v>
      </c>
      <c r="AD3061">
        <v>90.959220999999999</v>
      </c>
      <c r="AE3061">
        <v>-72.716700000000003</v>
      </c>
      <c r="AF3061">
        <v>-24.456421027915798</v>
      </c>
      <c r="AG3061">
        <v>90.959220999999999</v>
      </c>
      <c r="AH3061">
        <v>26.6958507234419</v>
      </c>
      <c r="AI3061">
        <v>21.704183929829099</v>
      </c>
      <c r="AJ3061">
        <v>132.49321028432399</v>
      </c>
      <c r="AK3061">
        <v>97.899769459737797</v>
      </c>
    </row>
    <row r="3062" spans="1:37" x14ac:dyDescent="0.2">
      <c r="A3062" t="str">
        <f>"20200111155558063"</f>
        <v>20200111155558063</v>
      </c>
      <c r="B3062" t="str">
        <f>"1578729358055379"</f>
        <v>1578729358055379</v>
      </c>
      <c r="C3062" t="s">
        <v>37</v>
      </c>
      <c r="D3062">
        <v>3.0288599999999999</v>
      </c>
      <c r="E3062">
        <v>0.2473013</v>
      </c>
      <c r="F3062" t="s">
        <v>65</v>
      </c>
      <c r="G3062">
        <v>-515.67499999999995</v>
      </c>
      <c r="H3062">
        <v>91.84008</v>
      </c>
      <c r="I3062">
        <v>209.2</v>
      </c>
      <c r="J3062">
        <v>-479.04469999999998</v>
      </c>
      <c r="K3062">
        <v>1.1094790000000001</v>
      </c>
      <c r="L3062">
        <v>281.86559999999997</v>
      </c>
      <c r="M3062">
        <v>-0.93343220000000005</v>
      </c>
      <c r="N3062">
        <v>0</v>
      </c>
      <c r="O3062">
        <v>-0.35847249999999897</v>
      </c>
      <c r="P3062">
        <v>-0.85722209999999999</v>
      </c>
      <c r="Q3062">
        <v>1.05802999999999E-2</v>
      </c>
      <c r="R3062">
        <v>-0.51483840000000003</v>
      </c>
      <c r="S3062">
        <v>-1.581024</v>
      </c>
      <c r="T3062">
        <v>3.9029229999999999</v>
      </c>
      <c r="U3062">
        <v>-3.1280209999999999</v>
      </c>
      <c r="V3062">
        <v>-0.1735556</v>
      </c>
      <c r="W3062">
        <v>2.2649559999999999E-2</v>
      </c>
      <c r="X3062">
        <v>0.98456359999999998</v>
      </c>
      <c r="Y3062">
        <v>-0.57252930000000002</v>
      </c>
      <c r="Z3062">
        <v>-5.8336270000000003E-2</v>
      </c>
      <c r="AA3062">
        <v>0.81780629999999999</v>
      </c>
      <c r="AB3062">
        <v>25</v>
      </c>
      <c r="AC3062">
        <v>-36.630299999999899</v>
      </c>
      <c r="AD3062">
        <v>90.730600999999993</v>
      </c>
      <c r="AE3062">
        <v>-72.665599999999898</v>
      </c>
      <c r="AF3062">
        <v>-24.386976570291498</v>
      </c>
      <c r="AG3062">
        <v>90.730600999999993</v>
      </c>
      <c r="AH3062">
        <v>26.858363922207602</v>
      </c>
      <c r="AI3062">
        <v>21.7936796455574</v>
      </c>
      <c r="AJ3062">
        <v>132.23895990449699</v>
      </c>
      <c r="AK3062">
        <v>97.7145756611514</v>
      </c>
    </row>
    <row r="3063" spans="1:37" x14ac:dyDescent="0.2">
      <c r="A3063" t="str">
        <f>"20200111155558075"</f>
        <v>20200111155558075</v>
      </c>
      <c r="B3063" t="str">
        <f>"1578729358065137"</f>
        <v>1578729358065137</v>
      </c>
      <c r="C3063" t="s">
        <v>37</v>
      </c>
      <c r="D3063">
        <v>3.038233</v>
      </c>
      <c r="E3063">
        <v>0.2473013</v>
      </c>
      <c r="F3063" t="s">
        <v>65</v>
      </c>
      <c r="G3063">
        <v>-515.48609999999996</v>
      </c>
      <c r="H3063">
        <v>91.693700000000007</v>
      </c>
      <c r="I3063">
        <v>209.2</v>
      </c>
      <c r="J3063">
        <v>-479.17099999999999</v>
      </c>
      <c r="K3063">
        <v>1.109537</v>
      </c>
      <c r="L3063">
        <v>281.81270000000001</v>
      </c>
      <c r="M3063">
        <v>-0.93201909999999899</v>
      </c>
      <c r="N3063">
        <v>0</v>
      </c>
      <c r="O3063">
        <v>-0.36213059999999903</v>
      </c>
      <c r="P3063">
        <v>-0.85467000000000004</v>
      </c>
      <c r="Q3063">
        <v>1.135501E-2</v>
      </c>
      <c r="R3063">
        <v>-0.51904740000000005</v>
      </c>
      <c r="S3063">
        <v>-1.570587</v>
      </c>
      <c r="T3063">
        <v>3.9040789999999999</v>
      </c>
      <c r="U3063">
        <v>-3.1318049999999999</v>
      </c>
      <c r="V3063">
        <v>-0.1745515</v>
      </c>
      <c r="W3063">
        <v>2.3391800000000001E-2</v>
      </c>
      <c r="X3063">
        <v>0.98437019999999997</v>
      </c>
      <c r="Y3063">
        <v>-0.57311449999999997</v>
      </c>
      <c r="Z3063">
        <v>-6.1670570000000001E-2</v>
      </c>
      <c r="AA3063">
        <v>0.81715139999999997</v>
      </c>
      <c r="AB3063">
        <v>25</v>
      </c>
      <c r="AC3063">
        <v>-36.315099999999902</v>
      </c>
      <c r="AD3063">
        <v>90.584163000000004</v>
      </c>
      <c r="AE3063">
        <v>-72.612700000000004</v>
      </c>
      <c r="AF3063">
        <v>-24.2913282607682</v>
      </c>
      <c r="AG3063">
        <v>90.584163000000004</v>
      </c>
      <c r="AH3063">
        <v>26.7932882084549</v>
      </c>
      <c r="AI3063">
        <v>21.764273061108501</v>
      </c>
      <c r="AJ3063">
        <v>132.19607780907799</v>
      </c>
      <c r="AK3063">
        <v>97.536862303973507</v>
      </c>
    </row>
    <row r="3064" spans="1:37" x14ac:dyDescent="0.2">
      <c r="A3064" t="str">
        <f>"20200111155558087"</f>
        <v>20200111155558087</v>
      </c>
      <c r="B3064" t="str">
        <f>"1578729358075874"</f>
        <v>1578729358075874</v>
      </c>
      <c r="C3064" t="s">
        <v>37</v>
      </c>
      <c r="D3064">
        <v>3.0987520000000002</v>
      </c>
      <c r="E3064">
        <v>0.2473013</v>
      </c>
      <c r="F3064" t="s">
        <v>65</v>
      </c>
      <c r="G3064">
        <v>-514.58130000000006</v>
      </c>
      <c r="H3064">
        <v>90.129069999999999</v>
      </c>
      <c r="I3064">
        <v>210.4255</v>
      </c>
      <c r="J3064">
        <v>-479.28339999999997</v>
      </c>
      <c r="K3064">
        <v>1.1095870000000001</v>
      </c>
      <c r="L3064">
        <v>281.76490000000001</v>
      </c>
      <c r="M3064">
        <v>-0.93072350000000004</v>
      </c>
      <c r="N3064">
        <v>0</v>
      </c>
      <c r="O3064">
        <v>-0.36544729999999997</v>
      </c>
      <c r="P3064">
        <v>-0.8524815</v>
      </c>
      <c r="Q3064">
        <v>1.193811E-2</v>
      </c>
      <c r="R3064">
        <v>-0.52262149999999996</v>
      </c>
      <c r="S3064">
        <v>-1.554718</v>
      </c>
      <c r="T3064">
        <v>3.9084650000000001</v>
      </c>
      <c r="U3064">
        <v>-3.1343079999999999</v>
      </c>
      <c r="V3064">
        <v>-0.17517959999999999</v>
      </c>
      <c r="W3064">
        <v>2.3949539999999998E-2</v>
      </c>
      <c r="X3064">
        <v>0.98424519999999904</v>
      </c>
      <c r="Y3064">
        <v>-0.57423519999999995</v>
      </c>
      <c r="Z3064">
        <v>-6.4455960000000007E-2</v>
      </c>
      <c r="AA3064">
        <v>0.81614909999999996</v>
      </c>
      <c r="AB3064">
        <v>25</v>
      </c>
      <c r="AC3064">
        <v>-35.297899999999998</v>
      </c>
      <c r="AD3064">
        <v>89.019482999999994</v>
      </c>
      <c r="AE3064">
        <v>-71.339399999999998</v>
      </c>
      <c r="AF3064">
        <v>-23.7701617897355</v>
      </c>
      <c r="AG3064">
        <v>89.019482999999994</v>
      </c>
      <c r="AH3064">
        <v>26.180888133429999</v>
      </c>
      <c r="AI3064">
        <v>21.664809385326102</v>
      </c>
      <c r="AJ3064">
        <v>132.23694786962301</v>
      </c>
      <c r="AK3064">
        <v>95.7858436751103</v>
      </c>
    </row>
    <row r="3065" spans="1:37" x14ac:dyDescent="0.2">
      <c r="A3065" t="str">
        <f>"20200111155558100"</f>
        <v>20200111155558100</v>
      </c>
      <c r="B3065" t="str">
        <f>"1578729358095393"</f>
        <v>1578729358095393</v>
      </c>
      <c r="C3065" t="s">
        <v>37</v>
      </c>
      <c r="D3065">
        <v>3.0044629999999999</v>
      </c>
      <c r="E3065">
        <v>0.2473013</v>
      </c>
      <c r="F3065" t="s">
        <v>65</v>
      </c>
      <c r="G3065">
        <v>-514.34630000000004</v>
      </c>
      <c r="H3065">
        <v>90.093339999999998</v>
      </c>
      <c r="I3065">
        <v>210.4255</v>
      </c>
      <c r="J3065">
        <v>-479.40870000000001</v>
      </c>
      <c r="K3065">
        <v>1.109648</v>
      </c>
      <c r="L3065">
        <v>281.71120000000002</v>
      </c>
      <c r="M3065">
        <v>-0.92925380000000002</v>
      </c>
      <c r="N3065">
        <v>0</v>
      </c>
      <c r="O3065">
        <v>-0.3691683</v>
      </c>
      <c r="P3065">
        <v>-0.85000100000000001</v>
      </c>
      <c r="Q3065">
        <v>1.2531810000000001E-2</v>
      </c>
      <c r="R3065">
        <v>-0.52663280000000001</v>
      </c>
      <c r="S3065">
        <v>-1.541534</v>
      </c>
      <c r="T3065">
        <v>3.9121410000000001</v>
      </c>
      <c r="U3065">
        <v>-3.1364139999999998</v>
      </c>
      <c r="V3065">
        <v>-0.1758933</v>
      </c>
      <c r="W3065">
        <v>2.451538E-2</v>
      </c>
      <c r="X3065">
        <v>0.98410390000000003</v>
      </c>
      <c r="Y3065">
        <v>-0.57490090000000005</v>
      </c>
      <c r="Z3065">
        <v>-6.7881940000000002E-2</v>
      </c>
      <c r="AA3065">
        <v>0.81540239999999997</v>
      </c>
      <c r="AB3065">
        <v>25</v>
      </c>
      <c r="AC3065">
        <v>-34.937600000000003</v>
      </c>
      <c r="AD3065">
        <v>88.983691999999905</v>
      </c>
      <c r="AE3065">
        <v>-71.285700000000006</v>
      </c>
      <c r="AF3065">
        <v>-23.644037041429101</v>
      </c>
      <c r="AG3065">
        <v>88.983691999999905</v>
      </c>
      <c r="AH3065">
        <v>26.054182121221999</v>
      </c>
      <c r="AI3065">
        <v>21.573338667071098</v>
      </c>
      <c r="AJ3065">
        <v>132.22358183884299</v>
      </c>
      <c r="AK3065">
        <v>95.686771998919099</v>
      </c>
    </row>
    <row r="3066" spans="1:37" x14ac:dyDescent="0.2">
      <c r="A3066" t="str">
        <f>"20200111155558111"</f>
        <v>20200111155558111</v>
      </c>
      <c r="B3066" t="str">
        <f>"1578729358105153"</f>
        <v>1578729358105153</v>
      </c>
      <c r="C3066" t="s">
        <v>37</v>
      </c>
      <c r="D3066">
        <v>3.96808399999999</v>
      </c>
      <c r="E3066">
        <v>0.2530521</v>
      </c>
      <c r="F3066" t="s">
        <v>65</v>
      </c>
      <c r="G3066">
        <v>-514.04190000000006</v>
      </c>
      <c r="H3066">
        <v>89.97654</v>
      </c>
      <c r="I3066">
        <v>210.4255</v>
      </c>
      <c r="J3066">
        <v>-479.53199999999998</v>
      </c>
      <c r="K3066">
        <v>1.1097090000000001</v>
      </c>
      <c r="L3066">
        <v>281.65750000000003</v>
      </c>
      <c r="M3066">
        <v>-0.92775879999999999</v>
      </c>
      <c r="N3066">
        <v>0</v>
      </c>
      <c r="O3066">
        <v>-0.37290889999999999</v>
      </c>
      <c r="P3066">
        <v>-0.84766640000000004</v>
      </c>
      <c r="Q3066">
        <v>1.34062E-2</v>
      </c>
      <c r="R3066">
        <v>-0.53036019999999995</v>
      </c>
      <c r="S3066">
        <v>-1.5258479999999901</v>
      </c>
      <c r="T3066">
        <v>3.9152300000000002</v>
      </c>
      <c r="U3066">
        <v>-3.1406559999999999</v>
      </c>
      <c r="V3066">
        <v>-0.17626910000000001</v>
      </c>
      <c r="W3066">
        <v>2.5367219999999999E-2</v>
      </c>
      <c r="X3066">
        <v>0.98401510000000003</v>
      </c>
      <c r="Y3066">
        <v>-0.57608950000000003</v>
      </c>
      <c r="Z3066">
        <v>-7.1030499999999996E-2</v>
      </c>
      <c r="AA3066">
        <v>0.81429449999999903</v>
      </c>
      <c r="AB3066">
        <v>25</v>
      </c>
      <c r="AC3066">
        <v>-34.509900000000002</v>
      </c>
      <c r="AD3066">
        <v>88.866831000000005</v>
      </c>
      <c r="AE3066">
        <v>-71.231999999999999</v>
      </c>
      <c r="AF3066">
        <v>-23.543938658611602</v>
      </c>
      <c r="AG3066">
        <v>88.866831000000005</v>
      </c>
      <c r="AH3066">
        <v>25.916532339477399</v>
      </c>
      <c r="AI3066">
        <v>21.504729652548299</v>
      </c>
      <c r="AJ3066">
        <v>132.25365576901501</v>
      </c>
      <c r="AK3066">
        <v>95.515953369299496</v>
      </c>
    </row>
    <row r="3067" spans="1:37" x14ac:dyDescent="0.2">
      <c r="A3067" t="str">
        <f>"20200111155558127"</f>
        <v>20200111155558127</v>
      </c>
      <c r="B3067" t="str">
        <f>"1578729358125649"</f>
        <v>1578729358125649</v>
      </c>
      <c r="C3067" t="s">
        <v>37</v>
      </c>
      <c r="D3067">
        <v>4.0221650000000002</v>
      </c>
      <c r="E3067">
        <v>0.25679920000000001</v>
      </c>
      <c r="F3067" t="s">
        <v>65</v>
      </c>
      <c r="G3067">
        <v>-514.75580000000002</v>
      </c>
      <c r="H3067">
        <v>90.067980000000006</v>
      </c>
      <c r="I3067">
        <v>210.4255</v>
      </c>
      <c r="J3067">
        <v>-479.67970000000003</v>
      </c>
      <c r="K3067">
        <v>1.109783</v>
      </c>
      <c r="L3067">
        <v>281.5924</v>
      </c>
      <c r="M3067">
        <v>-0.92592600000000003</v>
      </c>
      <c r="N3067">
        <v>0</v>
      </c>
      <c r="O3067">
        <v>-0.37743660000000001</v>
      </c>
      <c r="P3067">
        <v>-0.84480540000000004</v>
      </c>
      <c r="Q3067">
        <v>1.377828E-2</v>
      </c>
      <c r="R3067">
        <v>-0.53489679999999995</v>
      </c>
      <c r="S3067">
        <v>-1.5352779999999999</v>
      </c>
      <c r="T3067">
        <v>3.8773569999999999</v>
      </c>
      <c r="U3067">
        <v>-3.1047359999999999</v>
      </c>
      <c r="V3067">
        <v>-0.17674809999999999</v>
      </c>
      <c r="W3067">
        <v>2.5712820000000001E-2</v>
      </c>
      <c r="X3067">
        <v>0.98392019999999902</v>
      </c>
      <c r="Y3067">
        <v>-0.57123190000000001</v>
      </c>
      <c r="Z3067">
        <v>-7.8079609999999994E-2</v>
      </c>
      <c r="AA3067">
        <v>0.81706650000000003</v>
      </c>
      <c r="AB3067">
        <v>25</v>
      </c>
      <c r="AC3067">
        <v>-35.076099999999997</v>
      </c>
      <c r="AD3067">
        <v>88.958196999999998</v>
      </c>
      <c r="AE3067">
        <v>-71.166899999999998</v>
      </c>
      <c r="AF3067">
        <v>-23.331472250930801</v>
      </c>
      <c r="AG3067">
        <v>88.958196999999998</v>
      </c>
      <c r="AH3067">
        <v>26.2924597479408</v>
      </c>
      <c r="AI3067">
        <v>21.561452177568899</v>
      </c>
      <c r="AJ3067">
        <v>131.58529323326499</v>
      </c>
      <c r="AK3067">
        <v>95.651512536309895</v>
      </c>
    </row>
    <row r="3068" spans="1:37" x14ac:dyDescent="0.2">
      <c r="A3068" t="str">
        <f>"20200111155558144"</f>
        <v>20200111155558144</v>
      </c>
      <c r="B3068" t="str">
        <f>"1578729358135410"</f>
        <v>1578729358135410</v>
      </c>
      <c r="C3068" t="s">
        <v>37</v>
      </c>
      <c r="D3068">
        <v>3.9599549999999999</v>
      </c>
      <c r="E3068">
        <v>0.2587467</v>
      </c>
      <c r="F3068" t="s">
        <v>65</v>
      </c>
      <c r="G3068">
        <v>-515.68219999999997</v>
      </c>
      <c r="H3068">
        <v>91.353309999999993</v>
      </c>
      <c r="I3068">
        <v>209.2</v>
      </c>
      <c r="J3068">
        <v>-479.84379999999999</v>
      </c>
      <c r="K3068">
        <v>1.1098629999999901</v>
      </c>
      <c r="L3068">
        <v>281.51900000000001</v>
      </c>
      <c r="M3068">
        <v>-0.92382809999999904</v>
      </c>
      <c r="N3068">
        <v>0</v>
      </c>
      <c r="O3068">
        <v>-0.3825423</v>
      </c>
      <c r="P3068">
        <v>-0.84146049999999994</v>
      </c>
      <c r="Q3068">
        <v>1.4551919999999999E-2</v>
      </c>
      <c r="R3068">
        <v>-0.54012269999999996</v>
      </c>
      <c r="S3068">
        <v>-1.5346070000000001</v>
      </c>
      <c r="T3068">
        <v>3.8466290000000001</v>
      </c>
      <c r="U3068">
        <v>-3.0857239999999999</v>
      </c>
      <c r="V3068">
        <v>-0.1774338</v>
      </c>
      <c r="W3068">
        <v>2.6454999999999999E-2</v>
      </c>
      <c r="X3068">
        <v>0.98377709999999996</v>
      </c>
      <c r="Y3068">
        <v>-0.56879169999999901</v>
      </c>
      <c r="Z3068">
        <v>-8.4271910000000005E-2</v>
      </c>
      <c r="AA3068">
        <v>0.81815300000000002</v>
      </c>
      <c r="AB3068">
        <v>25</v>
      </c>
      <c r="AC3068">
        <v>-35.838399999999901</v>
      </c>
      <c r="AD3068">
        <v>90.243447000000003</v>
      </c>
      <c r="AE3068">
        <v>-72.319000000000003</v>
      </c>
      <c r="AF3068">
        <v>-23.601313073337302</v>
      </c>
      <c r="AG3068">
        <v>90.243447000000003</v>
      </c>
      <c r="AH3068">
        <v>27.0116750447344</v>
      </c>
      <c r="AI3068">
        <v>21.676817193007601</v>
      </c>
      <c r="AJ3068">
        <v>131.145170655637</v>
      </c>
      <c r="AK3068">
        <v>97.110927778236203</v>
      </c>
    </row>
    <row r="3069" spans="1:37" x14ac:dyDescent="0.2">
      <c r="A3069" t="str">
        <f>"20200111155558157"</f>
        <v>20200111155558157</v>
      </c>
      <c r="B3069" t="str">
        <f>"1578729358154930"</f>
        <v>1578729358154930</v>
      </c>
      <c r="C3069" t="s">
        <v>37</v>
      </c>
      <c r="D3069">
        <v>4.0072960000000002</v>
      </c>
      <c r="E3069">
        <v>0.26169989999999999</v>
      </c>
      <c r="F3069" t="s">
        <v>65</v>
      </c>
      <c r="G3069">
        <v>-515.59469999999999</v>
      </c>
      <c r="H3069">
        <v>91.084699999999998</v>
      </c>
      <c r="I3069">
        <v>209.2</v>
      </c>
      <c r="J3069">
        <v>-479.98610000000002</v>
      </c>
      <c r="K3069">
        <v>1.1099319999999999</v>
      </c>
      <c r="L3069">
        <v>281.45460000000003</v>
      </c>
      <c r="M3069">
        <v>-0.92195590000000005</v>
      </c>
      <c r="N3069">
        <v>0</v>
      </c>
      <c r="O3069">
        <v>-0.3870324</v>
      </c>
      <c r="P3069">
        <v>-0.83863379999999998</v>
      </c>
      <c r="Q3069">
        <v>1.481262E-2</v>
      </c>
      <c r="R3069">
        <v>-0.54449419999999904</v>
      </c>
      <c r="S3069">
        <v>-1.5223389999999899</v>
      </c>
      <c r="T3069">
        <v>3.831283</v>
      </c>
      <c r="U3069">
        <v>-3.0794679999999999</v>
      </c>
      <c r="V3069">
        <v>-0.17777599999999999</v>
      </c>
      <c r="W3069">
        <v>2.6692859999999999E-2</v>
      </c>
      <c r="X3069">
        <v>0.9837089</v>
      </c>
      <c r="Y3069">
        <v>-0.56879099999999905</v>
      </c>
      <c r="Z3069">
        <v>-8.8648870000000005E-2</v>
      </c>
      <c r="AA3069">
        <v>0.81769069999999899</v>
      </c>
      <c r="AB3069">
        <v>24</v>
      </c>
      <c r="AC3069">
        <v>-35.608599999999903</v>
      </c>
      <c r="AD3069">
        <v>89.974767999999997</v>
      </c>
      <c r="AE3069">
        <v>-72.254599999999996</v>
      </c>
      <c r="AF3069">
        <v>-23.508930844899702</v>
      </c>
      <c r="AG3069">
        <v>89.974767999999997</v>
      </c>
      <c r="AH3069">
        <v>27.051055999034599</v>
      </c>
      <c r="AI3069">
        <v>21.718484771927201</v>
      </c>
      <c r="AJ3069">
        <v>130.992527343424</v>
      </c>
      <c r="AK3069">
        <v>96.849823628063504</v>
      </c>
    </row>
    <row r="3070" spans="1:37" x14ac:dyDescent="0.2">
      <c r="A3070" t="str">
        <f>"20200111155558170"</f>
        <v>20200111155558170</v>
      </c>
      <c r="B3070" t="str">
        <f>"1578729358165665"</f>
        <v>1578729358165665</v>
      </c>
      <c r="C3070" t="s">
        <v>37</v>
      </c>
      <c r="D3070">
        <v>3.9883479999999998</v>
      </c>
      <c r="E3070">
        <v>0.26285559999999902</v>
      </c>
      <c r="F3070" t="s">
        <v>65</v>
      </c>
      <c r="G3070">
        <v>-515.75570000000005</v>
      </c>
      <c r="H3070">
        <v>90.644350000000003</v>
      </c>
      <c r="I3070">
        <v>209.2</v>
      </c>
      <c r="J3070">
        <v>-480.10059999999999</v>
      </c>
      <c r="K3070">
        <v>1.1099809999999899</v>
      </c>
      <c r="L3070">
        <v>281.40170000000001</v>
      </c>
      <c r="M3070">
        <v>-0.92040370000000005</v>
      </c>
      <c r="N3070">
        <v>0</v>
      </c>
      <c r="O3070">
        <v>-0.39070890000000003</v>
      </c>
      <c r="P3070">
        <v>-0.83634640000000005</v>
      </c>
      <c r="Q3070">
        <v>1.5318210000000001E-2</v>
      </c>
      <c r="R3070">
        <v>-0.54798749999999996</v>
      </c>
      <c r="S3070">
        <v>-1.518524</v>
      </c>
      <c r="T3070">
        <v>3.8009949999999999</v>
      </c>
      <c r="U3070">
        <v>-3.0674130000000002</v>
      </c>
      <c r="V3070">
        <v>-0.17796600000000001</v>
      </c>
      <c r="W3070">
        <v>2.7183349999999998E-2</v>
      </c>
      <c r="X3070">
        <v>0.98366109999999896</v>
      </c>
      <c r="Y3070">
        <v>-0.56776359999999904</v>
      </c>
      <c r="Z3070">
        <v>-9.2542079999999999E-2</v>
      </c>
      <c r="AA3070">
        <v>0.81797339999999996</v>
      </c>
      <c r="AB3070">
        <v>24</v>
      </c>
      <c r="AC3070">
        <v>-35.655099999999997</v>
      </c>
      <c r="AD3070">
        <v>89.534368999999998</v>
      </c>
      <c r="AE3070">
        <v>-72.201700000000002</v>
      </c>
      <c r="AF3070">
        <v>-23.489742377291702</v>
      </c>
      <c r="AG3070">
        <v>89.534368999999998</v>
      </c>
      <c r="AH3070">
        <v>27.292444917985499</v>
      </c>
      <c r="AI3070">
        <v>21.909022811722</v>
      </c>
      <c r="AJ3070">
        <v>130.717535267519</v>
      </c>
      <c r="AK3070">
        <v>96.504138661411602</v>
      </c>
    </row>
    <row r="3071" spans="1:37" x14ac:dyDescent="0.2">
      <c r="A3071" t="str">
        <f>"20200111155558182"</f>
        <v>20200111155558182</v>
      </c>
      <c r="B3071" t="str">
        <f>"1578729358175426"</f>
        <v>1578729358175426</v>
      </c>
      <c r="C3071" t="s">
        <v>37</v>
      </c>
      <c r="D3071">
        <v>4.0758390000000002</v>
      </c>
      <c r="E3071">
        <v>0.26414389999999999</v>
      </c>
      <c r="F3071" t="s">
        <v>65</v>
      </c>
      <c r="G3071">
        <v>-515.6816</v>
      </c>
      <c r="H3071">
        <v>90.455659999999995</v>
      </c>
      <c r="I3071">
        <v>209.2</v>
      </c>
      <c r="J3071">
        <v>-480.22609999999997</v>
      </c>
      <c r="K3071">
        <v>1.110034</v>
      </c>
      <c r="L3071">
        <v>281.34339999999997</v>
      </c>
      <c r="M3071">
        <v>-0.91867119999999902</v>
      </c>
      <c r="N3071">
        <v>0</v>
      </c>
      <c r="O3071">
        <v>-0.39476489999999997</v>
      </c>
      <c r="P3071">
        <v>-0.83376229999999996</v>
      </c>
      <c r="Q3071">
        <v>1.586885E-2</v>
      </c>
      <c r="R3071">
        <v>-0.55189540000000004</v>
      </c>
      <c r="S3071">
        <v>-1.509979</v>
      </c>
      <c r="T3071">
        <v>3.791604</v>
      </c>
      <c r="U3071">
        <v>-3.0640559999999999</v>
      </c>
      <c r="V3071">
        <v>-0.17824479999999901</v>
      </c>
      <c r="W3071">
        <v>2.7715770000000001E-2</v>
      </c>
      <c r="X3071">
        <v>0.98359580000000002</v>
      </c>
      <c r="Y3071">
        <v>-0.56750389999999995</v>
      </c>
      <c r="Z3071">
        <v>-9.6620319999999996E-2</v>
      </c>
      <c r="AA3071">
        <v>0.81768200000000002</v>
      </c>
      <c r="AB3071">
        <v>24</v>
      </c>
      <c r="AC3071">
        <v>-35.455500000000001</v>
      </c>
      <c r="AD3071">
        <v>89.345625999999996</v>
      </c>
      <c r="AE3071">
        <v>-72.1433999999999</v>
      </c>
      <c r="AF3071">
        <v>-23.3898212693469</v>
      </c>
      <c r="AG3071">
        <v>89.345625999999996</v>
      </c>
      <c r="AH3071">
        <v>27.314479216224001</v>
      </c>
      <c r="AI3071">
        <v>21.924223530210501</v>
      </c>
      <c r="AJ3071">
        <v>130.57396772325799</v>
      </c>
      <c r="AK3071">
        <v>96.310982754810496</v>
      </c>
    </row>
    <row r="3072" spans="1:37" x14ac:dyDescent="0.2">
      <c r="A3072" t="str">
        <f>"20200111155558195"</f>
        <v>20200111155558195</v>
      </c>
      <c r="B3072" t="str">
        <f>"1578729358185186"</f>
        <v>1578729358185186</v>
      </c>
      <c r="C3072" t="s">
        <v>37</v>
      </c>
      <c r="D3072">
        <v>4.0071580000000004</v>
      </c>
      <c r="E3072">
        <v>0.26560489999999998</v>
      </c>
      <c r="F3072" t="s">
        <v>65</v>
      </c>
      <c r="G3072">
        <v>-515.56449999999995</v>
      </c>
      <c r="H3072">
        <v>90.258160000000004</v>
      </c>
      <c r="I3072">
        <v>209.2</v>
      </c>
      <c r="J3072">
        <v>-480.35550000000001</v>
      </c>
      <c r="K3072">
        <v>1.1100909999999999</v>
      </c>
      <c r="L3072">
        <v>281.2824</v>
      </c>
      <c r="M3072">
        <v>-0.91683740000000002</v>
      </c>
      <c r="N3072">
        <v>0</v>
      </c>
      <c r="O3072">
        <v>-0.3990052</v>
      </c>
      <c r="P3072">
        <v>-0.83117999999999903</v>
      </c>
      <c r="Q3072">
        <v>1.6525249999999998E-2</v>
      </c>
      <c r="R3072">
        <v>-0.55575779999999997</v>
      </c>
      <c r="S3072">
        <v>-1.4996339999999999</v>
      </c>
      <c r="T3072">
        <v>3.7831109999999999</v>
      </c>
      <c r="U3072">
        <v>-3.061493</v>
      </c>
      <c r="V3072">
        <v>-0.1782801</v>
      </c>
      <c r="W3072">
        <v>2.8357819999999999E-2</v>
      </c>
      <c r="X3072">
        <v>0.98357109999999903</v>
      </c>
      <c r="Y3072">
        <v>-0.56746149999999995</v>
      </c>
      <c r="Z3072">
        <v>-0.10077510000000001</v>
      </c>
      <c r="AA3072">
        <v>0.81720979999999999</v>
      </c>
      <c r="AB3072">
        <v>24</v>
      </c>
      <c r="AC3072">
        <v>-35.208999999999897</v>
      </c>
      <c r="AD3072">
        <v>89.148068999999893</v>
      </c>
      <c r="AE3072">
        <v>-72.082400000000007</v>
      </c>
      <c r="AF3072">
        <v>-23.287007472994102</v>
      </c>
      <c r="AG3072">
        <v>89.148068999999893</v>
      </c>
      <c r="AH3072">
        <v>27.315714042781</v>
      </c>
      <c r="AI3072">
        <v>21.931781823284901</v>
      </c>
      <c r="AJ3072">
        <v>130.448030751532</v>
      </c>
      <c r="AK3072">
        <v>96.103127717795999</v>
      </c>
    </row>
    <row r="3073" spans="1:37" x14ac:dyDescent="0.2">
      <c r="A3073" t="str">
        <f>"20200111155558208"</f>
        <v>20200111155558208</v>
      </c>
      <c r="B3073" t="str">
        <f>"1578729358205683"</f>
        <v>1578729358205683</v>
      </c>
      <c r="C3073" t="s">
        <v>37</v>
      </c>
      <c r="D3073">
        <v>4.9541120000000003</v>
      </c>
      <c r="E3073">
        <v>0.26560489999999998</v>
      </c>
      <c r="F3073" t="s">
        <v>65</v>
      </c>
      <c r="G3073">
        <v>-515.48249999999996</v>
      </c>
      <c r="H3073">
        <v>90.00188</v>
      </c>
      <c r="I3073">
        <v>209.2</v>
      </c>
      <c r="J3073">
        <v>-480.4796</v>
      </c>
      <c r="K3073">
        <v>1.1101430000000001</v>
      </c>
      <c r="L3073">
        <v>281.22300000000001</v>
      </c>
      <c r="M3073">
        <v>-0.91503230000000002</v>
      </c>
      <c r="N3073">
        <v>0</v>
      </c>
      <c r="O3073">
        <v>-0.40312729999999902</v>
      </c>
      <c r="P3073">
        <v>-0.82859879999999997</v>
      </c>
      <c r="Q3073">
        <v>1.7099320000000001E-2</v>
      </c>
      <c r="R3073">
        <v>-0.55958209999999997</v>
      </c>
      <c r="S3073">
        <v>-1.4899899999999999</v>
      </c>
      <c r="T3073">
        <v>3.7705329999999999</v>
      </c>
      <c r="U3073">
        <v>-3.05752599999999</v>
      </c>
      <c r="V3073">
        <v>-0.17840149999999999</v>
      </c>
      <c r="W3073">
        <v>2.8917399999999999E-2</v>
      </c>
      <c r="X3073">
        <v>0.98353279999999998</v>
      </c>
      <c r="Y3073">
        <v>-0.56731869999999995</v>
      </c>
      <c r="Z3073">
        <v>-0.10480489999999899</v>
      </c>
      <c r="AA3073">
        <v>0.81680200000000003</v>
      </c>
      <c r="AB3073">
        <v>24</v>
      </c>
      <c r="AC3073">
        <v>-35.002899999999897</v>
      </c>
      <c r="AD3073">
        <v>88.891737000000006</v>
      </c>
      <c r="AE3073">
        <v>-72.022999999999996</v>
      </c>
      <c r="AF3073">
        <v>-23.2045388563131</v>
      </c>
      <c r="AG3073">
        <v>88.891737000000006</v>
      </c>
      <c r="AH3073">
        <v>27.3579600827055</v>
      </c>
      <c r="AI3073">
        <v>21.977231100990402</v>
      </c>
      <c r="AJ3073">
        <v>130.30402152624299</v>
      </c>
      <c r="AK3073">
        <v>95.857443687479005</v>
      </c>
    </row>
    <row r="3074" spans="1:37" x14ac:dyDescent="0.2">
      <c r="A3074" t="str">
        <f>"20200111155558222"</f>
        <v>20200111155558222</v>
      </c>
      <c r="B3074" t="str">
        <f>"1578729358215441"</f>
        <v>1578729358215441</v>
      </c>
      <c r="C3074" t="s">
        <v>37</v>
      </c>
      <c r="D3074">
        <v>4.9853909999999999</v>
      </c>
      <c r="E3074">
        <v>0.26560489999999998</v>
      </c>
      <c r="F3074" t="s">
        <v>65</v>
      </c>
      <c r="G3074">
        <v>-514.5625</v>
      </c>
      <c r="H3074">
        <v>88.307980000000001</v>
      </c>
      <c r="I3074">
        <v>210.4255</v>
      </c>
      <c r="J3074">
        <v>-480.60520000000002</v>
      </c>
      <c r="K3074">
        <v>1.1101969999999901</v>
      </c>
      <c r="L3074">
        <v>281.16239999999999</v>
      </c>
      <c r="M3074">
        <v>-0.91316779999999997</v>
      </c>
      <c r="N3074">
        <v>0</v>
      </c>
      <c r="O3074">
        <v>-0.40733320000000001</v>
      </c>
      <c r="P3074">
        <v>-0.82626489999999997</v>
      </c>
      <c r="Q3074">
        <v>1.86033E-2</v>
      </c>
      <c r="R3074">
        <v>-0.562975</v>
      </c>
      <c r="S3074">
        <v>-1.474426</v>
      </c>
      <c r="T3074">
        <v>3.7721550000000001</v>
      </c>
      <c r="U3074">
        <v>-3.0626829999999998</v>
      </c>
      <c r="V3074">
        <v>-0.17794470000000001</v>
      </c>
      <c r="W3074">
        <v>3.0414960000000001E-2</v>
      </c>
      <c r="X3074">
        <v>0.98357030000000001</v>
      </c>
      <c r="Y3074">
        <v>-0.56844759999999905</v>
      </c>
      <c r="Z3074">
        <v>-0.1084002</v>
      </c>
      <c r="AA3074">
        <v>0.81554689999999996</v>
      </c>
      <c r="AB3074">
        <v>24</v>
      </c>
      <c r="AC3074">
        <v>-33.957299999999897</v>
      </c>
      <c r="AD3074">
        <v>87.197783000000001</v>
      </c>
      <c r="AE3074">
        <v>-70.736899999999906</v>
      </c>
      <c r="AF3074">
        <v>-22.715283811134501</v>
      </c>
      <c r="AG3074">
        <v>87.197783000000001</v>
      </c>
      <c r="AH3074">
        <v>26.769215089369101</v>
      </c>
      <c r="AI3074">
        <v>21.9309710590686</v>
      </c>
      <c r="AJ3074">
        <v>130.3166019105</v>
      </c>
      <c r="AK3074">
        <v>94.000150825604393</v>
      </c>
    </row>
    <row r="3075" spans="1:37" x14ac:dyDescent="0.2">
      <c r="A3075" t="str">
        <f>"20200111155558234"</f>
        <v>20200111155558234</v>
      </c>
      <c r="B3075" t="str">
        <f>"1578729358225201"</f>
        <v>1578729358225201</v>
      </c>
      <c r="C3075" t="s">
        <v>37</v>
      </c>
      <c r="D3075">
        <v>5.0726789999999999</v>
      </c>
      <c r="E3075">
        <v>0.26560489999999998</v>
      </c>
      <c r="F3075" t="s">
        <v>65</v>
      </c>
      <c r="G3075">
        <v>-514.2364</v>
      </c>
      <c r="H3075">
        <v>88.269840000000002</v>
      </c>
      <c r="I3075">
        <v>210.4255</v>
      </c>
      <c r="J3075">
        <v>-480.73390000000001</v>
      </c>
      <c r="K3075">
        <v>1.110252</v>
      </c>
      <c r="L3075">
        <v>281.0992</v>
      </c>
      <c r="M3075">
        <v>-0.91120419999999902</v>
      </c>
      <c r="N3075">
        <v>0</v>
      </c>
      <c r="O3075">
        <v>-0.41170659999999998</v>
      </c>
      <c r="P3075">
        <v>-0.82360460000000002</v>
      </c>
      <c r="Q3075">
        <v>1.9595560000000001E-2</v>
      </c>
      <c r="R3075">
        <v>-0.5668261</v>
      </c>
      <c r="S3075">
        <v>-1.457306</v>
      </c>
      <c r="T3075">
        <v>3.7767819999999999</v>
      </c>
      <c r="U3075">
        <v>-3.0651549999999999</v>
      </c>
      <c r="V3075">
        <v>-0.1778469</v>
      </c>
      <c r="W3075">
        <v>3.1395350000000002E-2</v>
      </c>
      <c r="X3075">
        <v>0.98355720000000002</v>
      </c>
      <c r="Y3075">
        <v>-0.56939989999999996</v>
      </c>
      <c r="Z3075">
        <v>-0.1123807</v>
      </c>
      <c r="AA3075">
        <v>0.81434289999999998</v>
      </c>
      <c r="AB3075">
        <v>24</v>
      </c>
      <c r="AC3075">
        <v>-33.502499999999998</v>
      </c>
      <c r="AD3075">
        <v>87.159587999999999</v>
      </c>
      <c r="AE3075">
        <v>-70.673699999999997</v>
      </c>
      <c r="AF3075">
        <v>-22.574904972159899</v>
      </c>
      <c r="AG3075">
        <v>87.159587999999999</v>
      </c>
      <c r="AH3075">
        <v>26.598497825683101</v>
      </c>
      <c r="AI3075">
        <v>21.814565318603002</v>
      </c>
      <c r="AJ3075">
        <v>130.32221819573601</v>
      </c>
      <c r="AK3075">
        <v>93.882374285137601</v>
      </c>
    </row>
    <row r="3076" spans="1:37" x14ac:dyDescent="0.2">
      <c r="A3076" t="str">
        <f>"20200111155558248"</f>
        <v>20200111155558248</v>
      </c>
      <c r="B3076" t="str">
        <f>"1578729358245698"</f>
        <v>1578729358245698</v>
      </c>
      <c r="C3076" t="s">
        <v>37</v>
      </c>
      <c r="D3076">
        <v>4.0398709999999998</v>
      </c>
      <c r="E3076">
        <v>0.27052329999999902</v>
      </c>
      <c r="F3076" t="s">
        <v>65</v>
      </c>
      <c r="G3076">
        <v>-513.96879999999999</v>
      </c>
      <c r="H3076">
        <v>88.27046</v>
      </c>
      <c r="I3076">
        <v>210.4255</v>
      </c>
      <c r="J3076">
        <v>-480.8614</v>
      </c>
      <c r="K3076">
        <v>1.110306</v>
      </c>
      <c r="L3076">
        <v>281.03590000000003</v>
      </c>
      <c r="M3076">
        <v>-0.90921180000000001</v>
      </c>
      <c r="N3076">
        <v>0</v>
      </c>
      <c r="O3076">
        <v>-0.41608790000000001</v>
      </c>
      <c r="P3076">
        <v>-0.82107030000000003</v>
      </c>
      <c r="Q3076">
        <v>2.0509329999999999E-2</v>
      </c>
      <c r="R3076">
        <v>-0.57045880000000004</v>
      </c>
      <c r="S3076">
        <v>-1.442078</v>
      </c>
      <c r="T3076">
        <v>3.781911</v>
      </c>
      <c r="U3076">
        <v>-3.0665589999999998</v>
      </c>
      <c r="V3076">
        <v>-0.17748259999999999</v>
      </c>
      <c r="W3076">
        <v>3.2301829999999997E-2</v>
      </c>
      <c r="X3076">
        <v>0.98359370000000002</v>
      </c>
      <c r="Y3076">
        <v>-0.56998309999999996</v>
      </c>
      <c r="Z3076">
        <v>-0.1165841</v>
      </c>
      <c r="AA3076">
        <v>0.81334340000000005</v>
      </c>
      <c r="AB3076">
        <v>24</v>
      </c>
      <c r="AC3076">
        <v>-33.107399999999899</v>
      </c>
      <c r="AD3076">
        <v>87.160154000000006</v>
      </c>
      <c r="AE3076">
        <v>-70.610399999999998</v>
      </c>
      <c r="AF3076">
        <v>-22.422101097803001</v>
      </c>
      <c r="AG3076">
        <v>87.160154000000006</v>
      </c>
      <c r="AH3076">
        <v>26.4497158658389</v>
      </c>
      <c r="AI3076">
        <v>21.694046297132601</v>
      </c>
      <c r="AJ3076">
        <v>130.28879770444101</v>
      </c>
      <c r="AK3076">
        <v>93.804213830336096</v>
      </c>
    </row>
    <row r="3077" spans="1:37" x14ac:dyDescent="0.2">
      <c r="A3077" t="str">
        <f>"20200111155558261"</f>
        <v>20200111155558261</v>
      </c>
      <c r="B3077" t="str">
        <f>"1578729358255457"</f>
        <v>1578729358255457</v>
      </c>
      <c r="C3077" t="s">
        <v>37</v>
      </c>
      <c r="D3077">
        <v>4.1072189999999997</v>
      </c>
      <c r="E3077">
        <v>0.27128759999999902</v>
      </c>
      <c r="F3077" t="s">
        <v>65</v>
      </c>
      <c r="G3077">
        <v>-514.54759999999999</v>
      </c>
      <c r="H3077">
        <v>88.05095</v>
      </c>
      <c r="I3077">
        <v>210.4255</v>
      </c>
      <c r="J3077">
        <v>-480.98250000000002</v>
      </c>
      <c r="K3077">
        <v>1.1103590000000001</v>
      </c>
      <c r="L3077">
        <v>280.9751</v>
      </c>
      <c r="M3077">
        <v>-0.907281</v>
      </c>
      <c r="N3077">
        <v>0</v>
      </c>
      <c r="O3077">
        <v>-0.42028080000000001</v>
      </c>
      <c r="P3077">
        <v>-0.81854539999999998</v>
      </c>
      <c r="Q3077">
        <v>2.1390960000000001E-2</v>
      </c>
      <c r="R3077">
        <v>-0.57404359999999999</v>
      </c>
      <c r="S3077">
        <v>-1.4494629999999999</v>
      </c>
      <c r="T3077">
        <v>3.7408999999999999</v>
      </c>
      <c r="U3077">
        <v>-3.0382389999999999</v>
      </c>
      <c r="V3077">
        <v>-0.17726739999999999</v>
      </c>
      <c r="W3077">
        <v>3.3174450000000001E-2</v>
      </c>
      <c r="X3077">
        <v>0.98360349999999996</v>
      </c>
      <c r="Y3077">
        <v>-0.56583539999999999</v>
      </c>
      <c r="Z3077">
        <v>-0.12246989999999899</v>
      </c>
      <c r="AA3077">
        <v>0.81537199999999999</v>
      </c>
      <c r="AB3077">
        <v>24</v>
      </c>
      <c r="AC3077">
        <v>-33.565099999999902</v>
      </c>
      <c r="AD3077">
        <v>86.940590999999998</v>
      </c>
      <c r="AE3077">
        <v>-70.549599999999998</v>
      </c>
      <c r="AF3077">
        <v>-22.296268661974899</v>
      </c>
      <c r="AG3077">
        <v>86.940590999999998</v>
      </c>
      <c r="AH3077">
        <v>26.854608749367198</v>
      </c>
      <c r="AI3077">
        <v>21.873993772901301</v>
      </c>
      <c r="AJ3077">
        <v>129.70144349952699</v>
      </c>
      <c r="AK3077">
        <v>93.685430941837595</v>
      </c>
    </row>
    <row r="3078" spans="1:37" x14ac:dyDescent="0.2">
      <c r="A3078" t="str">
        <f>"20200111155558273"</f>
        <v>20200111155558273</v>
      </c>
      <c r="B3078" t="str">
        <f>"1578729358265217"</f>
        <v>1578729358265217</v>
      </c>
      <c r="C3078" t="s">
        <v>37</v>
      </c>
      <c r="D3078">
        <v>4.9344939999999999</v>
      </c>
      <c r="E3078">
        <v>0.27128759999999902</v>
      </c>
      <c r="F3078" t="s">
        <v>65</v>
      </c>
      <c r="G3078">
        <v>-514.3691</v>
      </c>
      <c r="H3078">
        <v>87.855180000000004</v>
      </c>
      <c r="I3078">
        <v>210.4255</v>
      </c>
      <c r="J3078">
        <v>-481.10219999999998</v>
      </c>
      <c r="K3078">
        <v>1.1104080000000001</v>
      </c>
      <c r="L3078">
        <v>280.91410000000002</v>
      </c>
      <c r="M3078">
        <v>-0.90531980000000001</v>
      </c>
      <c r="N3078">
        <v>0</v>
      </c>
      <c r="O3078">
        <v>-0.42448849999999999</v>
      </c>
      <c r="P3078">
        <v>-0.8156949</v>
      </c>
      <c r="Q3078">
        <v>2.1372809999999999E-2</v>
      </c>
      <c r="R3078">
        <v>-0.57808769999999998</v>
      </c>
      <c r="S3078">
        <v>-1.437378</v>
      </c>
      <c r="T3078">
        <v>3.7345609999999998</v>
      </c>
      <c r="U3078">
        <v>-3.03732299999999</v>
      </c>
      <c r="V3078">
        <v>-0.17757239999999999</v>
      </c>
      <c r="W3078">
        <v>3.3139189999999999E-2</v>
      </c>
      <c r="X3078">
        <v>0.98354959999999902</v>
      </c>
      <c r="Y3078">
        <v>-0.56607640000000004</v>
      </c>
      <c r="Z3078">
        <v>-0.12644739999999999</v>
      </c>
      <c r="AA3078">
        <v>0.81459709999999996</v>
      </c>
      <c r="AB3078">
        <v>24</v>
      </c>
      <c r="AC3078">
        <v>-33.2669</v>
      </c>
      <c r="AD3078">
        <v>86.744771999999998</v>
      </c>
      <c r="AE3078">
        <v>-70.488600000000005</v>
      </c>
      <c r="AF3078">
        <v>-22.201072876548</v>
      </c>
      <c r="AG3078">
        <v>86.744771999999998</v>
      </c>
      <c r="AH3078">
        <v>26.823035880495102</v>
      </c>
      <c r="AI3078">
        <v>21.870327282634001</v>
      </c>
      <c r="AJ3078">
        <v>129.61410896717899</v>
      </c>
      <c r="AK3078">
        <v>93.472019128978403</v>
      </c>
    </row>
    <row r="3079" spans="1:37" x14ac:dyDescent="0.2">
      <c r="A3079" t="str">
        <f>"20200111155558285"</f>
        <v>20200111155558285</v>
      </c>
      <c r="B3079" t="str">
        <f>"1578729358274977"</f>
        <v>1578729358274977</v>
      </c>
      <c r="C3079" t="s">
        <v>37</v>
      </c>
      <c r="D3079">
        <v>4.9297129999999996</v>
      </c>
      <c r="E3079">
        <v>0.27128759999999902</v>
      </c>
      <c r="F3079" t="s">
        <v>65</v>
      </c>
      <c r="G3079">
        <v>-514.03369999999995</v>
      </c>
      <c r="H3079">
        <v>87.571240000000003</v>
      </c>
      <c r="I3079">
        <v>210.4255</v>
      </c>
      <c r="J3079">
        <v>-481.2099</v>
      </c>
      <c r="K3079">
        <v>1.1104510000000001</v>
      </c>
      <c r="L3079">
        <v>280.85860000000002</v>
      </c>
      <c r="M3079">
        <v>-0.90351709999999996</v>
      </c>
      <c r="N3079">
        <v>0</v>
      </c>
      <c r="O3079">
        <v>-0.42831199999999903</v>
      </c>
      <c r="P3079">
        <v>-0.81310590000000005</v>
      </c>
      <c r="Q3079">
        <v>2.1372780000000001E-2</v>
      </c>
      <c r="R3079">
        <v>-0.58172349999999995</v>
      </c>
      <c r="S3079">
        <v>-1.4223330000000001</v>
      </c>
      <c r="T3079">
        <v>3.7342789999999999</v>
      </c>
      <c r="U3079">
        <v>-3.0444339999999999</v>
      </c>
      <c r="V3079">
        <v>-0.17780889999999999</v>
      </c>
      <c r="W3079">
        <v>3.312441E-2</v>
      </c>
      <c r="X3079">
        <v>0.98350740000000003</v>
      </c>
      <c r="Y3079">
        <v>-0.56746660000000004</v>
      </c>
      <c r="Z3079">
        <v>-0.12945190000000001</v>
      </c>
      <c r="AA3079">
        <v>0.81315680000000001</v>
      </c>
      <c r="AB3079">
        <v>24</v>
      </c>
      <c r="AC3079">
        <v>-32.823799999999899</v>
      </c>
      <c r="AD3079">
        <v>86.460789000000005</v>
      </c>
      <c r="AE3079">
        <v>-70.433099999999996</v>
      </c>
      <c r="AF3079">
        <v>-22.155156985199401</v>
      </c>
      <c r="AG3079">
        <v>86.460789000000005</v>
      </c>
      <c r="AH3079">
        <v>26.733559892472101</v>
      </c>
      <c r="AI3079">
        <v>21.879339264868101</v>
      </c>
      <c r="AJ3079">
        <v>129.64988421094901</v>
      </c>
      <c r="AK3079">
        <v>93.171896192283995</v>
      </c>
    </row>
    <row r="3080" spans="1:37" x14ac:dyDescent="0.2">
      <c r="A3080" t="str">
        <f>"20200111155558297"</f>
        <v>20200111155558297</v>
      </c>
      <c r="B3080" t="str">
        <f>"1578729358295474"</f>
        <v>1578729358295474</v>
      </c>
      <c r="C3080" t="s">
        <v>37</v>
      </c>
      <c r="D3080">
        <v>5.14879</v>
      </c>
      <c r="E3080">
        <v>0.27128759999999902</v>
      </c>
      <c r="F3080" t="s">
        <v>65</v>
      </c>
      <c r="G3080">
        <v>-513.67679999999996</v>
      </c>
      <c r="H3080">
        <v>87.248509999999996</v>
      </c>
      <c r="I3080">
        <v>210.4255</v>
      </c>
      <c r="J3080">
        <v>-481.33089999999999</v>
      </c>
      <c r="K3080">
        <v>1.110498</v>
      </c>
      <c r="L3080">
        <v>280.79570000000001</v>
      </c>
      <c r="M3080">
        <v>-0.90145429999999904</v>
      </c>
      <c r="N3080">
        <v>0</v>
      </c>
      <c r="O3080">
        <v>-0.43263609999999902</v>
      </c>
      <c r="P3080">
        <v>-0.81006129999999998</v>
      </c>
      <c r="Q3080">
        <v>2.0865620000000001E-2</v>
      </c>
      <c r="R3080">
        <v>-0.58597429999999995</v>
      </c>
      <c r="S3080">
        <v>-1.407257</v>
      </c>
      <c r="T3080">
        <v>3.7335739999999999</v>
      </c>
      <c r="U3080">
        <v>-3.0528559999999998</v>
      </c>
      <c r="V3080">
        <v>-0.17823919999999999</v>
      </c>
      <c r="W3080">
        <v>3.2598269999999999E-2</v>
      </c>
      <c r="X3080">
        <v>0.98344709999999902</v>
      </c>
      <c r="Y3080">
        <v>-0.56879749999999996</v>
      </c>
      <c r="Z3080">
        <v>-0.13293099999999999</v>
      </c>
      <c r="AA3080">
        <v>0.81166419999999995</v>
      </c>
      <c r="AB3080">
        <v>24</v>
      </c>
      <c r="AC3080">
        <v>-32.345899999999901</v>
      </c>
      <c r="AD3080">
        <v>86.138011999999904</v>
      </c>
      <c r="AE3080">
        <v>-70.370199999999997</v>
      </c>
      <c r="AF3080">
        <v>-22.104056317710398</v>
      </c>
      <c r="AG3080">
        <v>86.138011999999904</v>
      </c>
      <c r="AH3080">
        <v>26.647017854251398</v>
      </c>
      <c r="AI3080">
        <v>21.896740363032201</v>
      </c>
      <c r="AJ3080">
        <v>129.67615871464201</v>
      </c>
      <c r="AK3080">
        <v>92.8353918370222</v>
      </c>
    </row>
    <row r="3081" spans="1:37" x14ac:dyDescent="0.2">
      <c r="A3081" t="str">
        <f>"20200111155558310"</f>
        <v>20200111155558310</v>
      </c>
      <c r="B3081" t="str">
        <f>"1578729358305234"</f>
        <v>1578729358305234</v>
      </c>
      <c r="C3081" t="s">
        <v>37</v>
      </c>
      <c r="D3081">
        <v>3.3550819999999999</v>
      </c>
      <c r="E3081">
        <v>0.27128759999999902</v>
      </c>
      <c r="F3081" t="s">
        <v>65</v>
      </c>
      <c r="G3081">
        <v>-513.3229</v>
      </c>
      <c r="H3081">
        <v>86.848609999999994</v>
      </c>
      <c r="I3081">
        <v>210.4255</v>
      </c>
      <c r="J3081">
        <v>-481.45</v>
      </c>
      <c r="K3081">
        <v>1.110544</v>
      </c>
      <c r="L3081">
        <v>280.73259999999999</v>
      </c>
      <c r="M3081">
        <v>-0.89936130000000003</v>
      </c>
      <c r="N3081">
        <v>0</v>
      </c>
      <c r="O3081">
        <v>-0.43697009999999997</v>
      </c>
      <c r="P3081">
        <v>-0.80637399999999904</v>
      </c>
      <c r="Q3081">
        <v>2.006693E-2</v>
      </c>
      <c r="R3081">
        <v>-0.59106579999999997</v>
      </c>
      <c r="S3081">
        <v>-1.3921809999999999</v>
      </c>
      <c r="T3081">
        <v>3.7310120000000002</v>
      </c>
      <c r="U3081">
        <v>-3.0622560000000001</v>
      </c>
      <c r="V3081">
        <v>-0.17968529999999999</v>
      </c>
      <c r="W3081">
        <v>3.1764239999999999E-2</v>
      </c>
      <c r="X3081">
        <v>0.98321119999999995</v>
      </c>
      <c r="Y3081">
        <v>-0.57023480000000004</v>
      </c>
      <c r="Z3081">
        <v>-0.136294</v>
      </c>
      <c r="AA3081">
        <v>0.81009639999999905</v>
      </c>
      <c r="AB3081">
        <v>24</v>
      </c>
      <c r="AC3081">
        <v>-31.872900000000001</v>
      </c>
      <c r="AD3081">
        <v>85.738065999999904</v>
      </c>
      <c r="AE3081">
        <v>-70.307099999999906</v>
      </c>
      <c r="AF3081">
        <v>-22.076001146110499</v>
      </c>
      <c r="AG3081">
        <v>85.738065999999904</v>
      </c>
      <c r="AH3081">
        <v>26.590860711066899</v>
      </c>
      <c r="AI3081">
        <v>21.954030846612</v>
      </c>
      <c r="AJ3081">
        <v>129.69980005875499</v>
      </c>
      <c r="AK3081">
        <v>92.441547268416002</v>
      </c>
    </row>
    <row r="3082" spans="1:37" x14ac:dyDescent="0.2">
      <c r="A3082" t="str">
        <f>"20200111155559674"</f>
        <v>20200111155559674</v>
      </c>
      <c r="B3082" t="str">
        <f>"1578729359665210"</f>
        <v>1578729359665210</v>
      </c>
      <c r="C3082" t="s">
        <v>37</v>
      </c>
      <c r="D3082">
        <v>3.738982</v>
      </c>
      <c r="E3082">
        <v>3.0498419999999998E-2</v>
      </c>
      <c r="F3082" t="s">
        <v>65</v>
      </c>
      <c r="G3082">
        <v>-512.83609999999999</v>
      </c>
      <c r="H3082">
        <v>86.307730000000006</v>
      </c>
      <c r="I3082">
        <v>210.4255</v>
      </c>
      <c r="J3082">
        <v>-490.84300000000002</v>
      </c>
      <c r="K3082">
        <v>1.1111249999999999</v>
      </c>
      <c r="L3082">
        <v>270.94889999999998</v>
      </c>
      <c r="M3082">
        <v>-0.46856379999999997</v>
      </c>
      <c r="N3082">
        <v>0</v>
      </c>
      <c r="O3082">
        <v>-0.88330929999999996</v>
      </c>
      <c r="P3082">
        <v>-0.278891099999999</v>
      </c>
      <c r="Q3082">
        <v>1.893295E-2</v>
      </c>
      <c r="R3082">
        <v>-0.960136199999999</v>
      </c>
      <c r="S3082">
        <v>-1.3730770000000001</v>
      </c>
      <c r="T3082">
        <v>3.7271830000000001</v>
      </c>
      <c r="U3082">
        <v>-3.0757750000000001</v>
      </c>
      <c r="V3082">
        <v>-0.20403080000000001</v>
      </c>
      <c r="W3082">
        <v>3.0185710000000001E-2</v>
      </c>
      <c r="X3082">
        <v>0.97849900000000001</v>
      </c>
      <c r="Y3082">
        <v>-0.1819934</v>
      </c>
      <c r="Z3082">
        <v>-0.64594390000000002</v>
      </c>
      <c r="AA3082">
        <v>0.74137369999999903</v>
      </c>
      <c r="AB3082">
        <v>22</v>
      </c>
      <c r="AC3082">
        <v>-21.993099999999899</v>
      </c>
      <c r="AD3082">
        <v>85.196605000000005</v>
      </c>
      <c r="AE3082">
        <v>-60.523399999999903</v>
      </c>
      <c r="AF3082">
        <v>-3.2480224400677198</v>
      </c>
      <c r="AG3082">
        <v>85.196605000000005</v>
      </c>
      <c r="AH3082">
        <v>23.186869403141799</v>
      </c>
      <c r="AI3082">
        <v>15.3663657468558</v>
      </c>
      <c r="AJ3082">
        <v>97.974119887930698</v>
      </c>
      <c r="AK3082">
        <v>88.355203955486203</v>
      </c>
    </row>
    <row r="3083" spans="1:37" x14ac:dyDescent="0.2">
      <c r="A3083" t="str">
        <f>"20200111155559710"</f>
        <v>20200111155559710</v>
      </c>
      <c r="B3083" t="str">
        <f>"1578729359705226"</f>
        <v>1578729359705226</v>
      </c>
      <c r="C3083" t="s">
        <v>37</v>
      </c>
      <c r="D3083">
        <v>3.8379650000000001</v>
      </c>
      <c r="E3083">
        <v>6.067674E-2</v>
      </c>
      <c r="F3083" t="s">
        <v>66</v>
      </c>
      <c r="G3083">
        <v>-473.52499999999998</v>
      </c>
      <c r="H3083">
        <v>37.880719999999997</v>
      </c>
      <c r="I3083">
        <v>245.9393</v>
      </c>
      <c r="J3083">
        <v>-490.98599999999999</v>
      </c>
      <c r="K3083">
        <v>1.1110949999999999</v>
      </c>
      <c r="L3083">
        <v>270.63650000000001</v>
      </c>
      <c r="M3083">
        <v>-0.45406679999999999</v>
      </c>
      <c r="N3083">
        <v>0</v>
      </c>
      <c r="O3083">
        <v>-0.89084839999999998</v>
      </c>
      <c r="P3083">
        <v>-0.26451639999999998</v>
      </c>
      <c r="Q3083">
        <v>1.8969679999999999E-2</v>
      </c>
      <c r="R3083">
        <v>-0.96419469999999996</v>
      </c>
      <c r="S3083">
        <v>2.6135250000000001</v>
      </c>
      <c r="T3083">
        <v>5.5490379999999897</v>
      </c>
      <c r="U3083">
        <v>-3.774292</v>
      </c>
      <c r="V3083">
        <v>-0.20265569999999999</v>
      </c>
      <c r="W3083">
        <v>3.0253390000000002E-2</v>
      </c>
      <c r="X3083">
        <v>0.97878259999999995</v>
      </c>
      <c r="Y3083">
        <v>-0.74576489999999995</v>
      </c>
      <c r="Z3083">
        <v>-0.53563850000000002</v>
      </c>
      <c r="AA3083">
        <v>0.39613920000000002</v>
      </c>
      <c r="AB3083">
        <v>22</v>
      </c>
      <c r="AC3083">
        <v>17.460999999999999</v>
      </c>
      <c r="AD3083">
        <v>36.769624999999998</v>
      </c>
      <c r="AE3083">
        <v>-24.697199999999999</v>
      </c>
      <c r="AF3083">
        <v>-10.804523627734399</v>
      </c>
      <c r="AG3083">
        <v>36.769624999999998</v>
      </c>
      <c r="AH3083">
        <v>5.6800950404261696</v>
      </c>
      <c r="AI3083">
        <v>18.3648887604134</v>
      </c>
      <c r="AJ3083">
        <v>152.26844299383899</v>
      </c>
      <c r="AK3083">
        <v>38.7428255697899</v>
      </c>
    </row>
    <row r="3084" spans="1:37" x14ac:dyDescent="0.2">
      <c r="A3084" t="str">
        <f>"20200111155559722"</f>
        <v>20200111155559722</v>
      </c>
      <c r="B3084" t="str">
        <f>"1578729359715962"</f>
        <v>1578729359715962</v>
      </c>
      <c r="C3084" t="s">
        <v>37</v>
      </c>
      <c r="D3084">
        <v>3.9338639999999998</v>
      </c>
      <c r="E3084">
        <v>7.4139620000000003E-2</v>
      </c>
      <c r="F3084" t="s">
        <v>66</v>
      </c>
      <c r="G3084">
        <v>-473.52499999999998</v>
      </c>
      <c r="H3084">
        <v>39.476729999999897</v>
      </c>
      <c r="I3084">
        <v>244.3588</v>
      </c>
      <c r="J3084">
        <v>-491.03280000000001</v>
      </c>
      <c r="K3084">
        <v>1.1110850000000001</v>
      </c>
      <c r="L3084">
        <v>270.53149999999999</v>
      </c>
      <c r="M3084">
        <v>-0.44919160000000002</v>
      </c>
      <c r="N3084">
        <v>0</v>
      </c>
      <c r="O3084">
        <v>-0.89331649999999996</v>
      </c>
      <c r="P3084">
        <v>-0.25969819999999999</v>
      </c>
      <c r="Q3084">
        <v>1.8478830000000002E-2</v>
      </c>
      <c r="R3084">
        <v>-0.96551319999999996</v>
      </c>
      <c r="S3084">
        <v>2.442596</v>
      </c>
      <c r="T3084">
        <v>5.3669440000000002</v>
      </c>
      <c r="U3084">
        <v>-3.675964</v>
      </c>
      <c r="V3084">
        <v>-0.20219089999999901</v>
      </c>
      <c r="W3084">
        <v>2.9772949999999999E-2</v>
      </c>
      <c r="X3084">
        <v>0.97889349999999997</v>
      </c>
      <c r="Y3084">
        <v>-0.73383209999999999</v>
      </c>
      <c r="Z3084">
        <v>-0.54444190000000003</v>
      </c>
      <c r="AA3084">
        <v>0.4062924</v>
      </c>
      <c r="AB3084">
        <v>22</v>
      </c>
      <c r="AC3084">
        <v>17.5078</v>
      </c>
      <c r="AD3084">
        <v>38.365645000000001</v>
      </c>
      <c r="AE3084">
        <v>-26.172699999999899</v>
      </c>
      <c r="AF3084">
        <v>-11.028202623814099</v>
      </c>
      <c r="AG3084">
        <v>38.365645000000001</v>
      </c>
      <c r="AH3084">
        <v>6.2458645270606397</v>
      </c>
      <c r="AI3084">
        <v>18.280945579258798</v>
      </c>
      <c r="AJ3084">
        <v>150.474788145671</v>
      </c>
      <c r="AK3084">
        <v>40.404885757397203</v>
      </c>
    </row>
    <row r="3085" spans="1:37" x14ac:dyDescent="0.2">
      <c r="A3085" t="str">
        <f>"20200111155559734"</f>
        <v>20200111155559734</v>
      </c>
      <c r="B3085" t="str">
        <f>"1578729359725721"</f>
        <v>1578729359725721</v>
      </c>
      <c r="C3085" t="s">
        <v>37</v>
      </c>
      <c r="D3085">
        <v>3.8632149999999998</v>
      </c>
      <c r="E3085">
        <v>8.7842829999999997E-2</v>
      </c>
      <c r="F3085" t="s">
        <v>66</v>
      </c>
      <c r="G3085">
        <v>-473.52499999999998</v>
      </c>
      <c r="H3085">
        <v>40.325109999999903</v>
      </c>
      <c r="I3085">
        <v>243.50970000000001</v>
      </c>
      <c r="J3085">
        <v>-491.07990000000001</v>
      </c>
      <c r="K3085">
        <v>1.1110739999999999</v>
      </c>
      <c r="L3085">
        <v>270.42399999999998</v>
      </c>
      <c r="M3085">
        <v>-0.44419459999999999</v>
      </c>
      <c r="N3085">
        <v>0</v>
      </c>
      <c r="O3085">
        <v>-0.89581169999999999</v>
      </c>
      <c r="P3085">
        <v>-0.25502229999999998</v>
      </c>
      <c r="Q3085">
        <v>1.846803E-2</v>
      </c>
      <c r="R3085">
        <v>-0.96675849999999997</v>
      </c>
      <c r="S3085">
        <v>2.3587039999999999</v>
      </c>
      <c r="T3085">
        <v>5.283048</v>
      </c>
      <c r="U3085">
        <v>-3.6404719999999999</v>
      </c>
      <c r="V3085">
        <v>-0.20145940000000001</v>
      </c>
      <c r="W3085">
        <v>2.977724E-2</v>
      </c>
      <c r="X3085">
        <v>0.97904409999999897</v>
      </c>
      <c r="Y3085">
        <v>-0.72530090000000003</v>
      </c>
      <c r="Z3085">
        <v>-0.55087629999999999</v>
      </c>
      <c r="AA3085">
        <v>0.4128849</v>
      </c>
      <c r="AB3085">
        <v>22</v>
      </c>
      <c r="AC3085">
        <v>17.5549</v>
      </c>
      <c r="AD3085">
        <v>39.214035999999901</v>
      </c>
      <c r="AE3085">
        <v>-26.914300000000001</v>
      </c>
      <c r="AF3085">
        <v>-11.1213866406255</v>
      </c>
      <c r="AG3085">
        <v>39.214035999999901</v>
      </c>
      <c r="AH3085">
        <v>6.5537920054598198</v>
      </c>
      <c r="AI3085">
        <v>18.220953618686799</v>
      </c>
      <c r="AJ3085">
        <v>149.48931238200799</v>
      </c>
      <c r="AK3085">
        <v>41.284113771163902</v>
      </c>
    </row>
    <row r="3086" spans="1:37" x14ac:dyDescent="0.2">
      <c r="A3086" t="str">
        <f>"20200111155559747"</f>
        <v>20200111155559747</v>
      </c>
      <c r="B3086" t="str">
        <f>"1578729359735482"</f>
        <v>1578729359735482</v>
      </c>
      <c r="C3086" t="s">
        <v>37</v>
      </c>
      <c r="D3086">
        <v>3.930536</v>
      </c>
      <c r="E3086">
        <v>9.8056329999999997E-2</v>
      </c>
      <c r="F3086" t="s">
        <v>66</v>
      </c>
      <c r="G3086">
        <v>-473.52499999999998</v>
      </c>
      <c r="H3086">
        <v>41.284709999999997</v>
      </c>
      <c r="I3086">
        <v>242.58690000000001</v>
      </c>
      <c r="J3086">
        <v>-491.12520000000001</v>
      </c>
      <c r="K3086">
        <v>1.1110659999999899</v>
      </c>
      <c r="L3086">
        <v>270.3186</v>
      </c>
      <c r="M3086">
        <v>-0.43929879999999999</v>
      </c>
      <c r="N3086">
        <v>0</v>
      </c>
      <c r="O3086">
        <v>-0.89822289999999905</v>
      </c>
      <c r="P3086">
        <v>-0.25031929999999902</v>
      </c>
      <c r="Q3086">
        <v>1.812919E-2</v>
      </c>
      <c r="R3086">
        <v>-0.96799369999999996</v>
      </c>
      <c r="S3086">
        <v>2.2723080000000002</v>
      </c>
      <c r="T3086">
        <v>5.200094</v>
      </c>
      <c r="U3086">
        <v>-3.6032410000000001</v>
      </c>
      <c r="V3086">
        <v>-0.20087260000000001</v>
      </c>
      <c r="W3086">
        <v>2.9450750000000001E-2</v>
      </c>
      <c r="X3086">
        <v>0.97917459999999901</v>
      </c>
      <c r="Y3086">
        <v>-0.71633539999999996</v>
      </c>
      <c r="Z3086">
        <v>-0.55744930000000004</v>
      </c>
      <c r="AA3086">
        <v>0.41965909999999901</v>
      </c>
      <c r="AB3086">
        <v>22</v>
      </c>
      <c r="AC3086">
        <v>17.600200000000001</v>
      </c>
      <c r="AD3086">
        <v>40.173644000000003</v>
      </c>
      <c r="AE3086">
        <v>-27.731699999999901</v>
      </c>
      <c r="AF3086">
        <v>-11.2156303240677</v>
      </c>
      <c r="AG3086">
        <v>40.173644000000003</v>
      </c>
      <c r="AH3086">
        <v>6.88270211838352</v>
      </c>
      <c r="AI3086">
        <v>18.136497705451301</v>
      </c>
      <c r="AJ3086">
        <v>148.46378485642501</v>
      </c>
      <c r="AK3086">
        <v>42.273911863645701</v>
      </c>
    </row>
    <row r="3087" spans="1:37" x14ac:dyDescent="0.2">
      <c r="A3087" t="str">
        <f>"20200111155559759"</f>
        <v>20200111155559759</v>
      </c>
      <c r="B3087" t="str">
        <f>"1578729359755978"</f>
        <v>1578729359755978</v>
      </c>
      <c r="C3087" t="s">
        <v>37</v>
      </c>
      <c r="D3087">
        <v>3.9319449999999998</v>
      </c>
      <c r="E3087">
        <v>0.1134299</v>
      </c>
      <c r="F3087" t="s">
        <v>66</v>
      </c>
      <c r="G3087">
        <v>-473.52499999999998</v>
      </c>
      <c r="H3087">
        <v>41.910870000000003</v>
      </c>
      <c r="I3087">
        <v>241.88749999999999</v>
      </c>
      <c r="J3087">
        <v>-491.17230000000001</v>
      </c>
      <c r="K3087">
        <v>1.1110580000000001</v>
      </c>
      <c r="L3087">
        <v>270.20830000000001</v>
      </c>
      <c r="M3087">
        <v>-0.43416909999999997</v>
      </c>
      <c r="N3087">
        <v>0</v>
      </c>
      <c r="O3087">
        <v>-0.90071380000000001</v>
      </c>
      <c r="P3087">
        <v>-0.24524949999999901</v>
      </c>
      <c r="Q3087">
        <v>1.8087900000000001E-2</v>
      </c>
      <c r="R3087">
        <v>-0.96929120000000002</v>
      </c>
      <c r="S3087">
        <v>2.213409</v>
      </c>
      <c r="T3087">
        <v>5.1309969999999998</v>
      </c>
      <c r="U3087">
        <v>-3.5754999999999999</v>
      </c>
      <c r="V3087">
        <v>-0.20041139999999999</v>
      </c>
      <c r="W3087">
        <v>2.9419770000000001E-2</v>
      </c>
      <c r="X3087">
        <v>0.97926999999999997</v>
      </c>
      <c r="Y3087">
        <v>-0.70910790000000001</v>
      </c>
      <c r="Z3087">
        <v>-0.56280209999999997</v>
      </c>
      <c r="AA3087">
        <v>0.42475859999999899</v>
      </c>
      <c r="AB3087">
        <v>22</v>
      </c>
      <c r="AC3087">
        <v>17.647300000000001</v>
      </c>
      <c r="AD3087">
        <v>40.799812000000003</v>
      </c>
      <c r="AE3087">
        <v>-28.320799999999998</v>
      </c>
      <c r="AF3087">
        <v>-11.300472623774199</v>
      </c>
      <c r="AG3087">
        <v>40.799812000000003</v>
      </c>
      <c r="AH3087">
        <v>7.1540025807881804</v>
      </c>
      <c r="AI3087">
        <v>18.149702559198499</v>
      </c>
      <c r="AJ3087">
        <v>147.663281500377</v>
      </c>
      <c r="AK3087">
        <v>42.936058199163298</v>
      </c>
    </row>
    <row r="3088" spans="1:37" x14ac:dyDescent="0.2">
      <c r="A3088" t="str">
        <f>"20200111155559771"</f>
        <v>20200111155559771</v>
      </c>
      <c r="B3088" t="str">
        <f>"1578729359765737"</f>
        <v>1578729359765737</v>
      </c>
      <c r="C3088" t="s">
        <v>37</v>
      </c>
      <c r="D3088">
        <v>4.0585170000000002</v>
      </c>
      <c r="E3088">
        <v>0.11835469999999999</v>
      </c>
      <c r="F3088" t="s">
        <v>66</v>
      </c>
      <c r="G3088">
        <v>-473.87380000000002</v>
      </c>
      <c r="H3088">
        <v>42.247669999999999</v>
      </c>
      <c r="I3088">
        <v>241.29929999999999</v>
      </c>
      <c r="J3088">
        <v>-491.22039999999998</v>
      </c>
      <c r="K3088">
        <v>1.1110469999999999</v>
      </c>
      <c r="L3088">
        <v>270.09289999999999</v>
      </c>
      <c r="M3088">
        <v>-0.42880239999999997</v>
      </c>
      <c r="N3088">
        <v>0</v>
      </c>
      <c r="O3088">
        <v>-0.90328090000000005</v>
      </c>
      <c r="P3088">
        <v>-0.2399606</v>
      </c>
      <c r="Q3088">
        <v>1.8145930000000001E-2</v>
      </c>
      <c r="R3088">
        <v>-0.97061330000000001</v>
      </c>
      <c r="S3088">
        <v>2.1162109999999998</v>
      </c>
      <c r="T3088">
        <v>5.0324519999999904</v>
      </c>
      <c r="U3088">
        <v>-3.536591</v>
      </c>
      <c r="V3088">
        <v>-0.19992449999999901</v>
      </c>
      <c r="W3088">
        <v>2.9489359999999999E-2</v>
      </c>
      <c r="X3088">
        <v>0.9793674</v>
      </c>
      <c r="Y3088">
        <v>-0.698621099999999</v>
      </c>
      <c r="Z3088">
        <v>-0.56953160000000003</v>
      </c>
      <c r="AA3088">
        <v>0.43308479999999999</v>
      </c>
      <c r="AB3088">
        <v>22</v>
      </c>
      <c r="AC3088">
        <v>17.346599999999899</v>
      </c>
      <c r="AD3088">
        <v>41.136623</v>
      </c>
      <c r="AE3088">
        <v>-28.793600000000001</v>
      </c>
      <c r="AF3088">
        <v>-11.218325147425499</v>
      </c>
      <c r="AG3088">
        <v>41.136623</v>
      </c>
      <c r="AH3088">
        <v>7.4361842783607699</v>
      </c>
      <c r="AI3088">
        <v>18.117099223754401</v>
      </c>
      <c r="AJ3088">
        <v>146.461175590978</v>
      </c>
      <c r="AK3088">
        <v>43.282437634440399</v>
      </c>
    </row>
    <row r="3089" spans="1:37" x14ac:dyDescent="0.2">
      <c r="A3089" t="str">
        <f>"20200111155559787"</f>
        <v>20200111155559787</v>
      </c>
      <c r="B3089" t="str">
        <f>"1578729359775498"</f>
        <v>1578729359775498</v>
      </c>
      <c r="C3089" t="s">
        <v>37</v>
      </c>
      <c r="D3089">
        <v>4.0459870000000002</v>
      </c>
      <c r="E3089">
        <v>0.12617039999999999</v>
      </c>
      <c r="F3089" t="s">
        <v>66</v>
      </c>
      <c r="G3089">
        <v>-473.87380000000002</v>
      </c>
      <c r="H3089">
        <v>42.373220000000003</v>
      </c>
      <c r="I3089">
        <v>241.05410000000001</v>
      </c>
      <c r="J3089">
        <v>-491.27350000000001</v>
      </c>
      <c r="K3089">
        <v>1.111038</v>
      </c>
      <c r="L3089">
        <v>269.96350000000001</v>
      </c>
      <c r="M3089">
        <v>-0.42277999999999999</v>
      </c>
      <c r="N3089">
        <v>0</v>
      </c>
      <c r="O3089">
        <v>-0.90611540000000002</v>
      </c>
      <c r="P3089">
        <v>-0.2343654</v>
      </c>
      <c r="Q3089">
        <v>1.8489169999999999E-2</v>
      </c>
      <c r="R3089">
        <v>-0.97197279999999997</v>
      </c>
      <c r="S3089">
        <v>2.1008</v>
      </c>
      <c r="T3089">
        <v>4.9971519999999998</v>
      </c>
      <c r="U3089">
        <v>-3.5168149999999998</v>
      </c>
      <c r="V3089">
        <v>-0.199048</v>
      </c>
      <c r="W3089">
        <v>2.9850160000000001E-2</v>
      </c>
      <c r="X3089">
        <v>0.97953500000000004</v>
      </c>
      <c r="Y3089">
        <v>-0.69378509999999904</v>
      </c>
      <c r="Z3089">
        <v>-0.57425809999999999</v>
      </c>
      <c r="AA3089">
        <v>0.43461459999999902</v>
      </c>
      <c r="AB3089">
        <v>22</v>
      </c>
      <c r="AC3089">
        <v>17.3996999999999</v>
      </c>
      <c r="AD3089">
        <v>41.262182000000003</v>
      </c>
      <c r="AE3089">
        <v>-28.909400000000002</v>
      </c>
      <c r="AF3089">
        <v>-11.2170085104766</v>
      </c>
      <c r="AG3089">
        <v>41.262182000000003</v>
      </c>
      <c r="AH3089">
        <v>7.55016047880118</v>
      </c>
      <c r="AI3089">
        <v>18.1436025334039</v>
      </c>
      <c r="AJ3089">
        <v>146.05553096906499</v>
      </c>
      <c r="AK3089">
        <v>43.421122355149699</v>
      </c>
    </row>
    <row r="3090" spans="1:37" x14ac:dyDescent="0.2">
      <c r="A3090" t="str">
        <f>"20200111155559814"</f>
        <v>20200111155559814</v>
      </c>
      <c r="B3090" t="str">
        <f>"1578729359805755"</f>
        <v>1578729359805755</v>
      </c>
      <c r="C3090" t="s">
        <v>37</v>
      </c>
      <c r="D3090">
        <v>4.112832</v>
      </c>
      <c r="E3090">
        <v>0.1467175</v>
      </c>
      <c r="F3090" t="s">
        <v>66</v>
      </c>
      <c r="G3090">
        <v>-473.87380000000002</v>
      </c>
      <c r="H3090">
        <v>42.780999999999999</v>
      </c>
      <c r="I3090">
        <v>240.55439999999999</v>
      </c>
      <c r="J3090">
        <v>-491.37259999999998</v>
      </c>
      <c r="K3090">
        <v>1.1110169999999999</v>
      </c>
      <c r="L3090">
        <v>269.71559999999999</v>
      </c>
      <c r="M3090">
        <v>-0.41123290000000001</v>
      </c>
      <c r="N3090">
        <v>0</v>
      </c>
      <c r="O3090">
        <v>-0.91141419999999995</v>
      </c>
      <c r="P3090">
        <v>-0.222654299999999</v>
      </c>
      <c r="Q3090">
        <v>1.9228370000000002E-2</v>
      </c>
      <c r="R3090">
        <v>-0.97470800000000002</v>
      </c>
      <c r="S3090">
        <v>2.0650629999999999</v>
      </c>
      <c r="T3090">
        <v>4.9455539999999996</v>
      </c>
      <c r="U3090">
        <v>-3.4903870000000001</v>
      </c>
      <c r="V3090">
        <v>-0.1983905</v>
      </c>
      <c r="W3090">
        <v>3.0605609999999998E-2</v>
      </c>
      <c r="X3090">
        <v>0.97964509999999905</v>
      </c>
      <c r="Y3090">
        <v>-0.68301149999999999</v>
      </c>
      <c r="Z3090">
        <v>-0.58393759999999995</v>
      </c>
      <c r="AA3090">
        <v>0.43876209999999999</v>
      </c>
      <c r="AB3090">
        <v>22</v>
      </c>
      <c r="AC3090">
        <v>17.4987999999999</v>
      </c>
      <c r="AD3090">
        <v>41.669983000000002</v>
      </c>
      <c r="AE3090">
        <v>-29.161200000000001</v>
      </c>
      <c r="AF3090">
        <v>-11.171620566124499</v>
      </c>
      <c r="AG3090">
        <v>41.669983000000002</v>
      </c>
      <c r="AH3090">
        <v>7.7495077505972896</v>
      </c>
      <c r="AI3090">
        <v>18.070767267682498</v>
      </c>
      <c r="AJ3090">
        <v>145.25180463863001</v>
      </c>
      <c r="AK3090">
        <v>43.832036909894001</v>
      </c>
    </row>
    <row r="3091" spans="1:37" x14ac:dyDescent="0.2">
      <c r="A3091" t="str">
        <f>"20200111155559843"</f>
        <v>20200111155559843</v>
      </c>
      <c r="B3091" t="str">
        <f>"1578729359836012"</f>
        <v>1578729359836012</v>
      </c>
      <c r="C3091" t="s">
        <v>37</v>
      </c>
      <c r="D3091">
        <v>3.9601589999999902</v>
      </c>
      <c r="E3091">
        <v>0.15695889999999901</v>
      </c>
      <c r="F3091" t="s">
        <v>66</v>
      </c>
      <c r="G3091">
        <v>-473.52499999999998</v>
      </c>
      <c r="H3091">
        <v>45.144919999999999</v>
      </c>
      <c r="I3091">
        <v>238.34379999999999</v>
      </c>
      <c r="J3091">
        <v>-491.47059999999999</v>
      </c>
      <c r="K3091">
        <v>1.110997</v>
      </c>
      <c r="L3091">
        <v>269.46069999999997</v>
      </c>
      <c r="M3091">
        <v>-0.39935219999999999</v>
      </c>
      <c r="N3091">
        <v>0</v>
      </c>
      <c r="O3091">
        <v>-0.9166822</v>
      </c>
      <c r="P3091">
        <v>-0.21348149999999999</v>
      </c>
      <c r="Q3091">
        <v>2.0875769999999998E-2</v>
      </c>
      <c r="R3091">
        <v>-0.9767245</v>
      </c>
      <c r="S3091">
        <v>1.9504699999999999</v>
      </c>
      <c r="T3091">
        <v>4.8122480000000003</v>
      </c>
      <c r="U3091">
        <v>-3.4284669999999999</v>
      </c>
      <c r="V3091">
        <v>-0.19487289999999999</v>
      </c>
      <c r="W3091">
        <v>3.2319460000000001E-2</v>
      </c>
      <c r="X3091">
        <v>0.9802959</v>
      </c>
      <c r="Y3091">
        <v>-0.66615639999999998</v>
      </c>
      <c r="Z3091">
        <v>-0.59544339999999996</v>
      </c>
      <c r="AA3091">
        <v>0.44909099999999902</v>
      </c>
      <c r="AB3091">
        <v>22</v>
      </c>
      <c r="AC3091">
        <v>17.945599999999999</v>
      </c>
      <c r="AD3091">
        <v>44.033923000000001</v>
      </c>
      <c r="AE3091">
        <v>-31.116899999999902</v>
      </c>
      <c r="AF3091">
        <v>-11.539409675772999</v>
      </c>
      <c r="AG3091">
        <v>44.033923000000001</v>
      </c>
      <c r="AH3091">
        <v>8.5346487121093304</v>
      </c>
      <c r="AI3091">
        <v>18.053120448387102</v>
      </c>
      <c r="AJ3091">
        <v>143.51304547088299</v>
      </c>
      <c r="AK3091">
        <v>46.313978225524501</v>
      </c>
    </row>
    <row r="3092" spans="1:37" x14ac:dyDescent="0.2">
      <c r="A3092" t="str">
        <f>"20200111155559855"</f>
        <v>20200111155559855</v>
      </c>
      <c r="B3092" t="str">
        <f>"1578729359845770"</f>
        <v>1578729359845770</v>
      </c>
      <c r="C3092" t="s">
        <v>37</v>
      </c>
      <c r="D3092">
        <v>3.9864999999999999</v>
      </c>
      <c r="E3092">
        <v>0.16159100000000001</v>
      </c>
      <c r="F3092" t="s">
        <v>66</v>
      </c>
      <c r="G3092">
        <v>-473.52499999999998</v>
      </c>
      <c r="H3092">
        <v>46.126280000000001</v>
      </c>
      <c r="I3092">
        <v>237.40270000000001</v>
      </c>
      <c r="J3092">
        <v>-491.51069999999999</v>
      </c>
      <c r="K3092">
        <v>1.1109899999999999</v>
      </c>
      <c r="L3092">
        <v>269.35359999999997</v>
      </c>
      <c r="M3092">
        <v>-0.39435249999999999</v>
      </c>
      <c r="N3092">
        <v>0</v>
      </c>
      <c r="O3092">
        <v>-0.91884409999999905</v>
      </c>
      <c r="P3092">
        <v>-0.20936959999999999</v>
      </c>
      <c r="Q3092">
        <v>2.046748E-2</v>
      </c>
      <c r="R3092">
        <v>-0.97762229999999894</v>
      </c>
      <c r="S3092">
        <v>1.8942869999999901</v>
      </c>
      <c r="T3092">
        <v>4.7517120000000004</v>
      </c>
      <c r="U3092">
        <v>-3.383972</v>
      </c>
      <c r="V3092">
        <v>-0.19365370000000001</v>
      </c>
      <c r="W3092">
        <v>3.1934379999999998E-2</v>
      </c>
      <c r="X3092">
        <v>0.98055009999999998</v>
      </c>
      <c r="Y3092">
        <v>-0.65845180000000003</v>
      </c>
      <c r="Z3092">
        <v>-0.6013288</v>
      </c>
      <c r="AA3092">
        <v>0.4525979</v>
      </c>
      <c r="AB3092">
        <v>22</v>
      </c>
      <c r="AC3092">
        <v>17.985700000000001</v>
      </c>
      <c r="AD3092">
        <v>45.01529</v>
      </c>
      <c r="AE3092">
        <v>-31.950899999999901</v>
      </c>
      <c r="AF3092">
        <v>-11.617544587817999</v>
      </c>
      <c r="AG3092">
        <v>45.01529</v>
      </c>
      <c r="AH3092">
        <v>8.8809686149582596</v>
      </c>
      <c r="AI3092">
        <v>17.9964065184821</v>
      </c>
      <c r="AJ3092">
        <v>142.604092832541</v>
      </c>
      <c r="AK3092">
        <v>47.330912515753496</v>
      </c>
    </row>
    <row r="3093" spans="1:37" x14ac:dyDescent="0.2">
      <c r="A3093" t="str">
        <f>"20200111155559867"</f>
        <v>20200111155559867</v>
      </c>
      <c r="B3093" t="str">
        <f>"1578729359855530"</f>
        <v>1578729359855530</v>
      </c>
      <c r="C3093" t="s">
        <v>37</v>
      </c>
      <c r="D3093">
        <v>4.0321530000000001</v>
      </c>
      <c r="E3093">
        <v>0.1648502</v>
      </c>
      <c r="F3093" t="s">
        <v>66</v>
      </c>
      <c r="G3093">
        <v>-473.52499999999998</v>
      </c>
      <c r="H3093">
        <v>46.47831</v>
      </c>
      <c r="I3093">
        <v>236.95050000000001</v>
      </c>
      <c r="J3093">
        <v>-491.54930000000002</v>
      </c>
      <c r="K3093">
        <v>1.110976</v>
      </c>
      <c r="L3093">
        <v>269.24829999999997</v>
      </c>
      <c r="M3093">
        <v>-0.38944040000000002</v>
      </c>
      <c r="N3093">
        <v>0</v>
      </c>
      <c r="O3093">
        <v>-0.92093700000000001</v>
      </c>
      <c r="P3093">
        <v>-0.2051645</v>
      </c>
      <c r="Q3093">
        <v>2.0084149999999999E-2</v>
      </c>
      <c r="R3093">
        <v>-0.97852159999999999</v>
      </c>
      <c r="S3093">
        <v>1.8708499999999999</v>
      </c>
      <c r="T3093">
        <v>4.7190760000000003</v>
      </c>
      <c r="U3093">
        <v>-3.3705440000000002</v>
      </c>
      <c r="V3093">
        <v>-0.19262989999999999</v>
      </c>
      <c r="W3093">
        <v>3.1570260000000003E-2</v>
      </c>
      <c r="X3093">
        <v>0.98076350000000001</v>
      </c>
      <c r="Y3093">
        <v>-0.65301899999999902</v>
      </c>
      <c r="Z3093">
        <v>-0.60516979999999998</v>
      </c>
      <c r="AA3093">
        <v>0.45534160000000001</v>
      </c>
      <c r="AB3093">
        <v>22</v>
      </c>
      <c r="AC3093">
        <v>18.0243</v>
      </c>
      <c r="AD3093">
        <v>45.367334</v>
      </c>
      <c r="AE3093">
        <v>-32.297799999999903</v>
      </c>
      <c r="AF3093">
        <v>-11.6511722545822</v>
      </c>
      <c r="AG3093">
        <v>45.367334</v>
      </c>
      <c r="AH3093">
        <v>9.0745547515403597</v>
      </c>
      <c r="AI3093">
        <v>18.031270674230299</v>
      </c>
      <c r="AJ3093">
        <v>142.08663813486999</v>
      </c>
      <c r="AK3093">
        <v>47.710505689126798</v>
      </c>
    </row>
    <row r="3094" spans="1:37" x14ac:dyDescent="0.2">
      <c r="A3094" t="str">
        <f>"20200111155559879"</f>
        <v>20200111155559879</v>
      </c>
      <c r="B3094" t="str">
        <f>"1578729359876027"</f>
        <v>1578729359876027</v>
      </c>
      <c r="C3094" t="s">
        <v>37</v>
      </c>
      <c r="D3094">
        <v>3.9719139999999999</v>
      </c>
      <c r="E3094">
        <v>0.17106260000000001</v>
      </c>
      <c r="F3094" t="s">
        <v>66</v>
      </c>
      <c r="G3094">
        <v>-473.52499999999998</v>
      </c>
      <c r="H3094">
        <v>46.661259999999999</v>
      </c>
      <c r="I3094">
        <v>236.67519999999999</v>
      </c>
      <c r="J3094">
        <v>-491.5883</v>
      </c>
      <c r="K3094">
        <v>1.110967</v>
      </c>
      <c r="L3094">
        <v>269.14069999999998</v>
      </c>
      <c r="M3094">
        <v>-0.384412799999999</v>
      </c>
      <c r="N3094">
        <v>0</v>
      </c>
      <c r="O3094">
        <v>-0.92304679999999995</v>
      </c>
      <c r="P3094">
        <v>-0.20086879999999999</v>
      </c>
      <c r="Q3094">
        <v>1.9148180000000001E-2</v>
      </c>
      <c r="R3094">
        <v>-0.9794313</v>
      </c>
      <c r="S3094">
        <v>1.858765</v>
      </c>
      <c r="T3094">
        <v>4.6974099999999996</v>
      </c>
      <c r="U3094">
        <v>-3.3591309999999899</v>
      </c>
      <c r="V3094">
        <v>-0.1915779</v>
      </c>
      <c r="W3094">
        <v>3.06547E-2</v>
      </c>
      <c r="X3094">
        <v>0.98099859999999905</v>
      </c>
      <c r="Y3094">
        <v>-0.64842549999999999</v>
      </c>
      <c r="Z3094">
        <v>-0.6088829</v>
      </c>
      <c r="AA3094">
        <v>0.456953</v>
      </c>
      <c r="AB3094">
        <v>22</v>
      </c>
      <c r="AC3094">
        <v>18.063300000000002</v>
      </c>
      <c r="AD3094">
        <v>45.550292999999897</v>
      </c>
      <c r="AE3094">
        <v>-32.465499999999899</v>
      </c>
      <c r="AF3094">
        <v>-11.6477780187727</v>
      </c>
      <c r="AG3094">
        <v>45.550292999999897</v>
      </c>
      <c r="AH3094">
        <v>9.1986308238677701</v>
      </c>
      <c r="AI3094">
        <v>18.0475813191977</v>
      </c>
      <c r="AJ3094">
        <v>141.70069668677701</v>
      </c>
      <c r="AK3094">
        <v>47.907355742038803</v>
      </c>
    </row>
    <row r="3095" spans="1:37" x14ac:dyDescent="0.2">
      <c r="A3095" t="str">
        <f>"20200111155559891"</f>
        <v>20200111155559891</v>
      </c>
      <c r="B3095" t="str">
        <f>"1578729359885786"</f>
        <v>1578729359885786</v>
      </c>
      <c r="C3095" t="s">
        <v>37</v>
      </c>
      <c r="D3095">
        <v>3.9863580000000001</v>
      </c>
      <c r="E3095">
        <v>0.1742784</v>
      </c>
      <c r="F3095" t="s">
        <v>66</v>
      </c>
      <c r="G3095">
        <v>-473.52499999999998</v>
      </c>
      <c r="H3095">
        <v>47.22251</v>
      </c>
      <c r="I3095">
        <v>235.99930000000001</v>
      </c>
      <c r="J3095">
        <v>-491.62990000000002</v>
      </c>
      <c r="K3095">
        <v>1.110951</v>
      </c>
      <c r="L3095">
        <v>269.02330000000001</v>
      </c>
      <c r="M3095">
        <v>-0.37893329999999997</v>
      </c>
      <c r="N3095">
        <v>0</v>
      </c>
      <c r="O3095">
        <v>-0.92530990000000002</v>
      </c>
      <c r="P3095">
        <v>-0.1963579</v>
      </c>
      <c r="Q3095">
        <v>1.8733179999999999E-2</v>
      </c>
      <c r="R3095">
        <v>-0.98035339999999904</v>
      </c>
      <c r="S3095">
        <v>1.8237000000000001</v>
      </c>
      <c r="T3095">
        <v>4.6554989999999998</v>
      </c>
      <c r="U3095">
        <v>-3.3460079999999999</v>
      </c>
      <c r="V3095">
        <v>-0.1902731</v>
      </c>
      <c r="W3095">
        <v>3.0264349999999999E-2</v>
      </c>
      <c r="X3095">
        <v>0.98126460000000004</v>
      </c>
      <c r="Y3095">
        <v>-0.64131050000000001</v>
      </c>
      <c r="Z3095">
        <v>-0.61317429999999995</v>
      </c>
      <c r="AA3095">
        <v>0.46123540000000002</v>
      </c>
      <c r="AB3095">
        <v>22</v>
      </c>
      <c r="AC3095">
        <v>18.104900000000001</v>
      </c>
      <c r="AD3095">
        <v>46.111559</v>
      </c>
      <c r="AE3095">
        <v>-33.024000000000001</v>
      </c>
      <c r="AF3095">
        <v>-11.7120854056112</v>
      </c>
      <c r="AG3095">
        <v>46.111559</v>
      </c>
      <c r="AH3095">
        <v>9.4831835195888097</v>
      </c>
      <c r="AI3095">
        <v>18.098181342888299</v>
      </c>
      <c r="AJ3095">
        <v>141.003179956248</v>
      </c>
      <c r="AK3095">
        <v>48.511643835526797</v>
      </c>
    </row>
    <row r="3096" spans="1:37" x14ac:dyDescent="0.2">
      <c r="A3096" t="str">
        <f>"20200111155559904"</f>
        <v>20200111155559904</v>
      </c>
      <c r="B3096" t="str">
        <f>"1578729359895545"</f>
        <v>1578729359895545</v>
      </c>
      <c r="C3096" t="s">
        <v>37</v>
      </c>
      <c r="D3096">
        <v>4.0468669999999998</v>
      </c>
      <c r="E3096">
        <v>0.176427</v>
      </c>
      <c r="F3096" t="s">
        <v>66</v>
      </c>
      <c r="G3096">
        <v>-473.52499999999998</v>
      </c>
      <c r="H3096">
        <v>47.390740000000001</v>
      </c>
      <c r="I3096">
        <v>235.7182</v>
      </c>
      <c r="J3096">
        <v>-491.66660000000002</v>
      </c>
      <c r="K3096">
        <v>1.1109370000000001</v>
      </c>
      <c r="L3096">
        <v>268.91809999999998</v>
      </c>
      <c r="M3096">
        <v>-0.37401999999999902</v>
      </c>
      <c r="N3096">
        <v>0</v>
      </c>
      <c r="O3096">
        <v>-0.92730679999999999</v>
      </c>
      <c r="P3096">
        <v>-0.19233739999999999</v>
      </c>
      <c r="Q3096">
        <v>1.816425E-2</v>
      </c>
      <c r="R3096">
        <v>-0.98116119999999996</v>
      </c>
      <c r="S3096">
        <v>1.8127439999999999</v>
      </c>
      <c r="T3096">
        <v>4.6337529999999996</v>
      </c>
      <c r="U3096">
        <v>-3.3346559999999998</v>
      </c>
      <c r="V3096">
        <v>-0.1890857</v>
      </c>
      <c r="W3096">
        <v>2.971766E-2</v>
      </c>
      <c r="X3096">
        <v>0.98151080000000002</v>
      </c>
      <c r="Y3096">
        <v>-0.63688230000000001</v>
      </c>
      <c r="Z3096">
        <v>-0.61661379999999999</v>
      </c>
      <c r="AA3096">
        <v>0.46278329999999901</v>
      </c>
      <c r="AB3096">
        <v>22</v>
      </c>
      <c r="AC3096">
        <v>18.1416</v>
      </c>
      <c r="AD3096">
        <v>46.279803000000001</v>
      </c>
      <c r="AE3096">
        <v>-33.1998999999999</v>
      </c>
      <c r="AF3096">
        <v>-11.7143810044342</v>
      </c>
      <c r="AG3096">
        <v>46.279803000000001</v>
      </c>
      <c r="AH3096">
        <v>9.6154723966778999</v>
      </c>
      <c r="AI3096">
        <v>18.132161910122601</v>
      </c>
      <c r="AJ3096">
        <v>140.61994901048899</v>
      </c>
      <c r="AK3096">
        <v>48.698092338890703</v>
      </c>
    </row>
    <row r="3097" spans="1:37" x14ac:dyDescent="0.2">
      <c r="A3097" t="str">
        <f>"20200111155559916"</f>
        <v>20200111155559916</v>
      </c>
      <c r="B3097" t="str">
        <f>"1578729359905307"</f>
        <v>1578729359905307</v>
      </c>
      <c r="C3097" t="s">
        <v>37</v>
      </c>
      <c r="D3097">
        <v>3.9899260000000001</v>
      </c>
      <c r="E3097">
        <v>0.179205</v>
      </c>
      <c r="F3097" t="s">
        <v>66</v>
      </c>
      <c r="G3097">
        <v>-473.52499999999998</v>
      </c>
      <c r="H3097">
        <v>47.440779999999997</v>
      </c>
      <c r="I3097">
        <v>235.55340000000001</v>
      </c>
      <c r="J3097">
        <v>-491.7038</v>
      </c>
      <c r="K3097">
        <v>1.110922</v>
      </c>
      <c r="L3097">
        <v>268.8098</v>
      </c>
      <c r="M3097">
        <v>-0.36895529999999999</v>
      </c>
      <c r="N3097">
        <v>0</v>
      </c>
      <c r="O3097">
        <v>-0.92933359999999998</v>
      </c>
      <c r="P3097">
        <v>-0.188458399999999</v>
      </c>
      <c r="Q3097">
        <v>1.7457400000000001E-2</v>
      </c>
      <c r="R3097">
        <v>-0.98192619999999897</v>
      </c>
      <c r="S3097">
        <v>1.8088070000000001</v>
      </c>
      <c r="T3097">
        <v>4.6193239999999998</v>
      </c>
      <c r="U3097">
        <v>-3.3266300000000002</v>
      </c>
      <c r="V3097">
        <v>-0.18760279999999999</v>
      </c>
      <c r="W3097">
        <v>2.903847E-2</v>
      </c>
      <c r="X3097">
        <v>0.98181559999999901</v>
      </c>
      <c r="Y3097">
        <v>-0.63287299999999902</v>
      </c>
      <c r="Z3097">
        <v>-0.61995009999999995</v>
      </c>
      <c r="AA3097">
        <v>0.46382509999999999</v>
      </c>
      <c r="AB3097">
        <v>22</v>
      </c>
      <c r="AC3097">
        <v>18.178799999999999</v>
      </c>
      <c r="AD3097">
        <v>46.329858000000002</v>
      </c>
      <c r="AE3097">
        <v>-33.2563999999999</v>
      </c>
      <c r="AF3097">
        <v>-11.6937469910776</v>
      </c>
      <c r="AG3097">
        <v>46.329858000000002</v>
      </c>
      <c r="AH3097">
        <v>9.7029073401186103</v>
      </c>
      <c r="AI3097">
        <v>18.158235242694602</v>
      </c>
      <c r="AJ3097">
        <v>140.31574883544499</v>
      </c>
      <c r="AK3097">
        <v>48.7580339210106</v>
      </c>
    </row>
    <row r="3098" spans="1:37" x14ac:dyDescent="0.2">
      <c r="A3098" t="str">
        <f>"20200111155559932"</f>
        <v>20200111155559932</v>
      </c>
      <c r="B3098" t="str">
        <f>"1578729359925805"</f>
        <v>1578729359925805</v>
      </c>
      <c r="C3098" t="s">
        <v>37</v>
      </c>
      <c r="D3098">
        <v>3.949141</v>
      </c>
      <c r="E3098">
        <v>0.18185499999999999</v>
      </c>
      <c r="F3098" t="s">
        <v>66</v>
      </c>
      <c r="G3098">
        <v>-473.52499999999998</v>
      </c>
      <c r="H3098">
        <v>47.573369999999997</v>
      </c>
      <c r="I3098">
        <v>235.2852</v>
      </c>
      <c r="J3098">
        <v>-491.75150000000002</v>
      </c>
      <c r="K3098">
        <v>1.1108979999999999</v>
      </c>
      <c r="L3098">
        <v>268.66730000000001</v>
      </c>
      <c r="M3098">
        <v>-0.36229659999999902</v>
      </c>
      <c r="N3098">
        <v>0</v>
      </c>
      <c r="O3098">
        <v>-0.93194969999999999</v>
      </c>
      <c r="P3098">
        <v>-0.18414629999999901</v>
      </c>
      <c r="Q3098">
        <v>1.6381380000000001E-2</v>
      </c>
      <c r="R3098">
        <v>-0.98276280000000005</v>
      </c>
      <c r="S3098">
        <v>1.7996220000000001</v>
      </c>
      <c r="T3098">
        <v>4.599583</v>
      </c>
      <c r="U3098">
        <v>-3.3187869999999999</v>
      </c>
      <c r="V3098">
        <v>-0.18487709999999999</v>
      </c>
      <c r="W3098">
        <v>2.801178E-2</v>
      </c>
      <c r="X3098">
        <v>0.98236229999999902</v>
      </c>
      <c r="Y3098">
        <v>-0.62704079999999995</v>
      </c>
      <c r="Z3098">
        <v>-0.62432790000000005</v>
      </c>
      <c r="AA3098">
        <v>0.46586959999999999</v>
      </c>
      <c r="AB3098">
        <v>22</v>
      </c>
      <c r="AC3098">
        <v>18.226500000000001</v>
      </c>
      <c r="AD3098">
        <v>46.462471999999998</v>
      </c>
      <c r="AE3098">
        <v>-33.382100000000001</v>
      </c>
      <c r="AF3098">
        <v>-11.6691837559292</v>
      </c>
      <c r="AG3098">
        <v>46.462471999999998</v>
      </c>
      <c r="AH3098">
        <v>9.83401595642699</v>
      </c>
      <c r="AI3098">
        <v>18.182468447825499</v>
      </c>
      <c r="AJ3098">
        <v>139.87802733958901</v>
      </c>
      <c r="AK3098">
        <v>48.904386548771697</v>
      </c>
    </row>
    <row r="3099" spans="1:37" x14ac:dyDescent="0.2">
      <c r="A3099" t="str">
        <f>"20200111155559944"</f>
        <v>20200111155559944</v>
      </c>
      <c r="B3099" t="str">
        <f>"1578729359935562"</f>
        <v>1578729359935562</v>
      </c>
      <c r="C3099" t="s">
        <v>37</v>
      </c>
      <c r="D3099">
        <v>3.9415550000000001</v>
      </c>
      <c r="E3099">
        <v>0.2390777</v>
      </c>
      <c r="F3099" t="s">
        <v>66</v>
      </c>
      <c r="G3099">
        <v>-473.52499999999998</v>
      </c>
      <c r="H3099">
        <v>47.730449999999998</v>
      </c>
      <c r="I3099">
        <v>234.96469999999999</v>
      </c>
      <c r="J3099">
        <v>-491.78730000000002</v>
      </c>
      <c r="K3099">
        <v>1.1108879999999901</v>
      </c>
      <c r="L3099">
        <v>268.55840000000001</v>
      </c>
      <c r="M3099">
        <v>-0.35719980000000001</v>
      </c>
      <c r="N3099">
        <v>0</v>
      </c>
      <c r="O3099">
        <v>-0.93391499999999905</v>
      </c>
      <c r="P3099">
        <v>-0.1800281</v>
      </c>
      <c r="Q3099">
        <v>1.547368E-2</v>
      </c>
      <c r="R3099">
        <v>-0.98353969999999902</v>
      </c>
      <c r="S3099">
        <v>1.791077</v>
      </c>
      <c r="T3099">
        <v>4.581213</v>
      </c>
      <c r="U3099">
        <v>-3.31189</v>
      </c>
      <c r="V3099">
        <v>-0.18361620000000001</v>
      </c>
      <c r="W3099">
        <v>2.7127579999999998E-2</v>
      </c>
      <c r="X3099">
        <v>0.98262359999999904</v>
      </c>
      <c r="Y3099">
        <v>-0.62249180000000004</v>
      </c>
      <c r="Z3099">
        <v>-0.62755780000000005</v>
      </c>
      <c r="AA3099">
        <v>0.46762720000000002</v>
      </c>
      <c r="AB3099">
        <v>22</v>
      </c>
      <c r="AC3099">
        <v>18.2623</v>
      </c>
      <c r="AD3099">
        <v>46.619562000000002</v>
      </c>
      <c r="AE3099">
        <v>-33.593699999999998</v>
      </c>
      <c r="AF3099">
        <v>-11.686215858247101</v>
      </c>
      <c r="AG3099">
        <v>46.619562000000002</v>
      </c>
      <c r="AH3099">
        <v>9.9950371781585297</v>
      </c>
      <c r="AI3099">
        <v>18.255213324849102</v>
      </c>
      <c r="AJ3099">
        <v>139.46014801193201</v>
      </c>
      <c r="AK3099">
        <v>49.090243127837098</v>
      </c>
    </row>
    <row r="3100" spans="1:37" x14ac:dyDescent="0.2">
      <c r="A3100" t="str">
        <f>"20200111155559956"</f>
        <v>20200111155559956</v>
      </c>
      <c r="B3100" t="str">
        <f>"1578729359945321"</f>
        <v>1578729359945321</v>
      </c>
      <c r="C3100" t="s">
        <v>37</v>
      </c>
      <c r="D3100">
        <v>4.0035679999999996</v>
      </c>
      <c r="E3100">
        <v>0.237513999999999</v>
      </c>
      <c r="F3100" t="s">
        <v>48</v>
      </c>
      <c r="G3100">
        <v>0</v>
      </c>
      <c r="H3100">
        <v>0</v>
      </c>
      <c r="I3100">
        <v>0</v>
      </c>
      <c r="J3100">
        <v>-491.82199999999898</v>
      </c>
      <c r="K3100">
        <v>1.1108719999999901</v>
      </c>
      <c r="L3100">
        <v>268.4513</v>
      </c>
      <c r="M3100">
        <v>-0.35218559999999999</v>
      </c>
      <c r="N3100">
        <v>0</v>
      </c>
      <c r="O3100">
        <v>-0.93581769999999997</v>
      </c>
      <c r="P3100">
        <v>-0.17591960000000001</v>
      </c>
      <c r="Q3100">
        <v>1.469022E-2</v>
      </c>
      <c r="R3100">
        <v>-0.98429519999999904</v>
      </c>
      <c r="S3100">
        <v>1.3674930000000001</v>
      </c>
      <c r="T3100">
        <v>4.2295419999999897</v>
      </c>
      <c r="U3100">
        <v>-3.233978</v>
      </c>
      <c r="V3100">
        <v>-0.1824414</v>
      </c>
      <c r="W3100">
        <v>2.6365389999999999E-2</v>
      </c>
      <c r="X3100">
        <v>0.98286319999999905</v>
      </c>
      <c r="Y3100">
        <v>-0.57343719999999998</v>
      </c>
      <c r="Z3100">
        <v>-0.63859719999999998</v>
      </c>
      <c r="AA3100">
        <v>0.51318940000000002</v>
      </c>
      <c r="AB3100">
        <v>22</v>
      </c>
      <c r="AC3100">
        <v>1.3674930000000001</v>
      </c>
      <c r="AD3100">
        <v>4.2295419999999897</v>
      </c>
      <c r="AE3100">
        <v>-3.233978</v>
      </c>
      <c r="AF3100">
        <v>-0.98691432962993797</v>
      </c>
      <c r="AG3100">
        <v>4.2295419999999897</v>
      </c>
      <c r="AH3100">
        <v>1.03837516745876</v>
      </c>
      <c r="AI3100">
        <v>18.711389754135599</v>
      </c>
      <c r="AJ3100">
        <v>133.544477453909</v>
      </c>
      <c r="AK3100">
        <v>4.4655624967284799</v>
      </c>
    </row>
    <row r="3101" spans="1:37" x14ac:dyDescent="0.2">
      <c r="A3101" t="str">
        <f>"20200111155559967"</f>
        <v>20200111155559967</v>
      </c>
      <c r="B3101" t="str">
        <f>"1578729359955083"</f>
        <v>1578729359955083</v>
      </c>
      <c r="C3101" t="s">
        <v>37</v>
      </c>
      <c r="D3101">
        <v>3.9942959999999998</v>
      </c>
      <c r="E3101">
        <v>0.23911469999999899</v>
      </c>
      <c r="F3101" t="s">
        <v>48</v>
      </c>
      <c r="G3101">
        <v>0</v>
      </c>
      <c r="H3101">
        <v>0</v>
      </c>
      <c r="I3101">
        <v>0</v>
      </c>
      <c r="J3101">
        <v>-491.85500000000002</v>
      </c>
      <c r="K3101">
        <v>1.11086</v>
      </c>
      <c r="L3101">
        <v>268.3467</v>
      </c>
      <c r="M3101">
        <v>-0.34728949999999997</v>
      </c>
      <c r="N3101">
        <v>0</v>
      </c>
      <c r="O3101">
        <v>-0.93764559999999997</v>
      </c>
      <c r="P3101">
        <v>-0.17215920000000001</v>
      </c>
      <c r="Q3101">
        <v>1.4008990000000001E-2</v>
      </c>
      <c r="R3101">
        <v>-0.9849696</v>
      </c>
      <c r="S3101">
        <v>1.3925479999999999</v>
      </c>
      <c r="T3101">
        <v>4.2360790000000001</v>
      </c>
      <c r="U3101">
        <v>-3.2335820000000002</v>
      </c>
      <c r="V3101">
        <v>-0.18104999999999999</v>
      </c>
      <c r="W3101">
        <v>2.570948E-2</v>
      </c>
      <c r="X3101">
        <v>0.98313779999999995</v>
      </c>
      <c r="Y3101">
        <v>-0.57267659999999998</v>
      </c>
      <c r="Z3101">
        <v>-0.64064989999999999</v>
      </c>
      <c r="AA3101">
        <v>0.51147749999999903</v>
      </c>
      <c r="AB3101">
        <v>22</v>
      </c>
      <c r="AC3101">
        <v>1.3925479999999999</v>
      </c>
      <c r="AD3101">
        <v>4.2360790000000001</v>
      </c>
      <c r="AE3101">
        <v>-3.2335820000000002</v>
      </c>
      <c r="AF3101">
        <v>-0.99235188859537404</v>
      </c>
      <c r="AG3101">
        <v>4.2360790000000001</v>
      </c>
      <c r="AH3101">
        <v>1.0412322898304001</v>
      </c>
      <c r="AI3101">
        <v>18.755111147583801</v>
      </c>
      <c r="AJ3101">
        <v>133.623070760964</v>
      </c>
      <c r="AK3101">
        <v>4.4736218264874896</v>
      </c>
    </row>
    <row r="3102" spans="1:37" x14ac:dyDescent="0.2">
      <c r="A3102" t="str">
        <f>"20200111155559979"</f>
        <v>20200111155559979</v>
      </c>
      <c r="B3102" t="str">
        <f>"1578729359975577"</f>
        <v>1578729359975577</v>
      </c>
      <c r="C3102" t="s">
        <v>37</v>
      </c>
      <c r="D3102">
        <v>4.0253839999999999</v>
      </c>
      <c r="E3102">
        <v>0.2405196</v>
      </c>
      <c r="F3102" t="s">
        <v>48</v>
      </c>
      <c r="G3102">
        <v>0</v>
      </c>
      <c r="H3102">
        <v>0</v>
      </c>
      <c r="I3102">
        <v>0</v>
      </c>
      <c r="J3102">
        <v>-491.88869999999997</v>
      </c>
      <c r="K3102">
        <v>1.1108499999999999</v>
      </c>
      <c r="L3102">
        <v>268.23860000000002</v>
      </c>
      <c r="M3102">
        <v>-0.3422287</v>
      </c>
      <c r="N3102">
        <v>0</v>
      </c>
      <c r="O3102">
        <v>-0.93950460000000002</v>
      </c>
      <c r="P3102">
        <v>-0.16773869999999999</v>
      </c>
      <c r="Q3102">
        <v>1.317661E-2</v>
      </c>
      <c r="R3102">
        <v>-0.98574399999999995</v>
      </c>
      <c r="S3102">
        <v>1.393616</v>
      </c>
      <c r="T3102">
        <v>4.221686</v>
      </c>
      <c r="U3102">
        <v>-3.2293400000000001</v>
      </c>
      <c r="V3102">
        <v>-0.180150799999999</v>
      </c>
      <c r="W3102">
        <v>2.489388E-2</v>
      </c>
      <c r="X3102">
        <v>0.98332389999999903</v>
      </c>
      <c r="Y3102">
        <v>-0.56899560000000005</v>
      </c>
      <c r="Z3102">
        <v>-0.64303699999999997</v>
      </c>
      <c r="AA3102">
        <v>0.51258899999999996</v>
      </c>
      <c r="AB3102">
        <v>22</v>
      </c>
      <c r="AC3102">
        <v>1.393616</v>
      </c>
      <c r="AD3102">
        <v>4.221686</v>
      </c>
      <c r="AE3102">
        <v>-3.2293400000000001</v>
      </c>
      <c r="AF3102">
        <v>-0.98936140136574402</v>
      </c>
      <c r="AG3102">
        <v>4.221686</v>
      </c>
      <c r="AH3102">
        <v>1.0477781886549999</v>
      </c>
      <c r="AI3102">
        <v>18.847276172457601</v>
      </c>
      <c r="AJ3102">
        <v>133.35744275775801</v>
      </c>
      <c r="AK3102">
        <v>4.4608640191928597</v>
      </c>
    </row>
    <row r="3103" spans="1:37" x14ac:dyDescent="0.2">
      <c r="A3103" t="str">
        <f>"20200111155559991"</f>
        <v>20200111155559991</v>
      </c>
      <c r="B3103" t="str">
        <f>"1578729359985338"</f>
        <v>1578729359985338</v>
      </c>
      <c r="C3103" t="s">
        <v>37</v>
      </c>
      <c r="D3103">
        <v>3.9644149999999998</v>
      </c>
      <c r="E3103">
        <v>0.24137439999999999</v>
      </c>
      <c r="F3103" t="s">
        <v>48</v>
      </c>
      <c r="G3103">
        <v>0</v>
      </c>
      <c r="H3103">
        <v>0</v>
      </c>
      <c r="I3103">
        <v>0</v>
      </c>
      <c r="J3103">
        <v>-491.92099999999999</v>
      </c>
      <c r="K3103">
        <v>1.110843</v>
      </c>
      <c r="L3103">
        <v>268.13229999999999</v>
      </c>
      <c r="M3103">
        <v>-0.33724499999999902</v>
      </c>
      <c r="N3103">
        <v>0</v>
      </c>
      <c r="O3103">
        <v>-0.9413049</v>
      </c>
      <c r="P3103">
        <v>-0.16339600000000001</v>
      </c>
      <c r="Q3103">
        <v>1.287958E-2</v>
      </c>
      <c r="R3103">
        <v>-0.98647649999999998</v>
      </c>
      <c r="S3103">
        <v>1.3977360000000001</v>
      </c>
      <c r="T3103">
        <v>4.2152349999999998</v>
      </c>
      <c r="U3103">
        <v>-3.2248839999999999</v>
      </c>
      <c r="V3103">
        <v>-0.1792667</v>
      </c>
      <c r="W3103">
        <v>2.4613579999999999E-2</v>
      </c>
      <c r="X3103">
        <v>0.98349259999999905</v>
      </c>
      <c r="Y3103">
        <v>-0.56558469999999905</v>
      </c>
      <c r="Z3103">
        <v>-0.64571579999999995</v>
      </c>
      <c r="AA3103">
        <v>0.51299629999999996</v>
      </c>
      <c r="AB3103">
        <v>22</v>
      </c>
      <c r="AC3103">
        <v>1.3977360000000001</v>
      </c>
      <c r="AD3103">
        <v>4.2152349999999998</v>
      </c>
      <c r="AE3103">
        <v>-3.2248839999999999</v>
      </c>
      <c r="AF3103">
        <v>-0.98573464492976504</v>
      </c>
      <c r="AG3103">
        <v>4.2152349999999998</v>
      </c>
      <c r="AH3103">
        <v>1.0517496117349101</v>
      </c>
      <c r="AI3103">
        <v>18.879040016545702</v>
      </c>
      <c r="AJ3103">
        <v>133.14425252410101</v>
      </c>
      <c r="AK3103">
        <v>4.4548912603142501</v>
      </c>
    </row>
    <row r="3104" spans="1:37" x14ac:dyDescent="0.2">
      <c r="A3104" t="str">
        <f>"20200111155600003"</f>
        <v>20200111155600003</v>
      </c>
      <c r="B3104" t="str">
        <f>"1578729359995097"</f>
        <v>1578729359995097</v>
      </c>
      <c r="C3104" t="s">
        <v>37</v>
      </c>
      <c r="D3104">
        <v>3.9636849999999999</v>
      </c>
      <c r="E3104">
        <v>0.24203359999999999</v>
      </c>
      <c r="F3104" t="s">
        <v>48</v>
      </c>
      <c r="G3104">
        <v>0</v>
      </c>
      <c r="H3104">
        <v>0</v>
      </c>
      <c r="I3104">
        <v>0</v>
      </c>
      <c r="J3104">
        <v>-491.95240000000001</v>
      </c>
      <c r="K3104">
        <v>1.110833</v>
      </c>
      <c r="L3104">
        <v>268.02760000000001</v>
      </c>
      <c r="M3104">
        <v>-0.33233609999999902</v>
      </c>
      <c r="N3104">
        <v>0</v>
      </c>
      <c r="O3104">
        <v>-0.94304959999999904</v>
      </c>
      <c r="P3104">
        <v>-0.1592276</v>
      </c>
      <c r="Q3104">
        <v>1.235498E-2</v>
      </c>
      <c r="R3104">
        <v>-0.98716510000000002</v>
      </c>
      <c r="S3104">
        <v>1.40625</v>
      </c>
      <c r="T3104">
        <v>4.21035</v>
      </c>
      <c r="U3104">
        <v>-3.2190859999999999</v>
      </c>
      <c r="V3104">
        <v>-0.17829059999999999</v>
      </c>
      <c r="W3104">
        <v>2.4106860000000001E-2</v>
      </c>
      <c r="X3104">
        <v>0.98368250000000002</v>
      </c>
      <c r="Y3104">
        <v>-0.56286230000000004</v>
      </c>
      <c r="Z3104">
        <v>-0.64824159999999997</v>
      </c>
      <c r="AA3104">
        <v>0.51280490000000001</v>
      </c>
      <c r="AB3104">
        <v>22</v>
      </c>
      <c r="AC3104">
        <v>1.40625</v>
      </c>
      <c r="AD3104">
        <v>4.21035</v>
      </c>
      <c r="AE3104">
        <v>-3.2190859999999999</v>
      </c>
      <c r="AF3104">
        <v>-0.98345544117524797</v>
      </c>
      <c r="AG3104">
        <v>4.21035</v>
      </c>
      <c r="AH3104">
        <v>1.0542303429526201</v>
      </c>
      <c r="AI3104">
        <v>18.9025003999466</v>
      </c>
      <c r="AJ3104">
        <v>133.010746449187</v>
      </c>
      <c r="AK3104">
        <v>4.4503520471170797</v>
      </c>
    </row>
    <row r="3105" spans="1:37" x14ac:dyDescent="0.2">
      <c r="A3105" t="str">
        <f>"20200111155600033"</f>
        <v>20200111155600033</v>
      </c>
      <c r="B3105" t="str">
        <f>"1578729360025353"</f>
        <v>1578729360025353</v>
      </c>
      <c r="C3105" t="s">
        <v>37</v>
      </c>
      <c r="D3105">
        <v>4.8455079999999997</v>
      </c>
      <c r="E3105">
        <v>0.24203359999999999</v>
      </c>
      <c r="F3105" t="s">
        <v>48</v>
      </c>
      <c r="G3105">
        <v>0</v>
      </c>
      <c r="H3105">
        <v>0</v>
      </c>
      <c r="I3105">
        <v>0</v>
      </c>
      <c r="J3105">
        <v>-492.03019999999998</v>
      </c>
      <c r="K3105">
        <v>1.110814</v>
      </c>
      <c r="L3105">
        <v>267.75850000000003</v>
      </c>
      <c r="M3105">
        <v>-0.31971430000000001</v>
      </c>
      <c r="N3105">
        <v>0</v>
      </c>
      <c r="O3105">
        <v>-0.947403</v>
      </c>
      <c r="P3105">
        <v>-0.14840410000000001</v>
      </c>
      <c r="Q3105">
        <v>1.2568340000000001E-2</v>
      </c>
      <c r="R3105">
        <v>-0.98884740000000004</v>
      </c>
      <c r="S3105">
        <v>1.4145809999999901</v>
      </c>
      <c r="T3105">
        <v>4.2090920000000001</v>
      </c>
      <c r="U3105">
        <v>-3.2145079999999999</v>
      </c>
      <c r="V3105">
        <v>-0.17593149999999999</v>
      </c>
      <c r="W3105">
        <v>2.4363320000000001E-2</v>
      </c>
      <c r="X3105">
        <v>0.98410089999999995</v>
      </c>
      <c r="Y3105">
        <v>-0.5532494</v>
      </c>
      <c r="Z3105">
        <v>-0.65551789999999999</v>
      </c>
      <c r="AA3105">
        <v>0.514015</v>
      </c>
      <c r="AB3105">
        <v>21</v>
      </c>
      <c r="AC3105">
        <v>1.4145809999999901</v>
      </c>
      <c r="AD3105">
        <v>4.2090920000000001</v>
      </c>
      <c r="AE3105">
        <v>-3.2145079999999999</v>
      </c>
      <c r="AF3105">
        <v>-0.97199597768961499</v>
      </c>
      <c r="AG3105">
        <v>4.2090920000000001</v>
      </c>
      <c r="AH3105">
        <v>1.06446676985155</v>
      </c>
      <c r="AI3105">
        <v>18.904703971021299</v>
      </c>
      <c r="AJ3105">
        <v>132.40012466432901</v>
      </c>
      <c r="AK3105">
        <v>4.4490809330947201</v>
      </c>
    </row>
    <row r="3106" spans="1:37" x14ac:dyDescent="0.2">
      <c r="A3106" t="str">
        <f>"20200111155600044"</f>
        <v>20200111155600044</v>
      </c>
      <c r="B3106" t="str">
        <f>"1578729360035115"</f>
        <v>1578729360035115</v>
      </c>
      <c r="C3106" t="s">
        <v>37</v>
      </c>
      <c r="D3106">
        <v>4.8909989999999999</v>
      </c>
      <c r="E3106">
        <v>0.45836509999999903</v>
      </c>
      <c r="F3106" t="s">
        <v>48</v>
      </c>
      <c r="G3106">
        <v>0</v>
      </c>
      <c r="H3106">
        <v>0</v>
      </c>
      <c r="I3106">
        <v>0</v>
      </c>
      <c r="J3106">
        <v>-492.05959999999999</v>
      </c>
      <c r="K3106">
        <v>1.110803</v>
      </c>
      <c r="L3106">
        <v>267.65320000000003</v>
      </c>
      <c r="M3106">
        <v>-0.31476779999999999</v>
      </c>
      <c r="N3106">
        <v>0</v>
      </c>
      <c r="O3106">
        <v>-0.94905790000000001</v>
      </c>
      <c r="P3106">
        <v>-0.14430689999999999</v>
      </c>
      <c r="Q3106">
        <v>1.285297E-2</v>
      </c>
      <c r="R3106">
        <v>-0.98944989999999999</v>
      </c>
      <c r="S3106">
        <v>1.443756</v>
      </c>
      <c r="T3106">
        <v>4.212758</v>
      </c>
      <c r="U3106">
        <v>-3.19693</v>
      </c>
      <c r="V3106">
        <v>-0.1748757</v>
      </c>
      <c r="W3106">
        <v>2.466697E-2</v>
      </c>
      <c r="X3106">
        <v>0.98428150000000003</v>
      </c>
      <c r="Y3106">
        <v>-0.55354340000000002</v>
      </c>
      <c r="Z3106">
        <v>-0.65808259999999996</v>
      </c>
      <c r="AA3106">
        <v>0.5104088</v>
      </c>
      <c r="AB3106">
        <v>21</v>
      </c>
      <c r="AC3106">
        <v>1.443756</v>
      </c>
      <c r="AD3106">
        <v>4.212758</v>
      </c>
      <c r="AE3106">
        <v>-3.19693</v>
      </c>
      <c r="AF3106">
        <v>-0.97315586222801198</v>
      </c>
      <c r="AG3106">
        <v>4.212758</v>
      </c>
      <c r="AH3106">
        <v>1.0563338571794001</v>
      </c>
      <c r="AI3106">
        <v>18.825967558018402</v>
      </c>
      <c r="AJ3106">
        <v>132.65306407472801</v>
      </c>
      <c r="AK3106">
        <v>4.4508654794967901</v>
      </c>
    </row>
    <row r="3107" spans="1:37" x14ac:dyDescent="0.2">
      <c r="A3107" t="str">
        <f>"20200111155600055"</f>
        <v>20200111155600055</v>
      </c>
      <c r="B3107" t="str">
        <f>"1578729360045850"</f>
        <v>1578729360045850</v>
      </c>
      <c r="C3107" t="s">
        <v>37</v>
      </c>
      <c r="D3107">
        <v>4.9111779999999996</v>
      </c>
      <c r="E3107">
        <v>0.45882849999999997</v>
      </c>
      <c r="F3107" t="s">
        <v>38</v>
      </c>
      <c r="G3107">
        <v>-493.25</v>
      </c>
      <c r="H3107" s="1">
        <v>-1.6743950000000001E-6</v>
      </c>
      <c r="I3107">
        <v>231.47640000000001</v>
      </c>
      <c r="J3107">
        <v>-492.08850000000001</v>
      </c>
      <c r="K3107">
        <v>1.110798</v>
      </c>
      <c r="L3107">
        <v>267.54809999999998</v>
      </c>
      <c r="M3107">
        <v>-0.3098323</v>
      </c>
      <c r="N3107">
        <v>0</v>
      </c>
      <c r="O3107">
        <v>-0.95068059999999999</v>
      </c>
      <c r="P3107">
        <v>-0.13981009999999999</v>
      </c>
      <c r="Q3107">
        <v>1.294141E-2</v>
      </c>
      <c r="R3107">
        <v>-0.99009380000000002</v>
      </c>
      <c r="S3107">
        <v>-9.9334720000000001E-2</v>
      </c>
      <c r="T3107">
        <v>-9.2689160000000007E-2</v>
      </c>
      <c r="U3107">
        <v>-3.018707</v>
      </c>
      <c r="V3107">
        <v>-0.17423359999999999</v>
      </c>
      <c r="W3107">
        <v>2.4767549999999999E-2</v>
      </c>
      <c r="X3107">
        <v>0.98439279999999996</v>
      </c>
      <c r="Y3107">
        <v>-0.27843790000000002</v>
      </c>
      <c r="Z3107">
        <v>2.7814559999999999E-2</v>
      </c>
      <c r="AA3107">
        <v>0.9600514</v>
      </c>
      <c r="AB3107">
        <v>21</v>
      </c>
      <c r="AC3107">
        <v>-1.16149999999998</v>
      </c>
      <c r="AD3107">
        <v>-1.1107996743949999</v>
      </c>
      <c r="AE3107">
        <v>-36.0716999999999</v>
      </c>
      <c r="AF3107">
        <v>-10.0634885502822</v>
      </c>
      <c r="AG3107">
        <v>-1.1107996743949999</v>
      </c>
      <c r="AH3107">
        <v>34.623381863109501</v>
      </c>
      <c r="AI3107">
        <v>91.764576993210397</v>
      </c>
      <c r="AJ3107">
        <v>106.206815365211</v>
      </c>
      <c r="AK3107">
        <v>36.0733454139895</v>
      </c>
    </row>
    <row r="3108" spans="1:37" x14ac:dyDescent="0.2">
      <c r="A3108" t="str">
        <f>"20200111155600068"</f>
        <v>20200111155600068</v>
      </c>
      <c r="B3108" t="str">
        <f>"1578729360065370"</f>
        <v>1578729360065370</v>
      </c>
      <c r="C3108" t="s">
        <v>37</v>
      </c>
      <c r="D3108">
        <v>4.8742369999999999</v>
      </c>
      <c r="E3108">
        <v>0.45955869999999999</v>
      </c>
      <c r="F3108" t="s">
        <v>38</v>
      </c>
      <c r="G3108">
        <v>-493.15469999999999</v>
      </c>
      <c r="H3108" s="1">
        <v>-1.6606989999999901E-6</v>
      </c>
      <c r="I3108">
        <v>231.50360000000001</v>
      </c>
      <c r="J3108">
        <v>-492.11779999999999</v>
      </c>
      <c r="K3108">
        <v>1.110789</v>
      </c>
      <c r="L3108">
        <v>267.43790000000001</v>
      </c>
      <c r="M3108">
        <v>-0.3046587</v>
      </c>
      <c r="N3108">
        <v>0</v>
      </c>
      <c r="O3108">
        <v>-0.95235139999999996</v>
      </c>
      <c r="P3108">
        <v>-0.1352024</v>
      </c>
      <c r="Q3108">
        <v>1.354115E-2</v>
      </c>
      <c r="R3108">
        <v>-0.99072559999999998</v>
      </c>
      <c r="S3108">
        <v>-8.9294429999999994E-2</v>
      </c>
      <c r="T3108">
        <v>-9.3027109999999996E-2</v>
      </c>
      <c r="U3108">
        <v>-3.0186459999999999</v>
      </c>
      <c r="V3108">
        <v>-0.1734658</v>
      </c>
      <c r="W3108">
        <v>2.5381049999999999E-2</v>
      </c>
      <c r="X3108">
        <v>0.98451279999999997</v>
      </c>
      <c r="Y3108">
        <v>-0.2764046</v>
      </c>
      <c r="Z3108">
        <v>2.800352E-2</v>
      </c>
      <c r="AA3108">
        <v>0.96063330000000002</v>
      </c>
      <c r="AB3108">
        <v>21</v>
      </c>
      <c r="AC3108">
        <v>-1.0368999999999999</v>
      </c>
      <c r="AD3108">
        <v>-1.1107906606989999</v>
      </c>
      <c r="AE3108">
        <v>-35.9343</v>
      </c>
      <c r="AF3108">
        <v>-9.95174806148807</v>
      </c>
      <c r="AG3108">
        <v>-1.1107906606989999</v>
      </c>
      <c r="AH3108">
        <v>34.508659875080497</v>
      </c>
      <c r="AI3108">
        <v>91.771499173699794</v>
      </c>
      <c r="AJ3108">
        <v>106.086719037926</v>
      </c>
      <c r="AK3108">
        <v>35.932140929051499</v>
      </c>
    </row>
    <row r="3109" spans="1:37" x14ac:dyDescent="0.2">
      <c r="A3109" t="str">
        <f>"20200111155600096"</f>
        <v>20200111155600096</v>
      </c>
      <c r="B3109" t="str">
        <f>"1578729360085866"</f>
        <v>1578729360085866</v>
      </c>
      <c r="C3109" t="s">
        <v>37</v>
      </c>
      <c r="D3109">
        <v>4.9318349999999898</v>
      </c>
      <c r="E3109">
        <v>0.4602813</v>
      </c>
      <c r="F3109" t="s">
        <v>56</v>
      </c>
      <c r="G3109">
        <v>-493.16390000000001</v>
      </c>
      <c r="H3109" s="1">
        <v>5.5523519999999999E-6</v>
      </c>
      <c r="I3109">
        <v>228.58770000000001</v>
      </c>
      <c r="J3109">
        <v>-492.1848</v>
      </c>
      <c r="K3109">
        <v>1.110773</v>
      </c>
      <c r="L3109">
        <v>267.17860000000002</v>
      </c>
      <c r="M3109">
        <v>-0.29247249999999902</v>
      </c>
      <c r="N3109">
        <v>0</v>
      </c>
      <c r="O3109">
        <v>-0.95616389999999996</v>
      </c>
      <c r="P3109">
        <v>-0.1239229</v>
      </c>
      <c r="Q3109">
        <v>1.3836920000000001E-2</v>
      </c>
      <c r="R3109">
        <v>-0.99219570000000001</v>
      </c>
      <c r="S3109">
        <v>-8.1268309999999996E-2</v>
      </c>
      <c r="T3109">
        <v>-8.6294410000000002E-2</v>
      </c>
      <c r="U3109">
        <v>-3.0181879999999999</v>
      </c>
      <c r="V3109">
        <v>-0.1720952</v>
      </c>
      <c r="W3109">
        <v>2.570329E-2</v>
      </c>
      <c r="X3109">
        <v>0.98474490000000003</v>
      </c>
      <c r="Y3109">
        <v>-0.2666655</v>
      </c>
      <c r="Z3109">
        <v>2.6185440000000001E-2</v>
      </c>
      <c r="AA3109">
        <v>0.9634334</v>
      </c>
      <c r="AB3109">
        <v>21</v>
      </c>
      <c r="AC3109">
        <v>-0.97910000000001596</v>
      </c>
      <c r="AD3109">
        <v>-1.1107674476480001</v>
      </c>
      <c r="AE3109">
        <v>-38.590899999999998</v>
      </c>
      <c r="AF3109">
        <v>-10.343122703286999</v>
      </c>
      <c r="AG3109">
        <v>-1.1107674476480001</v>
      </c>
      <c r="AH3109">
        <v>37.158733359393302</v>
      </c>
      <c r="AI3109">
        <v>91.649531236618998</v>
      </c>
      <c r="AJ3109">
        <v>105.55452850863701</v>
      </c>
      <c r="AK3109">
        <v>38.587374314048603</v>
      </c>
    </row>
    <row r="3110" spans="1:37" x14ac:dyDescent="0.2">
      <c r="A3110" t="str">
        <f>"20200111155600125"</f>
        <v>20200111155600125</v>
      </c>
      <c r="B3110" t="str">
        <f>"1578729360115146"</f>
        <v>1578729360115146</v>
      </c>
      <c r="C3110" t="s">
        <v>37</v>
      </c>
      <c r="D3110">
        <v>5.0182180000000001</v>
      </c>
      <c r="E3110">
        <v>0.46116059999999998</v>
      </c>
      <c r="F3110" t="s">
        <v>56</v>
      </c>
      <c r="G3110">
        <v>-492.89870000000002</v>
      </c>
      <c r="H3110" s="1">
        <v>4.9171330000000002E-6</v>
      </c>
      <c r="I3110">
        <v>226.18289999999999</v>
      </c>
      <c r="J3110">
        <v>-492.2484</v>
      </c>
      <c r="K3110">
        <v>1.1107559999999901</v>
      </c>
      <c r="L3110">
        <v>266.91820000000001</v>
      </c>
      <c r="M3110">
        <v>-0.28022179999999902</v>
      </c>
      <c r="N3110">
        <v>0</v>
      </c>
      <c r="O3110">
        <v>-0.95982599999999996</v>
      </c>
      <c r="P3110">
        <v>-0.1129377</v>
      </c>
      <c r="Q3110">
        <v>1.406516E-2</v>
      </c>
      <c r="R3110">
        <v>-0.99350269999999996</v>
      </c>
      <c r="S3110">
        <v>-5.2551269999999997E-2</v>
      </c>
      <c r="T3110">
        <v>-8.1776979999999999E-2</v>
      </c>
      <c r="U3110">
        <v>-3.0181879999999999</v>
      </c>
      <c r="V3110">
        <v>-0.17039869999999999</v>
      </c>
      <c r="W3110">
        <v>2.5962120000000002E-2</v>
      </c>
      <c r="X3110">
        <v>0.98503309999999999</v>
      </c>
      <c r="Y3110">
        <v>-0.26350129999999999</v>
      </c>
      <c r="Z3110">
        <v>2.4977780000000002E-2</v>
      </c>
      <c r="AA3110">
        <v>0.96433559999999996</v>
      </c>
      <c r="AB3110">
        <v>21</v>
      </c>
      <c r="AC3110">
        <v>-0.65030000000001498</v>
      </c>
      <c r="AD3110">
        <v>-1.11075108286699</v>
      </c>
      <c r="AE3110">
        <v>-40.735300000000002</v>
      </c>
      <c r="AF3110">
        <v>-10.783860374148301</v>
      </c>
      <c r="AG3110">
        <v>-1.11075108286699</v>
      </c>
      <c r="AH3110">
        <v>39.255969281580199</v>
      </c>
      <c r="AI3110">
        <v>91.562888861838601</v>
      </c>
      <c r="AJ3110">
        <v>105.360603122897</v>
      </c>
      <c r="AK3110">
        <v>40.725379516630497</v>
      </c>
    </row>
    <row r="3111" spans="1:37" x14ac:dyDescent="0.2">
      <c r="A3111" t="str">
        <f>"20200111155600138"</f>
        <v>20200111155600138</v>
      </c>
      <c r="B3111" t="str">
        <f>"1578729360135642"</f>
        <v>1578729360135642</v>
      </c>
      <c r="C3111" t="s">
        <v>37</v>
      </c>
      <c r="D3111">
        <v>4.9863400000000002</v>
      </c>
      <c r="E3111">
        <v>0.4690107</v>
      </c>
      <c r="F3111" t="s">
        <v>56</v>
      </c>
      <c r="G3111">
        <v>-492.62180000000001</v>
      </c>
      <c r="H3111" s="1">
        <v>4.2633840000000001E-6</v>
      </c>
      <c r="I3111">
        <v>223.57679999999999</v>
      </c>
      <c r="J3111">
        <v>-492.27629999999999</v>
      </c>
      <c r="K3111">
        <v>1.110749</v>
      </c>
      <c r="L3111">
        <v>266.8</v>
      </c>
      <c r="M3111">
        <v>-0.27465220000000001</v>
      </c>
      <c r="N3111">
        <v>0</v>
      </c>
      <c r="O3111">
        <v>-0.96143449999999997</v>
      </c>
      <c r="P3111">
        <v>-0.1078462</v>
      </c>
      <c r="Q3111">
        <v>1.4236840000000001E-2</v>
      </c>
      <c r="R3111">
        <v>-0.99406559999999899</v>
      </c>
      <c r="S3111">
        <v>-2.600098E-2</v>
      </c>
      <c r="T3111">
        <v>-7.7339050000000006E-2</v>
      </c>
      <c r="U3111">
        <v>-3.0177610000000001</v>
      </c>
      <c r="V3111">
        <v>-0.16973469999999999</v>
      </c>
      <c r="W3111">
        <v>2.6146119999999998E-2</v>
      </c>
      <c r="X3111">
        <v>0.98514290000000004</v>
      </c>
      <c r="Y3111">
        <v>-0.2663874</v>
      </c>
      <c r="Z3111">
        <v>2.3678830000000001E-2</v>
      </c>
      <c r="AA3111">
        <v>0.96357519999999997</v>
      </c>
      <c r="AB3111">
        <v>21</v>
      </c>
      <c r="AC3111">
        <v>-0.34550000000001502</v>
      </c>
      <c r="AD3111">
        <v>-1.1107447366159999</v>
      </c>
      <c r="AE3111">
        <v>-43.223199999999999</v>
      </c>
      <c r="AF3111">
        <v>-11.532766876312801</v>
      </c>
      <c r="AG3111">
        <v>-1.1107447366159999</v>
      </c>
      <c r="AH3111">
        <v>41.628050769451598</v>
      </c>
      <c r="AI3111">
        <v>91.472980848067806</v>
      </c>
      <c r="AJ3111">
        <v>105.485028366566</v>
      </c>
      <c r="AK3111">
        <v>43.210335297904599</v>
      </c>
    </row>
    <row r="3112" spans="1:37" x14ac:dyDescent="0.2">
      <c r="A3112" t="str">
        <f>"20200111155600156"</f>
        <v>20200111155600156</v>
      </c>
      <c r="B3112" t="str">
        <f>"1578729360145402"</f>
        <v>1578729360145402</v>
      </c>
      <c r="C3112" t="s">
        <v>37</v>
      </c>
      <c r="D3112">
        <v>5.005528</v>
      </c>
      <c r="E3112">
        <v>0.46966140000000001</v>
      </c>
      <c r="F3112" t="s">
        <v>38</v>
      </c>
      <c r="G3112">
        <v>-493.10890000000001</v>
      </c>
      <c r="H3112" s="1">
        <v>-1.8924279999999901E-6</v>
      </c>
      <c r="I3112">
        <v>232.07210000000001</v>
      </c>
      <c r="J3112">
        <v>-492.3116</v>
      </c>
      <c r="K3112">
        <v>1.1107389999999999</v>
      </c>
      <c r="L3112">
        <v>266.6447</v>
      </c>
      <c r="M3112">
        <v>-0.267341099999999</v>
      </c>
      <c r="N3112">
        <v>0</v>
      </c>
      <c r="O3112">
        <v>-0.9634933</v>
      </c>
      <c r="P3112">
        <v>-0.101272</v>
      </c>
      <c r="Q3112">
        <v>1.53808E-2</v>
      </c>
      <c r="R3112">
        <v>-0.99474010000000002</v>
      </c>
      <c r="S3112">
        <v>-7.2204589999999999E-2</v>
      </c>
      <c r="T3112">
        <v>-9.6319440000000006E-2</v>
      </c>
      <c r="U3112">
        <v>-3.011444</v>
      </c>
      <c r="V3112">
        <v>-0.16877439999999999</v>
      </c>
      <c r="W3112">
        <v>2.730728E-2</v>
      </c>
      <c r="X3112">
        <v>0.98527640000000005</v>
      </c>
      <c r="Y3112">
        <v>-0.24420410000000001</v>
      </c>
      <c r="Z3112">
        <v>2.9736390000000001E-2</v>
      </c>
      <c r="AA3112">
        <v>0.96926780000000001</v>
      </c>
      <c r="AB3112">
        <v>21</v>
      </c>
      <c r="AC3112">
        <v>-0.797300000000007</v>
      </c>
      <c r="AD3112">
        <v>-1.110740892428</v>
      </c>
      <c r="AE3112">
        <v>-34.572599999999902</v>
      </c>
      <c r="AF3112">
        <v>-8.4666365430692103</v>
      </c>
      <c r="AG3112">
        <v>-1.110740892428</v>
      </c>
      <c r="AH3112">
        <v>33.492577478534301</v>
      </c>
      <c r="AI3112">
        <v>91.841561025729007</v>
      </c>
      <c r="AJ3112">
        <v>104.18667338882101</v>
      </c>
      <c r="AK3112">
        <v>34.564004771411703</v>
      </c>
    </row>
    <row r="3113" spans="1:37" x14ac:dyDescent="0.2">
      <c r="A3113" t="str">
        <f>"20200111155600169"</f>
        <v>20200111155600169</v>
      </c>
      <c r="B3113" t="str">
        <f>"1578729360165898"</f>
        <v>1578729360165898</v>
      </c>
      <c r="C3113" t="s">
        <v>37</v>
      </c>
      <c r="D3113">
        <v>3.6473529999999998</v>
      </c>
      <c r="E3113">
        <v>0.46919949999999999</v>
      </c>
      <c r="F3113" t="s">
        <v>38</v>
      </c>
      <c r="G3113">
        <v>-492.9828</v>
      </c>
      <c r="H3113" s="1">
        <v>-1.510431E-6</v>
      </c>
      <c r="I3113">
        <v>231.25989999999999</v>
      </c>
      <c r="J3113">
        <v>-492.339</v>
      </c>
      <c r="K3113">
        <v>1.1107320000000001</v>
      </c>
      <c r="L3113">
        <v>266.51929999999999</v>
      </c>
      <c r="M3113">
        <v>-0.26143349999999999</v>
      </c>
      <c r="N3113">
        <v>0</v>
      </c>
      <c r="O3113">
        <v>-0.96511290000000005</v>
      </c>
      <c r="P3113">
        <v>-9.5817899999999998E-2</v>
      </c>
      <c r="Q3113">
        <v>1.5779979999999999E-2</v>
      </c>
      <c r="R3113">
        <v>-0.99527379999999999</v>
      </c>
      <c r="S3113">
        <v>-5.7128909999999998E-2</v>
      </c>
      <c r="T3113">
        <v>-9.4532249999999998E-2</v>
      </c>
      <c r="U3113">
        <v>-3.0115050000000001</v>
      </c>
      <c r="V3113">
        <v>-0.16814189999999901</v>
      </c>
      <c r="W3113">
        <v>2.7717680000000001E-2</v>
      </c>
      <c r="X3113">
        <v>0.98537299999999906</v>
      </c>
      <c r="Y3113">
        <v>-0.24311329999999901</v>
      </c>
      <c r="Z3113">
        <v>2.9266179999999999E-2</v>
      </c>
      <c r="AA3113">
        <v>0.96955630000000004</v>
      </c>
      <c r="AB3113">
        <v>21</v>
      </c>
      <c r="AC3113">
        <v>-0.64379999999999804</v>
      </c>
      <c r="AD3113">
        <v>-1.1107335104310001</v>
      </c>
      <c r="AE3113">
        <v>-35.259399999999999</v>
      </c>
      <c r="AF3113">
        <v>-8.5890292198514402</v>
      </c>
      <c r="AG3113">
        <v>-1.1107335104310001</v>
      </c>
      <c r="AH3113">
        <v>34.167302393352898</v>
      </c>
      <c r="AI3113">
        <v>91.805809744766904</v>
      </c>
      <c r="AJ3113">
        <v>104.110719567586</v>
      </c>
      <c r="AK3113">
        <v>35.247832624283099</v>
      </c>
    </row>
    <row r="3114" spans="1:37" x14ac:dyDescent="0.2">
      <c r="A3114" t="str">
        <f>"20200111155600364"</f>
        <v>20200111155600364</v>
      </c>
      <c r="B3114" t="str">
        <f>"1578729360355243"</f>
        <v>1578729360355243</v>
      </c>
      <c r="C3114" t="s">
        <v>37</v>
      </c>
      <c r="D3114">
        <v>3.9201949999999899</v>
      </c>
      <c r="E3114">
        <v>0.46919949999999999</v>
      </c>
      <c r="F3114" t="s">
        <v>38</v>
      </c>
      <c r="G3114">
        <v>-492.786</v>
      </c>
      <c r="H3114" s="1">
        <v>-1.045177E-6</v>
      </c>
      <c r="I3114">
        <v>230.29750000000001</v>
      </c>
      <c r="J3114">
        <v>-492.64409999999998</v>
      </c>
      <c r="K3114">
        <v>1.110571</v>
      </c>
      <c r="L3114">
        <v>264.75</v>
      </c>
      <c r="M3114">
        <v>-0.17783109999999999</v>
      </c>
      <c r="N3114">
        <v>0</v>
      </c>
      <c r="O3114">
        <v>-0.98395509999999997</v>
      </c>
      <c r="P3114">
        <v>-2.415927E-2</v>
      </c>
      <c r="Q3114">
        <v>1.541123E-2</v>
      </c>
      <c r="R3114">
        <v>-0.99958930000000001</v>
      </c>
      <c r="S3114">
        <v>-3.7170410000000001E-2</v>
      </c>
      <c r="T3114">
        <v>-9.2366699999999996E-2</v>
      </c>
      <c r="U3114">
        <v>-3.012146</v>
      </c>
      <c r="V3114">
        <v>-0.15438959999999999</v>
      </c>
      <c r="W3114">
        <v>2.7588979999999999E-2</v>
      </c>
      <c r="X3114">
        <v>0.98762479999999997</v>
      </c>
      <c r="Y3114">
        <v>-0.1656985</v>
      </c>
      <c r="Z3114">
        <v>2.9704789999999998E-2</v>
      </c>
      <c r="AA3114">
        <v>0.98572899999999997</v>
      </c>
      <c r="AB3114">
        <v>21</v>
      </c>
      <c r="AC3114">
        <v>-0.14190000000002001</v>
      </c>
      <c r="AD3114">
        <v>-1.110572045177</v>
      </c>
      <c r="AE3114">
        <v>-34.452499999999901</v>
      </c>
      <c r="AF3114">
        <v>-5.9815116737844001</v>
      </c>
      <c r="AG3114">
        <v>-1.110572045177</v>
      </c>
      <c r="AH3114">
        <v>33.893266422318298</v>
      </c>
      <c r="AI3114">
        <v>91.848184429895298</v>
      </c>
      <c r="AJ3114">
        <v>100.008548697984</v>
      </c>
      <c r="AK3114">
        <v>34.434943893454999</v>
      </c>
    </row>
    <row r="3115" spans="1:37" x14ac:dyDescent="0.2">
      <c r="A3115" t="str">
        <f>"20200111155600419"</f>
        <v>20200111155600419</v>
      </c>
      <c r="B3115" t="str">
        <f>"1578729360405019"</f>
        <v>1578729360405019</v>
      </c>
      <c r="C3115" t="s">
        <v>37</v>
      </c>
      <c r="D3115">
        <v>4.0849279999999997</v>
      </c>
      <c r="E3115">
        <v>0.46919949999999999</v>
      </c>
      <c r="F3115" t="s">
        <v>56</v>
      </c>
      <c r="G3115">
        <v>-490.47390000000001</v>
      </c>
      <c r="H3115" s="1">
        <v>6.1421929999999901E-6</v>
      </c>
      <c r="I3115">
        <v>228.40190000000001</v>
      </c>
      <c r="J3115">
        <v>-492.70339999999999</v>
      </c>
      <c r="K3115">
        <v>1.1105</v>
      </c>
      <c r="L3115">
        <v>264.2407</v>
      </c>
      <c r="M3115">
        <v>-0.15379860000000001</v>
      </c>
      <c r="N3115">
        <v>0</v>
      </c>
      <c r="O3115">
        <v>-0.98799709999999996</v>
      </c>
      <c r="P3115">
        <v>-5.4144040000000003E-3</v>
      </c>
      <c r="Q3115">
        <v>1.4787440000000001E-2</v>
      </c>
      <c r="R3115">
        <v>-0.99987599999999999</v>
      </c>
      <c r="S3115">
        <v>0.1795349</v>
      </c>
      <c r="T3115">
        <v>-9.1875199999999893E-2</v>
      </c>
      <c r="U3115">
        <v>-3.0070189999999899</v>
      </c>
      <c r="V3115">
        <v>-0.1488196</v>
      </c>
      <c r="W3115">
        <v>2.7063710000000001E-2</v>
      </c>
      <c r="X3115">
        <v>0.98849390000000004</v>
      </c>
      <c r="Y3115">
        <v>-0.2124037</v>
      </c>
      <c r="Z3115">
        <v>2.961863E-2</v>
      </c>
      <c r="AA3115">
        <v>0.97673299999999996</v>
      </c>
      <c r="AB3115">
        <v>21</v>
      </c>
      <c r="AC3115">
        <v>2.2294999999999701</v>
      </c>
      <c r="AD3115">
        <v>-1.1104938578070001</v>
      </c>
      <c r="AE3115">
        <v>-35.8387999999999</v>
      </c>
      <c r="AF3115">
        <v>-7.7081259835839004</v>
      </c>
      <c r="AG3115">
        <v>-1.1104938578070001</v>
      </c>
      <c r="AH3115">
        <v>35.035870049762302</v>
      </c>
      <c r="AI3115">
        <v>91.773058671528602</v>
      </c>
      <c r="AJ3115">
        <v>102.407784424908</v>
      </c>
      <c r="AK3115">
        <v>35.890954193652497</v>
      </c>
    </row>
    <row r="3116" spans="1:37" x14ac:dyDescent="0.2">
      <c r="A3116" t="str">
        <f>"20200111155600440"</f>
        <v>20200111155600440</v>
      </c>
      <c r="B3116" t="str">
        <f>"1578729360405019"</f>
        <v>1578729360405019</v>
      </c>
      <c r="C3116" t="s">
        <v>37</v>
      </c>
      <c r="D3116">
        <v>4.0849279999999997</v>
      </c>
      <c r="E3116">
        <v>0.46919949999999999</v>
      </c>
      <c r="F3116" t="s">
        <v>56</v>
      </c>
      <c r="G3116">
        <v>-489.89109999999999</v>
      </c>
      <c r="H3116" s="1">
        <v>6.28913E-6</v>
      </c>
      <c r="I3116">
        <v>228.5641</v>
      </c>
      <c r="J3116">
        <v>-492.7217</v>
      </c>
      <c r="K3116">
        <v>1.110466</v>
      </c>
      <c r="L3116">
        <v>264.05810000000002</v>
      </c>
      <c r="M3116">
        <v>-0.14522019999999999</v>
      </c>
      <c r="N3116">
        <v>0</v>
      </c>
      <c r="O3116">
        <v>-0.98929449999999997</v>
      </c>
      <c r="P3116">
        <v>1.0554850000000001E-3</v>
      </c>
      <c r="Q3116">
        <v>1.494411E-2</v>
      </c>
      <c r="R3116">
        <v>-0.9998882</v>
      </c>
      <c r="S3116">
        <v>0.23672489999999999</v>
      </c>
      <c r="T3116">
        <v>-9.3474860000000007E-2</v>
      </c>
      <c r="U3116">
        <v>-3.0030519999999998</v>
      </c>
      <c r="V3116">
        <v>-0.14663709999999999</v>
      </c>
      <c r="W3116">
        <v>2.7259140000000001E-2</v>
      </c>
      <c r="X3116">
        <v>0.98881469999999905</v>
      </c>
      <c r="Y3116">
        <v>-0.22250020000000001</v>
      </c>
      <c r="Z3116">
        <v>3.0179129999999998E-2</v>
      </c>
      <c r="AA3116">
        <v>0.97446540000000004</v>
      </c>
      <c r="AB3116">
        <v>21</v>
      </c>
      <c r="AC3116">
        <v>2.8306</v>
      </c>
      <c r="AD3116">
        <v>-1.1104597108700001</v>
      </c>
      <c r="AE3116">
        <v>-35.494</v>
      </c>
      <c r="AF3116">
        <v>-7.9478379546215097</v>
      </c>
      <c r="AG3116">
        <v>-1.1104597108700001</v>
      </c>
      <c r="AH3116">
        <v>34.672835997003297</v>
      </c>
      <c r="AI3116">
        <v>91.788030918021505</v>
      </c>
      <c r="AJ3116">
        <v>102.910516801063</v>
      </c>
      <c r="AK3116">
        <v>35.589419846317803</v>
      </c>
    </row>
    <row r="3117" spans="1:37" x14ac:dyDescent="0.2">
      <c r="A3117" t="str">
        <f>"20200111155600452"</f>
        <v>20200111155600452</v>
      </c>
      <c r="B3117" t="str">
        <f>"1578729360405019"</f>
        <v>1578729360405019</v>
      </c>
      <c r="C3117" t="s">
        <v>37</v>
      </c>
      <c r="D3117">
        <v>4.0849279999999997</v>
      </c>
      <c r="E3117">
        <v>0.46919949999999999</v>
      </c>
      <c r="F3117" t="s">
        <v>56</v>
      </c>
      <c r="G3117">
        <v>-489.65699999999998</v>
      </c>
      <c r="H3117" s="1">
        <v>6.0956819999999999E-6</v>
      </c>
      <c r="I3117">
        <v>228.14070000000001</v>
      </c>
      <c r="J3117">
        <v>-492.73349999999999</v>
      </c>
      <c r="K3117">
        <v>1.1104399999999901</v>
      </c>
      <c r="L3117">
        <v>263.92840000000001</v>
      </c>
      <c r="M3117">
        <v>-0.13915089999999999</v>
      </c>
      <c r="N3117">
        <v>0</v>
      </c>
      <c r="O3117">
        <v>-0.9901664</v>
      </c>
      <c r="P3117">
        <v>5.9708829999999997E-3</v>
      </c>
      <c r="Q3117">
        <v>1.4742119999999999E-2</v>
      </c>
      <c r="R3117">
        <v>-0.99987359999999903</v>
      </c>
      <c r="S3117">
        <v>0.25610349999999998</v>
      </c>
      <c r="T3117">
        <v>-9.2797279999999996E-2</v>
      </c>
      <c r="U3117">
        <v>-3.0014949999999998</v>
      </c>
      <c r="V3117">
        <v>-0.14543010000000001</v>
      </c>
      <c r="W3117">
        <v>2.7079909999999999E-2</v>
      </c>
      <c r="X3117">
        <v>0.98899789999999999</v>
      </c>
      <c r="Y3117">
        <v>-0.22281119999999999</v>
      </c>
      <c r="Z3117">
        <v>3.0007450000000001E-2</v>
      </c>
      <c r="AA3117">
        <v>0.97439969999999998</v>
      </c>
      <c r="AB3117">
        <v>21</v>
      </c>
      <c r="AC3117">
        <v>3.0764999999999998</v>
      </c>
      <c r="AD3117">
        <v>-1.1104339043179901</v>
      </c>
      <c r="AE3117">
        <v>-35.787700000000001</v>
      </c>
      <c r="AF3117">
        <v>-8.0193065178593699</v>
      </c>
      <c r="AG3117">
        <v>-1.1104339043179901</v>
      </c>
      <c r="AH3117">
        <v>34.977885162003901</v>
      </c>
      <c r="AI3117">
        <v>91.772388937206998</v>
      </c>
      <c r="AJ3117">
        <v>102.912919752363</v>
      </c>
      <c r="AK3117">
        <v>35.902573597021899</v>
      </c>
    </row>
    <row r="3118" spans="1:37" x14ac:dyDescent="0.2">
      <c r="A3118" t="str">
        <f>"20200111155600470"</f>
        <v>20200111155600470</v>
      </c>
      <c r="B3118" t="str">
        <f>"1578729360465530"</f>
        <v>1578729360465530</v>
      </c>
      <c r="C3118" t="s">
        <v>37</v>
      </c>
      <c r="D3118">
        <v>3.96631</v>
      </c>
      <c r="E3118">
        <v>3.6211099999999899E-2</v>
      </c>
      <c r="F3118" t="s">
        <v>56</v>
      </c>
      <c r="G3118">
        <v>-489.5077</v>
      </c>
      <c r="H3118" s="1">
        <v>6.0804539999999996E-6</v>
      </c>
      <c r="I3118">
        <v>228.21979999999999</v>
      </c>
      <c r="J3118">
        <v>-492.74619999999999</v>
      </c>
      <c r="K3118">
        <v>1.110401</v>
      </c>
      <c r="L3118">
        <v>263.78019999999998</v>
      </c>
      <c r="M3118">
        <v>-0.132237299999999</v>
      </c>
      <c r="N3118">
        <v>0</v>
      </c>
      <c r="O3118">
        <v>-0.99111369999999899</v>
      </c>
      <c r="P3118">
        <v>1.05843E-2</v>
      </c>
      <c r="Q3118">
        <v>1.5560350000000001E-2</v>
      </c>
      <c r="R3118">
        <v>-0.99982320000000002</v>
      </c>
      <c r="S3118">
        <v>0.27102659999999901</v>
      </c>
      <c r="T3118">
        <v>-9.3295100000000006E-2</v>
      </c>
      <c r="U3118">
        <v>-3.0001220000000002</v>
      </c>
      <c r="V3118">
        <v>-0.14309669999999999</v>
      </c>
      <c r="W3118">
        <v>2.7939329999999998E-2</v>
      </c>
      <c r="X3118">
        <v>0.98931429999999998</v>
      </c>
      <c r="Y3118">
        <v>-0.2208542</v>
      </c>
      <c r="Z3118">
        <v>3.0226510000000002E-2</v>
      </c>
      <c r="AA3118">
        <v>0.97483829999999905</v>
      </c>
      <c r="AB3118">
        <v>21</v>
      </c>
      <c r="AC3118">
        <v>3.2384999999999802</v>
      </c>
      <c r="AD3118">
        <v>-1.1103949195459999</v>
      </c>
      <c r="AE3118">
        <v>-35.560399999999902</v>
      </c>
      <c r="AF3118">
        <v>-7.9053071826764798</v>
      </c>
      <c r="AG3118">
        <v>-1.1103949195459999</v>
      </c>
      <c r="AH3118">
        <v>34.786113139137797</v>
      </c>
      <c r="AI3118">
        <v>91.782869165951993</v>
      </c>
      <c r="AJ3118">
        <v>102.803283086983</v>
      </c>
      <c r="AK3118">
        <v>35.690342193074102</v>
      </c>
    </row>
    <row r="3119" spans="1:37" x14ac:dyDescent="0.2">
      <c r="A3119" t="str">
        <f>"20200111155600559"</f>
        <v>20200111155600559</v>
      </c>
      <c r="B3119" t="str">
        <f>"1578729360555322"</f>
        <v>1578729360555322</v>
      </c>
      <c r="C3119" t="s">
        <v>37</v>
      </c>
      <c r="D3119">
        <v>4.1533959999999999</v>
      </c>
      <c r="E3119">
        <v>5.2471579999999997E-2</v>
      </c>
      <c r="F3119" t="s">
        <v>66</v>
      </c>
      <c r="G3119">
        <v>-473.52499999999998</v>
      </c>
      <c r="H3119">
        <v>31.893740000000001</v>
      </c>
      <c r="I3119">
        <v>247.7799</v>
      </c>
      <c r="J3119">
        <v>-492.79860000000002</v>
      </c>
      <c r="K3119">
        <v>1.110026</v>
      </c>
      <c r="L3119">
        <v>262.97399999999999</v>
      </c>
      <c r="M3119">
        <v>-9.5691399999999996E-2</v>
      </c>
      <c r="N3119">
        <v>0</v>
      </c>
      <c r="O3119">
        <v>-0.99530819999999998</v>
      </c>
      <c r="P3119">
        <v>4.074908E-2</v>
      </c>
      <c r="Q3119">
        <v>1.7919350000000001E-2</v>
      </c>
      <c r="R3119">
        <v>-0.99900919999999904</v>
      </c>
      <c r="S3119">
        <v>3.4570919999999998</v>
      </c>
      <c r="T3119">
        <v>5.5366379999999999</v>
      </c>
      <c r="U3119">
        <v>-2.877777</v>
      </c>
      <c r="V3119">
        <v>-0.13654759999999999</v>
      </c>
      <c r="W3119">
        <v>3.0458809999999999E-2</v>
      </c>
      <c r="X3119">
        <v>0.99016519999999997</v>
      </c>
      <c r="Y3119">
        <v>-0.56335279999999999</v>
      </c>
      <c r="Z3119">
        <v>-0.74402250000000003</v>
      </c>
      <c r="AA3119">
        <v>0.35925509999999999</v>
      </c>
      <c r="AB3119">
        <v>21</v>
      </c>
      <c r="AC3119">
        <v>19.273599999999998</v>
      </c>
      <c r="AD3119">
        <v>30.783714</v>
      </c>
      <c r="AE3119">
        <v>-15.194099999999899</v>
      </c>
      <c r="AF3119">
        <v>-8.0205941983345497</v>
      </c>
      <c r="AG3119">
        <v>30.783714</v>
      </c>
      <c r="AH3119">
        <v>5.1606732323132896</v>
      </c>
      <c r="AI3119">
        <v>17.214052037193198</v>
      </c>
      <c r="AJ3119">
        <v>147.24164472274299</v>
      </c>
      <c r="AK3119">
        <v>32.227310268448797</v>
      </c>
    </row>
    <row r="3120" spans="1:37" x14ac:dyDescent="0.2">
      <c r="A3120" t="str">
        <f>"20200111155600571"</f>
        <v>20200111155600571</v>
      </c>
      <c r="B3120" t="str">
        <f>"1578729360565082"</f>
        <v>1578729360565082</v>
      </c>
      <c r="C3120" t="s">
        <v>37</v>
      </c>
      <c r="D3120">
        <v>3.9968249999999999</v>
      </c>
      <c r="E3120">
        <v>6.7361749999999998E-2</v>
      </c>
      <c r="F3120" t="s">
        <v>66</v>
      </c>
      <c r="G3120">
        <v>-473.52499999999998</v>
      </c>
      <c r="H3120">
        <v>31.682359999999999</v>
      </c>
      <c r="I3120">
        <v>247.4375</v>
      </c>
      <c r="J3120">
        <v>-492.80399999999997</v>
      </c>
      <c r="K3120">
        <v>1.1099219999999901</v>
      </c>
      <c r="L3120">
        <v>262.85489999999999</v>
      </c>
      <c r="M3120">
        <v>-9.057018E-2</v>
      </c>
      <c r="N3120">
        <v>0</v>
      </c>
      <c r="O3120">
        <v>-0.99578729999999904</v>
      </c>
      <c r="P3120">
        <v>4.4566599999999998E-2</v>
      </c>
      <c r="Q3120">
        <v>1.7752520000000001E-2</v>
      </c>
      <c r="R3120">
        <v>-0.99884910000000005</v>
      </c>
      <c r="S3120">
        <v>3.4306339999999902</v>
      </c>
      <c r="T3120">
        <v>5.4417650000000002</v>
      </c>
      <c r="U3120">
        <v>-2.76544199999999</v>
      </c>
      <c r="V3120">
        <v>-0.1352284</v>
      </c>
      <c r="W3120">
        <v>3.0327260000000002E-2</v>
      </c>
      <c r="X3120">
        <v>0.99035019999999996</v>
      </c>
      <c r="Y3120">
        <v>-0.56409109999999996</v>
      </c>
      <c r="Z3120">
        <v>-0.74663519999999906</v>
      </c>
      <c r="AA3120">
        <v>0.3526147</v>
      </c>
      <c r="AB3120">
        <v>21</v>
      </c>
      <c r="AC3120">
        <v>19.279</v>
      </c>
      <c r="AD3120">
        <v>30.572437999999998</v>
      </c>
      <c r="AE3120">
        <v>-15.417399999999899</v>
      </c>
      <c r="AF3120">
        <v>-8.1285323553110302</v>
      </c>
      <c r="AG3120">
        <v>30.572437999999998</v>
      </c>
      <c r="AH3120">
        <v>5.3704425005334997</v>
      </c>
      <c r="AI3120">
        <v>17.6753469143788</v>
      </c>
      <c r="AJ3120">
        <v>146.54764711528699</v>
      </c>
      <c r="AK3120">
        <v>32.087203931890301</v>
      </c>
    </row>
    <row r="3121" spans="1:37" x14ac:dyDescent="0.2">
      <c r="A3121" t="str">
        <f>"20200111155600598"</f>
        <v>20200111155600598</v>
      </c>
      <c r="B3121" t="str">
        <f>"1578729360595337"</f>
        <v>1578729360595337</v>
      </c>
      <c r="C3121" t="s">
        <v>37</v>
      </c>
      <c r="D3121">
        <v>3.9857399999999998</v>
      </c>
      <c r="E3121">
        <v>8.9535779999999995E-2</v>
      </c>
      <c r="F3121" t="s">
        <v>66</v>
      </c>
      <c r="G3121">
        <v>-473.52499999999998</v>
      </c>
      <c r="H3121">
        <v>32.068350000000002</v>
      </c>
      <c r="I3121">
        <v>246.8466</v>
      </c>
      <c r="J3121">
        <v>-492.81360000000001</v>
      </c>
      <c r="K3121">
        <v>1.1097109999999999</v>
      </c>
      <c r="L3121">
        <v>262.61669999999998</v>
      </c>
      <c r="M3121">
        <v>-8.0519010000000002E-2</v>
      </c>
      <c r="N3121">
        <v>0</v>
      </c>
      <c r="O3121">
        <v>-0.99665090000000001</v>
      </c>
      <c r="P3121">
        <v>5.1570039999999998E-2</v>
      </c>
      <c r="Q3121">
        <v>1.768931E-2</v>
      </c>
      <c r="R3121">
        <v>-0.99851290000000004</v>
      </c>
      <c r="S3121">
        <v>3.324249</v>
      </c>
      <c r="T3121">
        <v>5.3381230000000004</v>
      </c>
      <c r="U3121">
        <v>-2.760284</v>
      </c>
      <c r="V3121">
        <v>-0.1321629</v>
      </c>
      <c r="W3121">
        <v>3.03387E-2</v>
      </c>
      <c r="X3121">
        <v>0.99076359999999997</v>
      </c>
      <c r="Y3121">
        <v>-0.55044869999999901</v>
      </c>
      <c r="Z3121">
        <v>-0.75108889999999995</v>
      </c>
      <c r="AA3121">
        <v>0.36451600000000001</v>
      </c>
      <c r="AB3121">
        <v>21</v>
      </c>
      <c r="AC3121">
        <v>19.288599999999999</v>
      </c>
      <c r="AD3121">
        <v>30.958639000000002</v>
      </c>
      <c r="AE3121">
        <v>-15.7700999999999</v>
      </c>
      <c r="AF3121">
        <v>-8.0565299371754495</v>
      </c>
      <c r="AG3121">
        <v>30.958639000000002</v>
      </c>
      <c r="AH3121">
        <v>5.5682313857793799</v>
      </c>
      <c r="AI3121">
        <v>17.5543406473275</v>
      </c>
      <c r="AJ3121">
        <v>145.34989948997301</v>
      </c>
      <c r="AK3121">
        <v>32.470759216970897</v>
      </c>
    </row>
    <row r="3122" spans="1:37" x14ac:dyDescent="0.2">
      <c r="A3122" t="str">
        <f>"20200111155600614"</f>
        <v>20200111155600614</v>
      </c>
      <c r="B3122" t="str">
        <f>"1578729360605097"</f>
        <v>1578729360605097</v>
      </c>
      <c r="C3122" t="s">
        <v>37</v>
      </c>
      <c r="D3122">
        <v>4.0460250000000002</v>
      </c>
      <c r="E3122">
        <v>9.6098199999999995E-2</v>
      </c>
      <c r="F3122" t="s">
        <v>66</v>
      </c>
      <c r="G3122">
        <v>-473.52499999999998</v>
      </c>
      <c r="H3122">
        <v>32.700319999999998</v>
      </c>
      <c r="I3122">
        <v>245.87180000000001</v>
      </c>
      <c r="J3122">
        <v>-492.8184</v>
      </c>
      <c r="K3122">
        <v>1.109561</v>
      </c>
      <c r="L3122">
        <v>262.4699</v>
      </c>
      <c r="M3122">
        <v>-7.4558689999999997E-2</v>
      </c>
      <c r="N3122">
        <v>0</v>
      </c>
      <c r="O3122">
        <v>-0.99711479999999997</v>
      </c>
      <c r="P3122">
        <v>5.4528199999999902E-2</v>
      </c>
      <c r="Q3122">
        <v>1.8332709999999999E-2</v>
      </c>
      <c r="R3122">
        <v>-0.99834419999999902</v>
      </c>
      <c r="S3122">
        <v>3.1666259999999999</v>
      </c>
      <c r="T3122">
        <v>5.1862620000000001</v>
      </c>
      <c r="U3122">
        <v>-2.74902299999999</v>
      </c>
      <c r="V3122">
        <v>-0.12916849999999999</v>
      </c>
      <c r="W3122">
        <v>3.104266E-2</v>
      </c>
      <c r="X3122">
        <v>0.99113669999999998</v>
      </c>
      <c r="Y3122">
        <v>-0.53689200000000004</v>
      </c>
      <c r="Z3122">
        <v>-0.75419369999999997</v>
      </c>
      <c r="AA3122">
        <v>0.37807239999999998</v>
      </c>
      <c r="AB3122">
        <v>21</v>
      </c>
      <c r="AC3122">
        <v>19.293399999999998</v>
      </c>
      <c r="AD3122">
        <v>31.590758999999998</v>
      </c>
      <c r="AE3122">
        <v>-16.598099999999899</v>
      </c>
      <c r="AF3122">
        <v>-8.0596526350400399</v>
      </c>
      <c r="AG3122">
        <v>31.590758999999998</v>
      </c>
      <c r="AH3122">
        <v>5.9484067569391099</v>
      </c>
      <c r="AI3122">
        <v>17.593216422820898</v>
      </c>
      <c r="AJ3122">
        <v>143.57091123452801</v>
      </c>
      <c r="AK3122">
        <v>33.140875029781299</v>
      </c>
    </row>
    <row r="3123" spans="1:37" x14ac:dyDescent="0.2">
      <c r="A3123" t="str">
        <f>"20200111155600628"</f>
        <v>20200111155600628</v>
      </c>
      <c r="B3123" t="str">
        <f>"1578729360625593"</f>
        <v>1578729360625593</v>
      </c>
      <c r="C3123" t="s">
        <v>37</v>
      </c>
      <c r="D3123">
        <v>4.0156330000000002</v>
      </c>
      <c r="E3123">
        <v>0.1114686</v>
      </c>
      <c r="F3123" t="s">
        <v>66</v>
      </c>
      <c r="G3123">
        <v>-473.52499999999998</v>
      </c>
      <c r="H3123">
        <v>32.842410000000001</v>
      </c>
      <c r="I3123">
        <v>245.5668</v>
      </c>
      <c r="J3123">
        <v>-492.82190000000003</v>
      </c>
      <c r="K3123">
        <v>1.109424</v>
      </c>
      <c r="L3123">
        <v>262.34789999999998</v>
      </c>
      <c r="M3123">
        <v>-6.9756079999999998E-2</v>
      </c>
      <c r="N3123">
        <v>0</v>
      </c>
      <c r="O3123">
        <v>-0.99746279999999998</v>
      </c>
      <c r="P3123">
        <v>5.7668450000000003E-2</v>
      </c>
      <c r="Q3123">
        <v>1.8384859999999999E-2</v>
      </c>
      <c r="R3123">
        <v>-0.99816680000000002</v>
      </c>
      <c r="S3123">
        <v>3.127167</v>
      </c>
      <c r="T3123">
        <v>5.1434280000000001</v>
      </c>
      <c r="U3123">
        <v>-2.7397459999999998</v>
      </c>
      <c r="V3123">
        <v>-0.12750239999999999</v>
      </c>
      <c r="W3123">
        <v>3.1136549999999999E-2</v>
      </c>
      <c r="X3123">
        <v>0.99134940000000005</v>
      </c>
      <c r="Y3123">
        <v>-0.53107890000000002</v>
      </c>
      <c r="Z3123">
        <v>-0.75612849999999998</v>
      </c>
      <c r="AA3123">
        <v>0.3823937</v>
      </c>
      <c r="AB3123">
        <v>21</v>
      </c>
      <c r="AC3123">
        <v>19.296900000000001</v>
      </c>
      <c r="AD3123">
        <v>31.732986</v>
      </c>
      <c r="AE3123">
        <v>-16.781099999999899</v>
      </c>
      <c r="AF3123">
        <v>-8.0402793512233206</v>
      </c>
      <c r="AG3123">
        <v>31.732986</v>
      </c>
      <c r="AH3123">
        <v>6.0611420777714704</v>
      </c>
      <c r="AI3123">
        <v>17.6043357332357</v>
      </c>
      <c r="AJ3123">
        <v>142.989288538746</v>
      </c>
      <c r="AK3123">
        <v>33.292130238373602</v>
      </c>
    </row>
    <row r="3124" spans="1:37" x14ac:dyDescent="0.2">
      <c r="A3124" t="str">
        <f>"20200111155600670"</f>
        <v>20200111155600670</v>
      </c>
      <c r="B3124" t="str">
        <f>"1578729360665609"</f>
        <v>1578729360665609</v>
      </c>
      <c r="C3124" t="s">
        <v>37</v>
      </c>
      <c r="D3124">
        <v>4.0405850000000001</v>
      </c>
      <c r="E3124">
        <v>0.1196415</v>
      </c>
      <c r="F3124" t="s">
        <v>66</v>
      </c>
      <c r="G3124">
        <v>-473.52499999999998</v>
      </c>
      <c r="H3124">
        <v>33.26276</v>
      </c>
      <c r="I3124">
        <v>244.86420000000001</v>
      </c>
      <c r="J3124">
        <v>-492.83019999999999</v>
      </c>
      <c r="K3124">
        <v>1.1089059999999999</v>
      </c>
      <c r="L3124">
        <v>261.96319999999997</v>
      </c>
      <c r="M3124">
        <v>-5.5556609999999999E-2</v>
      </c>
      <c r="N3124">
        <v>0</v>
      </c>
      <c r="O3124">
        <v>-0.99835529999999995</v>
      </c>
      <c r="P3124">
        <v>6.2114790000000003E-2</v>
      </c>
      <c r="Q3124">
        <v>1.7582250000000001E-2</v>
      </c>
      <c r="R3124">
        <v>-0.99791409999999903</v>
      </c>
      <c r="S3124">
        <v>3.022125</v>
      </c>
      <c r="T3124">
        <v>5.035615</v>
      </c>
      <c r="U3124">
        <v>-2.738159</v>
      </c>
      <c r="V3124">
        <v>-0.117757999999999</v>
      </c>
      <c r="W3124">
        <v>3.0518389999999999E-2</v>
      </c>
      <c r="X3124">
        <v>0.99257329999999999</v>
      </c>
      <c r="Y3124">
        <v>-0.51314749999999998</v>
      </c>
      <c r="Z3124">
        <v>-0.76079180000000002</v>
      </c>
      <c r="AA3124">
        <v>0.39733559999999901</v>
      </c>
      <c r="AB3124">
        <v>21</v>
      </c>
      <c r="AC3124">
        <v>19.305199999999999</v>
      </c>
      <c r="AD3124">
        <v>32.153853999999903</v>
      </c>
      <c r="AE3124">
        <v>-17.098999999999901</v>
      </c>
      <c r="AF3124">
        <v>-7.9174575217674201</v>
      </c>
      <c r="AG3124">
        <v>32.153853999999903</v>
      </c>
      <c r="AH3124">
        <v>6.2633460804682697</v>
      </c>
      <c r="AI3124">
        <v>17.430694748103299</v>
      </c>
      <c r="AJ3124">
        <v>141.653166841261</v>
      </c>
      <c r="AK3124">
        <v>33.701423779805197</v>
      </c>
    </row>
    <row r="3125" spans="1:37" x14ac:dyDescent="0.2">
      <c r="A3125" t="str">
        <f>"20200111155600684"</f>
        <v>20200111155600684</v>
      </c>
      <c r="B3125" t="str">
        <f>"1578729360675370"</f>
        <v>1578729360675370</v>
      </c>
      <c r="C3125" t="s">
        <v>37</v>
      </c>
      <c r="D3125">
        <v>4.0425789999999999</v>
      </c>
      <c r="E3125">
        <v>0.12681319999999999</v>
      </c>
      <c r="F3125" t="s">
        <v>66</v>
      </c>
      <c r="G3125">
        <v>-473.52499999999998</v>
      </c>
      <c r="H3125">
        <v>33.289059999999999</v>
      </c>
      <c r="I3125">
        <v>244.25989999999999</v>
      </c>
      <c r="J3125">
        <v>-492.83199999999999</v>
      </c>
      <c r="K3125">
        <v>1.108738</v>
      </c>
      <c r="L3125">
        <v>261.84980000000002</v>
      </c>
      <c r="M3125">
        <v>-5.1657939999999999E-2</v>
      </c>
      <c r="N3125">
        <v>0</v>
      </c>
      <c r="O3125">
        <v>-0.99856520000000004</v>
      </c>
      <c r="P3125">
        <v>6.2836050000000004E-2</v>
      </c>
      <c r="Q3125">
        <v>1.7089759999999999E-2</v>
      </c>
      <c r="R3125">
        <v>-0.99787800000000004</v>
      </c>
      <c r="S3125">
        <v>2.980591</v>
      </c>
      <c r="T3125">
        <v>4.9684080000000002</v>
      </c>
      <c r="U3125">
        <v>-2.733276</v>
      </c>
      <c r="V3125">
        <v>-0.11458169999999999</v>
      </c>
      <c r="W3125">
        <v>3.008038E-2</v>
      </c>
      <c r="X3125">
        <v>0.99295829999999996</v>
      </c>
      <c r="Y3125">
        <v>-0.50881980000000004</v>
      </c>
      <c r="Z3125">
        <v>-0.76061449999999997</v>
      </c>
      <c r="AA3125">
        <v>0.40319729999999998</v>
      </c>
      <c r="AB3125">
        <v>21</v>
      </c>
      <c r="AC3125">
        <v>19.306999999999999</v>
      </c>
      <c r="AD3125">
        <v>32.180321999999997</v>
      </c>
      <c r="AE3125">
        <v>-17.5899</v>
      </c>
      <c r="AF3125">
        <v>-8.0180357127557205</v>
      </c>
      <c r="AG3125">
        <v>32.180321999999997</v>
      </c>
      <c r="AH3125">
        <v>6.58002317520915</v>
      </c>
      <c r="AI3125">
        <v>17.865147528496799</v>
      </c>
      <c r="AJ3125">
        <v>140.625891062834</v>
      </c>
      <c r="AK3125">
        <v>33.810630365330297</v>
      </c>
    </row>
    <row r="3126" spans="1:37" x14ac:dyDescent="0.2">
      <c r="A3126" t="str">
        <f>"20200111155600697"</f>
        <v>20200111155600697</v>
      </c>
      <c r="B3126" t="str">
        <f>"1578729360685130"</f>
        <v>1578729360685130</v>
      </c>
      <c r="C3126" t="s">
        <v>37</v>
      </c>
      <c r="D3126">
        <v>4.0456000000000003</v>
      </c>
      <c r="E3126">
        <v>0.13348479999999999</v>
      </c>
      <c r="F3126" t="s">
        <v>66</v>
      </c>
      <c r="G3126">
        <v>-473.52499999999998</v>
      </c>
      <c r="H3126">
        <v>33.498240000000003</v>
      </c>
      <c r="I3126">
        <v>243.80160000000001</v>
      </c>
      <c r="J3126">
        <v>-492.83370000000002</v>
      </c>
      <c r="K3126">
        <v>1.1085339999999999</v>
      </c>
      <c r="L3126">
        <v>261.71710000000002</v>
      </c>
      <c r="M3126">
        <v>-4.7269650000000003E-2</v>
      </c>
      <c r="N3126">
        <v>0</v>
      </c>
      <c r="O3126">
        <v>-0.99878299999999998</v>
      </c>
      <c r="P3126">
        <v>6.4259200000000002E-2</v>
      </c>
      <c r="Q3126">
        <v>1.7114580000000001E-2</v>
      </c>
      <c r="R3126">
        <v>-0.99778650000000002</v>
      </c>
      <c r="S3126">
        <v>2.9287719999999999</v>
      </c>
      <c r="T3126">
        <v>4.9133339999999999</v>
      </c>
      <c r="U3126">
        <v>-2.7378230000000001</v>
      </c>
      <c r="V3126">
        <v>-0.1116193</v>
      </c>
      <c r="W3126">
        <v>3.0159020000000002E-2</v>
      </c>
      <c r="X3126">
        <v>0.99329330000000005</v>
      </c>
      <c r="Y3126">
        <v>-0.50185079999999904</v>
      </c>
      <c r="Z3126">
        <v>-0.76140869999999905</v>
      </c>
      <c r="AA3126">
        <v>0.41036889999999998</v>
      </c>
      <c r="AB3126">
        <v>21</v>
      </c>
      <c r="AC3126">
        <v>19.308700000000002</v>
      </c>
      <c r="AD3126">
        <v>32.389705999999997</v>
      </c>
      <c r="AE3126">
        <v>-17.915500000000002</v>
      </c>
      <c r="AF3126">
        <v>-8.01477678074178</v>
      </c>
      <c r="AG3126">
        <v>32.389705999999997</v>
      </c>
      <c r="AH3126">
        <v>6.7603002419991798</v>
      </c>
      <c r="AI3126">
        <v>17.937726448987199</v>
      </c>
      <c r="AJ3126">
        <v>139.85305352370099</v>
      </c>
      <c r="AK3126">
        <v>34.0445496515011</v>
      </c>
    </row>
    <row r="3127" spans="1:37" x14ac:dyDescent="0.2">
      <c r="A3127" t="str">
        <f>"20200111155600715"</f>
        <v>20200111155600715</v>
      </c>
      <c r="B3127" t="str">
        <f>"1578729360705626"</f>
        <v>1578729360705626</v>
      </c>
      <c r="C3127" t="s">
        <v>37</v>
      </c>
      <c r="D3127">
        <v>4.0557089999999896</v>
      </c>
      <c r="E3127">
        <v>0.14359189999999999</v>
      </c>
      <c r="F3127" t="s">
        <v>66</v>
      </c>
      <c r="G3127">
        <v>-473.52499999999998</v>
      </c>
      <c r="H3127">
        <v>33.649549999999998</v>
      </c>
      <c r="I3127">
        <v>243.3965</v>
      </c>
      <c r="J3127">
        <v>-492.83530000000002</v>
      </c>
      <c r="K3127">
        <v>1.108295</v>
      </c>
      <c r="L3127">
        <v>261.5598</v>
      </c>
      <c r="M3127">
        <v>-4.2386809999999997E-2</v>
      </c>
      <c r="N3127">
        <v>0</v>
      </c>
      <c r="O3127">
        <v>-0.99900250000000002</v>
      </c>
      <c r="P3127">
        <v>6.2530669999999997E-2</v>
      </c>
      <c r="Q3127">
        <v>1.7247519999999999E-2</v>
      </c>
      <c r="R3127">
        <v>-0.99789399999999995</v>
      </c>
      <c r="S3127">
        <v>2.885132</v>
      </c>
      <c r="T3127">
        <v>4.8623260000000004</v>
      </c>
      <c r="U3127">
        <v>-2.7374879999999999</v>
      </c>
      <c r="V3127">
        <v>-0.105021699999999</v>
      </c>
      <c r="W3127">
        <v>3.0381599999999901E-2</v>
      </c>
      <c r="X3127">
        <v>0.99400569999999899</v>
      </c>
      <c r="Y3127">
        <v>-0.49527199999999999</v>
      </c>
      <c r="Z3127">
        <v>-0.76228549999999995</v>
      </c>
      <c r="AA3127">
        <v>0.41668500000000003</v>
      </c>
      <c r="AB3127">
        <v>21</v>
      </c>
      <c r="AC3127">
        <v>19.310300000000002</v>
      </c>
      <c r="AD3127">
        <v>32.541255</v>
      </c>
      <c r="AE3127">
        <v>-18.1632999999999</v>
      </c>
      <c r="AF3127">
        <v>-8.0035527069270191</v>
      </c>
      <c r="AG3127">
        <v>32.541255</v>
      </c>
      <c r="AH3127">
        <v>6.91269300187568</v>
      </c>
      <c r="AI3127">
        <v>18.003585864280499</v>
      </c>
      <c r="AJ3127">
        <v>139.18272720429701</v>
      </c>
      <c r="AK3127">
        <v>34.2165962282306</v>
      </c>
    </row>
    <row r="3128" spans="1:37" x14ac:dyDescent="0.2">
      <c r="A3128" t="str">
        <f>"20200111155600730"</f>
        <v>20200111155600730</v>
      </c>
      <c r="B3128" t="str">
        <f>"1578729360725146"</f>
        <v>1578729360725146</v>
      </c>
      <c r="C3128" t="s">
        <v>37</v>
      </c>
      <c r="D3128">
        <v>4.07585</v>
      </c>
      <c r="E3128">
        <v>0.14811350000000001</v>
      </c>
      <c r="F3128" t="s">
        <v>66</v>
      </c>
      <c r="G3128">
        <v>-473.52499999999998</v>
      </c>
      <c r="H3128">
        <v>34.025459999999903</v>
      </c>
      <c r="I3128">
        <v>242.66739999999999</v>
      </c>
      <c r="J3128">
        <v>-492.83620000000002</v>
      </c>
      <c r="K3128">
        <v>1.1080939999999999</v>
      </c>
      <c r="L3128">
        <v>261.43189999999998</v>
      </c>
      <c r="M3128">
        <v>-3.8662960000000003E-2</v>
      </c>
      <c r="N3128">
        <v>0</v>
      </c>
      <c r="O3128">
        <v>-0.99915399999999999</v>
      </c>
      <c r="P3128">
        <v>6.2888230000000003E-2</v>
      </c>
      <c r="Q3128">
        <v>1.7400820000000001E-2</v>
      </c>
      <c r="R3128">
        <v>-0.99786900000000001</v>
      </c>
      <c r="S3128">
        <v>2.8083499999999999</v>
      </c>
      <c r="T3128">
        <v>4.7872490000000001</v>
      </c>
      <c r="U3128">
        <v>-2.7475890000000001</v>
      </c>
      <c r="V3128">
        <v>-0.1016576</v>
      </c>
      <c r="W3128">
        <v>3.0585589999999999E-2</v>
      </c>
      <c r="X3128">
        <v>0.99434920000000004</v>
      </c>
      <c r="Y3128">
        <v>-0.48647659999999998</v>
      </c>
      <c r="Z3128">
        <v>-0.76256699999999999</v>
      </c>
      <c r="AA3128">
        <v>0.42641780000000001</v>
      </c>
      <c r="AB3128">
        <v>20</v>
      </c>
      <c r="AC3128">
        <v>19.311199999999999</v>
      </c>
      <c r="AD3128">
        <v>32.917365999999902</v>
      </c>
      <c r="AE3128">
        <v>-18.764500000000002</v>
      </c>
      <c r="AF3128">
        <v>-8.0265988310072007</v>
      </c>
      <c r="AG3128">
        <v>32.917365999999902</v>
      </c>
      <c r="AH3128">
        <v>7.2173953511582001</v>
      </c>
      <c r="AI3128">
        <v>18.155423139214999</v>
      </c>
      <c r="AJ3128">
        <v>138.038604463068</v>
      </c>
      <c r="AK3128">
        <v>34.642027493014901</v>
      </c>
    </row>
    <row r="3129" spans="1:37" x14ac:dyDescent="0.2">
      <c r="A3129" t="str">
        <f>"20200111155600742"</f>
        <v>20200111155600742</v>
      </c>
      <c r="B3129" t="str">
        <f>"1578729360735882"</f>
        <v>1578729360735882</v>
      </c>
      <c r="C3129" t="s">
        <v>37</v>
      </c>
      <c r="D3129">
        <v>4.0751189999999999</v>
      </c>
      <c r="E3129">
        <v>0.15186079999999999</v>
      </c>
      <c r="F3129" t="s">
        <v>66</v>
      </c>
      <c r="G3129">
        <v>-473.52499999999998</v>
      </c>
      <c r="H3129">
        <v>34.142949999999999</v>
      </c>
      <c r="I3129">
        <v>242.32550000000001</v>
      </c>
      <c r="J3129">
        <v>-492.83690000000001</v>
      </c>
      <c r="K3129">
        <v>1.1078939999999999</v>
      </c>
      <c r="L3129">
        <v>261.30990000000003</v>
      </c>
      <c r="M3129">
        <v>-3.5277179999999998E-2</v>
      </c>
      <c r="N3129">
        <v>0</v>
      </c>
      <c r="O3129">
        <v>-0.99927969999999899</v>
      </c>
      <c r="P3129">
        <v>6.2621159999999995E-2</v>
      </c>
      <c r="Q3129">
        <v>1.760952E-2</v>
      </c>
      <c r="R3129">
        <v>-0.99788209999999999</v>
      </c>
      <c r="S3129">
        <v>2.7778930000000002</v>
      </c>
      <c r="T3129">
        <v>4.7520360000000004</v>
      </c>
      <c r="U3129">
        <v>-2.7484439999999899</v>
      </c>
      <c r="V3129">
        <v>-9.8006670000000004E-2</v>
      </c>
      <c r="W3129">
        <v>3.0843909999999999E-2</v>
      </c>
      <c r="X3129">
        <v>0.99470759999999903</v>
      </c>
      <c r="Y3129">
        <v>-0.48169469999999998</v>
      </c>
      <c r="Z3129">
        <v>-0.76300610000000002</v>
      </c>
      <c r="AA3129">
        <v>0.43103580000000002</v>
      </c>
      <c r="AB3129">
        <v>20</v>
      </c>
      <c r="AC3129">
        <v>19.311900000000001</v>
      </c>
      <c r="AD3129">
        <v>33.035055999999997</v>
      </c>
      <c r="AE3129">
        <v>-18.984400000000001</v>
      </c>
      <c r="AF3129">
        <v>-8.0260391093063603</v>
      </c>
      <c r="AG3129">
        <v>33.035055999999997</v>
      </c>
      <c r="AH3129">
        <v>7.3514650313113403</v>
      </c>
      <c r="AI3129">
        <v>18.235399123043798</v>
      </c>
      <c r="AJ3129">
        <v>137.511817487976</v>
      </c>
      <c r="AK3129">
        <v>34.781838174740599</v>
      </c>
    </row>
    <row r="3130" spans="1:37" x14ac:dyDescent="0.2">
      <c r="A3130" t="str">
        <f>"20200111155600754"</f>
        <v>20200111155600754</v>
      </c>
      <c r="B3130" t="str">
        <f>"1578729360745642"</f>
        <v>1578729360745642</v>
      </c>
      <c r="C3130" t="s">
        <v>37</v>
      </c>
      <c r="D3130">
        <v>4.0672519999999999</v>
      </c>
      <c r="E3130">
        <v>0.1546382</v>
      </c>
      <c r="F3130" t="s">
        <v>66</v>
      </c>
      <c r="G3130">
        <v>-473.52499999999998</v>
      </c>
      <c r="H3130">
        <v>34.288069999999998</v>
      </c>
      <c r="I3130">
        <v>241.99719999999999</v>
      </c>
      <c r="J3130">
        <v>-492.83730000000003</v>
      </c>
      <c r="K3130">
        <v>1.1077079999999999</v>
      </c>
      <c r="L3130">
        <v>261.2</v>
      </c>
      <c r="M3130">
        <v>-3.2414310000000002E-2</v>
      </c>
      <c r="N3130">
        <v>0</v>
      </c>
      <c r="O3130">
        <v>-0.99937699999999996</v>
      </c>
      <c r="P3130">
        <v>6.199702E-2</v>
      </c>
      <c r="Q3130">
        <v>1.7194830000000001E-2</v>
      </c>
      <c r="R3130">
        <v>-0.99792839999999905</v>
      </c>
      <c r="S3130">
        <v>2.7502749999999998</v>
      </c>
      <c r="T3130">
        <v>4.7253189999999998</v>
      </c>
      <c r="U3130">
        <v>-2.750397</v>
      </c>
      <c r="V3130">
        <v>-9.4517139999999999E-2</v>
      </c>
      <c r="W3130">
        <v>3.0473589999999998E-2</v>
      </c>
      <c r="X3130">
        <v>0.99505669999999902</v>
      </c>
      <c r="Y3130">
        <v>-0.47716890000000001</v>
      </c>
      <c r="Z3130">
        <v>-0.76358490000000001</v>
      </c>
      <c r="AA3130">
        <v>0.43502649999999998</v>
      </c>
      <c r="AB3130">
        <v>20</v>
      </c>
      <c r="AC3130">
        <v>19.3123</v>
      </c>
      <c r="AD3130">
        <v>33.180362000000002</v>
      </c>
      <c r="AE3130">
        <v>-19.2028</v>
      </c>
      <c r="AF3130">
        <v>-8.02017449203632</v>
      </c>
      <c r="AG3130">
        <v>33.180362000000002</v>
      </c>
      <c r="AH3130">
        <v>7.4735435566242696</v>
      </c>
      <c r="AI3130">
        <v>18.283146971480001</v>
      </c>
      <c r="AJ3130">
        <v>137.020603463665</v>
      </c>
      <c r="AK3130">
        <v>34.9444341008194</v>
      </c>
    </row>
    <row r="3131" spans="1:37" x14ac:dyDescent="0.2">
      <c r="A3131" t="str">
        <f>"20200111155600771"</f>
        <v>20200111155600771</v>
      </c>
      <c r="B3131" t="str">
        <f>"1578729360765161"</f>
        <v>1578729360765161</v>
      </c>
      <c r="C3131" t="s">
        <v>37</v>
      </c>
      <c r="D3131">
        <v>4.480035</v>
      </c>
      <c r="E3131">
        <v>0.1546382</v>
      </c>
      <c r="F3131" t="s">
        <v>66</v>
      </c>
      <c r="G3131">
        <v>-473.56970000000001</v>
      </c>
      <c r="H3131">
        <v>34.32067</v>
      </c>
      <c r="I3131">
        <v>241.75059999999999</v>
      </c>
      <c r="J3131">
        <v>-492.83769999999998</v>
      </c>
      <c r="K3131">
        <v>1.107459</v>
      </c>
      <c r="L3131">
        <v>261.05410000000001</v>
      </c>
      <c r="M3131">
        <v>-2.8884190000000001E-2</v>
      </c>
      <c r="N3131">
        <v>0</v>
      </c>
      <c r="O3131">
        <v>-0.99948570000000003</v>
      </c>
      <c r="P3131">
        <v>5.8278249999999997E-2</v>
      </c>
      <c r="Q3131">
        <v>1.6344640000000001E-2</v>
      </c>
      <c r="R3131">
        <v>-0.99816689999999997</v>
      </c>
      <c r="S3131">
        <v>2.729797</v>
      </c>
      <c r="T3131">
        <v>4.7055569999999998</v>
      </c>
      <c r="U3131">
        <v>-2.7555540000000001</v>
      </c>
      <c r="V3131">
        <v>-8.7267170000000005E-2</v>
      </c>
      <c r="W3131">
        <v>2.9696699999999999E-2</v>
      </c>
      <c r="X3131">
        <v>0.99574219999999902</v>
      </c>
      <c r="Y3131">
        <v>-0.47246159999999998</v>
      </c>
      <c r="Z3131">
        <v>-0.76418319999999995</v>
      </c>
      <c r="AA3131">
        <v>0.4390946</v>
      </c>
      <c r="AB3131">
        <v>20</v>
      </c>
      <c r="AC3131">
        <v>19.267999999999901</v>
      </c>
      <c r="AD3131">
        <v>33.213211000000001</v>
      </c>
      <c r="AE3131">
        <v>-19.3035</v>
      </c>
      <c r="AF3131">
        <v>-7.9815553763423903</v>
      </c>
      <c r="AG3131">
        <v>33.213211000000001</v>
      </c>
      <c r="AH3131">
        <v>7.5470957085412902</v>
      </c>
      <c r="AI3131">
        <v>18.3007648256267</v>
      </c>
      <c r="AJ3131">
        <v>136.60259981367199</v>
      </c>
      <c r="AK3131">
        <v>34.982585164478898</v>
      </c>
    </row>
    <row r="3132" spans="1:37" x14ac:dyDescent="0.2">
      <c r="A3132" t="str">
        <f>"20200111155600784"</f>
        <v>20200111155600784</v>
      </c>
      <c r="B3132" t="str">
        <f>"1578729360775898"</f>
        <v>1578729360775898</v>
      </c>
      <c r="C3132" t="s">
        <v>37</v>
      </c>
      <c r="D3132">
        <v>5.0297769999999904</v>
      </c>
      <c r="E3132">
        <v>0.51507269999999905</v>
      </c>
      <c r="F3132" t="s">
        <v>66</v>
      </c>
      <c r="G3132">
        <v>-473.84539999999998</v>
      </c>
      <c r="H3132">
        <v>33.870190000000001</v>
      </c>
      <c r="I3132">
        <v>241.75049999999999</v>
      </c>
      <c r="J3132">
        <v>-492.83789999999999</v>
      </c>
      <c r="K3132">
        <v>1.107243</v>
      </c>
      <c r="L3132">
        <v>260.92880000000002</v>
      </c>
      <c r="M3132">
        <v>-2.6065689999999999E-2</v>
      </c>
      <c r="N3132">
        <v>0</v>
      </c>
      <c r="O3132">
        <v>-0.9995636</v>
      </c>
      <c r="P3132">
        <v>5.757723E-2</v>
      </c>
      <c r="Q3132">
        <v>1.557414E-2</v>
      </c>
      <c r="R3132">
        <v>-0.99821939999999998</v>
      </c>
      <c r="S3132">
        <v>2.7247919999999999</v>
      </c>
      <c r="T3132">
        <v>4.7004269999999897</v>
      </c>
      <c r="U3132">
        <v>-2.7694700000000001</v>
      </c>
      <c r="V3132">
        <v>-8.3738690000000005E-2</v>
      </c>
      <c r="W3132">
        <v>2.8965540000000001E-2</v>
      </c>
      <c r="X3132">
        <v>0.99606669999999997</v>
      </c>
      <c r="Y3132">
        <v>-0.46923739999999903</v>
      </c>
      <c r="Z3132">
        <v>-0.76413549999999997</v>
      </c>
      <c r="AA3132">
        <v>0.44262079999999998</v>
      </c>
      <c r="AB3132">
        <v>20</v>
      </c>
      <c r="AC3132">
        <v>18.9925</v>
      </c>
      <c r="AD3132">
        <v>32.762946999999997</v>
      </c>
      <c r="AE3132">
        <v>-19.1783</v>
      </c>
      <c r="AF3132">
        <v>-7.8781938060457897</v>
      </c>
      <c r="AG3132">
        <v>32.762946999999997</v>
      </c>
      <c r="AH3132">
        <v>7.55099044264756</v>
      </c>
      <c r="AI3132">
        <v>18.421650520252399</v>
      </c>
      <c r="AJ3132">
        <v>136.214877067858</v>
      </c>
      <c r="AK3132">
        <v>34.5325077345301</v>
      </c>
    </row>
    <row r="3133" spans="1:37" x14ac:dyDescent="0.2">
      <c r="A3133" t="str">
        <f>"20200111155600799"</f>
        <v>20200111155600799</v>
      </c>
      <c r="B3133" t="str">
        <f>"1578729360795417"</f>
        <v>1578729360795417</v>
      </c>
      <c r="C3133" t="s">
        <v>37</v>
      </c>
      <c r="D3133">
        <v>5.3383399999999996</v>
      </c>
      <c r="E3133">
        <v>0.53037590000000001</v>
      </c>
      <c r="F3133" t="s">
        <v>56</v>
      </c>
      <c r="G3133">
        <v>-491.90480000000002</v>
      </c>
      <c r="H3133" s="1">
        <v>2.8673730000000002E-6</v>
      </c>
      <c r="I3133">
        <v>212.24459999999999</v>
      </c>
      <c r="J3133">
        <v>-492.83800000000002</v>
      </c>
      <c r="K3133">
        <v>1.107024</v>
      </c>
      <c r="L3133">
        <v>260.8023</v>
      </c>
      <c r="M3133">
        <v>-2.3400359999999999E-2</v>
      </c>
      <c r="N3133">
        <v>0</v>
      </c>
      <c r="O3133">
        <v>-0.99962999999999902</v>
      </c>
      <c r="P3133">
        <v>5.6834790000000003E-2</v>
      </c>
      <c r="Q3133">
        <v>1.504841E-2</v>
      </c>
      <c r="R3133">
        <v>-0.99827049999999995</v>
      </c>
      <c r="S3133">
        <v>5.755615E-2</v>
      </c>
      <c r="T3133">
        <v>-6.8300719999999995E-2</v>
      </c>
      <c r="U3133">
        <v>-3.0031129999999999</v>
      </c>
      <c r="V3133">
        <v>-8.0322480000000002E-2</v>
      </c>
      <c r="W3133">
        <v>2.8475549999999999E-2</v>
      </c>
      <c r="X3133">
        <v>0.99636209999999903</v>
      </c>
      <c r="Y3133">
        <v>-4.2550089999999999E-2</v>
      </c>
      <c r="Z3133">
        <v>2.271571E-2</v>
      </c>
      <c r="AA3133">
        <v>0.99883599999999995</v>
      </c>
      <c r="AB3133">
        <v>20</v>
      </c>
      <c r="AC3133">
        <v>0.93319999999999903</v>
      </c>
      <c r="AD3133">
        <v>-1.1070211326270001</v>
      </c>
      <c r="AE3133">
        <v>-48.557699999999997</v>
      </c>
      <c r="AF3133">
        <v>-2.0682467602489201</v>
      </c>
      <c r="AG3133">
        <v>-1.1070211326270001</v>
      </c>
      <c r="AH3133">
        <v>48.497364506989904</v>
      </c>
      <c r="AI3133">
        <v>91.306443272091499</v>
      </c>
      <c r="AJ3133">
        <v>92.441989351100503</v>
      </c>
      <c r="AK3133">
        <v>48.554067847845701</v>
      </c>
    </row>
    <row r="3134" spans="1:37" x14ac:dyDescent="0.2">
      <c r="A3134" t="str">
        <f>"20200111155600830"</f>
        <v>20200111155600830</v>
      </c>
      <c r="B3134" t="str">
        <f>"1578729360825673"</f>
        <v>1578729360825673</v>
      </c>
      <c r="C3134" t="s">
        <v>37</v>
      </c>
      <c r="D3134">
        <v>5.0859370000000004</v>
      </c>
      <c r="E3134">
        <v>0.53817219999999999</v>
      </c>
      <c r="F3134" t="s">
        <v>38</v>
      </c>
      <c r="G3134">
        <v>-493.44130000000001</v>
      </c>
      <c r="H3134" s="1">
        <v>-2.23803599999999E-6</v>
      </c>
      <c r="I3134">
        <v>232.67160000000001</v>
      </c>
      <c r="J3134">
        <v>-492.83789999999999</v>
      </c>
      <c r="K3134">
        <v>1.1065309999999999</v>
      </c>
      <c r="L3134">
        <v>260.51679999999999</v>
      </c>
      <c r="M3134">
        <v>-1.8352690000000001E-2</v>
      </c>
      <c r="N3134">
        <v>0</v>
      </c>
      <c r="O3134">
        <v>-0.99973619999999996</v>
      </c>
      <c r="P3134">
        <v>5.2018139999999997E-2</v>
      </c>
      <c r="Q3134">
        <v>1.2750610000000001E-2</v>
      </c>
      <c r="R3134">
        <v>-0.99856469999999897</v>
      </c>
      <c r="S3134">
        <v>-6.4575199999999999E-2</v>
      </c>
      <c r="T3134">
        <v>-0.11847819999999901</v>
      </c>
      <c r="U3134">
        <v>-3.01065099999999</v>
      </c>
      <c r="V3134">
        <v>-7.0436540000000006E-2</v>
      </c>
      <c r="W3134">
        <v>2.6258139999999999E-2</v>
      </c>
      <c r="X3134">
        <v>0.99717060000000002</v>
      </c>
      <c r="Y3134">
        <v>3.0735720000000001E-3</v>
      </c>
      <c r="Z3134">
        <v>3.9308040000000002E-2</v>
      </c>
      <c r="AA3134">
        <v>0.99922239999999996</v>
      </c>
      <c r="AB3134">
        <v>20</v>
      </c>
      <c r="AC3134">
        <v>-0.60340000000002103</v>
      </c>
      <c r="AD3134">
        <v>-1.106533238036</v>
      </c>
      <c r="AE3134">
        <v>-27.845199999999899</v>
      </c>
      <c r="AF3134">
        <v>9.2069967388855201E-2</v>
      </c>
      <c r="AG3134">
        <v>-1.106533238036</v>
      </c>
      <c r="AH3134">
        <v>27.8076919552874</v>
      </c>
      <c r="AI3134">
        <v>92.278718648534095</v>
      </c>
      <c r="AJ3134">
        <v>89.810297047179603</v>
      </c>
      <c r="AK3134">
        <v>27.829851321304801</v>
      </c>
    </row>
    <row r="3135" spans="1:37" x14ac:dyDescent="0.2">
      <c r="A3135" t="str">
        <f>"20200111155600845"</f>
        <v>20200111155600845</v>
      </c>
      <c r="B3135" t="str">
        <f>"1578729360835434"</f>
        <v>1578729360835434</v>
      </c>
      <c r="C3135" t="s">
        <v>37</v>
      </c>
      <c r="D3135">
        <v>5.0572800000000004</v>
      </c>
      <c r="E3135">
        <v>0.54008469999999997</v>
      </c>
      <c r="F3135" t="s">
        <v>38</v>
      </c>
      <c r="G3135">
        <v>-493.86189999999999</v>
      </c>
      <c r="H3135" s="1">
        <v>-4.6246639999999998E-6</v>
      </c>
      <c r="I3135">
        <v>238.56360000000001</v>
      </c>
      <c r="J3135">
        <v>-492.83780000000002</v>
      </c>
      <c r="K3135">
        <v>1.1063160000000001</v>
      </c>
      <c r="L3135">
        <v>260.38819999999998</v>
      </c>
      <c r="M3135">
        <v>-1.6425370000000002E-2</v>
      </c>
      <c r="N3135">
        <v>0</v>
      </c>
      <c r="O3135">
        <v>-0.9997703</v>
      </c>
      <c r="P3135">
        <v>5.1026130000000003E-2</v>
      </c>
      <c r="Q3135">
        <v>1.2006910000000001E-2</v>
      </c>
      <c r="R3135">
        <v>-0.99862549999999894</v>
      </c>
      <c r="S3135">
        <v>-0.14056399999999999</v>
      </c>
      <c r="T3135">
        <v>-0.1518958</v>
      </c>
      <c r="U3135">
        <v>-3.01355</v>
      </c>
      <c r="V3135">
        <v>-6.7506609999999995E-2</v>
      </c>
      <c r="W3135">
        <v>2.5537399999999998E-2</v>
      </c>
      <c r="X3135">
        <v>0.9973919</v>
      </c>
      <c r="Y3135">
        <v>3.0118990000000002E-2</v>
      </c>
      <c r="Z3135">
        <v>5.0291500000000003E-2</v>
      </c>
      <c r="AA3135">
        <v>0.99828030000000001</v>
      </c>
      <c r="AB3135">
        <v>20</v>
      </c>
      <c r="AC3135">
        <v>-1.02409999999997</v>
      </c>
      <c r="AD3135">
        <v>-1.1063206246640001</v>
      </c>
      <c r="AE3135">
        <v>-21.824599999999901</v>
      </c>
      <c r="AF3135">
        <v>0.66374886947447698</v>
      </c>
      <c r="AG3135">
        <v>-1.1063206246640001</v>
      </c>
      <c r="AH3135">
        <v>21.782627830046401</v>
      </c>
      <c r="AI3135">
        <v>92.906157693720004</v>
      </c>
      <c r="AJ3135">
        <v>88.254652960141698</v>
      </c>
      <c r="AK3135">
        <v>21.820801613794998</v>
      </c>
    </row>
    <row r="3136" spans="1:37" x14ac:dyDescent="0.2">
      <c r="A3136" t="str">
        <f>"20200111155600860"</f>
        <v>20200111155600860</v>
      </c>
      <c r="B3136" t="str">
        <f>"1578729360854954"</f>
        <v>1578729360854954</v>
      </c>
      <c r="C3136" t="s">
        <v>37</v>
      </c>
      <c r="D3136">
        <v>5.0359739999999897</v>
      </c>
      <c r="E3136">
        <v>0.54271080000000005</v>
      </c>
      <c r="F3136" t="s">
        <v>38</v>
      </c>
      <c r="G3136">
        <v>-493.92500000000001</v>
      </c>
      <c r="H3136" s="1">
        <v>-1.0960979999999999E-6</v>
      </c>
      <c r="I3136">
        <v>239.7097</v>
      </c>
      <c r="J3136">
        <v>-492.83780000000002</v>
      </c>
      <c r="K3136">
        <v>1.106058</v>
      </c>
      <c r="L3136">
        <v>260.2432</v>
      </c>
      <c r="M3136">
        <v>-1.4533249999999999E-2</v>
      </c>
      <c r="N3136">
        <v>0</v>
      </c>
      <c r="O3136">
        <v>-0.99979979999999902</v>
      </c>
      <c r="P3136">
        <v>4.664658E-2</v>
      </c>
      <c r="Q3136">
        <v>1.1226099999999999E-2</v>
      </c>
      <c r="R3136">
        <v>-0.99884879999999998</v>
      </c>
      <c r="S3136">
        <v>-0.158477799999999</v>
      </c>
      <c r="T3136">
        <v>-0.16126189999999899</v>
      </c>
      <c r="U3136">
        <v>-3.0141909999999998</v>
      </c>
      <c r="V3136">
        <v>-6.1224809999999998E-2</v>
      </c>
      <c r="W3136">
        <v>2.4791859999999999E-2</v>
      </c>
      <c r="X3136">
        <v>0.99781609999999998</v>
      </c>
      <c r="Y3136">
        <v>3.7909789999999999E-2</v>
      </c>
      <c r="Z3136">
        <v>5.3360100000000001E-2</v>
      </c>
      <c r="AA3136">
        <v>0.99785550000000001</v>
      </c>
      <c r="AB3136">
        <v>20</v>
      </c>
      <c r="AC3136">
        <v>-1.08719999999999</v>
      </c>
      <c r="AD3136">
        <v>-1.1060590960979999</v>
      </c>
      <c r="AE3136">
        <v>-20.5335</v>
      </c>
      <c r="AF3136">
        <v>0.78636314389137696</v>
      </c>
      <c r="AG3136">
        <v>-1.1060590960979999</v>
      </c>
      <c r="AH3136">
        <v>20.4878525973728</v>
      </c>
      <c r="AI3136">
        <v>93.087906186443504</v>
      </c>
      <c r="AJ3136">
        <v>87.801956847219202</v>
      </c>
      <c r="AK3136">
        <v>20.532750370318301</v>
      </c>
    </row>
    <row r="3137" spans="1:37" x14ac:dyDescent="0.2">
      <c r="A3137" t="str">
        <f>"20200111155600873"</f>
        <v>20200111155600873</v>
      </c>
      <c r="B3137" t="str">
        <f>"1578729360865691"</f>
        <v>1578729360865691</v>
      </c>
      <c r="C3137" t="s">
        <v>37</v>
      </c>
      <c r="D3137">
        <v>5.2881220000000004</v>
      </c>
      <c r="E3137">
        <v>0.54282369999999902</v>
      </c>
      <c r="F3137" t="s">
        <v>38</v>
      </c>
      <c r="G3137">
        <v>-494.0591</v>
      </c>
      <c r="H3137" s="1">
        <v>-1.7290909999999899E-6</v>
      </c>
      <c r="I3137">
        <v>241.10210000000001</v>
      </c>
      <c r="J3137">
        <v>-492.83780000000002</v>
      </c>
      <c r="K3137">
        <v>1.1058520000000001</v>
      </c>
      <c r="L3137">
        <v>260.12819999999999</v>
      </c>
      <c r="M3137">
        <v>-1.330228E-2</v>
      </c>
      <c r="N3137">
        <v>0</v>
      </c>
      <c r="O3137">
        <v>-0.99981719999999896</v>
      </c>
      <c r="P3137">
        <v>4.4896060000000002E-2</v>
      </c>
      <c r="Q3137">
        <v>1.056552E-2</v>
      </c>
      <c r="R3137">
        <v>-0.99893609999999899</v>
      </c>
      <c r="S3137">
        <v>-0.19232179999999999</v>
      </c>
      <c r="T3137">
        <v>-0.17418599999999901</v>
      </c>
      <c r="U3137">
        <v>-3.0144039999999999</v>
      </c>
      <c r="V3137">
        <v>-5.8233180000000002E-2</v>
      </c>
      <c r="W3137">
        <v>2.4149759999999999E-2</v>
      </c>
      <c r="X3137">
        <v>0.99801090000000003</v>
      </c>
      <c r="Y3137">
        <v>5.0283639999999998E-2</v>
      </c>
      <c r="Z3137">
        <v>5.7585850000000001E-2</v>
      </c>
      <c r="AA3137">
        <v>0.9970734</v>
      </c>
      <c r="AB3137">
        <v>20</v>
      </c>
      <c r="AC3137">
        <v>-1.2212999999999801</v>
      </c>
      <c r="AD3137">
        <v>-1.105853729091</v>
      </c>
      <c r="AE3137">
        <v>-19.0260999999999</v>
      </c>
      <c r="AF3137">
        <v>0.96483144185104497</v>
      </c>
      <c r="AG3137">
        <v>-1.105853729091</v>
      </c>
      <c r="AH3137">
        <v>18.976817917613801</v>
      </c>
      <c r="AI3137">
        <v>93.330785910806895</v>
      </c>
      <c r="AJ3137">
        <v>87.089437732331405</v>
      </c>
      <c r="AK3137">
        <v>19.033481827022499</v>
      </c>
    </row>
    <row r="3138" spans="1:37" x14ac:dyDescent="0.2">
      <c r="A3138" t="str">
        <f>"20200111155600887"</f>
        <v>20200111155600887</v>
      </c>
      <c r="B3138" t="str">
        <f>"1578729360875450"</f>
        <v>1578729360875450</v>
      </c>
      <c r="C3138" t="s">
        <v>37</v>
      </c>
      <c r="D3138">
        <v>5.0425500000000003</v>
      </c>
      <c r="E3138">
        <v>0.54353289999999999</v>
      </c>
      <c r="F3138" t="s">
        <v>38</v>
      </c>
      <c r="G3138">
        <v>-494.04989999999998</v>
      </c>
      <c r="H3138" s="1">
        <v>-2.0064910000000001E-6</v>
      </c>
      <c r="I3138">
        <v>241.75450000000001</v>
      </c>
      <c r="J3138">
        <v>-492.83789999999999</v>
      </c>
      <c r="K3138">
        <v>1.1056459999999999</v>
      </c>
      <c r="L3138">
        <v>260.01170000000002</v>
      </c>
      <c r="M3138">
        <v>-1.223404E-2</v>
      </c>
      <c r="N3138">
        <v>0</v>
      </c>
      <c r="O3138">
        <v>-0.99983129999999998</v>
      </c>
      <c r="P3138">
        <v>4.2745970000000001E-2</v>
      </c>
      <c r="Q3138">
        <v>9.5393869999999999E-3</v>
      </c>
      <c r="R3138">
        <v>-0.999040699999999</v>
      </c>
      <c r="S3138">
        <v>-0.198822</v>
      </c>
      <c r="T3138">
        <v>-0.1814045</v>
      </c>
      <c r="U3138">
        <v>-3.0140380000000002</v>
      </c>
      <c r="V3138">
        <v>-5.5004339999999999E-2</v>
      </c>
      <c r="W3138">
        <v>2.314105E-2</v>
      </c>
      <c r="X3138">
        <v>0.99821789999999999</v>
      </c>
      <c r="Y3138">
        <v>5.3490250000000003E-2</v>
      </c>
      <c r="Z3138">
        <v>5.9963160000000001E-2</v>
      </c>
      <c r="AA3138">
        <v>0.99676640000000005</v>
      </c>
      <c r="AB3138">
        <v>20</v>
      </c>
      <c r="AC3138">
        <v>-1.21199999999998</v>
      </c>
      <c r="AD3138">
        <v>-1.1056480064909999</v>
      </c>
      <c r="AE3138">
        <v>-18.257200000000001</v>
      </c>
      <c r="AF3138">
        <v>0.98493264568354599</v>
      </c>
      <c r="AG3138">
        <v>-1.1056480064909999</v>
      </c>
      <c r="AH3138">
        <v>18.2041922239905</v>
      </c>
      <c r="AI3138">
        <v>93.470577650313402</v>
      </c>
      <c r="AJ3138">
        <v>86.903047704318794</v>
      </c>
      <c r="AK3138">
        <v>18.2643139580656</v>
      </c>
    </row>
    <row r="3139" spans="1:37" x14ac:dyDescent="0.2">
      <c r="A3139" t="str">
        <f>"20200111155600899"</f>
        <v>20200111155600899</v>
      </c>
      <c r="B3139" t="str">
        <f>"1578729360894969"</f>
        <v>1578729360894969</v>
      </c>
      <c r="C3139" t="s">
        <v>37</v>
      </c>
      <c r="D3139">
        <v>5.1214459999999997</v>
      </c>
      <c r="E3139">
        <v>0.54449309999999995</v>
      </c>
      <c r="F3139" t="s">
        <v>40</v>
      </c>
      <c r="G3139">
        <v>-492.89710000000002</v>
      </c>
      <c r="H3139">
        <v>1.053078</v>
      </c>
      <c r="I3139">
        <v>259.16759999999999</v>
      </c>
      <c r="J3139">
        <v>-492.8381</v>
      </c>
      <c r="K3139">
        <v>1.10544</v>
      </c>
      <c r="L3139">
        <v>259.892</v>
      </c>
      <c r="M3139">
        <v>-1.12807999999999E-2</v>
      </c>
      <c r="N3139">
        <v>0</v>
      </c>
      <c r="O3139">
        <v>-0.99984259999999903</v>
      </c>
      <c r="P3139">
        <v>4.067991E-2</v>
      </c>
      <c r="Q3139">
        <v>8.1363659999999904E-3</v>
      </c>
      <c r="R3139">
        <v>-0.99913909999999995</v>
      </c>
      <c r="S3139">
        <v>-0.2104492</v>
      </c>
      <c r="T3139">
        <v>-0.1879198</v>
      </c>
      <c r="U3139">
        <v>-3.0137019999999999</v>
      </c>
      <c r="V3139">
        <v>-5.1974149999999997E-2</v>
      </c>
      <c r="W3139">
        <v>2.1752850000000001E-2</v>
      </c>
      <c r="X3139">
        <v>0.99841150000000001</v>
      </c>
      <c r="Y3139">
        <v>5.8267840000000001E-2</v>
      </c>
      <c r="Z3139">
        <v>6.2100160000000001E-2</v>
      </c>
      <c r="AA3139">
        <v>0.99636759999999902</v>
      </c>
      <c r="AB3139">
        <v>20</v>
      </c>
      <c r="AC3139">
        <v>-5.90000000000259E-2</v>
      </c>
      <c r="AD3139">
        <v>-5.2361999999999999E-2</v>
      </c>
      <c r="AE3139">
        <v>-0.72440000000000204</v>
      </c>
      <c r="AF3139">
        <v>5.0561232265456203E-2</v>
      </c>
      <c r="AG3139">
        <v>-5.2361999999999999E-2</v>
      </c>
      <c r="AH3139">
        <v>0.7212757886308</v>
      </c>
      <c r="AI3139">
        <v>94.142052209626897</v>
      </c>
      <c r="AJ3139">
        <v>85.990141309677298</v>
      </c>
      <c r="AK3139">
        <v>0.72493929436690296</v>
      </c>
    </row>
    <row r="3140" spans="1:37" x14ac:dyDescent="0.2">
      <c r="A3140" t="str">
        <f>"20200111155600915"</f>
        <v>20200111155600915</v>
      </c>
      <c r="B3140" t="str">
        <f>"1578729360905706"</f>
        <v>1578729360905706</v>
      </c>
      <c r="C3140" t="s">
        <v>37</v>
      </c>
      <c r="D3140">
        <v>5.2756530000000001</v>
      </c>
      <c r="E3140">
        <v>0.544323</v>
      </c>
      <c r="F3140" t="s">
        <v>40</v>
      </c>
      <c r="G3140">
        <v>-492.90499999999997</v>
      </c>
      <c r="H3140">
        <v>1.0470429999999999</v>
      </c>
      <c r="I3140">
        <v>258.99450000000002</v>
      </c>
      <c r="J3140">
        <v>-492.83859999999999</v>
      </c>
      <c r="K3140">
        <v>1.105175</v>
      </c>
      <c r="L3140">
        <v>259.7432</v>
      </c>
      <c r="M3140">
        <v>-1.045567E-2</v>
      </c>
      <c r="N3140">
        <v>0</v>
      </c>
      <c r="O3140">
        <v>-0.99985190000000002</v>
      </c>
      <c r="P3140">
        <v>3.5556150000000002E-2</v>
      </c>
      <c r="Q3140">
        <v>5.3025600000000004E-3</v>
      </c>
      <c r="R3140">
        <v>-0.99935370000000001</v>
      </c>
      <c r="S3140">
        <v>-0.22396849999999999</v>
      </c>
      <c r="T3140">
        <v>-0.19616839999999999</v>
      </c>
      <c r="U3140">
        <v>-3.0133359999999998</v>
      </c>
      <c r="V3140">
        <v>-4.6013470000000001E-2</v>
      </c>
      <c r="W3140">
        <v>1.8938190000000001E-2</v>
      </c>
      <c r="X3140">
        <v>0.99876129999999996</v>
      </c>
      <c r="Y3140">
        <v>6.3533580000000006E-2</v>
      </c>
      <c r="Z3140">
        <v>6.4802650000000003E-2</v>
      </c>
      <c r="AA3140">
        <v>0.99587349999999997</v>
      </c>
      <c r="AB3140">
        <v>20</v>
      </c>
      <c r="AC3140">
        <v>-6.6399999999987303E-2</v>
      </c>
      <c r="AD3140">
        <v>-5.8132000000000003E-2</v>
      </c>
      <c r="AE3140">
        <v>-0.74869999999998504</v>
      </c>
      <c r="AF3140">
        <v>5.82192380046921E-2</v>
      </c>
      <c r="AG3140">
        <v>-5.8132000000000003E-2</v>
      </c>
      <c r="AH3140">
        <v>0.74489775951030901</v>
      </c>
      <c r="AI3140">
        <v>94.448819540277398</v>
      </c>
      <c r="AJ3140">
        <v>85.530998432090996</v>
      </c>
      <c r="AK3140">
        <v>0.74942743559421798</v>
      </c>
    </row>
    <row r="3141" spans="1:37" x14ac:dyDescent="0.2">
      <c r="A3141" t="str">
        <f>"20200111155600928"</f>
        <v>20200111155600928</v>
      </c>
      <c r="B3141" t="str">
        <f>"1578729360925226"</f>
        <v>1578729360925226</v>
      </c>
      <c r="C3141" t="s">
        <v>37</v>
      </c>
      <c r="D3141">
        <v>5.139246</v>
      </c>
      <c r="E3141">
        <v>0.54502589999999995</v>
      </c>
      <c r="F3141" t="s">
        <v>38</v>
      </c>
      <c r="G3141">
        <v>-494.17110000000002</v>
      </c>
      <c r="H3141" s="1">
        <v>-2.53882299999999E-6</v>
      </c>
      <c r="I3141">
        <v>242.92019999999999</v>
      </c>
      <c r="J3141">
        <v>-492.83909999999997</v>
      </c>
      <c r="K3141">
        <v>1.1049850000000001</v>
      </c>
      <c r="L3141">
        <v>259.637</v>
      </c>
      <c r="M3141">
        <v>-1.0082590000000001E-2</v>
      </c>
      <c r="N3141">
        <v>0</v>
      </c>
      <c r="O3141">
        <v>-0.99985579999999996</v>
      </c>
      <c r="P3141">
        <v>3.3068699999999902E-2</v>
      </c>
      <c r="Q3141">
        <v>4.0772129999999997E-3</v>
      </c>
      <c r="R3141">
        <v>-0.99944469999999996</v>
      </c>
      <c r="S3141">
        <v>-0.2385254</v>
      </c>
      <c r="T3141">
        <v>-0.19783510000000001</v>
      </c>
      <c r="U3141">
        <v>-3.011444</v>
      </c>
      <c r="V3141">
        <v>-4.3146289999999997E-2</v>
      </c>
      <c r="W3141">
        <v>1.7721979999999998E-2</v>
      </c>
      <c r="X3141">
        <v>0.99891160000000001</v>
      </c>
      <c r="Y3141">
        <v>6.8734089999999998E-2</v>
      </c>
      <c r="Z3141">
        <v>6.5368700000000002E-2</v>
      </c>
      <c r="AA3141">
        <v>0.99549109999999996</v>
      </c>
      <c r="AB3141">
        <v>20</v>
      </c>
      <c r="AC3141">
        <v>-1.33200000000005</v>
      </c>
      <c r="AD3141">
        <v>-1.1049875388229999</v>
      </c>
      <c r="AE3141">
        <v>-16.716799999999999</v>
      </c>
      <c r="AF3141">
        <v>1.15833874255084</v>
      </c>
      <c r="AG3141">
        <v>-1.1049875388229999</v>
      </c>
      <c r="AH3141">
        <v>16.6570614072163</v>
      </c>
      <c r="AI3141">
        <v>93.786180082348096</v>
      </c>
      <c r="AJ3141">
        <v>86.022032532615</v>
      </c>
      <c r="AK3141">
        <v>16.733811306071999</v>
      </c>
    </row>
    <row r="3142" spans="1:37" x14ac:dyDescent="0.2">
      <c r="A3142" t="str">
        <f>"20200111155600940"</f>
        <v>20200111155600940</v>
      </c>
      <c r="B3142" t="str">
        <f>"1578729360934986"</f>
        <v>1578729360934986</v>
      </c>
      <c r="C3142" t="s">
        <v>37</v>
      </c>
      <c r="D3142">
        <v>5.1476540000000002</v>
      </c>
      <c r="E3142">
        <v>0.54534289999999996</v>
      </c>
      <c r="F3142" t="s">
        <v>40</v>
      </c>
      <c r="G3142">
        <v>-492.9083</v>
      </c>
      <c r="H3142">
        <v>1.048808</v>
      </c>
      <c r="I3142">
        <v>258.81220000000002</v>
      </c>
      <c r="J3142">
        <v>-492.83969999999999</v>
      </c>
      <c r="K3142">
        <v>1.1047910000000001</v>
      </c>
      <c r="L3142">
        <v>259.52170000000001</v>
      </c>
      <c r="M3142">
        <v>-9.7864019999999996E-3</v>
      </c>
      <c r="N3142">
        <v>0</v>
      </c>
      <c r="O3142">
        <v>-0.99985919999999895</v>
      </c>
      <c r="P3142">
        <v>3.0472579999999999E-2</v>
      </c>
      <c r="Q3142">
        <v>2.5973569999999998E-3</v>
      </c>
      <c r="R3142">
        <v>-0.99953230000000004</v>
      </c>
      <c r="S3142">
        <v>-0.25134279999999998</v>
      </c>
      <c r="T3142">
        <v>-0.2051905</v>
      </c>
      <c r="U3142">
        <v>-3.010834</v>
      </c>
      <c r="V3142">
        <v>-4.024776E-2</v>
      </c>
      <c r="W3142">
        <v>1.6249719999999999E-2</v>
      </c>
      <c r="X3142">
        <v>0.99905759999999899</v>
      </c>
      <c r="Y3142">
        <v>7.3241429999999996E-2</v>
      </c>
      <c r="Z3142">
        <v>6.7779530000000004E-2</v>
      </c>
      <c r="AA3142">
        <v>0.99500829999999996</v>
      </c>
      <c r="AB3142">
        <v>20</v>
      </c>
      <c r="AC3142">
        <v>-6.8600000000003505E-2</v>
      </c>
      <c r="AD3142">
        <v>-5.5983000000000102E-2</v>
      </c>
      <c r="AE3142">
        <v>-0.70949999999999103</v>
      </c>
      <c r="AF3142">
        <v>6.1274655661140702E-2</v>
      </c>
      <c r="AG3142">
        <v>-5.5983000000000102E-2</v>
      </c>
      <c r="AH3142">
        <v>0.70578393075958001</v>
      </c>
      <c r="AI3142">
        <v>94.518298201927905</v>
      </c>
      <c r="AJ3142">
        <v>85.038144059298006</v>
      </c>
      <c r="AK3142">
        <v>0.71064733633064103</v>
      </c>
    </row>
    <row r="3143" spans="1:37" x14ac:dyDescent="0.2">
      <c r="A3143" t="str">
        <f>"20200111155600952"</f>
        <v>20200111155600952</v>
      </c>
      <c r="B3143" t="str">
        <f>"1578729360945721"</f>
        <v>1578729360945721</v>
      </c>
      <c r="C3143" t="s">
        <v>37</v>
      </c>
      <c r="D3143">
        <v>5.3318349999999999</v>
      </c>
      <c r="E3143">
        <v>0.54531219999999903</v>
      </c>
      <c r="F3143" t="s">
        <v>40</v>
      </c>
      <c r="G3143">
        <v>-492.9169</v>
      </c>
      <c r="H3143">
        <v>1.0429469999999901</v>
      </c>
      <c r="I3143">
        <v>258.63659999999999</v>
      </c>
      <c r="J3143">
        <v>-492.84059999999999</v>
      </c>
      <c r="K3143">
        <v>1.1046009999999999</v>
      </c>
      <c r="L3143">
        <v>259.40710000000001</v>
      </c>
      <c r="M3143">
        <v>-9.7354139999999995E-3</v>
      </c>
      <c r="N3143">
        <v>0</v>
      </c>
      <c r="O3143">
        <v>-0.99985959999999996</v>
      </c>
      <c r="P3143">
        <v>2.7659889999999999E-2</v>
      </c>
      <c r="Q3143">
        <v>1.0202099999999999E-3</v>
      </c>
      <c r="R3143">
        <v>-0.99961690000000003</v>
      </c>
      <c r="S3143">
        <v>-0.2616272</v>
      </c>
      <c r="T3143">
        <v>-0.21030209999999999</v>
      </c>
      <c r="U3143">
        <v>-3.0099179999999999</v>
      </c>
      <c r="V3143">
        <v>-3.7379219999999998E-2</v>
      </c>
      <c r="W3143">
        <v>1.4678729999999999E-2</v>
      </c>
      <c r="X3143">
        <v>0.99919329999999995</v>
      </c>
      <c r="Y3143">
        <v>7.6682219999999995E-2</v>
      </c>
      <c r="Z3143">
        <v>6.9461960000000003E-2</v>
      </c>
      <c r="AA3143">
        <v>0.99463299999999999</v>
      </c>
      <c r="AB3143">
        <v>20</v>
      </c>
      <c r="AC3143">
        <v>-7.6300000000003296E-2</v>
      </c>
      <c r="AD3143">
        <v>-6.1654000000000098E-2</v>
      </c>
      <c r="AE3143">
        <v>-0.77050000000002605</v>
      </c>
      <c r="AF3143">
        <v>6.8361090130140606E-2</v>
      </c>
      <c r="AG3143">
        <v>-6.1654000000000098E-2</v>
      </c>
      <c r="AH3143">
        <v>0.76634716079326004</v>
      </c>
      <c r="AI3143">
        <v>94.581527004454898</v>
      </c>
      <c r="AJ3143">
        <v>84.902490169328303</v>
      </c>
      <c r="AK3143">
        <v>0.77185647967460402</v>
      </c>
    </row>
    <row r="3144" spans="1:37" x14ac:dyDescent="0.2">
      <c r="A3144" t="str">
        <f>"20200111155600966"</f>
        <v>20200111155600966</v>
      </c>
      <c r="B3144" t="str">
        <f>"1578729360955482"</f>
        <v>1578729360955482</v>
      </c>
      <c r="C3144" t="s">
        <v>37</v>
      </c>
      <c r="D3144">
        <v>5.1326029999999996</v>
      </c>
      <c r="E3144">
        <v>0.54546209999999995</v>
      </c>
      <c r="F3144" t="s">
        <v>40</v>
      </c>
      <c r="G3144">
        <v>-492.91030000000001</v>
      </c>
      <c r="H3144">
        <v>1.0491250000000001</v>
      </c>
      <c r="I3144">
        <v>258.63130000000001</v>
      </c>
      <c r="J3144">
        <v>-492.84160000000003</v>
      </c>
      <c r="K3144">
        <v>1.10443</v>
      </c>
      <c r="L3144">
        <v>259.29539999999997</v>
      </c>
      <c r="M3144">
        <v>-9.8390449999999994E-3</v>
      </c>
      <c r="N3144">
        <v>0</v>
      </c>
      <c r="O3144">
        <v>-0.99985889999999999</v>
      </c>
      <c r="P3144">
        <v>2.4785419999999999E-2</v>
      </c>
      <c r="Q3144">
        <v>-1.930581E-4</v>
      </c>
      <c r="R3144">
        <v>-0.9996929</v>
      </c>
      <c r="S3144">
        <v>-0.26937870000000003</v>
      </c>
      <c r="T3144">
        <v>-0.21514359999999999</v>
      </c>
      <c r="U3144">
        <v>-3.0088200000000001</v>
      </c>
      <c r="V3144">
        <v>-3.4604339999999997E-2</v>
      </c>
      <c r="W3144">
        <v>1.346959E-2</v>
      </c>
      <c r="X3144">
        <v>0.99931029999999998</v>
      </c>
      <c r="Y3144">
        <v>7.9142509999999999E-2</v>
      </c>
      <c r="Z3144">
        <v>7.106382E-2</v>
      </c>
      <c r="AA3144">
        <v>0.99432710000000002</v>
      </c>
      <c r="AB3144">
        <v>20</v>
      </c>
      <c r="AC3144">
        <v>-6.8699999999978403E-2</v>
      </c>
      <c r="AD3144">
        <v>-5.5304999999999903E-2</v>
      </c>
      <c r="AE3144">
        <v>-0.66409999999996205</v>
      </c>
      <c r="AF3144">
        <v>6.17383216536379E-2</v>
      </c>
      <c r="AG3144">
        <v>-5.5304999999999903E-2</v>
      </c>
      <c r="AH3144">
        <v>0.66021359115399603</v>
      </c>
      <c r="AI3144">
        <v>94.767689328085197</v>
      </c>
      <c r="AJ3144">
        <v>84.657655995712304</v>
      </c>
      <c r="AK3144">
        <v>0.66539630997629096</v>
      </c>
    </row>
    <row r="3145" spans="1:37" x14ac:dyDescent="0.2">
      <c r="A3145" t="str">
        <f>"20200111155600983"</f>
        <v>20200111155600983</v>
      </c>
      <c r="B3145" t="str">
        <f>"1578729360975001"</f>
        <v>1578729360975001</v>
      </c>
      <c r="C3145" t="s">
        <v>37</v>
      </c>
      <c r="D3145">
        <v>5.1788179999999997</v>
      </c>
      <c r="E3145">
        <v>0.54548989999999997</v>
      </c>
      <c r="F3145" t="s">
        <v>40</v>
      </c>
      <c r="G3145">
        <v>-492.9196</v>
      </c>
      <c r="H3145">
        <v>1.043153</v>
      </c>
      <c r="I3145">
        <v>258.45609999999999</v>
      </c>
      <c r="J3145">
        <v>-492.84339999999997</v>
      </c>
      <c r="K3145">
        <v>1.104201</v>
      </c>
      <c r="L3145">
        <v>259.13740000000001</v>
      </c>
      <c r="M3145">
        <v>-1.023225E-2</v>
      </c>
      <c r="N3145">
        <v>0</v>
      </c>
      <c r="O3145">
        <v>-0.99985489999999999</v>
      </c>
      <c r="P3145">
        <v>1.9324640000000001E-2</v>
      </c>
      <c r="Q3145">
        <v>-1.57661E-3</v>
      </c>
      <c r="R3145">
        <v>-0.99981200000000003</v>
      </c>
      <c r="S3145">
        <v>-0.27899170000000001</v>
      </c>
      <c r="T3145">
        <v>-0.21959919999999999</v>
      </c>
      <c r="U3145">
        <v>-3.0077509999999998</v>
      </c>
      <c r="V3145">
        <v>-2.9533429999999999E-2</v>
      </c>
      <c r="W3145">
        <v>1.208687E-2</v>
      </c>
      <c r="X3145">
        <v>0.99949069999999995</v>
      </c>
      <c r="Y3145">
        <v>8.1923540000000003E-2</v>
      </c>
      <c r="Z3145">
        <v>7.2534370000000001E-2</v>
      </c>
      <c r="AA3145">
        <v>0.99399559999999998</v>
      </c>
      <c r="AB3145">
        <v>20</v>
      </c>
      <c r="AC3145">
        <v>-7.6200000000028398E-2</v>
      </c>
      <c r="AD3145">
        <v>-6.1047999999999901E-2</v>
      </c>
      <c r="AE3145">
        <v>-0.681300000000021</v>
      </c>
      <c r="AF3145">
        <v>6.86795107371998E-2</v>
      </c>
      <c r="AG3145">
        <v>-6.1047999999999901E-2</v>
      </c>
      <c r="AH3145">
        <v>0.67667811453279103</v>
      </c>
      <c r="AI3145">
        <v>95.128900808037699</v>
      </c>
      <c r="AJ3145">
        <v>84.204604886899105</v>
      </c>
      <c r="AK3145">
        <v>0.68288872020758495</v>
      </c>
    </row>
    <row r="3146" spans="1:37" x14ac:dyDescent="0.2">
      <c r="A3146" t="str">
        <f>"20200111155600995"</f>
        <v>20200111155600995</v>
      </c>
      <c r="B3146" t="str">
        <f>"1578729360985738"</f>
        <v>1578729360985738</v>
      </c>
      <c r="C3146" t="s">
        <v>37</v>
      </c>
      <c r="D3146">
        <v>5.1806169999999998</v>
      </c>
      <c r="E3146">
        <v>0.54556139999999997</v>
      </c>
      <c r="F3146" t="s">
        <v>40</v>
      </c>
      <c r="G3146">
        <v>-492.92779999999999</v>
      </c>
      <c r="H3146">
        <v>1.040384</v>
      </c>
      <c r="I3146">
        <v>258.27730000000003</v>
      </c>
      <c r="J3146">
        <v>-492.8449</v>
      </c>
      <c r="K3146">
        <v>1.1040490000000001</v>
      </c>
      <c r="L3146">
        <v>259.0222</v>
      </c>
      <c r="M3146">
        <v>-1.07008E-2</v>
      </c>
      <c r="N3146">
        <v>0</v>
      </c>
      <c r="O3146">
        <v>-0.99985029999999997</v>
      </c>
      <c r="P3146">
        <v>1.6873119999999998E-2</v>
      </c>
      <c r="Q3146">
        <v>-1.263318E-3</v>
      </c>
      <c r="R3146">
        <v>-0.999857</v>
      </c>
      <c r="S3146">
        <v>-0.29516599999999998</v>
      </c>
      <c r="T3146">
        <v>-0.2229826</v>
      </c>
      <c r="U3146">
        <v>-3.00589</v>
      </c>
      <c r="V3146">
        <v>-2.7545389999999999E-2</v>
      </c>
      <c r="W3146">
        <v>1.2400609999999999E-2</v>
      </c>
      <c r="X3146">
        <v>0.99954359999999998</v>
      </c>
      <c r="Y3146">
        <v>8.6804300000000001E-2</v>
      </c>
      <c r="Z3146">
        <v>7.3656540000000006E-2</v>
      </c>
      <c r="AA3146">
        <v>0.99349869999999996</v>
      </c>
      <c r="AB3146">
        <v>20</v>
      </c>
      <c r="AC3146">
        <v>-8.2899999999995005E-2</v>
      </c>
      <c r="AD3146">
        <v>-6.3664999999999999E-2</v>
      </c>
      <c r="AE3146">
        <v>-0.74489999999997203</v>
      </c>
      <c r="AF3146">
        <v>7.4386760578128902E-2</v>
      </c>
      <c r="AG3146">
        <v>-6.3664999999999999E-2</v>
      </c>
      <c r="AH3146">
        <v>0.74040223243222303</v>
      </c>
      <c r="AI3146">
        <v>94.890108350368806</v>
      </c>
      <c r="AJ3146">
        <v>84.262856930439497</v>
      </c>
      <c r="AK3146">
        <v>0.74684810247126399</v>
      </c>
    </row>
    <row r="3147" spans="1:37" x14ac:dyDescent="0.2">
      <c r="A3147" t="str">
        <f>"20200111155601008"</f>
        <v>20200111155601008</v>
      </c>
      <c r="B3147" t="str">
        <f>"1578729361005257"</f>
        <v>1578729361005257</v>
      </c>
      <c r="C3147" t="s">
        <v>37</v>
      </c>
      <c r="D3147">
        <v>5.1756409999999997</v>
      </c>
      <c r="E3147">
        <v>0.54561479999999996</v>
      </c>
      <c r="F3147" t="s">
        <v>40</v>
      </c>
      <c r="G3147">
        <v>-492.9205</v>
      </c>
      <c r="H3147">
        <v>1.048435</v>
      </c>
      <c r="I3147">
        <v>258.27140000000003</v>
      </c>
      <c r="J3147">
        <v>-492.8467</v>
      </c>
      <c r="K3147">
        <v>1.1039239999999999</v>
      </c>
      <c r="L3147">
        <v>258.90929999999997</v>
      </c>
      <c r="M3147">
        <v>-1.133063E-2</v>
      </c>
      <c r="N3147">
        <v>0</v>
      </c>
      <c r="O3147">
        <v>-0.99984340000000005</v>
      </c>
      <c r="P3147">
        <v>1.4304829999999999E-2</v>
      </c>
      <c r="Q3147">
        <v>-6.0888789999999999E-4</v>
      </c>
      <c r="R3147">
        <v>-0.999897699999999</v>
      </c>
      <c r="S3147">
        <v>-0.3027649</v>
      </c>
      <c r="T3147">
        <v>-0.22259389999999901</v>
      </c>
      <c r="U3147">
        <v>-3.0052189999999999</v>
      </c>
      <c r="V3147">
        <v>-2.560196E-2</v>
      </c>
      <c r="W3147">
        <v>1.305335E-2</v>
      </c>
      <c r="X3147">
        <v>0.999587</v>
      </c>
      <c r="Y3147">
        <v>8.8686630000000002E-2</v>
      </c>
      <c r="Z3147">
        <v>7.35291E-2</v>
      </c>
      <c r="AA3147">
        <v>0.9933419</v>
      </c>
      <c r="AB3147">
        <v>20</v>
      </c>
      <c r="AC3147">
        <v>-7.3800000000005597E-2</v>
      </c>
      <c r="AD3147">
        <v>-5.54889999999999E-2</v>
      </c>
      <c r="AE3147">
        <v>-0.63789999999994496</v>
      </c>
      <c r="AF3147">
        <v>6.6073428058789102E-2</v>
      </c>
      <c r="AG3147">
        <v>-5.54889999999999E-2</v>
      </c>
      <c r="AH3147">
        <v>0.63396165893297296</v>
      </c>
      <c r="AI3147">
        <v>94.975388069652993</v>
      </c>
      <c r="AJ3147">
        <v>84.049940186562196</v>
      </c>
      <c r="AK3147">
        <v>0.63980630820076101</v>
      </c>
    </row>
    <row r="3148" spans="1:37" x14ac:dyDescent="0.2">
      <c r="A3148" t="str">
        <f>"20200111155601020"</f>
        <v>20200111155601020</v>
      </c>
      <c r="B3148" t="str">
        <f>"1578729361015006"</f>
        <v>1578729361015006</v>
      </c>
      <c r="C3148" t="s">
        <v>37</v>
      </c>
      <c r="D3148">
        <v>5.3862410000000001</v>
      </c>
      <c r="E3148">
        <v>0.54541130000000004</v>
      </c>
      <c r="F3148" t="s">
        <v>40</v>
      </c>
      <c r="G3148">
        <v>-492.93119999999999</v>
      </c>
      <c r="H3148">
        <v>1.0439879999999999</v>
      </c>
      <c r="I3148">
        <v>258.09530000000001</v>
      </c>
      <c r="J3148">
        <v>-492.84859999999998</v>
      </c>
      <c r="K3148">
        <v>1.1038110000000001</v>
      </c>
      <c r="L3148">
        <v>258.79919999999998</v>
      </c>
      <c r="M3148">
        <v>-1.20191E-2</v>
      </c>
      <c r="N3148">
        <v>0</v>
      </c>
      <c r="O3148">
        <v>-0.99983559999999905</v>
      </c>
      <c r="P3148">
        <v>1.207915E-2</v>
      </c>
      <c r="Q3148">
        <v>4.7638299999999998E-4</v>
      </c>
      <c r="R3148">
        <v>-0.99992729999999996</v>
      </c>
      <c r="S3148">
        <v>-0.31088259999999901</v>
      </c>
      <c r="T3148">
        <v>-0.22119559999999999</v>
      </c>
      <c r="U3148">
        <v>-3.0046539999999999</v>
      </c>
      <c r="V3148">
        <v>-2.4058679999999999E-2</v>
      </c>
      <c r="W3148">
        <v>1.41371E-2</v>
      </c>
      <c r="X3148">
        <v>0.99961060000000002</v>
      </c>
      <c r="Y3148">
        <v>9.0678739999999994E-2</v>
      </c>
      <c r="Z3148">
        <v>7.3065889999999994E-2</v>
      </c>
      <c r="AA3148">
        <v>0.99319619999999997</v>
      </c>
      <c r="AB3148">
        <v>20</v>
      </c>
      <c r="AC3148">
        <v>-8.2600000000013496E-2</v>
      </c>
      <c r="AD3148">
        <v>-5.9823000000000098E-2</v>
      </c>
      <c r="AE3148">
        <v>-0.70389999999997599</v>
      </c>
      <c r="AF3148">
        <v>7.3608559257160894E-2</v>
      </c>
      <c r="AG3148">
        <v>-5.9823000000000098E-2</v>
      </c>
      <c r="AH3148">
        <v>0.69985565797251403</v>
      </c>
      <c r="AI3148">
        <v>94.859040307302905</v>
      </c>
      <c r="AJ3148">
        <v>83.995889368953499</v>
      </c>
      <c r="AK3148">
        <v>0.70625417048046901</v>
      </c>
    </row>
    <row r="3149" spans="1:37" x14ac:dyDescent="0.2">
      <c r="A3149" t="str">
        <f>"20200111155601039"</f>
        <v>20200111155601039</v>
      </c>
      <c r="B3149" t="str">
        <f>"1578729361025742"</f>
        <v>1578729361025742</v>
      </c>
      <c r="C3149" t="s">
        <v>37</v>
      </c>
      <c r="D3149">
        <v>5.1712749999999996</v>
      </c>
      <c r="E3149">
        <v>0.54549650000000005</v>
      </c>
      <c r="F3149" t="s">
        <v>40</v>
      </c>
      <c r="G3149">
        <v>-492.94119999999998</v>
      </c>
      <c r="H3149">
        <v>1.040063</v>
      </c>
      <c r="I3149">
        <v>257.91739999999999</v>
      </c>
      <c r="J3149">
        <v>-492.85180000000003</v>
      </c>
      <c r="K3149">
        <v>1.1036820000000001</v>
      </c>
      <c r="L3149">
        <v>258.6386</v>
      </c>
      <c r="M3149">
        <v>-1.323937E-2</v>
      </c>
      <c r="N3149">
        <v>0</v>
      </c>
      <c r="O3149">
        <v>-0.99982039999999905</v>
      </c>
      <c r="P3149">
        <v>7.345725E-3</v>
      </c>
      <c r="Q3149">
        <v>2.7191429999999998E-3</v>
      </c>
      <c r="R3149">
        <v>-0.99996969999999996</v>
      </c>
      <c r="S3149">
        <v>-0.31542969999999998</v>
      </c>
      <c r="T3149">
        <v>-0.21720139999999999</v>
      </c>
      <c r="U3149">
        <v>-3.0041660000000001</v>
      </c>
      <c r="V3149">
        <v>-2.053396E-2</v>
      </c>
      <c r="W3149">
        <v>1.6372250000000001E-2</v>
      </c>
      <c r="X3149">
        <v>0.99965509999999902</v>
      </c>
      <c r="Y3149">
        <v>9.0976899999999902E-2</v>
      </c>
      <c r="Z3149">
        <v>7.1756689999999998E-2</v>
      </c>
      <c r="AA3149">
        <v>0.99326440000000005</v>
      </c>
      <c r="AB3149">
        <v>20</v>
      </c>
      <c r="AC3149">
        <v>-8.9399999999955002E-2</v>
      </c>
      <c r="AD3149">
        <v>-6.3618999999999995E-2</v>
      </c>
      <c r="AE3149">
        <v>-0.72120000000001006</v>
      </c>
      <c r="AF3149">
        <v>7.9235810496529405E-2</v>
      </c>
      <c r="AG3149">
        <v>-6.3618999999999995E-2</v>
      </c>
      <c r="AH3149">
        <v>0.71682692755834598</v>
      </c>
      <c r="AI3149">
        <v>95.041216152279503</v>
      </c>
      <c r="AJ3149">
        <v>83.692310210664502</v>
      </c>
      <c r="AK3149">
        <v>0.72399346329837799</v>
      </c>
    </row>
    <row r="3150" spans="1:37" x14ac:dyDescent="0.2">
      <c r="A3150" t="str">
        <f>"20200111155601052"</f>
        <v>20200111155601052</v>
      </c>
      <c r="B3150" t="str">
        <f>"1578729361045262"</f>
        <v>1578729361045262</v>
      </c>
      <c r="C3150" t="s">
        <v>37</v>
      </c>
      <c r="D3150">
        <v>5.1131570000000002</v>
      </c>
      <c r="E3150">
        <v>0.54544780000000004</v>
      </c>
      <c r="F3150" t="s">
        <v>40</v>
      </c>
      <c r="G3150">
        <v>-492.950999999999</v>
      </c>
      <c r="H3150">
        <v>1.0400450000000001</v>
      </c>
      <c r="I3150">
        <v>257.73779999999999</v>
      </c>
      <c r="J3150">
        <v>-492.8546</v>
      </c>
      <c r="K3150">
        <v>1.1036059999999901</v>
      </c>
      <c r="L3150">
        <v>258.51769999999999</v>
      </c>
      <c r="M3150">
        <v>-1.431265E-2</v>
      </c>
      <c r="N3150">
        <v>0</v>
      </c>
      <c r="O3150">
        <v>-0.99980519999999995</v>
      </c>
      <c r="P3150">
        <v>4.318293E-3</v>
      </c>
      <c r="Q3150">
        <v>3.786097E-3</v>
      </c>
      <c r="R3150">
        <v>-0.99998349999999903</v>
      </c>
      <c r="S3150">
        <v>-0.32965090000000002</v>
      </c>
      <c r="T3150">
        <v>-0.2120995</v>
      </c>
      <c r="U3150">
        <v>-3.003098</v>
      </c>
      <c r="V3150">
        <v>-1.8573510000000001E-2</v>
      </c>
      <c r="W3150">
        <v>1.743306E-2</v>
      </c>
      <c r="X3150">
        <v>0.99967549999999905</v>
      </c>
      <c r="Y3150">
        <v>9.4607010000000005E-2</v>
      </c>
      <c r="Z3150">
        <v>7.0073250000000004E-2</v>
      </c>
      <c r="AA3150">
        <v>0.99304539999999997</v>
      </c>
      <c r="AB3150">
        <v>20</v>
      </c>
      <c r="AC3150">
        <v>-9.6399999999960004E-2</v>
      </c>
      <c r="AD3150">
        <v>-6.3560999999999701E-2</v>
      </c>
      <c r="AE3150">
        <v>-0.77989999999999704</v>
      </c>
      <c r="AF3150">
        <v>8.4672717972126596E-2</v>
      </c>
      <c r="AG3150">
        <v>-6.3560999999999701E-2</v>
      </c>
      <c r="AH3150">
        <v>0.77612247993962902</v>
      </c>
      <c r="AI3150">
        <v>94.654328894474801</v>
      </c>
      <c r="AJ3150">
        <v>83.773819944743906</v>
      </c>
      <c r="AK3150">
        <v>0.78331064958765095</v>
      </c>
    </row>
    <row r="3151" spans="1:37" x14ac:dyDescent="0.2">
      <c r="A3151" t="str">
        <f>"20200111155601063"</f>
        <v>20200111155601063</v>
      </c>
      <c r="B3151" t="str">
        <f>"1578729361055023"</f>
        <v>1578729361055023</v>
      </c>
      <c r="C3151" t="s">
        <v>37</v>
      </c>
      <c r="D3151">
        <v>5.3592899999999997</v>
      </c>
      <c r="E3151">
        <v>0.54544780000000004</v>
      </c>
      <c r="F3151" t="s">
        <v>40</v>
      </c>
      <c r="G3151">
        <v>-492.9434</v>
      </c>
      <c r="H3151">
        <v>1.048484</v>
      </c>
      <c r="I3151">
        <v>257.73149999999998</v>
      </c>
      <c r="J3151">
        <v>-492.8571</v>
      </c>
      <c r="K3151">
        <v>1.1035549999999901</v>
      </c>
      <c r="L3151">
        <v>258.4128</v>
      </c>
      <c r="M3151">
        <v>-1.528683E-2</v>
      </c>
      <c r="N3151">
        <v>0</v>
      </c>
      <c r="O3151">
        <v>-0.99979110000000004</v>
      </c>
      <c r="P3151">
        <v>1.4070899999999999E-3</v>
      </c>
      <c r="Q3151">
        <v>5.284225E-3</v>
      </c>
      <c r="R3151">
        <v>-0.99998519999999902</v>
      </c>
      <c r="S3151">
        <v>-0.33807369999999998</v>
      </c>
      <c r="T3151">
        <v>-0.21039769999999999</v>
      </c>
      <c r="U3151">
        <v>-3.0023040000000001</v>
      </c>
      <c r="V3151">
        <v>-1.662864E-2</v>
      </c>
      <c r="W3151">
        <v>1.8924839999999998E-2</v>
      </c>
      <c r="X3151">
        <v>0.99968259999999898</v>
      </c>
      <c r="Y3151">
        <v>9.6421640000000003E-2</v>
      </c>
      <c r="Z3151">
        <v>6.9513690000000003E-2</v>
      </c>
      <c r="AA3151">
        <v>0.99291019999999897</v>
      </c>
      <c r="AB3151">
        <v>20</v>
      </c>
      <c r="AC3151">
        <v>-8.6299999999994201E-2</v>
      </c>
      <c r="AD3151">
        <v>-5.5070999999999801E-2</v>
      </c>
      <c r="AE3151">
        <v>-0.681300000000021</v>
      </c>
      <c r="AF3151">
        <v>7.5389234829223398E-2</v>
      </c>
      <c r="AG3151">
        <v>-5.5070999999999801E-2</v>
      </c>
      <c r="AH3151">
        <v>0.67817860818978204</v>
      </c>
      <c r="AI3151">
        <v>94.614177122086005</v>
      </c>
      <c r="AJ3151">
        <v>83.6567992247208</v>
      </c>
      <c r="AK3151">
        <v>0.68457474126304496</v>
      </c>
    </row>
    <row r="3152" spans="1:37" x14ac:dyDescent="0.2">
      <c r="A3152" t="str">
        <f>"20200111155601076"</f>
        <v>20200111155601076</v>
      </c>
      <c r="B3152" t="str">
        <f>"1578729361065758"</f>
        <v>1578729361065758</v>
      </c>
      <c r="C3152" t="s">
        <v>37</v>
      </c>
      <c r="D3152">
        <v>5.2586069999999996</v>
      </c>
      <c r="E3152">
        <v>0.58169689999999996</v>
      </c>
      <c r="F3152" t="s">
        <v>40</v>
      </c>
      <c r="G3152">
        <v>-492.95609999999999</v>
      </c>
      <c r="H3152">
        <v>1.0445139999999999</v>
      </c>
      <c r="I3152">
        <v>257.55540000000002</v>
      </c>
      <c r="J3152">
        <v>-492.86</v>
      </c>
      <c r="K3152">
        <v>1.103513</v>
      </c>
      <c r="L3152">
        <v>258.29969999999997</v>
      </c>
      <c r="M3152">
        <v>-1.639096E-2</v>
      </c>
      <c r="N3152">
        <v>0</v>
      </c>
      <c r="O3152">
        <v>-0.99977340000000003</v>
      </c>
      <c r="P3152">
        <v>-1.7445819999999999E-3</v>
      </c>
      <c r="Q3152">
        <v>6.552619E-3</v>
      </c>
      <c r="R3152">
        <v>-0.999977</v>
      </c>
      <c r="S3152">
        <v>-0.34622190000000003</v>
      </c>
      <c r="T3152">
        <v>-0.20665629999999999</v>
      </c>
      <c r="U3152">
        <v>-3.001617</v>
      </c>
      <c r="V3152">
        <v>-1.457468E-2</v>
      </c>
      <c r="W3152">
        <v>2.0184879999999999E-2</v>
      </c>
      <c r="X3152">
        <v>0.99969010000000003</v>
      </c>
      <c r="Y3152">
        <v>9.801812E-2</v>
      </c>
      <c r="Z3152">
        <v>6.8281320000000006E-2</v>
      </c>
      <c r="AA3152">
        <v>0.99283940000000004</v>
      </c>
      <c r="AB3152">
        <v>20</v>
      </c>
      <c r="AC3152">
        <v>-9.6099999999978494E-2</v>
      </c>
      <c r="AD3152">
        <v>-5.8999000000000003E-2</v>
      </c>
      <c r="AE3152">
        <v>-0.744299999999952</v>
      </c>
      <c r="AF3152">
        <v>8.3370909119930003E-2</v>
      </c>
      <c r="AG3152">
        <v>-5.8999000000000003E-2</v>
      </c>
      <c r="AH3152">
        <v>0.74119446770301001</v>
      </c>
      <c r="AI3152">
        <v>94.5227400101341</v>
      </c>
      <c r="AJ3152">
        <v>83.582241400669602</v>
      </c>
      <c r="AK3152">
        <v>0.74819838909344905</v>
      </c>
    </row>
    <row r="3153" spans="1:37" x14ac:dyDescent="0.2">
      <c r="A3153" t="str">
        <f>"20200111155601088"</f>
        <v>20200111155601088</v>
      </c>
      <c r="B3153" t="str">
        <f>"1578729361085279"</f>
        <v>1578729361085279</v>
      </c>
      <c r="C3153" t="s">
        <v>37</v>
      </c>
      <c r="D3153">
        <v>4.9550549999999998</v>
      </c>
      <c r="E3153">
        <v>0.59599650000000004</v>
      </c>
      <c r="F3153" t="s">
        <v>38</v>
      </c>
      <c r="G3153">
        <v>-496.74849999999998</v>
      </c>
      <c r="H3153" s="1">
        <v>-2.0720339999999999E-6</v>
      </c>
      <c r="I3153">
        <v>240.23349999999999</v>
      </c>
      <c r="J3153">
        <v>-492.86290000000002</v>
      </c>
      <c r="K3153">
        <v>1.103491</v>
      </c>
      <c r="L3153">
        <v>258.1934</v>
      </c>
      <c r="M3153">
        <v>-1.7487849999999999E-2</v>
      </c>
      <c r="N3153">
        <v>0</v>
      </c>
      <c r="O3153">
        <v>-0.99975480000000005</v>
      </c>
      <c r="P3153">
        <v>-4.7940300000000003E-3</v>
      </c>
      <c r="Q3153">
        <v>8.3578279999999994E-3</v>
      </c>
      <c r="R3153">
        <v>-0.9999538</v>
      </c>
      <c r="S3153">
        <v>-0.64575199999999999</v>
      </c>
      <c r="T3153">
        <v>-0.18325449999999999</v>
      </c>
      <c r="U3153">
        <v>-3.0001679999999999</v>
      </c>
      <c r="V3153">
        <v>-1.261403E-2</v>
      </c>
      <c r="W3153">
        <v>2.198168E-2</v>
      </c>
      <c r="X3153">
        <v>0.99967879999999998</v>
      </c>
      <c r="Y3153">
        <v>0.19291449999999999</v>
      </c>
      <c r="Z3153">
        <v>5.9700209999999997E-2</v>
      </c>
      <c r="AA3153">
        <v>0.97939769999999904</v>
      </c>
      <c r="AB3153">
        <v>20</v>
      </c>
      <c r="AC3153">
        <v>-3.88559999999995</v>
      </c>
      <c r="AD3153">
        <v>-1.1034930720339999</v>
      </c>
      <c r="AE3153">
        <v>-17.959900000000001</v>
      </c>
      <c r="AF3153">
        <v>3.5580651309269999</v>
      </c>
      <c r="AG3153">
        <v>-1.1034930720339999</v>
      </c>
      <c r="AH3153">
        <v>17.960339226879402</v>
      </c>
      <c r="AI3153">
        <v>93.449002024008706</v>
      </c>
      <c r="AJ3153">
        <v>78.794406367999102</v>
      </c>
      <c r="AK3153">
        <v>18.3426091268535</v>
      </c>
    </row>
    <row r="3154" spans="1:37" x14ac:dyDescent="0.2">
      <c r="A3154" t="str">
        <f>"20200111155601100"</f>
        <v>20200111155601100</v>
      </c>
      <c r="B3154" t="str">
        <f>"1578729361095040"</f>
        <v>1578729361095040</v>
      </c>
      <c r="C3154" t="s">
        <v>37</v>
      </c>
      <c r="D3154">
        <v>4.9187979999999998</v>
      </c>
      <c r="E3154">
        <v>0.59892060000000003</v>
      </c>
      <c r="F3154" t="s">
        <v>38</v>
      </c>
      <c r="G3154">
        <v>-498.23910000000001</v>
      </c>
      <c r="H3154" s="1">
        <v>-4.9586969999999998E-6</v>
      </c>
      <c r="I3154">
        <v>237.26349999999999</v>
      </c>
      <c r="J3154">
        <v>-492.86630000000002</v>
      </c>
      <c r="K3154">
        <v>1.1034740000000001</v>
      </c>
      <c r="L3154">
        <v>258.0763</v>
      </c>
      <c r="M3154">
        <v>-1.8718680000000001E-2</v>
      </c>
      <c r="N3154">
        <v>0</v>
      </c>
      <c r="O3154">
        <v>-0.99973289999999904</v>
      </c>
      <c r="P3154">
        <v>-7.9597650000000006E-3</v>
      </c>
      <c r="Q3154">
        <v>1.008358E-2</v>
      </c>
      <c r="R3154">
        <v>-0.99991770000000002</v>
      </c>
      <c r="S3154">
        <v>-0.77001949999999997</v>
      </c>
      <c r="T3154">
        <v>-0.15805150000000001</v>
      </c>
      <c r="U3154">
        <v>-2.9977419999999899</v>
      </c>
      <c r="V3154">
        <v>-1.0672060000000001E-2</v>
      </c>
      <c r="W3154">
        <v>2.3697840000000001E-2</v>
      </c>
      <c r="X3154">
        <v>0.99966219999999995</v>
      </c>
      <c r="Y3154">
        <v>0.23028979999999899</v>
      </c>
      <c r="Z3154">
        <v>5.1101889999999997E-2</v>
      </c>
      <c r="AA3154">
        <v>0.97177939999999996</v>
      </c>
      <c r="AB3154">
        <v>20</v>
      </c>
      <c r="AC3154">
        <v>-5.3727999999999803</v>
      </c>
      <c r="AD3154">
        <v>-1.103478958697</v>
      </c>
      <c r="AE3154">
        <v>-20.812799999999999</v>
      </c>
      <c r="AF3154">
        <v>4.9691387809267198</v>
      </c>
      <c r="AG3154">
        <v>-1.103478958697</v>
      </c>
      <c r="AH3154">
        <v>20.8547727217342</v>
      </c>
      <c r="AI3154">
        <v>92.9465039603012</v>
      </c>
      <c r="AJ3154">
        <v>76.597839281097293</v>
      </c>
      <c r="AK3154">
        <v>21.466987476392401</v>
      </c>
    </row>
    <row r="3155" spans="1:37" x14ac:dyDescent="0.2">
      <c r="A3155" t="str">
        <f>"20200111155601117"</f>
        <v>20200111155601117</v>
      </c>
      <c r="B3155" t="str">
        <f>"1578729361105774"</f>
        <v>1578729361105774</v>
      </c>
      <c r="C3155" t="s">
        <v>37</v>
      </c>
      <c r="D3155">
        <v>4.8941530000000002</v>
      </c>
      <c r="E3155">
        <v>0.60065950000000001</v>
      </c>
      <c r="F3155" t="s">
        <v>38</v>
      </c>
      <c r="G3155">
        <v>-498.81450000000001</v>
      </c>
      <c r="H3155" s="1">
        <v>-4.5912820000000003E-6</v>
      </c>
      <c r="I3155">
        <v>235.88390000000001</v>
      </c>
      <c r="J3155">
        <v>-492.87090000000001</v>
      </c>
      <c r="K3155">
        <v>1.103486</v>
      </c>
      <c r="L3155">
        <v>257.93119999999999</v>
      </c>
      <c r="M3155">
        <v>-2.029268E-2</v>
      </c>
      <c r="N3155">
        <v>0</v>
      </c>
      <c r="O3155">
        <v>-0.99970210000000004</v>
      </c>
      <c r="P3155">
        <v>-1.3349949999999999E-2</v>
      </c>
      <c r="Q3155">
        <v>1.348063E-2</v>
      </c>
      <c r="R3155">
        <v>-0.99982019999999905</v>
      </c>
      <c r="S3155">
        <v>-0.80285640000000003</v>
      </c>
      <c r="T3155">
        <v>-0.1489424</v>
      </c>
      <c r="U3155">
        <v>-2.995422</v>
      </c>
      <c r="V3155">
        <v>-6.8422600000000002E-3</v>
      </c>
      <c r="W3155">
        <v>2.7076099999999902E-2</v>
      </c>
      <c r="X3155">
        <v>0.99960990000000005</v>
      </c>
      <c r="Y3155">
        <v>0.2389348</v>
      </c>
      <c r="Z3155">
        <v>4.8081029999999997E-2</v>
      </c>
      <c r="AA3155">
        <v>0.9698445</v>
      </c>
      <c r="AB3155">
        <v>20</v>
      </c>
      <c r="AC3155">
        <v>-5.9436</v>
      </c>
      <c r="AD3155">
        <v>-1.1034905912819899</v>
      </c>
      <c r="AE3155">
        <v>-22.0472999999999</v>
      </c>
      <c r="AF3155">
        <v>5.4821330520718297</v>
      </c>
      <c r="AG3155">
        <v>-1.1034905912819899</v>
      </c>
      <c r="AH3155">
        <v>22.111742521076799</v>
      </c>
      <c r="AI3155">
        <v>92.773163073113807</v>
      </c>
      <c r="AJ3155">
        <v>76.075512782515602</v>
      </c>
      <c r="AK3155">
        <v>22.807907216666301</v>
      </c>
    </row>
    <row r="3156" spans="1:37" x14ac:dyDescent="0.2">
      <c r="A3156" t="str">
        <f>"20200111155601132"</f>
        <v>20200111155601132</v>
      </c>
      <c r="B3156" t="str">
        <f>"1578729361125323"</f>
        <v>1578729361125323</v>
      </c>
      <c r="C3156" t="s">
        <v>37</v>
      </c>
      <c r="D3156">
        <v>4.8403879999999999</v>
      </c>
      <c r="E3156">
        <v>0.60350979999999999</v>
      </c>
      <c r="F3156" t="s">
        <v>38</v>
      </c>
      <c r="G3156">
        <v>-499.55029999999999</v>
      </c>
      <c r="H3156" s="1">
        <v>-4.0515769999999999E-6</v>
      </c>
      <c r="I3156">
        <v>233.9144</v>
      </c>
      <c r="J3156">
        <v>-492.87520000000001</v>
      </c>
      <c r="K3156">
        <v>1.10351</v>
      </c>
      <c r="L3156">
        <v>257.803</v>
      </c>
      <c r="M3156">
        <v>-2.170561E-2</v>
      </c>
      <c r="N3156">
        <v>0</v>
      </c>
      <c r="O3156">
        <v>-0.99967240000000002</v>
      </c>
      <c r="P3156">
        <v>-1.6580319999999999E-2</v>
      </c>
      <c r="Q3156">
        <v>1.515439E-2</v>
      </c>
      <c r="R3156">
        <v>-0.99974779999999996</v>
      </c>
      <c r="S3156">
        <v>-0.83190919999999902</v>
      </c>
      <c r="T3156">
        <v>-0.13743839999999999</v>
      </c>
      <c r="U3156">
        <v>-2.9912570000000001</v>
      </c>
      <c r="V3156">
        <v>-5.0193019999999998E-3</v>
      </c>
      <c r="W3156">
        <v>2.8739609999999999E-2</v>
      </c>
      <c r="X3156">
        <v>0.99957430000000003</v>
      </c>
      <c r="Y3156">
        <v>0.24670410000000001</v>
      </c>
      <c r="Z3156">
        <v>4.4333249999999998E-2</v>
      </c>
      <c r="AA3156">
        <v>0.9680763</v>
      </c>
      <c r="AB3156">
        <v>20</v>
      </c>
      <c r="AC3156">
        <v>-6.67509999999998</v>
      </c>
      <c r="AD3156">
        <v>-1.1035140515770001</v>
      </c>
      <c r="AE3156">
        <v>-23.8886</v>
      </c>
      <c r="AF3156">
        <v>6.14280396757911</v>
      </c>
      <c r="AG3156">
        <v>-1.1035140515770001</v>
      </c>
      <c r="AH3156">
        <v>23.9804056442952</v>
      </c>
      <c r="AI3156">
        <v>92.552441844681098</v>
      </c>
      <c r="AJ3156">
        <v>75.632097838574396</v>
      </c>
      <c r="AK3156">
        <v>24.779258235691401</v>
      </c>
    </row>
    <row r="3157" spans="1:37" x14ac:dyDescent="0.2">
      <c r="A3157" t="str">
        <f>"20200111155601144"</f>
        <v>20200111155601144</v>
      </c>
      <c r="B3157" t="str">
        <f>"1578729361135081"</f>
        <v>1578729361135081</v>
      </c>
      <c r="C3157" t="s">
        <v>37</v>
      </c>
      <c r="D3157">
        <v>4.8920129999999897</v>
      </c>
      <c r="E3157">
        <v>0.60419</v>
      </c>
      <c r="F3157" t="s">
        <v>38</v>
      </c>
      <c r="G3157">
        <v>-499.95780000000002</v>
      </c>
      <c r="H3157">
        <v>2.2379909999999999E-2</v>
      </c>
      <c r="I3157">
        <v>233.32220000000001</v>
      </c>
      <c r="J3157">
        <v>-492.87909999999999</v>
      </c>
      <c r="K3157">
        <v>1.1035379999999999</v>
      </c>
      <c r="L3157">
        <v>257.68979999999999</v>
      </c>
      <c r="M3157">
        <v>-2.2952179999999999E-2</v>
      </c>
      <c r="N3157">
        <v>0</v>
      </c>
      <c r="O3157">
        <v>-0.99964470000000005</v>
      </c>
      <c r="P3157">
        <v>-1.9587710000000001E-2</v>
      </c>
      <c r="Q3157">
        <v>1.6431339999999999E-2</v>
      </c>
      <c r="R3157">
        <v>-0.99967340000000005</v>
      </c>
      <c r="S3157">
        <v>-0.86459349999999902</v>
      </c>
      <c r="T3157">
        <v>-0.13197709999999899</v>
      </c>
      <c r="U3157">
        <v>-2.9884490000000001</v>
      </c>
      <c r="V3157">
        <v>-3.2546739999999999E-3</v>
      </c>
      <c r="W3157">
        <v>3.0006499999999998E-2</v>
      </c>
      <c r="X3157">
        <v>0.9995444</v>
      </c>
      <c r="Y3157">
        <v>0.2555405</v>
      </c>
      <c r="Z3157">
        <v>4.2499870000000002E-2</v>
      </c>
      <c r="AA3157">
        <v>0.96586380000000005</v>
      </c>
      <c r="AB3157">
        <v>20</v>
      </c>
      <c r="AC3157">
        <v>-7.07870000000002</v>
      </c>
      <c r="AD3157">
        <v>-1.08115809</v>
      </c>
      <c r="AE3157">
        <v>-24.3675999999999</v>
      </c>
      <c r="AF3157">
        <v>6.5056836582287803</v>
      </c>
      <c r="AG3157">
        <v>-1.08115809</v>
      </c>
      <c r="AH3157">
        <v>24.4792268791449</v>
      </c>
      <c r="AI3157">
        <v>92.444166797484897</v>
      </c>
      <c r="AJ3157">
        <v>75.116908747511403</v>
      </c>
      <c r="AK3157">
        <v>25.352028938078501</v>
      </c>
    </row>
    <row r="3158" spans="1:37" x14ac:dyDescent="0.2">
      <c r="A3158" t="str">
        <f>"20200111155601161"</f>
        <v>20200111155601161</v>
      </c>
      <c r="B3158" t="str">
        <f>"1578729361155578"</f>
        <v>1578729361155578</v>
      </c>
      <c r="C3158" t="s">
        <v>37</v>
      </c>
      <c r="D3158">
        <v>4.8165129999999996</v>
      </c>
      <c r="E3158">
        <v>0.60460259999999999</v>
      </c>
      <c r="F3158" t="s">
        <v>38</v>
      </c>
      <c r="G3158">
        <v>-499.97410000000002</v>
      </c>
      <c r="H3158">
        <v>6.6306260000000006E-2</v>
      </c>
      <c r="I3158">
        <v>233.58799999999999</v>
      </c>
      <c r="J3158">
        <v>-492.88459999999998</v>
      </c>
      <c r="K3158">
        <v>1.1035790000000001</v>
      </c>
      <c r="L3158">
        <v>257.53519999999997</v>
      </c>
      <c r="M3158">
        <v>-2.464804E-2</v>
      </c>
      <c r="N3158">
        <v>0</v>
      </c>
      <c r="O3158">
        <v>-0.99960450000000001</v>
      </c>
      <c r="P3158">
        <v>-2.483991E-2</v>
      </c>
      <c r="Q3158">
        <v>1.6967820000000002E-2</v>
      </c>
      <c r="R3158">
        <v>-0.99954779999999999</v>
      </c>
      <c r="S3158">
        <v>-0.87896730000000001</v>
      </c>
      <c r="T3158">
        <v>-0.1284981</v>
      </c>
      <c r="U3158">
        <v>-2.9858699999999998</v>
      </c>
      <c r="V3158">
        <v>3.0144040000000002E-4</v>
      </c>
      <c r="W3158">
        <v>3.052697E-2</v>
      </c>
      <c r="X3158">
        <v>0.99953389999999998</v>
      </c>
      <c r="Y3158">
        <v>0.25841979999999998</v>
      </c>
      <c r="Z3158">
        <v>4.1369860000000001E-2</v>
      </c>
      <c r="AA3158">
        <v>0.96514650000000002</v>
      </c>
      <c r="AB3158">
        <v>20</v>
      </c>
      <c r="AC3158">
        <v>-7.0895000000000401</v>
      </c>
      <c r="AD3158">
        <v>-1.0372727399999999</v>
      </c>
      <c r="AE3158">
        <v>-23.947199999999899</v>
      </c>
      <c r="AF3158">
        <v>6.4858519872526204</v>
      </c>
      <c r="AG3158">
        <v>-1.0372727399999999</v>
      </c>
      <c r="AH3158">
        <v>24.073155335487701</v>
      </c>
      <c r="AI3158">
        <v>92.382405096245193</v>
      </c>
      <c r="AJ3158">
        <v>74.921264338687294</v>
      </c>
      <c r="AK3158">
        <v>24.953136447032399</v>
      </c>
    </row>
    <row r="3159" spans="1:37" x14ac:dyDescent="0.2">
      <c r="A3159" t="str">
        <f>"20200111155601174"</f>
        <v>20200111155601174</v>
      </c>
      <c r="B3159" t="str">
        <f>"1578729361165338"</f>
        <v>1578729361165338</v>
      </c>
      <c r="C3159" t="s">
        <v>37</v>
      </c>
      <c r="D3159">
        <v>4.7874019999999904</v>
      </c>
      <c r="E3159">
        <v>0.60459659999999904</v>
      </c>
      <c r="F3159" t="s">
        <v>38</v>
      </c>
      <c r="G3159">
        <v>-500.01069999999999</v>
      </c>
      <c r="H3159">
        <v>7.9985559999999997E-2</v>
      </c>
      <c r="I3159">
        <v>233.87289999999999</v>
      </c>
      <c r="J3159">
        <v>-492.88869999999997</v>
      </c>
      <c r="K3159">
        <v>1.1036170000000001</v>
      </c>
      <c r="L3159">
        <v>257.42509999999999</v>
      </c>
      <c r="M3159">
        <v>-2.5840789999999999E-2</v>
      </c>
      <c r="N3159">
        <v>0</v>
      </c>
      <c r="O3159">
        <v>-0.99957430000000003</v>
      </c>
      <c r="P3159">
        <v>-2.772109E-2</v>
      </c>
      <c r="Q3159">
        <v>1.6845289999999999E-2</v>
      </c>
      <c r="R3159">
        <v>-0.99947419999999998</v>
      </c>
      <c r="S3159">
        <v>-0.89782709999999999</v>
      </c>
      <c r="T3159">
        <v>-0.12896440000000001</v>
      </c>
      <c r="U3159">
        <v>-2.9812620000000001</v>
      </c>
      <c r="V3159">
        <v>1.9871049999999999E-3</v>
      </c>
      <c r="W3159">
        <v>3.03959E-2</v>
      </c>
      <c r="X3159">
        <v>0.99953599999999998</v>
      </c>
      <c r="Y3159">
        <v>0.26327390000000001</v>
      </c>
      <c r="Z3159">
        <v>4.1514820000000001E-2</v>
      </c>
      <c r="AA3159">
        <v>0.96382749999999995</v>
      </c>
      <c r="AB3159">
        <v>20</v>
      </c>
      <c r="AC3159">
        <v>-7.1220000000000097</v>
      </c>
      <c r="AD3159">
        <v>-1.0236314399999999</v>
      </c>
      <c r="AE3159">
        <v>-23.552199999999999</v>
      </c>
      <c r="AF3159">
        <v>6.4997089245941</v>
      </c>
      <c r="AG3159">
        <v>-1.0236314399999999</v>
      </c>
      <c r="AH3159">
        <v>23.687392806706001</v>
      </c>
      <c r="AI3159">
        <v>92.386351416135895</v>
      </c>
      <c r="AJ3159">
        <v>74.655965287521695</v>
      </c>
      <c r="AK3159">
        <v>24.584275775556002</v>
      </c>
    </row>
    <row r="3160" spans="1:37" x14ac:dyDescent="0.2">
      <c r="A3160" t="str">
        <f>"20200111155601185"</f>
        <v>20200111155601185</v>
      </c>
      <c r="B3160" t="str">
        <f>"1578729361175098"</f>
        <v>1578729361175098</v>
      </c>
      <c r="C3160" t="s">
        <v>37</v>
      </c>
      <c r="D3160">
        <v>4.7923669999999996</v>
      </c>
      <c r="E3160">
        <v>0.60449249999999999</v>
      </c>
      <c r="F3160" t="s">
        <v>38</v>
      </c>
      <c r="G3160">
        <v>-499.98759999999999</v>
      </c>
      <c r="H3160">
        <v>7.9799679999999998E-2</v>
      </c>
      <c r="I3160">
        <v>234.09350000000001</v>
      </c>
      <c r="J3160">
        <v>-492.89269999999999</v>
      </c>
      <c r="K3160">
        <v>1.103653</v>
      </c>
      <c r="L3160">
        <v>257.32339999999999</v>
      </c>
      <c r="M3160">
        <v>-2.692831E-2</v>
      </c>
      <c r="N3160">
        <v>0</v>
      </c>
      <c r="O3160">
        <v>-0.99954560000000003</v>
      </c>
      <c r="P3160">
        <v>-3.0480230000000001E-2</v>
      </c>
      <c r="Q3160">
        <v>1.6558529999999998E-2</v>
      </c>
      <c r="R3160">
        <v>-0.99939840000000002</v>
      </c>
      <c r="S3160">
        <v>-0.90628050000000004</v>
      </c>
      <c r="T3160">
        <v>-0.13070670000000001</v>
      </c>
      <c r="U3160">
        <v>-2.978653</v>
      </c>
      <c r="V3160">
        <v>3.6556129999999998E-3</v>
      </c>
      <c r="W3160">
        <v>3.0098960000000001E-2</v>
      </c>
      <c r="X3160">
        <v>0.99954019999999999</v>
      </c>
      <c r="Y3160">
        <v>0.26495580000000002</v>
      </c>
      <c r="Z3160">
        <v>4.2081279999999999E-2</v>
      </c>
      <c r="AA3160">
        <v>0.96334189999999997</v>
      </c>
      <c r="AB3160">
        <v>20</v>
      </c>
      <c r="AC3160">
        <v>-7.0948999999999902</v>
      </c>
      <c r="AD3160">
        <v>-1.02385332</v>
      </c>
      <c r="AE3160">
        <v>-23.229899999999901</v>
      </c>
      <c r="AF3160">
        <v>6.45525738093089</v>
      </c>
      <c r="AG3160">
        <v>-1.02385332</v>
      </c>
      <c r="AH3160">
        <v>23.371019138518701</v>
      </c>
      <c r="AI3160">
        <v>92.418020523550496</v>
      </c>
      <c r="AJ3160">
        <v>74.559433145588002</v>
      </c>
      <c r="AK3160">
        <v>24.267739059252001</v>
      </c>
    </row>
    <row r="3161" spans="1:37" x14ac:dyDescent="0.2">
      <c r="A3161" t="str">
        <f>"20200111155601198"</f>
        <v>20200111155601198</v>
      </c>
      <c r="B3161" t="str">
        <f>"1578729361195593"</f>
        <v>1578729361195593</v>
      </c>
      <c r="C3161" t="s">
        <v>37</v>
      </c>
      <c r="D3161">
        <v>4.7522060000000002</v>
      </c>
      <c r="E3161">
        <v>0.60406749999999998</v>
      </c>
      <c r="F3161" t="s">
        <v>38</v>
      </c>
      <c r="G3161">
        <v>-499.9855</v>
      </c>
      <c r="H3161">
        <v>7.7746109999999993E-2</v>
      </c>
      <c r="I3161">
        <v>234.21379999999999</v>
      </c>
      <c r="J3161">
        <v>-492.8972</v>
      </c>
      <c r="K3161">
        <v>1.1036979999999901</v>
      </c>
      <c r="L3161">
        <v>257.209</v>
      </c>
      <c r="M3161">
        <v>-2.8140829999999999E-2</v>
      </c>
      <c r="N3161">
        <v>0</v>
      </c>
      <c r="O3161">
        <v>-0.99951229999999902</v>
      </c>
      <c r="P3161">
        <v>-3.2712230000000002E-2</v>
      </c>
      <c r="Q3161">
        <v>1.65013E-2</v>
      </c>
      <c r="R3161">
        <v>-0.99932889999999996</v>
      </c>
      <c r="S3161">
        <v>-0.91345209999999999</v>
      </c>
      <c r="T3161">
        <v>-0.1321213</v>
      </c>
      <c r="U3161">
        <v>-2.9761660000000001</v>
      </c>
      <c r="V3161">
        <v>4.6722949999999999E-3</v>
      </c>
      <c r="W3161">
        <v>3.0031760000000001E-2</v>
      </c>
      <c r="X3161">
        <v>0.99953799999999904</v>
      </c>
      <c r="Y3161">
        <v>0.26612720000000001</v>
      </c>
      <c r="Z3161">
        <v>4.2546029999999999E-2</v>
      </c>
      <c r="AA3161">
        <v>0.96299849999999998</v>
      </c>
      <c r="AB3161">
        <v>20</v>
      </c>
      <c r="AC3161">
        <v>-7.0883000000000003</v>
      </c>
      <c r="AD3161">
        <v>-1.02595188999999</v>
      </c>
      <c r="AE3161">
        <v>-22.995200000000001</v>
      </c>
      <c r="AF3161">
        <v>6.4266463016878204</v>
      </c>
      <c r="AG3161">
        <v>-1.02595188999999</v>
      </c>
      <c r="AH3161">
        <v>23.1435090053876</v>
      </c>
      <c r="AI3161">
        <v>92.445831274098495</v>
      </c>
      <c r="AJ3161">
        <v>74.480729865989105</v>
      </c>
      <c r="AK3161">
        <v>24.041139096350001</v>
      </c>
    </row>
    <row r="3162" spans="1:37" x14ac:dyDescent="0.2">
      <c r="A3162" t="str">
        <f>"20200111155601211"</f>
        <v>20200111155601211</v>
      </c>
      <c r="B3162" t="str">
        <f>"1578729361205354"</f>
        <v>1578729361205354</v>
      </c>
      <c r="C3162" t="s">
        <v>37</v>
      </c>
      <c r="D3162">
        <v>4.731033</v>
      </c>
      <c r="E3162">
        <v>0.60386139999999999</v>
      </c>
      <c r="F3162" t="s">
        <v>38</v>
      </c>
      <c r="G3162">
        <v>-499.9665</v>
      </c>
      <c r="H3162">
        <v>5.8692849999999998E-2</v>
      </c>
      <c r="I3162">
        <v>234.2791</v>
      </c>
      <c r="J3162">
        <v>-492.90219999999999</v>
      </c>
      <c r="K3162">
        <v>1.103739</v>
      </c>
      <c r="L3162">
        <v>257.08600000000001</v>
      </c>
      <c r="M3162">
        <v>-2.9414389999999999E-2</v>
      </c>
      <c r="N3162">
        <v>0</v>
      </c>
      <c r="O3162">
        <v>-0.99947600000000003</v>
      </c>
      <c r="P3162">
        <v>-3.4850770000000003E-2</v>
      </c>
      <c r="Q3162">
        <v>1.671218E-2</v>
      </c>
      <c r="R3162">
        <v>-0.99925319999999995</v>
      </c>
      <c r="S3162">
        <v>-0.91696169999999999</v>
      </c>
      <c r="T3162">
        <v>-0.1355479</v>
      </c>
      <c r="U3162">
        <v>-2.974243</v>
      </c>
      <c r="V3162">
        <v>5.5353659999999999E-3</v>
      </c>
      <c r="W3162">
        <v>3.021478E-2</v>
      </c>
      <c r="X3162">
        <v>0.99952809999999903</v>
      </c>
      <c r="Y3162">
        <v>0.26609749999999999</v>
      </c>
      <c r="Z3162">
        <v>4.3664590000000003E-2</v>
      </c>
      <c r="AA3162">
        <v>0.962956699999999</v>
      </c>
      <c r="AB3162">
        <v>20</v>
      </c>
      <c r="AC3162">
        <v>-7.0643000000000002</v>
      </c>
      <c r="AD3162">
        <v>-1.0450461499999999</v>
      </c>
      <c r="AE3162">
        <v>-22.806899999999999</v>
      </c>
      <c r="AF3162">
        <v>6.3781112485848803</v>
      </c>
      <c r="AG3162">
        <v>-1.0450461499999999</v>
      </c>
      <c r="AH3162">
        <v>22.960852270039599</v>
      </c>
      <c r="AI3162">
        <v>92.511026202018101</v>
      </c>
      <c r="AJ3162">
        <v>74.475664919157794</v>
      </c>
      <c r="AK3162">
        <v>23.853158313345801</v>
      </c>
    </row>
    <row r="3163" spans="1:37" x14ac:dyDescent="0.2">
      <c r="A3163" t="str">
        <f>"20200111155601224"</f>
        <v>20200111155601224</v>
      </c>
      <c r="B3163" t="str">
        <f>"1578729361215621"</f>
        <v>1578729361215621</v>
      </c>
      <c r="C3163" t="s">
        <v>37</v>
      </c>
      <c r="D3163">
        <v>4.7350659999999998</v>
      </c>
      <c r="E3163">
        <v>0.60356350000000003</v>
      </c>
      <c r="F3163" t="s">
        <v>38</v>
      </c>
      <c r="G3163">
        <v>-499.97019999999998</v>
      </c>
      <c r="H3163">
        <v>6.2444239999999998E-2</v>
      </c>
      <c r="I3163">
        <v>234.29069999999999</v>
      </c>
      <c r="J3163">
        <v>-492.90690000000001</v>
      </c>
      <c r="K3163">
        <v>1.1037709999999901</v>
      </c>
      <c r="L3163">
        <v>256.97269999999997</v>
      </c>
      <c r="M3163">
        <v>-3.057298E-2</v>
      </c>
      <c r="N3163">
        <v>0</v>
      </c>
      <c r="O3163">
        <v>-0.99944159999999904</v>
      </c>
      <c r="P3163">
        <v>-3.6605029999999997E-2</v>
      </c>
      <c r="Q3163">
        <v>1.6895790000000001E-2</v>
      </c>
      <c r="R3163">
        <v>-0.999187099999999</v>
      </c>
      <c r="S3163">
        <v>-0.92163090000000003</v>
      </c>
      <c r="T3163">
        <v>-0.13577839999999999</v>
      </c>
      <c r="U3163">
        <v>-2.9723660000000001</v>
      </c>
      <c r="V3163">
        <v>6.129364E-3</v>
      </c>
      <c r="W3163">
        <v>3.0360149999999999E-2</v>
      </c>
      <c r="X3163">
        <v>0.99952019999999997</v>
      </c>
      <c r="Y3163">
        <v>0.26653080000000001</v>
      </c>
      <c r="Z3163">
        <v>4.3750150000000002E-2</v>
      </c>
      <c r="AA3163">
        <v>0.96283289999999999</v>
      </c>
      <c r="AB3163">
        <v>20</v>
      </c>
      <c r="AC3163">
        <v>-7.0632999999999697</v>
      </c>
      <c r="AD3163">
        <v>-1.04132675999999</v>
      </c>
      <c r="AE3163">
        <v>-22.681999999999899</v>
      </c>
      <c r="AF3163">
        <v>6.3542691778133999</v>
      </c>
      <c r="AG3163">
        <v>-1.04132675999999</v>
      </c>
      <c r="AH3163">
        <v>22.843469651724501</v>
      </c>
      <c r="AI3163">
        <v>92.514692746310601</v>
      </c>
      <c r="AJ3163">
        <v>74.455258180718005</v>
      </c>
      <c r="AK3163">
        <v>23.7336302308446</v>
      </c>
    </row>
    <row r="3164" spans="1:37" x14ac:dyDescent="0.2">
      <c r="A3164" t="str">
        <f>"20200111155601240"</f>
        <v>20200111155601240</v>
      </c>
      <c r="B3164" t="str">
        <f>"1578729361235141"</f>
        <v>1578729361235141</v>
      </c>
      <c r="C3164" t="s">
        <v>37</v>
      </c>
      <c r="D3164">
        <v>4.7497629999999997</v>
      </c>
      <c r="E3164">
        <v>0.60293839999999999</v>
      </c>
      <c r="F3164" t="s">
        <v>38</v>
      </c>
      <c r="G3164">
        <v>-499.96980000000002</v>
      </c>
      <c r="H3164">
        <v>6.2083329999999999E-2</v>
      </c>
      <c r="I3164">
        <v>234.27119999999999</v>
      </c>
      <c r="J3164">
        <v>-492.9128</v>
      </c>
      <c r="K3164">
        <v>1.1038049999999999</v>
      </c>
      <c r="L3164">
        <v>256.83539999999999</v>
      </c>
      <c r="M3164">
        <v>-3.1956350000000001E-2</v>
      </c>
      <c r="N3164">
        <v>0</v>
      </c>
      <c r="O3164">
        <v>-0.99939909999999998</v>
      </c>
      <c r="P3164">
        <v>-3.8548150000000003E-2</v>
      </c>
      <c r="Q3164">
        <v>1.716616E-2</v>
      </c>
      <c r="R3164">
        <v>-0.99910929999999998</v>
      </c>
      <c r="S3164">
        <v>-0.92431640000000004</v>
      </c>
      <c r="T3164">
        <v>-0.136323</v>
      </c>
      <c r="U3164">
        <v>-2.9708860000000001</v>
      </c>
      <c r="V3164">
        <v>6.6874259999999998E-3</v>
      </c>
      <c r="W3164">
        <v>3.0564620000000001E-2</v>
      </c>
      <c r="X3164">
        <v>0.99951039999999902</v>
      </c>
      <c r="Y3164">
        <v>0.26612379999999902</v>
      </c>
      <c r="Z3164">
        <v>4.394E-2</v>
      </c>
      <c r="AA3164">
        <v>0.96293689999999998</v>
      </c>
      <c r="AB3164">
        <v>20</v>
      </c>
      <c r="AC3164">
        <v>-7.0570000000000102</v>
      </c>
      <c r="AD3164">
        <v>-1.0417216699999901</v>
      </c>
      <c r="AE3164">
        <v>-22.5642</v>
      </c>
      <c r="AF3164">
        <v>6.3199904469207704</v>
      </c>
      <c r="AG3164">
        <v>-1.0417216699999901</v>
      </c>
      <c r="AH3164">
        <v>22.734071954005302</v>
      </c>
      <c r="AI3164">
        <v>92.527845253160294</v>
      </c>
      <c r="AJ3164">
        <v>74.464260145692904</v>
      </c>
      <c r="AK3164">
        <v>23.6191763382385</v>
      </c>
    </row>
    <row r="3165" spans="1:37" x14ac:dyDescent="0.2">
      <c r="A3165" t="str">
        <f>"20200111155601253"</f>
        <v>20200111155601253</v>
      </c>
      <c r="B3165" t="str">
        <f>"1578729361245877"</f>
        <v>1578729361245877</v>
      </c>
      <c r="C3165" t="s">
        <v>37</v>
      </c>
      <c r="D3165">
        <v>4.7136079999999998</v>
      </c>
      <c r="E3165">
        <v>0.60266319999999995</v>
      </c>
      <c r="F3165" t="s">
        <v>38</v>
      </c>
      <c r="G3165">
        <v>-499.96879999999999</v>
      </c>
      <c r="H3165">
        <v>6.1039139999999999E-2</v>
      </c>
      <c r="I3165">
        <v>234.19130000000001</v>
      </c>
      <c r="J3165">
        <v>-492.91820000000001</v>
      </c>
      <c r="K3165">
        <v>1.1038219999999901</v>
      </c>
      <c r="L3165">
        <v>256.71140000000003</v>
      </c>
      <c r="M3165">
        <v>-3.3179069999999998E-2</v>
      </c>
      <c r="N3165">
        <v>0</v>
      </c>
      <c r="O3165">
        <v>-0.99936039999999904</v>
      </c>
      <c r="P3165">
        <v>-3.958561E-2</v>
      </c>
      <c r="Q3165">
        <v>1.7361359999999999E-2</v>
      </c>
      <c r="R3165">
        <v>-0.99906569999999995</v>
      </c>
      <c r="S3165">
        <v>-0.92526249999999999</v>
      </c>
      <c r="T3165">
        <v>-0.136738</v>
      </c>
      <c r="U3165">
        <v>-2.9693299999999998</v>
      </c>
      <c r="V3165">
        <v>6.5002439999999996E-3</v>
      </c>
      <c r="W3165">
        <v>3.0679479999999999E-2</v>
      </c>
      <c r="X3165">
        <v>0.99950810000000001</v>
      </c>
      <c r="Y3165">
        <v>0.26536539999999997</v>
      </c>
      <c r="Z3165">
        <v>4.4095509999999997E-2</v>
      </c>
      <c r="AA3165">
        <v>0.96313909999999903</v>
      </c>
      <c r="AB3165">
        <v>20</v>
      </c>
      <c r="AC3165">
        <v>-7.05059999999997</v>
      </c>
      <c r="AD3165">
        <v>-1.04278285999999</v>
      </c>
      <c r="AE3165">
        <v>-22.520099999999999</v>
      </c>
      <c r="AF3165">
        <v>6.2871779312259299</v>
      </c>
      <c r="AG3165">
        <v>-1.04278285999999</v>
      </c>
      <c r="AH3165">
        <v>22.697330666825199</v>
      </c>
      <c r="AI3165">
        <v>92.535157197027999</v>
      </c>
      <c r="AJ3165">
        <v>74.517227815605494</v>
      </c>
      <c r="AK3165">
        <v>23.5750890100379</v>
      </c>
    </row>
    <row r="3166" spans="1:37" x14ac:dyDescent="0.2">
      <c r="A3166" t="str">
        <f>"20200111155601268"</f>
        <v>20200111155601268</v>
      </c>
      <c r="B3166" t="str">
        <f>"1578729361265397"</f>
        <v>1578729361265397</v>
      </c>
      <c r="C3166" t="s">
        <v>37</v>
      </c>
      <c r="D3166">
        <v>4.7172359999999998</v>
      </c>
      <c r="E3166">
        <v>0.60207599999999994</v>
      </c>
      <c r="F3166" t="s">
        <v>38</v>
      </c>
      <c r="G3166">
        <v>-499.97</v>
      </c>
      <c r="H3166">
        <v>6.219185E-2</v>
      </c>
      <c r="I3166">
        <v>234.12110000000001</v>
      </c>
      <c r="J3166">
        <v>-492.9237</v>
      </c>
      <c r="K3166">
        <v>1.1038399999999999</v>
      </c>
      <c r="L3166">
        <v>256.58850000000001</v>
      </c>
      <c r="M3166">
        <v>-3.4372180000000002E-2</v>
      </c>
      <c r="N3166">
        <v>0</v>
      </c>
      <c r="O3166">
        <v>-0.99932129999999997</v>
      </c>
      <c r="P3166">
        <v>-4.0531520000000001E-2</v>
      </c>
      <c r="Q3166">
        <v>1.7332409999999999E-2</v>
      </c>
      <c r="R3166">
        <v>-0.99902809999999898</v>
      </c>
      <c r="S3166">
        <v>-0.92663569999999995</v>
      </c>
      <c r="T3166">
        <v>-0.13687489999999999</v>
      </c>
      <c r="U3166">
        <v>-2.9684750000000002</v>
      </c>
      <c r="V3166">
        <v>6.2504409999999998E-3</v>
      </c>
      <c r="W3166">
        <v>3.056319E-2</v>
      </c>
      <c r="X3166">
        <v>0.99951329999999905</v>
      </c>
      <c r="Y3166">
        <v>0.2646984</v>
      </c>
      <c r="Z3166">
        <v>4.4150120000000001E-2</v>
      </c>
      <c r="AA3166">
        <v>0.96331999999999995</v>
      </c>
      <c r="AB3166">
        <v>20</v>
      </c>
      <c r="AC3166">
        <v>-7.0463000000000298</v>
      </c>
      <c r="AD3166">
        <v>-1.0416481500000001</v>
      </c>
      <c r="AE3166">
        <v>-22.467400000000001</v>
      </c>
      <c r="AF3166">
        <v>6.2575682445104697</v>
      </c>
      <c r="AG3166">
        <v>-1.0416481500000001</v>
      </c>
      <c r="AH3166">
        <v>22.652009580371601</v>
      </c>
      <c r="AI3166">
        <v>92.537952589170303</v>
      </c>
      <c r="AJ3166">
        <v>74.557301863131997</v>
      </c>
      <c r="AK3166">
        <v>23.5235143894859</v>
      </c>
    </row>
    <row r="3167" spans="1:37" x14ac:dyDescent="0.2">
      <c r="A3167" t="str">
        <f>"20200111155601284"</f>
        <v>20200111155601284</v>
      </c>
      <c r="B3167" t="str">
        <f>"1578729361275156"</f>
        <v>1578729361275156</v>
      </c>
      <c r="C3167" t="s">
        <v>37</v>
      </c>
      <c r="D3167">
        <v>4.7428589999999904</v>
      </c>
      <c r="E3167">
        <v>0.60207599999999994</v>
      </c>
      <c r="F3167" t="s">
        <v>38</v>
      </c>
      <c r="G3167">
        <v>-499.95780000000002</v>
      </c>
      <c r="H3167">
        <v>4.0116989999999998E-2</v>
      </c>
      <c r="I3167">
        <v>234.0077</v>
      </c>
      <c r="J3167">
        <v>-492.93060000000003</v>
      </c>
      <c r="K3167">
        <v>1.1038569999999901</v>
      </c>
      <c r="L3167">
        <v>256.4393</v>
      </c>
      <c r="M3167">
        <v>-3.5800129999999999E-2</v>
      </c>
      <c r="N3167">
        <v>0</v>
      </c>
      <c r="O3167">
        <v>-0.99927279999999996</v>
      </c>
      <c r="P3167">
        <v>-4.0631069999999998E-2</v>
      </c>
      <c r="Q3167">
        <v>1.7559709999999999E-2</v>
      </c>
      <c r="R3167">
        <v>-0.99902000000000002</v>
      </c>
      <c r="S3167">
        <v>-0.92449950000000003</v>
      </c>
      <c r="T3167">
        <v>-0.1398073</v>
      </c>
      <c r="U3167">
        <v>-2.9678339999999999</v>
      </c>
      <c r="V3167">
        <v>4.9189079999999996E-3</v>
      </c>
      <c r="W3167">
        <v>3.0674239999999998E-2</v>
      </c>
      <c r="X3167">
        <v>0.99951730000000005</v>
      </c>
      <c r="Y3167">
        <v>0.26273439999999998</v>
      </c>
      <c r="Z3167">
        <v>4.511689E-2</v>
      </c>
      <c r="AA3167">
        <v>0.96381280000000003</v>
      </c>
      <c r="AB3167">
        <v>20</v>
      </c>
      <c r="AC3167">
        <v>-7.0271999999999899</v>
      </c>
      <c r="AD3167">
        <v>-1.0637400099999901</v>
      </c>
      <c r="AE3167">
        <v>-22.4316</v>
      </c>
      <c r="AF3167">
        <v>6.2068606527047301</v>
      </c>
      <c r="AG3167">
        <v>-1.0637400099999901</v>
      </c>
      <c r="AH3167">
        <v>22.622487623919</v>
      </c>
      <c r="AI3167">
        <v>92.596331556132597</v>
      </c>
      <c r="AJ3167">
        <v>74.657480518253493</v>
      </c>
      <c r="AK3167">
        <v>23.482623538807101</v>
      </c>
    </row>
    <row r="3168" spans="1:37" x14ac:dyDescent="0.2">
      <c r="A3168" t="str">
        <f>"20200111155601299"</f>
        <v>20200111155601299</v>
      </c>
      <c r="B3168" t="str">
        <f>"1578729361295653"</f>
        <v>1578729361295653</v>
      </c>
      <c r="C3168" t="s">
        <v>37</v>
      </c>
      <c r="D3168">
        <v>4.9232639999999996</v>
      </c>
      <c r="E3168">
        <v>0.59962139999999997</v>
      </c>
      <c r="F3168" t="s">
        <v>38</v>
      </c>
      <c r="G3168">
        <v>-499.9615</v>
      </c>
      <c r="H3168">
        <v>5.3728829999999998E-2</v>
      </c>
      <c r="I3168">
        <v>233.87870000000001</v>
      </c>
      <c r="J3168">
        <v>-492.9366</v>
      </c>
      <c r="K3168">
        <v>1.103872</v>
      </c>
      <c r="L3168">
        <v>256.3109</v>
      </c>
      <c r="M3168">
        <v>-3.7009090000000001E-2</v>
      </c>
      <c r="N3168">
        <v>0</v>
      </c>
      <c r="O3168">
        <v>-0.99923039999999996</v>
      </c>
      <c r="P3168">
        <v>-4.1000109999999999E-2</v>
      </c>
      <c r="Q3168">
        <v>1.7828569999999998E-2</v>
      </c>
      <c r="R3168">
        <v>-0.99900029999999995</v>
      </c>
      <c r="S3168">
        <v>-0.92489619999999995</v>
      </c>
      <c r="T3168">
        <v>-0.1381415</v>
      </c>
      <c r="U3168">
        <v>-2.9677889999999998</v>
      </c>
      <c r="V3168">
        <v>4.0766589999999998E-3</v>
      </c>
      <c r="W3168">
        <v>3.0830090000000001E-2</v>
      </c>
      <c r="X3168">
        <v>0.99951630000000002</v>
      </c>
      <c r="Y3168">
        <v>0.26169589999999998</v>
      </c>
      <c r="Z3168">
        <v>4.4583669999999999E-2</v>
      </c>
      <c r="AA3168">
        <v>0.96412009999999904</v>
      </c>
      <c r="AB3168">
        <v>20</v>
      </c>
      <c r="AC3168">
        <v>-7.0248999999999997</v>
      </c>
      <c r="AD3168">
        <v>-1.0501431699999999</v>
      </c>
      <c r="AE3168">
        <v>-22.432199999999899</v>
      </c>
      <c r="AF3168">
        <v>6.1774919742431296</v>
      </c>
      <c r="AG3168">
        <v>-1.0501431699999999</v>
      </c>
      <c r="AH3168">
        <v>22.631667942924299</v>
      </c>
      <c r="AI3168">
        <v>92.563069193847994</v>
      </c>
      <c r="AJ3168">
        <v>74.732584229823502</v>
      </c>
      <c r="AK3168">
        <v>23.483113116623201</v>
      </c>
    </row>
    <row r="3169" spans="1:37" x14ac:dyDescent="0.2">
      <c r="A3169" t="str">
        <f>"20200111155601329"</f>
        <v>20200111155601329</v>
      </c>
      <c r="B3169" t="str">
        <f>"1578729361325439"</f>
        <v>1578729361325439</v>
      </c>
      <c r="C3169" t="s">
        <v>37</v>
      </c>
      <c r="D3169">
        <v>4.8112699999999897</v>
      </c>
      <c r="E3169">
        <v>0.53617809999999999</v>
      </c>
      <c r="F3169" t="s">
        <v>38</v>
      </c>
      <c r="G3169">
        <v>-499.84660000000002</v>
      </c>
      <c r="H3169" s="1">
        <v>-4.0206570000000002E-6</v>
      </c>
      <c r="I3169">
        <v>233.66909999999999</v>
      </c>
      <c r="J3169">
        <v>-492.9495</v>
      </c>
      <c r="K3169">
        <v>1.1038950000000001</v>
      </c>
      <c r="L3169">
        <v>256.04629999999997</v>
      </c>
      <c r="M3169">
        <v>-3.9429079999999998E-2</v>
      </c>
      <c r="N3169">
        <v>0</v>
      </c>
      <c r="O3169">
        <v>-0.99914150000000002</v>
      </c>
      <c r="P3169">
        <v>-4.1159840000000003E-2</v>
      </c>
      <c r="Q3169">
        <v>1.9137169999999998E-2</v>
      </c>
      <c r="R3169">
        <v>-0.99896949999999995</v>
      </c>
      <c r="S3169">
        <v>-0.90591429999999995</v>
      </c>
      <c r="T3169">
        <v>-0.14471970000000001</v>
      </c>
      <c r="U3169">
        <v>-2.968369</v>
      </c>
      <c r="V3169">
        <v>1.8131389999999901E-3</v>
      </c>
      <c r="W3169">
        <v>3.1851450000000003E-2</v>
      </c>
      <c r="X3169">
        <v>0.99949100000000002</v>
      </c>
      <c r="Y3169">
        <v>0.253637</v>
      </c>
      <c r="Z3169">
        <v>4.6780820000000001E-2</v>
      </c>
      <c r="AA3169">
        <v>0.96616759999999902</v>
      </c>
      <c r="AB3169">
        <v>20</v>
      </c>
      <c r="AC3169">
        <v>-6.8971000000000204</v>
      </c>
      <c r="AD3169">
        <v>-1.1038990206570001</v>
      </c>
      <c r="AE3169">
        <v>-22.377199999999899</v>
      </c>
      <c r="AF3169">
        <v>5.99602613067895</v>
      </c>
      <c r="AG3169">
        <v>-1.1038990206570001</v>
      </c>
      <c r="AH3169">
        <v>22.5815777481411</v>
      </c>
      <c r="AI3169">
        <v>92.705082674224201</v>
      </c>
      <c r="AJ3169">
        <v>75.129545186687693</v>
      </c>
      <c r="AK3169">
        <v>23.390138434881798</v>
      </c>
    </row>
    <row r="3170" spans="1:37" x14ac:dyDescent="0.2">
      <c r="A3170" t="str">
        <f>"20200111155601342"</f>
        <v>20200111155601342</v>
      </c>
      <c r="B3170" t="str">
        <f>"1578729361335200"</f>
        <v>1578729361335200</v>
      </c>
      <c r="C3170" t="s">
        <v>37</v>
      </c>
      <c r="D3170">
        <v>4.6858570000000004</v>
      </c>
      <c r="E3170">
        <v>0.53553629999999997</v>
      </c>
      <c r="F3170" t="s">
        <v>40</v>
      </c>
      <c r="G3170">
        <v>-493.05709999999999</v>
      </c>
      <c r="H3170">
        <v>1.0477160000000001</v>
      </c>
      <c r="I3170">
        <v>255.23570000000001</v>
      </c>
      <c r="J3170">
        <v>-492.95530000000002</v>
      </c>
      <c r="K3170">
        <v>1.1039060000000001</v>
      </c>
      <c r="L3170">
        <v>255.92930000000001</v>
      </c>
      <c r="M3170">
        <v>-4.0470640000000002E-2</v>
      </c>
      <c r="N3170">
        <v>0</v>
      </c>
      <c r="O3170">
        <v>-0.99910180000000004</v>
      </c>
      <c r="P3170">
        <v>-4.1440869999999998E-2</v>
      </c>
      <c r="Q3170">
        <v>1.9854340000000002E-2</v>
      </c>
      <c r="R3170">
        <v>-0.99894380000000005</v>
      </c>
      <c r="S3170">
        <v>-0.395874</v>
      </c>
      <c r="T3170">
        <v>-0.20724519999999999</v>
      </c>
      <c r="U3170">
        <v>-2.99075299999999</v>
      </c>
      <c r="V3170">
        <v>1.0515850000000001E-3</v>
      </c>
      <c r="W3170">
        <v>3.2426219999999999E-2</v>
      </c>
      <c r="X3170">
        <v>0.99947359999999896</v>
      </c>
      <c r="Y3170">
        <v>9.0680830000000004E-2</v>
      </c>
      <c r="Z3170">
        <v>6.8604780000000004E-2</v>
      </c>
      <c r="AA3170">
        <v>0.99351420000000001</v>
      </c>
      <c r="AB3170">
        <v>20</v>
      </c>
      <c r="AC3170">
        <v>-0.101799999999968</v>
      </c>
      <c r="AD3170">
        <v>-5.61899999999999E-2</v>
      </c>
      <c r="AE3170">
        <v>-0.69360000000000299</v>
      </c>
      <c r="AF3170">
        <v>7.31738250172769E-2</v>
      </c>
      <c r="AG3170">
        <v>-5.61899999999999E-2</v>
      </c>
      <c r="AH3170">
        <v>0.69270159172447199</v>
      </c>
      <c r="AI3170">
        <v>94.611969140977095</v>
      </c>
      <c r="AJ3170">
        <v>83.969899438621795</v>
      </c>
      <c r="AK3170">
        <v>0.69881844562466799</v>
      </c>
    </row>
    <row r="3171" spans="1:37" x14ac:dyDescent="0.2">
      <c r="A3171" t="str">
        <f>"20200111155601353"</f>
        <v>20200111155601353</v>
      </c>
      <c r="B3171" t="str">
        <f>"1578729361345936"</f>
        <v>1578729361345936</v>
      </c>
      <c r="C3171" t="s">
        <v>37</v>
      </c>
      <c r="D3171">
        <v>4.7538140000000002</v>
      </c>
      <c r="E3171">
        <v>0.53500259999999999</v>
      </c>
      <c r="F3171" t="s">
        <v>40</v>
      </c>
      <c r="G3171">
        <v>-493.06880000000001</v>
      </c>
      <c r="H3171">
        <v>1.04244</v>
      </c>
      <c r="I3171">
        <v>255.06120000000001</v>
      </c>
      <c r="J3171">
        <v>-492.96080000000001</v>
      </c>
      <c r="K3171">
        <v>1.103917</v>
      </c>
      <c r="L3171">
        <v>255.821</v>
      </c>
      <c r="M3171">
        <v>-4.1407989999999999E-2</v>
      </c>
      <c r="N3171">
        <v>0</v>
      </c>
      <c r="O3171">
        <v>-0.99906519999999999</v>
      </c>
      <c r="P3171">
        <v>-4.1981129999999998E-2</v>
      </c>
      <c r="Q3171">
        <v>2.048581E-2</v>
      </c>
      <c r="R3171">
        <v>-0.99890849999999898</v>
      </c>
      <c r="S3171">
        <v>-0.39163209999999998</v>
      </c>
      <c r="T3171">
        <v>-0.2118554</v>
      </c>
      <c r="U3171">
        <v>-2.9911189999999999</v>
      </c>
      <c r="V3171">
        <v>6.5343770000000001E-4</v>
      </c>
      <c r="W3171">
        <v>3.2917099999999998E-2</v>
      </c>
      <c r="X3171">
        <v>0.99945790000000001</v>
      </c>
      <c r="Y3171">
        <v>8.8331789999999993E-2</v>
      </c>
      <c r="Z3171">
        <v>7.0124770000000003E-2</v>
      </c>
      <c r="AA3171">
        <v>0.99361969999999999</v>
      </c>
      <c r="AB3171">
        <v>20</v>
      </c>
      <c r="AC3171">
        <v>-0.108000000000004</v>
      </c>
      <c r="AD3171">
        <v>-6.1476999999999997E-2</v>
      </c>
      <c r="AE3171">
        <v>-0.75979999999998404</v>
      </c>
      <c r="AF3171">
        <v>7.5955724878294606E-2</v>
      </c>
      <c r="AG3171">
        <v>-6.1476999999999997E-2</v>
      </c>
      <c r="AH3171">
        <v>0.75875164982627696</v>
      </c>
      <c r="AI3171">
        <v>94.6092695090897</v>
      </c>
      <c r="AJ3171">
        <v>84.283383819852901</v>
      </c>
      <c r="AK3171">
        <v>0.765018143435099</v>
      </c>
    </row>
    <row r="3172" spans="1:37" x14ac:dyDescent="0.2">
      <c r="A3172" t="str">
        <f>"20200111155601366"</f>
        <v>20200111155601366</v>
      </c>
      <c r="B3172" t="str">
        <f>"1578729361355695"</f>
        <v>1578729361355695</v>
      </c>
      <c r="C3172" t="s">
        <v>37</v>
      </c>
      <c r="D3172">
        <v>4.7351429999999999</v>
      </c>
      <c r="E3172">
        <v>0.53506830000000005</v>
      </c>
      <c r="F3172" t="s">
        <v>40</v>
      </c>
      <c r="G3172">
        <v>-493.06</v>
      </c>
      <c r="H3172">
        <v>1.0492010000000001</v>
      </c>
      <c r="I3172">
        <v>255.0558</v>
      </c>
      <c r="J3172">
        <v>-492.96620000000001</v>
      </c>
      <c r="K3172">
        <v>1.1039330000000001</v>
      </c>
      <c r="L3172">
        <v>255.71420000000001</v>
      </c>
      <c r="M3172">
        <v>-4.2301800000000001E-2</v>
      </c>
      <c r="N3172">
        <v>0</v>
      </c>
      <c r="O3172">
        <v>-0.99902950000000001</v>
      </c>
      <c r="P3172">
        <v>-4.2811559999999999E-2</v>
      </c>
      <c r="Q3172">
        <v>2.12164E-2</v>
      </c>
      <c r="R3172">
        <v>-0.99885840000000004</v>
      </c>
      <c r="S3172">
        <v>-0.38848879999999902</v>
      </c>
      <c r="T3172">
        <v>-0.21393979999999899</v>
      </c>
      <c r="U3172">
        <v>-2.9913479999999999</v>
      </c>
      <c r="V3172">
        <v>5.8938129999999895E-4</v>
      </c>
      <c r="W3172">
        <v>3.3506149999999998E-2</v>
      </c>
      <c r="X3172">
        <v>0.9994383</v>
      </c>
      <c r="Y3172">
        <v>8.6397870000000002E-2</v>
      </c>
      <c r="Z3172">
        <v>7.0812749999999994E-2</v>
      </c>
      <c r="AA3172">
        <v>0.99374089999999904</v>
      </c>
      <c r="AB3172">
        <v>20</v>
      </c>
      <c r="AC3172">
        <v>-9.3799999999987393E-2</v>
      </c>
      <c r="AD3172">
        <v>-5.4732000000000003E-2</v>
      </c>
      <c r="AE3172">
        <v>-0.65839999999999999</v>
      </c>
      <c r="AF3172">
        <v>6.5419341598338399E-2</v>
      </c>
      <c r="AG3172">
        <v>-5.4732000000000003E-2</v>
      </c>
      <c r="AH3172">
        <v>0.65732674359081</v>
      </c>
      <c r="AI3172">
        <v>94.736434615694606</v>
      </c>
      <c r="AJ3172">
        <v>84.316449324424397</v>
      </c>
      <c r="AK3172">
        <v>0.66283763465788403</v>
      </c>
    </row>
    <row r="3173" spans="1:37" x14ac:dyDescent="0.2">
      <c r="A3173" t="str">
        <f>"20200111155601379"</f>
        <v>20200111155601379</v>
      </c>
      <c r="B3173" t="str">
        <f>"1578729361375216"</f>
        <v>1578729361375216</v>
      </c>
      <c r="C3173" t="s">
        <v>37</v>
      </c>
      <c r="D3173">
        <v>4.7274079999999996</v>
      </c>
      <c r="E3173">
        <v>0.53483829999999999</v>
      </c>
      <c r="F3173" t="s">
        <v>40</v>
      </c>
      <c r="G3173">
        <v>-493.07549999999998</v>
      </c>
      <c r="H3173">
        <v>1.044287</v>
      </c>
      <c r="I3173">
        <v>254.88140000000001</v>
      </c>
      <c r="J3173">
        <v>-492.97219999999999</v>
      </c>
      <c r="K3173">
        <v>1.1039509999999999</v>
      </c>
      <c r="L3173">
        <v>255.59899999999999</v>
      </c>
      <c r="M3173">
        <v>-4.3244890000000001E-2</v>
      </c>
      <c r="N3173">
        <v>0</v>
      </c>
      <c r="O3173">
        <v>-0.99899090000000001</v>
      </c>
      <c r="P3173">
        <v>-4.380655E-2</v>
      </c>
      <c r="Q3173">
        <v>2.1572569999999999E-2</v>
      </c>
      <c r="R3173">
        <v>-0.99880740000000001</v>
      </c>
      <c r="S3173">
        <v>-0.39135740000000002</v>
      </c>
      <c r="T3173">
        <v>-0.21418889999999999</v>
      </c>
      <c r="U3173">
        <v>-2.9912259999999899</v>
      </c>
      <c r="V3173">
        <v>6.391643E-4</v>
      </c>
      <c r="W3173">
        <v>3.3707729999999998E-2</v>
      </c>
      <c r="X3173">
        <v>0.99943159999999898</v>
      </c>
      <c r="Y3173">
        <v>8.6399030000000002E-2</v>
      </c>
      <c r="Z3173">
        <v>7.0888969999999996E-2</v>
      </c>
      <c r="AA3173">
        <v>0.99373539999999905</v>
      </c>
      <c r="AB3173">
        <v>20</v>
      </c>
      <c r="AC3173">
        <v>-0.10329999999999</v>
      </c>
      <c r="AD3173">
        <v>-5.9663999999999898E-2</v>
      </c>
      <c r="AE3173">
        <v>-0.71760000000000401</v>
      </c>
      <c r="AF3173">
        <v>7.1683056508514503E-2</v>
      </c>
      <c r="AG3173">
        <v>-5.9663999999999898E-2</v>
      </c>
      <c r="AH3173">
        <v>0.71654328733802197</v>
      </c>
      <c r="AI3173">
        <v>94.736301568944995</v>
      </c>
      <c r="AJ3173">
        <v>84.287132503127197</v>
      </c>
      <c r="AK3173">
        <v>0.72258738995057403</v>
      </c>
    </row>
    <row r="3174" spans="1:37" x14ac:dyDescent="0.2">
      <c r="A3174" t="str">
        <f>"20200111155601390"</f>
        <v>20200111155601390</v>
      </c>
      <c r="B3174" t="str">
        <f>"1578729361384976"</f>
        <v>1578729361384976</v>
      </c>
      <c r="C3174" t="s">
        <v>37</v>
      </c>
      <c r="D3174">
        <v>4.6896399999999998</v>
      </c>
      <c r="E3174">
        <v>0.53481330000000005</v>
      </c>
      <c r="F3174" t="s">
        <v>40</v>
      </c>
      <c r="G3174">
        <v>-493.08960000000002</v>
      </c>
      <c r="H3174">
        <v>1.038748</v>
      </c>
      <c r="I3174">
        <v>254.70529999999999</v>
      </c>
      <c r="J3174">
        <v>-492.97800000000001</v>
      </c>
      <c r="K3174">
        <v>1.103977</v>
      </c>
      <c r="L3174">
        <v>255.48660000000001</v>
      </c>
      <c r="M3174">
        <v>-4.4101849999999998E-2</v>
      </c>
      <c r="N3174">
        <v>0</v>
      </c>
      <c r="O3174">
        <v>-0.99895509999999998</v>
      </c>
      <c r="P3174">
        <v>-4.5081540000000003E-2</v>
      </c>
      <c r="Q3174">
        <v>2.2089959999999999E-2</v>
      </c>
      <c r="R3174">
        <v>-0.9987393</v>
      </c>
      <c r="S3174">
        <v>-0.39184570000000002</v>
      </c>
      <c r="T3174">
        <v>-0.2182656</v>
      </c>
      <c r="U3174">
        <v>-2.9911189999999999</v>
      </c>
      <c r="V3174">
        <v>1.055385E-3</v>
      </c>
      <c r="W3174">
        <v>3.4080409999999998E-2</v>
      </c>
      <c r="X3174">
        <v>0.99941859999999905</v>
      </c>
      <c r="Y3174">
        <v>8.5695999999999994E-2</v>
      </c>
      <c r="Z3174">
        <v>7.2231119999999996E-2</v>
      </c>
      <c r="AA3174">
        <v>0.99369959999999902</v>
      </c>
      <c r="AB3174">
        <v>20</v>
      </c>
      <c r="AC3174">
        <v>-0.111600000000009</v>
      </c>
      <c r="AD3174">
        <v>-6.5228999999999898E-2</v>
      </c>
      <c r="AE3174">
        <v>-0.78130000000001498</v>
      </c>
      <c r="AF3174">
        <v>7.65095257591763E-2</v>
      </c>
      <c r="AG3174">
        <v>-6.5228999999999898E-2</v>
      </c>
      <c r="AH3174">
        <v>0.78013287471750103</v>
      </c>
      <c r="AI3174">
        <v>94.756820483851996</v>
      </c>
      <c r="AJ3174">
        <v>84.398775818668994</v>
      </c>
      <c r="AK3174">
        <v>0.78658491734070601</v>
      </c>
    </row>
    <row r="3175" spans="1:37" x14ac:dyDescent="0.2">
      <c r="A3175" t="str">
        <f>"20200111155601407"</f>
        <v>20200111155601407</v>
      </c>
      <c r="B3175" t="str">
        <f>"1578729361395711"</f>
        <v>1578729361395711</v>
      </c>
      <c r="C3175" t="s">
        <v>37</v>
      </c>
      <c r="D3175">
        <v>4.6682509999999997</v>
      </c>
      <c r="E3175">
        <v>0.53480709999999998</v>
      </c>
      <c r="F3175" t="s">
        <v>40</v>
      </c>
      <c r="G3175">
        <v>-493.08229999999998</v>
      </c>
      <c r="H3175">
        <v>1.0466759999999999</v>
      </c>
      <c r="I3175">
        <v>254.7003</v>
      </c>
      <c r="J3175">
        <v>-492.9855</v>
      </c>
      <c r="K3175">
        <v>1.1040179999999999</v>
      </c>
      <c r="L3175">
        <v>255.34530000000001</v>
      </c>
      <c r="M3175">
        <v>-4.5128599999999998E-2</v>
      </c>
      <c r="N3175">
        <v>0</v>
      </c>
      <c r="O3175">
        <v>-0.99891129999999995</v>
      </c>
      <c r="P3175">
        <v>-4.725261E-2</v>
      </c>
      <c r="Q3175">
        <v>2.2358030000000001E-2</v>
      </c>
      <c r="R3175">
        <v>-0.99863289999999905</v>
      </c>
      <c r="S3175">
        <v>-0.39559939999999999</v>
      </c>
      <c r="T3175">
        <v>-0.2180134</v>
      </c>
      <c r="U3175">
        <v>-2.9907680000000001</v>
      </c>
      <c r="V3175">
        <v>2.196763E-3</v>
      </c>
      <c r="W3175">
        <v>3.4173340000000003E-2</v>
      </c>
      <c r="X3175">
        <v>0.99941349999999995</v>
      </c>
      <c r="Y3175">
        <v>8.5913829999999997E-2</v>
      </c>
      <c r="Z3175">
        <v>7.2144970000000003E-2</v>
      </c>
      <c r="AA3175">
        <v>0.99368699999999999</v>
      </c>
      <c r="AB3175">
        <v>20</v>
      </c>
      <c r="AC3175">
        <v>-9.6799999999973296E-2</v>
      </c>
      <c r="AD3175">
        <v>-5.7341999999999997E-2</v>
      </c>
      <c r="AE3175">
        <v>-0.64500000000001001</v>
      </c>
      <c r="AF3175">
        <v>6.7072943420881104E-2</v>
      </c>
      <c r="AG3175">
        <v>-5.7341999999999997E-2</v>
      </c>
      <c r="AH3175">
        <v>0.64373575212713396</v>
      </c>
      <c r="AI3175">
        <v>95.063031836926697</v>
      </c>
      <c r="AJ3175">
        <v>84.051628138263098</v>
      </c>
      <c r="AK3175">
        <v>0.64975580279811895</v>
      </c>
    </row>
    <row r="3176" spans="1:37" x14ac:dyDescent="0.2">
      <c r="A3176" t="str">
        <f>"20200111155601430"</f>
        <v>20200111155601430</v>
      </c>
      <c r="B3176" t="str">
        <f>"1578729361425499"</f>
        <v>1578729361425499</v>
      </c>
      <c r="C3176" t="s">
        <v>37</v>
      </c>
      <c r="D3176">
        <v>4.6887339999999904</v>
      </c>
      <c r="E3176">
        <v>0.53433929999999996</v>
      </c>
      <c r="F3176" t="s">
        <v>40</v>
      </c>
      <c r="G3176">
        <v>-493.09640000000002</v>
      </c>
      <c r="H3176">
        <v>1.043906</v>
      </c>
      <c r="I3176">
        <v>254.52330000000001</v>
      </c>
      <c r="J3176">
        <v>-492.99639999999999</v>
      </c>
      <c r="K3176">
        <v>1.1040920000000001</v>
      </c>
      <c r="L3176">
        <v>255.14109999999999</v>
      </c>
      <c r="M3176">
        <v>-4.6480349999999997E-2</v>
      </c>
      <c r="N3176">
        <v>0</v>
      </c>
      <c r="O3176">
        <v>-0.99885210000000002</v>
      </c>
      <c r="P3176">
        <v>-4.997443E-2</v>
      </c>
      <c r="Q3176">
        <v>2.3095520000000001E-2</v>
      </c>
      <c r="R3176">
        <v>-0.99848369999999997</v>
      </c>
      <c r="S3176">
        <v>-0.40200809999999998</v>
      </c>
      <c r="T3176">
        <v>-0.2186399</v>
      </c>
      <c r="U3176">
        <v>-2.9899900000000001</v>
      </c>
      <c r="V3176">
        <v>3.5625990000000001E-3</v>
      </c>
      <c r="W3176">
        <v>3.4678960000000002E-2</v>
      </c>
      <c r="X3176">
        <v>0.99939219999999895</v>
      </c>
      <c r="Y3176">
        <v>8.6689939999999993E-2</v>
      </c>
      <c r="Z3176">
        <v>7.2350429999999993E-2</v>
      </c>
      <c r="AA3176">
        <v>0.99360469999999901</v>
      </c>
      <c r="AB3176">
        <v>20</v>
      </c>
      <c r="AC3176">
        <v>-0.100000000000022</v>
      </c>
      <c r="AD3176">
        <v>-6.0186000000000003E-2</v>
      </c>
      <c r="AE3176">
        <v>-0.61779999999998803</v>
      </c>
      <c r="AF3176">
        <v>7.0522208446944498E-2</v>
      </c>
      <c r="AG3176">
        <v>-6.0186000000000003E-2</v>
      </c>
      <c r="AH3176">
        <v>0.61608280768575496</v>
      </c>
      <c r="AI3176">
        <v>95.543627347298994</v>
      </c>
      <c r="AJ3176">
        <v>83.469848374436694</v>
      </c>
      <c r="AK3176">
        <v>0.62301987320325303</v>
      </c>
    </row>
    <row r="3177" spans="1:37" x14ac:dyDescent="0.2">
      <c r="A3177" t="str">
        <f>"20200111155601443"</f>
        <v>20200111155601443</v>
      </c>
      <c r="B3177" t="str">
        <f>"1578729361435260"</f>
        <v>1578729361435260</v>
      </c>
      <c r="C3177" t="s">
        <v>37</v>
      </c>
      <c r="D3177">
        <v>4.675014</v>
      </c>
      <c r="E3177">
        <v>0.53421969999999996</v>
      </c>
      <c r="F3177" t="s">
        <v>40</v>
      </c>
      <c r="G3177">
        <v>-493.10520000000002</v>
      </c>
      <c r="H3177">
        <v>1.0455490000000001</v>
      </c>
      <c r="I3177">
        <v>254.34270000000001</v>
      </c>
      <c r="J3177">
        <v>-493.0025</v>
      </c>
      <c r="K3177">
        <v>1.104142</v>
      </c>
      <c r="L3177">
        <v>255.02789999999999</v>
      </c>
      <c r="M3177">
        <v>-4.7159270000000003E-2</v>
      </c>
      <c r="N3177">
        <v>0</v>
      </c>
      <c r="O3177">
        <v>-0.99882190000000004</v>
      </c>
      <c r="P3177">
        <v>-5.1301359999999997E-2</v>
      </c>
      <c r="Q3177">
        <v>2.359671E-2</v>
      </c>
      <c r="R3177">
        <v>-0.99840479999999998</v>
      </c>
      <c r="S3177">
        <v>-0.40643309999999999</v>
      </c>
      <c r="T3177">
        <v>-0.21924339999999901</v>
      </c>
      <c r="U3177">
        <v>-2.9892729999999998</v>
      </c>
      <c r="V3177">
        <v>4.208074E-3</v>
      </c>
      <c r="W3177">
        <v>3.5060679999999997E-2</v>
      </c>
      <c r="X3177">
        <v>0.9993763</v>
      </c>
      <c r="Y3177">
        <v>8.7486789999999995E-2</v>
      </c>
      <c r="Z3177">
        <v>7.2553140000000002E-2</v>
      </c>
      <c r="AA3177">
        <v>0.99352009999999902</v>
      </c>
      <c r="AB3177">
        <v>20</v>
      </c>
      <c r="AC3177">
        <v>-0.10270000000002701</v>
      </c>
      <c r="AD3177">
        <v>-5.8592999999999902E-2</v>
      </c>
      <c r="AE3177">
        <v>-0.68519999999998005</v>
      </c>
      <c r="AF3177">
        <v>6.9771092870604401E-2</v>
      </c>
      <c r="AG3177">
        <v>-5.8592999999999902E-2</v>
      </c>
      <c r="AH3177">
        <v>0.68438659202469199</v>
      </c>
      <c r="AI3177">
        <v>94.868271454053399</v>
      </c>
      <c r="AJ3177">
        <v>84.178983461618301</v>
      </c>
      <c r="AK3177">
        <v>0.69042461745836603</v>
      </c>
    </row>
    <row r="3178" spans="1:37" x14ac:dyDescent="0.2">
      <c r="A3178" t="str">
        <f>"20200111155601458"</f>
        <v>20200111155601458</v>
      </c>
      <c r="B3178" t="str">
        <f>"1578729361455755"</f>
        <v>1578729361455755</v>
      </c>
      <c r="C3178" t="s">
        <v>37</v>
      </c>
      <c r="D3178">
        <v>4.9480810000000002</v>
      </c>
      <c r="E3178">
        <v>0.534031699999999</v>
      </c>
      <c r="F3178" t="s">
        <v>40</v>
      </c>
      <c r="G3178">
        <v>-493.12110000000001</v>
      </c>
      <c r="H3178">
        <v>1.0413680000000001</v>
      </c>
      <c r="I3178">
        <v>254.16540000000001</v>
      </c>
      <c r="J3178">
        <v>-493.00990000000002</v>
      </c>
      <c r="K3178">
        <v>1.104206</v>
      </c>
      <c r="L3178">
        <v>254.88849999999999</v>
      </c>
      <c r="M3178">
        <v>-4.7921560000000002E-2</v>
      </c>
      <c r="N3178">
        <v>0</v>
      </c>
      <c r="O3178">
        <v>-0.99878690000000003</v>
      </c>
      <c r="P3178">
        <v>-5.2515249999999999E-2</v>
      </c>
      <c r="Q3178">
        <v>2.429394E-2</v>
      </c>
      <c r="R3178">
        <v>-0.99832489999999996</v>
      </c>
      <c r="S3178">
        <v>-0.40969849999999902</v>
      </c>
      <c r="T3178">
        <v>-0.217556799999999</v>
      </c>
      <c r="U3178">
        <v>-2.9888919999999999</v>
      </c>
      <c r="V3178">
        <v>4.656075E-3</v>
      </c>
      <c r="W3178">
        <v>3.561918E-2</v>
      </c>
      <c r="X3178">
        <v>0.99935459999999998</v>
      </c>
      <c r="Y3178">
        <v>8.7814580000000003E-2</v>
      </c>
      <c r="Z3178">
        <v>7.1996770000000002E-2</v>
      </c>
      <c r="AA3178">
        <v>0.99353159999999896</v>
      </c>
      <c r="AB3178">
        <v>20</v>
      </c>
      <c r="AC3178">
        <v>-0.111199999999996</v>
      </c>
      <c r="AD3178">
        <v>-6.2837999999999894E-2</v>
      </c>
      <c r="AE3178">
        <v>-0.72309999999998797</v>
      </c>
      <c r="AF3178">
        <v>7.5858295075055898E-2</v>
      </c>
      <c r="AG3178">
        <v>-6.2837999999999894E-2</v>
      </c>
      <c r="AH3178">
        <v>0.72226994888532203</v>
      </c>
      <c r="AI3178">
        <v>94.945189737185203</v>
      </c>
      <c r="AJ3178">
        <v>84.004341697242396</v>
      </c>
      <c r="AK3178">
        <v>0.72895608526062705</v>
      </c>
    </row>
    <row r="3179" spans="1:37" x14ac:dyDescent="0.2">
      <c r="A3179" t="str">
        <f>"20200111155601472"</f>
        <v>20200111155601472</v>
      </c>
      <c r="B3179" t="str">
        <f>"1578729361465515"</f>
        <v>1578729361465515</v>
      </c>
      <c r="C3179" t="s">
        <v>37</v>
      </c>
      <c r="D3179">
        <v>4.6580180000000002</v>
      </c>
      <c r="E3179">
        <v>0.534045199999999</v>
      </c>
      <c r="F3179" t="s">
        <v>40</v>
      </c>
      <c r="G3179">
        <v>-493.11110000000002</v>
      </c>
      <c r="H3179">
        <v>1.0521240000000001</v>
      </c>
      <c r="I3179">
        <v>254.1568</v>
      </c>
      <c r="J3179">
        <v>-493.01670000000001</v>
      </c>
      <c r="K3179">
        <v>1.1042719999999999</v>
      </c>
      <c r="L3179">
        <v>254.76169999999999</v>
      </c>
      <c r="M3179">
        <v>-4.8513800000000003E-2</v>
      </c>
      <c r="N3179">
        <v>0</v>
      </c>
      <c r="O3179">
        <v>-0.99875939999999996</v>
      </c>
      <c r="P3179">
        <v>-5.3397060000000003E-2</v>
      </c>
      <c r="Q3179">
        <v>2.4780819999999999E-2</v>
      </c>
      <c r="R3179">
        <v>-0.99826559999999898</v>
      </c>
      <c r="S3179">
        <v>-0.41186519999999999</v>
      </c>
      <c r="T3179">
        <v>-0.21279509999999999</v>
      </c>
      <c r="U3179">
        <v>-2.98850999999999</v>
      </c>
      <c r="V3179">
        <v>4.9416119999999997E-3</v>
      </c>
      <c r="W3179">
        <v>3.5993730000000002E-2</v>
      </c>
      <c r="X3179">
        <v>0.9993398</v>
      </c>
      <c r="Y3179">
        <v>8.7963250000000007E-2</v>
      </c>
      <c r="Z3179">
        <v>7.0430820000000005E-2</v>
      </c>
      <c r="AA3179">
        <v>0.99363069999999898</v>
      </c>
      <c r="AB3179">
        <v>20</v>
      </c>
      <c r="AC3179">
        <v>-9.4400000000007298E-2</v>
      </c>
      <c r="AD3179">
        <v>-5.2147999999999799E-2</v>
      </c>
      <c r="AE3179">
        <v>-0.604899999999986</v>
      </c>
      <c r="AF3179">
        <v>6.4473208281149705E-2</v>
      </c>
      <c r="AG3179">
        <v>-5.2147999999999799E-2</v>
      </c>
      <c r="AH3179">
        <v>0.60438263624347699</v>
      </c>
      <c r="AI3179">
        <v>94.903757013843702</v>
      </c>
      <c r="AJ3179">
        <v>83.910935023932595</v>
      </c>
      <c r="AK3179">
        <v>0.610044735640493</v>
      </c>
    </row>
    <row r="3180" spans="1:37" x14ac:dyDescent="0.2">
      <c r="A3180" t="str">
        <f>"20200111155601486"</f>
        <v>20200111155601486</v>
      </c>
      <c r="B3180" t="str">
        <f>"1578729361475274"</f>
        <v>1578729361475274</v>
      </c>
      <c r="C3180" t="s">
        <v>37</v>
      </c>
      <c r="D3180">
        <v>4.614935</v>
      </c>
      <c r="E3180">
        <v>0.53401180000000004</v>
      </c>
      <c r="F3180" t="s">
        <v>40</v>
      </c>
      <c r="G3180">
        <v>-493.12560000000002</v>
      </c>
      <c r="H3180">
        <v>1.0491740000000001</v>
      </c>
      <c r="I3180">
        <v>253.97980000000001</v>
      </c>
      <c r="J3180">
        <v>-493.02300000000002</v>
      </c>
      <c r="K3180">
        <v>1.104333</v>
      </c>
      <c r="L3180">
        <v>254.64500000000001</v>
      </c>
      <c r="M3180">
        <v>-4.9004840000000001E-2</v>
      </c>
      <c r="N3180">
        <v>0</v>
      </c>
      <c r="O3180">
        <v>-0.99873690000000004</v>
      </c>
      <c r="P3180">
        <v>-5.395954E-2</v>
      </c>
      <c r="Q3180">
        <v>2.5171140000000002E-2</v>
      </c>
      <c r="R3180">
        <v>-0.9982259</v>
      </c>
      <c r="S3180">
        <v>-0.41464229999999902</v>
      </c>
      <c r="T3180">
        <v>-0.210635399999999</v>
      </c>
      <c r="U3180">
        <v>-2.9882659999999999</v>
      </c>
      <c r="V3180">
        <v>5.0087650000000001E-3</v>
      </c>
      <c r="W3180">
        <v>3.6289170000000003E-2</v>
      </c>
      <c r="X3180">
        <v>0.99932880000000002</v>
      </c>
      <c r="Y3180">
        <v>8.8397530000000002E-2</v>
      </c>
      <c r="Z3180">
        <v>6.9716890000000004E-2</v>
      </c>
      <c r="AA3180">
        <v>0.99364249999999898</v>
      </c>
      <c r="AB3180">
        <v>20</v>
      </c>
      <c r="AC3180">
        <v>-0.102599999999995</v>
      </c>
      <c r="AD3180">
        <v>-5.5158999999999903E-2</v>
      </c>
      <c r="AE3180">
        <v>-0.66519999999999802</v>
      </c>
      <c r="AF3180">
        <v>6.9410520103897103E-2</v>
      </c>
      <c r="AG3180">
        <v>-5.5158999999999903E-2</v>
      </c>
      <c r="AH3180">
        <v>0.66496293605323997</v>
      </c>
      <c r="AI3180">
        <v>94.716349001935797</v>
      </c>
      <c r="AJ3180">
        <v>84.040901369354003</v>
      </c>
      <c r="AK3180">
        <v>0.67084725676314605</v>
      </c>
    </row>
    <row r="3181" spans="1:37" x14ac:dyDescent="0.2">
      <c r="A3181" t="str">
        <f>"20200111155601500"</f>
        <v>20200111155601500</v>
      </c>
      <c r="B3181" t="str">
        <f>"1578729361495771"</f>
        <v>1578729361495771</v>
      </c>
      <c r="C3181" t="s">
        <v>37</v>
      </c>
      <c r="D3181">
        <v>4.8485319999999996</v>
      </c>
      <c r="E3181">
        <v>0.53360989999999997</v>
      </c>
      <c r="F3181" t="s">
        <v>40</v>
      </c>
      <c r="G3181">
        <v>-493.14049999999997</v>
      </c>
      <c r="H3181">
        <v>1.0452790000000001</v>
      </c>
      <c r="I3181">
        <v>253.8031</v>
      </c>
      <c r="J3181">
        <v>-493.03019999999998</v>
      </c>
      <c r="K3181">
        <v>1.1044020000000001</v>
      </c>
      <c r="L3181">
        <v>254.5127</v>
      </c>
      <c r="M3181">
        <v>-4.949634E-2</v>
      </c>
      <c r="N3181">
        <v>0</v>
      </c>
      <c r="O3181">
        <v>-0.99871339999999997</v>
      </c>
      <c r="P3181">
        <v>-5.438991E-2</v>
      </c>
      <c r="Q3181">
        <v>2.5417180000000001E-2</v>
      </c>
      <c r="R3181">
        <v>-0.99819619999999998</v>
      </c>
      <c r="S3181">
        <v>-0.41616819999999999</v>
      </c>
      <c r="T3181">
        <v>-0.20966570000000001</v>
      </c>
      <c r="U3181">
        <v>-2.9881439999999899</v>
      </c>
      <c r="V3181">
        <v>4.9420000000000002E-3</v>
      </c>
      <c r="W3181">
        <v>3.6439279999999998E-2</v>
      </c>
      <c r="X3181">
        <v>0.99932369999999904</v>
      </c>
      <c r="Y3181">
        <v>8.8413790000000006E-2</v>
      </c>
      <c r="Z3181">
        <v>6.9395299999999993E-2</v>
      </c>
      <c r="AA3181">
        <v>0.99366350000000003</v>
      </c>
      <c r="AB3181">
        <v>20</v>
      </c>
      <c r="AC3181">
        <v>-0.110299999999995</v>
      </c>
      <c r="AD3181">
        <v>-5.9123000000000002E-2</v>
      </c>
      <c r="AE3181">
        <v>-0.70959999999999401</v>
      </c>
      <c r="AF3181">
        <v>7.4534834492374094E-2</v>
      </c>
      <c r="AG3181">
        <v>-5.9123000000000002E-2</v>
      </c>
      <c r="AH3181">
        <v>0.709381557305235</v>
      </c>
      <c r="AI3181">
        <v>94.738309651420707</v>
      </c>
      <c r="AJ3181">
        <v>84.001930982641795</v>
      </c>
      <c r="AK3181">
        <v>0.71573260686279105</v>
      </c>
    </row>
    <row r="3182" spans="1:37" x14ac:dyDescent="0.2">
      <c r="A3182" t="str">
        <f>"20200111155601513"</f>
        <v>20200111155601513</v>
      </c>
      <c r="B3182" t="str">
        <f>"1578729361505530"</f>
        <v>1578729361505530</v>
      </c>
      <c r="C3182" t="s">
        <v>37</v>
      </c>
      <c r="D3182">
        <v>4.650118</v>
      </c>
      <c r="E3182">
        <v>0.53356119999999996</v>
      </c>
      <c r="F3182" t="s">
        <v>40</v>
      </c>
      <c r="G3182">
        <v>-493.15370000000001</v>
      </c>
      <c r="H3182">
        <v>1.0422719999999901</v>
      </c>
      <c r="I3182">
        <v>253.62430000000001</v>
      </c>
      <c r="J3182">
        <v>-493.03699999999998</v>
      </c>
      <c r="K3182">
        <v>1.104465</v>
      </c>
      <c r="L3182">
        <v>254.38489999999999</v>
      </c>
      <c r="M3182">
        <v>-4.9877820000000003E-2</v>
      </c>
      <c r="N3182">
        <v>0</v>
      </c>
      <c r="O3182">
        <v>-0.99869540000000001</v>
      </c>
      <c r="P3182">
        <v>-5.4073139999999999E-2</v>
      </c>
      <c r="Q3182">
        <v>2.532125E-2</v>
      </c>
      <c r="R3182">
        <v>-0.9982162</v>
      </c>
      <c r="S3182">
        <v>-0.41494750000000002</v>
      </c>
      <c r="T3182">
        <v>-0.2090275</v>
      </c>
      <c r="U3182">
        <v>-2.988159</v>
      </c>
      <c r="V3182">
        <v>4.2368709999999997E-3</v>
      </c>
      <c r="W3182">
        <v>3.626774E-2</v>
      </c>
      <c r="X3182">
        <v>0.99933309999999997</v>
      </c>
      <c r="Y3182">
        <v>8.7636420000000007E-2</v>
      </c>
      <c r="Z3182">
        <v>6.9187090000000007E-2</v>
      </c>
      <c r="AA3182">
        <v>0.99374689999999999</v>
      </c>
      <c r="AB3182">
        <v>20</v>
      </c>
      <c r="AC3182">
        <v>-0.116700000000037</v>
      </c>
      <c r="AD3182">
        <v>-6.2193000000000102E-2</v>
      </c>
      <c r="AE3182">
        <v>-0.76059999999998196</v>
      </c>
      <c r="AF3182">
        <v>7.8105183394756805E-2</v>
      </c>
      <c r="AG3182">
        <v>-6.2193000000000102E-2</v>
      </c>
      <c r="AH3182">
        <v>0.76050643455369105</v>
      </c>
      <c r="AI3182">
        <v>94.650798819440496</v>
      </c>
      <c r="AJ3182">
        <v>84.136193808511294</v>
      </c>
      <c r="AK3182">
        <v>0.76703221960990398</v>
      </c>
    </row>
    <row r="3183" spans="1:37" x14ac:dyDescent="0.2">
      <c r="A3183" t="str">
        <f>"20200111155601531"</f>
        <v>20200111155601531</v>
      </c>
      <c r="B3183" t="str">
        <f>"1578729361525559"</f>
        <v>1578729361525559</v>
      </c>
      <c r="C3183" t="s">
        <v>37</v>
      </c>
      <c r="D3183">
        <v>4.535571</v>
      </c>
      <c r="E3183">
        <v>0.53362799999999999</v>
      </c>
      <c r="F3183" t="s">
        <v>40</v>
      </c>
      <c r="G3183">
        <v>-493.14319999999998</v>
      </c>
      <c r="H3183">
        <v>1.050684</v>
      </c>
      <c r="I3183">
        <v>253.61779999999999</v>
      </c>
      <c r="J3183">
        <v>-493.04509999999999</v>
      </c>
      <c r="K3183">
        <v>1.1045339999999999</v>
      </c>
      <c r="L3183">
        <v>254.23230000000001</v>
      </c>
      <c r="M3183">
        <v>-5.0257610000000001E-2</v>
      </c>
      <c r="N3183">
        <v>0</v>
      </c>
      <c r="O3183">
        <v>-0.99867729999999999</v>
      </c>
      <c r="P3183">
        <v>-5.2796219999999998E-2</v>
      </c>
      <c r="Q3183">
        <v>2.5077439999999999E-2</v>
      </c>
      <c r="R3183">
        <v>-0.99829069999999998</v>
      </c>
      <c r="S3183">
        <v>-0.41314699999999999</v>
      </c>
      <c r="T3183">
        <v>-0.20954519999999999</v>
      </c>
      <c r="U3183">
        <v>-2.9882810000000002</v>
      </c>
      <c r="V3183">
        <v>2.5712809999999999E-3</v>
      </c>
      <c r="W3183">
        <v>3.5945610000000003E-2</v>
      </c>
      <c r="X3183">
        <v>0.99935039999999997</v>
      </c>
      <c r="Y3183">
        <v>8.6662959999999997E-2</v>
      </c>
      <c r="Z3183">
        <v>6.9358649999999994E-2</v>
      </c>
      <c r="AA3183">
        <v>0.99382039999999905</v>
      </c>
      <c r="AB3183">
        <v>20</v>
      </c>
      <c r="AC3183">
        <v>-9.8099999999988002E-2</v>
      </c>
      <c r="AD3183">
        <v>-5.3849999999999898E-2</v>
      </c>
      <c r="AE3183">
        <v>-0.61450000000002003</v>
      </c>
      <c r="AF3183">
        <v>6.6592214791087997E-2</v>
      </c>
      <c r="AG3183">
        <v>-5.3849999999999898E-2</v>
      </c>
      <c r="AH3183">
        <v>0.61405553001674495</v>
      </c>
      <c r="AI3183">
        <v>94.982703330515704</v>
      </c>
      <c r="AJ3183">
        <v>83.810657302490796</v>
      </c>
      <c r="AK3183">
        <v>0.61999882218834002</v>
      </c>
    </row>
    <row r="3184" spans="1:37" x14ac:dyDescent="0.2">
      <c r="A3184" t="str">
        <f>"20200111155601545"</f>
        <v>20200111155601545</v>
      </c>
      <c r="B3184" t="str">
        <f>"1578729361535320"</f>
        <v>1578729361535320</v>
      </c>
      <c r="C3184" t="s">
        <v>37</v>
      </c>
      <c r="D3184">
        <v>4.4728669999999999</v>
      </c>
      <c r="E3184">
        <v>0.53327919999999995</v>
      </c>
      <c r="F3184" t="s">
        <v>40</v>
      </c>
      <c r="G3184">
        <v>-493.15440000000001</v>
      </c>
      <c r="H3184">
        <v>1.0494299999999901</v>
      </c>
      <c r="I3184">
        <v>253.4384</v>
      </c>
      <c r="J3184">
        <v>-493.05180000000001</v>
      </c>
      <c r="K3184">
        <v>1.104587</v>
      </c>
      <c r="L3184">
        <v>254.10679999999999</v>
      </c>
      <c r="M3184">
        <v>-5.0510409999999999E-2</v>
      </c>
      <c r="N3184">
        <v>0</v>
      </c>
      <c r="O3184">
        <v>-0.99866529999999998</v>
      </c>
      <c r="P3184">
        <v>-5.1543119999999998E-2</v>
      </c>
      <c r="Q3184">
        <v>2.4557820000000001E-2</v>
      </c>
      <c r="R3184">
        <v>-0.99836930000000002</v>
      </c>
      <c r="S3184">
        <v>-0.41079709999999903</v>
      </c>
      <c r="T3184">
        <v>-0.20748510000000001</v>
      </c>
      <c r="U3184">
        <v>-2.9886169999999899</v>
      </c>
      <c r="V3184">
        <v>1.057927E-3</v>
      </c>
      <c r="W3184">
        <v>3.5368999999999998E-2</v>
      </c>
      <c r="X3184">
        <v>0.99937369999999903</v>
      </c>
      <c r="Y3184">
        <v>8.5635180000000005E-2</v>
      </c>
      <c r="Z3184">
        <v>6.8677799999999997E-2</v>
      </c>
      <c r="AA3184">
        <v>0.99395669999999903</v>
      </c>
      <c r="AB3184">
        <v>20</v>
      </c>
      <c r="AC3184">
        <v>-0.102599999999995</v>
      </c>
      <c r="AD3184">
        <v>-5.5157000000000102E-2</v>
      </c>
      <c r="AE3184">
        <v>-0.668399999999991</v>
      </c>
      <c r="AF3184">
        <v>6.8251821983879205E-2</v>
      </c>
      <c r="AG3184">
        <v>-5.5157000000000102E-2</v>
      </c>
      <c r="AH3184">
        <v>0.66828332762494702</v>
      </c>
      <c r="AI3184">
        <v>94.693926420008495</v>
      </c>
      <c r="AJ3184">
        <v>84.168596944521596</v>
      </c>
      <c r="AK3184">
        <v>0.67402018651861695</v>
      </c>
    </row>
    <row r="3185" spans="1:37" x14ac:dyDescent="0.2">
      <c r="A3185" t="str">
        <f>"20200111155602324"</f>
        <v>20200111155602324</v>
      </c>
      <c r="B3185" t="str">
        <f>"1578729362315223"</f>
        <v>1578729362315223</v>
      </c>
      <c r="C3185" t="s">
        <v>37</v>
      </c>
      <c r="D3185">
        <v>4.8010580000000003</v>
      </c>
      <c r="E3185">
        <v>0.46932689999999999</v>
      </c>
      <c r="F3185" t="s">
        <v>56</v>
      </c>
      <c r="G3185">
        <v>-487.803</v>
      </c>
      <c r="H3185" s="1">
        <v>2.6482989999999999E-6</v>
      </c>
      <c r="I3185">
        <v>209.3989</v>
      </c>
      <c r="J3185">
        <v>-493.34089999999998</v>
      </c>
      <c r="K3185">
        <v>1.1061159999999901</v>
      </c>
      <c r="L3185">
        <v>247.15299999999999</v>
      </c>
      <c r="M3185">
        <v>-2.4370340000000001E-2</v>
      </c>
      <c r="N3185">
        <v>0</v>
      </c>
      <c r="O3185">
        <v>-0.99961259999999996</v>
      </c>
      <c r="P3185">
        <v>9.1138830000000004E-2</v>
      </c>
      <c r="Q3185">
        <v>1.3166789999999999E-2</v>
      </c>
      <c r="R3185">
        <v>-0.9957511</v>
      </c>
      <c r="S3185">
        <v>0.39993289999999998</v>
      </c>
      <c r="T3185">
        <v>-8.1092949999999997E-2</v>
      </c>
      <c r="U3185">
        <v>-2.9864199999999999</v>
      </c>
      <c r="V3185">
        <v>-0.11544980000000001</v>
      </c>
      <c r="W3185">
        <v>2.621714E-2</v>
      </c>
      <c r="X3185">
        <v>0.99296719999999905</v>
      </c>
      <c r="Y3185">
        <v>-0.15680179999999999</v>
      </c>
      <c r="Z3185">
        <v>2.6844179999999999E-2</v>
      </c>
      <c r="AA3185">
        <v>0.98726519999999995</v>
      </c>
      <c r="AB3185">
        <v>20</v>
      </c>
      <c r="AC3185">
        <v>5.5378999999999197</v>
      </c>
      <c r="AD3185">
        <v>-1.10611335170099</v>
      </c>
      <c r="AE3185">
        <v>-37.754100000000001</v>
      </c>
      <c r="AF3185">
        <v>-6.4509976853589803</v>
      </c>
      <c r="AG3185">
        <v>-1.10611335170099</v>
      </c>
      <c r="AH3185">
        <v>37.576337492699103</v>
      </c>
      <c r="AI3185">
        <v>91.661799131262896</v>
      </c>
      <c r="AJ3185">
        <v>99.741412627124106</v>
      </c>
      <c r="AK3185">
        <v>38.142102685202602</v>
      </c>
    </row>
    <row r="3186" spans="1:37" x14ac:dyDescent="0.2">
      <c r="A3186" t="str">
        <f>"20200111155602337"</f>
        <v>20200111155602337</v>
      </c>
      <c r="B3186" t="str">
        <f>"1578729362325959"</f>
        <v>1578729362325959</v>
      </c>
      <c r="C3186" t="s">
        <v>37</v>
      </c>
      <c r="D3186">
        <v>4.8379830000000004</v>
      </c>
      <c r="E3186">
        <v>0.47126109999999999</v>
      </c>
      <c r="F3186" t="s">
        <v>38</v>
      </c>
      <c r="G3186">
        <v>-483.6977</v>
      </c>
      <c r="H3186" s="1">
        <v>-2.5210749999999998E-6</v>
      </c>
      <c r="I3186">
        <v>192.12880000000001</v>
      </c>
      <c r="J3186">
        <v>-493.3424</v>
      </c>
      <c r="K3186">
        <v>1.106123</v>
      </c>
      <c r="L3186">
        <v>247.03380000000001</v>
      </c>
      <c r="M3186">
        <v>-2.3149570000000001E-2</v>
      </c>
      <c r="N3186">
        <v>0</v>
      </c>
      <c r="O3186">
        <v>-0.99964149999999996</v>
      </c>
      <c r="P3186">
        <v>9.3762300000000007E-2</v>
      </c>
      <c r="Q3186">
        <v>1.336185E-2</v>
      </c>
      <c r="R3186">
        <v>-0.99550499999999997</v>
      </c>
      <c r="S3186">
        <v>0.51980590000000004</v>
      </c>
      <c r="T3186">
        <v>-5.9624080000000003E-2</v>
      </c>
      <c r="U3186">
        <v>-2.96601899999999</v>
      </c>
      <c r="V3186">
        <v>-0.11685479999999999</v>
      </c>
      <c r="W3186">
        <v>2.640924E-2</v>
      </c>
      <c r="X3186">
        <v>0.99279779999999995</v>
      </c>
      <c r="Y3186">
        <v>-0.19534699999999999</v>
      </c>
      <c r="Z3186">
        <v>1.974623E-2</v>
      </c>
      <c r="AA3186">
        <v>0.98053539999999995</v>
      </c>
      <c r="AB3186">
        <v>20</v>
      </c>
      <c r="AC3186">
        <v>9.6447000000000003</v>
      </c>
      <c r="AD3186">
        <v>-1.1061255210750001</v>
      </c>
      <c r="AE3186">
        <v>-54.905000000000001</v>
      </c>
      <c r="AF3186">
        <v>-10.908961972621899</v>
      </c>
      <c r="AG3186">
        <v>-1.1061255210750001</v>
      </c>
      <c r="AH3186">
        <v>54.645477661352601</v>
      </c>
      <c r="AI3186">
        <v>91.137181700252</v>
      </c>
      <c r="AJ3186">
        <v>101.28963292514101</v>
      </c>
      <c r="AK3186">
        <v>55.734703675769801</v>
      </c>
    </row>
    <row r="3187" spans="1:37" x14ac:dyDescent="0.2">
      <c r="A3187" t="str">
        <f>"20200111155602352"</f>
        <v>20200111155602352</v>
      </c>
      <c r="B3187" t="str">
        <f>"1578729362345479"</f>
        <v>1578729362345479</v>
      </c>
      <c r="C3187" t="s">
        <v>37</v>
      </c>
      <c r="D3187">
        <v>4.8356669999999999</v>
      </c>
      <c r="E3187">
        <v>0.47360859999999899</v>
      </c>
      <c r="F3187" t="s">
        <v>38</v>
      </c>
      <c r="G3187">
        <v>-483.17570000000001</v>
      </c>
      <c r="H3187" s="1">
        <v>-4.8630559999999997E-6</v>
      </c>
      <c r="I3187">
        <v>188.14689999999999</v>
      </c>
      <c r="J3187">
        <v>-493.34370000000001</v>
      </c>
      <c r="K3187">
        <v>1.1061379999999901</v>
      </c>
      <c r="L3187">
        <v>246.9151</v>
      </c>
      <c r="M3187">
        <v>-2.190135E-2</v>
      </c>
      <c r="N3187">
        <v>0</v>
      </c>
      <c r="O3187">
        <v>-0.99966969999999999</v>
      </c>
      <c r="P3187">
        <v>9.6466730000000001E-2</v>
      </c>
      <c r="Q3187">
        <v>1.337518E-2</v>
      </c>
      <c r="R3187">
        <v>-0.99524659999999998</v>
      </c>
      <c r="S3187">
        <v>0.51208500000000001</v>
      </c>
      <c r="T3187">
        <v>-5.5714369999999999E-2</v>
      </c>
      <c r="U3187">
        <v>-2.9660639999999998</v>
      </c>
      <c r="V3187">
        <v>-0.11831369999999999</v>
      </c>
      <c r="W3187">
        <v>2.6415919999999999E-2</v>
      </c>
      <c r="X3187">
        <v>0.99262479999999997</v>
      </c>
      <c r="Y3187">
        <v>-0.19164510000000001</v>
      </c>
      <c r="Z3187">
        <v>1.8463279999999999E-2</v>
      </c>
      <c r="AA3187">
        <v>0.98129059999999901</v>
      </c>
      <c r="AB3187">
        <v>20</v>
      </c>
      <c r="AC3187">
        <v>10.167999999999999</v>
      </c>
      <c r="AD3187">
        <v>-1.10614286305599</v>
      </c>
      <c r="AE3187">
        <v>-58.7682</v>
      </c>
      <c r="AF3187">
        <v>-11.4488418071595</v>
      </c>
      <c r="AG3187">
        <v>-1.10614286305599</v>
      </c>
      <c r="AH3187">
        <v>58.511261603942302</v>
      </c>
      <c r="AI3187">
        <v>91.062884302053106</v>
      </c>
      <c r="AJ3187">
        <v>101.071132755463</v>
      </c>
      <c r="AK3187">
        <v>59.631093107906601</v>
      </c>
    </row>
    <row r="3188" spans="1:37" x14ac:dyDescent="0.2">
      <c r="A3188" t="str">
        <f>"20200111155602369"</f>
        <v>20200111155602369</v>
      </c>
      <c r="B3188" t="str">
        <f>"1578729362365975"</f>
        <v>1578729362365975</v>
      </c>
      <c r="C3188" t="s">
        <v>37</v>
      </c>
      <c r="D3188">
        <v>4.8849710000000002</v>
      </c>
      <c r="E3188">
        <v>0.4749968</v>
      </c>
      <c r="F3188" t="s">
        <v>38</v>
      </c>
      <c r="G3188">
        <v>-482.94119999999998</v>
      </c>
      <c r="H3188" s="1">
        <v>-3.8361079999999998E-6</v>
      </c>
      <c r="I3188">
        <v>185.4015</v>
      </c>
      <c r="J3188">
        <v>-493.3449</v>
      </c>
      <c r="K3188">
        <v>1.10616</v>
      </c>
      <c r="L3188">
        <v>246.7773</v>
      </c>
      <c r="M3188">
        <v>-2.0418619999999998E-2</v>
      </c>
      <c r="N3188">
        <v>0</v>
      </c>
      <c r="O3188">
        <v>-0.99970079999999995</v>
      </c>
      <c r="P3188">
        <v>0.10054929999999999</v>
      </c>
      <c r="Q3188">
        <v>1.256844E-2</v>
      </c>
      <c r="R3188">
        <v>-0.99485270000000003</v>
      </c>
      <c r="S3188">
        <v>0.50164790000000004</v>
      </c>
      <c r="T3188">
        <v>-5.3342340000000002E-2</v>
      </c>
      <c r="U3188">
        <v>-2.966415</v>
      </c>
      <c r="V3188">
        <v>-0.12091399999999999</v>
      </c>
      <c r="W3188">
        <v>2.559604E-2</v>
      </c>
      <c r="X3188">
        <v>0.99233289999999996</v>
      </c>
      <c r="Y3188">
        <v>-0.18681539999999999</v>
      </c>
      <c r="Z3188">
        <v>1.7689750000000001E-2</v>
      </c>
      <c r="AA3188">
        <v>0.98223570000000004</v>
      </c>
      <c r="AB3188">
        <v>19</v>
      </c>
      <c r="AC3188">
        <v>10.403700000000001</v>
      </c>
      <c r="AD3188">
        <v>-1.106163836108</v>
      </c>
      <c r="AE3188">
        <v>-61.375799999999998</v>
      </c>
      <c r="AF3188">
        <v>-11.6511745917628</v>
      </c>
      <c r="AG3188">
        <v>-1.106163836108</v>
      </c>
      <c r="AH3188">
        <v>61.131251350349302</v>
      </c>
      <c r="AI3188">
        <v>91.018321601264503</v>
      </c>
      <c r="AJ3188">
        <v>100.790743445296</v>
      </c>
      <c r="AK3188">
        <v>62.241492265687498</v>
      </c>
    </row>
    <row r="3189" spans="1:37" x14ac:dyDescent="0.2">
      <c r="A3189" t="str">
        <f>"20200111155602382"</f>
        <v>20200111155602382</v>
      </c>
      <c r="B3189" t="str">
        <f>"1578729362375734"</f>
        <v>1578729362375734</v>
      </c>
      <c r="C3189" t="s">
        <v>37</v>
      </c>
      <c r="D3189">
        <v>4.9953310000000002</v>
      </c>
      <c r="E3189">
        <v>0.47530709999999998</v>
      </c>
      <c r="F3189" t="s">
        <v>38</v>
      </c>
      <c r="G3189">
        <v>-483.77620000000002</v>
      </c>
      <c r="H3189" s="1">
        <v>-1.891291E-6</v>
      </c>
      <c r="I3189">
        <v>190.33949999999999</v>
      </c>
      <c r="J3189">
        <v>-493.34589999999997</v>
      </c>
      <c r="K3189">
        <v>1.1061889999999901</v>
      </c>
      <c r="L3189">
        <v>246.65190000000001</v>
      </c>
      <c r="M3189">
        <v>-1.9032810000000001E-2</v>
      </c>
      <c r="N3189">
        <v>0</v>
      </c>
      <c r="O3189">
        <v>-0.99972819999999996</v>
      </c>
      <c r="P3189">
        <v>0.1031321</v>
      </c>
      <c r="Q3189">
        <v>1.230879E-2</v>
      </c>
      <c r="R3189">
        <v>-0.99459140000000001</v>
      </c>
      <c r="S3189">
        <v>0.50277709999999998</v>
      </c>
      <c r="T3189">
        <v>-5.8121920000000001E-2</v>
      </c>
      <c r="U3189">
        <v>-2.9654539999999998</v>
      </c>
      <c r="V3189">
        <v>-0.12211660000000001</v>
      </c>
      <c r="W3189">
        <v>2.5326709999999999E-2</v>
      </c>
      <c r="X3189">
        <v>0.99219259999999998</v>
      </c>
      <c r="Y3189">
        <v>-0.18586459999999999</v>
      </c>
      <c r="Z3189">
        <v>1.9282319999999999E-2</v>
      </c>
      <c r="AA3189">
        <v>0.98238619999999899</v>
      </c>
      <c r="AB3189">
        <v>19</v>
      </c>
      <c r="AC3189">
        <v>9.5696999999999495</v>
      </c>
      <c r="AD3189">
        <v>-1.1061908912909999</v>
      </c>
      <c r="AE3189">
        <v>-56.312399999999997</v>
      </c>
      <c r="AF3189">
        <v>-10.635857631603701</v>
      </c>
      <c r="AG3189">
        <v>-1.1061908912909999</v>
      </c>
      <c r="AH3189">
        <v>56.099003055493597</v>
      </c>
      <c r="AI3189">
        <v>91.109877269192793</v>
      </c>
      <c r="AJ3189">
        <v>100.735339572963</v>
      </c>
      <c r="AK3189">
        <v>57.109047178778901</v>
      </c>
    </row>
    <row r="3190" spans="1:37" x14ac:dyDescent="0.2">
      <c r="A3190" t="str">
        <f>"20200111155602394"</f>
        <v>20200111155602394</v>
      </c>
      <c r="B3190" t="str">
        <f>"1578729362385494"</f>
        <v>1578729362385494</v>
      </c>
      <c r="C3190" t="s">
        <v>37</v>
      </c>
      <c r="D3190">
        <v>5.0221589999999896</v>
      </c>
      <c r="E3190">
        <v>0.47363620000000001</v>
      </c>
      <c r="F3190" t="s">
        <v>38</v>
      </c>
      <c r="G3190">
        <v>-483.95940000000002</v>
      </c>
      <c r="H3190" s="1">
        <v>-2.3681249999999999E-6</v>
      </c>
      <c r="I3190">
        <v>191.88399999999999</v>
      </c>
      <c r="J3190">
        <v>-493.34660000000002</v>
      </c>
      <c r="K3190">
        <v>1.106217</v>
      </c>
      <c r="L3190">
        <v>246.5444</v>
      </c>
      <c r="M3190">
        <v>-1.7807389999999999E-2</v>
      </c>
      <c r="N3190">
        <v>0</v>
      </c>
      <c r="O3190">
        <v>-0.99975079999999905</v>
      </c>
      <c r="P3190">
        <v>0.10548969999999901</v>
      </c>
      <c r="Q3190">
        <v>1.20944E-2</v>
      </c>
      <c r="R3190">
        <v>-0.99434699999999998</v>
      </c>
      <c r="S3190">
        <v>0.50805659999999997</v>
      </c>
      <c r="T3190">
        <v>-5.987406E-2</v>
      </c>
      <c r="U3190">
        <v>-2.9643860000000002</v>
      </c>
      <c r="V3190">
        <v>-0.12325410000000001</v>
      </c>
      <c r="W3190">
        <v>2.5101229999999999E-2</v>
      </c>
      <c r="X3190">
        <v>0.99205759999999898</v>
      </c>
      <c r="Y3190">
        <v>-0.18641679999999999</v>
      </c>
      <c r="Z3190">
        <v>1.9867099999999999E-2</v>
      </c>
      <c r="AA3190">
        <v>0.98226990000000003</v>
      </c>
      <c r="AB3190">
        <v>19</v>
      </c>
      <c r="AC3190">
        <v>9.3872</v>
      </c>
      <c r="AD3190">
        <v>-1.1062193681250001</v>
      </c>
      <c r="AE3190">
        <v>-54.660399999999903</v>
      </c>
      <c r="AF3190">
        <v>-10.355038837863599</v>
      </c>
      <c r="AG3190">
        <v>-1.1062193681250001</v>
      </c>
      <c r="AH3190">
        <v>54.462886811692599</v>
      </c>
      <c r="AI3190">
        <v>91.143126768866907</v>
      </c>
      <c r="AJ3190">
        <v>100.76516617196199</v>
      </c>
      <c r="AK3190">
        <v>55.449586026293503</v>
      </c>
    </row>
    <row r="3191" spans="1:37" x14ac:dyDescent="0.2">
      <c r="A3191" t="str">
        <f>"20200111155603866"</f>
        <v>20200111155603866</v>
      </c>
      <c r="B3191" t="str">
        <f>"1578729363855091"</f>
        <v>1578729363855091</v>
      </c>
      <c r="C3191" t="s">
        <v>37</v>
      </c>
      <c r="D3191">
        <v>5.4495899999999997</v>
      </c>
      <c r="E3191">
        <v>0.44128519999999999</v>
      </c>
      <c r="F3191" t="s">
        <v>38</v>
      </c>
      <c r="G3191">
        <v>-483.7636</v>
      </c>
      <c r="H3191" s="1">
        <v>-2.72581399999999E-6</v>
      </c>
      <c r="I3191">
        <v>192.78190000000001</v>
      </c>
      <c r="J3191">
        <v>-491.95190000000002</v>
      </c>
      <c r="K3191">
        <v>1.107345</v>
      </c>
      <c r="L3191">
        <v>234.6259</v>
      </c>
      <c r="M3191">
        <v>0.22348579999999901</v>
      </c>
      <c r="N3191">
        <v>0</v>
      </c>
      <c r="O3191">
        <v>-0.97461359999999997</v>
      </c>
      <c r="P3191">
        <v>0.36209369999999902</v>
      </c>
      <c r="Q3191">
        <v>1.0454929999999999E-2</v>
      </c>
      <c r="R3191">
        <v>-0.93208310000000005</v>
      </c>
      <c r="S3191">
        <v>0.52792359999999905</v>
      </c>
      <c r="T3191">
        <v>-6.0941339999999997E-2</v>
      </c>
      <c r="U3191">
        <v>-2.9617610000000001</v>
      </c>
      <c r="V3191">
        <v>-0.14473549999999999</v>
      </c>
      <c r="W3191">
        <v>2.3030930000000002E-2</v>
      </c>
      <c r="X3191">
        <v>0.98920229999999998</v>
      </c>
      <c r="Y3191">
        <v>4.9031279999999997E-2</v>
      </c>
      <c r="Z3191">
        <v>1.9629319999999999E-2</v>
      </c>
      <c r="AA3191">
        <v>0.99860439999999995</v>
      </c>
      <c r="AB3191">
        <v>18</v>
      </c>
      <c r="AC3191">
        <v>8.1883000000000195</v>
      </c>
      <c r="AD3191">
        <v>-1.1073477258140001</v>
      </c>
      <c r="AE3191">
        <v>-41.843999999999902</v>
      </c>
      <c r="AF3191">
        <v>1.3703120810317</v>
      </c>
      <c r="AG3191">
        <v>-1.1073477258140001</v>
      </c>
      <c r="AH3191">
        <v>42.586862748290002</v>
      </c>
      <c r="AI3191">
        <v>91.488704661097302</v>
      </c>
      <c r="AJ3191">
        <v>88.157036832383696</v>
      </c>
      <c r="AK3191">
        <v>42.623290029360497</v>
      </c>
    </row>
    <row r="3192" spans="1:37" x14ac:dyDescent="0.2">
      <c r="A3192" t="str">
        <f>"20200111155604303"</f>
        <v>20200111155604303</v>
      </c>
      <c r="B3192" t="str">
        <f>"1578729364296242"</f>
        <v>1578729364296242</v>
      </c>
      <c r="C3192" t="s">
        <v>37</v>
      </c>
      <c r="D3192">
        <v>4.7321720000000003</v>
      </c>
      <c r="E3192">
        <v>0.44128519999999999</v>
      </c>
      <c r="F3192" t="s">
        <v>67</v>
      </c>
      <c r="G3192">
        <v>-470.34609999999998</v>
      </c>
      <c r="H3192">
        <v>0.24416779999999999</v>
      </c>
      <c r="I3192">
        <v>197.4254</v>
      </c>
      <c r="J3192">
        <v>-490.9314</v>
      </c>
      <c r="K3192">
        <v>1.107702</v>
      </c>
      <c r="L3192">
        <v>231.4659</v>
      </c>
      <c r="M3192">
        <v>0.32538859999999997</v>
      </c>
      <c r="N3192">
        <v>0</v>
      </c>
      <c r="O3192">
        <v>-0.94548299999999996</v>
      </c>
      <c r="P3192">
        <v>0.50758590000000003</v>
      </c>
      <c r="Q3192">
        <v>2.3424219999999999E-2</v>
      </c>
      <c r="R3192">
        <v>-0.86128269999999996</v>
      </c>
      <c r="S3192">
        <v>1.5255430000000001</v>
      </c>
      <c r="T3192">
        <v>-6.0944320000000003E-2</v>
      </c>
      <c r="U3192">
        <v>-2.626633</v>
      </c>
      <c r="V3192">
        <v>-0.1999042</v>
      </c>
      <c r="W3192">
        <v>3.5479080000000003E-2</v>
      </c>
      <c r="X3192">
        <v>0.97917289999999901</v>
      </c>
      <c r="Y3192">
        <v>-0.1933967</v>
      </c>
      <c r="Z3192">
        <v>1.9605520000000001E-2</v>
      </c>
      <c r="AA3192">
        <v>0.98092469999999998</v>
      </c>
      <c r="AB3192">
        <v>17</v>
      </c>
      <c r="AC3192">
        <v>20.5853</v>
      </c>
      <c r="AD3192">
        <v>-0.86353419999999903</v>
      </c>
      <c r="AE3192">
        <v>-34.040500000000002</v>
      </c>
      <c r="AF3192">
        <v>-8.3834825307596095</v>
      </c>
      <c r="AG3192">
        <v>-0.86353419999999903</v>
      </c>
      <c r="AH3192">
        <v>38.868201757121803</v>
      </c>
      <c r="AI3192">
        <v>91.244128513787203</v>
      </c>
      <c r="AJ3192">
        <v>102.171662306746</v>
      </c>
      <c r="AK3192">
        <v>39.771416601504697</v>
      </c>
    </row>
    <row r="3193" spans="1:37" x14ac:dyDescent="0.2">
      <c r="A3193" t="str">
        <f>"20200111155604682"</f>
        <v>20200111155604682</v>
      </c>
      <c r="B3193" t="str">
        <f>"1578729364675907"</f>
        <v>1578729364675907</v>
      </c>
      <c r="C3193" t="s">
        <v>37</v>
      </c>
      <c r="D3193">
        <v>4.596514</v>
      </c>
      <c r="E3193">
        <v>0.39822439999999998</v>
      </c>
      <c r="F3193" t="s">
        <v>67</v>
      </c>
      <c r="G3193">
        <v>-462.8605</v>
      </c>
      <c r="H3193">
        <v>0.8541784</v>
      </c>
      <c r="I3193">
        <v>197.345</v>
      </c>
      <c r="J3193">
        <v>-489.8073</v>
      </c>
      <c r="K3193">
        <v>1.107423</v>
      </c>
      <c r="L3193">
        <v>228.8997</v>
      </c>
      <c r="M3193">
        <v>0.40921239999999998</v>
      </c>
      <c r="N3193">
        <v>0</v>
      </c>
      <c r="O3193">
        <v>-0.91233929999999996</v>
      </c>
      <c r="P3193">
        <v>0.57924600000000004</v>
      </c>
      <c r="Q3193">
        <v>1.7542729999999999E-2</v>
      </c>
      <c r="R3193">
        <v>-0.81496420000000003</v>
      </c>
      <c r="S3193">
        <v>1.930145</v>
      </c>
      <c r="T3193">
        <v>-1.7429589999999998E-2</v>
      </c>
      <c r="U3193">
        <v>-2.34613</v>
      </c>
      <c r="V3193">
        <v>-0.19516220000000001</v>
      </c>
      <c r="W3193">
        <v>2.9697169999999998E-2</v>
      </c>
      <c r="X3193">
        <v>0.98032129999999995</v>
      </c>
      <c r="Y3193">
        <v>-0.26362989999999997</v>
      </c>
      <c r="Z3193">
        <v>5.5496259999999898E-3</v>
      </c>
      <c r="AA3193">
        <v>0.96460800000000002</v>
      </c>
      <c r="AB3193">
        <v>17</v>
      </c>
      <c r="AC3193">
        <v>26.9468</v>
      </c>
      <c r="AD3193">
        <v>-0.25324459999999999</v>
      </c>
      <c r="AE3193">
        <v>-31.5547</v>
      </c>
      <c r="AF3193">
        <v>-11.672678906743601</v>
      </c>
      <c r="AG3193">
        <v>-0.25324459999999999</v>
      </c>
      <c r="AH3193">
        <v>39.817702482452397</v>
      </c>
      <c r="AI3193">
        <v>90.349686273476394</v>
      </c>
      <c r="AJ3193">
        <v>106.338657310605</v>
      </c>
      <c r="AK3193">
        <v>41.494156174917698</v>
      </c>
    </row>
    <row r="3194" spans="1:37" x14ac:dyDescent="0.2">
      <c r="A3194" t="str">
        <f>"20200111155606358"</f>
        <v>20200111155606358</v>
      </c>
      <c r="B3194" t="str">
        <f>"1578729366356058"</f>
        <v>1578729366356058</v>
      </c>
      <c r="C3194" t="s">
        <v>37</v>
      </c>
      <c r="D3194">
        <v>4.8609819999999999</v>
      </c>
      <c r="E3194">
        <v>0.49216480000000001</v>
      </c>
      <c r="F3194" t="s">
        <v>68</v>
      </c>
      <c r="G3194">
        <v>-454.75740000000002</v>
      </c>
      <c r="H3194">
        <v>1.5439929999999999</v>
      </c>
      <c r="I3194">
        <v>200.0763</v>
      </c>
      <c r="J3194">
        <v>-483.24770000000001</v>
      </c>
      <c r="K3194">
        <v>1.108025</v>
      </c>
      <c r="L3194">
        <v>220.16810000000001</v>
      </c>
      <c r="M3194">
        <v>0.73372859999999995</v>
      </c>
      <c r="N3194">
        <v>0</v>
      </c>
      <c r="O3194">
        <v>-0.67929200000000001</v>
      </c>
      <c r="P3194">
        <v>0.89469719999999997</v>
      </c>
      <c r="Q3194">
        <v>2.5768820000000001E-2</v>
      </c>
      <c r="R3194">
        <v>-0.44592929999999997</v>
      </c>
      <c r="S3194">
        <v>2.4006349999999999</v>
      </c>
      <c r="T3194">
        <v>2.99026999999999E-2</v>
      </c>
      <c r="U3194">
        <v>-1.97416699999999</v>
      </c>
      <c r="V3194">
        <v>-0.28084619999999999</v>
      </c>
      <c r="W3194">
        <v>3.7698219999999998E-2</v>
      </c>
      <c r="X3194">
        <v>0.95901219999999998</v>
      </c>
      <c r="Y3194">
        <v>-5.861036E-2</v>
      </c>
      <c r="Z3194">
        <v>-6.7428740000000003E-3</v>
      </c>
      <c r="AA3194">
        <v>0.99825819999999998</v>
      </c>
      <c r="AB3194">
        <v>13</v>
      </c>
      <c r="AC3194">
        <v>28.490299999999898</v>
      </c>
      <c r="AD3194">
        <v>0.43596799999999902</v>
      </c>
      <c r="AE3194">
        <v>-20.091799999999999</v>
      </c>
      <c r="AF3194">
        <v>-4.6110555636496002</v>
      </c>
      <c r="AG3194">
        <v>0.43596799999999902</v>
      </c>
      <c r="AH3194">
        <v>34.550481051329598</v>
      </c>
      <c r="AI3194">
        <v>89.283416348880195</v>
      </c>
      <c r="AJ3194">
        <v>97.6016898147316</v>
      </c>
      <c r="AK3194">
        <v>34.859541626165601</v>
      </c>
    </row>
    <row r="3195" spans="1:37" x14ac:dyDescent="0.2">
      <c r="A3195" t="str">
        <f>"20200111155606382"</f>
        <v>20200111155606382</v>
      </c>
      <c r="B3195" t="str">
        <f>"1578729366375579"</f>
        <v>1578729366375579</v>
      </c>
      <c r="C3195" t="s">
        <v>37</v>
      </c>
      <c r="D3195">
        <v>5.2249270000000001</v>
      </c>
      <c r="E3195">
        <v>0.49009839999999999</v>
      </c>
      <c r="F3195" t="s">
        <v>59</v>
      </c>
      <c r="G3195">
        <v>-469.66079999999999</v>
      </c>
      <c r="H3195" s="1">
        <v>3.638967E-6</v>
      </c>
      <c r="I3195">
        <v>213.82130000000001</v>
      </c>
      <c r="J3195">
        <v>-483.1447</v>
      </c>
      <c r="K3195">
        <v>1.108044</v>
      </c>
      <c r="L3195">
        <v>220.08539999999999</v>
      </c>
      <c r="M3195">
        <v>0.73899099999999995</v>
      </c>
      <c r="N3195">
        <v>0</v>
      </c>
      <c r="O3195">
        <v>-0.67356380000000005</v>
      </c>
      <c r="P3195">
        <v>0.89751630000000004</v>
      </c>
      <c r="Q3195">
        <v>2.5297839999999999E-2</v>
      </c>
      <c r="R3195">
        <v>-0.44025519999999901</v>
      </c>
      <c r="S3195">
        <v>2.7250369999999999</v>
      </c>
      <c r="T3195">
        <v>-0.22222919999999999</v>
      </c>
      <c r="U3195">
        <v>-1.272934</v>
      </c>
      <c r="V3195">
        <v>-0.27946559999999998</v>
      </c>
      <c r="W3195">
        <v>3.7194560000000002E-2</v>
      </c>
      <c r="X3195">
        <v>0.95943500000000004</v>
      </c>
      <c r="Y3195">
        <v>-0.29534090000000002</v>
      </c>
      <c r="Z3195">
        <v>5.7915319999999999E-2</v>
      </c>
      <c r="AA3195">
        <v>0.95363489999999995</v>
      </c>
      <c r="AB3195">
        <v>13</v>
      </c>
      <c r="AC3195">
        <v>13.4839</v>
      </c>
      <c r="AD3195">
        <v>-1.1080403610330001</v>
      </c>
      <c r="AE3195">
        <v>-6.2640999999999796</v>
      </c>
      <c r="AF3195">
        <v>-4.4290088841754898</v>
      </c>
      <c r="AG3195">
        <v>-1.1080403610330001</v>
      </c>
      <c r="AH3195">
        <v>14.1068489783422</v>
      </c>
      <c r="AI3195">
        <v>94.285711533860095</v>
      </c>
      <c r="AJ3195">
        <v>107.43028590834101</v>
      </c>
      <c r="AK3195">
        <v>14.827240513174999</v>
      </c>
    </row>
    <row r="3196" spans="1:37" x14ac:dyDescent="0.2">
      <c r="A3196" t="str">
        <f>"20200111155606404"</f>
        <v>20200111155606404</v>
      </c>
      <c r="B3196" t="str">
        <f>"1578729366396074"</f>
        <v>1578729366396074</v>
      </c>
      <c r="C3196" t="s">
        <v>37</v>
      </c>
      <c r="D3196">
        <v>4.9358009999999997</v>
      </c>
      <c r="E3196">
        <v>0.4878305</v>
      </c>
      <c r="F3196" t="s">
        <v>56</v>
      </c>
      <c r="G3196">
        <v>-470.87180000000001</v>
      </c>
      <c r="H3196" s="1">
        <v>5.5682719999999998E-6</v>
      </c>
      <c r="I3196">
        <v>214.5351</v>
      </c>
      <c r="J3196">
        <v>-483.04809999999998</v>
      </c>
      <c r="K3196">
        <v>1.10806</v>
      </c>
      <c r="L3196">
        <v>220.0093</v>
      </c>
      <c r="M3196">
        <v>0.74392789999999998</v>
      </c>
      <c r="N3196">
        <v>0</v>
      </c>
      <c r="O3196">
        <v>-0.66810760000000002</v>
      </c>
      <c r="P3196">
        <v>0.8999123</v>
      </c>
      <c r="Q3196">
        <v>2.5752199999999999E-2</v>
      </c>
      <c r="R3196">
        <v>-0.43530959999999902</v>
      </c>
      <c r="S3196">
        <v>2.7413639999999999</v>
      </c>
      <c r="T3196">
        <v>-0.247501</v>
      </c>
      <c r="U3196">
        <v>-1.2397609999999999</v>
      </c>
      <c r="V3196">
        <v>-0.2776805</v>
      </c>
      <c r="W3196">
        <v>3.7626739999999999E-2</v>
      </c>
      <c r="X3196">
        <v>0.95993629999999996</v>
      </c>
      <c r="Y3196">
        <v>-0.2995042</v>
      </c>
      <c r="Z3196">
        <v>6.4203099999999999E-2</v>
      </c>
      <c r="AA3196">
        <v>0.95193240000000001</v>
      </c>
      <c r="AB3196">
        <v>13</v>
      </c>
      <c r="AC3196">
        <v>12.1762999999999</v>
      </c>
      <c r="AD3196">
        <v>-1.1080544317280001</v>
      </c>
      <c r="AE3196">
        <v>-5.47419999999999</v>
      </c>
      <c r="AF3196">
        <v>-4.0352836738454902</v>
      </c>
      <c r="AG3196">
        <v>-1.1080544317280001</v>
      </c>
      <c r="AH3196">
        <v>12.629932959653701</v>
      </c>
      <c r="AI3196">
        <v>94.7771389777173</v>
      </c>
      <c r="AJ3196">
        <v>107.71876372703601</v>
      </c>
      <c r="AK3196">
        <v>13.3051307967048</v>
      </c>
    </row>
    <row r="3197" spans="1:37" x14ac:dyDescent="0.2">
      <c r="A3197" t="str">
        <f>"20200111155606450"</f>
        <v>20200111155606450</v>
      </c>
      <c r="B3197" t="str">
        <f>"1578729366445383"</f>
        <v>1578729366445383</v>
      </c>
      <c r="C3197" t="s">
        <v>37</v>
      </c>
      <c r="D3197">
        <v>4.9506389999999998</v>
      </c>
      <c r="E3197">
        <v>0.48862919999999999</v>
      </c>
      <c r="F3197" t="s">
        <v>59</v>
      </c>
      <c r="G3197">
        <v>-468.19920000000002</v>
      </c>
      <c r="H3197" s="1">
        <v>2.8757440000000002E-6</v>
      </c>
      <c r="I3197">
        <v>213.48740000000001</v>
      </c>
      <c r="J3197">
        <v>-482.8467</v>
      </c>
      <c r="K3197">
        <v>1.1080809999999901</v>
      </c>
      <c r="L3197">
        <v>219.85480000000001</v>
      </c>
      <c r="M3197">
        <v>0.75418540000000001</v>
      </c>
      <c r="N3197">
        <v>0</v>
      </c>
      <c r="O3197">
        <v>-0.65650739999999996</v>
      </c>
      <c r="P3197">
        <v>0.90415909999999999</v>
      </c>
      <c r="Q3197">
        <v>2.677968E-2</v>
      </c>
      <c r="R3197">
        <v>-0.4263554</v>
      </c>
      <c r="S3197">
        <v>2.7543329999999999</v>
      </c>
      <c r="T3197">
        <v>-0.2055342</v>
      </c>
      <c r="U3197">
        <v>-1.2097629999999999</v>
      </c>
      <c r="V3197">
        <v>-0.27232709999999999</v>
      </c>
      <c r="W3197">
        <v>3.8647870000000001E-2</v>
      </c>
      <c r="X3197">
        <v>0.96142830000000001</v>
      </c>
      <c r="Y3197">
        <v>-0.29595329999999997</v>
      </c>
      <c r="Z3197">
        <v>5.2578779999999999E-2</v>
      </c>
      <c r="AA3197">
        <v>0.9537542</v>
      </c>
      <c r="AB3197">
        <v>13</v>
      </c>
      <c r="AC3197">
        <v>14.6474999999999</v>
      </c>
      <c r="AD3197">
        <v>-1.1080781242559901</v>
      </c>
      <c r="AE3197">
        <v>-6.3673999999999999</v>
      </c>
      <c r="AF3197">
        <v>-4.7914168290461703</v>
      </c>
      <c r="AG3197">
        <v>-1.1080781242559901</v>
      </c>
      <c r="AH3197">
        <v>15.1557680844867</v>
      </c>
      <c r="AI3197">
        <v>93.987741874091398</v>
      </c>
      <c r="AJ3197">
        <v>107.544077538563</v>
      </c>
      <c r="AK3197">
        <v>15.9337007185985</v>
      </c>
    </row>
    <row r="3198" spans="1:37" x14ac:dyDescent="0.2">
      <c r="A3198" t="str">
        <f>"20200111155606471"</f>
        <v>20200111155606471</v>
      </c>
      <c r="B3198" t="str">
        <f>"1578729366465879"</f>
        <v>1578729366465879</v>
      </c>
      <c r="C3198" t="s">
        <v>37</v>
      </c>
      <c r="D3198">
        <v>4.9555639999999999</v>
      </c>
      <c r="E3198">
        <v>0.48787449999999999</v>
      </c>
      <c r="F3198" t="s">
        <v>59</v>
      </c>
      <c r="G3198">
        <v>-465.84690000000001</v>
      </c>
      <c r="H3198" s="1">
        <v>1.665586E-6</v>
      </c>
      <c r="I3198">
        <v>212.53550000000001</v>
      </c>
      <c r="J3198">
        <v>-482.75409999999999</v>
      </c>
      <c r="K3198">
        <v>1.1080859999999999</v>
      </c>
      <c r="L3198">
        <v>219.78550000000001</v>
      </c>
      <c r="M3198">
        <v>0.75890340000000001</v>
      </c>
      <c r="N3198">
        <v>0</v>
      </c>
      <c r="O3198">
        <v>-0.65104830000000002</v>
      </c>
      <c r="P3198">
        <v>0.90594319999999895</v>
      </c>
      <c r="Q3198">
        <v>2.6121809999999999E-2</v>
      </c>
      <c r="R3198">
        <v>-0.422593099999999</v>
      </c>
      <c r="S3198">
        <v>2.7624819999999999</v>
      </c>
      <c r="T3198">
        <v>-0.18006320000000001</v>
      </c>
      <c r="U3198">
        <v>-1.1893769999999999</v>
      </c>
      <c r="V3198">
        <v>-0.26939289999999999</v>
      </c>
      <c r="W3198">
        <v>3.799889E-2</v>
      </c>
      <c r="X3198">
        <v>0.96228040000000004</v>
      </c>
      <c r="Y3198">
        <v>-0.2964638</v>
      </c>
      <c r="Z3198">
        <v>4.581822E-2</v>
      </c>
      <c r="AA3198">
        <v>0.95394439999999903</v>
      </c>
      <c r="AB3198">
        <v>13</v>
      </c>
      <c r="AC3198">
        <v>16.9071999999999</v>
      </c>
      <c r="AD3198">
        <v>-1.1080843344139999</v>
      </c>
      <c r="AE3198">
        <v>-7.25</v>
      </c>
      <c r="AF3198">
        <v>-5.4860050880257996</v>
      </c>
      <c r="AG3198">
        <v>-1.1080843344139999</v>
      </c>
      <c r="AH3198">
        <v>17.489347004548002</v>
      </c>
      <c r="AI3198">
        <v>93.459510924927798</v>
      </c>
      <c r="AJ3198">
        <v>107.415438997443</v>
      </c>
      <c r="AK3198">
        <v>18.363043357883601</v>
      </c>
    </row>
    <row r="3199" spans="1:37" x14ac:dyDescent="0.2">
      <c r="A3199" t="str">
        <f>"20200111155606495"</f>
        <v>20200111155606495</v>
      </c>
      <c r="B3199" t="str">
        <f>"1578729366485399"</f>
        <v>1578729366485399</v>
      </c>
      <c r="C3199" t="s">
        <v>37</v>
      </c>
      <c r="D3199">
        <v>5.0117120000000002</v>
      </c>
      <c r="E3199">
        <v>0.48765929999999902</v>
      </c>
      <c r="F3199" t="s">
        <v>59</v>
      </c>
      <c r="G3199">
        <v>-465.51679999999999</v>
      </c>
      <c r="H3199" s="1">
        <v>1.4919010000000001E-6</v>
      </c>
      <c r="I3199">
        <v>212.4898</v>
      </c>
      <c r="J3199">
        <v>-482.6506</v>
      </c>
      <c r="K3199">
        <v>1.1080950000000001</v>
      </c>
      <c r="L3199">
        <v>219.70949999999999</v>
      </c>
      <c r="M3199">
        <v>0.76417000000000002</v>
      </c>
      <c r="N3199">
        <v>0</v>
      </c>
      <c r="O3199">
        <v>-0.6448585</v>
      </c>
      <c r="P3199">
        <v>0.90772129999999995</v>
      </c>
      <c r="Q3199">
        <v>2.2952650000000002E-2</v>
      </c>
      <c r="R3199">
        <v>-0.41894549999999903</v>
      </c>
      <c r="S3199">
        <v>2.7697750000000001</v>
      </c>
      <c r="T3199">
        <v>-0.17805209999999999</v>
      </c>
      <c r="U3199">
        <v>-1.172302</v>
      </c>
      <c r="V3199">
        <v>-0.26547459999999901</v>
      </c>
      <c r="W3199">
        <v>3.4849560000000002E-2</v>
      </c>
      <c r="X3199">
        <v>0.96348780000000001</v>
      </c>
      <c r="Y3199">
        <v>-0.29463499999999998</v>
      </c>
      <c r="Z3199">
        <v>4.4944789999999998E-2</v>
      </c>
      <c r="AA3199">
        <v>0.95455239999999997</v>
      </c>
      <c r="AB3199">
        <v>13</v>
      </c>
      <c r="AC3199">
        <v>17.133800000000001</v>
      </c>
      <c r="AD3199">
        <v>-1.108093508099</v>
      </c>
      <c r="AE3199">
        <v>-7.21969999999998</v>
      </c>
      <c r="AF3199">
        <v>-5.51277545808236</v>
      </c>
      <c r="AG3199">
        <v>-1.108093508099</v>
      </c>
      <c r="AH3199">
        <v>17.687785533665998</v>
      </c>
      <c r="AI3199">
        <v>93.422769846637493</v>
      </c>
      <c r="AJ3199">
        <v>107.31075873703099</v>
      </c>
      <c r="AK3199">
        <v>18.560073317713201</v>
      </c>
    </row>
    <row r="3200" spans="1:37" x14ac:dyDescent="0.2">
      <c r="A3200" t="str">
        <f>"20200111155606516"</f>
        <v>20200111155606516</v>
      </c>
      <c r="B3200" t="str">
        <f>"1578729366505894"</f>
        <v>1578729366505894</v>
      </c>
      <c r="C3200" t="s">
        <v>37</v>
      </c>
      <c r="D3200">
        <v>4.957217</v>
      </c>
      <c r="E3200">
        <v>0.48765239999999999</v>
      </c>
      <c r="F3200" t="s">
        <v>59</v>
      </c>
      <c r="G3200">
        <v>-466.30619999999999</v>
      </c>
      <c r="H3200" s="1">
        <v>1.894844E-6</v>
      </c>
      <c r="I3200">
        <v>212.88319999999999</v>
      </c>
      <c r="J3200">
        <v>-482.55470000000003</v>
      </c>
      <c r="K3200">
        <v>1.1081270000000001</v>
      </c>
      <c r="L3200">
        <v>219.6403</v>
      </c>
      <c r="M3200">
        <v>0.76905840000000003</v>
      </c>
      <c r="N3200">
        <v>0</v>
      </c>
      <c r="O3200">
        <v>-0.63902080000000006</v>
      </c>
      <c r="P3200">
        <v>0.90927849999999999</v>
      </c>
      <c r="Q3200">
        <v>1.9994729999999999E-2</v>
      </c>
      <c r="R3200">
        <v>-0.41570790000000002</v>
      </c>
      <c r="S3200">
        <v>2.7748409999999999</v>
      </c>
      <c r="T3200">
        <v>-0.18812470000000001</v>
      </c>
      <c r="U3200">
        <v>-1.15892</v>
      </c>
      <c r="V3200">
        <v>-0.2615944</v>
      </c>
      <c r="W3200">
        <v>3.1911019999999998E-2</v>
      </c>
      <c r="X3200">
        <v>0.96465020000000001</v>
      </c>
      <c r="Y3200">
        <v>-0.29174749999999999</v>
      </c>
      <c r="Z3200">
        <v>4.7096579999999999E-2</v>
      </c>
      <c r="AA3200">
        <v>0.95533519999999905</v>
      </c>
      <c r="AB3200">
        <v>13</v>
      </c>
      <c r="AC3200">
        <v>16.2485</v>
      </c>
      <c r="AD3200">
        <v>-1.1081251051559999</v>
      </c>
      <c r="AE3200">
        <v>-6.7571000000000003</v>
      </c>
      <c r="AF3200">
        <v>-5.1665608859365397</v>
      </c>
      <c r="AG3200">
        <v>-1.1081251051559999</v>
      </c>
      <c r="AH3200">
        <v>16.749252203329501</v>
      </c>
      <c r="AI3200">
        <v>93.617440972008097</v>
      </c>
      <c r="AJ3200">
        <v>107.14317201988101</v>
      </c>
      <c r="AK3200">
        <v>17.562993537762999</v>
      </c>
    </row>
    <row r="3201" spans="1:37" x14ac:dyDescent="0.2">
      <c r="A3201" t="str">
        <f>"20200111155606538"</f>
        <v>20200111155606538</v>
      </c>
      <c r="B3201" t="str">
        <f>"1578729366525414"</f>
        <v>1578729366525414</v>
      </c>
      <c r="C3201" t="s">
        <v>37</v>
      </c>
      <c r="D3201">
        <v>5.0231750000000002</v>
      </c>
      <c r="E3201">
        <v>0.48801670000000003</v>
      </c>
      <c r="F3201" t="s">
        <v>59</v>
      </c>
      <c r="G3201">
        <v>-466.7903</v>
      </c>
      <c r="H3201" s="1">
        <v>2.1418489999999998E-6</v>
      </c>
      <c r="I3201">
        <v>213.12459999999999</v>
      </c>
      <c r="J3201">
        <v>-482.46120000000002</v>
      </c>
      <c r="K3201">
        <v>1.1081669999999999</v>
      </c>
      <c r="L3201">
        <v>219.57419999999999</v>
      </c>
      <c r="M3201">
        <v>0.77382790000000001</v>
      </c>
      <c r="N3201">
        <v>0</v>
      </c>
      <c r="O3201">
        <v>-0.63323689999999999</v>
      </c>
      <c r="P3201">
        <v>0.91084799999999999</v>
      </c>
      <c r="Q3201">
        <v>1.908371E-2</v>
      </c>
      <c r="R3201">
        <v>-0.41230079999999902</v>
      </c>
      <c r="S3201">
        <v>2.7785340000000001</v>
      </c>
      <c r="T3201">
        <v>-0.19530999999999901</v>
      </c>
      <c r="U3201">
        <v>-1.148407</v>
      </c>
      <c r="V3201">
        <v>-0.25797979999999998</v>
      </c>
      <c r="W3201">
        <v>3.101549E-2</v>
      </c>
      <c r="X3201">
        <v>0.96565230000000002</v>
      </c>
      <c r="Y3201">
        <v>-0.28800500000000001</v>
      </c>
      <c r="Z3201">
        <v>4.8471559999999997E-2</v>
      </c>
      <c r="AA3201">
        <v>0.95640130000000001</v>
      </c>
      <c r="AB3201">
        <v>12</v>
      </c>
      <c r="AC3201">
        <v>15.6709</v>
      </c>
      <c r="AD3201">
        <v>-1.108164858151</v>
      </c>
      <c r="AE3201">
        <v>-6.4496000000000002</v>
      </c>
      <c r="AF3201">
        <v>-4.9120035663513102</v>
      </c>
      <c r="AG3201">
        <v>-1.108164858151</v>
      </c>
      <c r="AH3201">
        <v>16.143304307310402</v>
      </c>
      <c r="AI3201">
        <v>93.757371257347103</v>
      </c>
      <c r="AJ3201">
        <v>106.92369295145301</v>
      </c>
      <c r="AK3201">
        <v>16.910413429219201</v>
      </c>
    </row>
    <row r="3202" spans="1:37" x14ac:dyDescent="0.2">
      <c r="A3202" t="str">
        <f>"20200111155606561"</f>
        <v>20200111155606561</v>
      </c>
      <c r="B3202" t="str">
        <f>"1578729366556179"</f>
        <v>1578729366556179</v>
      </c>
      <c r="C3202" t="s">
        <v>37</v>
      </c>
      <c r="D3202">
        <v>5.0575960000000002</v>
      </c>
      <c r="E3202">
        <v>0.48813069999999997</v>
      </c>
      <c r="F3202" t="s">
        <v>59</v>
      </c>
      <c r="G3202">
        <v>-467.2303</v>
      </c>
      <c r="H3202" s="1">
        <v>2.366864E-6</v>
      </c>
      <c r="I3202">
        <v>213.334</v>
      </c>
      <c r="J3202">
        <v>-482.36110000000002</v>
      </c>
      <c r="K3202">
        <v>1.1082190000000001</v>
      </c>
      <c r="L3202">
        <v>219.50479999999999</v>
      </c>
      <c r="M3202">
        <v>0.77894699999999994</v>
      </c>
      <c r="N3202">
        <v>0</v>
      </c>
      <c r="O3202">
        <v>-0.62692869999999901</v>
      </c>
      <c r="P3202">
        <v>0.91279659999999996</v>
      </c>
      <c r="Q3202">
        <v>2.00345E-2</v>
      </c>
      <c r="R3202">
        <v>-0.40792299999999998</v>
      </c>
      <c r="S3202">
        <v>2.7819210000000001</v>
      </c>
      <c r="T3202">
        <v>-0.20240549999999999</v>
      </c>
      <c r="U3202">
        <v>-1.1397709999999901</v>
      </c>
      <c r="V3202">
        <v>-0.25476539999999998</v>
      </c>
      <c r="W3202">
        <v>3.1974410000000002E-2</v>
      </c>
      <c r="X3202">
        <v>0.9664741</v>
      </c>
      <c r="Y3202">
        <v>-0.28307080000000001</v>
      </c>
      <c r="Z3202">
        <v>4.9719180000000002E-2</v>
      </c>
      <c r="AA3202">
        <v>0.95780940000000003</v>
      </c>
      <c r="AB3202">
        <v>12</v>
      </c>
      <c r="AC3202">
        <v>15.130800000000001</v>
      </c>
      <c r="AD3202">
        <v>-1.1082166331359999</v>
      </c>
      <c r="AE3202">
        <v>-6.1707999999999803</v>
      </c>
      <c r="AF3202">
        <v>-4.6582538452392104</v>
      </c>
      <c r="AG3202">
        <v>-1.1082166331359999</v>
      </c>
      <c r="AH3202">
        <v>15.5846433134011</v>
      </c>
      <c r="AI3202">
        <v>93.897604814231599</v>
      </c>
      <c r="AJ3202">
        <v>106.641418674698</v>
      </c>
      <c r="AK3202">
        <v>16.3036370236393</v>
      </c>
    </row>
    <row r="3203" spans="1:37" x14ac:dyDescent="0.2">
      <c r="A3203" t="str">
        <f>"20200111155606583"</f>
        <v>20200111155606583</v>
      </c>
      <c r="B3203" t="str">
        <f>"1578729366575701"</f>
        <v>1578729366575701</v>
      </c>
      <c r="C3203" t="s">
        <v>37</v>
      </c>
      <c r="D3203">
        <v>5.0532979999999998</v>
      </c>
      <c r="E3203">
        <v>0.48838979999999999</v>
      </c>
      <c r="F3203" t="s">
        <v>59</v>
      </c>
      <c r="G3203">
        <v>-466.9821</v>
      </c>
      <c r="H3203" s="1">
        <v>2.2369299999999899E-6</v>
      </c>
      <c r="I3203">
        <v>213.2852</v>
      </c>
      <c r="J3203">
        <v>-482.26179999999999</v>
      </c>
      <c r="K3203">
        <v>1.1082700000000001</v>
      </c>
      <c r="L3203">
        <v>219.4374</v>
      </c>
      <c r="M3203">
        <v>0.78402969999999905</v>
      </c>
      <c r="N3203">
        <v>0</v>
      </c>
      <c r="O3203">
        <v>-0.62056089999999997</v>
      </c>
      <c r="P3203">
        <v>0.915033599999999</v>
      </c>
      <c r="Q3203">
        <v>2.2171130000000001E-2</v>
      </c>
      <c r="R3203">
        <v>-0.40276809999999902</v>
      </c>
      <c r="S3203">
        <v>2.7872309999999998</v>
      </c>
      <c r="T3203">
        <v>-0.2008491</v>
      </c>
      <c r="U3203">
        <v>-1.127213</v>
      </c>
      <c r="V3203">
        <v>-0.25232769999999999</v>
      </c>
      <c r="W3203">
        <v>3.4113289999999998E-2</v>
      </c>
      <c r="X3203">
        <v>0.96704040000000002</v>
      </c>
      <c r="Y3203">
        <v>-0.27964450000000002</v>
      </c>
      <c r="Z3203">
        <v>4.8864119999999997E-2</v>
      </c>
      <c r="AA3203">
        <v>0.95885929999999997</v>
      </c>
      <c r="AB3203">
        <v>12</v>
      </c>
      <c r="AC3203">
        <v>15.279699999999901</v>
      </c>
      <c r="AD3203">
        <v>-1.10826776307</v>
      </c>
      <c r="AE3203">
        <v>-6.1521999999999899</v>
      </c>
      <c r="AF3203">
        <v>-4.6379505513450798</v>
      </c>
      <c r="AG3203">
        <v>-1.10826776307</v>
      </c>
      <c r="AH3203">
        <v>15.727945751163199</v>
      </c>
      <c r="AI3203">
        <v>93.866597905577095</v>
      </c>
      <c r="AJ3203">
        <v>106.430048696169</v>
      </c>
      <c r="AK3203">
        <v>16.434935968932599</v>
      </c>
    </row>
    <row r="3204" spans="1:37" x14ac:dyDescent="0.2">
      <c r="A3204" t="str">
        <f>"20200111155606606"</f>
        <v>20200111155606606</v>
      </c>
      <c r="B3204" t="str">
        <f>"1578729366596195"</f>
        <v>1578729366596195</v>
      </c>
      <c r="C3204" t="s">
        <v>37</v>
      </c>
      <c r="D3204">
        <v>5.0422000000000002</v>
      </c>
      <c r="E3204">
        <v>0.48829989999999901</v>
      </c>
      <c r="F3204" t="s">
        <v>59</v>
      </c>
      <c r="G3204">
        <v>-466.2722</v>
      </c>
      <c r="H3204" s="1">
        <v>1.8689359999999999E-6</v>
      </c>
      <c r="I3204">
        <v>213.0608</v>
      </c>
      <c r="J3204">
        <v>-482.15719999999999</v>
      </c>
      <c r="K3204">
        <v>1.108312</v>
      </c>
      <c r="L3204">
        <v>219.36789999999999</v>
      </c>
      <c r="M3204">
        <v>0.7893732</v>
      </c>
      <c r="N3204">
        <v>0</v>
      </c>
      <c r="O3204">
        <v>-0.613749199999999</v>
      </c>
      <c r="P3204">
        <v>0.91767799999999999</v>
      </c>
      <c r="Q3204">
        <v>2.4585619999999999E-2</v>
      </c>
      <c r="R3204">
        <v>-0.39656379999999902</v>
      </c>
      <c r="S3204">
        <v>2.7929689999999998</v>
      </c>
      <c r="T3204">
        <v>-0.19358549999999999</v>
      </c>
      <c r="U3204">
        <v>-1.113815</v>
      </c>
      <c r="V3204">
        <v>-0.25048350000000003</v>
      </c>
      <c r="W3204">
        <v>3.6531719999999997E-2</v>
      </c>
      <c r="X3204">
        <v>0.96743140000000005</v>
      </c>
      <c r="Y3204">
        <v>-0.27611950000000002</v>
      </c>
      <c r="Z3204">
        <v>4.6612880000000002E-2</v>
      </c>
      <c r="AA3204">
        <v>0.95999230000000002</v>
      </c>
      <c r="AB3204">
        <v>12</v>
      </c>
      <c r="AC3204">
        <v>15.8849999999999</v>
      </c>
      <c r="AD3204">
        <v>-1.108310131064</v>
      </c>
      <c r="AE3204">
        <v>-6.3070999999999904</v>
      </c>
      <c r="AF3204">
        <v>-4.7512526437052296</v>
      </c>
      <c r="AG3204">
        <v>-1.108310131064</v>
      </c>
      <c r="AH3204">
        <v>16.3431037589508</v>
      </c>
      <c r="AI3204">
        <v>93.725789760784295</v>
      </c>
      <c r="AJ3204">
        <v>106.21015759794901</v>
      </c>
      <c r="AK3204">
        <v>17.0557847520062</v>
      </c>
    </row>
    <row r="3205" spans="1:37" x14ac:dyDescent="0.2">
      <c r="A3205" t="str">
        <f>"20200111155607208"</f>
        <v>20200111155607208</v>
      </c>
      <c r="B3205" t="str">
        <f>"1578729367205728"</f>
        <v>1578729367205728</v>
      </c>
      <c r="C3205" t="s">
        <v>37</v>
      </c>
      <c r="D3205">
        <v>5.0681370000000001</v>
      </c>
      <c r="E3205">
        <v>0.45111390000000001</v>
      </c>
      <c r="F3205" t="s">
        <v>59</v>
      </c>
      <c r="G3205">
        <v>-465.35250000000002</v>
      </c>
      <c r="H3205" s="1">
        <v>1.3908529999999899E-6</v>
      </c>
      <c r="I3205">
        <v>212.8021</v>
      </c>
      <c r="J3205">
        <v>-479.35849999999999</v>
      </c>
      <c r="K3205">
        <v>1.1082730000000001</v>
      </c>
      <c r="L3205">
        <v>218.02520000000001</v>
      </c>
      <c r="M3205">
        <v>0.9178364</v>
      </c>
      <c r="N3205">
        <v>0</v>
      </c>
      <c r="O3205">
        <v>-0.39678600000000003</v>
      </c>
      <c r="P3205">
        <v>0.97674509999999903</v>
      </c>
      <c r="Q3205">
        <v>3.326494E-2</v>
      </c>
      <c r="R3205">
        <v>-0.211808</v>
      </c>
      <c r="S3205">
        <v>2.8010860000000002</v>
      </c>
      <c r="T3205">
        <v>-0.18473819999999999</v>
      </c>
      <c r="U3205">
        <v>-1.0944209999999901</v>
      </c>
      <c r="V3205">
        <v>-0.19353129999999999</v>
      </c>
      <c r="W3205">
        <v>4.3151160000000001E-2</v>
      </c>
      <c r="X3205">
        <v>0.98014469999999998</v>
      </c>
      <c r="Y3205">
        <v>-3.4807520000000002E-2</v>
      </c>
      <c r="Z3205">
        <v>2.5330390000000001E-2</v>
      </c>
      <c r="AA3205">
        <v>0.99907299999999999</v>
      </c>
      <c r="AB3205">
        <v>12</v>
      </c>
      <c r="AC3205">
        <v>14.005999999999901</v>
      </c>
      <c r="AD3205">
        <v>-1.108271609147</v>
      </c>
      <c r="AE3205">
        <v>-5.2231000000000103</v>
      </c>
      <c r="AF3205">
        <v>-0.75931196840931003</v>
      </c>
      <c r="AG3205">
        <v>-1.108271609147</v>
      </c>
      <c r="AH3205">
        <v>14.8470815446057</v>
      </c>
      <c r="AI3205">
        <v>94.263418269402607</v>
      </c>
      <c r="AJ3205">
        <v>92.927679804304802</v>
      </c>
      <c r="AK3205">
        <v>14.9077379577581</v>
      </c>
    </row>
    <row r="3206" spans="1:37" x14ac:dyDescent="0.2">
      <c r="A3206" t="str">
        <f>"20200111155607232"</f>
        <v>20200111155607232</v>
      </c>
      <c r="B3206" t="str">
        <f>"1578729367226224"</f>
        <v>1578729367226224</v>
      </c>
      <c r="C3206" t="s">
        <v>37</v>
      </c>
      <c r="D3206">
        <v>5.0865679999999998</v>
      </c>
      <c r="E3206">
        <v>0.45533599999999902</v>
      </c>
      <c r="F3206" t="s">
        <v>59</v>
      </c>
      <c r="G3206">
        <v>-376.26179999999999</v>
      </c>
      <c r="H3206">
        <v>2.7469199999999999E-2</v>
      </c>
      <c r="I3206">
        <v>209.6163</v>
      </c>
      <c r="J3206">
        <v>-479.24310000000003</v>
      </c>
      <c r="K3206">
        <v>1.108247</v>
      </c>
      <c r="L3206">
        <v>217.989</v>
      </c>
      <c r="M3206">
        <v>0.92206069999999996</v>
      </c>
      <c r="N3206">
        <v>0</v>
      </c>
      <c r="O3206">
        <v>-0.38688519999999998</v>
      </c>
      <c r="P3206">
        <v>0.97870109999999999</v>
      </c>
      <c r="Q3206">
        <v>3.3199939999999997E-2</v>
      </c>
      <c r="R3206">
        <v>-0.2025892</v>
      </c>
      <c r="S3206">
        <v>3.0190730000000001</v>
      </c>
      <c r="T3206">
        <v>-3.1650190000000002E-2</v>
      </c>
      <c r="U3206">
        <v>-0.246246299999999</v>
      </c>
      <c r="V3206">
        <v>-0.19222229999999901</v>
      </c>
      <c r="W3206">
        <v>4.251278E-2</v>
      </c>
      <c r="X3206">
        <v>0.98043009999999997</v>
      </c>
      <c r="Y3206">
        <v>-0.3106294</v>
      </c>
      <c r="Z3206">
        <v>5.576948E-3</v>
      </c>
      <c r="AA3206">
        <v>0.95051469999999905</v>
      </c>
      <c r="AB3206">
        <v>12</v>
      </c>
      <c r="AC3206">
        <v>102.9813</v>
      </c>
      <c r="AD3206">
        <v>-1.0807777999999999</v>
      </c>
      <c r="AE3206">
        <v>-8.3727</v>
      </c>
      <c r="AF3206">
        <v>-32.120278890399398</v>
      </c>
      <c r="AG3206">
        <v>-1.0807777999999999</v>
      </c>
      <c r="AH3206">
        <v>98.189623489722806</v>
      </c>
      <c r="AI3206">
        <v>90.599379231089301</v>
      </c>
      <c r="AJ3206">
        <v>108.11421373869</v>
      </c>
      <c r="AK3206">
        <v>103.31545168900701</v>
      </c>
    </row>
    <row r="3207" spans="1:37" x14ac:dyDescent="0.2">
      <c r="A3207" t="str">
        <f>"20200111155607253"</f>
        <v>20200111155607253</v>
      </c>
      <c r="B3207" t="str">
        <f>"1578729367245743"</f>
        <v>1578729367245743</v>
      </c>
      <c r="C3207" t="s">
        <v>37</v>
      </c>
      <c r="D3207">
        <v>4.993188</v>
      </c>
      <c r="E3207">
        <v>0.45832539999999999</v>
      </c>
      <c r="F3207" t="s">
        <v>61</v>
      </c>
      <c r="G3207">
        <v>-403.48329999999999</v>
      </c>
      <c r="H3207" s="1">
        <v>7.4585190000000001E-6</v>
      </c>
      <c r="I3207">
        <v>211.7079</v>
      </c>
      <c r="J3207">
        <v>-479.13199999999898</v>
      </c>
      <c r="K3207">
        <v>1.108233</v>
      </c>
      <c r="L3207">
        <v>217.9554</v>
      </c>
      <c r="M3207">
        <v>0.92602249999999997</v>
      </c>
      <c r="N3207">
        <v>0</v>
      </c>
      <c r="O3207">
        <v>-0.37732070000000001</v>
      </c>
      <c r="P3207">
        <v>0.98042019999999996</v>
      </c>
      <c r="Q3207">
        <v>3.2711369999999997E-2</v>
      </c>
      <c r="R3207">
        <v>-0.1941821</v>
      </c>
      <c r="S3207">
        <v>3.0149840000000001</v>
      </c>
      <c r="T3207">
        <v>-4.410422E-2</v>
      </c>
      <c r="U3207">
        <v>-0.24996950000000001</v>
      </c>
      <c r="V3207">
        <v>-0.19048950000000001</v>
      </c>
      <c r="W3207">
        <v>4.1442270000000003E-2</v>
      </c>
      <c r="X3207">
        <v>0.98081409999999902</v>
      </c>
      <c r="Y3207">
        <v>-0.29946420000000001</v>
      </c>
      <c r="Z3207">
        <v>7.5695469999999898E-3</v>
      </c>
      <c r="AA3207">
        <v>0.95407749999999902</v>
      </c>
      <c r="AB3207">
        <v>12</v>
      </c>
      <c r="AC3207">
        <v>75.648699999999906</v>
      </c>
      <c r="AD3207">
        <v>-1.1082255414810001</v>
      </c>
      <c r="AE3207">
        <v>-6.2474999999999996</v>
      </c>
      <c r="AF3207">
        <v>-22.754912449289399</v>
      </c>
      <c r="AG3207">
        <v>-1.1082255414810001</v>
      </c>
      <c r="AH3207">
        <v>72.398311339552507</v>
      </c>
      <c r="AI3207">
        <v>90.836633039556801</v>
      </c>
      <c r="AJ3207">
        <v>107.44802208153</v>
      </c>
      <c r="AK3207">
        <v>75.898153398119007</v>
      </c>
    </row>
    <row r="3208" spans="1:37" x14ac:dyDescent="0.2">
      <c r="A3208" t="str">
        <f>"20200111155607276"</f>
        <v>20200111155607276</v>
      </c>
      <c r="B3208" t="str">
        <f>"1578729367266240"</f>
        <v>1578729367266240</v>
      </c>
      <c r="C3208" t="s">
        <v>37</v>
      </c>
      <c r="D3208">
        <v>5.023828</v>
      </c>
      <c r="E3208">
        <v>0.45958209999999999</v>
      </c>
      <c r="F3208" t="s">
        <v>61</v>
      </c>
      <c r="G3208">
        <v>-414.44310000000002</v>
      </c>
      <c r="H3208" s="1">
        <v>3.1655579999999999E-6</v>
      </c>
      <c r="I3208">
        <v>212.65260000000001</v>
      </c>
      <c r="J3208">
        <v>-479.01420000000002</v>
      </c>
      <c r="K3208">
        <v>1.1082299999999901</v>
      </c>
      <c r="L3208">
        <v>217.92099999999999</v>
      </c>
      <c r="M3208">
        <v>0.93010999999999999</v>
      </c>
      <c r="N3208">
        <v>0</v>
      </c>
      <c r="O3208">
        <v>-0.367147</v>
      </c>
      <c r="P3208">
        <v>0.98184939999999998</v>
      </c>
      <c r="Q3208">
        <v>3.282144E-2</v>
      </c>
      <c r="R3208">
        <v>-0.18680169999999999</v>
      </c>
      <c r="S3208">
        <v>3.0127259999999998</v>
      </c>
      <c r="T3208">
        <v>-5.161309E-2</v>
      </c>
      <c r="U3208">
        <v>-0.2469635</v>
      </c>
      <c r="V3208">
        <v>-0.1871138</v>
      </c>
      <c r="W3208">
        <v>4.0922489999999999E-2</v>
      </c>
      <c r="X3208">
        <v>0.98148550000000001</v>
      </c>
      <c r="Y3208">
        <v>-0.28985129999999998</v>
      </c>
      <c r="Z3208">
        <v>8.6206670000000003E-3</v>
      </c>
      <c r="AA3208">
        <v>0.95703289999999996</v>
      </c>
      <c r="AB3208">
        <v>12</v>
      </c>
      <c r="AC3208">
        <v>64.571100000000001</v>
      </c>
      <c r="AD3208">
        <v>-1.1082268344419901</v>
      </c>
      <c r="AE3208">
        <v>-5.2683999999999802</v>
      </c>
      <c r="AF3208">
        <v>-18.802318261186802</v>
      </c>
      <c r="AG3208">
        <v>-1.1082268344419901</v>
      </c>
      <c r="AH3208">
        <v>61.977419808091703</v>
      </c>
      <c r="AI3208">
        <v>90.980295536744805</v>
      </c>
      <c r="AJ3208">
        <v>106.87641671444899</v>
      </c>
      <c r="AK3208">
        <v>64.7761985977872</v>
      </c>
    </row>
    <row r="3209" spans="1:37" x14ac:dyDescent="0.2">
      <c r="A3209" t="str">
        <f>"20200111155607310"</f>
        <v>20200111155607310</v>
      </c>
      <c r="B3209" t="str">
        <f>"1578729367306255"</f>
        <v>1578729367306255</v>
      </c>
      <c r="C3209" t="s">
        <v>37</v>
      </c>
      <c r="D3209">
        <v>5.0366519999999904</v>
      </c>
      <c r="E3209">
        <v>0.46358690000000002</v>
      </c>
      <c r="F3209" t="s">
        <v>61</v>
      </c>
      <c r="G3209">
        <v>-414.67239999999998</v>
      </c>
      <c r="H3209" s="1">
        <v>3.1831219999999998E-6</v>
      </c>
      <c r="I3209">
        <v>212.917</v>
      </c>
      <c r="J3209">
        <v>-478.83460000000002</v>
      </c>
      <c r="K3209">
        <v>1.108258</v>
      </c>
      <c r="L3209">
        <v>217.87129999999999</v>
      </c>
      <c r="M3209">
        <v>0.93612469999999903</v>
      </c>
      <c r="N3209">
        <v>0</v>
      </c>
      <c r="O3209">
        <v>-0.35155520000000001</v>
      </c>
      <c r="P3209">
        <v>0.98393330000000001</v>
      </c>
      <c r="Q3209">
        <v>3.3153769999999999E-2</v>
      </c>
      <c r="R3209">
        <v>-0.17543210000000001</v>
      </c>
      <c r="S3209">
        <v>3.0126339999999998</v>
      </c>
      <c r="T3209">
        <v>-5.1889780000000003E-2</v>
      </c>
      <c r="U3209">
        <v>-0.2342987</v>
      </c>
      <c r="V3209">
        <v>-0.18206649999999999</v>
      </c>
      <c r="W3209">
        <v>4.025546E-2</v>
      </c>
      <c r="X3209">
        <v>0.9824619</v>
      </c>
      <c r="Y3209">
        <v>-0.27783229999999998</v>
      </c>
      <c r="Z3209">
        <v>8.3146469999999997E-3</v>
      </c>
      <c r="AA3209">
        <v>0.96059359999999905</v>
      </c>
      <c r="AB3209">
        <v>12</v>
      </c>
      <c r="AC3209">
        <v>64.162199999999999</v>
      </c>
      <c r="AD3209">
        <v>-1.108254816878</v>
      </c>
      <c r="AE3209">
        <v>-4.9542999999999804</v>
      </c>
      <c r="AF3209">
        <v>-17.914111717138699</v>
      </c>
      <c r="AG3209">
        <v>-1.108254816878</v>
      </c>
      <c r="AH3209">
        <v>61.7896612193571</v>
      </c>
      <c r="AI3209">
        <v>90.986911052543704</v>
      </c>
      <c r="AJ3209">
        <v>106.16797629604299</v>
      </c>
      <c r="AK3209">
        <v>64.343654395411804</v>
      </c>
    </row>
    <row r="3210" spans="1:37" x14ac:dyDescent="0.2">
      <c r="A3210" t="str">
        <f>"20200111155607331"</f>
        <v>20200111155607331</v>
      </c>
      <c r="B3210" t="str">
        <f>"1578729367325777"</f>
        <v>1578729367325777</v>
      </c>
      <c r="C3210" t="s">
        <v>37</v>
      </c>
      <c r="D3210">
        <v>5.1114129999999998</v>
      </c>
      <c r="E3210">
        <v>0.47890759999999999</v>
      </c>
      <c r="F3210" t="s">
        <v>61</v>
      </c>
      <c r="G3210">
        <v>-420.88310000000001</v>
      </c>
      <c r="H3210" s="1">
        <v>3.9111709999999998E-6</v>
      </c>
      <c r="I3210">
        <v>213.4357</v>
      </c>
      <c r="J3210">
        <v>-478.71859999999998</v>
      </c>
      <c r="K3210">
        <v>1.10829</v>
      </c>
      <c r="L3210">
        <v>217.8408</v>
      </c>
      <c r="M3210">
        <v>0.93986630000000004</v>
      </c>
      <c r="N3210">
        <v>0</v>
      </c>
      <c r="O3210">
        <v>-0.34144200000000002</v>
      </c>
      <c r="P3210">
        <v>0.98493899999999901</v>
      </c>
      <c r="Q3210">
        <v>3.2599169999999997E-2</v>
      </c>
      <c r="R3210">
        <v>-0.16980149999999999</v>
      </c>
      <c r="S3210">
        <v>3.0098569999999998</v>
      </c>
      <c r="T3210">
        <v>-5.7559970000000002E-2</v>
      </c>
      <c r="U3210">
        <v>-0.2303772</v>
      </c>
      <c r="V3210">
        <v>-0.17709449999999999</v>
      </c>
      <c r="W3210">
        <v>3.9075260000000001E-2</v>
      </c>
      <c r="X3210">
        <v>0.98341789999999996</v>
      </c>
      <c r="Y3210">
        <v>-0.26861879999999999</v>
      </c>
      <c r="Z3210">
        <v>8.9621839999999998E-3</v>
      </c>
      <c r="AA3210">
        <v>0.96320490000000003</v>
      </c>
      <c r="AB3210">
        <v>13</v>
      </c>
      <c r="AC3210">
        <v>57.835499999999897</v>
      </c>
      <c r="AD3210">
        <v>-1.108286088829</v>
      </c>
      <c r="AE3210">
        <v>-4.4051</v>
      </c>
      <c r="AF3210">
        <v>-15.602103673399901</v>
      </c>
      <c r="AG3210">
        <v>-1.108286088829</v>
      </c>
      <c r="AH3210">
        <v>55.843254523592599</v>
      </c>
      <c r="AI3210">
        <v>91.095038976176099</v>
      </c>
      <c r="AJ3210">
        <v>105.609885857699</v>
      </c>
      <c r="AK3210">
        <v>57.992439273382502</v>
      </c>
    </row>
    <row r="3211" spans="1:37" x14ac:dyDescent="0.2">
      <c r="A3211" t="str">
        <f>"20200111155607600"</f>
        <v>20200111155607600</v>
      </c>
      <c r="B3211" t="str">
        <f>"1578729367596127"</f>
        <v>1578729367596127</v>
      </c>
      <c r="C3211" t="s">
        <v>37</v>
      </c>
      <c r="D3211">
        <v>5.050071</v>
      </c>
      <c r="E3211">
        <v>0.458068999999999</v>
      </c>
      <c r="F3211" t="s">
        <v>61</v>
      </c>
      <c r="G3211">
        <v>-430.83980000000003</v>
      </c>
      <c r="H3211" s="1">
        <v>2.77385899999999E-6</v>
      </c>
      <c r="I3211">
        <v>212.50620000000001</v>
      </c>
      <c r="J3211">
        <v>-477.07749999999999</v>
      </c>
      <c r="K3211">
        <v>1.1086370000000001</v>
      </c>
      <c r="L3211">
        <v>217.5402</v>
      </c>
      <c r="M3211">
        <v>0.97961129999999996</v>
      </c>
      <c r="N3211">
        <v>0</v>
      </c>
      <c r="O3211">
        <v>-0.20089299999999999</v>
      </c>
      <c r="P3211">
        <v>0.99410209999999999</v>
      </c>
      <c r="Q3211">
        <v>2.3049070000000001E-2</v>
      </c>
      <c r="R3211">
        <v>-0.10597129999999901</v>
      </c>
      <c r="S3211">
        <v>2.9906919999999899</v>
      </c>
      <c r="T3211">
        <v>-6.9227810000000001E-2</v>
      </c>
      <c r="U3211">
        <v>-0.3332214</v>
      </c>
      <c r="V3211">
        <v>-9.6193570000000006E-2</v>
      </c>
      <c r="W3211">
        <v>2.385659E-2</v>
      </c>
      <c r="X3211">
        <v>0.99507670000000004</v>
      </c>
      <c r="Y3211">
        <v>-9.1104840000000006E-2</v>
      </c>
      <c r="Z3211">
        <v>5.6495919999999897E-3</v>
      </c>
      <c r="AA3211">
        <v>0.99582530000000002</v>
      </c>
      <c r="AB3211">
        <v>15</v>
      </c>
      <c r="AC3211">
        <v>46.237699999999897</v>
      </c>
      <c r="AD3211">
        <v>-1.108634226141</v>
      </c>
      <c r="AE3211">
        <v>-5.03399999999999</v>
      </c>
      <c r="AF3211">
        <v>-4.3550007365049499</v>
      </c>
      <c r="AG3211">
        <v>-1.108634226141</v>
      </c>
      <c r="AH3211">
        <v>46.2800602797792</v>
      </c>
      <c r="AI3211">
        <v>91.366218937548794</v>
      </c>
      <c r="AJ3211">
        <v>95.375760957361607</v>
      </c>
      <c r="AK3211">
        <v>46.497731995897603</v>
      </c>
    </row>
    <row r="3212" spans="1:37" x14ac:dyDescent="0.2">
      <c r="A3212" t="str">
        <f>"20200111155607622"</f>
        <v>20200111155607622</v>
      </c>
      <c r="B3212" t="str">
        <f>"1578729367615647"</f>
        <v>1578729367615647</v>
      </c>
      <c r="C3212" t="s">
        <v>37</v>
      </c>
      <c r="D3212">
        <v>5.0643079999999996</v>
      </c>
      <c r="E3212">
        <v>0.45800809999999997</v>
      </c>
      <c r="F3212" t="s">
        <v>59</v>
      </c>
      <c r="G3212">
        <v>-440.85590000000002</v>
      </c>
      <c r="H3212" s="1">
        <v>-1.224013E-6</v>
      </c>
      <c r="I3212">
        <v>217.88120000000001</v>
      </c>
      <c r="J3212">
        <v>-476.9196</v>
      </c>
      <c r="K3212">
        <v>1.1084510000000001</v>
      </c>
      <c r="L3212">
        <v>217.5223</v>
      </c>
      <c r="M3212">
        <v>0.98199709999999996</v>
      </c>
      <c r="N3212">
        <v>0</v>
      </c>
      <c r="O3212">
        <v>-0.18888969999999999</v>
      </c>
      <c r="P3212">
        <v>0.99493290000000001</v>
      </c>
      <c r="Q3212">
        <v>1.9913119999999999E-2</v>
      </c>
      <c r="R3212">
        <v>-9.8551260000000002E-2</v>
      </c>
      <c r="S3212">
        <v>3.02300999999999</v>
      </c>
      <c r="T3212">
        <v>-9.2525839999999998E-2</v>
      </c>
      <c r="U3212">
        <v>2.8457639999999999E-2</v>
      </c>
      <c r="V3212">
        <v>-9.1403709999999999E-2</v>
      </c>
      <c r="W3212">
        <v>2.044899E-2</v>
      </c>
      <c r="X3212">
        <v>0.99560389999999999</v>
      </c>
      <c r="Y3212">
        <v>-0.19794500000000001</v>
      </c>
      <c r="Z3212">
        <v>8.7834309999999995E-3</v>
      </c>
      <c r="AA3212">
        <v>0.98017379999999998</v>
      </c>
      <c r="AB3212">
        <v>16</v>
      </c>
      <c r="AC3212">
        <v>36.063699999999898</v>
      </c>
      <c r="AD3212">
        <v>-1.1084522240129999</v>
      </c>
      <c r="AE3212">
        <v>0.35890000000000499</v>
      </c>
      <c r="AF3212">
        <v>-7.1577475011451304</v>
      </c>
      <c r="AG3212">
        <v>-1.1084522240129999</v>
      </c>
      <c r="AH3212">
        <v>35.313341138699599</v>
      </c>
      <c r="AI3212">
        <v>91.762060923688793</v>
      </c>
      <c r="AJ3212">
        <v>101.458187886746</v>
      </c>
      <c r="AK3212">
        <v>36.048496196113902</v>
      </c>
    </row>
    <row r="3213" spans="1:37" x14ac:dyDescent="0.2">
      <c r="A3213" t="str">
        <f>"20200111155607644"</f>
        <v>20200111155607644</v>
      </c>
      <c r="B3213" t="str">
        <f>"1578729367636143"</f>
        <v>1578729367636143</v>
      </c>
      <c r="C3213" t="s">
        <v>37</v>
      </c>
      <c r="D3213">
        <v>5.0614970000000001</v>
      </c>
      <c r="E3213">
        <v>0.45836859999999902</v>
      </c>
      <c r="F3213" t="s">
        <v>59</v>
      </c>
      <c r="G3213">
        <v>-449.68619999999999</v>
      </c>
      <c r="H3213" s="1">
        <v>3.4699290000000002E-6</v>
      </c>
      <c r="I3213">
        <v>217.9975</v>
      </c>
      <c r="J3213">
        <v>-476.76319999999998</v>
      </c>
      <c r="K3213">
        <v>1.1082449999999999</v>
      </c>
      <c r="L3213">
        <v>217.5059</v>
      </c>
      <c r="M3213">
        <v>0.98411819999999905</v>
      </c>
      <c r="N3213">
        <v>0</v>
      </c>
      <c r="O3213">
        <v>-0.1775098</v>
      </c>
      <c r="P3213">
        <v>0.99574359999999995</v>
      </c>
      <c r="Q3213">
        <v>1.535446E-2</v>
      </c>
      <c r="R3213">
        <v>-9.0879479999999999E-2</v>
      </c>
      <c r="S3213">
        <v>3.02298</v>
      </c>
      <c r="T3213">
        <v>-0.12304080000000001</v>
      </c>
      <c r="U3213">
        <v>5.2749629999999999E-2</v>
      </c>
      <c r="V3213">
        <v>-8.750397E-2</v>
      </c>
      <c r="W3213">
        <v>1.564279E-2</v>
      </c>
      <c r="X3213">
        <v>0.99604139999999997</v>
      </c>
      <c r="Y3213">
        <v>-0.19434589999999999</v>
      </c>
      <c r="Z3213">
        <v>1.11485E-2</v>
      </c>
      <c r="AA3213">
        <v>0.98086969999999996</v>
      </c>
      <c r="AB3213">
        <v>16</v>
      </c>
      <c r="AC3213">
        <v>27.076999999999899</v>
      </c>
      <c r="AD3213">
        <v>-1.108241530071</v>
      </c>
      <c r="AE3213">
        <v>0.49160000000000498</v>
      </c>
      <c r="AF3213">
        <v>-5.2813852146614497</v>
      </c>
      <c r="AG3213">
        <v>-1.108241530071</v>
      </c>
      <c r="AH3213">
        <v>26.5153225110937</v>
      </c>
      <c r="AI3213">
        <v>92.347299790043706</v>
      </c>
      <c r="AJ3213">
        <v>101.264881354607</v>
      </c>
      <c r="AK3213">
        <v>27.058890534202</v>
      </c>
    </row>
    <row r="3214" spans="1:37" x14ac:dyDescent="0.2">
      <c r="A3214" t="str">
        <f>"20200111155607666"</f>
        <v>20200111155607666</v>
      </c>
      <c r="B3214" t="str">
        <f>"1578729367655663"</f>
        <v>1578729367655663</v>
      </c>
      <c r="C3214" t="s">
        <v>37</v>
      </c>
      <c r="D3214">
        <v>5.0934720000000002</v>
      </c>
      <c r="E3214">
        <v>0.45890699999999901</v>
      </c>
      <c r="F3214" t="s">
        <v>59</v>
      </c>
      <c r="G3214">
        <v>-453.38639999999998</v>
      </c>
      <c r="H3214" s="1">
        <v>1.1427299999999999E-7</v>
      </c>
      <c r="I3214">
        <v>218.0703</v>
      </c>
      <c r="J3214">
        <v>-476.60939999999999</v>
      </c>
      <c r="K3214">
        <v>1.1080129999999999</v>
      </c>
      <c r="L3214">
        <v>217.49090000000001</v>
      </c>
      <c r="M3214">
        <v>0.98597959999999996</v>
      </c>
      <c r="N3214">
        <v>0</v>
      </c>
      <c r="O3214">
        <v>-0.16686229999999999</v>
      </c>
      <c r="P3214">
        <v>0.99646759999999901</v>
      </c>
      <c r="Q3214">
        <v>1.160592E-2</v>
      </c>
      <c r="R3214">
        <v>-8.31736E-2</v>
      </c>
      <c r="S3214">
        <v>3.0216669999999999</v>
      </c>
      <c r="T3214">
        <v>-0.14325019999999999</v>
      </c>
      <c r="U3214">
        <v>7.295227E-2</v>
      </c>
      <c r="V3214">
        <v>-8.4400059999999999E-2</v>
      </c>
      <c r="W3214">
        <v>1.1674439999999999E-2</v>
      </c>
      <c r="X3214">
        <v>0.99636360000000002</v>
      </c>
      <c r="Y3214">
        <v>-0.19021160000000001</v>
      </c>
      <c r="Z3214">
        <v>1.2386599999999999E-2</v>
      </c>
      <c r="AA3214">
        <v>0.98166500000000001</v>
      </c>
      <c r="AB3214">
        <v>16</v>
      </c>
      <c r="AC3214">
        <v>23.222999999999999</v>
      </c>
      <c r="AD3214">
        <v>-1.108012885727</v>
      </c>
      <c r="AE3214">
        <v>0.57939999999999203</v>
      </c>
      <c r="AF3214">
        <v>-4.4362299896471997</v>
      </c>
      <c r="AG3214">
        <v>-1.108012885727</v>
      </c>
      <c r="AH3214">
        <v>22.748983832513101</v>
      </c>
      <c r="AI3214">
        <v>92.7369721728153</v>
      </c>
      <c r="AJ3214">
        <v>101.034641237573</v>
      </c>
      <c r="AK3214">
        <v>23.203967214420999</v>
      </c>
    </row>
    <row r="3215" spans="1:37" x14ac:dyDescent="0.2">
      <c r="A3215" t="str">
        <f>"20200111155607690"</f>
        <v>20200111155607690</v>
      </c>
      <c r="B3215" t="str">
        <f>"1578729367685919"</f>
        <v>1578729367685919</v>
      </c>
      <c r="C3215" t="s">
        <v>37</v>
      </c>
      <c r="D3215">
        <v>5.0795579999999996</v>
      </c>
      <c r="E3215">
        <v>0.460318</v>
      </c>
      <c r="F3215" t="s">
        <v>59</v>
      </c>
      <c r="G3215">
        <v>-455.44110000000001</v>
      </c>
      <c r="H3215" s="1">
        <v>1.2049060000000001E-6</v>
      </c>
      <c r="I3215">
        <v>218.1344</v>
      </c>
      <c r="J3215">
        <v>-476.44040000000001</v>
      </c>
      <c r="K3215">
        <v>1.107737</v>
      </c>
      <c r="L3215">
        <v>217.47559999999999</v>
      </c>
      <c r="M3215">
        <v>0.98777409999999999</v>
      </c>
      <c r="N3215">
        <v>0</v>
      </c>
      <c r="O3215">
        <v>-0.15589</v>
      </c>
      <c r="P3215">
        <v>0.99713399999999996</v>
      </c>
      <c r="Q3215">
        <v>9.6514469999999901E-3</v>
      </c>
      <c r="R3215">
        <v>-7.5036240000000004E-2</v>
      </c>
      <c r="S3215">
        <v>3.0201720000000001</v>
      </c>
      <c r="T3215">
        <v>-0.1580849</v>
      </c>
      <c r="U3215">
        <v>9.1812130000000006E-2</v>
      </c>
      <c r="V3215">
        <v>-8.1429299999999996E-2</v>
      </c>
      <c r="W3215">
        <v>9.5125850000000005E-3</v>
      </c>
      <c r="X3215">
        <v>0.99663369999999996</v>
      </c>
      <c r="Y3215">
        <v>-0.18536620000000001</v>
      </c>
      <c r="Z3215">
        <v>1.297892E-2</v>
      </c>
      <c r="AA3215">
        <v>0.98258380000000001</v>
      </c>
      <c r="AB3215">
        <v>16</v>
      </c>
      <c r="AC3215">
        <v>20.999300000000002</v>
      </c>
      <c r="AD3215">
        <v>-1.1077357950939899</v>
      </c>
      <c r="AE3215">
        <v>0.65880000000001304</v>
      </c>
      <c r="AF3215">
        <v>-3.9134485463190498</v>
      </c>
      <c r="AG3215">
        <v>-1.1077357950939899</v>
      </c>
      <c r="AH3215">
        <v>20.582652332437402</v>
      </c>
      <c r="AI3215">
        <v>93.026508059645295</v>
      </c>
      <c r="AJ3215">
        <v>100.76534084089501</v>
      </c>
      <c r="AK3215">
        <v>20.9806514473314</v>
      </c>
    </row>
    <row r="3216" spans="1:37" x14ac:dyDescent="0.2">
      <c r="A3216" t="str">
        <f>"20200111155607711"</f>
        <v>20200111155607711</v>
      </c>
      <c r="B3216" t="str">
        <f>"1578729367705440"</f>
        <v>1578729367705440</v>
      </c>
      <c r="C3216" t="s">
        <v>37</v>
      </c>
      <c r="D3216">
        <v>5.0815190000000001</v>
      </c>
      <c r="E3216">
        <v>0.46138459999999998</v>
      </c>
      <c r="F3216" t="s">
        <v>59</v>
      </c>
      <c r="G3216">
        <v>-456.0018</v>
      </c>
      <c r="H3216" s="1">
        <v>1.501071E-6</v>
      </c>
      <c r="I3216">
        <v>218.18559999999999</v>
      </c>
      <c r="J3216">
        <v>-476.28129999999999</v>
      </c>
      <c r="K3216">
        <v>1.1074269999999999</v>
      </c>
      <c r="L3216">
        <v>217.4622</v>
      </c>
      <c r="M3216">
        <v>0.98923700000000003</v>
      </c>
      <c r="N3216">
        <v>0</v>
      </c>
      <c r="O3216">
        <v>-0.1463216</v>
      </c>
      <c r="P3216">
        <v>0.99758440000000004</v>
      </c>
      <c r="Q3216">
        <v>1.013291E-2</v>
      </c>
      <c r="R3216">
        <v>-6.8723069999999997E-2</v>
      </c>
      <c r="S3216">
        <v>3.0181269999999998</v>
      </c>
      <c r="T3216">
        <v>-0.16357739999999901</v>
      </c>
      <c r="U3216">
        <v>0.10484309999999999</v>
      </c>
      <c r="V3216">
        <v>-7.8085810000000005E-2</v>
      </c>
      <c r="W3216">
        <v>9.8430159999999996E-3</v>
      </c>
      <c r="X3216">
        <v>0.99689810000000001</v>
      </c>
      <c r="Y3216">
        <v>-0.1800987</v>
      </c>
      <c r="Z3216">
        <v>1.2781249999999999E-2</v>
      </c>
      <c r="AA3216">
        <v>0.98356549999999998</v>
      </c>
      <c r="AB3216">
        <v>17</v>
      </c>
      <c r="AC3216">
        <v>20.279499999999899</v>
      </c>
      <c r="AD3216">
        <v>-1.107425498929</v>
      </c>
      <c r="AE3216">
        <v>0.72339999999999705</v>
      </c>
      <c r="AF3216">
        <v>-3.6720070206431199</v>
      </c>
      <c r="AG3216">
        <v>-1.107425498929</v>
      </c>
      <c r="AH3216">
        <v>19.8961283659815</v>
      </c>
      <c r="AI3216">
        <v>93.133012558223598</v>
      </c>
      <c r="AJ3216">
        <v>100.456777881761</v>
      </c>
      <c r="AK3216">
        <v>20.262427069602101</v>
      </c>
    </row>
    <row r="3217" spans="1:37" x14ac:dyDescent="0.2">
      <c r="A3217" t="str">
        <f>"20200111155607734"</f>
        <v>20200111155607734</v>
      </c>
      <c r="B3217" t="str">
        <f>"1578729367725935"</f>
        <v>1578729367725935</v>
      </c>
      <c r="C3217" t="s">
        <v>37</v>
      </c>
      <c r="D3217">
        <v>5.1823889999999997</v>
      </c>
      <c r="E3217">
        <v>0.46238289999999999</v>
      </c>
      <c r="F3217" t="s">
        <v>59</v>
      </c>
      <c r="G3217">
        <v>-455.88220000000001</v>
      </c>
      <c r="H3217" s="1">
        <v>1.4349170000000001E-6</v>
      </c>
      <c r="I3217">
        <v>218.24299999999999</v>
      </c>
      <c r="J3217">
        <v>-476.10969999999998</v>
      </c>
      <c r="K3217">
        <v>1.1070420000000001</v>
      </c>
      <c r="L3217">
        <v>217.44839999999999</v>
      </c>
      <c r="M3217">
        <v>0.99058440000000003</v>
      </c>
      <c r="N3217">
        <v>0</v>
      </c>
      <c r="O3217">
        <v>-0.13690450000000001</v>
      </c>
      <c r="P3217">
        <v>0.99801659999999903</v>
      </c>
      <c r="Q3217">
        <v>1.0686899999999999E-2</v>
      </c>
      <c r="R3217">
        <v>-6.2042510000000002E-2</v>
      </c>
      <c r="S3217">
        <v>3.0168459999999899</v>
      </c>
      <c r="T3217">
        <v>-0.16377910000000001</v>
      </c>
      <c r="U3217">
        <v>0.1154785</v>
      </c>
      <c r="V3217">
        <v>-7.5270589999999998E-2</v>
      </c>
      <c r="W3217">
        <v>1.0270720000000001E-2</v>
      </c>
      <c r="X3217">
        <v>0.99711019999999995</v>
      </c>
      <c r="Y3217">
        <v>-0.1742369</v>
      </c>
      <c r="Z3217">
        <v>1.2135709999999999E-2</v>
      </c>
      <c r="AA3217">
        <v>0.98462899999999998</v>
      </c>
      <c r="AB3217">
        <v>17</v>
      </c>
      <c r="AC3217">
        <v>20.2274999999999</v>
      </c>
      <c r="AD3217">
        <v>-1.107040565083</v>
      </c>
      <c r="AE3217">
        <v>0.79460000000000197</v>
      </c>
      <c r="AF3217">
        <v>-3.5457493366294401</v>
      </c>
      <c r="AG3217">
        <v>-1.107040565083</v>
      </c>
      <c r="AH3217">
        <v>19.868836941384899</v>
      </c>
      <c r="AI3217">
        <v>93.139576379445899</v>
      </c>
      <c r="AJ3217">
        <v>100.118363420463</v>
      </c>
      <c r="AK3217">
        <v>20.213078898928</v>
      </c>
    </row>
    <row r="3218" spans="1:37" x14ac:dyDescent="0.2">
      <c r="A3218" t="str">
        <f>"20200111155607757"</f>
        <v>20200111155607757</v>
      </c>
      <c r="B3218" t="str">
        <f>"1578729367745456"</f>
        <v>1578729367745456</v>
      </c>
      <c r="C3218" t="s">
        <v>37</v>
      </c>
      <c r="D3218">
        <v>5.1095930000000003</v>
      </c>
      <c r="E3218">
        <v>0.46342369999999999</v>
      </c>
      <c r="F3218" t="s">
        <v>59</v>
      </c>
      <c r="G3218">
        <v>-455.30180000000001</v>
      </c>
      <c r="H3218" s="1">
        <v>1.1224269999999999E-6</v>
      </c>
      <c r="I3218">
        <v>218.3254</v>
      </c>
      <c r="J3218">
        <v>-475.93239999999997</v>
      </c>
      <c r="K3218">
        <v>1.106576</v>
      </c>
      <c r="L3218">
        <v>217.4348</v>
      </c>
      <c r="M3218">
        <v>0.99174660000000003</v>
      </c>
      <c r="N3218">
        <v>0</v>
      </c>
      <c r="O3218">
        <v>-0.1282132</v>
      </c>
      <c r="P3218">
        <v>0.99834920000000005</v>
      </c>
      <c r="Q3218">
        <v>1.204093E-2</v>
      </c>
      <c r="R3218">
        <v>-5.6159649999999998E-2</v>
      </c>
      <c r="S3218">
        <v>3.0155639999999999</v>
      </c>
      <c r="T3218">
        <v>-0.16043669999999999</v>
      </c>
      <c r="U3218">
        <v>0.1270905</v>
      </c>
      <c r="V3218">
        <v>-7.2398920000000005E-2</v>
      </c>
      <c r="W3218">
        <v>1.154666E-2</v>
      </c>
      <c r="X3218">
        <v>0.99730889999999905</v>
      </c>
      <c r="Y3218">
        <v>-0.16943939999999999</v>
      </c>
      <c r="Z3218">
        <v>1.1306109999999999E-2</v>
      </c>
      <c r="AA3218">
        <v>0.98547580000000001</v>
      </c>
      <c r="AB3218">
        <v>17</v>
      </c>
      <c r="AC3218">
        <v>20.630599999999902</v>
      </c>
      <c r="AD3218">
        <v>-1.106574877573</v>
      </c>
      <c r="AE3218">
        <v>0.89060000000000605</v>
      </c>
      <c r="AF3218">
        <v>-3.51826170067842</v>
      </c>
      <c r="AG3218">
        <v>-1.106574877573</v>
      </c>
      <c r="AH3218">
        <v>20.2878819047666</v>
      </c>
      <c r="AI3218">
        <v>93.076203478890903</v>
      </c>
      <c r="AJ3218">
        <v>99.838212569072596</v>
      </c>
      <c r="AK3218">
        <v>20.620398287518402</v>
      </c>
    </row>
    <row r="3219" spans="1:37" x14ac:dyDescent="0.2">
      <c r="A3219" t="str">
        <f>"20200111155608114"</f>
        <v>20200111155608114</v>
      </c>
      <c r="B3219" t="str">
        <f>"1578729368106110"</f>
        <v>1578729368106110</v>
      </c>
      <c r="C3219" t="s">
        <v>37</v>
      </c>
      <c r="D3219">
        <v>5.1470479999999998</v>
      </c>
      <c r="E3219">
        <v>0.46446029999999999</v>
      </c>
      <c r="F3219" t="s">
        <v>59</v>
      </c>
      <c r="G3219">
        <v>-454.25119999999998</v>
      </c>
      <c r="H3219" s="1">
        <v>5.5954300000000002E-7</v>
      </c>
      <c r="I3219">
        <v>218.4128</v>
      </c>
      <c r="J3219">
        <v>-472.91750000000002</v>
      </c>
      <c r="K3219">
        <v>1.101261</v>
      </c>
      <c r="L3219">
        <v>217.1525</v>
      </c>
      <c r="M3219">
        <v>0.99411989999999995</v>
      </c>
      <c r="N3219">
        <v>0</v>
      </c>
      <c r="O3219">
        <v>-0.108220899999999</v>
      </c>
      <c r="P3219">
        <v>0.99858250000000004</v>
      </c>
      <c r="Q3219">
        <v>1.0792049999999999E-2</v>
      </c>
      <c r="R3219">
        <v>-5.21217E-2</v>
      </c>
      <c r="S3219">
        <v>3.014465</v>
      </c>
      <c r="T3219">
        <v>-0.15385399999999999</v>
      </c>
      <c r="U3219">
        <v>0.13597110000000001</v>
      </c>
      <c r="V3219">
        <v>-5.6161699999999898E-2</v>
      </c>
      <c r="W3219">
        <v>1.484799E-2</v>
      </c>
      <c r="X3219">
        <v>0.99831130000000001</v>
      </c>
      <c r="Y3219">
        <v>-0.1525687</v>
      </c>
      <c r="Z3219">
        <v>9.4012619999999901E-3</v>
      </c>
      <c r="AA3219">
        <v>0.98824820000000002</v>
      </c>
      <c r="AB3219">
        <v>20</v>
      </c>
      <c r="AC3219">
        <v>18.6663</v>
      </c>
      <c r="AD3219">
        <v>-1.1012604404569999</v>
      </c>
      <c r="AE3219">
        <v>1.2603</v>
      </c>
      <c r="AF3219">
        <v>-3.2616943967593799</v>
      </c>
      <c r="AG3219">
        <v>-1.1012604404569999</v>
      </c>
      <c r="AH3219">
        <v>18.3566734649004</v>
      </c>
      <c r="AI3219">
        <v>93.380373254099595</v>
      </c>
      <c r="AJ3219">
        <v>100.07541131791</v>
      </c>
      <c r="AK3219">
        <v>18.676693647231701</v>
      </c>
    </row>
    <row r="3220" spans="1:37" x14ac:dyDescent="0.2">
      <c r="A3220" t="str">
        <f>"20200111155608181"</f>
        <v>20200111155608181</v>
      </c>
      <c r="B3220" t="str">
        <f>"1578729368175855"</f>
        <v>1578729368175855</v>
      </c>
      <c r="C3220" t="s">
        <v>37</v>
      </c>
      <c r="D3220">
        <v>5.3410650000000004</v>
      </c>
      <c r="E3220">
        <v>0.45658670000000001</v>
      </c>
      <c r="F3220" t="s">
        <v>59</v>
      </c>
      <c r="G3220">
        <v>-450.42559999999997</v>
      </c>
      <c r="H3220" s="1">
        <v>-1.46751E-6</v>
      </c>
      <c r="I3220">
        <v>218.2123</v>
      </c>
      <c r="J3220">
        <v>-472.3159</v>
      </c>
      <c r="K3220">
        <v>1.1008100000000001</v>
      </c>
      <c r="L3220">
        <v>217.07050000000001</v>
      </c>
      <c r="M3220">
        <v>0.99266699999999997</v>
      </c>
      <c r="N3220">
        <v>0</v>
      </c>
      <c r="O3220">
        <v>-0.1208053</v>
      </c>
      <c r="P3220">
        <v>0.99730589999999997</v>
      </c>
      <c r="Q3220">
        <v>1.55393E-3</v>
      </c>
      <c r="R3220">
        <v>-7.333916E-2</v>
      </c>
      <c r="S3220">
        <v>3.0132750000000001</v>
      </c>
      <c r="T3220">
        <v>-0.14753749999999999</v>
      </c>
      <c r="U3220">
        <v>0.141983</v>
      </c>
      <c r="V3220">
        <v>-4.7635030000000002E-2</v>
      </c>
      <c r="W3220">
        <v>6.1748269999999999E-3</v>
      </c>
      <c r="X3220">
        <v>0.99884569999999995</v>
      </c>
      <c r="Y3220">
        <v>-0.1670507</v>
      </c>
      <c r="Z3220">
        <v>9.9864140000000007E-3</v>
      </c>
      <c r="AA3220">
        <v>0.98589769999999899</v>
      </c>
      <c r="AB3220">
        <v>20</v>
      </c>
      <c r="AC3220">
        <v>21.8903</v>
      </c>
      <c r="AD3220">
        <v>-1.10081146751</v>
      </c>
      <c r="AE3220">
        <v>1.1417999999999799</v>
      </c>
      <c r="AF3220">
        <v>-3.7684221159171001</v>
      </c>
      <c r="AG3220">
        <v>-1.10081146751</v>
      </c>
      <c r="AH3220">
        <v>21.537722764877401</v>
      </c>
      <c r="AI3220">
        <v>92.882180983298994</v>
      </c>
      <c r="AJ3220">
        <v>99.924491910640299</v>
      </c>
      <c r="AK3220">
        <v>21.892608182385601</v>
      </c>
    </row>
    <row r="3221" spans="1:37" x14ac:dyDescent="0.2">
      <c r="A3221" t="str">
        <f>"20200111155608315"</f>
        <v>20200111155608315</v>
      </c>
      <c r="B3221" t="str">
        <f>"1578729368305663"</f>
        <v>1578729368305663</v>
      </c>
      <c r="C3221" t="s">
        <v>37</v>
      </c>
      <c r="D3221">
        <v>5.2136779999999998</v>
      </c>
      <c r="E3221">
        <v>0.48236689999999999</v>
      </c>
      <c r="F3221" t="s">
        <v>61</v>
      </c>
      <c r="G3221">
        <v>-438.67160000000001</v>
      </c>
      <c r="H3221" s="1">
        <v>5.7173780000000003E-6</v>
      </c>
      <c r="I3221">
        <v>218.5641</v>
      </c>
      <c r="J3221">
        <v>-471.07830000000001</v>
      </c>
      <c r="K3221">
        <v>1.1002529999999999</v>
      </c>
      <c r="L3221">
        <v>216.86680000000001</v>
      </c>
      <c r="M3221">
        <v>0.988214699999999</v>
      </c>
      <c r="N3221">
        <v>0</v>
      </c>
      <c r="O3221">
        <v>-0.15299279999999901</v>
      </c>
      <c r="P3221">
        <v>0.99683759999999999</v>
      </c>
      <c r="Q3221">
        <v>6.4505839999999997E-3</v>
      </c>
      <c r="R3221">
        <v>-7.9205170000000005E-2</v>
      </c>
      <c r="S3221">
        <v>3.018097</v>
      </c>
      <c r="T3221">
        <v>-9.8749039999999996E-2</v>
      </c>
      <c r="U3221">
        <v>0.13398740000000001</v>
      </c>
      <c r="V3221">
        <v>-7.4134569999999997E-2</v>
      </c>
      <c r="W3221">
        <v>1.210499E-2</v>
      </c>
      <c r="X3221">
        <v>0.99717479999999903</v>
      </c>
      <c r="Y3221">
        <v>-0.19648650000000001</v>
      </c>
      <c r="Z3221">
        <v>8.2034450000000002E-3</v>
      </c>
      <c r="AA3221">
        <v>0.98047220000000002</v>
      </c>
      <c r="AB3221">
        <v>21</v>
      </c>
      <c r="AC3221">
        <v>32.406700000000001</v>
      </c>
      <c r="AD3221">
        <v>-1.100247282622</v>
      </c>
      <c r="AE3221">
        <v>1.69729999999998</v>
      </c>
      <c r="AF3221">
        <v>-6.6277524081645396</v>
      </c>
      <c r="AG3221">
        <v>-1.100247282622</v>
      </c>
      <c r="AH3221">
        <v>31.7290247300561</v>
      </c>
      <c r="AI3221">
        <v>91.944086195633403</v>
      </c>
      <c r="AJ3221">
        <v>101.798639642664</v>
      </c>
      <c r="AK3221">
        <v>32.432524668723502</v>
      </c>
    </row>
    <row r="3222" spans="1:37" x14ac:dyDescent="0.2">
      <c r="A3222" t="str">
        <f>"20200111155608369"</f>
        <v>20200111155608369</v>
      </c>
      <c r="B3222" t="str">
        <f>"1578729368365994"</f>
        <v>1578729368365994</v>
      </c>
      <c r="C3222" t="s">
        <v>37</v>
      </c>
      <c r="D3222">
        <v>5.2822139999999997</v>
      </c>
      <c r="E3222">
        <v>0.4923228</v>
      </c>
      <c r="F3222" t="s">
        <v>69</v>
      </c>
      <c r="G3222">
        <v>-168.41220000000001</v>
      </c>
      <c r="H3222">
        <v>5.7077080000000002</v>
      </c>
      <c r="I3222">
        <v>206.91569999999999</v>
      </c>
      <c r="J3222">
        <v>-470.56310000000002</v>
      </c>
      <c r="K3222">
        <v>1.100055</v>
      </c>
      <c r="L3222">
        <v>216.7671</v>
      </c>
      <c r="M3222">
        <v>0.98574439999999997</v>
      </c>
      <c r="N3222">
        <v>0</v>
      </c>
      <c r="O3222">
        <v>-0.16816789999999901</v>
      </c>
      <c r="P3222">
        <v>0.99643799999999905</v>
      </c>
      <c r="Q3222">
        <v>1.2419660000000001E-2</v>
      </c>
      <c r="R3222">
        <v>-8.3407159999999994E-2</v>
      </c>
      <c r="S3222">
        <v>3.0013429999999999</v>
      </c>
      <c r="T3222">
        <v>4.5689460000000001E-2</v>
      </c>
      <c r="U3222">
        <v>-9.8678589999999997E-2</v>
      </c>
      <c r="V3222">
        <v>-8.5182869999999994E-2</v>
      </c>
      <c r="W3222">
        <v>1.8439980000000002E-2</v>
      </c>
      <c r="X3222">
        <v>0.99619469999999999</v>
      </c>
      <c r="Y3222">
        <v>-0.13565199999999999</v>
      </c>
      <c r="Z3222">
        <v>-3.5804509999999901E-3</v>
      </c>
      <c r="AA3222">
        <v>0.99075009999999997</v>
      </c>
      <c r="AB3222">
        <v>21</v>
      </c>
      <c r="AC3222">
        <v>302.15089999999998</v>
      </c>
      <c r="AD3222">
        <v>4.607653</v>
      </c>
      <c r="AE3222">
        <v>-9.8514000000000106</v>
      </c>
      <c r="AF3222">
        <v>-41.092140102468598</v>
      </c>
      <c r="AG3222">
        <v>4.607653</v>
      </c>
      <c r="AH3222">
        <v>299.43481149191803</v>
      </c>
      <c r="AI3222">
        <v>89.126596301764806</v>
      </c>
      <c r="AJ3222">
        <v>97.814024786450204</v>
      </c>
      <c r="AK3222">
        <v>302.27636490068102</v>
      </c>
    </row>
    <row r="3223" spans="1:37" x14ac:dyDescent="0.2">
      <c r="A3223" t="str">
        <f>"20200111155608392"</f>
        <v>20200111155608392</v>
      </c>
      <c r="B3223" t="str">
        <f>"1578729368385514"</f>
        <v>1578729368385514</v>
      </c>
      <c r="C3223" t="s">
        <v>37</v>
      </c>
      <c r="D3223">
        <v>5.2478689999999997</v>
      </c>
      <c r="E3223">
        <v>0.49496380000000001</v>
      </c>
      <c r="F3223" t="s">
        <v>39</v>
      </c>
      <c r="G3223">
        <v>-224.75299999999999</v>
      </c>
      <c r="H3223">
        <v>-0.05</v>
      </c>
      <c r="I3223">
        <v>201.4786</v>
      </c>
      <c r="J3223">
        <v>-470.34800000000001</v>
      </c>
      <c r="K3223">
        <v>1.1000239999999999</v>
      </c>
      <c r="L3223">
        <v>216.72290000000001</v>
      </c>
      <c r="M3223">
        <v>0.98461399999999999</v>
      </c>
      <c r="N3223">
        <v>0</v>
      </c>
      <c r="O3223">
        <v>-0.1746626</v>
      </c>
      <c r="P3223">
        <v>0.99591469999999904</v>
      </c>
      <c r="Q3223">
        <v>1.519245E-2</v>
      </c>
      <c r="R3223">
        <v>-8.9013049999999996E-2</v>
      </c>
      <c r="S3223">
        <v>2.9952700000000001</v>
      </c>
      <c r="T3223">
        <v>-1.401377E-2</v>
      </c>
      <c r="U3223">
        <v>-0.1862946</v>
      </c>
      <c r="V3223">
        <v>-8.6107500000000003E-2</v>
      </c>
      <c r="W3223">
        <v>2.1328570000000002E-2</v>
      </c>
      <c r="X3223">
        <v>0.99605750000000004</v>
      </c>
      <c r="Y3223">
        <v>-0.1132031</v>
      </c>
      <c r="Z3223">
        <v>1.0766949999999999E-3</v>
      </c>
      <c r="AA3223">
        <v>0.99357129999999905</v>
      </c>
      <c r="AB3223">
        <v>21</v>
      </c>
      <c r="AC3223">
        <v>245.595</v>
      </c>
      <c r="AD3223">
        <v>-1.1500239999999999</v>
      </c>
      <c r="AE3223">
        <v>-15.244300000000001</v>
      </c>
      <c r="AF3223">
        <v>-27.8862948028282</v>
      </c>
      <c r="AG3223">
        <v>-1.1500239999999999</v>
      </c>
      <c r="AH3223">
        <v>244.476997375868</v>
      </c>
      <c r="AI3223">
        <v>90.267781964239006</v>
      </c>
      <c r="AJ3223">
        <v>96.507324524240005</v>
      </c>
      <c r="AK3223">
        <v>246.064971580578</v>
      </c>
    </row>
    <row r="3224" spans="1:37" x14ac:dyDescent="0.2">
      <c r="A3224" t="str">
        <f>"20200111155608416"</f>
        <v>20200111155608416</v>
      </c>
      <c r="B3224" t="str">
        <f>"1578729368406010"</f>
        <v>1578729368406010</v>
      </c>
      <c r="C3224" t="s">
        <v>37</v>
      </c>
      <c r="D3224">
        <v>5.2289019999999997</v>
      </c>
      <c r="E3224">
        <v>0.49606250000000002</v>
      </c>
      <c r="F3224" t="s">
        <v>59</v>
      </c>
      <c r="G3224">
        <v>-359.32780000000002</v>
      </c>
      <c r="H3224">
        <v>8.0000459999999995E-2</v>
      </c>
      <c r="I3224">
        <v>208.45240000000001</v>
      </c>
      <c r="J3224">
        <v>-470.12139999999999</v>
      </c>
      <c r="K3224">
        <v>1.1000110000000001</v>
      </c>
      <c r="L3224">
        <v>216.6747</v>
      </c>
      <c r="M3224">
        <v>0.98336819999999903</v>
      </c>
      <c r="N3224">
        <v>0</v>
      </c>
      <c r="O3224">
        <v>-0.18154139999999999</v>
      </c>
      <c r="P3224">
        <v>0.99526780000000004</v>
      </c>
      <c r="Q3224">
        <v>1.66507999999999E-2</v>
      </c>
      <c r="R3224">
        <v>-9.5731659999999996E-2</v>
      </c>
      <c r="S3224">
        <v>2.992737</v>
      </c>
      <c r="T3224">
        <v>-2.749646E-2</v>
      </c>
      <c r="U3224">
        <v>-0.22294620000000001</v>
      </c>
      <c r="V3224">
        <v>-8.6328189999999999E-2</v>
      </c>
      <c r="W3224">
        <v>2.2905080000000001E-2</v>
      </c>
      <c r="X3224">
        <v>0.99600339999999998</v>
      </c>
      <c r="Y3224">
        <v>-0.107975</v>
      </c>
      <c r="Z3224">
        <v>2.1511820000000002E-3</v>
      </c>
      <c r="AA3224">
        <v>0.99415129999999996</v>
      </c>
      <c r="AB3224">
        <v>21</v>
      </c>
      <c r="AC3224">
        <v>110.793599999999</v>
      </c>
      <c r="AD3224">
        <v>-1.0200105399999999</v>
      </c>
      <c r="AE3224">
        <v>-8.22229999999999</v>
      </c>
      <c r="AF3224">
        <v>-12.0272417254424</v>
      </c>
      <c r="AG3224">
        <v>-1.0200105399999999</v>
      </c>
      <c r="AH3224">
        <v>110.43592212137</v>
      </c>
      <c r="AI3224">
        <v>90.526070992322801</v>
      </c>
      <c r="AJ3224">
        <v>96.215413906248699</v>
      </c>
      <c r="AK3224">
        <v>111.09359954480399</v>
      </c>
    </row>
    <row r="3225" spans="1:37" x14ac:dyDescent="0.2">
      <c r="A3225" t="str">
        <f>"20200111155608437"</f>
        <v>20200111155608437</v>
      </c>
      <c r="B3225" t="str">
        <f>"1578729368425530"</f>
        <v>1578729368425530</v>
      </c>
      <c r="C3225" t="s">
        <v>37</v>
      </c>
      <c r="D3225">
        <v>5.2667449999999896</v>
      </c>
      <c r="E3225">
        <v>0.49604319999999902</v>
      </c>
      <c r="F3225" t="s">
        <v>59</v>
      </c>
      <c r="G3225">
        <v>-382.79599999999999</v>
      </c>
      <c r="H3225">
        <v>8.0000879999999996E-2</v>
      </c>
      <c r="I3225">
        <v>209.3459</v>
      </c>
      <c r="J3225">
        <v>-469.91640000000001</v>
      </c>
      <c r="K3225">
        <v>1.1000449999999999</v>
      </c>
      <c r="L3225">
        <v>216.62960000000001</v>
      </c>
      <c r="M3225">
        <v>0.98220169999999996</v>
      </c>
      <c r="N3225">
        <v>0</v>
      </c>
      <c r="O3225">
        <v>-0.18774739999999901</v>
      </c>
      <c r="P3225">
        <v>0.99468860000000003</v>
      </c>
      <c r="Q3225">
        <v>1.689148E-2</v>
      </c>
      <c r="R3225">
        <v>-0.1015349</v>
      </c>
      <c r="S3225">
        <v>2.9906919999999899</v>
      </c>
      <c r="T3225">
        <v>-3.4932970000000001E-2</v>
      </c>
      <c r="U3225">
        <v>-0.25099179999999999</v>
      </c>
      <c r="V3225">
        <v>-8.6804290000000006E-2</v>
      </c>
      <c r="W3225">
        <v>2.3259749999999999E-2</v>
      </c>
      <c r="X3225">
        <v>0.9959538</v>
      </c>
      <c r="Y3225">
        <v>-0.1049298</v>
      </c>
      <c r="Z3225">
        <v>2.786724E-3</v>
      </c>
      <c r="AA3225">
        <v>0.99447569999999996</v>
      </c>
      <c r="AB3225">
        <v>21</v>
      </c>
      <c r="AC3225">
        <v>87.120400000000004</v>
      </c>
      <c r="AD3225">
        <v>-1.0200441200000001</v>
      </c>
      <c r="AE3225">
        <v>-7.2836999999999996</v>
      </c>
      <c r="AF3225">
        <v>-9.2014548355394901</v>
      </c>
      <c r="AG3225">
        <v>-1.0200441200000001</v>
      </c>
      <c r="AH3225">
        <v>86.926802860875299</v>
      </c>
      <c r="AI3225">
        <v>90.668572641720402</v>
      </c>
      <c r="AJ3225">
        <v>96.042423770587405</v>
      </c>
      <c r="AK3225">
        <v>87.418398044751996</v>
      </c>
    </row>
    <row r="3226" spans="1:37" x14ac:dyDescent="0.2">
      <c r="A3226" t="str">
        <f>"20200111155608461"</f>
        <v>20200111155608461</v>
      </c>
      <c r="B3226" t="str">
        <f>"1578729368455786"</f>
        <v>1578729368455786</v>
      </c>
      <c r="C3226" t="s">
        <v>37</v>
      </c>
      <c r="D3226">
        <v>5.2352019999999904</v>
      </c>
      <c r="E3226">
        <v>0.49600139999999998</v>
      </c>
      <c r="F3226" t="s">
        <v>59</v>
      </c>
      <c r="G3226">
        <v>-388.63740000000001</v>
      </c>
      <c r="H3226">
        <v>8.0000619999999995E-2</v>
      </c>
      <c r="I3226">
        <v>209.33920000000001</v>
      </c>
      <c r="J3226">
        <v>-469.68950000000001</v>
      </c>
      <c r="K3226">
        <v>1.100128</v>
      </c>
      <c r="L3226">
        <v>216.57810000000001</v>
      </c>
      <c r="M3226">
        <v>0.98088199999999903</v>
      </c>
      <c r="N3226">
        <v>0</v>
      </c>
      <c r="O3226">
        <v>-0.19452079999999999</v>
      </c>
      <c r="P3226">
        <v>0.994015599999999</v>
      </c>
      <c r="Q3226">
        <v>1.9288530000000002E-2</v>
      </c>
      <c r="R3226">
        <v>-0.10752399999999999</v>
      </c>
      <c r="S3226">
        <v>2.9892880000000002</v>
      </c>
      <c r="T3226">
        <v>-3.7515279999999998E-2</v>
      </c>
      <c r="U3226">
        <v>-0.26812740000000002</v>
      </c>
      <c r="V3226">
        <v>-8.7649389999999994E-2</v>
      </c>
      <c r="W3226">
        <v>2.578623E-2</v>
      </c>
      <c r="X3226">
        <v>0.99581759999999997</v>
      </c>
      <c r="Y3226">
        <v>-0.10609200000000001</v>
      </c>
      <c r="Z3226">
        <v>3.0836069999999999E-3</v>
      </c>
      <c r="AA3226">
        <v>0.9943516</v>
      </c>
      <c r="AB3226">
        <v>22</v>
      </c>
      <c r="AC3226">
        <v>81.052099999999996</v>
      </c>
      <c r="AD3226">
        <v>-1.0201273799999999</v>
      </c>
      <c r="AE3226">
        <v>-7.2389000000000001</v>
      </c>
      <c r="AF3226">
        <v>-8.6645902866589299</v>
      </c>
      <c r="AG3226">
        <v>-1.0201273799999999</v>
      </c>
      <c r="AH3226">
        <v>80.899249895009703</v>
      </c>
      <c r="AI3226">
        <v>90.718344936511301</v>
      </c>
      <c r="AJ3226">
        <v>96.113272383833007</v>
      </c>
      <c r="AK3226">
        <v>81.368325645070996</v>
      </c>
    </row>
    <row r="3227" spans="1:37" x14ac:dyDescent="0.2">
      <c r="A3227" t="str">
        <f>"20200111155608484"</f>
        <v>20200111155608484</v>
      </c>
      <c r="B3227" t="str">
        <f>"1578729368475305"</f>
        <v>1578729368475305</v>
      </c>
      <c r="C3227" t="s">
        <v>37</v>
      </c>
      <c r="D3227">
        <v>5.441789</v>
      </c>
      <c r="E3227">
        <v>0.49621769999999998</v>
      </c>
      <c r="F3227" t="s">
        <v>59</v>
      </c>
      <c r="G3227">
        <v>-383.93349999999998</v>
      </c>
      <c r="H3227">
        <v>8.0000589999999996E-2</v>
      </c>
      <c r="I3227">
        <v>208.3793</v>
      </c>
      <c r="J3227">
        <v>-469.4683</v>
      </c>
      <c r="K3227">
        <v>1.1002620000000001</v>
      </c>
      <c r="L3227">
        <v>216.5265</v>
      </c>
      <c r="M3227">
        <v>0.97958289999999903</v>
      </c>
      <c r="N3227">
        <v>0</v>
      </c>
      <c r="O3227">
        <v>-0.20095629999999901</v>
      </c>
      <c r="P3227">
        <v>0.99328709999999898</v>
      </c>
      <c r="Q3227">
        <v>2.1918969999999999E-2</v>
      </c>
      <c r="R3227">
        <v>-0.1135803</v>
      </c>
      <c r="S3227">
        <v>2.987854</v>
      </c>
      <c r="T3227">
        <v>-3.5542610000000002E-2</v>
      </c>
      <c r="U3227">
        <v>-0.28565980000000002</v>
      </c>
      <c r="V3227">
        <v>-8.8087730000000003E-2</v>
      </c>
      <c r="W3227">
        <v>2.853323E-2</v>
      </c>
      <c r="X3227">
        <v>0.99570400000000003</v>
      </c>
      <c r="Y3227">
        <v>-0.1067948</v>
      </c>
      <c r="Z3227">
        <v>3.0007900000000001E-3</v>
      </c>
      <c r="AA3227">
        <v>0.99427659999999995</v>
      </c>
      <c r="AB3227">
        <v>22</v>
      </c>
      <c r="AC3227">
        <v>85.534800000000004</v>
      </c>
      <c r="AD3227">
        <v>-1.02026141</v>
      </c>
      <c r="AE3227">
        <v>-8.1471999999999891</v>
      </c>
      <c r="AF3227">
        <v>-9.2067570988979295</v>
      </c>
      <c r="AG3227">
        <v>-1.02026141</v>
      </c>
      <c r="AH3227">
        <v>85.4150635200848</v>
      </c>
      <c r="AI3227">
        <v>90.680410268646</v>
      </c>
      <c r="AJ3227">
        <v>96.152070863012298</v>
      </c>
      <c r="AK3227">
        <v>85.915879706623201</v>
      </c>
    </row>
    <row r="3228" spans="1:37" x14ac:dyDescent="0.2">
      <c r="A3228" t="str">
        <f>"20200111155608505"</f>
        <v>20200111155608505</v>
      </c>
      <c r="B3228" t="str">
        <f>"1578729368495802"</f>
        <v>1578729368495802</v>
      </c>
      <c r="C3228" t="s">
        <v>37</v>
      </c>
      <c r="D3228">
        <v>5.161511</v>
      </c>
      <c r="E3228">
        <v>0.49601459999999897</v>
      </c>
      <c r="F3228" t="s">
        <v>59</v>
      </c>
      <c r="G3228">
        <v>-368.70299999999997</v>
      </c>
      <c r="H3228">
        <v>8.0000370000000001E-2</v>
      </c>
      <c r="I3228">
        <v>206.21099999999899</v>
      </c>
      <c r="J3228">
        <v>-469.2611</v>
      </c>
      <c r="K3228">
        <v>1.1003959999999999</v>
      </c>
      <c r="L3228">
        <v>216.477</v>
      </c>
      <c r="M3228">
        <v>0.97836029999999996</v>
      </c>
      <c r="N3228">
        <v>0</v>
      </c>
      <c r="O3228">
        <v>-0.20682399999999901</v>
      </c>
      <c r="P3228">
        <v>0.99265479999999995</v>
      </c>
      <c r="Q3228">
        <v>2.350238E-2</v>
      </c>
      <c r="R3228">
        <v>-0.1186789</v>
      </c>
      <c r="S3228">
        <v>2.9859619999999998</v>
      </c>
      <c r="T3228">
        <v>-3.0233260000000001E-2</v>
      </c>
      <c r="U3228">
        <v>-0.30567929999999999</v>
      </c>
      <c r="V3228">
        <v>-8.8928400000000005E-2</v>
      </c>
      <c r="W3228">
        <v>3.0223839999999998E-2</v>
      </c>
      <c r="X3228">
        <v>0.9955794</v>
      </c>
      <c r="Y3228">
        <v>-0.1060987</v>
      </c>
      <c r="Z3228">
        <v>2.6074660000000001E-3</v>
      </c>
      <c r="AA3228">
        <v>0.99435219999999902</v>
      </c>
      <c r="AB3228">
        <v>22</v>
      </c>
      <c r="AC3228">
        <v>100.558099999999</v>
      </c>
      <c r="AD3228">
        <v>-1.0203956300000001</v>
      </c>
      <c r="AE3228">
        <v>-10.266</v>
      </c>
      <c r="AF3228">
        <v>-10.753073796229501</v>
      </c>
      <c r="AG3228">
        <v>-1.0203956300000001</v>
      </c>
      <c r="AH3228">
        <v>100.496823528568</v>
      </c>
      <c r="AI3228">
        <v>90.578431822221802</v>
      </c>
      <c r="AJ3228">
        <v>96.107362570958202</v>
      </c>
      <c r="AK3228">
        <v>101.07562190083701</v>
      </c>
    </row>
    <row r="3229" spans="1:37" x14ac:dyDescent="0.2">
      <c r="A3229" t="str">
        <f>"20200111155608526"</f>
        <v>20200111155608526</v>
      </c>
      <c r="B3229" t="str">
        <f>"1578729368516298"</f>
        <v>1578729368516298</v>
      </c>
      <c r="C3229" t="s">
        <v>37</v>
      </c>
      <c r="D3229">
        <v>5.1425960000000002</v>
      </c>
      <c r="E3229">
        <v>0.49565920000000002</v>
      </c>
      <c r="F3229" t="s">
        <v>59</v>
      </c>
      <c r="G3229">
        <v>-360.315</v>
      </c>
      <c r="H3229">
        <v>8.0001370000000002E-2</v>
      </c>
      <c r="I3229">
        <v>204.82579999999999</v>
      </c>
      <c r="J3229">
        <v>-469.0625</v>
      </c>
      <c r="K3229">
        <v>1.100528</v>
      </c>
      <c r="L3229">
        <v>216.42859999999999</v>
      </c>
      <c r="M3229">
        <v>0.97719669999999903</v>
      </c>
      <c r="N3229">
        <v>0</v>
      </c>
      <c r="O3229">
        <v>-0.2122494</v>
      </c>
      <c r="P3229">
        <v>0.99212210000000001</v>
      </c>
      <c r="Q3229">
        <v>2.2701599999999999E-2</v>
      </c>
      <c r="R3229">
        <v>-0.1232002</v>
      </c>
      <c r="S3229">
        <v>2.9847109999999999</v>
      </c>
      <c r="T3229">
        <v>-2.7954940000000001E-2</v>
      </c>
      <c r="U3229">
        <v>-0.3191986</v>
      </c>
      <c r="V3229">
        <v>-8.9936210000000003E-2</v>
      </c>
      <c r="W3229">
        <v>2.951939E-2</v>
      </c>
      <c r="X3229">
        <v>0.99551000000000001</v>
      </c>
      <c r="Y3229">
        <v>-0.10712089999999901</v>
      </c>
      <c r="Z3229">
        <v>2.4654939999999999E-3</v>
      </c>
      <c r="AA3229">
        <v>0.99424299999999999</v>
      </c>
      <c r="AB3229">
        <v>22</v>
      </c>
      <c r="AC3229">
        <v>108.7475</v>
      </c>
      <c r="AD3229">
        <v>-1.02052663</v>
      </c>
      <c r="AE3229">
        <v>-11.6028</v>
      </c>
      <c r="AF3229">
        <v>-11.7425673642396</v>
      </c>
      <c r="AG3229">
        <v>-1.02052663</v>
      </c>
      <c r="AH3229">
        <v>108.722919196502</v>
      </c>
      <c r="AI3229">
        <v>90.534681188415405</v>
      </c>
      <c r="AJ3229">
        <v>96.164308779334206</v>
      </c>
      <c r="AK3229">
        <v>109.35996763676999</v>
      </c>
    </row>
    <row r="3230" spans="1:37" x14ac:dyDescent="0.2">
      <c r="A3230" t="str">
        <f>"20200111155608549"</f>
        <v>20200111155608549</v>
      </c>
      <c r="B3230" t="str">
        <f>"1578729368545578"</f>
        <v>1578729368545578</v>
      </c>
      <c r="C3230" t="s">
        <v>37</v>
      </c>
      <c r="D3230">
        <v>5.248488</v>
      </c>
      <c r="E3230">
        <v>0.4950832</v>
      </c>
      <c r="F3230" t="s">
        <v>59</v>
      </c>
      <c r="G3230">
        <v>-369.86649999999997</v>
      </c>
      <c r="H3230">
        <v>8.000003E-2</v>
      </c>
      <c r="I3230">
        <v>205.4444</v>
      </c>
      <c r="J3230">
        <v>-468.83980000000003</v>
      </c>
      <c r="K3230">
        <v>1.100722</v>
      </c>
      <c r="L3230">
        <v>216.3733</v>
      </c>
      <c r="M3230">
        <v>0.97592749999999995</v>
      </c>
      <c r="N3230">
        <v>0</v>
      </c>
      <c r="O3230">
        <v>-0.21800739999999999</v>
      </c>
      <c r="P3230">
        <v>0.99161909999999898</v>
      </c>
      <c r="Q3230">
        <v>2.0280469999999998E-2</v>
      </c>
      <c r="R3230">
        <v>-0.1275964</v>
      </c>
      <c r="S3230">
        <v>2.9834900000000002</v>
      </c>
      <c r="T3230">
        <v>-3.069413E-2</v>
      </c>
      <c r="U3230">
        <v>-0.33036799999999999</v>
      </c>
      <c r="V3230">
        <v>-9.1438370000000005E-2</v>
      </c>
      <c r="W3230">
        <v>2.7196689999999999E-2</v>
      </c>
      <c r="X3230">
        <v>0.99543930000000003</v>
      </c>
      <c r="Y3230">
        <v>-0.1092583</v>
      </c>
      <c r="Z3230">
        <v>2.776012E-3</v>
      </c>
      <c r="AA3230">
        <v>0.99400949999999899</v>
      </c>
      <c r="AB3230">
        <v>22</v>
      </c>
      <c r="AC3230">
        <v>98.973299999999995</v>
      </c>
      <c r="AD3230">
        <v>-1.0207219700000001</v>
      </c>
      <c r="AE3230">
        <v>-10.928900000000001</v>
      </c>
      <c r="AF3230">
        <v>-10.910160209927801</v>
      </c>
      <c r="AG3230">
        <v>-1.0207219700000001</v>
      </c>
      <c r="AH3230">
        <v>98.964842009696795</v>
      </c>
      <c r="AI3230">
        <v>90.587368646569502</v>
      </c>
      <c r="AJ3230">
        <v>96.291042611416799</v>
      </c>
      <c r="AK3230">
        <v>99.5696410717172</v>
      </c>
    </row>
    <row r="3231" spans="1:37" x14ac:dyDescent="0.2">
      <c r="A3231" t="str">
        <f>"20200111155608571"</f>
        <v>20200111155608571</v>
      </c>
      <c r="B3231" t="str">
        <f>"1578729368566076"</f>
        <v>1578729368566076</v>
      </c>
      <c r="C3231" t="s">
        <v>37</v>
      </c>
      <c r="D3231">
        <v>5.1333510000000002</v>
      </c>
      <c r="E3231">
        <v>0.49438209999999999</v>
      </c>
      <c r="F3231" t="s">
        <v>59</v>
      </c>
      <c r="G3231">
        <v>-396.49919999999997</v>
      </c>
      <c r="H3231">
        <v>8.0001030000000001E-2</v>
      </c>
      <c r="I3231">
        <v>208.1559</v>
      </c>
      <c r="J3231">
        <v>-468.62049999999999</v>
      </c>
      <c r="K3231">
        <v>1.1009719999999901</v>
      </c>
      <c r="L3231">
        <v>216.31790000000001</v>
      </c>
      <c r="M3231">
        <v>0.97473909999999997</v>
      </c>
      <c r="N3231">
        <v>0</v>
      </c>
      <c r="O3231">
        <v>-0.22325780000000001</v>
      </c>
      <c r="P3231">
        <v>0.99119409999999897</v>
      </c>
      <c r="Q3231">
        <v>1.8346810000000002E-2</v>
      </c>
      <c r="R3231">
        <v>-0.13114200000000001</v>
      </c>
      <c r="S3231">
        <v>2.9826349999999899</v>
      </c>
      <c r="T3231">
        <v>-4.208481E-2</v>
      </c>
      <c r="U3231">
        <v>-0.3388062</v>
      </c>
      <c r="V3231">
        <v>-9.3275430000000006E-2</v>
      </c>
      <c r="W3231">
        <v>2.5343870000000001E-2</v>
      </c>
      <c r="X3231">
        <v>0.99531780000000003</v>
      </c>
      <c r="Y3231">
        <v>-0.1117851</v>
      </c>
      <c r="Z3231">
        <v>3.8961130000000001E-3</v>
      </c>
      <c r="AA3231">
        <v>0.99372479999999996</v>
      </c>
      <c r="AB3231">
        <v>22</v>
      </c>
      <c r="AC3231">
        <v>72.121300000000005</v>
      </c>
      <c r="AD3231">
        <v>-1.02097096999999</v>
      </c>
      <c r="AE3231">
        <v>-8.1620000000000008</v>
      </c>
      <c r="AF3231">
        <v>-8.1443721984918493</v>
      </c>
      <c r="AG3231">
        <v>-1.02097096999999</v>
      </c>
      <c r="AH3231">
        <v>72.108842830363301</v>
      </c>
      <c r="AI3231">
        <v>90.806057986484802</v>
      </c>
      <c r="AJ3231">
        <v>96.443994002149495</v>
      </c>
      <c r="AK3231">
        <v>72.574502372136095</v>
      </c>
    </row>
    <row r="3232" spans="1:37" x14ac:dyDescent="0.2">
      <c r="A3232" t="str">
        <f>"20200111155608593"</f>
        <v>20200111155608593</v>
      </c>
      <c r="B3232" t="str">
        <f>"1578729368585594"</f>
        <v>1578729368585594</v>
      </c>
      <c r="C3232" t="s">
        <v>37</v>
      </c>
      <c r="D3232">
        <v>5.1149490000000002</v>
      </c>
      <c r="E3232">
        <v>0.49385600000000002</v>
      </c>
      <c r="F3232" t="s">
        <v>61</v>
      </c>
      <c r="G3232">
        <v>-407.9502</v>
      </c>
      <c r="H3232">
        <v>5.350829E-2</v>
      </c>
      <c r="I3232">
        <v>209.32589999999999</v>
      </c>
      <c r="J3232">
        <v>-468.40390000000002</v>
      </c>
      <c r="K3232">
        <v>1.1012850000000001</v>
      </c>
      <c r="L3232">
        <v>216.26249999999999</v>
      </c>
      <c r="M3232">
        <v>0.9736494</v>
      </c>
      <c r="N3232">
        <v>0</v>
      </c>
      <c r="O3232">
        <v>-0.22795949999999901</v>
      </c>
      <c r="P3232">
        <v>0.99082329999999996</v>
      </c>
      <c r="Q3232">
        <v>1.6086590000000001E-2</v>
      </c>
      <c r="R3232">
        <v>-0.1342033</v>
      </c>
      <c r="S3232">
        <v>2.9821169999999899</v>
      </c>
      <c r="T3232">
        <v>-5.1485780000000002E-2</v>
      </c>
      <c r="U3232">
        <v>-0.34367370000000003</v>
      </c>
      <c r="V3232">
        <v>-9.5047300000000001E-2</v>
      </c>
      <c r="W3232">
        <v>2.314248E-2</v>
      </c>
      <c r="X3232">
        <v>0.99520370000000002</v>
      </c>
      <c r="Y3232">
        <v>-0.114943</v>
      </c>
      <c r="Z3232">
        <v>4.8724670000000001E-3</v>
      </c>
      <c r="AA3232">
        <v>0.99336019999999903</v>
      </c>
      <c r="AB3232">
        <v>22</v>
      </c>
      <c r="AC3232">
        <v>60.453699999999998</v>
      </c>
      <c r="AD3232">
        <v>-1.0477767099999999</v>
      </c>
      <c r="AE3232">
        <v>-6.9365999999999897</v>
      </c>
      <c r="AF3232">
        <v>-7.0252410367039797</v>
      </c>
      <c r="AG3232">
        <v>-1.0477767099999999</v>
      </c>
      <c r="AH3232">
        <v>60.425305590183399</v>
      </c>
      <c r="AI3232">
        <v>90.986765661194497</v>
      </c>
      <c r="AJ3232">
        <v>96.631619014517497</v>
      </c>
      <c r="AK3232">
        <v>60.841346166277901</v>
      </c>
    </row>
    <row r="3233" spans="1:37" x14ac:dyDescent="0.2">
      <c r="A3233" t="str">
        <f>"20200111155608616"</f>
        <v>20200111155608616</v>
      </c>
      <c r="B3233" t="str">
        <f>"1578729368606090"</f>
        <v>1578729368606090</v>
      </c>
      <c r="C3233" t="s">
        <v>37</v>
      </c>
      <c r="D3233">
        <v>5.0778280000000002</v>
      </c>
      <c r="E3233">
        <v>0.4933746</v>
      </c>
      <c r="F3233" t="s">
        <v>61</v>
      </c>
      <c r="G3233">
        <v>-414.12970000000001</v>
      </c>
      <c r="H3233" s="1">
        <v>3.3489400000000001E-6</v>
      </c>
      <c r="I3233">
        <v>209.91900000000001</v>
      </c>
      <c r="J3233">
        <v>-468.17880000000002</v>
      </c>
      <c r="K3233">
        <v>1.101683</v>
      </c>
      <c r="L3233">
        <v>216.2045</v>
      </c>
      <c r="M3233">
        <v>0.97263120000000003</v>
      </c>
      <c r="N3233">
        <v>0</v>
      </c>
      <c r="O3233">
        <v>-0.23226179999999999</v>
      </c>
      <c r="P3233">
        <v>0.99039639999999995</v>
      </c>
      <c r="Q3233">
        <v>1.46386E-2</v>
      </c>
      <c r="R3233">
        <v>-0.13747960000000001</v>
      </c>
      <c r="S3233">
        <v>2.9815669999999899</v>
      </c>
      <c r="T3233">
        <v>-6.0499190000000001E-2</v>
      </c>
      <c r="U3233">
        <v>-0.34848020000000002</v>
      </c>
      <c r="V3233">
        <v>-9.6190639999999994E-2</v>
      </c>
      <c r="W3233">
        <v>2.1729970000000001E-2</v>
      </c>
      <c r="X3233">
        <v>0.9951257</v>
      </c>
      <c r="Y3233">
        <v>-0.11771330000000001</v>
      </c>
      <c r="Z3233">
        <v>5.8382410000000001E-3</v>
      </c>
      <c r="AA3233">
        <v>0.99303050000000004</v>
      </c>
      <c r="AB3233">
        <v>22</v>
      </c>
      <c r="AC3233">
        <v>54.049100000000003</v>
      </c>
      <c r="AD3233">
        <v>-1.10167965106</v>
      </c>
      <c r="AE3233">
        <v>-6.2854999999999803</v>
      </c>
      <c r="AF3233">
        <v>-6.4375674376111904</v>
      </c>
      <c r="AG3233">
        <v>-1.10167965106</v>
      </c>
      <c r="AH3233">
        <v>54.008745052844397</v>
      </c>
      <c r="AI3233">
        <v>91.160355595065795</v>
      </c>
      <c r="AJ3233">
        <v>96.797295578026606</v>
      </c>
      <c r="AK3233">
        <v>54.402210568601802</v>
      </c>
    </row>
    <row r="3234" spans="1:37" x14ac:dyDescent="0.2">
      <c r="A3234" t="str">
        <f>"20200111155608727"</f>
        <v>20200111155608727</v>
      </c>
      <c r="B3234" t="str">
        <f>"1578729368715402"</f>
        <v>1578729368715402</v>
      </c>
      <c r="C3234" t="s">
        <v>37</v>
      </c>
      <c r="D3234">
        <v>5.1658280000000003</v>
      </c>
      <c r="E3234">
        <v>0.49256099999999903</v>
      </c>
      <c r="F3234" t="s">
        <v>61</v>
      </c>
      <c r="G3234">
        <v>-417.9502</v>
      </c>
      <c r="H3234" s="1">
        <v>3.9991590000000001E-6</v>
      </c>
      <c r="I3234">
        <v>210.23320000000001</v>
      </c>
      <c r="J3234">
        <v>-467.08980000000003</v>
      </c>
      <c r="K3234">
        <v>1.103917</v>
      </c>
      <c r="L3234">
        <v>215.9238</v>
      </c>
      <c r="M3234">
        <v>0.97002119999999903</v>
      </c>
      <c r="N3234">
        <v>0</v>
      </c>
      <c r="O3234">
        <v>-0.24291639999999901</v>
      </c>
      <c r="P3234">
        <v>0.9911778</v>
      </c>
      <c r="Q3234">
        <v>1.155626E-2</v>
      </c>
      <c r="R3234">
        <v>-0.13203619999999999</v>
      </c>
      <c r="S3234">
        <v>2.980896</v>
      </c>
      <c r="T3234">
        <v>-6.5380809999999998E-2</v>
      </c>
      <c r="U3234">
        <v>-0.35437009999999902</v>
      </c>
      <c r="V3234">
        <v>-0.1126871</v>
      </c>
      <c r="W3234">
        <v>1.8702670000000001E-2</v>
      </c>
      <c r="X3234">
        <v>0.99345450000000002</v>
      </c>
      <c r="Y3234">
        <v>-0.12662470000000001</v>
      </c>
      <c r="Z3234">
        <v>6.6330579999999998E-3</v>
      </c>
      <c r="AA3234">
        <v>0.99192849999999999</v>
      </c>
      <c r="AB3234">
        <v>23</v>
      </c>
      <c r="AC3234">
        <v>49.139600000000002</v>
      </c>
      <c r="AD3234">
        <v>-1.1039130008410001</v>
      </c>
      <c r="AE3234">
        <v>-5.6905999999999803</v>
      </c>
      <c r="AF3234">
        <v>-6.41378009980681</v>
      </c>
      <c r="AG3234">
        <v>-1.1039130008410001</v>
      </c>
      <c r="AH3234">
        <v>49.025617924768198</v>
      </c>
      <c r="AI3234">
        <v>91.279019554187599</v>
      </c>
      <c r="AJ3234">
        <v>97.453394840623801</v>
      </c>
      <c r="AK3234">
        <v>49.455701511427897</v>
      </c>
    </row>
    <row r="3235" spans="1:37" x14ac:dyDescent="0.2">
      <c r="A3235" t="str">
        <f>"20200111155608749"</f>
        <v>20200111155608749</v>
      </c>
      <c r="B3235" t="str">
        <f>"1578729368745672"</f>
        <v>1578729368745672</v>
      </c>
      <c r="C3235" t="s">
        <v>37</v>
      </c>
      <c r="D3235">
        <v>5.0864909999999997</v>
      </c>
      <c r="E3235">
        <v>0.49177340000000003</v>
      </c>
      <c r="F3235" t="s">
        <v>61</v>
      </c>
      <c r="G3235">
        <v>-424.55669999999998</v>
      </c>
      <c r="H3235" s="1">
        <v>3.4554570000000001E-6</v>
      </c>
      <c r="I3235">
        <v>211.19450000000001</v>
      </c>
      <c r="J3235">
        <v>-466.87220000000002</v>
      </c>
      <c r="K3235">
        <v>1.104306</v>
      </c>
      <c r="L3235">
        <v>215.86869999999999</v>
      </c>
      <c r="M3235">
        <v>0.96995789999999904</v>
      </c>
      <c r="N3235">
        <v>0</v>
      </c>
      <c r="O3235">
        <v>-0.24316450000000001</v>
      </c>
      <c r="P3235">
        <v>0.991419099999999</v>
      </c>
      <c r="Q3235">
        <v>1.221304E-2</v>
      </c>
      <c r="R3235">
        <v>-0.13015099999999999</v>
      </c>
      <c r="S3235">
        <v>2.98339799999999</v>
      </c>
      <c r="T3235">
        <v>-7.7431920000000001E-2</v>
      </c>
      <c r="U3235">
        <v>-0.33172610000000002</v>
      </c>
      <c r="V3235">
        <v>-0.114845</v>
      </c>
      <c r="W3235">
        <v>1.941112E-2</v>
      </c>
      <c r="X3235">
        <v>0.99319369999999996</v>
      </c>
      <c r="Y3235">
        <v>-0.1343655</v>
      </c>
      <c r="Z3235">
        <v>7.9599400000000004E-3</v>
      </c>
      <c r="AA3235">
        <v>0.99089989999999994</v>
      </c>
      <c r="AB3235">
        <v>23</v>
      </c>
      <c r="AC3235">
        <v>42.3155</v>
      </c>
      <c r="AD3235">
        <v>-1.1043025445429999</v>
      </c>
      <c r="AE3235">
        <v>-4.6741999999999804</v>
      </c>
      <c r="AF3235">
        <v>-5.7521316011143204</v>
      </c>
      <c r="AG3235">
        <v>-1.1043025445429999</v>
      </c>
      <c r="AH3235">
        <v>42.153601970070902</v>
      </c>
      <c r="AI3235">
        <v>91.486867713646404</v>
      </c>
      <c r="AJ3235">
        <v>97.770387665966297</v>
      </c>
      <c r="AK3235">
        <v>42.558579171743801</v>
      </c>
    </row>
    <row r="3236" spans="1:37" x14ac:dyDescent="0.2">
      <c r="A3236" t="str">
        <f>"20200111155608862"</f>
        <v>20200111155608862</v>
      </c>
      <c r="B3236" t="str">
        <f>"1578729368855492"</f>
        <v>1578729368855492</v>
      </c>
      <c r="C3236" t="s">
        <v>37</v>
      </c>
      <c r="D3236">
        <v>5.0214080000000001</v>
      </c>
      <c r="E3236">
        <v>0.4914444</v>
      </c>
      <c r="F3236" t="s">
        <v>61</v>
      </c>
      <c r="G3236">
        <v>-424.54880000000003</v>
      </c>
      <c r="H3236" s="1">
        <v>3.4444709999999899E-6</v>
      </c>
      <c r="I3236">
        <v>211.33629999999999</v>
      </c>
      <c r="J3236">
        <v>-465.75659999999999</v>
      </c>
      <c r="K3236">
        <v>1.106689</v>
      </c>
      <c r="L3236">
        <v>215.5992</v>
      </c>
      <c r="M3236">
        <v>0.97186679999999903</v>
      </c>
      <c r="N3236">
        <v>0</v>
      </c>
      <c r="O3236">
        <v>-0.23532420000000001</v>
      </c>
      <c r="P3236">
        <v>0.99246469999999898</v>
      </c>
      <c r="Q3236">
        <v>5.4409169999999896E-4</v>
      </c>
      <c r="R3236">
        <v>-0.122530399999999</v>
      </c>
      <c r="S3236">
        <v>2.9849549999999998</v>
      </c>
      <c r="T3236">
        <v>-7.7883480000000005E-2</v>
      </c>
      <c r="U3236">
        <v>-0.31965640000000001</v>
      </c>
      <c r="V3236">
        <v>-0.1145229</v>
      </c>
      <c r="W3236">
        <v>9.8010559999999903E-3</v>
      </c>
      <c r="X3236">
        <v>0.99337229999999999</v>
      </c>
      <c r="Y3236">
        <v>-0.1303868</v>
      </c>
      <c r="Z3236">
        <v>7.7550309999999999E-3</v>
      </c>
      <c r="AA3236">
        <v>0.9914328</v>
      </c>
      <c r="AB3236">
        <v>23</v>
      </c>
      <c r="AC3236">
        <v>41.207799999999899</v>
      </c>
      <c r="AD3236">
        <v>-1.1066855555290001</v>
      </c>
      <c r="AE3236">
        <v>-4.2629000000000001</v>
      </c>
      <c r="AF3236">
        <v>-5.5505312527327497</v>
      </c>
      <c r="AG3236">
        <v>-1.1066855555290001</v>
      </c>
      <c r="AH3236">
        <v>41.0243807235952</v>
      </c>
      <c r="AI3236">
        <v>91.531307261288603</v>
      </c>
      <c r="AJ3236">
        <v>97.705235652589593</v>
      </c>
      <c r="AK3236">
        <v>41.412956473317202</v>
      </c>
    </row>
    <row r="3237" spans="1:37" x14ac:dyDescent="0.2">
      <c r="A3237" t="str">
        <f>"20200111155608884"</f>
        <v>20200111155608884</v>
      </c>
      <c r="B3237" t="str">
        <f>"1578729368875987"</f>
        <v>1578729368875987</v>
      </c>
      <c r="C3237" t="s">
        <v>37</v>
      </c>
      <c r="D3237">
        <v>5.0106380000000001</v>
      </c>
      <c r="E3237">
        <v>0.49116219999999999</v>
      </c>
      <c r="F3237" t="s">
        <v>61</v>
      </c>
      <c r="G3237">
        <v>-436.7627</v>
      </c>
      <c r="H3237" s="1">
        <v>5.3801299999999999E-6</v>
      </c>
      <c r="I3237">
        <v>212.73849999999999</v>
      </c>
      <c r="J3237">
        <v>-465.53570000000002</v>
      </c>
      <c r="K3237">
        <v>1.107022</v>
      </c>
      <c r="L3237">
        <v>215.54939999999999</v>
      </c>
      <c r="M3237">
        <v>0.97260979999999997</v>
      </c>
      <c r="N3237">
        <v>0</v>
      </c>
      <c r="O3237">
        <v>-0.232207899999999</v>
      </c>
      <c r="P3237">
        <v>0.99279150000000005</v>
      </c>
      <c r="Q3237">
        <v>-2.0334629999999901E-3</v>
      </c>
      <c r="R3237">
        <v>-0.1198365</v>
      </c>
      <c r="S3237">
        <v>2.98645</v>
      </c>
      <c r="T3237">
        <v>-0.11399139999999899</v>
      </c>
      <c r="U3237">
        <v>-0.29466249999999999</v>
      </c>
      <c r="V3237">
        <v>-0.11403089999999901</v>
      </c>
      <c r="W3237">
        <v>7.7397689999999996E-3</v>
      </c>
      <c r="X3237">
        <v>0.99344709999999903</v>
      </c>
      <c r="Y3237">
        <v>-0.1353318</v>
      </c>
      <c r="Z3237">
        <v>1.1328319999999999E-2</v>
      </c>
      <c r="AA3237">
        <v>0.99073559999999905</v>
      </c>
      <c r="AB3237">
        <v>23</v>
      </c>
      <c r="AC3237">
        <v>28.773</v>
      </c>
      <c r="AD3237">
        <v>-1.10701661987</v>
      </c>
      <c r="AE3237">
        <v>-2.8109000000000002</v>
      </c>
      <c r="AF3237">
        <v>-3.9418456949208398</v>
      </c>
      <c r="AG3237">
        <v>-1.10701661987</v>
      </c>
      <c r="AH3237">
        <v>28.597254219239801</v>
      </c>
      <c r="AI3237">
        <v>92.196102581702903</v>
      </c>
      <c r="AJ3237">
        <v>97.848195067628893</v>
      </c>
      <c r="AK3237">
        <v>28.888866058726901</v>
      </c>
    </row>
    <row r="3238" spans="1:37" x14ac:dyDescent="0.2">
      <c r="A3238" t="str">
        <f>"20200111155609197"</f>
        <v>20200111155609197</v>
      </c>
      <c r="B3238" t="str">
        <f>"1578729369186176"</f>
        <v>1578729369186176</v>
      </c>
      <c r="C3238" t="s">
        <v>37</v>
      </c>
      <c r="D3238">
        <v>5.1603500000000002</v>
      </c>
      <c r="E3238">
        <v>0.46412039999999999</v>
      </c>
      <c r="F3238" t="s">
        <v>61</v>
      </c>
      <c r="G3238">
        <v>-438.40820000000002</v>
      </c>
      <c r="H3238" s="1">
        <v>6.0899120000000002E-6</v>
      </c>
      <c r="I3238">
        <v>212.96639999999999</v>
      </c>
      <c r="J3238">
        <v>-462.51429999999999</v>
      </c>
      <c r="K3238">
        <v>1.1086579999999999</v>
      </c>
      <c r="L3238">
        <v>214.99940000000001</v>
      </c>
      <c r="M3238">
        <v>0.9862263</v>
      </c>
      <c r="N3238">
        <v>0</v>
      </c>
      <c r="O3238">
        <v>-0.16478609999999999</v>
      </c>
      <c r="P3238">
        <v>0.99647220000000003</v>
      </c>
      <c r="Q3238">
        <v>-7.3564050000000003E-4</v>
      </c>
      <c r="R3238">
        <v>-8.3921449999999995E-2</v>
      </c>
      <c r="S3238">
        <v>2.9872130000000001</v>
      </c>
      <c r="T3238">
        <v>-0.1219016</v>
      </c>
      <c r="U3238">
        <v>-0.284439099999999</v>
      </c>
      <c r="V3238">
        <v>-8.1566100000000002E-2</v>
      </c>
      <c r="W3238">
        <v>1.273723E-2</v>
      </c>
      <c r="X3238">
        <v>0.99658659999999999</v>
      </c>
      <c r="Y3238">
        <v>-7.0374439999999996E-2</v>
      </c>
      <c r="Z3238">
        <v>8.1032129999999997E-3</v>
      </c>
      <c r="AA3238">
        <v>0.99748769999999998</v>
      </c>
      <c r="AB3238">
        <v>22</v>
      </c>
      <c r="AC3238">
        <v>24.106099999999898</v>
      </c>
      <c r="AD3238">
        <v>-1.1086519100879999</v>
      </c>
      <c r="AE3238">
        <v>-2.0330000000000101</v>
      </c>
      <c r="AF3238">
        <v>-1.9634285043397299</v>
      </c>
      <c r="AG3238">
        <v>-1.1086519100879999</v>
      </c>
      <c r="AH3238">
        <v>24.060997466044299</v>
      </c>
      <c r="AI3238">
        <v>92.629408188440706</v>
      </c>
      <c r="AJ3238">
        <v>94.665120773133097</v>
      </c>
      <c r="AK3238">
        <v>24.1664180136483</v>
      </c>
    </row>
    <row r="3239" spans="1:37" x14ac:dyDescent="0.2">
      <c r="A3239" t="str">
        <f>"20200111155609221"</f>
        <v>20200111155609221</v>
      </c>
      <c r="B3239" t="str">
        <f>"1578729369215458"</f>
        <v>1578729369215458</v>
      </c>
      <c r="C3239" t="s">
        <v>37</v>
      </c>
      <c r="D3239">
        <v>5.3142430000000003</v>
      </c>
      <c r="E3239">
        <v>0.46416839999999998</v>
      </c>
      <c r="F3239" t="s">
        <v>61</v>
      </c>
      <c r="G3239">
        <v>-436.16230000000002</v>
      </c>
      <c r="H3239" s="1">
        <v>4.8831230000000003E-6</v>
      </c>
      <c r="I3239">
        <v>215.37780000000001</v>
      </c>
      <c r="J3239">
        <v>-462.29399999999998</v>
      </c>
      <c r="K3239">
        <v>1.1087340000000001</v>
      </c>
      <c r="L3239">
        <v>214.97020000000001</v>
      </c>
      <c r="M3239">
        <v>0.98725580000000002</v>
      </c>
      <c r="N3239">
        <v>0</v>
      </c>
      <c r="O3239">
        <v>-0.15849360000000001</v>
      </c>
      <c r="P3239">
        <v>0.996695199999999</v>
      </c>
      <c r="Q3239">
        <v>-9.2281399999999999E-4</v>
      </c>
      <c r="R3239">
        <v>-8.122799E-2</v>
      </c>
      <c r="S3239">
        <v>3.01416</v>
      </c>
      <c r="T3239">
        <v>-0.12680849999999999</v>
      </c>
      <c r="U3239">
        <v>4.3289179999999997E-2</v>
      </c>
      <c r="V3239">
        <v>-7.7904600000000004E-2</v>
      </c>
      <c r="W3239">
        <v>1.2663809999999999E-2</v>
      </c>
      <c r="X3239">
        <v>0.9968804</v>
      </c>
      <c r="Y3239">
        <v>-0.17238049999999999</v>
      </c>
      <c r="Z3239">
        <v>1.0270359999999999E-2</v>
      </c>
      <c r="AA3239">
        <v>0.98497690000000004</v>
      </c>
      <c r="AB3239">
        <v>22</v>
      </c>
      <c r="AC3239">
        <v>26.131699999999999</v>
      </c>
      <c r="AD3239">
        <v>-1.1087291168769999</v>
      </c>
      <c r="AE3239">
        <v>0.40760000000000202</v>
      </c>
      <c r="AF3239">
        <v>-4.5364158789143003</v>
      </c>
      <c r="AG3239">
        <v>-1.1087291168769999</v>
      </c>
      <c r="AH3239">
        <v>25.690482174925599</v>
      </c>
      <c r="AI3239">
        <v>92.433589028554906</v>
      </c>
      <c r="AJ3239">
        <v>100.014038725077</v>
      </c>
      <c r="AK3239">
        <v>26.1114768571456</v>
      </c>
    </row>
    <row r="3240" spans="1:37" x14ac:dyDescent="0.2">
      <c r="A3240" t="str">
        <f>"20200111155609242"</f>
        <v>20200111155609242</v>
      </c>
      <c r="B3240" t="str">
        <f>"1578729369235953"</f>
        <v>1578729369235953</v>
      </c>
      <c r="C3240" t="s">
        <v>37</v>
      </c>
      <c r="D3240">
        <v>5.4630900000000002</v>
      </c>
      <c r="E3240">
        <v>0.46875800000000001</v>
      </c>
      <c r="F3240" t="s">
        <v>61</v>
      </c>
      <c r="G3240">
        <v>-435.35669999999999</v>
      </c>
      <c r="H3240" s="1">
        <v>4.5216930000000003E-6</v>
      </c>
      <c r="I3240">
        <v>215.42590000000001</v>
      </c>
      <c r="J3240">
        <v>-462.0872</v>
      </c>
      <c r="K3240">
        <v>1.1087849999999999</v>
      </c>
      <c r="L3240">
        <v>214.9442</v>
      </c>
      <c r="M3240">
        <v>0.98820149999999995</v>
      </c>
      <c r="N3240">
        <v>0</v>
      </c>
      <c r="O3240">
        <v>-0.152479</v>
      </c>
      <c r="P3240">
        <v>0.9969462</v>
      </c>
      <c r="Q3240">
        <v>-6.1865900000000003E-4</v>
      </c>
      <c r="R3240">
        <v>-7.8089249999999999E-2</v>
      </c>
      <c r="S3240">
        <v>3.014008</v>
      </c>
      <c r="T3240">
        <v>-0.1240555</v>
      </c>
      <c r="U3240">
        <v>5.0994869999999998E-2</v>
      </c>
      <c r="V3240">
        <v>-7.4978110000000001E-2</v>
      </c>
      <c r="W3240">
        <v>1.3061929999999999E-2</v>
      </c>
      <c r="X3240">
        <v>0.99709959999999898</v>
      </c>
      <c r="Y3240">
        <v>-0.1689206</v>
      </c>
      <c r="Z3240">
        <v>9.7317340000000006E-3</v>
      </c>
      <c r="AA3240">
        <v>0.98558159999999895</v>
      </c>
      <c r="AB3240">
        <v>22</v>
      </c>
      <c r="AC3240">
        <v>26.730499999999999</v>
      </c>
      <c r="AD3240">
        <v>-1.1087804783070001</v>
      </c>
      <c r="AE3240">
        <v>0.481700000000017</v>
      </c>
      <c r="AF3240">
        <v>-4.5445132269809596</v>
      </c>
      <c r="AG3240">
        <v>-1.1087804783070001</v>
      </c>
      <c r="AH3240">
        <v>26.299174999186601</v>
      </c>
      <c r="AI3240">
        <v>92.378960892409097</v>
      </c>
      <c r="AJ3240">
        <v>99.803928263507601</v>
      </c>
      <c r="AK3240">
        <v>26.711956129364999</v>
      </c>
    </row>
    <row r="3241" spans="1:37" x14ac:dyDescent="0.2">
      <c r="A3241" t="str">
        <f>"20200111155609263"</f>
        <v>20200111155609263</v>
      </c>
      <c r="B3241" t="str">
        <f>"1578729369255981"</f>
        <v>1578729369255981</v>
      </c>
      <c r="C3241" t="s">
        <v>37</v>
      </c>
      <c r="D3241">
        <v>5.2230790000000002</v>
      </c>
      <c r="E3241">
        <v>0.47556189999999998</v>
      </c>
      <c r="F3241" t="s">
        <v>61</v>
      </c>
      <c r="G3241">
        <v>-425.0215</v>
      </c>
      <c r="H3241" s="1">
        <v>3.0220809999999999E-6</v>
      </c>
      <c r="I3241">
        <v>215.20859999999999</v>
      </c>
      <c r="J3241">
        <v>-461.88060000000002</v>
      </c>
      <c r="K3241">
        <v>1.1088089999999999</v>
      </c>
      <c r="L3241">
        <v>214.9196</v>
      </c>
      <c r="M3241">
        <v>0.98911949999999904</v>
      </c>
      <c r="N3241">
        <v>0</v>
      </c>
      <c r="O3241">
        <v>-0.14640059999999999</v>
      </c>
      <c r="P3241">
        <v>0.99727770000000004</v>
      </c>
      <c r="Q3241">
        <v>2.6843320000000001E-4</v>
      </c>
      <c r="R3241">
        <v>-7.3738310000000001E-2</v>
      </c>
      <c r="S3241">
        <v>3.0107729999999999</v>
      </c>
      <c r="T3241">
        <v>-9.0064290000000005E-2</v>
      </c>
      <c r="U3241">
        <v>2.1484380000000001E-2</v>
      </c>
      <c r="V3241">
        <v>-7.3207869999999994E-2</v>
      </c>
      <c r="W3241">
        <v>1.4025050000000001E-2</v>
      </c>
      <c r="X3241">
        <v>0.9972181</v>
      </c>
      <c r="Y3241">
        <v>-0.15333720000000001</v>
      </c>
      <c r="Z3241">
        <v>6.6604840000000004E-3</v>
      </c>
      <c r="AA3241">
        <v>0.98815149999999996</v>
      </c>
      <c r="AB3241">
        <v>22</v>
      </c>
      <c r="AC3241">
        <v>36.859099999999998</v>
      </c>
      <c r="AD3241">
        <v>-1.108805977919</v>
      </c>
      <c r="AE3241">
        <v>0.28899999999998699</v>
      </c>
      <c r="AF3241">
        <v>-5.67750760952622</v>
      </c>
      <c r="AG3241">
        <v>-1.108805977919</v>
      </c>
      <c r="AH3241">
        <v>36.386633717407399</v>
      </c>
      <c r="AI3241">
        <v>91.724573641680806</v>
      </c>
      <c r="AJ3241">
        <v>98.868509563219305</v>
      </c>
      <c r="AK3241">
        <v>36.843597227166498</v>
      </c>
    </row>
    <row r="3242" spans="1:37" x14ac:dyDescent="0.2">
      <c r="A3242" t="str">
        <f>"20200111155609287"</f>
        <v>20200111155609287</v>
      </c>
      <c r="B3242" t="str">
        <f>"1578729369275500"</f>
        <v>1578729369275500</v>
      </c>
      <c r="C3242" t="s">
        <v>37</v>
      </c>
      <c r="D3242">
        <v>5.2660539999999996</v>
      </c>
      <c r="E3242">
        <v>0.54780359999999995</v>
      </c>
      <c r="F3242" t="s">
        <v>61</v>
      </c>
      <c r="G3242">
        <v>-428.41070000000002</v>
      </c>
      <c r="H3242" s="1">
        <v>2.4646129999999998E-6</v>
      </c>
      <c r="I3242">
        <v>214.70859999999999</v>
      </c>
      <c r="J3242">
        <v>-461.66309999999999</v>
      </c>
      <c r="K3242">
        <v>1.108819</v>
      </c>
      <c r="L3242">
        <v>214.89519999999999</v>
      </c>
      <c r="M3242">
        <v>0.99005140000000003</v>
      </c>
      <c r="N3242">
        <v>0</v>
      </c>
      <c r="O3242">
        <v>-0.13995450000000001</v>
      </c>
      <c r="P3242">
        <v>0.99764969999999997</v>
      </c>
      <c r="Q3242">
        <v>1.1669549999999999E-3</v>
      </c>
      <c r="R3242">
        <v>-6.8513770000000002E-2</v>
      </c>
      <c r="S3242">
        <v>3.0068049999999999</v>
      </c>
      <c r="T3242">
        <v>-9.9610920000000006E-2</v>
      </c>
      <c r="U3242">
        <v>-1.895142E-2</v>
      </c>
      <c r="V3242">
        <v>-7.1943850000000004E-2</v>
      </c>
      <c r="W3242">
        <v>1.4991020000000001E-2</v>
      </c>
      <c r="X3242">
        <v>0.99729599999999996</v>
      </c>
      <c r="Y3242">
        <v>-0.13357620000000001</v>
      </c>
      <c r="Z3242">
        <v>6.8356329999999998E-3</v>
      </c>
      <c r="AA3242">
        <v>0.99101499999999998</v>
      </c>
      <c r="AB3242">
        <v>22</v>
      </c>
      <c r="AC3242">
        <v>33.252399999999902</v>
      </c>
      <c r="AD3242">
        <v>-1.1088165353870001</v>
      </c>
      <c r="AE3242">
        <v>-0.18659999999999799</v>
      </c>
      <c r="AF3242">
        <v>-4.4645867996459803</v>
      </c>
      <c r="AG3242">
        <v>-1.1088165353870001</v>
      </c>
      <c r="AH3242">
        <v>32.914579396350497</v>
      </c>
      <c r="AI3242">
        <v>91.911938274127806</v>
      </c>
      <c r="AJ3242">
        <v>97.724548692663603</v>
      </c>
      <c r="AK3242">
        <v>33.234493320033899</v>
      </c>
    </row>
    <row r="3243" spans="1:37" x14ac:dyDescent="0.2">
      <c r="A3243" t="str">
        <f>"20200111155609308"</f>
        <v>20200111155609308</v>
      </c>
      <c r="B3243" t="str">
        <f>"1578729369295996"</f>
        <v>1578729369295996</v>
      </c>
      <c r="C3243" t="s">
        <v>37</v>
      </c>
      <c r="D3243">
        <v>5.8322949999999896</v>
      </c>
      <c r="E3243">
        <v>0.54560450000000005</v>
      </c>
      <c r="F3243" t="s">
        <v>59</v>
      </c>
      <c r="G3243">
        <v>-440.6343</v>
      </c>
      <c r="H3243" s="1">
        <v>-1.0332820000000001E-6</v>
      </c>
      <c r="I3243">
        <v>210.81970000000001</v>
      </c>
      <c r="J3243">
        <v>-461.46069999999997</v>
      </c>
      <c r="K3243">
        <v>1.1088089999999999</v>
      </c>
      <c r="L3243">
        <v>214.87379999999999</v>
      </c>
      <c r="M3243">
        <v>0.99088279999999995</v>
      </c>
      <c r="N3243">
        <v>0</v>
      </c>
      <c r="O3243">
        <v>-0.1339359</v>
      </c>
      <c r="P3243">
        <v>0.99799499999999997</v>
      </c>
      <c r="Q3243">
        <v>3.357414E-3</v>
      </c>
      <c r="R3243">
        <v>-6.3204300000000005E-2</v>
      </c>
      <c r="S3243">
        <v>2.967743</v>
      </c>
      <c r="T3243">
        <v>-0.15648529999999999</v>
      </c>
      <c r="U3243">
        <v>-0.57516480000000003</v>
      </c>
      <c r="V3243">
        <v>-7.1209389999999997E-2</v>
      </c>
      <c r="W3243">
        <v>1.7233780000000001E-2</v>
      </c>
      <c r="X3243">
        <v>0.99731250000000005</v>
      </c>
      <c r="Y3243">
        <v>5.7148619999999997E-2</v>
      </c>
      <c r="Z3243">
        <v>5.4632409999999998E-3</v>
      </c>
      <c r="AA3243">
        <v>0.99835069999999904</v>
      </c>
      <c r="AB3243">
        <v>22</v>
      </c>
      <c r="AC3243">
        <v>20.8263999999999</v>
      </c>
      <c r="AD3243">
        <v>-1.1088100332819999</v>
      </c>
      <c r="AE3243">
        <v>-4.0540999999999698</v>
      </c>
      <c r="AF3243">
        <v>1.2245215123699</v>
      </c>
      <c r="AG3243">
        <v>-1.1088100332819999</v>
      </c>
      <c r="AH3243">
        <v>21.124069876110301</v>
      </c>
      <c r="AI3243">
        <v>92.999692067336099</v>
      </c>
      <c r="AJ3243">
        <v>86.682387105808601</v>
      </c>
      <c r="AK3243">
        <v>21.1885639144081</v>
      </c>
    </row>
    <row r="3244" spans="1:37" x14ac:dyDescent="0.2">
      <c r="A3244" t="str">
        <f>"20200111155609331"</f>
        <v>20200111155609331</v>
      </c>
      <c r="B3244" t="str">
        <f>"1578729369326253"</f>
        <v>1578729369326253</v>
      </c>
      <c r="C3244" t="s">
        <v>37</v>
      </c>
      <c r="D3244">
        <v>5.3294899999999998</v>
      </c>
      <c r="E3244">
        <v>0.54366049999999999</v>
      </c>
      <c r="F3244" t="s">
        <v>61</v>
      </c>
      <c r="G3244">
        <v>-435.18360000000001</v>
      </c>
      <c r="H3244" s="1">
        <v>4.9134469999999996E-6</v>
      </c>
      <c r="I3244">
        <v>210.06649999999999</v>
      </c>
      <c r="J3244">
        <v>-461.24520000000001</v>
      </c>
      <c r="K3244">
        <v>1.1087849999999999</v>
      </c>
      <c r="L3244">
        <v>214.85230000000001</v>
      </c>
      <c r="M3244">
        <v>0.99172660000000001</v>
      </c>
      <c r="N3244">
        <v>0</v>
      </c>
      <c r="O3244">
        <v>-0.12753519999999999</v>
      </c>
      <c r="P3244">
        <v>0.99838859999999996</v>
      </c>
      <c r="Q3244">
        <v>4.4245909999999899E-3</v>
      </c>
      <c r="R3244">
        <v>-5.65745E-2</v>
      </c>
      <c r="S3244">
        <v>2.97204599999999</v>
      </c>
      <c r="T3244">
        <v>-0.12540999999999999</v>
      </c>
      <c r="U3244">
        <v>-0.54371639999999999</v>
      </c>
      <c r="V3244">
        <v>-7.1401530000000005E-2</v>
      </c>
      <c r="W3244">
        <v>1.8340820000000001E-2</v>
      </c>
      <c r="X3244">
        <v>0.99727900000000003</v>
      </c>
      <c r="Y3244">
        <v>5.3083859999999997E-2</v>
      </c>
      <c r="Z3244">
        <v>4.1989449999999999E-3</v>
      </c>
      <c r="AA3244">
        <v>0.99858119999999995</v>
      </c>
      <c r="AB3244">
        <v>22</v>
      </c>
      <c r="AC3244">
        <v>26.061599999999999</v>
      </c>
      <c r="AD3244">
        <v>-1.108780086553</v>
      </c>
      <c r="AE3244">
        <v>-4.7858000000000196</v>
      </c>
      <c r="AF3244">
        <v>1.4200988080874</v>
      </c>
      <c r="AG3244">
        <v>-1.108780086553</v>
      </c>
      <c r="AH3244">
        <v>26.4129107059061</v>
      </c>
      <c r="AI3244">
        <v>92.400329180686199</v>
      </c>
      <c r="AJ3244">
        <v>86.922436785888394</v>
      </c>
      <c r="AK3244">
        <v>26.474288014283498</v>
      </c>
    </row>
    <row r="3245" spans="1:37" x14ac:dyDescent="0.2">
      <c r="A3245" t="str">
        <f>"20200111155609353"</f>
        <v>20200111155609353</v>
      </c>
      <c r="B3245" t="str">
        <f>"1578729369346278"</f>
        <v>1578729369346278</v>
      </c>
      <c r="C3245" t="s">
        <v>37</v>
      </c>
      <c r="D3245">
        <v>6.3635120000000001</v>
      </c>
      <c r="E3245">
        <v>0.54128120000000002</v>
      </c>
      <c r="F3245" t="s">
        <v>61</v>
      </c>
      <c r="G3245">
        <v>-437.44639999999998</v>
      </c>
      <c r="H3245" s="1">
        <v>5.853065E-6</v>
      </c>
      <c r="I3245">
        <v>210.7971</v>
      </c>
      <c r="J3245">
        <v>-461.03680000000003</v>
      </c>
      <c r="K3245">
        <v>1.108752</v>
      </c>
      <c r="L3245">
        <v>214.8329</v>
      </c>
      <c r="M3245">
        <v>0.9924984</v>
      </c>
      <c r="N3245">
        <v>0</v>
      </c>
      <c r="O3245">
        <v>-0.1213789</v>
      </c>
      <c r="P3245">
        <v>0.99869219999999903</v>
      </c>
      <c r="Q3245">
        <v>5.6033659999999898E-3</v>
      </c>
      <c r="R3245">
        <v>-5.0821539999999998E-2</v>
      </c>
      <c r="S3245">
        <v>2.976715</v>
      </c>
      <c r="T3245">
        <v>-0.13868459999999999</v>
      </c>
      <c r="U3245">
        <v>-0.50721740000000004</v>
      </c>
      <c r="V3245">
        <v>-7.0967150000000007E-2</v>
      </c>
      <c r="W3245">
        <v>1.9559389999999999E-2</v>
      </c>
      <c r="X3245">
        <v>0.99728689999999998</v>
      </c>
      <c r="Y3245">
        <v>4.7142000000000003E-2</v>
      </c>
      <c r="Z3245">
        <v>4.4977029999999996E-3</v>
      </c>
      <c r="AA3245">
        <v>0.99887809999999899</v>
      </c>
      <c r="AB3245">
        <v>22</v>
      </c>
      <c r="AC3245">
        <v>23.590399999999999</v>
      </c>
      <c r="AD3245">
        <v>-1.108746146935</v>
      </c>
      <c r="AE3245">
        <v>-4.0357999999999903</v>
      </c>
      <c r="AF3245">
        <v>1.1398242570469299</v>
      </c>
      <c r="AG3245">
        <v>-1.108746146935</v>
      </c>
      <c r="AH3245">
        <v>23.8546580532057</v>
      </c>
      <c r="AI3245">
        <v>92.658120206613901</v>
      </c>
      <c r="AJ3245">
        <v>87.264371355145798</v>
      </c>
      <c r="AK3245">
        <v>23.907597708483099</v>
      </c>
    </row>
    <row r="3246" spans="1:37" x14ac:dyDescent="0.2">
      <c r="A3246" t="str">
        <f>"20200111155609386"</f>
        <v>20200111155609386</v>
      </c>
      <c r="B3246" t="str">
        <f>"1578729369375558"</f>
        <v>1578729369375558</v>
      </c>
      <c r="C3246" t="s">
        <v>37</v>
      </c>
      <c r="D3246">
        <v>5.6358680000000003</v>
      </c>
      <c r="E3246">
        <v>0.53959840000000003</v>
      </c>
      <c r="F3246" t="s">
        <v>61</v>
      </c>
      <c r="G3246">
        <v>-436.695999999999</v>
      </c>
      <c r="H3246" s="1">
        <v>5.5036519999999999E-6</v>
      </c>
      <c r="I3246">
        <v>210.98699999999999</v>
      </c>
      <c r="J3246">
        <v>-460.72309999999999</v>
      </c>
      <c r="K3246">
        <v>1.108665</v>
      </c>
      <c r="L3246">
        <v>214.80599999999899</v>
      </c>
      <c r="M3246">
        <v>0.99357320000000005</v>
      </c>
      <c r="N3246">
        <v>0</v>
      </c>
      <c r="O3246">
        <v>-0.1122383</v>
      </c>
      <c r="P3246">
        <v>0.99903790000000003</v>
      </c>
      <c r="Q3246">
        <v>5.0622409999999899E-3</v>
      </c>
      <c r="R3246">
        <v>-4.3562190000000001E-2</v>
      </c>
      <c r="S3246">
        <v>2.9807130000000002</v>
      </c>
      <c r="T3246">
        <v>-0.13577429999999999</v>
      </c>
      <c r="U3246">
        <v>-0.47094730000000001</v>
      </c>
      <c r="V3246">
        <v>-6.9026009999999999E-2</v>
      </c>
      <c r="W3246">
        <v>1.9081689999999998E-2</v>
      </c>
      <c r="X3246">
        <v>0.9974324</v>
      </c>
      <c r="Y3246">
        <v>4.4269070000000001E-2</v>
      </c>
      <c r="Z3246">
        <v>4.0582939999999996E-3</v>
      </c>
      <c r="AA3246">
        <v>0.99901139999999999</v>
      </c>
      <c r="AB3246">
        <v>22</v>
      </c>
      <c r="AC3246">
        <v>24.027100000000001</v>
      </c>
      <c r="AD3246">
        <v>-1.1086594963480001</v>
      </c>
      <c r="AE3246">
        <v>-3.81899999999998</v>
      </c>
      <c r="AF3246">
        <v>1.0955381155705499</v>
      </c>
      <c r="AG3246">
        <v>-1.1086594963480001</v>
      </c>
      <c r="AH3246">
        <v>24.2535662541273</v>
      </c>
      <c r="AI3246">
        <v>92.614574393713198</v>
      </c>
      <c r="AJ3246">
        <v>87.413696971024393</v>
      </c>
      <c r="AK3246">
        <v>24.303596558634101</v>
      </c>
    </row>
    <row r="3247" spans="1:37" x14ac:dyDescent="0.2">
      <c r="A3247" t="str">
        <f>"20200111155609408"</f>
        <v>20200111155609408</v>
      </c>
      <c r="B3247" t="str">
        <f>"1578729369405815"</f>
        <v>1578729369405815</v>
      </c>
      <c r="C3247" t="s">
        <v>37</v>
      </c>
      <c r="D3247">
        <v>5.6319679999999996</v>
      </c>
      <c r="E3247">
        <v>0.53891730000000004</v>
      </c>
      <c r="F3247" t="s">
        <v>61</v>
      </c>
      <c r="G3247">
        <v>-439.048</v>
      </c>
      <c r="H3247" s="1">
        <v>6.4888730000000001E-6</v>
      </c>
      <c r="I3247">
        <v>211.64840000000001</v>
      </c>
      <c r="J3247">
        <v>-460.50839999999999</v>
      </c>
      <c r="K3247">
        <v>1.1085860000000001</v>
      </c>
      <c r="L3247">
        <v>214.78909999999999</v>
      </c>
      <c r="M3247">
        <v>0.99424840000000003</v>
      </c>
      <c r="N3247">
        <v>0</v>
      </c>
      <c r="O3247">
        <v>-0.106089</v>
      </c>
      <c r="P3247">
        <v>0.99920509999999996</v>
      </c>
      <c r="Q3247">
        <v>4.4281709999999998E-3</v>
      </c>
      <c r="R3247">
        <v>-3.9619139999999997E-2</v>
      </c>
      <c r="S3247">
        <v>2.9847109999999999</v>
      </c>
      <c r="T3247">
        <v>-0.152665</v>
      </c>
      <c r="U3247">
        <v>-0.4347992</v>
      </c>
      <c r="V3247">
        <v>-6.6782149999999998E-2</v>
      </c>
      <c r="W3247">
        <v>1.849338E-2</v>
      </c>
      <c r="X3247">
        <v>0.99759619999999904</v>
      </c>
      <c r="Y3247">
        <v>3.843394E-2</v>
      </c>
      <c r="Z3247">
        <v>4.3998689999999998E-3</v>
      </c>
      <c r="AA3247">
        <v>0.99925149999999996</v>
      </c>
      <c r="AB3247">
        <v>21</v>
      </c>
      <c r="AC3247">
        <v>21.4604</v>
      </c>
      <c r="AD3247">
        <v>-1.108579511127</v>
      </c>
      <c r="AE3247">
        <v>-3.1406999999999798</v>
      </c>
      <c r="AF3247">
        <v>0.84381018315171996</v>
      </c>
      <c r="AG3247">
        <v>-1.108579511127</v>
      </c>
      <c r="AH3247">
        <v>21.616023000650099</v>
      </c>
      <c r="AI3247">
        <v>92.933616220416397</v>
      </c>
      <c r="AJ3247">
        <v>87.764518147665797</v>
      </c>
      <c r="AK3247">
        <v>21.660872893821999</v>
      </c>
    </row>
    <row r="3248" spans="1:37" x14ac:dyDescent="0.2">
      <c r="A3248" t="str">
        <f>"20200111155609432"</f>
        <v>20200111155609432</v>
      </c>
      <c r="B3248" t="str">
        <f>"1578729369426311"</f>
        <v>1578729369426311</v>
      </c>
      <c r="C3248" t="s">
        <v>37</v>
      </c>
      <c r="D3248">
        <v>5.4957129999999896</v>
      </c>
      <c r="E3248">
        <v>0.53824539999999998</v>
      </c>
      <c r="F3248" t="s">
        <v>59</v>
      </c>
      <c r="G3248">
        <v>-440.34320000000002</v>
      </c>
      <c r="H3248" s="1">
        <v>-1.2386319999999999E-6</v>
      </c>
      <c r="I3248">
        <v>211.97370000000001</v>
      </c>
      <c r="J3248">
        <v>-460.2921</v>
      </c>
      <c r="K3248">
        <v>1.108495</v>
      </c>
      <c r="L3248">
        <v>214.77340000000001</v>
      </c>
      <c r="M3248">
        <v>0.99487959999999998</v>
      </c>
      <c r="N3248">
        <v>0</v>
      </c>
      <c r="O3248">
        <v>-9.9996860000000007E-2</v>
      </c>
      <c r="P3248">
        <v>0.99938369999999999</v>
      </c>
      <c r="Q3248">
        <v>5.9157949999999997E-3</v>
      </c>
      <c r="R3248">
        <v>-3.4601409999999999E-2</v>
      </c>
      <c r="S3248">
        <v>2.9865719999999998</v>
      </c>
      <c r="T3248">
        <v>-0.1641881</v>
      </c>
      <c r="U3248">
        <v>-0.41697689999999998</v>
      </c>
      <c r="V3248">
        <v>-6.5688010000000005E-2</v>
      </c>
      <c r="W3248">
        <v>2.0011830000000001E-2</v>
      </c>
      <c r="X3248">
        <v>0.99763950000000001</v>
      </c>
      <c r="Y3248">
        <v>3.8626099999999997E-2</v>
      </c>
      <c r="Z3248">
        <v>4.3951959999999997E-3</v>
      </c>
      <c r="AA3248">
        <v>0.99924409999999897</v>
      </c>
      <c r="AB3248">
        <v>21</v>
      </c>
      <c r="AC3248">
        <v>19.948899999999899</v>
      </c>
      <c r="AD3248">
        <v>-1.1084962386320001</v>
      </c>
      <c r="AE3248">
        <v>-2.7997000000000001</v>
      </c>
      <c r="AF3248">
        <v>0.78823533735268603</v>
      </c>
      <c r="AG3248">
        <v>-1.1084962386320001</v>
      </c>
      <c r="AH3248">
        <v>20.068114157150099</v>
      </c>
      <c r="AI3248">
        <v>93.159185415879506</v>
      </c>
      <c r="AJ3248">
        <v>87.750692755570796</v>
      </c>
      <c r="AK3248">
        <v>20.1141563253973</v>
      </c>
    </row>
    <row r="3249" spans="1:37" x14ac:dyDescent="0.2">
      <c r="A3249" t="str">
        <f>"20200111155609454"</f>
        <v>20200111155609454</v>
      </c>
      <c r="B3249" t="str">
        <f>"1578729369445831"</f>
        <v>1578729369445831</v>
      </c>
      <c r="C3249" t="s">
        <v>37</v>
      </c>
      <c r="D3249">
        <v>5.4898889999999998</v>
      </c>
      <c r="E3249">
        <v>0.48891949999999901</v>
      </c>
      <c r="F3249" t="s">
        <v>59</v>
      </c>
      <c r="G3249">
        <v>-440.33199999999999</v>
      </c>
      <c r="H3249" s="1">
        <v>-1.251316E-6</v>
      </c>
      <c r="I3249">
        <v>212.12780000000001</v>
      </c>
      <c r="J3249">
        <v>-460.07979999999998</v>
      </c>
      <c r="K3249">
        <v>1.1084020000000001</v>
      </c>
      <c r="L3249">
        <v>214.75909999999999</v>
      </c>
      <c r="M3249">
        <v>0.99544849999999996</v>
      </c>
      <c r="N3249">
        <v>0</v>
      </c>
      <c r="O3249">
        <v>-9.416368E-2</v>
      </c>
      <c r="P3249">
        <v>0.99952600000000003</v>
      </c>
      <c r="Q3249">
        <v>9.6837639999999992E-3</v>
      </c>
      <c r="R3249">
        <v>-2.922578E-2</v>
      </c>
      <c r="S3249">
        <v>2.9890750000000001</v>
      </c>
      <c r="T3249">
        <v>-0.1660006</v>
      </c>
      <c r="U3249">
        <v>-0.39617920000000001</v>
      </c>
      <c r="V3249">
        <v>-6.522828E-2</v>
      </c>
      <c r="W3249">
        <v>2.3802239999999999E-2</v>
      </c>
      <c r="X3249">
        <v>0.99758639999999998</v>
      </c>
      <c r="Y3249">
        <v>3.7537189999999998E-2</v>
      </c>
      <c r="Z3249">
        <v>4.152439E-3</v>
      </c>
      <c r="AA3249">
        <v>0.99928660000000002</v>
      </c>
      <c r="AB3249">
        <v>21</v>
      </c>
      <c r="AC3249">
        <v>19.747799999999899</v>
      </c>
      <c r="AD3249">
        <v>-1.108403251316</v>
      </c>
      <c r="AE3249">
        <v>-2.63129999999998</v>
      </c>
      <c r="AF3249">
        <v>0.75753512829265601</v>
      </c>
      <c r="AG3249">
        <v>-1.108403251316</v>
      </c>
      <c r="AH3249">
        <v>19.846403483054001</v>
      </c>
      <c r="AI3249">
        <v>93.194274188271194</v>
      </c>
      <c r="AJ3249">
        <v>87.814087307102994</v>
      </c>
      <c r="AK3249">
        <v>19.891760818245899</v>
      </c>
    </row>
    <row r="3250" spans="1:37" x14ac:dyDescent="0.2">
      <c r="A3250" t="str">
        <f>"20200111155609520"</f>
        <v>20200111155609520</v>
      </c>
      <c r="B3250" t="str">
        <f>"1578729369516103"</f>
        <v>1578729369516103</v>
      </c>
      <c r="C3250" t="s">
        <v>37</v>
      </c>
      <c r="D3250">
        <v>5.4764939999999998</v>
      </c>
      <c r="E3250">
        <v>0.47775619999999902</v>
      </c>
      <c r="F3250" t="s">
        <v>61</v>
      </c>
      <c r="G3250">
        <v>-428.39</v>
      </c>
      <c r="H3250" s="1">
        <v>2.4545259999999998E-6</v>
      </c>
      <c r="I3250">
        <v>214.86599999999899</v>
      </c>
      <c r="J3250">
        <v>-459.46640000000002</v>
      </c>
      <c r="K3250">
        <v>1.107931</v>
      </c>
      <c r="L3250">
        <v>214.72319999999999</v>
      </c>
      <c r="M3250">
        <v>0.99679980000000001</v>
      </c>
      <c r="N3250">
        <v>0</v>
      </c>
      <c r="O3250">
        <v>-7.8587210000000005E-2</v>
      </c>
      <c r="P3250">
        <v>0.99986679999999994</v>
      </c>
      <c r="Q3250">
        <v>8.1099509999999903E-3</v>
      </c>
      <c r="R3250">
        <v>-1.417713E-2</v>
      </c>
      <c r="S3250">
        <v>3.0027469999999998</v>
      </c>
      <c r="T3250">
        <v>-0.1050258</v>
      </c>
      <c r="U3250">
        <v>1.013184E-2</v>
      </c>
      <c r="V3250">
        <v>-6.460689E-2</v>
      </c>
      <c r="W3250">
        <v>2.228726E-2</v>
      </c>
      <c r="X3250">
        <v>0.99766189999999999</v>
      </c>
      <c r="Y3250">
        <v>-8.1860879999999997E-2</v>
      </c>
      <c r="Z3250">
        <v>4.1772839999999999E-3</v>
      </c>
      <c r="AA3250">
        <v>0.99663500000000005</v>
      </c>
      <c r="AB3250">
        <v>21</v>
      </c>
      <c r="AC3250">
        <v>31.0764</v>
      </c>
      <c r="AD3250">
        <v>-1.107928545474</v>
      </c>
      <c r="AE3250">
        <v>0.14279999999999399</v>
      </c>
      <c r="AF3250">
        <v>-2.5815462449323801</v>
      </c>
      <c r="AG3250">
        <v>-1.107928545474</v>
      </c>
      <c r="AH3250">
        <v>30.929731798070701</v>
      </c>
      <c r="AI3250">
        <v>92.044402381539399</v>
      </c>
      <c r="AJ3250">
        <v>94.771126499493306</v>
      </c>
      <c r="AK3250">
        <v>31.057047441397</v>
      </c>
    </row>
    <row r="3251" spans="1:37" x14ac:dyDescent="0.2">
      <c r="A3251" t="str">
        <f>"20200111155609542"</f>
        <v>20200111155609542</v>
      </c>
      <c r="B3251" t="str">
        <f>"1578729369535623"</f>
        <v>1578729369535623</v>
      </c>
      <c r="C3251" t="s">
        <v>37</v>
      </c>
      <c r="D3251">
        <v>5.4105030000000003</v>
      </c>
      <c r="E3251">
        <v>0.47110649999999998</v>
      </c>
      <c r="F3251" t="s">
        <v>61</v>
      </c>
      <c r="G3251">
        <v>-429.69349999999997</v>
      </c>
      <c r="H3251" s="1">
        <v>2.111438E-6</v>
      </c>
      <c r="I3251">
        <v>216.1455</v>
      </c>
      <c r="J3251">
        <v>-459.25240000000002</v>
      </c>
      <c r="K3251">
        <v>1.1077030000000001</v>
      </c>
      <c r="L3251">
        <v>214.7123</v>
      </c>
      <c r="M3251">
        <v>0.99717029999999995</v>
      </c>
      <c r="N3251">
        <v>0</v>
      </c>
      <c r="O3251">
        <v>-7.3739150000000003E-2</v>
      </c>
      <c r="P3251">
        <v>0.99993639999999995</v>
      </c>
      <c r="Q3251">
        <v>7.0590319999999998E-3</v>
      </c>
      <c r="R3251">
        <v>-8.807535E-3</v>
      </c>
      <c r="S3251">
        <v>3.003387</v>
      </c>
      <c r="T3251">
        <v>-0.1117643</v>
      </c>
      <c r="U3251">
        <v>0.14347839999999901</v>
      </c>
      <c r="V3251">
        <v>-6.5094550000000001E-2</v>
      </c>
      <c r="W3251">
        <v>2.1251340000000001E-2</v>
      </c>
      <c r="X3251">
        <v>0.99765280000000001</v>
      </c>
      <c r="Y3251">
        <v>-0.1211163</v>
      </c>
      <c r="Z3251">
        <v>4.9926299999999996E-3</v>
      </c>
      <c r="AA3251">
        <v>0.9926258</v>
      </c>
      <c r="AB3251">
        <v>21</v>
      </c>
      <c r="AC3251">
        <v>29.558900000000001</v>
      </c>
      <c r="AD3251">
        <v>-1.1077008885620001</v>
      </c>
      <c r="AE3251">
        <v>1.43319999999999</v>
      </c>
      <c r="AF3251">
        <v>-3.6041292047284199</v>
      </c>
      <c r="AG3251">
        <v>-1.1077008885620001</v>
      </c>
      <c r="AH3251">
        <v>29.3316216599599</v>
      </c>
      <c r="AI3251">
        <v>92.146603052310596</v>
      </c>
      <c r="AJ3251">
        <v>97.005116680072206</v>
      </c>
      <c r="AK3251">
        <v>29.572973773124801</v>
      </c>
    </row>
    <row r="3252" spans="1:37" x14ac:dyDescent="0.2">
      <c r="A3252" t="str">
        <f>"20200111155609586"</f>
        <v>20200111155609586</v>
      </c>
      <c r="B3252" t="str">
        <f>"1578729369575638"</f>
        <v>1578729369575638</v>
      </c>
      <c r="C3252" t="s">
        <v>37</v>
      </c>
      <c r="D3252">
        <v>5.5231149999999998</v>
      </c>
      <c r="E3252">
        <v>0.47016239999999998</v>
      </c>
      <c r="F3252" t="s">
        <v>61</v>
      </c>
      <c r="G3252">
        <v>-432.00709999999998</v>
      </c>
      <c r="H3252" s="1">
        <v>2.9298689999999999E-6</v>
      </c>
      <c r="I3252">
        <v>216.6431</v>
      </c>
      <c r="J3252">
        <v>-458.84179999999998</v>
      </c>
      <c r="K3252">
        <v>1.107345</v>
      </c>
      <c r="L3252">
        <v>214.69319999999999</v>
      </c>
      <c r="M3252">
        <v>0.99776330000000002</v>
      </c>
      <c r="N3252">
        <v>0</v>
      </c>
      <c r="O3252">
        <v>-6.523168E-2</v>
      </c>
      <c r="P3252">
        <v>0.99994240000000001</v>
      </c>
      <c r="Q3252">
        <v>1.055149E-2</v>
      </c>
      <c r="R3252">
        <v>1.932811E-3</v>
      </c>
      <c r="S3252">
        <v>3.0028990000000002</v>
      </c>
      <c r="T3252">
        <v>-0.1220875</v>
      </c>
      <c r="U3252">
        <v>0.21279909999999999</v>
      </c>
      <c r="V3252">
        <v>-6.7298670000000005E-2</v>
      </c>
      <c r="W3252">
        <v>2.4753730000000002E-2</v>
      </c>
      <c r="X3252">
        <v>0.99742569999999997</v>
      </c>
      <c r="Y3252">
        <v>-0.13544700000000001</v>
      </c>
      <c r="Z3252">
        <v>5.3969069999999899E-3</v>
      </c>
      <c r="AA3252">
        <v>0.99076989999999998</v>
      </c>
      <c r="AB3252">
        <v>21</v>
      </c>
      <c r="AC3252">
        <v>26.834700000000002</v>
      </c>
      <c r="AD3252">
        <v>-1.1073420701309999</v>
      </c>
      <c r="AE3252">
        <v>1.94990000000001</v>
      </c>
      <c r="AF3252">
        <v>-3.6901546406531498</v>
      </c>
      <c r="AG3252">
        <v>-1.1073420701309999</v>
      </c>
      <c r="AH3252">
        <v>26.605258822463799</v>
      </c>
      <c r="AI3252">
        <v>92.360768111118503</v>
      </c>
      <c r="AJ3252">
        <v>97.896555786566097</v>
      </c>
      <c r="AK3252">
        <v>26.882768546831301</v>
      </c>
    </row>
    <row r="3253" spans="1:37" x14ac:dyDescent="0.2">
      <c r="A3253" t="str">
        <f>"20200111155609609"</f>
        <v>20200111155609609</v>
      </c>
      <c r="B3253" t="str">
        <f>"1578729369605895"</f>
        <v>1578729369605895</v>
      </c>
      <c r="C3253" t="s">
        <v>37</v>
      </c>
      <c r="D3253">
        <v>5.343394</v>
      </c>
      <c r="E3253">
        <v>0.47020699999999999</v>
      </c>
      <c r="F3253" t="s">
        <v>61</v>
      </c>
      <c r="G3253">
        <v>-429.6823</v>
      </c>
      <c r="H3253" s="1">
        <v>2.0261299999999999E-6</v>
      </c>
      <c r="I3253">
        <v>217.14410000000001</v>
      </c>
      <c r="J3253">
        <v>-458.62959999999998</v>
      </c>
      <c r="K3253">
        <v>1.1071690000000001</v>
      </c>
      <c r="L3253">
        <v>214.6842</v>
      </c>
      <c r="M3253">
        <v>0.99801309999999999</v>
      </c>
      <c r="N3253">
        <v>0</v>
      </c>
      <c r="O3253">
        <v>-6.1295299999999997E-2</v>
      </c>
      <c r="P3253">
        <v>0.9999304</v>
      </c>
      <c r="Q3253">
        <v>9.9335499999999993E-3</v>
      </c>
      <c r="R3253">
        <v>6.3509209999999998E-3</v>
      </c>
      <c r="S3253">
        <v>3.0008849999999998</v>
      </c>
      <c r="T3253">
        <v>-0.113959899999999</v>
      </c>
      <c r="U3253">
        <v>0.2522278</v>
      </c>
      <c r="V3253">
        <v>-6.7757200000000004E-2</v>
      </c>
      <c r="W3253">
        <v>2.4143080000000001E-2</v>
      </c>
      <c r="X3253">
        <v>0.99740969999999995</v>
      </c>
      <c r="Y3253">
        <v>-0.1445372</v>
      </c>
      <c r="Z3253">
        <v>5.0620550000000002E-3</v>
      </c>
      <c r="AA3253">
        <v>0.98948639999999999</v>
      </c>
      <c r="AB3253">
        <v>21</v>
      </c>
      <c r="AC3253">
        <v>28.947299999999899</v>
      </c>
      <c r="AD3253">
        <v>-1.1071669738700001</v>
      </c>
      <c r="AE3253">
        <v>2.4599000000000002</v>
      </c>
      <c r="AF3253">
        <v>-4.2236613753400798</v>
      </c>
      <c r="AG3253">
        <v>-1.1071669738700001</v>
      </c>
      <c r="AH3253">
        <v>28.700377406409299</v>
      </c>
      <c r="AI3253">
        <v>92.1856710812675</v>
      </c>
      <c r="AJ3253">
        <v>98.371782751423893</v>
      </c>
      <c r="AK3253">
        <v>29.030618274365001</v>
      </c>
    </row>
    <row r="3254" spans="1:37" x14ac:dyDescent="0.2">
      <c r="A3254" t="str">
        <f>"20200111155609632"</f>
        <v>20200111155609632</v>
      </c>
      <c r="B3254" t="str">
        <f>"1578729369625415"</f>
        <v>1578729369625415</v>
      </c>
      <c r="C3254" t="s">
        <v>37</v>
      </c>
      <c r="D3254">
        <v>5.3750819999999999</v>
      </c>
      <c r="E3254">
        <v>0.47005150000000001</v>
      </c>
      <c r="F3254" t="s">
        <v>61</v>
      </c>
      <c r="G3254">
        <v>-430.08249999999998</v>
      </c>
      <c r="H3254" s="1">
        <v>2.0270280000000002E-6</v>
      </c>
      <c r="I3254">
        <v>217.20779999999999</v>
      </c>
      <c r="J3254">
        <v>-458.41879999999998</v>
      </c>
      <c r="K3254">
        <v>1.106984</v>
      </c>
      <c r="L3254">
        <v>214.67570000000001</v>
      </c>
      <c r="M3254">
        <v>0.99822699999999998</v>
      </c>
      <c r="N3254">
        <v>0</v>
      </c>
      <c r="O3254">
        <v>-5.771739E-2</v>
      </c>
      <c r="P3254">
        <v>0.99991489999999905</v>
      </c>
      <c r="Q3254">
        <v>8.8246090000000006E-3</v>
      </c>
      <c r="R3254">
        <v>9.6267319999999903E-3</v>
      </c>
      <c r="S3254">
        <v>2.9997250000000002</v>
      </c>
      <c r="T3254">
        <v>-0.116341</v>
      </c>
      <c r="U3254">
        <v>0.26518249999999999</v>
      </c>
      <c r="V3254">
        <v>-6.743412E-2</v>
      </c>
      <c r="W3254">
        <v>2.3038079999999999E-2</v>
      </c>
      <c r="X3254">
        <v>0.997457699999999</v>
      </c>
      <c r="Y3254">
        <v>-0.14525969999999999</v>
      </c>
      <c r="Z3254">
        <v>5.0443759999999997E-3</v>
      </c>
      <c r="AA3254">
        <v>0.989380699999999</v>
      </c>
      <c r="AB3254">
        <v>21</v>
      </c>
      <c r="AC3254">
        <v>28.336299999999898</v>
      </c>
      <c r="AD3254">
        <v>-1.1069819729720001</v>
      </c>
      <c r="AE3254">
        <v>2.5320999999999798</v>
      </c>
      <c r="AF3254">
        <v>-4.1572540090600896</v>
      </c>
      <c r="AG3254">
        <v>-1.1069819729720001</v>
      </c>
      <c r="AH3254">
        <v>28.100345261414802</v>
      </c>
      <c r="AI3254">
        <v>92.231671917269296</v>
      </c>
      <c r="AJ3254">
        <v>98.415476232384407</v>
      </c>
      <c r="AK3254">
        <v>28.427760618716501</v>
      </c>
    </row>
    <row r="3255" spans="1:37" x14ac:dyDescent="0.2">
      <c r="A3255" t="str">
        <f>"20200111155609653"</f>
        <v>20200111155609653</v>
      </c>
      <c r="B3255" t="str">
        <f>"1578729369645911"</f>
        <v>1578729369645911</v>
      </c>
      <c r="C3255" t="s">
        <v>37</v>
      </c>
      <c r="D3255">
        <v>5.3529559999999998</v>
      </c>
      <c r="E3255">
        <v>0.47009600000000001</v>
      </c>
      <c r="F3255" t="s">
        <v>61</v>
      </c>
      <c r="G3255">
        <v>-431.55380000000002</v>
      </c>
      <c r="H3255" s="1">
        <v>2.6838679999999998E-6</v>
      </c>
      <c r="I3255">
        <v>217.1575</v>
      </c>
      <c r="J3255">
        <v>-458.21690000000001</v>
      </c>
      <c r="K3255">
        <v>1.1067879999999899</v>
      </c>
      <c r="L3255">
        <v>214.6679</v>
      </c>
      <c r="M3255">
        <v>0.99840309999999899</v>
      </c>
      <c r="N3255">
        <v>0</v>
      </c>
      <c r="O3255">
        <v>-5.4604970000000003E-2</v>
      </c>
      <c r="P3255">
        <v>0.99986520000000001</v>
      </c>
      <c r="Q3255">
        <v>1.0440359999999999E-2</v>
      </c>
      <c r="R3255">
        <v>1.269143E-2</v>
      </c>
      <c r="S3255">
        <v>2.998688</v>
      </c>
      <c r="T3255">
        <v>-0.12356199999999901</v>
      </c>
      <c r="U3255">
        <v>0.27702329999999997</v>
      </c>
      <c r="V3255">
        <v>-6.7376420000000006E-2</v>
      </c>
      <c r="W3255">
        <v>2.4613579999999999E-2</v>
      </c>
      <c r="X3255">
        <v>0.99742399999999998</v>
      </c>
      <c r="Y3255">
        <v>-0.14606259999999999</v>
      </c>
      <c r="Z3255">
        <v>5.246723E-3</v>
      </c>
      <c r="AA3255">
        <v>0.98926139999999996</v>
      </c>
      <c r="AB3255">
        <v>21</v>
      </c>
      <c r="AC3255">
        <v>26.663099999999901</v>
      </c>
      <c r="AD3255">
        <v>-1.10678531613199</v>
      </c>
      <c r="AE3255">
        <v>2.48959999999999</v>
      </c>
      <c r="AF3255">
        <v>-3.9352530198009901</v>
      </c>
      <c r="AG3255">
        <v>-1.10678531613199</v>
      </c>
      <c r="AH3255">
        <v>26.442184273536899</v>
      </c>
      <c r="AI3255">
        <v>92.370738650362298</v>
      </c>
      <c r="AJ3255">
        <v>98.464902456653604</v>
      </c>
      <c r="AK3255">
        <v>26.756313259145799</v>
      </c>
    </row>
    <row r="3256" spans="1:37" x14ac:dyDescent="0.2">
      <c r="A3256" t="str">
        <f>"20200111155609676"</f>
        <v>20200111155609676</v>
      </c>
      <c r="B3256" t="str">
        <f>"1578729369665430"</f>
        <v>1578729369665430</v>
      </c>
      <c r="C3256" t="s">
        <v>37</v>
      </c>
      <c r="D3256">
        <v>5.4286320000000003</v>
      </c>
      <c r="E3256">
        <v>0.47052290000000002</v>
      </c>
      <c r="F3256" t="s">
        <v>61</v>
      </c>
      <c r="G3256">
        <v>-431.20010000000002</v>
      </c>
      <c r="H3256" s="1">
        <v>2.5193670000000001E-6</v>
      </c>
      <c r="I3256">
        <v>217.24520000000001</v>
      </c>
      <c r="J3256">
        <v>-458.00979999999998</v>
      </c>
      <c r="K3256">
        <v>1.1065510000000001</v>
      </c>
      <c r="L3256">
        <v>214.6602</v>
      </c>
      <c r="M3256">
        <v>0.99855830000000001</v>
      </c>
      <c r="N3256">
        <v>0</v>
      </c>
      <c r="O3256">
        <v>-5.1732299999999898E-2</v>
      </c>
      <c r="P3256">
        <v>0.99977229999999995</v>
      </c>
      <c r="Q3256">
        <v>1.3940889999999999E-2</v>
      </c>
      <c r="R3256">
        <v>1.6159550000000002E-2</v>
      </c>
      <c r="S3256">
        <v>2.997986</v>
      </c>
      <c r="T3256">
        <v>-0.12281739999999999</v>
      </c>
      <c r="U3256">
        <v>0.28599550000000001</v>
      </c>
      <c r="V3256">
        <v>-6.7962510000000004E-2</v>
      </c>
      <c r="W3256">
        <v>2.798556E-2</v>
      </c>
      <c r="X3256">
        <v>0.9972953</v>
      </c>
      <c r="Y3256">
        <v>-0.14617669999999999</v>
      </c>
      <c r="Z3256">
        <v>5.1005879999999996E-3</v>
      </c>
      <c r="AA3256">
        <v>0.98924539999999905</v>
      </c>
      <c r="AB3256">
        <v>21</v>
      </c>
      <c r="AC3256">
        <v>26.8096999999999</v>
      </c>
      <c r="AD3256">
        <v>-1.1065484806329999</v>
      </c>
      <c r="AE3256">
        <v>2.585</v>
      </c>
      <c r="AF3256">
        <v>-3.9619204396451</v>
      </c>
      <c r="AG3256">
        <v>-1.1065484806329999</v>
      </c>
      <c r="AH3256">
        <v>26.595163331657101</v>
      </c>
      <c r="AI3256">
        <v>92.356563152851905</v>
      </c>
      <c r="AJ3256">
        <v>98.473122973295006</v>
      </c>
      <c r="AK3256">
        <v>26.911409768861802</v>
      </c>
    </row>
    <row r="3257" spans="1:37" x14ac:dyDescent="0.2">
      <c r="A3257" t="str">
        <f>"20200111155609699"</f>
        <v>20200111155609699</v>
      </c>
      <c r="B3257" t="str">
        <f>"1578729369695686"</f>
        <v>1578729369695686</v>
      </c>
      <c r="C3257" t="s">
        <v>37</v>
      </c>
      <c r="D3257">
        <v>5.5270659999999996</v>
      </c>
      <c r="E3257">
        <v>0.47113339999999998</v>
      </c>
      <c r="F3257" t="s">
        <v>61</v>
      </c>
      <c r="G3257">
        <v>-429.25970000000001</v>
      </c>
      <c r="H3257" s="1">
        <v>2.0727609999999999E-6</v>
      </c>
      <c r="I3257">
        <v>217.4682</v>
      </c>
      <c r="J3257">
        <v>-457.79309999999998</v>
      </c>
      <c r="K3257">
        <v>1.1062719999999999</v>
      </c>
      <c r="L3257">
        <v>214.6523</v>
      </c>
      <c r="M3257">
        <v>0.99869599999999903</v>
      </c>
      <c r="N3257">
        <v>0</v>
      </c>
      <c r="O3257">
        <v>-4.9083120000000001E-2</v>
      </c>
      <c r="P3257">
        <v>0.99970179999999997</v>
      </c>
      <c r="Q3257">
        <v>1.5899219999999999E-2</v>
      </c>
      <c r="R3257">
        <v>1.8543170000000001E-2</v>
      </c>
      <c r="S3257">
        <v>2.9975890000000001</v>
      </c>
      <c r="T3257">
        <v>-0.11537310000000001</v>
      </c>
      <c r="U3257">
        <v>0.29277039999999999</v>
      </c>
      <c r="V3257">
        <v>-6.7681889999999995E-2</v>
      </c>
      <c r="W3257">
        <v>2.9710509999999999E-2</v>
      </c>
      <c r="X3257">
        <v>0.9972645</v>
      </c>
      <c r="Y3257">
        <v>-0.14580129999999999</v>
      </c>
      <c r="Z3257">
        <v>4.6828670000000003E-3</v>
      </c>
      <c r="AA3257">
        <v>0.98930280000000004</v>
      </c>
      <c r="AB3257">
        <v>21</v>
      </c>
      <c r="AC3257">
        <v>28.533399999999901</v>
      </c>
      <c r="AD3257">
        <v>-1.106269927239</v>
      </c>
      <c r="AE3257">
        <v>2.8158999999999899</v>
      </c>
      <c r="AF3257">
        <v>-4.2068889109552403</v>
      </c>
      <c r="AG3257">
        <v>-1.106269927239</v>
      </c>
      <c r="AH3257">
        <v>28.3186172450778</v>
      </c>
      <c r="AI3257">
        <v>92.212868591144201</v>
      </c>
      <c r="AJ3257">
        <v>98.449811042841802</v>
      </c>
      <c r="AK3257">
        <v>28.650756187826001</v>
      </c>
    </row>
    <row r="3258" spans="1:37" x14ac:dyDescent="0.2">
      <c r="A3258" t="str">
        <f>"20200111155609721"</f>
        <v>20200111155609721</v>
      </c>
      <c r="B3258" t="str">
        <f>"1578729369716183"</f>
        <v>1578729369716183</v>
      </c>
      <c r="C3258" t="s">
        <v>37</v>
      </c>
      <c r="D3258">
        <v>5.2508280000000003</v>
      </c>
      <c r="E3258">
        <v>0.47184359999999997</v>
      </c>
      <c r="F3258" t="s">
        <v>61</v>
      </c>
      <c r="G3258">
        <v>-427.43119999999999</v>
      </c>
      <c r="H3258" s="1">
        <v>2.382199E-6</v>
      </c>
      <c r="I3258">
        <v>217.6388</v>
      </c>
      <c r="J3258">
        <v>-457.59160000000003</v>
      </c>
      <c r="K3258">
        <v>1.105993</v>
      </c>
      <c r="L3258">
        <v>214.64500000000001</v>
      </c>
      <c r="M3258">
        <v>0.99880219999999897</v>
      </c>
      <c r="N3258">
        <v>0</v>
      </c>
      <c r="O3258">
        <v>-4.6971029999999997E-2</v>
      </c>
      <c r="P3258">
        <v>0.99967150000000005</v>
      </c>
      <c r="Q3258">
        <v>1.5750070000000001E-2</v>
      </c>
      <c r="R3258">
        <v>2.022531E-2</v>
      </c>
      <c r="S3258">
        <v>2.9971619999999999</v>
      </c>
      <c r="T3258">
        <v>-0.10920489999999999</v>
      </c>
      <c r="U3258">
        <v>0.2948151</v>
      </c>
      <c r="V3258">
        <v>-6.7234329999999995E-2</v>
      </c>
      <c r="W3258">
        <v>2.9269150000000001E-2</v>
      </c>
      <c r="X3258">
        <v>0.99730779999999997</v>
      </c>
      <c r="Y3258">
        <v>-0.14440819999999999</v>
      </c>
      <c r="Z3258">
        <v>4.33107299999999E-3</v>
      </c>
      <c r="AA3258">
        <v>0.98950869999999902</v>
      </c>
      <c r="AB3258">
        <v>21</v>
      </c>
      <c r="AC3258">
        <v>30.160399999999999</v>
      </c>
      <c r="AD3258">
        <v>-1.1059906178009999</v>
      </c>
      <c r="AE3258">
        <v>2.99379999999999</v>
      </c>
      <c r="AF3258">
        <v>-4.4014322340652097</v>
      </c>
      <c r="AG3258">
        <v>-1.1059906178009999</v>
      </c>
      <c r="AH3258">
        <v>29.946592597450199</v>
      </c>
      <c r="AI3258">
        <v>92.092630892027998</v>
      </c>
      <c r="AJ3258">
        <v>98.361244530643702</v>
      </c>
      <c r="AK3258">
        <v>30.288516456825601</v>
      </c>
    </row>
    <row r="3259" spans="1:37" x14ac:dyDescent="0.2">
      <c r="A3259" t="str">
        <f>"20200111155609743"</f>
        <v>20200111155609743</v>
      </c>
      <c r="B3259" t="str">
        <f>"1578729369735703"</f>
        <v>1578729369735703</v>
      </c>
      <c r="C3259" t="s">
        <v>37</v>
      </c>
      <c r="D3259">
        <v>5.2359859999999996</v>
      </c>
      <c r="E3259">
        <v>0.47250229999999999</v>
      </c>
      <c r="F3259" t="s">
        <v>61</v>
      </c>
      <c r="G3259">
        <v>-428.05070000000001</v>
      </c>
      <c r="H3259" s="1">
        <v>2.28059599999999E-6</v>
      </c>
      <c r="I3259">
        <v>217.54390000000001</v>
      </c>
      <c r="J3259">
        <v>-457.38209999999998</v>
      </c>
      <c r="K3259">
        <v>1.105739</v>
      </c>
      <c r="L3259">
        <v>214.63749999999999</v>
      </c>
      <c r="M3259">
        <v>0.99889539999999999</v>
      </c>
      <c r="N3259">
        <v>0</v>
      </c>
      <c r="O3259">
        <v>-4.5057170000000001E-2</v>
      </c>
      <c r="P3259">
        <v>0.99960979999999999</v>
      </c>
      <c r="Q3259">
        <v>1.5549179999999999E-2</v>
      </c>
      <c r="R3259">
        <v>2.321032E-2</v>
      </c>
      <c r="S3259">
        <v>2.9967959999999998</v>
      </c>
      <c r="T3259">
        <v>-0.1121978</v>
      </c>
      <c r="U3259">
        <v>0.29408259999999897</v>
      </c>
      <c r="V3259">
        <v>-6.8286810000000003E-2</v>
      </c>
      <c r="W3259">
        <v>2.8722930000000001E-2</v>
      </c>
      <c r="X3259">
        <v>0.99725219999999903</v>
      </c>
      <c r="Y3259">
        <v>-0.14227970000000001</v>
      </c>
      <c r="Z3259">
        <v>4.3390499999999997E-3</v>
      </c>
      <c r="AA3259">
        <v>0.98981699999999995</v>
      </c>
      <c r="AB3259">
        <v>21</v>
      </c>
      <c r="AC3259">
        <v>29.331399999999899</v>
      </c>
      <c r="AD3259">
        <v>-1.105736719404</v>
      </c>
      <c r="AE3259">
        <v>2.9064000000000099</v>
      </c>
      <c r="AF3259">
        <v>-4.2192173536451598</v>
      </c>
      <c r="AG3259">
        <v>-1.105736719404</v>
      </c>
      <c r="AH3259">
        <v>29.129645325739698</v>
      </c>
      <c r="AI3259">
        <v>92.151426402469696</v>
      </c>
      <c r="AJ3259">
        <v>98.241561679100499</v>
      </c>
      <c r="AK3259">
        <v>29.454383130076401</v>
      </c>
    </row>
    <row r="3260" spans="1:37" x14ac:dyDescent="0.2">
      <c r="A3260" t="str">
        <f>"20200111155609764"</f>
        <v>20200111155609764</v>
      </c>
      <c r="B3260" t="str">
        <f>"1578729369756200"</f>
        <v>1578729369756200</v>
      </c>
      <c r="C3260" t="s">
        <v>37</v>
      </c>
      <c r="D3260">
        <v>5.6058639999999897</v>
      </c>
      <c r="E3260">
        <v>0.47295219999999999</v>
      </c>
      <c r="F3260" t="s">
        <v>61</v>
      </c>
      <c r="G3260">
        <v>-428.62970000000001</v>
      </c>
      <c r="H3260" s="1">
        <v>2.1821099999999899E-6</v>
      </c>
      <c r="I3260">
        <v>217.4958</v>
      </c>
      <c r="J3260">
        <v>-457.17669999999998</v>
      </c>
      <c r="K3260">
        <v>1.1055200000000001</v>
      </c>
      <c r="L3260">
        <v>214.6302</v>
      </c>
      <c r="M3260">
        <v>0.99897199999999997</v>
      </c>
      <c r="N3260">
        <v>0</v>
      </c>
      <c r="O3260">
        <v>-4.3442630000000003E-2</v>
      </c>
      <c r="P3260">
        <v>0.99954270000000001</v>
      </c>
      <c r="Q3260">
        <v>1.5524799999999899E-2</v>
      </c>
      <c r="R3260">
        <v>2.5951269999999999E-2</v>
      </c>
      <c r="S3260">
        <v>2.9960629999999999</v>
      </c>
      <c r="T3260">
        <v>-0.11522010000000001</v>
      </c>
      <c r="U3260">
        <v>0.2978363</v>
      </c>
      <c r="V3260">
        <v>-6.9398870000000001E-2</v>
      </c>
      <c r="W3260">
        <v>2.833399E-2</v>
      </c>
      <c r="X3260">
        <v>0.99718649999999998</v>
      </c>
      <c r="Y3260">
        <v>-0.14192560000000001</v>
      </c>
      <c r="Z3260">
        <v>4.387925E-3</v>
      </c>
      <c r="AA3260">
        <v>0.98986759999999996</v>
      </c>
      <c r="AB3260">
        <v>21</v>
      </c>
      <c r="AC3260">
        <v>28.546999999999901</v>
      </c>
      <c r="AD3260">
        <v>-1.10551781788999</v>
      </c>
      <c r="AE3260">
        <v>2.8656000000000001</v>
      </c>
      <c r="AF3260">
        <v>-4.0970717785641604</v>
      </c>
      <c r="AG3260">
        <v>-1.10551781788999</v>
      </c>
      <c r="AH3260">
        <v>28.353447216145</v>
      </c>
      <c r="AI3260">
        <v>92.209935875087595</v>
      </c>
      <c r="AJ3260">
        <v>98.222324607075706</v>
      </c>
      <c r="AK3260">
        <v>28.6692541905627</v>
      </c>
    </row>
    <row r="3261" spans="1:37" x14ac:dyDescent="0.2">
      <c r="A3261" t="str">
        <f>"20200111155609787"</f>
        <v>20200111155609787</v>
      </c>
      <c r="B3261" t="str">
        <f>"1578729369775718"</f>
        <v>1578729369775718</v>
      </c>
      <c r="C3261" t="s">
        <v>37</v>
      </c>
      <c r="D3261">
        <v>5.2382349999999898</v>
      </c>
      <c r="E3261">
        <v>0.47356720000000002</v>
      </c>
      <c r="F3261" t="s">
        <v>61</v>
      </c>
      <c r="G3261">
        <v>-428.97129999999999</v>
      </c>
      <c r="H3261" s="1">
        <v>2.1233749999999998E-6</v>
      </c>
      <c r="I3261">
        <v>217.47460000000001</v>
      </c>
      <c r="J3261">
        <v>-456.9658</v>
      </c>
      <c r="K3261">
        <v>1.1053309999999901</v>
      </c>
      <c r="L3261">
        <v>214.62280000000001</v>
      </c>
      <c r="M3261">
        <v>0.99903699999999995</v>
      </c>
      <c r="N3261">
        <v>0</v>
      </c>
      <c r="O3261">
        <v>-4.2052930000000002E-2</v>
      </c>
      <c r="P3261">
        <v>0.99948700000000001</v>
      </c>
      <c r="Q3261">
        <v>1.512313E-2</v>
      </c>
      <c r="R3261">
        <v>2.8237539999999998E-2</v>
      </c>
      <c r="S3261">
        <v>2.9953919999999998</v>
      </c>
      <c r="T3261">
        <v>-0.1174048</v>
      </c>
      <c r="U3261">
        <v>0.30206300000000003</v>
      </c>
      <c r="V3261">
        <v>-7.028297E-2</v>
      </c>
      <c r="W3261">
        <v>2.7518440000000002E-2</v>
      </c>
      <c r="X3261">
        <v>0.99714740000000002</v>
      </c>
      <c r="Y3261">
        <v>-0.14194889999999999</v>
      </c>
      <c r="Z3261">
        <v>4.4178709999999899E-3</v>
      </c>
      <c r="AA3261">
        <v>0.98986409999999903</v>
      </c>
      <c r="AB3261">
        <v>21</v>
      </c>
      <c r="AC3261">
        <v>27.994499999999999</v>
      </c>
      <c r="AD3261">
        <v>-1.10532887662499</v>
      </c>
      <c r="AE3261">
        <v>2.8517999999999901</v>
      </c>
      <c r="AF3261">
        <v>-4.0204164785374701</v>
      </c>
      <c r="AG3261">
        <v>-1.10532887662499</v>
      </c>
      <c r="AH3261">
        <v>27.806890957088999</v>
      </c>
      <c r="AI3261">
        <v>92.252917436106301</v>
      </c>
      <c r="AJ3261">
        <v>98.227011256725206</v>
      </c>
      <c r="AK3261">
        <v>28.1177645855043</v>
      </c>
    </row>
    <row r="3262" spans="1:37" x14ac:dyDescent="0.2">
      <c r="A3262" t="str">
        <f>"20200111155609900"</f>
        <v>20200111155609900</v>
      </c>
      <c r="B3262" t="str">
        <f>"1578729369895767"</f>
        <v>1578729369895767</v>
      </c>
      <c r="C3262" t="s">
        <v>37</v>
      </c>
      <c r="D3262">
        <v>5.2017899999999999</v>
      </c>
      <c r="E3262">
        <v>0.47356720000000002</v>
      </c>
      <c r="F3262" t="s">
        <v>61</v>
      </c>
      <c r="G3262">
        <v>-429.50349999999997</v>
      </c>
      <c r="H3262" s="1">
        <v>2.0345499999999999E-6</v>
      </c>
      <c r="I3262">
        <v>217.41069999999999</v>
      </c>
      <c r="J3262">
        <v>-455.89240000000001</v>
      </c>
      <c r="K3262">
        <v>1.1044879999999999</v>
      </c>
      <c r="L3262">
        <v>214.58430000000001</v>
      </c>
      <c r="M3262">
        <v>0.99921409999999999</v>
      </c>
      <c r="N3262">
        <v>0</v>
      </c>
      <c r="O3262">
        <v>-3.83878E-2</v>
      </c>
      <c r="P3262">
        <v>0.99925450000000005</v>
      </c>
      <c r="Q3262">
        <v>2.1536119999999999E-2</v>
      </c>
      <c r="R3262">
        <v>3.2045440000000001E-2</v>
      </c>
      <c r="S3262">
        <v>2.9947509999999999</v>
      </c>
      <c r="T3262">
        <v>-0.1205357</v>
      </c>
      <c r="U3262">
        <v>0.30401609999999901</v>
      </c>
      <c r="V3262">
        <v>-7.0382829999999993E-2</v>
      </c>
      <c r="W3262">
        <v>3.1397250000000002E-2</v>
      </c>
      <c r="X3262">
        <v>0.99702579999999996</v>
      </c>
      <c r="Y3262">
        <v>-0.13897390000000001</v>
      </c>
      <c r="Z3262">
        <v>4.3295230000000001E-3</v>
      </c>
      <c r="AA3262">
        <v>0.99028660000000002</v>
      </c>
      <c r="AB3262">
        <v>21</v>
      </c>
      <c r="AC3262">
        <v>26.3889</v>
      </c>
      <c r="AD3262">
        <v>-1.1044859654500001</v>
      </c>
      <c r="AE3262">
        <v>2.8263999999999698</v>
      </c>
      <c r="AF3262">
        <v>-3.8307432535856498</v>
      </c>
      <c r="AG3262">
        <v>-1.1044859654500001</v>
      </c>
      <c r="AH3262">
        <v>26.215539883674499</v>
      </c>
      <c r="AI3262">
        <v>92.387178001782701</v>
      </c>
      <c r="AJ3262">
        <v>98.313502178270795</v>
      </c>
      <c r="AK3262">
        <v>26.516957112672198</v>
      </c>
    </row>
    <row r="3263" spans="1:37" x14ac:dyDescent="0.2">
      <c r="A3263" t="str">
        <f>"20200111155609922"</f>
        <v>20200111155609922</v>
      </c>
      <c r="B3263" t="str">
        <f>"1578729369916263"</f>
        <v>1578729369916263</v>
      </c>
      <c r="C3263" t="s">
        <v>37</v>
      </c>
      <c r="D3263">
        <v>5.3485670000000001</v>
      </c>
      <c r="E3263">
        <v>0.51254179999999905</v>
      </c>
      <c r="F3263" t="s">
        <v>61</v>
      </c>
      <c r="G3263">
        <v>-422.67509999999999</v>
      </c>
      <c r="H3263" s="1">
        <v>3.1857389999999999E-6</v>
      </c>
      <c r="I3263">
        <v>218.0976</v>
      </c>
      <c r="J3263">
        <v>-455.67579999999998</v>
      </c>
      <c r="K3263">
        <v>1.1043499999999999</v>
      </c>
      <c r="L3263">
        <v>214.5762</v>
      </c>
      <c r="M3263">
        <v>0.99922770000000005</v>
      </c>
      <c r="N3263">
        <v>0</v>
      </c>
      <c r="O3263">
        <v>-3.8171990000000003E-2</v>
      </c>
      <c r="P3263">
        <v>0.99931990000000004</v>
      </c>
      <c r="Q3263">
        <v>2.0610110000000001E-2</v>
      </c>
      <c r="R3263">
        <v>3.058025E-2</v>
      </c>
      <c r="S3263">
        <v>2.9942319999999998</v>
      </c>
      <c r="T3263">
        <v>-9.9558949999999993E-2</v>
      </c>
      <c r="U3263">
        <v>0.31669619999999998</v>
      </c>
      <c r="V3263">
        <v>-6.870097E-2</v>
      </c>
      <c r="W3263">
        <v>2.9921179999999999E-2</v>
      </c>
      <c r="X3263">
        <v>0.99718850000000003</v>
      </c>
      <c r="Y3263">
        <v>-0.14296819999999999</v>
      </c>
      <c r="Z3263">
        <v>3.6354170000000002E-3</v>
      </c>
      <c r="AA3263">
        <v>0.98972059999999995</v>
      </c>
      <c r="AB3263">
        <v>22</v>
      </c>
      <c r="AC3263">
        <v>33.000699999999902</v>
      </c>
      <c r="AD3263">
        <v>-1.104346814261</v>
      </c>
      <c r="AE3263">
        <v>3.5213999999999999</v>
      </c>
      <c r="AF3263">
        <v>-4.7733051888500198</v>
      </c>
      <c r="AG3263">
        <v>-1.104346814261</v>
      </c>
      <c r="AH3263">
        <v>32.805897296718598</v>
      </c>
      <c r="AI3263">
        <v>91.907947669168294</v>
      </c>
      <c r="AJ3263">
        <v>98.278523815603194</v>
      </c>
      <c r="AK3263">
        <v>33.169728997309001</v>
      </c>
    </row>
    <row r="3264" spans="1:37" x14ac:dyDescent="0.2">
      <c r="A3264" t="str">
        <f>"20200111155609945"</f>
        <v>20200111155609945</v>
      </c>
      <c r="B3264" t="str">
        <f>"1578729369935783"</f>
        <v>1578729369935783</v>
      </c>
      <c r="C3264" t="s">
        <v>37</v>
      </c>
      <c r="D3264">
        <v>5.3667660000000001</v>
      </c>
      <c r="E3264">
        <v>0.52157149999999997</v>
      </c>
      <c r="F3264" t="s">
        <v>61</v>
      </c>
      <c r="G3264">
        <v>-421.43189999999998</v>
      </c>
      <c r="H3264" s="1">
        <v>3.71299E-6</v>
      </c>
      <c r="I3264">
        <v>214.5889</v>
      </c>
      <c r="J3264">
        <v>-455.4479</v>
      </c>
      <c r="K3264">
        <v>1.1042369999999999</v>
      </c>
      <c r="L3264">
        <v>214.5677</v>
      </c>
      <c r="M3264">
        <v>0.99923779999999995</v>
      </c>
      <c r="N3264">
        <v>0</v>
      </c>
      <c r="O3264">
        <v>-3.8047209999999998E-2</v>
      </c>
      <c r="P3264">
        <v>0.9994343</v>
      </c>
      <c r="Q3264">
        <v>1.849427E-2</v>
      </c>
      <c r="R3264">
        <v>2.8100179999999999E-2</v>
      </c>
      <c r="S3264">
        <v>3.0039980000000002</v>
      </c>
      <c r="T3264">
        <v>-9.6877340000000006E-2</v>
      </c>
      <c r="U3264">
        <v>1.113892E-3</v>
      </c>
      <c r="V3264">
        <v>-6.610009E-2</v>
      </c>
      <c r="W3264">
        <v>2.7237689999999998E-2</v>
      </c>
      <c r="X3264">
        <v>0.99744120000000003</v>
      </c>
      <c r="Y3264">
        <v>-3.8379459999999997E-2</v>
      </c>
      <c r="Z3264">
        <v>1.8452079999999899E-3</v>
      </c>
      <c r="AA3264">
        <v>0.99926159999999997</v>
      </c>
      <c r="AB3264">
        <v>22</v>
      </c>
      <c r="AC3264">
        <v>34.015999999999998</v>
      </c>
      <c r="AD3264">
        <v>-1.10423328701</v>
      </c>
      <c r="AE3264">
        <v>2.11999999999932E-2</v>
      </c>
      <c r="AF3264">
        <v>-1.3140631256377699</v>
      </c>
      <c r="AG3264">
        <v>-1.10423328701</v>
      </c>
      <c r="AH3264">
        <v>33.954780673622501</v>
      </c>
      <c r="AI3264">
        <v>91.861250174009996</v>
      </c>
      <c r="AJ3264">
        <v>92.216262789782107</v>
      </c>
      <c r="AK3264">
        <v>33.998135590707101</v>
      </c>
    </row>
    <row r="3265" spans="1:37" x14ac:dyDescent="0.2">
      <c r="A3265" t="str">
        <f>"20200111155609966"</f>
        <v>20200111155609966</v>
      </c>
      <c r="B3265" t="str">
        <f>"1578729369956278"</f>
        <v>1578729369956278</v>
      </c>
      <c r="C3265" t="s">
        <v>37</v>
      </c>
      <c r="D3265">
        <v>5.1557339999999998</v>
      </c>
      <c r="E3265">
        <v>0.52602839999999995</v>
      </c>
      <c r="F3265" t="s">
        <v>61</v>
      </c>
      <c r="G3265">
        <v>-428.69760000000002</v>
      </c>
      <c r="H3265" s="1">
        <v>2.4858439999999999E-6</v>
      </c>
      <c r="I3265">
        <v>213.8836</v>
      </c>
      <c r="J3265">
        <v>-455.24290000000002</v>
      </c>
      <c r="K3265">
        <v>1.104163</v>
      </c>
      <c r="L3265">
        <v>214.5599</v>
      </c>
      <c r="M3265">
        <v>0.99924389999999996</v>
      </c>
      <c r="N3265">
        <v>0</v>
      </c>
      <c r="O3265">
        <v>-3.7992539999999998E-2</v>
      </c>
      <c r="P3265">
        <v>0.99952070000000004</v>
      </c>
      <c r="Q3265">
        <v>1.7650329999999999E-2</v>
      </c>
      <c r="R3265">
        <v>2.5433460000000001E-2</v>
      </c>
      <c r="S3265">
        <v>3.006195</v>
      </c>
      <c r="T3265">
        <v>-0.124093699999999</v>
      </c>
      <c r="U3265">
        <v>-7.6873780000000003E-2</v>
      </c>
      <c r="V3265">
        <v>-6.3383469999999997E-2</v>
      </c>
      <c r="W3265">
        <v>2.5897770000000001E-2</v>
      </c>
      <c r="X3265">
        <v>0.99765319999999902</v>
      </c>
      <c r="Y3265">
        <v>-1.2393589999999999E-2</v>
      </c>
      <c r="Z3265">
        <v>1.822611E-3</v>
      </c>
      <c r="AA3265">
        <v>0.99992159999999997</v>
      </c>
      <c r="AB3265">
        <v>22</v>
      </c>
      <c r="AC3265">
        <v>26.545300000000001</v>
      </c>
      <c r="AD3265">
        <v>-1.104160514156</v>
      </c>
      <c r="AE3265">
        <v>-0.67629999999999701</v>
      </c>
      <c r="AF3265">
        <v>-0.332171727279574</v>
      </c>
      <c r="AG3265">
        <v>-1.104160514156</v>
      </c>
      <c r="AH3265">
        <v>26.505998647675</v>
      </c>
      <c r="AI3265">
        <v>92.385204334054805</v>
      </c>
      <c r="AJ3265">
        <v>90.717989994209404</v>
      </c>
      <c r="AK3265">
        <v>26.531066183023501</v>
      </c>
    </row>
    <row r="3266" spans="1:37" x14ac:dyDescent="0.2">
      <c r="A3266" t="str">
        <f>"20200111155609988"</f>
        <v>20200111155609988</v>
      </c>
      <c r="B3266" t="str">
        <f>"1578729369975798"</f>
        <v>1578729369975798</v>
      </c>
      <c r="C3266" t="s">
        <v>37</v>
      </c>
      <c r="D3266">
        <v>5.1782029999999999</v>
      </c>
      <c r="E3266">
        <v>0.52804680000000004</v>
      </c>
      <c r="F3266" t="s">
        <v>61</v>
      </c>
      <c r="G3266">
        <v>-431.0865</v>
      </c>
      <c r="H3266" s="1">
        <v>2.7876920000000002E-6</v>
      </c>
      <c r="I3266">
        <v>213.59960000000001</v>
      </c>
      <c r="J3266">
        <v>-455.02390000000003</v>
      </c>
      <c r="K3266">
        <v>1.1041129999999999</v>
      </c>
      <c r="L3266">
        <v>214.55160000000001</v>
      </c>
      <c r="M3266">
        <v>0.99924919999999995</v>
      </c>
      <c r="N3266">
        <v>0</v>
      </c>
      <c r="O3266">
        <v>-3.796778E-2</v>
      </c>
      <c r="P3266">
        <v>0.99958659999999999</v>
      </c>
      <c r="Q3266">
        <v>1.8388479999999999E-2</v>
      </c>
      <c r="R3266">
        <v>2.2107060000000001E-2</v>
      </c>
      <c r="S3266">
        <v>3.0069270000000001</v>
      </c>
      <c r="T3266">
        <v>-0.13744319999999999</v>
      </c>
      <c r="U3266">
        <v>-0.1195374</v>
      </c>
      <c r="V3266">
        <v>-6.0037050000000002E-2</v>
      </c>
      <c r="W3266">
        <v>2.6122759999999998E-2</v>
      </c>
      <c r="X3266">
        <v>0.99785429999999997</v>
      </c>
      <c r="Y3266">
        <v>1.792704E-3</v>
      </c>
      <c r="Z3266">
        <v>1.692353E-3</v>
      </c>
      <c r="AA3266">
        <v>0.99999699999999903</v>
      </c>
      <c r="AB3266">
        <v>22</v>
      </c>
      <c r="AC3266">
        <v>23.9374</v>
      </c>
      <c r="AD3266">
        <v>-1.104110212308</v>
      </c>
      <c r="AE3266">
        <v>-0.95199999999999796</v>
      </c>
      <c r="AF3266">
        <v>4.2346613172249997E-2</v>
      </c>
      <c r="AG3266">
        <v>-1.104110212308</v>
      </c>
      <c r="AH3266">
        <v>23.905506839267701</v>
      </c>
      <c r="AI3266">
        <v>92.6444045607833</v>
      </c>
      <c r="AJ3266">
        <v>89.898505407564102</v>
      </c>
      <c r="AK3266">
        <v>23.931028181815499</v>
      </c>
    </row>
    <row r="3267" spans="1:37" x14ac:dyDescent="0.2">
      <c r="A3267" t="str">
        <f>"20200111155610011"</f>
        <v>20200111155610011</v>
      </c>
      <c r="B3267" t="str">
        <f>"1578729370006055"</f>
        <v>1578729370006055</v>
      </c>
      <c r="C3267" t="s">
        <v>37</v>
      </c>
      <c r="D3267">
        <v>5.1789889999999996</v>
      </c>
      <c r="E3267">
        <v>0.53007819999999894</v>
      </c>
      <c r="F3267" t="s">
        <v>61</v>
      </c>
      <c r="G3267">
        <v>-431.18869999999998</v>
      </c>
      <c r="H3267" s="1">
        <v>2.8503879999999999E-6</v>
      </c>
      <c r="I3267">
        <v>213.40099999999899</v>
      </c>
      <c r="J3267">
        <v>-454.78739999999999</v>
      </c>
      <c r="K3267">
        <v>1.10407099999999</v>
      </c>
      <c r="L3267">
        <v>214.54259999999999</v>
      </c>
      <c r="M3267">
        <v>0.99925370000000002</v>
      </c>
      <c r="N3267">
        <v>0</v>
      </c>
      <c r="O3267">
        <v>-3.7951650000000003E-2</v>
      </c>
      <c r="P3267">
        <v>0.99963590000000002</v>
      </c>
      <c r="Q3267">
        <v>1.9117749999999999E-2</v>
      </c>
      <c r="R3267">
        <v>1.9046380000000002E-2</v>
      </c>
      <c r="S3267">
        <v>3.0070189999999899</v>
      </c>
      <c r="T3267">
        <v>-0.13929320000000001</v>
      </c>
      <c r="U3267">
        <v>-0.14515690000000001</v>
      </c>
      <c r="V3267">
        <v>-5.6965580000000002E-2</v>
      </c>
      <c r="W3267">
        <v>2.6313909999999999E-2</v>
      </c>
      <c r="X3267">
        <v>0.99802930000000001</v>
      </c>
      <c r="Y3267">
        <v>1.030286E-2</v>
      </c>
      <c r="Z3267">
        <v>1.517025E-3</v>
      </c>
      <c r="AA3267">
        <v>0.9999458</v>
      </c>
      <c r="AB3267">
        <v>22</v>
      </c>
      <c r="AC3267">
        <v>23.598700000000001</v>
      </c>
      <c r="AD3267">
        <v>-1.10406814961199</v>
      </c>
      <c r="AE3267">
        <v>-1.1416000000000099</v>
      </c>
      <c r="AF3267">
        <v>0.24461059465319199</v>
      </c>
      <c r="AG3267">
        <v>-1.10406814961199</v>
      </c>
      <c r="AH3267">
        <v>23.5735463490252</v>
      </c>
      <c r="AI3267">
        <v>92.681346894129106</v>
      </c>
      <c r="AJ3267">
        <v>89.405492431558997</v>
      </c>
      <c r="AK3267">
        <v>23.600654403885599</v>
      </c>
    </row>
    <row r="3268" spans="1:37" x14ac:dyDescent="0.2">
      <c r="A3268" t="str">
        <f>"20200111155610034"</f>
        <v>20200111155610034</v>
      </c>
      <c r="B3268" t="str">
        <f>"1578729370025575"</f>
        <v>1578729370025575</v>
      </c>
      <c r="C3268" t="s">
        <v>37</v>
      </c>
      <c r="D3268">
        <v>5.8161699999999996</v>
      </c>
      <c r="E3268">
        <v>0.53054849999999998</v>
      </c>
      <c r="F3268" t="s">
        <v>61</v>
      </c>
      <c r="G3268">
        <v>-431.40320000000003</v>
      </c>
      <c r="H3268" s="1">
        <v>2.961263E-6</v>
      </c>
      <c r="I3268">
        <v>213.2209</v>
      </c>
      <c r="J3268">
        <v>-454.56130000000002</v>
      </c>
      <c r="K3268">
        <v>1.104047</v>
      </c>
      <c r="L3268">
        <v>214.5341</v>
      </c>
      <c r="M3268">
        <v>0.99925830000000004</v>
      </c>
      <c r="N3268">
        <v>0</v>
      </c>
      <c r="O3268">
        <v>-3.7923110000000003E-2</v>
      </c>
      <c r="P3268">
        <v>0.99967340000000005</v>
      </c>
      <c r="Q3268">
        <v>1.9388639999999999E-2</v>
      </c>
      <c r="R3268">
        <v>1.6659230000000001E-2</v>
      </c>
      <c r="S3268">
        <v>3.0069889999999999</v>
      </c>
      <c r="T3268">
        <v>-0.14197279999999901</v>
      </c>
      <c r="U3268">
        <v>-0.1699677</v>
      </c>
      <c r="V3268">
        <v>-5.455438E-2</v>
      </c>
      <c r="W3268">
        <v>2.608367E-2</v>
      </c>
      <c r="X3268">
        <v>0.99817009999999995</v>
      </c>
      <c r="Y3268">
        <v>1.8551499999999999E-2</v>
      </c>
      <c r="Z3268">
        <v>1.349975E-3</v>
      </c>
      <c r="AA3268">
        <v>0.99982700000000002</v>
      </c>
      <c r="AB3268">
        <v>22</v>
      </c>
      <c r="AC3268">
        <v>23.158099999999902</v>
      </c>
      <c r="AD3268">
        <v>-1.1040440387370001</v>
      </c>
      <c r="AE3268">
        <v>-1.3131999999999899</v>
      </c>
      <c r="AF3268">
        <v>0.43302748014936798</v>
      </c>
      <c r="AG3268">
        <v>-1.1040440387370001</v>
      </c>
      <c r="AH3268">
        <v>23.138820413456902</v>
      </c>
      <c r="AI3268">
        <v>92.731257471047897</v>
      </c>
      <c r="AJ3268">
        <v>88.927873126385293</v>
      </c>
      <c r="AK3268">
        <v>23.1691915302249</v>
      </c>
    </row>
    <row r="3269" spans="1:37" x14ac:dyDescent="0.2">
      <c r="A3269" t="str">
        <f>"20200111155610054"</f>
        <v>20200111155610054</v>
      </c>
      <c r="B3269" t="str">
        <f>"1578729370046070"</f>
        <v>1578729370046070</v>
      </c>
      <c r="C3269" t="s">
        <v>37</v>
      </c>
      <c r="D3269">
        <v>5.2747250000000001</v>
      </c>
      <c r="E3269">
        <v>0.52177459999999998</v>
      </c>
      <c r="F3269" t="s">
        <v>61</v>
      </c>
      <c r="G3269">
        <v>-431.31909999999999</v>
      </c>
      <c r="H3269" s="1">
        <v>2.9312899999999999E-6</v>
      </c>
      <c r="I3269">
        <v>213.13669999999999</v>
      </c>
      <c r="J3269">
        <v>-454.34769999999997</v>
      </c>
      <c r="K3269">
        <v>1.10402</v>
      </c>
      <c r="L3269">
        <v>214.52599999999899</v>
      </c>
      <c r="M3269">
        <v>0.99926349999999997</v>
      </c>
      <c r="N3269">
        <v>0</v>
      </c>
      <c r="O3269">
        <v>-3.7866909999999997E-2</v>
      </c>
      <c r="P3269">
        <v>0.99970590000000004</v>
      </c>
      <c r="Q3269">
        <v>1.9042759999999999E-2</v>
      </c>
      <c r="R3269">
        <v>1.5025419999999999E-2</v>
      </c>
      <c r="S3269">
        <v>3.0067750000000002</v>
      </c>
      <c r="T3269">
        <v>-0.14282690000000001</v>
      </c>
      <c r="U3269">
        <v>-0.18077089999999901</v>
      </c>
      <c r="V3269">
        <v>-5.2869060000000002E-2</v>
      </c>
      <c r="W3269">
        <v>2.5273319999999998E-2</v>
      </c>
      <c r="X3269">
        <v>0.99828159999999899</v>
      </c>
      <c r="Y3269">
        <v>2.218798E-2</v>
      </c>
      <c r="Z3269">
        <v>1.2691E-3</v>
      </c>
      <c r="AA3269">
        <v>0.999753</v>
      </c>
      <c r="AB3269">
        <v>23</v>
      </c>
      <c r="AC3269">
        <v>23.028599999999901</v>
      </c>
      <c r="AD3269">
        <v>-1.1040170687099999</v>
      </c>
      <c r="AE3269">
        <v>-1.38929999999999</v>
      </c>
      <c r="AF3269">
        <v>0.51508525525575499</v>
      </c>
      <c r="AG3269">
        <v>-1.1040170687099999</v>
      </c>
      <c r="AH3269">
        <v>23.011994705939301</v>
      </c>
      <c r="AI3269">
        <v>92.746013612947195</v>
      </c>
      <c r="AJ3269">
        <v>88.717743316105995</v>
      </c>
      <c r="AK3269">
        <v>23.044219814399501</v>
      </c>
    </row>
    <row r="3270" spans="1:37" x14ac:dyDescent="0.2">
      <c r="A3270" t="str">
        <f>"20200111155610078"</f>
        <v>20200111155610078</v>
      </c>
      <c r="B3270" t="str">
        <f>"1578729370065590"</f>
        <v>1578729370065590</v>
      </c>
      <c r="C3270" t="s">
        <v>37</v>
      </c>
      <c r="D3270">
        <v>5.2253689999999997</v>
      </c>
      <c r="E3270">
        <v>0.52592340000000004</v>
      </c>
      <c r="F3270" t="s">
        <v>59</v>
      </c>
      <c r="G3270">
        <v>-370.97390000000001</v>
      </c>
      <c r="H3270" s="1">
        <v>-1.0185299999999901E-6</v>
      </c>
      <c r="I3270">
        <v>211.1251</v>
      </c>
      <c r="J3270">
        <v>-454.11290000000002</v>
      </c>
      <c r="K3270">
        <v>1.1040000000000001</v>
      </c>
      <c r="L3270">
        <v>214.5172</v>
      </c>
      <c r="M3270">
        <v>0.99927029999999994</v>
      </c>
      <c r="N3270">
        <v>0</v>
      </c>
      <c r="O3270">
        <v>-3.776243E-2</v>
      </c>
      <c r="P3270">
        <v>0.99973409999999996</v>
      </c>
      <c r="Q3270">
        <v>1.7874879999999999E-2</v>
      </c>
      <c r="R3270">
        <v>1.457604E-2</v>
      </c>
      <c r="S3270">
        <v>3.003479</v>
      </c>
      <c r="T3270">
        <v>-3.9771559999999997E-2</v>
      </c>
      <c r="U3270">
        <v>-0.12251279999999901</v>
      </c>
      <c r="V3270">
        <v>-5.2318999999999997E-2</v>
      </c>
      <c r="W3270">
        <v>2.360489E-2</v>
      </c>
      <c r="X3270">
        <v>0.9983514</v>
      </c>
      <c r="Y3270">
        <v>2.998704E-3</v>
      </c>
      <c r="Z3270">
        <v>4.7979190000000001E-4</v>
      </c>
      <c r="AA3270">
        <v>0.99999539999999998</v>
      </c>
      <c r="AB3270">
        <v>23</v>
      </c>
      <c r="AC3270">
        <v>83.138999999999996</v>
      </c>
      <c r="AD3270">
        <v>-1.10400101852999</v>
      </c>
      <c r="AE3270">
        <v>-3.3920999999999899</v>
      </c>
      <c r="AF3270">
        <v>0.25005420770943798</v>
      </c>
      <c r="AG3270">
        <v>-1.10400101852999</v>
      </c>
      <c r="AH3270">
        <v>83.193149617803002</v>
      </c>
      <c r="AI3270">
        <v>90.760286163732005</v>
      </c>
      <c r="AJ3270">
        <v>89.827786209892693</v>
      </c>
      <c r="AK3270">
        <v>83.200850288238399</v>
      </c>
    </row>
    <row r="3271" spans="1:37" x14ac:dyDescent="0.2">
      <c r="A3271" t="str">
        <f>"20200111155610101"</f>
        <v>20200111155610101</v>
      </c>
      <c r="B3271" t="str">
        <f>"1578729370095846"</f>
        <v>1578729370095846</v>
      </c>
      <c r="C3271" t="s">
        <v>37</v>
      </c>
      <c r="D3271">
        <v>5.2341509999999998</v>
      </c>
      <c r="E3271">
        <v>0.52780400000000005</v>
      </c>
      <c r="F3271" t="s">
        <v>61</v>
      </c>
      <c r="G3271">
        <v>-435.68110000000001</v>
      </c>
      <c r="H3271" s="1">
        <v>4.8243039999999998E-6</v>
      </c>
      <c r="I3271">
        <v>213.60980000000001</v>
      </c>
      <c r="J3271">
        <v>-453.87</v>
      </c>
      <c r="K3271">
        <v>1.1039859999999999</v>
      </c>
      <c r="L3271">
        <v>214.50810000000001</v>
      </c>
      <c r="M3271">
        <v>0.99927919999999903</v>
      </c>
      <c r="N3271">
        <v>0</v>
      </c>
      <c r="O3271">
        <v>-3.7599460000000001E-2</v>
      </c>
      <c r="P3271">
        <v>0.999718</v>
      </c>
      <c r="Q3271">
        <v>1.8853399999999999E-2</v>
      </c>
      <c r="R3271">
        <v>1.4449470000000001E-2</v>
      </c>
      <c r="S3271">
        <v>3.006195</v>
      </c>
      <c r="T3271">
        <v>-0.18005940000000001</v>
      </c>
      <c r="U3271">
        <v>-0.14799499999999999</v>
      </c>
      <c r="V3271">
        <v>-5.203087E-2</v>
      </c>
      <c r="W3271">
        <v>2.4079679999999999E-2</v>
      </c>
      <c r="X3271">
        <v>0.9983552</v>
      </c>
      <c r="Y3271">
        <v>1.162759E-2</v>
      </c>
      <c r="Z3271">
        <v>1.9000989999999999E-3</v>
      </c>
      <c r="AA3271">
        <v>0.9999306</v>
      </c>
      <c r="AB3271">
        <v>23</v>
      </c>
      <c r="AC3271">
        <v>18.188899999999901</v>
      </c>
      <c r="AD3271">
        <v>-1.1039811756960001</v>
      </c>
      <c r="AE3271">
        <v>-0.89830000000000598</v>
      </c>
      <c r="AF3271">
        <v>0.212979919355889</v>
      </c>
      <c r="AG3271">
        <v>-1.1039811756960001</v>
      </c>
      <c r="AH3271">
        <v>18.143138870658898</v>
      </c>
      <c r="AI3271">
        <v>93.481824608537295</v>
      </c>
      <c r="AJ3271">
        <v>89.327443276950802</v>
      </c>
      <c r="AK3271">
        <v>18.177943309471299</v>
      </c>
    </row>
    <row r="3272" spans="1:37" x14ac:dyDescent="0.2">
      <c r="A3272" t="str">
        <f>"20200111155610125"</f>
        <v>20200111155610125</v>
      </c>
      <c r="B3272" t="str">
        <f>"1578729370116343"</f>
        <v>1578729370116343</v>
      </c>
      <c r="C3272" t="s">
        <v>37</v>
      </c>
      <c r="D3272">
        <v>5.3509310000000001</v>
      </c>
      <c r="E3272">
        <v>0.53000259999999999</v>
      </c>
      <c r="F3272" t="s">
        <v>40</v>
      </c>
      <c r="G3272">
        <v>-452.95589999999999</v>
      </c>
      <c r="H3272">
        <v>1.0521419999999999</v>
      </c>
      <c r="I3272">
        <v>214.458</v>
      </c>
      <c r="J3272">
        <v>-453.62299999999999</v>
      </c>
      <c r="K3272">
        <v>1.1039760000000001</v>
      </c>
      <c r="L3272">
        <v>214.499</v>
      </c>
      <c r="M3272">
        <v>0.99928980000000001</v>
      </c>
      <c r="N3272">
        <v>0</v>
      </c>
      <c r="O3272">
        <v>-3.7384939999999998E-2</v>
      </c>
      <c r="P3272">
        <v>0.99967430000000002</v>
      </c>
      <c r="Q3272">
        <v>2.079752E-2</v>
      </c>
      <c r="R3272">
        <v>1.4803810000000001E-2</v>
      </c>
      <c r="S3272">
        <v>3.0064389999999999</v>
      </c>
      <c r="T3272">
        <v>-0.17060839999999999</v>
      </c>
      <c r="U3272">
        <v>-0.16409299999999999</v>
      </c>
      <c r="V3272">
        <v>-5.2171820000000001E-2</v>
      </c>
      <c r="W3272">
        <v>2.552834E-2</v>
      </c>
      <c r="X3272">
        <v>0.99831179999999997</v>
      </c>
      <c r="Y3272">
        <v>1.7163910000000001E-2</v>
      </c>
      <c r="Z3272">
        <v>1.63109E-3</v>
      </c>
      <c r="AA3272">
        <v>0.9998513</v>
      </c>
      <c r="AB3272">
        <v>23</v>
      </c>
      <c r="AC3272">
        <v>0.66710000000006098</v>
      </c>
      <c r="AD3272">
        <v>-5.1834000000000102E-2</v>
      </c>
      <c r="AE3272">
        <v>-4.1000000000025197E-2</v>
      </c>
      <c r="AF3272">
        <v>1.59357190404355E-2</v>
      </c>
      <c r="AG3272">
        <v>-5.1834000000000102E-2</v>
      </c>
      <c r="AH3272">
        <v>0.66417168689337602</v>
      </c>
      <c r="AI3272">
        <v>94.461214734179194</v>
      </c>
      <c r="AJ3272">
        <v>88.625544698250707</v>
      </c>
      <c r="AK3272">
        <v>0.66638182775952703</v>
      </c>
    </row>
    <row r="3273" spans="1:37" x14ac:dyDescent="0.2">
      <c r="A3273" t="str">
        <f>"20200111155610145"</f>
        <v>20200111155610145</v>
      </c>
      <c r="B3273" t="str">
        <f>"1578729370135862"</f>
        <v>1578729370135862</v>
      </c>
      <c r="C3273" t="s">
        <v>37</v>
      </c>
      <c r="D3273">
        <v>5.385853</v>
      </c>
      <c r="E3273">
        <v>0.53042539999999905</v>
      </c>
      <c r="F3273" t="s">
        <v>61</v>
      </c>
      <c r="G3273">
        <v>-432.486999999999</v>
      </c>
      <c r="H3273" s="1">
        <v>3.4413419999999999E-6</v>
      </c>
      <c r="I3273">
        <v>213.22669999999999</v>
      </c>
      <c r="J3273">
        <v>-453.41050000000001</v>
      </c>
      <c r="K3273">
        <v>1.1039669999999999</v>
      </c>
      <c r="L3273">
        <v>214.4913</v>
      </c>
      <c r="M3273">
        <v>0.99929959999999995</v>
      </c>
      <c r="N3273">
        <v>0</v>
      </c>
      <c r="O3273">
        <v>-3.7170090000000003E-2</v>
      </c>
      <c r="P3273">
        <v>0.99962479999999998</v>
      </c>
      <c r="Q3273">
        <v>2.298733E-2</v>
      </c>
      <c r="R3273">
        <v>1.4899809999999999E-2</v>
      </c>
      <c r="S3273">
        <v>3.0069270000000001</v>
      </c>
      <c r="T3273">
        <v>-0.15705729999999901</v>
      </c>
      <c r="U3273">
        <v>-0.18101500000000001</v>
      </c>
      <c r="V3273">
        <v>-5.2053210000000003E-2</v>
      </c>
      <c r="W3273">
        <v>2.731014E-2</v>
      </c>
      <c r="X3273">
        <v>0.99827080000000001</v>
      </c>
      <c r="Y3273">
        <v>2.2965019999999999E-2</v>
      </c>
      <c r="Z3273">
        <v>1.3387270000000001E-3</v>
      </c>
      <c r="AA3273">
        <v>0.99973539999999905</v>
      </c>
      <c r="AB3273">
        <v>23</v>
      </c>
      <c r="AC3273">
        <v>20.923500000000001</v>
      </c>
      <c r="AD3273">
        <v>-1.1039635586579899</v>
      </c>
      <c r="AE3273">
        <v>-1.2645999999999999</v>
      </c>
      <c r="AF3273">
        <v>0.484646182341196</v>
      </c>
      <c r="AG3273">
        <v>-1.1039635586579899</v>
      </c>
      <c r="AH3273">
        <v>20.898081639320999</v>
      </c>
      <c r="AI3273">
        <v>93.023088899026604</v>
      </c>
      <c r="AJ3273">
        <v>88.671495077961495</v>
      </c>
      <c r="AK3273">
        <v>20.932831477481301</v>
      </c>
    </row>
    <row r="3274" spans="1:37" x14ac:dyDescent="0.2">
      <c r="A3274" t="str">
        <f>"20200111155610168"</f>
        <v>20200111155610168</v>
      </c>
      <c r="B3274" t="str">
        <f>"1578729370156358"</f>
        <v>1578729370156358</v>
      </c>
      <c r="C3274" t="s">
        <v>37</v>
      </c>
      <c r="D3274">
        <v>5.2979459999999996</v>
      </c>
      <c r="E3274">
        <v>0.53115069999999998</v>
      </c>
      <c r="F3274" t="s">
        <v>61</v>
      </c>
      <c r="G3274">
        <v>-431.11470000000003</v>
      </c>
      <c r="H3274" s="1">
        <v>2.8415699999999899E-6</v>
      </c>
      <c r="I3274">
        <v>213.12639999999999</v>
      </c>
      <c r="J3274">
        <v>-453.17500000000001</v>
      </c>
      <c r="K3274">
        <v>1.1039509999999999</v>
      </c>
      <c r="L3274">
        <v>214.4828</v>
      </c>
      <c r="M3274">
        <v>0.99931119999999996</v>
      </c>
      <c r="N3274">
        <v>0</v>
      </c>
      <c r="O3274">
        <v>-3.690334E-2</v>
      </c>
      <c r="P3274">
        <v>0.999590599999999</v>
      </c>
      <c r="Q3274">
        <v>2.412446E-2</v>
      </c>
      <c r="R3274">
        <v>1.5391139999999999E-2</v>
      </c>
      <c r="S3274">
        <v>3.0072939999999999</v>
      </c>
      <c r="T3274">
        <v>-0.1489047</v>
      </c>
      <c r="U3274">
        <v>-0.18409729999999999</v>
      </c>
      <c r="V3274">
        <v>-5.2278770000000002E-2</v>
      </c>
      <c r="W3274">
        <v>2.8016539999999999E-2</v>
      </c>
      <c r="X3274">
        <v>0.99823949999999995</v>
      </c>
      <c r="Y3274">
        <v>2.424169E-2</v>
      </c>
      <c r="Z3274">
        <v>1.2243860000000001E-3</v>
      </c>
      <c r="AA3274">
        <v>0.99970539999999997</v>
      </c>
      <c r="AB3274">
        <v>24</v>
      </c>
      <c r="AC3274">
        <v>22.060299999999899</v>
      </c>
      <c r="AD3274">
        <v>-1.1039481584299999</v>
      </c>
      <c r="AE3274">
        <v>-1.3564000000000001</v>
      </c>
      <c r="AF3274">
        <v>0.54002384184012797</v>
      </c>
      <c r="AG3274">
        <v>-1.1039481584299999</v>
      </c>
      <c r="AH3274">
        <v>22.0403429925897</v>
      </c>
      <c r="AI3274">
        <v>92.866553637786396</v>
      </c>
      <c r="AJ3274">
        <v>88.596442096881304</v>
      </c>
      <c r="AK3274">
        <v>22.074579192302998</v>
      </c>
    </row>
    <row r="3275" spans="1:37" x14ac:dyDescent="0.2">
      <c r="A3275" t="str">
        <f>"20200111155610190"</f>
        <v>20200111155610190</v>
      </c>
      <c r="B3275" t="str">
        <f>"1578729370185638"</f>
        <v>1578729370185638</v>
      </c>
      <c r="C3275" t="s">
        <v>37</v>
      </c>
      <c r="D3275">
        <v>5.2402009999999999</v>
      </c>
      <c r="E3275">
        <v>0.53141660000000002</v>
      </c>
      <c r="F3275" t="s">
        <v>61</v>
      </c>
      <c r="G3275">
        <v>-429.87610000000001</v>
      </c>
      <c r="H3275" s="1">
        <v>2.3520559999999999E-6</v>
      </c>
      <c r="I3275">
        <v>213.02279999999999</v>
      </c>
      <c r="J3275">
        <v>-452.93470000000002</v>
      </c>
      <c r="K3275">
        <v>1.1039239999999999</v>
      </c>
      <c r="L3275">
        <v>214.4742</v>
      </c>
      <c r="M3275">
        <v>0.99932359999999898</v>
      </c>
      <c r="N3275">
        <v>0</v>
      </c>
      <c r="O3275">
        <v>-3.6607430000000003E-2</v>
      </c>
      <c r="P3275">
        <v>0.9995579</v>
      </c>
      <c r="Q3275">
        <v>2.498212E-2</v>
      </c>
      <c r="R3275">
        <v>1.6129979999999999E-2</v>
      </c>
      <c r="S3275">
        <v>3.0075989999999999</v>
      </c>
      <c r="T3275">
        <v>-0.1425062</v>
      </c>
      <c r="U3275">
        <v>-0.188461299999999</v>
      </c>
      <c r="V3275">
        <v>-5.2722209999999999E-2</v>
      </c>
      <c r="W3275">
        <v>2.8457440000000001E-2</v>
      </c>
      <c r="X3275">
        <v>0.99820359999999997</v>
      </c>
      <c r="Y3275">
        <v>2.5973010000000001E-2</v>
      </c>
      <c r="Z3275">
        <v>1.116711E-3</v>
      </c>
      <c r="AA3275">
        <v>0.99966200000000005</v>
      </c>
      <c r="AB3275">
        <v>24</v>
      </c>
      <c r="AC3275">
        <v>23.058599999999998</v>
      </c>
      <c r="AD3275">
        <v>-1.1039216479439999</v>
      </c>
      <c r="AE3275">
        <v>-1.4514</v>
      </c>
      <c r="AF3275">
        <v>0.60492489412964001</v>
      </c>
      <c r="AG3275">
        <v>-1.1039216479439999</v>
      </c>
      <c r="AH3275">
        <v>23.043669340948899</v>
      </c>
      <c r="AI3275">
        <v>92.741750852416601</v>
      </c>
      <c r="AJ3275">
        <v>88.496260100997802</v>
      </c>
      <c r="AK3275">
        <v>23.078025778374599</v>
      </c>
    </row>
    <row r="3276" spans="1:37" x14ac:dyDescent="0.2">
      <c r="A3276" t="str">
        <f>"20200111155610212"</f>
        <v>20200111155610212</v>
      </c>
      <c r="B3276" t="str">
        <f>"1578729370207110"</f>
        <v>1578729370207110</v>
      </c>
      <c r="C3276" t="s">
        <v>37</v>
      </c>
      <c r="D3276">
        <v>5.2935939999999997</v>
      </c>
      <c r="E3276">
        <v>0.53188250000000004</v>
      </c>
      <c r="F3276" t="s">
        <v>61</v>
      </c>
      <c r="G3276">
        <v>-429.03199999999998</v>
      </c>
      <c r="H3276" s="1">
        <v>2.5059200000000001E-6</v>
      </c>
      <c r="I3276">
        <v>212.97550000000001</v>
      </c>
      <c r="J3276">
        <v>-452.68970000000002</v>
      </c>
      <c r="K3276">
        <v>1.1038920000000001</v>
      </c>
      <c r="L3276">
        <v>214.46549999999999</v>
      </c>
      <c r="M3276">
        <v>0.99933669999999997</v>
      </c>
      <c r="N3276">
        <v>0</v>
      </c>
      <c r="O3276">
        <v>-3.6287920000000001E-2</v>
      </c>
      <c r="P3276">
        <v>0.99954349999999903</v>
      </c>
      <c r="Q3276">
        <v>2.5030119999999999E-2</v>
      </c>
      <c r="R3276">
        <v>1.6922590000000001E-2</v>
      </c>
      <c r="S3276">
        <v>3.0077820000000002</v>
      </c>
      <c r="T3276">
        <v>-0.13891120000000001</v>
      </c>
      <c r="U3276">
        <v>-0.18858339999999901</v>
      </c>
      <c r="V3276">
        <v>-5.3195390000000002E-2</v>
      </c>
      <c r="W3276">
        <v>2.810329E-2</v>
      </c>
      <c r="X3276">
        <v>0.99818859999999998</v>
      </c>
      <c r="Y3276">
        <v>2.6327980000000001E-2</v>
      </c>
      <c r="Z3276">
        <v>1.0655980000000001E-3</v>
      </c>
      <c r="AA3276">
        <v>0.99965280000000001</v>
      </c>
      <c r="AB3276">
        <v>24</v>
      </c>
      <c r="AC3276">
        <v>23.657699999999998</v>
      </c>
      <c r="AD3276">
        <v>-1.1038894940799999</v>
      </c>
      <c r="AE3276">
        <v>-1.48999999999998</v>
      </c>
      <c r="AF3276">
        <v>0.62916148189762899</v>
      </c>
      <c r="AG3276">
        <v>-1.1038894940799999</v>
      </c>
      <c r="AH3276">
        <v>23.644910364572802</v>
      </c>
      <c r="AI3276">
        <v>92.672033267070702</v>
      </c>
      <c r="AJ3276">
        <v>88.475790650216297</v>
      </c>
      <c r="AK3276">
        <v>23.679024522435999</v>
      </c>
    </row>
    <row r="3277" spans="1:37" x14ac:dyDescent="0.2">
      <c r="A3277" t="str">
        <f>"20200111155610235"</f>
        <v>20200111155610235</v>
      </c>
      <c r="B3277" t="str">
        <f>"1578729370225655"</f>
        <v>1578729370225655</v>
      </c>
      <c r="C3277" t="s">
        <v>37</v>
      </c>
      <c r="D3277">
        <v>5.1770149999999999</v>
      </c>
      <c r="E3277">
        <v>0.53203710000000004</v>
      </c>
      <c r="F3277" t="s">
        <v>61</v>
      </c>
      <c r="G3277">
        <v>-428.44589999999999</v>
      </c>
      <c r="H3277" s="1">
        <v>2.6136369999999998E-6</v>
      </c>
      <c r="I3277">
        <v>212.93260000000001</v>
      </c>
      <c r="J3277">
        <v>-452.44619999999998</v>
      </c>
      <c r="K3277">
        <v>1.103858</v>
      </c>
      <c r="L3277">
        <v>214.45699999999999</v>
      </c>
      <c r="M3277">
        <v>0.9993495</v>
      </c>
      <c r="N3277">
        <v>0</v>
      </c>
      <c r="O3277">
        <v>-3.5959850000000002E-2</v>
      </c>
      <c r="P3277">
        <v>0.99951100000000004</v>
      </c>
      <c r="Q3277">
        <v>2.5654380000000001E-2</v>
      </c>
      <c r="R3277">
        <v>1.787644E-2</v>
      </c>
      <c r="S3277">
        <v>3.008057</v>
      </c>
      <c r="T3277">
        <v>-0.13696549999999999</v>
      </c>
      <c r="U3277">
        <v>-0.190200799999999</v>
      </c>
      <c r="V3277">
        <v>-5.3820430000000002E-2</v>
      </c>
      <c r="W3277">
        <v>2.8352099999999901E-2</v>
      </c>
      <c r="X3277">
        <v>0.99814799999999904</v>
      </c>
      <c r="Y3277">
        <v>2.7184349999999999E-2</v>
      </c>
      <c r="Z3277">
        <v>1.0162019999999999E-3</v>
      </c>
      <c r="AA3277">
        <v>0.99962989999999996</v>
      </c>
      <c r="AB3277">
        <v>24</v>
      </c>
      <c r="AC3277">
        <v>24.0002999999999</v>
      </c>
      <c r="AD3277">
        <v>-1.1038553863630001</v>
      </c>
      <c r="AE3277">
        <v>-1.52439999999998</v>
      </c>
      <c r="AF3277">
        <v>0.65897526460645695</v>
      </c>
      <c r="AG3277">
        <v>-1.1038553863630001</v>
      </c>
      <c r="AH3277">
        <v>23.989052373333799</v>
      </c>
      <c r="AI3277">
        <v>92.633612744269897</v>
      </c>
      <c r="AJ3277">
        <v>88.4264902064117</v>
      </c>
      <c r="AK3277">
        <v>24.023475578773301</v>
      </c>
    </row>
    <row r="3278" spans="1:37" x14ac:dyDescent="0.2">
      <c r="A3278" t="str">
        <f>"20200111155610259"</f>
        <v>20200111155610259</v>
      </c>
      <c r="B3278" t="str">
        <f>"1578729370255910"</f>
        <v>1578729370255910</v>
      </c>
      <c r="C3278" t="s">
        <v>37</v>
      </c>
      <c r="D3278">
        <v>5.1591889999999996</v>
      </c>
      <c r="E3278">
        <v>0.53263579999999999</v>
      </c>
      <c r="F3278" t="s">
        <v>61</v>
      </c>
      <c r="G3278">
        <v>-427.7953</v>
      </c>
      <c r="H3278" s="1">
        <v>2.7309049999999999E-6</v>
      </c>
      <c r="I3278">
        <v>212.91130000000001</v>
      </c>
      <c r="J3278">
        <v>-452.17840000000001</v>
      </c>
      <c r="K3278">
        <v>1.103818</v>
      </c>
      <c r="L3278">
        <v>214.4478</v>
      </c>
      <c r="M3278">
        <v>0.99936369999999897</v>
      </c>
      <c r="N3278">
        <v>0</v>
      </c>
      <c r="O3278">
        <v>-3.5594309999999997E-2</v>
      </c>
      <c r="P3278">
        <v>0.99945620000000002</v>
      </c>
      <c r="Q3278">
        <v>2.7056980000000001E-2</v>
      </c>
      <c r="R3278">
        <v>1.8862009999999998E-2</v>
      </c>
      <c r="S3278">
        <v>3.0083009999999999</v>
      </c>
      <c r="T3278">
        <v>-0.13471029999999901</v>
      </c>
      <c r="U3278">
        <v>-0.1886292</v>
      </c>
      <c r="V3278">
        <v>-5.4439929999999997E-2</v>
      </c>
      <c r="W3278">
        <v>2.9367339999999999E-2</v>
      </c>
      <c r="X3278">
        <v>0.99808509999999995</v>
      </c>
      <c r="Y3278">
        <v>2.702423E-2</v>
      </c>
      <c r="Z3278">
        <v>9.8667599999999992E-4</v>
      </c>
      <c r="AA3278">
        <v>0.99963429999999998</v>
      </c>
      <c r="AB3278">
        <v>24</v>
      </c>
      <c r="AC3278">
        <v>24.383099999999999</v>
      </c>
      <c r="AD3278">
        <v>-1.1038152690950001</v>
      </c>
      <c r="AE3278">
        <v>-1.53649999999998</v>
      </c>
      <c r="AF3278">
        <v>0.66626444922674699</v>
      </c>
      <c r="AG3278">
        <v>-1.1038152690950001</v>
      </c>
      <c r="AH3278">
        <v>24.372589402408401</v>
      </c>
      <c r="AI3278">
        <v>92.592141481264406</v>
      </c>
      <c r="AJ3278">
        <v>88.434116476362902</v>
      </c>
      <c r="AK3278">
        <v>24.406667749674099</v>
      </c>
    </row>
    <row r="3279" spans="1:37" x14ac:dyDescent="0.2">
      <c r="A3279" t="str">
        <f>"20200111155610280"</f>
        <v>20200111155610280</v>
      </c>
      <c r="B3279" t="str">
        <f>"1578729370275430"</f>
        <v>1578729370275430</v>
      </c>
      <c r="C3279" t="s">
        <v>37</v>
      </c>
      <c r="D3279">
        <v>5.1541370000000004</v>
      </c>
      <c r="E3279">
        <v>0.53297729999999999</v>
      </c>
      <c r="F3279" t="s">
        <v>61</v>
      </c>
      <c r="G3279">
        <v>-426.69650000000001</v>
      </c>
      <c r="H3279" s="1">
        <v>2.9325229999999999E-6</v>
      </c>
      <c r="I3279">
        <v>212.83439999999999</v>
      </c>
      <c r="J3279">
        <v>-451.9443</v>
      </c>
      <c r="K3279">
        <v>1.103783</v>
      </c>
      <c r="L3279">
        <v>214.43969999999999</v>
      </c>
      <c r="M3279">
        <v>0.99937559999999903</v>
      </c>
      <c r="N3279">
        <v>0</v>
      </c>
      <c r="O3279">
        <v>-3.527338E-2</v>
      </c>
      <c r="P3279">
        <v>0.99944379999999999</v>
      </c>
      <c r="Q3279">
        <v>2.73312E-2</v>
      </c>
      <c r="R3279">
        <v>1.9108320000000002E-2</v>
      </c>
      <c r="S3279">
        <v>3.0087280000000001</v>
      </c>
      <c r="T3279">
        <v>-0.130331</v>
      </c>
      <c r="U3279">
        <v>-0.19049070000000001</v>
      </c>
      <c r="V3279">
        <v>-5.4365289999999997E-2</v>
      </c>
      <c r="W3279">
        <v>2.9327780000000001E-2</v>
      </c>
      <c r="X3279">
        <v>0.99809029999999999</v>
      </c>
      <c r="Y3279">
        <v>2.7950740000000002E-2</v>
      </c>
      <c r="Z3279">
        <v>9.2056679999999902E-4</v>
      </c>
      <c r="AA3279">
        <v>0.99960890000000002</v>
      </c>
      <c r="AB3279">
        <v>25</v>
      </c>
      <c r="AC3279">
        <v>25.247799999999899</v>
      </c>
      <c r="AD3279">
        <v>-1.103780067477</v>
      </c>
      <c r="AE3279">
        <v>-1.60529999999999</v>
      </c>
      <c r="AF3279">
        <v>0.71236787275490099</v>
      </c>
      <c r="AG3279">
        <v>-1.103780067477</v>
      </c>
      <c r="AH3279">
        <v>25.240665679340299</v>
      </c>
      <c r="AI3279">
        <v>92.502966795242102</v>
      </c>
      <c r="AJ3279">
        <v>88.383369076999202</v>
      </c>
      <c r="AK3279">
        <v>25.2748294229599</v>
      </c>
    </row>
    <row r="3280" spans="1:37" x14ac:dyDescent="0.2">
      <c r="A3280" t="str">
        <f>"20200111155610302"</f>
        <v>20200111155610302</v>
      </c>
      <c r="B3280" t="str">
        <f>"1578729370295926"</f>
        <v>1578729370295926</v>
      </c>
      <c r="C3280" t="s">
        <v>37</v>
      </c>
      <c r="D3280">
        <v>5.1194620000000004</v>
      </c>
      <c r="E3280">
        <v>0.53325310000000004</v>
      </c>
      <c r="F3280" t="s">
        <v>61</v>
      </c>
      <c r="G3280">
        <v>-426.416</v>
      </c>
      <c r="H3280" s="1">
        <v>2.9848089999999998E-6</v>
      </c>
      <c r="I3280">
        <v>212.8056</v>
      </c>
      <c r="J3280">
        <v>-451.69529999999997</v>
      </c>
      <c r="K3280">
        <v>1.103737</v>
      </c>
      <c r="L3280">
        <v>214.43129999999999</v>
      </c>
      <c r="M3280">
        <v>0.99938819999999995</v>
      </c>
      <c r="N3280">
        <v>0</v>
      </c>
      <c r="O3280">
        <v>-3.4933779999999998E-2</v>
      </c>
      <c r="P3280">
        <v>0.99946190000000001</v>
      </c>
      <c r="Q3280">
        <v>2.6993449999999999E-2</v>
      </c>
      <c r="R3280">
        <v>1.8635780000000001E-2</v>
      </c>
      <c r="S3280">
        <v>3.0088810000000001</v>
      </c>
      <c r="T3280">
        <v>-0.1300964</v>
      </c>
      <c r="U3280">
        <v>-0.1926117</v>
      </c>
      <c r="V3280">
        <v>-5.3554350000000001E-2</v>
      </c>
      <c r="W3280">
        <v>2.8680029999999999E-2</v>
      </c>
      <c r="X3280">
        <v>0.99815299999999996</v>
      </c>
      <c r="Y3280">
        <v>2.8987700000000002E-2</v>
      </c>
      <c r="Z3280">
        <v>8.8180780000000002E-4</v>
      </c>
      <c r="AA3280">
        <v>0.99957940000000001</v>
      </c>
      <c r="AB3280">
        <v>25</v>
      </c>
      <c r="AC3280">
        <v>25.2792999999999</v>
      </c>
      <c r="AD3280">
        <v>-1.103734015191</v>
      </c>
      <c r="AE3280">
        <v>-1.6256999999999899</v>
      </c>
      <c r="AF3280">
        <v>0.74019969589354095</v>
      </c>
      <c r="AG3280">
        <v>-1.103734015191</v>
      </c>
      <c r="AH3280">
        <v>25.272682419367001</v>
      </c>
      <c r="AI3280">
        <v>92.499619339525097</v>
      </c>
      <c r="AJ3280">
        <v>88.322370481756906</v>
      </c>
      <c r="AK3280">
        <v>25.3075996695908</v>
      </c>
    </row>
    <row r="3281" spans="1:37" x14ac:dyDescent="0.2">
      <c r="A3281" t="str">
        <f>"20200111155610324"</f>
        <v>20200111155610324</v>
      </c>
      <c r="B3281" t="str">
        <f>"1578729370315447"</f>
        <v>1578729370315447</v>
      </c>
      <c r="C3281" t="s">
        <v>37</v>
      </c>
      <c r="D3281">
        <v>5.0816369999999997</v>
      </c>
      <c r="E3281">
        <v>0.53330119999999903</v>
      </c>
      <c r="F3281" t="s">
        <v>61</v>
      </c>
      <c r="G3281">
        <v>-426.43329999999997</v>
      </c>
      <c r="H3281" s="1">
        <v>2.9837069999999999E-6</v>
      </c>
      <c r="I3281">
        <v>212.78309999999999</v>
      </c>
      <c r="J3281">
        <v>-451.44729999999998</v>
      </c>
      <c r="K3281">
        <v>1.1036969999999999</v>
      </c>
      <c r="L3281">
        <v>214.423</v>
      </c>
      <c r="M3281">
        <v>0.99940039999999997</v>
      </c>
      <c r="N3281">
        <v>0</v>
      </c>
      <c r="O3281">
        <v>-3.4597469999999998E-2</v>
      </c>
      <c r="P3281">
        <v>0.99949880000000002</v>
      </c>
      <c r="Q3281">
        <v>2.6481859999999999E-2</v>
      </c>
      <c r="R3281">
        <v>1.7353750000000001E-2</v>
      </c>
      <c r="S3281">
        <v>3.0088200000000001</v>
      </c>
      <c r="T3281">
        <v>-0.13145960000000001</v>
      </c>
      <c r="U3281">
        <v>-0.19630429999999999</v>
      </c>
      <c r="V3281">
        <v>-5.1938150000000002E-2</v>
      </c>
      <c r="W3281">
        <v>2.7880700000000001E-2</v>
      </c>
      <c r="X3281">
        <v>0.99826099999999995</v>
      </c>
      <c r="Y3281">
        <v>3.0545320000000001E-2</v>
      </c>
      <c r="Z3281">
        <v>8.423813E-4</v>
      </c>
      <c r="AA3281">
        <v>0.99953309999999995</v>
      </c>
      <c r="AB3281">
        <v>25</v>
      </c>
      <c r="AC3281">
        <v>25.013999999999999</v>
      </c>
      <c r="AD3281">
        <v>-1.103694016293</v>
      </c>
      <c r="AE3281">
        <v>-1.6399000000000099</v>
      </c>
      <c r="AF3281">
        <v>0.77199978820982595</v>
      </c>
      <c r="AG3281">
        <v>-1.103694016293</v>
      </c>
      <c r="AH3281">
        <v>25.007284323720299</v>
      </c>
      <c r="AI3281">
        <v>92.525901795573802</v>
      </c>
      <c r="AJ3281">
        <v>88.231783759569097</v>
      </c>
      <c r="AK3281">
        <v>25.043529970872399</v>
      </c>
    </row>
    <row r="3282" spans="1:37" x14ac:dyDescent="0.2">
      <c r="A3282" t="str">
        <f>"20200111155610346"</f>
        <v>20200111155610346</v>
      </c>
      <c r="B3282" t="str">
        <f>"1578729370335943"</f>
        <v>1578729370335943</v>
      </c>
      <c r="C3282" t="s">
        <v>37</v>
      </c>
      <c r="D3282">
        <v>5.0938530000000002</v>
      </c>
      <c r="E3282">
        <v>0.5335529</v>
      </c>
      <c r="F3282" t="s">
        <v>61</v>
      </c>
      <c r="G3282">
        <v>-426.41059999999999</v>
      </c>
      <c r="H3282" s="1">
        <v>2.9903139999999999E-6</v>
      </c>
      <c r="I3282">
        <v>212.7535</v>
      </c>
      <c r="J3282">
        <v>-451.19670000000002</v>
      </c>
      <c r="K3282">
        <v>1.1036589999999999</v>
      </c>
      <c r="L3282">
        <v>214.41460000000001</v>
      </c>
      <c r="M3282">
        <v>0.99941250000000004</v>
      </c>
      <c r="N3282">
        <v>0</v>
      </c>
      <c r="O3282">
        <v>-3.4260239999999997E-2</v>
      </c>
      <c r="P3282">
        <v>0.99953250000000005</v>
      </c>
      <c r="Q3282">
        <v>2.5933700000000001E-2</v>
      </c>
      <c r="R3282">
        <v>1.6204219999999998E-2</v>
      </c>
      <c r="S3282">
        <v>3.0084840000000002</v>
      </c>
      <c r="T3282">
        <v>-0.1326234</v>
      </c>
      <c r="U3282">
        <v>-0.20060729999999999</v>
      </c>
      <c r="V3282">
        <v>-5.0453129999999999E-2</v>
      </c>
      <c r="W3282">
        <v>2.7063710000000001E-2</v>
      </c>
      <c r="X3282">
        <v>0.99835969999999996</v>
      </c>
      <c r="Y3282">
        <v>3.231125E-2</v>
      </c>
      <c r="Z3282">
        <v>7.9618709999999999E-4</v>
      </c>
      <c r="AA3282">
        <v>0.99947759999999997</v>
      </c>
      <c r="AB3282">
        <v>25</v>
      </c>
      <c r="AC3282">
        <v>24.786100000000001</v>
      </c>
      <c r="AD3282">
        <v>-1.103656009686</v>
      </c>
      <c r="AE3282">
        <v>-1.6611</v>
      </c>
      <c r="AF3282">
        <v>0.80934923040025697</v>
      </c>
      <c r="AG3282">
        <v>-1.103656009686</v>
      </c>
      <c r="AH3282">
        <v>24.779548840965401</v>
      </c>
      <c r="AI3282">
        <v>92.548853172882502</v>
      </c>
      <c r="AJ3282">
        <v>88.129271205460697</v>
      </c>
      <c r="AK3282">
        <v>24.817315397243402</v>
      </c>
    </row>
    <row r="3283" spans="1:37" x14ac:dyDescent="0.2">
      <c r="A3283" t="str">
        <f>"20200111155610368"</f>
        <v>20200111155610368</v>
      </c>
      <c r="B3283" t="str">
        <f>"1578729370355463"</f>
        <v>1578729370355463</v>
      </c>
      <c r="C3283" t="s">
        <v>37</v>
      </c>
      <c r="D3283">
        <v>5.1453860000000002</v>
      </c>
      <c r="E3283">
        <v>0.53386709999999904</v>
      </c>
      <c r="F3283" t="s">
        <v>61</v>
      </c>
      <c r="G3283">
        <v>-426.42570000000001</v>
      </c>
      <c r="H3283" s="1">
        <v>2.990714E-6</v>
      </c>
      <c r="I3283">
        <v>212.7184</v>
      </c>
      <c r="J3283">
        <v>-450.94470000000001</v>
      </c>
      <c r="K3283">
        <v>1.1036219999999901</v>
      </c>
      <c r="L3283">
        <v>214.40629999999999</v>
      </c>
      <c r="M3283">
        <v>0.99942419999999998</v>
      </c>
      <c r="N3283">
        <v>0</v>
      </c>
      <c r="O3283">
        <v>-3.3923300000000003E-2</v>
      </c>
      <c r="P3283">
        <v>0.99955629999999995</v>
      </c>
      <c r="Q3283">
        <v>2.526111E-2</v>
      </c>
      <c r="R3283">
        <v>1.5784309999999999E-2</v>
      </c>
      <c r="S3283">
        <v>3.0081790000000002</v>
      </c>
      <c r="T3283">
        <v>-0.1340276</v>
      </c>
      <c r="U3283">
        <v>-0.2059937</v>
      </c>
      <c r="V3283">
        <v>-4.9697399999999899E-2</v>
      </c>
      <c r="W3283">
        <v>2.6144210000000001E-2</v>
      </c>
      <c r="X3283">
        <v>0.99842209999999998</v>
      </c>
      <c r="Y3283">
        <v>3.4433989999999998E-2</v>
      </c>
      <c r="Z3283">
        <v>7.4244759999999904E-4</v>
      </c>
      <c r="AA3283">
        <v>0.99940669999999898</v>
      </c>
      <c r="AB3283">
        <v>26</v>
      </c>
      <c r="AC3283">
        <v>24.518999999999998</v>
      </c>
      <c r="AD3283">
        <v>-1.1036190092859901</v>
      </c>
      <c r="AE3283">
        <v>-1.68789999999998</v>
      </c>
      <c r="AF3283">
        <v>0.85344202701086702</v>
      </c>
      <c r="AG3283">
        <v>-1.1036190092859901</v>
      </c>
      <c r="AH3283">
        <v>24.512719195247001</v>
      </c>
      <c r="AI3283">
        <v>92.576288093318595</v>
      </c>
      <c r="AJ3283">
        <v>88.005978761918399</v>
      </c>
      <c r="AK3283">
        <v>24.552387675258</v>
      </c>
    </row>
    <row r="3284" spans="1:37" x14ac:dyDescent="0.2">
      <c r="A3284" t="str">
        <f>"20200111155610390"</f>
        <v>20200111155610390</v>
      </c>
      <c r="B3284" t="str">
        <f>"1578729370385719"</f>
        <v>1578729370385719</v>
      </c>
      <c r="C3284" t="s">
        <v>37</v>
      </c>
      <c r="D3284">
        <v>5.038964</v>
      </c>
      <c r="E3284">
        <v>0.53426660000000004</v>
      </c>
      <c r="F3284" t="s">
        <v>61</v>
      </c>
      <c r="G3284">
        <v>-426.43</v>
      </c>
      <c r="H3284" s="1">
        <v>2.992057E-6</v>
      </c>
      <c r="I3284">
        <v>212.6943</v>
      </c>
      <c r="J3284">
        <v>-450.68419999999998</v>
      </c>
      <c r="K3284">
        <v>1.103588</v>
      </c>
      <c r="L3284">
        <v>214.39779999999999</v>
      </c>
      <c r="M3284">
        <v>0.99943599999999999</v>
      </c>
      <c r="N3284">
        <v>0</v>
      </c>
      <c r="O3284">
        <v>-3.3577089999999997E-2</v>
      </c>
      <c r="P3284">
        <v>0.99956929999999999</v>
      </c>
      <c r="Q3284">
        <v>2.464941E-2</v>
      </c>
      <c r="R3284">
        <v>1.5938419999999998E-2</v>
      </c>
      <c r="S3284">
        <v>3.0080259999999899</v>
      </c>
      <c r="T3284">
        <v>-0.13541710000000001</v>
      </c>
      <c r="U3284">
        <v>-0.2100677</v>
      </c>
      <c r="V3284">
        <v>-4.950566E-2</v>
      </c>
      <c r="W3284">
        <v>2.5303829999999999E-2</v>
      </c>
      <c r="X3284">
        <v>0.99845329999999999</v>
      </c>
      <c r="Y3284">
        <v>3.6128710000000001E-2</v>
      </c>
      <c r="Z3284">
        <v>6.9650639999999998E-4</v>
      </c>
      <c r="AA3284">
        <v>0.99934690000000004</v>
      </c>
      <c r="AB3284">
        <v>26</v>
      </c>
      <c r="AC3284">
        <v>24.254199999999901</v>
      </c>
      <c r="AD3284">
        <v>-1.1035850079430001</v>
      </c>
      <c r="AE3284">
        <v>-1.70349999999999</v>
      </c>
      <c r="AF3284">
        <v>0.886327909884982</v>
      </c>
      <c r="AG3284">
        <v>-1.1035850079430001</v>
      </c>
      <c r="AH3284">
        <v>24.247768135699999</v>
      </c>
      <c r="AI3284">
        <v>92.604159092195403</v>
      </c>
      <c r="AJ3284">
        <v>87.906601176118301</v>
      </c>
      <c r="AK3284">
        <v>24.2890456090038</v>
      </c>
    </row>
    <row r="3285" spans="1:37" x14ac:dyDescent="0.2">
      <c r="A3285" t="str">
        <f>"20200111155610426"</f>
        <v>20200111155610426</v>
      </c>
      <c r="B3285" t="str">
        <f>"1578729370415974"</f>
        <v>1578729370415974</v>
      </c>
      <c r="C3285" t="s">
        <v>37</v>
      </c>
      <c r="D3285">
        <v>5.0701910000000003</v>
      </c>
      <c r="E3285">
        <v>0.53422729999999996</v>
      </c>
      <c r="F3285" t="s">
        <v>61</v>
      </c>
      <c r="G3285">
        <v>-426.42899999999997</v>
      </c>
      <c r="H3285" s="1">
        <v>2.993209E-6</v>
      </c>
      <c r="I3285">
        <v>212.6831</v>
      </c>
      <c r="J3285">
        <v>-450.26889999999997</v>
      </c>
      <c r="K3285">
        <v>1.1035459999999999</v>
      </c>
      <c r="L3285">
        <v>214.3845</v>
      </c>
      <c r="M3285">
        <v>0.99945439999999997</v>
      </c>
      <c r="N3285">
        <v>0</v>
      </c>
      <c r="O3285">
        <v>-3.3028009999999997E-2</v>
      </c>
      <c r="P3285">
        <v>0.99953289999999995</v>
      </c>
      <c r="Q3285">
        <v>2.512723E-2</v>
      </c>
      <c r="R3285">
        <v>1.7400889999999999E-2</v>
      </c>
      <c r="S3285">
        <v>3.00808699999999</v>
      </c>
      <c r="T3285">
        <v>-0.13686489999999901</v>
      </c>
      <c r="U3285">
        <v>-0.21266170000000001</v>
      </c>
      <c r="V3285">
        <v>-5.04181E-2</v>
      </c>
      <c r="W3285">
        <v>2.547543E-2</v>
      </c>
      <c r="X3285">
        <v>0.99840329999999999</v>
      </c>
      <c r="Y3285">
        <v>3.7531759999999997E-2</v>
      </c>
      <c r="Z3285">
        <v>6.4712859999999995E-4</v>
      </c>
      <c r="AA3285">
        <v>0.99929519999999905</v>
      </c>
      <c r="AB3285">
        <v>26</v>
      </c>
      <c r="AC3285">
        <v>23.839899999999901</v>
      </c>
      <c r="AD3285">
        <v>-1.1035430067909999</v>
      </c>
      <c r="AE3285">
        <v>-1.7014</v>
      </c>
      <c r="AF3285">
        <v>0.91114483097844601</v>
      </c>
      <c r="AG3285">
        <v>-1.1035430067909999</v>
      </c>
      <c r="AH3285">
        <v>23.832279817847201</v>
      </c>
      <c r="AI3285">
        <v>92.649228952047196</v>
      </c>
      <c r="AJ3285">
        <v>87.8105602577334</v>
      </c>
      <c r="AK3285">
        <v>23.875207923430199</v>
      </c>
    </row>
    <row r="3286" spans="1:37" x14ac:dyDescent="0.2">
      <c r="A3286" t="str">
        <f>"20200111155610448"</f>
        <v>20200111155610448</v>
      </c>
      <c r="B3286" t="str">
        <f>"1578729370435494"</f>
        <v>1578729370435494</v>
      </c>
      <c r="C3286" t="s">
        <v>37</v>
      </c>
      <c r="D3286">
        <v>5.1640189999999997</v>
      </c>
      <c r="E3286">
        <v>0.50666309999999903</v>
      </c>
      <c r="F3286" t="s">
        <v>61</v>
      </c>
      <c r="G3286">
        <v>-425.8442</v>
      </c>
      <c r="H3286" s="1">
        <v>3.09584099999999E-6</v>
      </c>
      <c r="I3286">
        <v>212.69569999999999</v>
      </c>
      <c r="J3286">
        <v>-450.00850000000003</v>
      </c>
      <c r="K3286">
        <v>1.1035250000000001</v>
      </c>
      <c r="L3286">
        <v>214.37629999999999</v>
      </c>
      <c r="M3286">
        <v>0.99946569999999901</v>
      </c>
      <c r="N3286">
        <v>0</v>
      </c>
      <c r="O3286">
        <v>-3.2685190000000003E-2</v>
      </c>
      <c r="P3286">
        <v>0.99947710000000001</v>
      </c>
      <c r="Q3286">
        <v>2.6214959999999999E-2</v>
      </c>
      <c r="R3286">
        <v>1.8931460000000001E-2</v>
      </c>
      <c r="S3286">
        <v>3.0084230000000001</v>
      </c>
      <c r="T3286">
        <v>-0.13592489999999999</v>
      </c>
      <c r="U3286">
        <v>-0.20800779999999999</v>
      </c>
      <c r="V3286">
        <v>-5.1604150000000001E-2</v>
      </c>
      <c r="W3286">
        <v>2.6406860000000001E-2</v>
      </c>
      <c r="X3286">
        <v>0.99831840000000005</v>
      </c>
      <c r="Y3286">
        <v>3.6329229999999997E-2</v>
      </c>
      <c r="Z3286">
        <v>6.543327E-4</v>
      </c>
      <c r="AA3286">
        <v>0.99933959999999999</v>
      </c>
      <c r="AB3286">
        <v>26</v>
      </c>
      <c r="AC3286">
        <v>24.164300000000001</v>
      </c>
      <c r="AD3286">
        <v>-1.1035219041590001</v>
      </c>
      <c r="AE3286">
        <v>-1.6805999999999901</v>
      </c>
      <c r="AF3286">
        <v>0.88804420058185696</v>
      </c>
      <c r="AG3286">
        <v>-1.1035219041590001</v>
      </c>
      <c r="AH3286">
        <v>24.156184064013502</v>
      </c>
      <c r="AI3286">
        <v>92.613849354106307</v>
      </c>
      <c r="AJ3286">
        <v>87.894606144652101</v>
      </c>
      <c r="AK3286">
        <v>24.1976778148161</v>
      </c>
    </row>
    <row r="3287" spans="1:37" x14ac:dyDescent="0.2">
      <c r="A3287" t="str">
        <f>"20200111155610470"</f>
        <v>20200111155610470</v>
      </c>
      <c r="B3287" t="str">
        <f>"1578729370465750"</f>
        <v>1578729370465750</v>
      </c>
      <c r="C3287" t="s">
        <v>37</v>
      </c>
      <c r="D3287">
        <v>5.0456890000000003</v>
      </c>
      <c r="E3287">
        <v>0.50678999999999996</v>
      </c>
      <c r="F3287" t="s">
        <v>61</v>
      </c>
      <c r="G3287">
        <v>-428.12290000000002</v>
      </c>
      <c r="H3287" s="1">
        <v>2.5333299999999999E-6</v>
      </c>
      <c r="I3287">
        <v>214.50659999999999</v>
      </c>
      <c r="J3287">
        <v>-449.7328</v>
      </c>
      <c r="K3287">
        <v>1.1035079999999999</v>
      </c>
      <c r="L3287">
        <v>214.36760000000001</v>
      </c>
      <c r="M3287">
        <v>0.99947730000000001</v>
      </c>
      <c r="N3287">
        <v>0</v>
      </c>
      <c r="O3287">
        <v>-3.2327000000000002E-2</v>
      </c>
      <c r="P3287">
        <v>0.99943259999999901</v>
      </c>
      <c r="Q3287">
        <v>2.6683410000000001E-2</v>
      </c>
      <c r="R3287">
        <v>2.0558549999999998E-2</v>
      </c>
      <c r="S3287">
        <v>3.0052189999999999</v>
      </c>
      <c r="T3287">
        <v>-0.15152979999999899</v>
      </c>
      <c r="U3287">
        <v>1.7898560000000001E-2</v>
      </c>
      <c r="V3287">
        <v>-5.2871319999999999E-2</v>
      </c>
      <c r="W3287">
        <v>2.6738620000000001E-2</v>
      </c>
      <c r="X3287">
        <v>0.99824329999999994</v>
      </c>
      <c r="Y3287">
        <v>-3.8189460000000001E-2</v>
      </c>
      <c r="Z3287">
        <v>2.5909549999999998E-3</v>
      </c>
      <c r="AA3287">
        <v>0.99926719999999902</v>
      </c>
      <c r="AB3287">
        <v>27</v>
      </c>
      <c r="AC3287">
        <v>21.6098999999999</v>
      </c>
      <c r="AD3287">
        <v>-1.1035054666699999</v>
      </c>
      <c r="AE3287">
        <v>0.138999999999981</v>
      </c>
      <c r="AF3287">
        <v>-0.83533248509976699</v>
      </c>
      <c r="AG3287">
        <v>-1.1035054666699999</v>
      </c>
      <c r="AH3287">
        <v>21.537951682637299</v>
      </c>
      <c r="AI3287">
        <v>92.930807647914605</v>
      </c>
      <c r="AJ3287">
        <v>92.2210584584532</v>
      </c>
      <c r="AK3287">
        <v>21.582373997298099</v>
      </c>
    </row>
    <row r="3288" spans="1:37" x14ac:dyDescent="0.2">
      <c r="A3288" t="str">
        <f>"20200111155610492"</f>
        <v>20200111155610492</v>
      </c>
      <c r="B3288" t="str">
        <f>"1578729370486246"</f>
        <v>1578729370486246</v>
      </c>
      <c r="C3288" t="s">
        <v>37</v>
      </c>
      <c r="D3288">
        <v>5.0029139999999996</v>
      </c>
      <c r="E3288">
        <v>0.50700429999999996</v>
      </c>
      <c r="F3288" t="s">
        <v>61</v>
      </c>
      <c r="G3288">
        <v>-427.54250000000002</v>
      </c>
      <c r="H3288" s="1">
        <v>2.6344219999999999E-6</v>
      </c>
      <c r="I3288">
        <v>214.52780000000001</v>
      </c>
      <c r="J3288">
        <v>-449.46719999999999</v>
      </c>
      <c r="K3288">
        <v>1.103478</v>
      </c>
      <c r="L3288">
        <v>214.35939999999999</v>
      </c>
      <c r="M3288">
        <v>0.99948780000000004</v>
      </c>
      <c r="N3288">
        <v>0</v>
      </c>
      <c r="O3288">
        <v>-3.2003370000000003E-2</v>
      </c>
      <c r="P3288">
        <v>0.99940370000000001</v>
      </c>
      <c r="Q3288">
        <v>2.6990090000000001E-2</v>
      </c>
      <c r="R3288">
        <v>2.1545809999999999E-2</v>
      </c>
      <c r="S3288">
        <v>3.0052490000000001</v>
      </c>
      <c r="T3288">
        <v>-0.1494482</v>
      </c>
      <c r="U3288">
        <v>2.1697999999999999E-2</v>
      </c>
      <c r="V3288">
        <v>-5.3533619999999997E-2</v>
      </c>
      <c r="W3288">
        <v>2.694073E-2</v>
      </c>
      <c r="X3288">
        <v>0.99820259999999905</v>
      </c>
      <c r="Y3288">
        <v>-3.9130779999999997E-2</v>
      </c>
      <c r="Z3288">
        <v>2.5626910000000002E-3</v>
      </c>
      <c r="AA3288">
        <v>0.99923079999999997</v>
      </c>
      <c r="AB3288">
        <v>27</v>
      </c>
      <c r="AC3288">
        <v>21.924699999999898</v>
      </c>
      <c r="AD3288">
        <v>-1.1034753655779901</v>
      </c>
      <c r="AE3288">
        <v>0.16840000000001901</v>
      </c>
      <c r="AF3288">
        <v>-0.86777992565964601</v>
      </c>
      <c r="AG3288">
        <v>-1.1034753655779901</v>
      </c>
      <c r="AH3288">
        <v>21.852727350516901</v>
      </c>
      <c r="AI3288">
        <v>92.888479793428004</v>
      </c>
      <c r="AJ3288">
        <v>92.274041880767101</v>
      </c>
      <c r="AK3288">
        <v>21.897771405735401</v>
      </c>
    </row>
    <row r="3289" spans="1:37" x14ac:dyDescent="0.2">
      <c r="A3289" t="str">
        <f>"20200111155610515"</f>
        <v>20200111155610515</v>
      </c>
      <c r="B3289" t="str">
        <f>"1578729370505767"</f>
        <v>1578729370505767</v>
      </c>
      <c r="C3289" t="s">
        <v>37</v>
      </c>
      <c r="D3289">
        <v>5.1437599999999897</v>
      </c>
      <c r="E3289">
        <v>0.50722509999999998</v>
      </c>
      <c r="F3289" t="s">
        <v>61</v>
      </c>
      <c r="G3289">
        <v>-427.02179999999998</v>
      </c>
      <c r="H3289" s="1">
        <v>2.72637999999999E-6</v>
      </c>
      <c r="I3289">
        <v>214.5325</v>
      </c>
      <c r="J3289">
        <v>-449.18279999999999</v>
      </c>
      <c r="K3289">
        <v>1.1034200000000001</v>
      </c>
      <c r="L3289">
        <v>214.35059999999999</v>
      </c>
      <c r="M3289">
        <v>0.99949719999999997</v>
      </c>
      <c r="N3289">
        <v>0</v>
      </c>
      <c r="O3289">
        <v>-3.1708930000000003E-2</v>
      </c>
      <c r="P3289">
        <v>0.99943669999999996</v>
      </c>
      <c r="Q3289">
        <v>2.527836E-2</v>
      </c>
      <c r="R3289">
        <v>2.2076309999999998E-2</v>
      </c>
      <c r="S3289">
        <v>3.0053099999999899</v>
      </c>
      <c r="T3289">
        <v>-0.14774879999999899</v>
      </c>
      <c r="U3289">
        <v>2.3178099999999899E-2</v>
      </c>
      <c r="V3289">
        <v>-5.3768410000000003E-2</v>
      </c>
      <c r="W3289">
        <v>2.5144139999999999E-2</v>
      </c>
      <c r="X3289">
        <v>0.99823680000000004</v>
      </c>
      <c r="Y3289">
        <v>-3.9330480000000001E-2</v>
      </c>
      <c r="Z3289">
        <v>2.5239770000000002E-3</v>
      </c>
      <c r="AA3289">
        <v>0.99922310000000003</v>
      </c>
      <c r="AB3289">
        <v>27</v>
      </c>
      <c r="AC3289">
        <v>22.161000000000001</v>
      </c>
      <c r="AD3289">
        <v>-1.1034172736200001</v>
      </c>
      <c r="AE3289">
        <v>0.181900000000013</v>
      </c>
      <c r="AF3289">
        <v>-0.88232283673067302</v>
      </c>
      <c r="AG3289">
        <v>-1.1034172736200001</v>
      </c>
      <c r="AH3289">
        <v>22.089329561844199</v>
      </c>
      <c r="AI3289">
        <v>92.857415778788507</v>
      </c>
      <c r="AJ3289">
        <v>92.287372042350995</v>
      </c>
      <c r="AK3289">
        <v>22.134464162470799</v>
      </c>
    </row>
    <row r="3290" spans="1:37" x14ac:dyDescent="0.2">
      <c r="A3290" t="str">
        <f>"20200111155610536"</f>
        <v>20200111155610536</v>
      </c>
      <c r="B3290" t="str">
        <f>"1578729370526262"</f>
        <v>1578729370526262</v>
      </c>
      <c r="C3290" t="s">
        <v>37</v>
      </c>
      <c r="D3290">
        <v>5.1602290000000002</v>
      </c>
      <c r="E3290">
        <v>0.50730159999999902</v>
      </c>
      <c r="F3290" t="s">
        <v>61</v>
      </c>
      <c r="G3290">
        <v>-427.37310000000002</v>
      </c>
      <c r="H3290" s="1">
        <v>2.665225E-6</v>
      </c>
      <c r="I3290">
        <v>214.51910000000001</v>
      </c>
      <c r="J3290">
        <v>-448.93130000000002</v>
      </c>
      <c r="K3290">
        <v>1.103348</v>
      </c>
      <c r="L3290">
        <v>214.34289999999999</v>
      </c>
      <c r="M3290">
        <v>0.99950329999999998</v>
      </c>
      <c r="N3290">
        <v>0</v>
      </c>
      <c r="O3290">
        <v>-3.1515319999999999E-2</v>
      </c>
      <c r="P3290">
        <v>0.9994963</v>
      </c>
      <c r="Q3290">
        <v>2.1788129999999999E-2</v>
      </c>
      <c r="R3290">
        <v>2.3080969999999999E-2</v>
      </c>
      <c r="S3290">
        <v>3.0050349999999999</v>
      </c>
      <c r="T3290">
        <v>-0.152034</v>
      </c>
      <c r="U3290">
        <v>2.3223879999999999E-2</v>
      </c>
      <c r="V3290">
        <v>-5.4577349999999997E-2</v>
      </c>
      <c r="W3290">
        <v>2.160078E-2</v>
      </c>
      <c r="X3290">
        <v>0.99827589999999999</v>
      </c>
      <c r="Y3290">
        <v>-3.9148259999999997E-2</v>
      </c>
      <c r="Z3290">
        <v>2.5829329999999999E-3</v>
      </c>
      <c r="AA3290">
        <v>0.99923009999999901</v>
      </c>
      <c r="AB3290">
        <v>27</v>
      </c>
      <c r="AC3290">
        <v>21.558199999999999</v>
      </c>
      <c r="AD3290">
        <v>-1.103345334775</v>
      </c>
      <c r="AE3290">
        <v>0.17620000000002201</v>
      </c>
      <c r="AF3290">
        <v>-0.85329108516863506</v>
      </c>
      <c r="AG3290">
        <v>-1.103345334775</v>
      </c>
      <c r="AH3290">
        <v>21.485663091263302</v>
      </c>
      <c r="AI3290">
        <v>92.9373952502864</v>
      </c>
      <c r="AJ3290">
        <v>92.274274630275897</v>
      </c>
      <c r="AK3290">
        <v>21.5308893238313</v>
      </c>
    </row>
    <row r="3291" spans="1:37" x14ac:dyDescent="0.2">
      <c r="A3291" t="str">
        <f>"20200111155610558"</f>
        <v>20200111155610558</v>
      </c>
      <c r="B3291" t="str">
        <f>"1578729370556519"</f>
        <v>1578729370556519</v>
      </c>
      <c r="C3291" t="s">
        <v>37</v>
      </c>
      <c r="D3291">
        <v>4.9612819999999997</v>
      </c>
      <c r="E3291">
        <v>0.5081715</v>
      </c>
      <c r="F3291" t="s">
        <v>61</v>
      </c>
      <c r="G3291">
        <v>-428.67250000000001</v>
      </c>
      <c r="H3291" s="1">
        <v>2.4351479999999998E-6</v>
      </c>
      <c r="I3291">
        <v>214.5145</v>
      </c>
      <c r="J3291">
        <v>-448.64839999999998</v>
      </c>
      <c r="K3291">
        <v>1.103254</v>
      </c>
      <c r="L3291">
        <v>214.33410000000001</v>
      </c>
      <c r="M3291">
        <v>0.99950720000000004</v>
      </c>
      <c r="N3291">
        <v>0</v>
      </c>
      <c r="O3291">
        <v>-3.1387499999999999E-2</v>
      </c>
      <c r="P3291">
        <v>0.99952469999999904</v>
      </c>
      <c r="Q3291">
        <v>1.86405999999999E-2</v>
      </c>
      <c r="R3291">
        <v>2.45567999999999E-2</v>
      </c>
      <c r="S3291">
        <v>3.0044559999999998</v>
      </c>
      <c r="T3291">
        <v>-0.16362989999999999</v>
      </c>
      <c r="U3291">
        <v>2.5451660000000001E-2</v>
      </c>
      <c r="V3291">
        <v>-5.5921800000000001E-2</v>
      </c>
      <c r="W3291">
        <v>1.8415669999999999E-2</v>
      </c>
      <c r="X3291">
        <v>0.99826530000000002</v>
      </c>
      <c r="Y3291">
        <v>-3.97478E-2</v>
      </c>
      <c r="Z3291">
        <v>2.7895490000000001E-3</v>
      </c>
      <c r="AA3291">
        <v>0.99920580000000003</v>
      </c>
      <c r="AB3291">
        <v>27</v>
      </c>
      <c r="AC3291">
        <v>19.9758999999999</v>
      </c>
      <c r="AD3291">
        <v>-1.103251564852</v>
      </c>
      <c r="AE3291">
        <v>0.18039999999999101</v>
      </c>
      <c r="AF3291">
        <v>-0.80484993486817802</v>
      </c>
      <c r="AG3291">
        <v>-1.103251564852</v>
      </c>
      <c r="AH3291">
        <v>19.899701140535999</v>
      </c>
      <c r="AI3291">
        <v>93.170677451555207</v>
      </c>
      <c r="AJ3291">
        <v>92.3160842293819</v>
      </c>
      <c r="AK3291">
        <v>19.946504779425801</v>
      </c>
    </row>
    <row r="3292" spans="1:37" x14ac:dyDescent="0.2">
      <c r="A3292" t="str">
        <f>"20200111155610581"</f>
        <v>20200111155610581</v>
      </c>
      <c r="B3292" t="str">
        <f>"1578729370576039"</f>
        <v>1578729370576039</v>
      </c>
      <c r="C3292" t="s">
        <v>37</v>
      </c>
      <c r="D3292">
        <v>5.0349940000000002</v>
      </c>
      <c r="E3292">
        <v>0.50841859999999905</v>
      </c>
      <c r="F3292" t="s">
        <v>61</v>
      </c>
      <c r="G3292">
        <v>-429.86189999999999</v>
      </c>
      <c r="H3292" s="1">
        <v>2.2274620000000001E-6</v>
      </c>
      <c r="I3292">
        <v>214.47669999999999</v>
      </c>
      <c r="J3292">
        <v>-448.36689999999999</v>
      </c>
      <c r="K3292">
        <v>1.1031489999999999</v>
      </c>
      <c r="L3292">
        <v>214.3254</v>
      </c>
      <c r="M3292">
        <v>0.99950749999999999</v>
      </c>
      <c r="N3292">
        <v>0</v>
      </c>
      <c r="O3292">
        <v>-3.138556E-2</v>
      </c>
      <c r="P3292">
        <v>0.99956959999999995</v>
      </c>
      <c r="Q3292">
        <v>1.499174E-2</v>
      </c>
      <c r="R3292">
        <v>2.5227260000000001E-2</v>
      </c>
      <c r="S3292">
        <v>3.0041500000000001</v>
      </c>
      <c r="T3292">
        <v>-0.17642160000000001</v>
      </c>
      <c r="U3292">
        <v>2.2796629999999998E-2</v>
      </c>
      <c r="V3292">
        <v>-5.6587829999999999E-2</v>
      </c>
      <c r="W3292">
        <v>1.475311E-2</v>
      </c>
      <c r="X3292">
        <v>0.99828859999999997</v>
      </c>
      <c r="Y3292">
        <v>-3.884808E-2</v>
      </c>
      <c r="Z3292">
        <v>2.9810599999999998E-3</v>
      </c>
      <c r="AA3292">
        <v>0.99924069999999898</v>
      </c>
      <c r="AB3292">
        <v>28</v>
      </c>
      <c r="AC3292">
        <v>18.5049999999999</v>
      </c>
      <c r="AD3292">
        <v>-1.103146772538</v>
      </c>
      <c r="AE3292">
        <v>0.151299999999992</v>
      </c>
      <c r="AF3292">
        <v>-0.72942314079891102</v>
      </c>
      <c r="AG3292">
        <v>-1.103146772538</v>
      </c>
      <c r="AH3292">
        <v>18.425658874957499</v>
      </c>
      <c r="AI3292">
        <v>93.423541371604003</v>
      </c>
      <c r="AJ3292">
        <v>92.267004735909197</v>
      </c>
      <c r="AK3292">
        <v>18.473058650272201</v>
      </c>
    </row>
    <row r="3293" spans="1:37" x14ac:dyDescent="0.2">
      <c r="A3293" t="str">
        <f>"20200111155610603"</f>
        <v>20200111155610603</v>
      </c>
      <c r="B3293" t="str">
        <f>"1578729370595558"</f>
        <v>1578729370595558</v>
      </c>
      <c r="C3293" t="s">
        <v>37</v>
      </c>
      <c r="D3293">
        <v>4.9637330000000004</v>
      </c>
      <c r="E3293">
        <v>0.50882360000000004</v>
      </c>
      <c r="F3293" t="s">
        <v>61</v>
      </c>
      <c r="G3293">
        <v>-430.70960000000002</v>
      </c>
      <c r="H3293" s="1">
        <v>2.5454389999999998E-6</v>
      </c>
      <c r="I3293">
        <v>214.45849999999999</v>
      </c>
      <c r="J3293">
        <v>-448.08600000000001</v>
      </c>
      <c r="K3293">
        <v>1.1030500000000001</v>
      </c>
      <c r="L3293">
        <v>214.31659999999999</v>
      </c>
      <c r="M3293">
        <v>0.99950380000000005</v>
      </c>
      <c r="N3293">
        <v>0</v>
      </c>
      <c r="O3293">
        <v>-3.1498789999999999E-2</v>
      </c>
      <c r="P3293">
        <v>0.99958530000000001</v>
      </c>
      <c r="Q3293">
        <v>1.2240350000000001E-2</v>
      </c>
      <c r="R3293">
        <v>2.6066800000000001E-2</v>
      </c>
      <c r="S3293">
        <v>3.003571</v>
      </c>
      <c r="T3293">
        <v>-0.18764819999999999</v>
      </c>
      <c r="U3293">
        <v>2.2644040000000001E-2</v>
      </c>
      <c r="V3293">
        <v>-5.7538150000000003E-2</v>
      </c>
      <c r="W3293">
        <v>1.200439E-2</v>
      </c>
      <c r="X3293">
        <v>0.99827109999999997</v>
      </c>
      <c r="Y3293">
        <v>-3.889575E-2</v>
      </c>
      <c r="Z3293">
        <v>3.1795640000000002E-3</v>
      </c>
      <c r="AA3293">
        <v>0.99923819999999997</v>
      </c>
      <c r="AB3293">
        <v>28</v>
      </c>
      <c r="AC3293">
        <v>17.376399999999901</v>
      </c>
      <c r="AD3293">
        <v>-1.1030474545610001</v>
      </c>
      <c r="AE3293">
        <v>0.141899999999992</v>
      </c>
      <c r="AF3293">
        <v>-0.68639938278504198</v>
      </c>
      <c r="AG3293">
        <v>-1.1030474545610001</v>
      </c>
      <c r="AH3293">
        <v>17.293625135303898</v>
      </c>
      <c r="AI3293">
        <v>93.646716302581595</v>
      </c>
      <c r="AJ3293">
        <v>92.272927450904007</v>
      </c>
      <c r="AK3293">
        <v>17.342356475407701</v>
      </c>
    </row>
    <row r="3294" spans="1:37" x14ac:dyDescent="0.2">
      <c r="A3294" t="str">
        <f>"20200111155610625"</f>
        <v>20200111155610625</v>
      </c>
      <c r="B3294" t="str">
        <f>"1578729370616054"</f>
        <v>1578729370616054</v>
      </c>
      <c r="C3294" t="s">
        <v>37</v>
      </c>
      <c r="D3294">
        <v>4.9697290000000001</v>
      </c>
      <c r="E3294">
        <v>0.50915869999999996</v>
      </c>
      <c r="F3294" t="s">
        <v>61</v>
      </c>
      <c r="G3294">
        <v>-431.0367</v>
      </c>
      <c r="H3294" s="1">
        <v>2.6922249999999999E-6</v>
      </c>
      <c r="I3294">
        <v>214.4391</v>
      </c>
      <c r="J3294">
        <v>-447.80220000000003</v>
      </c>
      <c r="K3294">
        <v>1.1029709999999999</v>
      </c>
      <c r="L3294">
        <v>214.3075</v>
      </c>
      <c r="M3294">
        <v>0.99949719999999997</v>
      </c>
      <c r="N3294">
        <v>0</v>
      </c>
      <c r="O3294">
        <v>-3.1708479999999997E-2</v>
      </c>
      <c r="P3294">
        <v>0.99957019999999996</v>
      </c>
      <c r="Q3294">
        <v>1.184058E-2</v>
      </c>
      <c r="R3294">
        <v>2.6819989999999998E-2</v>
      </c>
      <c r="S3294">
        <v>3.0030519999999998</v>
      </c>
      <c r="T3294">
        <v>-0.1942902</v>
      </c>
      <c r="U3294">
        <v>2.157593E-2</v>
      </c>
      <c r="V3294">
        <v>-5.8497550000000002E-2</v>
      </c>
      <c r="W3294">
        <v>1.162152E-2</v>
      </c>
      <c r="X3294">
        <v>0.99821990000000005</v>
      </c>
      <c r="Y3294">
        <v>-3.874126E-2</v>
      </c>
      <c r="Z3294">
        <v>3.3010019999999999E-3</v>
      </c>
      <c r="AA3294">
        <v>0.99924380000000002</v>
      </c>
      <c r="AB3294">
        <v>28</v>
      </c>
      <c r="AC3294">
        <v>16.765499999999999</v>
      </c>
      <c r="AD3294">
        <v>-1.1029683077750001</v>
      </c>
      <c r="AE3294">
        <v>0.131599999999991</v>
      </c>
      <c r="AF3294">
        <v>-0.66028475178983803</v>
      </c>
      <c r="AG3294">
        <v>-1.1029683077750001</v>
      </c>
      <c r="AH3294">
        <v>16.680706184399298</v>
      </c>
      <c r="AI3294">
        <v>93.780075754924994</v>
      </c>
      <c r="AJ3294">
        <v>92.266797857952795</v>
      </c>
      <c r="AK3294">
        <v>16.730166581706801</v>
      </c>
    </row>
    <row r="3295" spans="1:37" x14ac:dyDescent="0.2">
      <c r="A3295" t="str">
        <f>"20200111155610647"</f>
        <v>20200111155610647</v>
      </c>
      <c r="B3295" t="str">
        <f>"1578729370635574"</f>
        <v>1578729370635574</v>
      </c>
      <c r="C3295" t="s">
        <v>37</v>
      </c>
      <c r="D3295">
        <v>5.1294769999999996</v>
      </c>
      <c r="E3295">
        <v>0.50920350000000003</v>
      </c>
      <c r="F3295" t="s">
        <v>61</v>
      </c>
      <c r="G3295">
        <v>-430.68759999999997</v>
      </c>
      <c r="H3295" s="1">
        <v>2.53867099999999E-6</v>
      </c>
      <c r="I3295">
        <v>214.42449999999999</v>
      </c>
      <c r="J3295">
        <v>-447.51769999999999</v>
      </c>
      <c r="K3295">
        <v>1.1029309999999899</v>
      </c>
      <c r="L3295">
        <v>214.29830000000001</v>
      </c>
      <c r="M3295">
        <v>0.9994883</v>
      </c>
      <c r="N3295">
        <v>0</v>
      </c>
      <c r="O3295">
        <v>-3.1991260000000001E-2</v>
      </c>
      <c r="P3295">
        <v>0.99952640000000004</v>
      </c>
      <c r="Q3295">
        <v>1.343339E-2</v>
      </c>
      <c r="R3295">
        <v>2.7690030000000001E-2</v>
      </c>
      <c r="S3295">
        <v>3.0029910000000002</v>
      </c>
      <c r="T3295">
        <v>-0.19353010000000001</v>
      </c>
      <c r="U3295">
        <v>2.0523070000000001E-2</v>
      </c>
      <c r="V3295">
        <v>-5.9645829999999997E-2</v>
      </c>
      <c r="W3295">
        <v>1.3240729999999999E-2</v>
      </c>
      <c r="X3295">
        <v>0.99813180000000001</v>
      </c>
      <c r="Y3295">
        <v>-3.8674479999999997E-2</v>
      </c>
      <c r="Z3295">
        <v>3.3042319999999998E-3</v>
      </c>
      <c r="AA3295">
        <v>0.99924639999999998</v>
      </c>
      <c r="AB3295">
        <v>29</v>
      </c>
      <c r="AC3295">
        <v>16.830100000000002</v>
      </c>
      <c r="AD3295">
        <v>-1.10292846132899</v>
      </c>
      <c r="AE3295">
        <v>0.12619999999998299</v>
      </c>
      <c r="AF3295">
        <v>-0.66170981796894301</v>
      </c>
      <c r="AG3295">
        <v>-1.10292846132899</v>
      </c>
      <c r="AH3295">
        <v>16.745537092414601</v>
      </c>
      <c r="AI3295">
        <v>93.765357710401801</v>
      </c>
      <c r="AJ3295">
        <v>92.262899332956906</v>
      </c>
      <c r="AK3295">
        <v>16.794860034767801</v>
      </c>
    </row>
    <row r="3296" spans="1:37" x14ac:dyDescent="0.2">
      <c r="A3296" t="str">
        <f>"20200111155610669"</f>
        <v>20200111155610669</v>
      </c>
      <c r="B3296" t="str">
        <f>"1578729370665831"</f>
        <v>1578729370665831</v>
      </c>
      <c r="C3296" t="s">
        <v>37</v>
      </c>
      <c r="D3296">
        <v>5.0368139999999997</v>
      </c>
      <c r="E3296">
        <v>0.50963800000000004</v>
      </c>
      <c r="F3296" t="s">
        <v>61</v>
      </c>
      <c r="G3296">
        <v>-429.67180000000002</v>
      </c>
      <c r="H3296" s="1">
        <v>2.265027E-6</v>
      </c>
      <c r="I3296">
        <v>214.43270000000001</v>
      </c>
      <c r="J3296">
        <v>-447.23520000000002</v>
      </c>
      <c r="K3296">
        <v>1.1029100000000001</v>
      </c>
      <c r="L3296">
        <v>214.28899999999999</v>
      </c>
      <c r="M3296">
        <v>0.99947770000000002</v>
      </c>
      <c r="N3296">
        <v>0</v>
      </c>
      <c r="O3296">
        <v>-3.2319830000000001E-2</v>
      </c>
      <c r="P3296">
        <v>0.99947229999999998</v>
      </c>
      <c r="Q3296">
        <v>1.7165840000000002E-2</v>
      </c>
      <c r="R3296">
        <v>2.7587319999999999E-2</v>
      </c>
      <c r="S3296">
        <v>3.0033259999999999</v>
      </c>
      <c r="T3296">
        <v>-0.18561510000000001</v>
      </c>
      <c r="U3296">
        <v>2.2628780000000001E-2</v>
      </c>
      <c r="V3296">
        <v>-5.9865630000000003E-2</v>
      </c>
      <c r="W3296">
        <v>1.7009690000000001E-2</v>
      </c>
      <c r="X3296">
        <v>0.99806149999999905</v>
      </c>
      <c r="Y3296">
        <v>-3.9711910000000003E-2</v>
      </c>
      <c r="Z3296">
        <v>3.2213099999999998E-3</v>
      </c>
      <c r="AA3296">
        <v>0.99920599999999904</v>
      </c>
      <c r="AB3296">
        <v>29</v>
      </c>
      <c r="AC3296">
        <v>17.563400000000001</v>
      </c>
      <c r="AD3296">
        <v>-1.1029077349730001</v>
      </c>
      <c r="AE3296">
        <v>0.143699999999995</v>
      </c>
      <c r="AF3296">
        <v>-0.70847740017688399</v>
      </c>
      <c r="AG3296">
        <v>-1.1029077349730001</v>
      </c>
      <c r="AH3296">
        <v>17.4806530724371</v>
      </c>
      <c r="AI3296">
        <v>93.607226618808397</v>
      </c>
      <c r="AJ3296">
        <v>92.320883578018993</v>
      </c>
      <c r="AK3296">
        <v>17.529734097736</v>
      </c>
    </row>
    <row r="3297" spans="1:37" x14ac:dyDescent="0.2">
      <c r="A3297" t="str">
        <f>"20200111155610692"</f>
        <v>20200111155610692</v>
      </c>
      <c r="B3297" t="str">
        <f>"1578729370686326"</f>
        <v>1578729370686326</v>
      </c>
      <c r="C3297" t="s">
        <v>37</v>
      </c>
      <c r="D3297">
        <v>5.0126169999999997</v>
      </c>
      <c r="E3297">
        <v>0.50997199999999998</v>
      </c>
      <c r="F3297" t="s">
        <v>61</v>
      </c>
      <c r="G3297">
        <v>-427.74149999999997</v>
      </c>
      <c r="H3297" s="1">
        <v>2.6094779999999898E-6</v>
      </c>
      <c r="I3297">
        <v>214.40950000000001</v>
      </c>
      <c r="J3297">
        <v>-446.93040000000002</v>
      </c>
      <c r="K3297">
        <v>1.1029009999999999</v>
      </c>
      <c r="L3297">
        <v>214.27879999999999</v>
      </c>
      <c r="M3297">
        <v>0.99946520000000005</v>
      </c>
      <c r="N3297">
        <v>0</v>
      </c>
      <c r="O3297">
        <v>-3.2702879999999997E-2</v>
      </c>
      <c r="P3297">
        <v>0.99942219999999904</v>
      </c>
      <c r="Q3297">
        <v>2.1234429999999999E-2</v>
      </c>
      <c r="R3297">
        <v>2.654662E-2</v>
      </c>
      <c r="S3297">
        <v>3.0040279999999999</v>
      </c>
      <c r="T3297">
        <v>-0.1699608</v>
      </c>
      <c r="U3297">
        <v>1.8569950000000002E-2</v>
      </c>
      <c r="V3297">
        <v>-5.9202310000000001E-2</v>
      </c>
      <c r="W3297">
        <v>2.1129769999999999E-2</v>
      </c>
      <c r="X3297">
        <v>0.99802239999999998</v>
      </c>
      <c r="Y3297">
        <v>-3.8766219999999997E-2</v>
      </c>
      <c r="Z3297">
        <v>2.944318E-3</v>
      </c>
      <c r="AA3297">
        <v>0.99924400000000002</v>
      </c>
      <c r="AB3297">
        <v>29</v>
      </c>
      <c r="AC3297">
        <v>19.1889</v>
      </c>
      <c r="AD3297">
        <v>-1.102898390522</v>
      </c>
      <c r="AE3297">
        <v>0.130700000000018</v>
      </c>
      <c r="AF3297">
        <v>-0.75566612603446803</v>
      </c>
      <c r="AG3297">
        <v>-1.102898390522</v>
      </c>
      <c r="AH3297">
        <v>19.111231413465799</v>
      </c>
      <c r="AI3297">
        <v>93.300270629841904</v>
      </c>
      <c r="AJ3297">
        <v>92.264319659118897</v>
      </c>
      <c r="AK3297">
        <v>19.157937840302498</v>
      </c>
    </row>
    <row r="3298" spans="1:37" x14ac:dyDescent="0.2">
      <c r="A3298" t="str">
        <f>"20200111155610715"</f>
        <v>20200111155610715</v>
      </c>
      <c r="B3298" t="str">
        <f>"1578729370705847"</f>
        <v>1578729370705847</v>
      </c>
      <c r="C3298" t="s">
        <v>37</v>
      </c>
      <c r="D3298">
        <v>5.1792189999999998</v>
      </c>
      <c r="E3298">
        <v>0.51015310000000003</v>
      </c>
      <c r="F3298" t="s">
        <v>61</v>
      </c>
      <c r="G3298">
        <v>-425.67899999999997</v>
      </c>
      <c r="H3298" s="1">
        <v>2.9789399999999998E-6</v>
      </c>
      <c r="I3298">
        <v>214.3681</v>
      </c>
      <c r="J3298">
        <v>-446.62389999999999</v>
      </c>
      <c r="K3298">
        <v>1.1028990000000001</v>
      </c>
      <c r="L3298">
        <v>214.26840000000001</v>
      </c>
      <c r="M3298">
        <v>0.99945209999999995</v>
      </c>
      <c r="N3298">
        <v>0</v>
      </c>
      <c r="O3298">
        <v>-3.3100709999999998E-2</v>
      </c>
      <c r="P3298">
        <v>0.99936179999999997</v>
      </c>
      <c r="Q3298">
        <v>2.557158E-2</v>
      </c>
      <c r="R3298">
        <v>2.4947029999999999E-2</v>
      </c>
      <c r="S3298">
        <v>3.0047000000000001</v>
      </c>
      <c r="T3298">
        <v>-0.15593660000000001</v>
      </c>
      <c r="U3298">
        <v>1.2634279999999999E-2</v>
      </c>
      <c r="V3298">
        <v>-5.7994190000000001E-2</v>
      </c>
      <c r="W3298">
        <v>2.5531680000000001E-2</v>
      </c>
      <c r="X3298">
        <v>0.99799040000000006</v>
      </c>
      <c r="Y3298">
        <v>-3.7208310000000001E-2</v>
      </c>
      <c r="Z3298">
        <v>2.681335E-3</v>
      </c>
      <c r="AA3298">
        <v>0.99930390000000002</v>
      </c>
      <c r="AB3298">
        <v>29</v>
      </c>
      <c r="AC3298">
        <v>20.944899999999901</v>
      </c>
      <c r="AD3298">
        <v>-1.1028960210600001</v>
      </c>
      <c r="AE3298">
        <v>9.9699999999984301E-2</v>
      </c>
      <c r="AF3298">
        <v>-0.79074387820924597</v>
      </c>
      <c r="AG3298">
        <v>-1.1028960210600001</v>
      </c>
      <c r="AH3298">
        <v>20.872250037786898</v>
      </c>
      <c r="AI3298">
        <v>93.022549075771593</v>
      </c>
      <c r="AJ3298">
        <v>92.169609404870499</v>
      </c>
      <c r="AK3298">
        <v>20.916320832165699</v>
      </c>
    </row>
    <row r="3299" spans="1:37" x14ac:dyDescent="0.2">
      <c r="A3299" t="str">
        <f>"20200111155610737"</f>
        <v>20200111155610737</v>
      </c>
      <c r="B3299" t="str">
        <f>"1578729370726342"</f>
        <v>1578729370726342</v>
      </c>
      <c r="C3299" t="s">
        <v>37</v>
      </c>
      <c r="D3299">
        <v>5.0985329999999998</v>
      </c>
      <c r="E3299">
        <v>0.51035229999999998</v>
      </c>
      <c r="F3299" t="s">
        <v>61</v>
      </c>
      <c r="G3299">
        <v>-423.24149999999997</v>
      </c>
      <c r="H3299" s="1">
        <v>3.415871E-6</v>
      </c>
      <c r="I3299">
        <v>214.3159</v>
      </c>
      <c r="J3299">
        <v>-446.34399999999999</v>
      </c>
      <c r="K3299">
        <v>1.102895</v>
      </c>
      <c r="L3299">
        <v>214.25880000000001</v>
      </c>
      <c r="M3299">
        <v>0.99944</v>
      </c>
      <c r="N3299">
        <v>0</v>
      </c>
      <c r="O3299">
        <v>-3.346553E-2</v>
      </c>
      <c r="P3299">
        <v>0.99933830000000001</v>
      </c>
      <c r="Q3299">
        <v>2.778363E-2</v>
      </c>
      <c r="R3299">
        <v>2.3480899999999999E-2</v>
      </c>
      <c r="S3299">
        <v>3.0054020000000001</v>
      </c>
      <c r="T3299">
        <v>-0.14175860000000001</v>
      </c>
      <c r="U3299">
        <v>6.1035159999999998E-3</v>
      </c>
      <c r="V3299">
        <v>-5.688998E-2</v>
      </c>
      <c r="W3299">
        <v>2.781635E-2</v>
      </c>
      <c r="X3299">
        <v>0.99799289999999996</v>
      </c>
      <c r="Y3299">
        <v>-3.5418599999999897E-2</v>
      </c>
      <c r="Z3299">
        <v>2.4122599999999998E-3</v>
      </c>
      <c r="AA3299">
        <v>0.99936970000000003</v>
      </c>
      <c r="AB3299">
        <v>29</v>
      </c>
      <c r="AC3299">
        <v>23.102499999999999</v>
      </c>
      <c r="AD3299">
        <v>-1.1028915841289999</v>
      </c>
      <c r="AE3299">
        <v>5.7099999999991199E-2</v>
      </c>
      <c r="AF3299">
        <v>-0.82831758598767002</v>
      </c>
      <c r="AG3299">
        <v>-1.1028915841289999</v>
      </c>
      <c r="AH3299">
        <v>23.035151574918402</v>
      </c>
      <c r="AI3299">
        <v>92.739382554249005</v>
      </c>
      <c r="AJ3299">
        <v>92.059403081636205</v>
      </c>
      <c r="AK3299">
        <v>23.0764097716492</v>
      </c>
    </row>
    <row r="3300" spans="1:37" x14ac:dyDescent="0.2">
      <c r="A3300" t="str">
        <f>"20200111155610759"</f>
        <v>20200111155610759</v>
      </c>
      <c r="B3300" t="str">
        <f>"1578729370756152"</f>
        <v>1578729370756152</v>
      </c>
      <c r="C3300" t="s">
        <v>37</v>
      </c>
      <c r="D3300">
        <v>5.046189</v>
      </c>
      <c r="E3300">
        <v>0.51073829999999998</v>
      </c>
      <c r="F3300" t="s">
        <v>61</v>
      </c>
      <c r="G3300">
        <v>-421.74560000000002</v>
      </c>
      <c r="H3300" s="1">
        <v>3.6863420000000001E-6</v>
      </c>
      <c r="I3300">
        <v>214.25739999999999</v>
      </c>
      <c r="J3300">
        <v>-446.05650000000003</v>
      </c>
      <c r="K3300">
        <v>1.102887</v>
      </c>
      <c r="L3300">
        <v>214.24879999999999</v>
      </c>
      <c r="M3300">
        <v>0.99942739999999997</v>
      </c>
      <c r="N3300">
        <v>0</v>
      </c>
      <c r="O3300">
        <v>-3.3837150000000003E-2</v>
      </c>
      <c r="P3300">
        <v>0.999364699999999</v>
      </c>
      <c r="Q3300">
        <v>2.7846199999999901E-2</v>
      </c>
      <c r="R3300">
        <v>2.2239249999999999E-2</v>
      </c>
      <c r="S3300">
        <v>3.0057369999999999</v>
      </c>
      <c r="T3300">
        <v>-0.13476479999999999</v>
      </c>
      <c r="U3300">
        <v>-1.67846699999999E-4</v>
      </c>
      <c r="V3300">
        <v>-5.6020760000000003E-2</v>
      </c>
      <c r="W3300">
        <v>2.796935E-2</v>
      </c>
      <c r="X3300">
        <v>0.99803779999999997</v>
      </c>
      <c r="Y3300">
        <v>-3.3713479999999997E-2</v>
      </c>
      <c r="Z3300">
        <v>2.2715449999999998E-3</v>
      </c>
      <c r="AA3300">
        <v>0.99942889999999995</v>
      </c>
      <c r="AB3300">
        <v>29</v>
      </c>
      <c r="AC3300">
        <v>24.3109</v>
      </c>
      <c r="AD3300">
        <v>-1.1028833136580001</v>
      </c>
      <c r="AE3300">
        <v>8.6000000000012698E-3</v>
      </c>
      <c r="AF3300">
        <v>-0.82949945647087997</v>
      </c>
      <c r="AG3300">
        <v>-1.1028833136580001</v>
      </c>
      <c r="AH3300">
        <v>24.246786377076901</v>
      </c>
      <c r="AI3300">
        <v>92.602825925039696</v>
      </c>
      <c r="AJ3300">
        <v>91.959364382804694</v>
      </c>
      <c r="AK3300">
        <v>24.286026240771299</v>
      </c>
    </row>
    <row r="3301" spans="1:37" x14ac:dyDescent="0.2">
      <c r="A3301" t="str">
        <f>"20200111155610782"</f>
        <v>20200111155610782</v>
      </c>
      <c r="B3301" t="str">
        <f>"1578729370775671"</f>
        <v>1578729370775671</v>
      </c>
      <c r="C3301" t="s">
        <v>37</v>
      </c>
      <c r="D3301">
        <v>5.347308</v>
      </c>
      <c r="E3301">
        <v>0.53839009999999998</v>
      </c>
      <c r="F3301" t="s">
        <v>61</v>
      </c>
      <c r="G3301">
        <v>-421.52050000000003</v>
      </c>
      <c r="H3301" s="1">
        <v>3.7318450000000002E-6</v>
      </c>
      <c r="I3301">
        <v>214.1936</v>
      </c>
      <c r="J3301">
        <v>-445.74290000000002</v>
      </c>
      <c r="K3301">
        <v>1.102884</v>
      </c>
      <c r="L3301">
        <v>214.23779999999999</v>
      </c>
      <c r="M3301">
        <v>0.99941380000000002</v>
      </c>
      <c r="N3301">
        <v>0</v>
      </c>
      <c r="O3301">
        <v>-3.4238110000000002E-2</v>
      </c>
      <c r="P3301">
        <v>0.99944909999999998</v>
      </c>
      <c r="Q3301">
        <v>2.5121689999999999E-2</v>
      </c>
      <c r="R3301">
        <v>2.1695510000000001E-2</v>
      </c>
      <c r="S3301">
        <v>3.0058289999999999</v>
      </c>
      <c r="T3301">
        <v>-0.1351108</v>
      </c>
      <c r="U3301">
        <v>-6.7596440000000004E-3</v>
      </c>
      <c r="V3301">
        <v>-5.5882340000000003E-2</v>
      </c>
      <c r="W3301">
        <v>2.5368660000000001E-2</v>
      </c>
      <c r="X3301">
        <v>0.99811499999999997</v>
      </c>
      <c r="Y3301">
        <v>-3.1923710000000001E-2</v>
      </c>
      <c r="Z3301">
        <v>2.2550859999999999E-3</v>
      </c>
      <c r="AA3301">
        <v>0.99948780000000004</v>
      </c>
      <c r="AB3301">
        <v>30</v>
      </c>
      <c r="AC3301">
        <v>24.2224</v>
      </c>
      <c r="AD3301">
        <v>-1.1028802681550001</v>
      </c>
      <c r="AE3301">
        <v>-4.4199999999989303E-2</v>
      </c>
      <c r="AF3301">
        <v>-0.78353069034076595</v>
      </c>
      <c r="AG3301">
        <v>-1.1028802681550001</v>
      </c>
      <c r="AH3301">
        <v>24.1596264303727</v>
      </c>
      <c r="AI3301">
        <v>92.612350363610204</v>
      </c>
      <c r="AJ3301">
        <v>91.857531708975202</v>
      </c>
      <c r="AK3301">
        <v>24.197475374173901</v>
      </c>
    </row>
    <row r="3302" spans="1:37" x14ac:dyDescent="0.2">
      <c r="A3302" t="str">
        <f>"20200111155610803"</f>
        <v>20200111155610803</v>
      </c>
      <c r="B3302" t="str">
        <f>"1578729370796168"</f>
        <v>1578729370796168</v>
      </c>
      <c r="C3302" t="s">
        <v>37</v>
      </c>
      <c r="D3302">
        <v>5.0248119999999998</v>
      </c>
      <c r="E3302">
        <v>0.58325059999999995</v>
      </c>
      <c r="F3302" t="s">
        <v>40</v>
      </c>
      <c r="G3302">
        <v>-444.79300000000001</v>
      </c>
      <c r="H3302">
        <v>1.047601</v>
      </c>
      <c r="I3302">
        <v>214.16569999999999</v>
      </c>
      <c r="J3302">
        <v>-445.4434</v>
      </c>
      <c r="K3302">
        <v>1.1028819999999999</v>
      </c>
      <c r="L3302">
        <v>214.22710000000001</v>
      </c>
      <c r="M3302">
        <v>0.99940069999999903</v>
      </c>
      <c r="N3302">
        <v>0</v>
      </c>
      <c r="O3302">
        <v>-3.4618339999999997E-2</v>
      </c>
      <c r="P3302">
        <v>0.99953619999999899</v>
      </c>
      <c r="Q3302">
        <v>2.143517E-2</v>
      </c>
      <c r="R3302">
        <v>2.163897E-2</v>
      </c>
      <c r="S3302">
        <v>3.0109859999999999</v>
      </c>
      <c r="T3302">
        <v>-0.17543510000000001</v>
      </c>
      <c r="U3302">
        <v>-0.22749330000000001</v>
      </c>
      <c r="V3302">
        <v>-5.621164E-2</v>
      </c>
      <c r="W3302">
        <v>2.1823410000000001E-2</v>
      </c>
      <c r="X3302">
        <v>0.99818030000000002</v>
      </c>
      <c r="Y3302">
        <v>4.0764189999999999E-2</v>
      </c>
      <c r="Z3302">
        <v>8.2663759999999995E-4</v>
      </c>
      <c r="AA3302">
        <v>0.99916849999999902</v>
      </c>
      <c r="AB3302">
        <v>30</v>
      </c>
      <c r="AC3302">
        <v>0.65039999999998999</v>
      </c>
      <c r="AD3302">
        <v>-5.52809999999999E-2</v>
      </c>
      <c r="AE3302">
        <v>-6.1400000000020299E-2</v>
      </c>
      <c r="AF3302">
        <v>3.8571245345962603E-2</v>
      </c>
      <c r="AG3302">
        <v>-5.52809999999999E-2</v>
      </c>
      <c r="AH3302">
        <v>0.64749936391062701</v>
      </c>
      <c r="AI3302">
        <v>94.871265600896805</v>
      </c>
      <c r="AJ3302">
        <v>86.590944802724707</v>
      </c>
      <c r="AK3302">
        <v>0.65099858386420795</v>
      </c>
    </row>
    <row r="3303" spans="1:37" x14ac:dyDescent="0.2">
      <c r="A3303" t="str">
        <f>"20200111155610826"</f>
        <v>20200111155610826</v>
      </c>
      <c r="B3303" t="str">
        <f>"1578729370815687"</f>
        <v>1578729370815687</v>
      </c>
      <c r="C3303" t="s">
        <v>37</v>
      </c>
      <c r="D3303">
        <v>5.0338529999999997</v>
      </c>
      <c r="E3303">
        <v>0.58279740000000002</v>
      </c>
      <c r="F3303" t="s">
        <v>61</v>
      </c>
      <c r="G3303">
        <v>-421.22059999999999</v>
      </c>
      <c r="H3303" s="1">
        <v>4.2154710000000004E-6</v>
      </c>
      <c r="I3303">
        <v>209.50200000000001</v>
      </c>
      <c r="J3303">
        <v>-445.13740000000001</v>
      </c>
      <c r="K3303">
        <v>1.102886</v>
      </c>
      <c r="L3303">
        <v>214.21619999999999</v>
      </c>
      <c r="M3303">
        <v>0.99938700000000003</v>
      </c>
      <c r="N3303">
        <v>0</v>
      </c>
      <c r="O3303">
        <v>-3.500636E-2</v>
      </c>
      <c r="P3303">
        <v>0.99956520000000004</v>
      </c>
      <c r="Q3303">
        <v>1.8708140000000002E-2</v>
      </c>
      <c r="R3303">
        <v>2.279776E-2</v>
      </c>
      <c r="S3303">
        <v>3.0170590000000002</v>
      </c>
      <c r="T3303">
        <v>-0.13736809999999999</v>
      </c>
      <c r="U3303">
        <v>-0.58853149999999999</v>
      </c>
      <c r="V3303">
        <v>-5.776009E-2</v>
      </c>
      <c r="W3303">
        <v>1.9260949999999999E-2</v>
      </c>
      <c r="X3303">
        <v>0.9981447</v>
      </c>
      <c r="Y3303">
        <v>0.15686169999999999</v>
      </c>
      <c r="Z3303">
        <v>-1.9592679999999901E-3</v>
      </c>
      <c r="AA3303">
        <v>0.98761860000000001</v>
      </c>
      <c r="AB3303">
        <v>30</v>
      </c>
      <c r="AC3303">
        <v>23.916799999999999</v>
      </c>
      <c r="AD3303">
        <v>-1.102881784529</v>
      </c>
      <c r="AE3303">
        <v>-4.7141999999999697</v>
      </c>
      <c r="AF3303">
        <v>3.86615676565382</v>
      </c>
      <c r="AG3303">
        <v>-1.102881784529</v>
      </c>
      <c r="AH3303">
        <v>24.0180055001703</v>
      </c>
      <c r="AI3303">
        <v>92.595748025323701</v>
      </c>
      <c r="AJ3303">
        <v>80.855591822274704</v>
      </c>
      <c r="AK3303">
        <v>24.352168375187201</v>
      </c>
    </row>
    <row r="3304" spans="1:37" x14ac:dyDescent="0.2">
      <c r="A3304" t="str">
        <f>"20200111155610847"</f>
        <v>20200111155610847</v>
      </c>
      <c r="B3304" t="str">
        <f>"1578729370836183"</f>
        <v>1578729370836183</v>
      </c>
      <c r="C3304" t="s">
        <v>37</v>
      </c>
      <c r="D3304">
        <v>5.2770539999999997</v>
      </c>
      <c r="E3304">
        <v>0.58097880000000002</v>
      </c>
      <c r="F3304" t="s">
        <v>61</v>
      </c>
      <c r="G3304">
        <v>-423.4726</v>
      </c>
      <c r="H3304" s="1">
        <v>3.7481880000000001E-6</v>
      </c>
      <c r="I3304">
        <v>210.04589999999999</v>
      </c>
      <c r="J3304">
        <v>-444.85079999999999</v>
      </c>
      <c r="K3304">
        <v>1.1029040000000001</v>
      </c>
      <c r="L3304">
        <v>214.20580000000001</v>
      </c>
      <c r="M3304">
        <v>0.99937410000000004</v>
      </c>
      <c r="N3304">
        <v>0</v>
      </c>
      <c r="O3304">
        <v>-3.5371020000000003E-2</v>
      </c>
      <c r="P3304">
        <v>0.9995463</v>
      </c>
      <c r="Q3304">
        <v>1.7470510000000002E-2</v>
      </c>
      <c r="R3304">
        <v>2.4545549999999999E-2</v>
      </c>
      <c r="S3304">
        <v>3.0174259999999999</v>
      </c>
      <c r="T3304">
        <v>-0.15360650000000001</v>
      </c>
      <c r="U3304">
        <v>-0.58082579999999995</v>
      </c>
      <c r="V3304">
        <v>-5.9870560000000003E-2</v>
      </c>
      <c r="W3304">
        <v>1.819875E-2</v>
      </c>
      <c r="X3304">
        <v>0.99804029999999999</v>
      </c>
      <c r="Y3304">
        <v>0.15402089999999999</v>
      </c>
      <c r="Z3304">
        <v>-2.1008950000000002E-3</v>
      </c>
      <c r="AA3304">
        <v>0.98806539999999998</v>
      </c>
      <c r="AB3304">
        <v>30</v>
      </c>
      <c r="AC3304">
        <v>21.3782</v>
      </c>
      <c r="AD3304">
        <v>-1.1029002518119999</v>
      </c>
      <c r="AE3304">
        <v>-4.1599000000000199</v>
      </c>
      <c r="AF3304">
        <v>3.3924284620887502</v>
      </c>
      <c r="AG3304">
        <v>-1.1029002518119999</v>
      </c>
      <c r="AH3304">
        <v>21.456937818932399</v>
      </c>
      <c r="AI3304">
        <v>92.9064116379637</v>
      </c>
      <c r="AJ3304">
        <v>81.015673519372399</v>
      </c>
      <c r="AK3304">
        <v>21.7514399615605</v>
      </c>
    </row>
    <row r="3305" spans="1:37" x14ac:dyDescent="0.2">
      <c r="A3305" t="str">
        <f>"20200111155610893"</f>
        <v>20200111155610893</v>
      </c>
      <c r="B3305" t="str">
        <f>"1578729370885959"</f>
        <v>1578729370885959</v>
      </c>
      <c r="C3305" t="s">
        <v>37</v>
      </c>
      <c r="D3305">
        <v>5.241104</v>
      </c>
      <c r="E3305">
        <v>0.57834619999999903</v>
      </c>
      <c r="F3305" t="s">
        <v>61</v>
      </c>
      <c r="G3305">
        <v>-424.30160000000001</v>
      </c>
      <c r="H3305" s="1">
        <v>3.5713539999999998E-6</v>
      </c>
      <c r="I3305">
        <v>210.38650000000001</v>
      </c>
      <c r="J3305">
        <v>-444.21179999999998</v>
      </c>
      <c r="K3305">
        <v>1.102965</v>
      </c>
      <c r="L3305">
        <v>214.18219999999999</v>
      </c>
      <c r="M3305">
        <v>0.99934429999999996</v>
      </c>
      <c r="N3305">
        <v>0</v>
      </c>
      <c r="O3305">
        <v>-3.6189599999999898E-2</v>
      </c>
      <c r="P3305">
        <v>0.99947699999999995</v>
      </c>
      <c r="Q3305">
        <v>1.8354450000000001E-2</v>
      </c>
      <c r="R3305">
        <v>2.6628829999999999E-2</v>
      </c>
      <c r="S3305">
        <v>3.0179749999999999</v>
      </c>
      <c r="T3305">
        <v>-0.16197839999999999</v>
      </c>
      <c r="U3305">
        <v>-0.56091309999999905</v>
      </c>
      <c r="V3305">
        <v>-6.2766429999999998E-2</v>
      </c>
      <c r="W3305">
        <v>1.958418E-2</v>
      </c>
      <c r="X3305">
        <v>0.997836099999999</v>
      </c>
      <c r="Y3305">
        <v>0.14687449999999999</v>
      </c>
      <c r="Z3305">
        <v>-1.9826789999999898E-3</v>
      </c>
      <c r="AA3305">
        <v>0.98915309999999901</v>
      </c>
      <c r="AB3305">
        <v>31</v>
      </c>
      <c r="AC3305">
        <v>19.9101999999999</v>
      </c>
      <c r="AD3305">
        <v>-1.1029614286460001</v>
      </c>
      <c r="AE3305">
        <v>-3.7956999999999801</v>
      </c>
      <c r="AF3305">
        <v>3.0635990743180499</v>
      </c>
      <c r="AG3305">
        <v>-1.1029614286460001</v>
      </c>
      <c r="AH3305">
        <v>19.975371835327401</v>
      </c>
      <c r="AI3305">
        <v>93.123984233826306</v>
      </c>
      <c r="AJ3305">
        <v>81.280556888353203</v>
      </c>
      <c r="AK3305">
        <v>20.2390128998634</v>
      </c>
    </row>
    <row r="3306" spans="1:37" x14ac:dyDescent="0.2">
      <c r="A3306" t="str">
        <f>"20200111155610917"</f>
        <v>20200111155610917</v>
      </c>
      <c r="B3306" t="str">
        <f>"1578729370905480"</f>
        <v>1578729370905480</v>
      </c>
      <c r="C3306" t="s">
        <v>37</v>
      </c>
      <c r="D3306">
        <v>5.216215</v>
      </c>
      <c r="E3306">
        <v>0.57705790000000001</v>
      </c>
      <c r="F3306" t="s">
        <v>61</v>
      </c>
      <c r="G3306">
        <v>-423.55799999999999</v>
      </c>
      <c r="H3306" s="1">
        <v>3.69087899999999E-6</v>
      </c>
      <c r="I3306">
        <v>210.52799999999999</v>
      </c>
      <c r="J3306">
        <v>-443.89599999999899</v>
      </c>
      <c r="K3306">
        <v>1.1030089999999999</v>
      </c>
      <c r="L3306">
        <v>214.1704</v>
      </c>
      <c r="M3306">
        <v>0.99932909999999997</v>
      </c>
      <c r="N3306">
        <v>0</v>
      </c>
      <c r="O3306">
        <v>-3.6596450000000003E-2</v>
      </c>
      <c r="P3306">
        <v>0.99950019999999995</v>
      </c>
      <c r="Q3306">
        <v>1.7746660000000001E-2</v>
      </c>
      <c r="R3306">
        <v>2.6167309999999999E-2</v>
      </c>
      <c r="S3306">
        <v>3.0187680000000001</v>
      </c>
      <c r="T3306">
        <v>-0.161209299999999</v>
      </c>
      <c r="U3306">
        <v>-0.53410340000000001</v>
      </c>
      <c r="V3306">
        <v>-6.2712069999999995E-2</v>
      </c>
      <c r="W3306">
        <v>1.9300520000000002E-2</v>
      </c>
      <c r="X3306">
        <v>0.99784499999999998</v>
      </c>
      <c r="Y3306">
        <v>0.13792850000000001</v>
      </c>
      <c r="Z3306">
        <v>-1.7158779999999899E-3</v>
      </c>
      <c r="AA3306">
        <v>0.99044069999999995</v>
      </c>
      <c r="AB3306">
        <v>31</v>
      </c>
      <c r="AC3306">
        <v>20.337999999999901</v>
      </c>
      <c r="AD3306">
        <v>-1.1030053091209999</v>
      </c>
      <c r="AE3306">
        <v>-3.6423999999999999</v>
      </c>
      <c r="AF3306">
        <v>2.8874318257447502</v>
      </c>
      <c r="AG3306">
        <v>-1.1030053091209999</v>
      </c>
      <c r="AH3306">
        <v>20.3995387227124</v>
      </c>
      <c r="AI3306">
        <v>93.064488611351905</v>
      </c>
      <c r="AJ3306">
        <v>81.943645285949501</v>
      </c>
      <c r="AK3306">
        <v>20.632379003879201</v>
      </c>
    </row>
    <row r="3307" spans="1:37" x14ac:dyDescent="0.2">
      <c r="A3307" t="str">
        <f>"20200111155610937"</f>
        <v>20200111155610937</v>
      </c>
      <c r="B3307" t="str">
        <f>"1578729370925975"</f>
        <v>1578729370925975</v>
      </c>
      <c r="C3307" t="s">
        <v>37</v>
      </c>
      <c r="D3307">
        <v>5.2583690000000001</v>
      </c>
      <c r="E3307">
        <v>0.576049699999999</v>
      </c>
      <c r="F3307" t="s">
        <v>61</v>
      </c>
      <c r="G3307">
        <v>-424.0027</v>
      </c>
      <c r="H3307" s="1">
        <v>3.5960759999999999E-6</v>
      </c>
      <c r="I3307">
        <v>210.71</v>
      </c>
      <c r="J3307">
        <v>-443.6087</v>
      </c>
      <c r="K3307">
        <v>1.1030599999999999</v>
      </c>
      <c r="L3307">
        <v>214.15950000000001</v>
      </c>
      <c r="M3307">
        <v>0.99931479999999995</v>
      </c>
      <c r="N3307">
        <v>0</v>
      </c>
      <c r="O3307">
        <v>-3.6968000000000001E-2</v>
      </c>
      <c r="P3307">
        <v>0.9995233</v>
      </c>
      <c r="Q3307">
        <v>1.723483E-2</v>
      </c>
      <c r="R3307">
        <v>2.5621999999999999E-2</v>
      </c>
      <c r="S3307">
        <v>3.01821899999999</v>
      </c>
      <c r="T3307">
        <v>-0.16734859999999999</v>
      </c>
      <c r="U3307">
        <v>-0.52500919999999995</v>
      </c>
      <c r="V3307">
        <v>-6.2539070000000002E-2</v>
      </c>
      <c r="W3307">
        <v>1.9137000000000001E-2</v>
      </c>
      <c r="X3307">
        <v>0.99785900000000005</v>
      </c>
      <c r="Y3307">
        <v>0.13468949999999999</v>
      </c>
      <c r="Z3307">
        <v>-1.672432E-3</v>
      </c>
      <c r="AA3307">
        <v>0.99088639999999995</v>
      </c>
      <c r="AB3307">
        <v>31</v>
      </c>
      <c r="AC3307">
        <v>19.605999999999899</v>
      </c>
      <c r="AD3307">
        <v>-1.1030564039239901</v>
      </c>
      <c r="AE3307">
        <v>-3.4495</v>
      </c>
      <c r="AF3307">
        <v>2.7140135084326</v>
      </c>
      <c r="AG3307">
        <v>-1.1030564039239901</v>
      </c>
      <c r="AH3307">
        <v>19.6597586834163</v>
      </c>
      <c r="AI3307">
        <v>93.181238318780004</v>
      </c>
      <c r="AJ3307">
        <v>82.1400441074464</v>
      </c>
      <c r="AK3307">
        <v>19.876838638082098</v>
      </c>
    </row>
    <row r="3308" spans="1:37" x14ac:dyDescent="0.2">
      <c r="A3308" t="str">
        <f>"20200111155610961"</f>
        <v>20200111155610961</v>
      </c>
      <c r="B3308" t="str">
        <f>"1578729370956232"</f>
        <v>1578729370956232</v>
      </c>
      <c r="C3308" t="s">
        <v>37</v>
      </c>
      <c r="D3308">
        <v>5.4151590000000001</v>
      </c>
      <c r="E3308">
        <v>0.57518219999999898</v>
      </c>
      <c r="F3308" t="s">
        <v>61</v>
      </c>
      <c r="G3308">
        <v>-424.3426</v>
      </c>
      <c r="H3308" s="1">
        <v>3.5234929999999998E-6</v>
      </c>
      <c r="I3308">
        <v>210.85069999999999</v>
      </c>
      <c r="J3308">
        <v>-443.29079999999999</v>
      </c>
      <c r="K3308">
        <v>1.1031260000000001</v>
      </c>
      <c r="L3308">
        <v>214.1473</v>
      </c>
      <c r="M3308">
        <v>0.99929849999999998</v>
      </c>
      <c r="N3308">
        <v>0</v>
      </c>
      <c r="O3308">
        <v>-3.7380040000000003E-2</v>
      </c>
      <c r="P3308">
        <v>0.99951250000000003</v>
      </c>
      <c r="Q3308">
        <v>1.7891509999999999E-2</v>
      </c>
      <c r="R3308">
        <v>2.558856E-2</v>
      </c>
      <c r="S3308">
        <v>3.0176699999999999</v>
      </c>
      <c r="T3308">
        <v>-0.17277310000000001</v>
      </c>
      <c r="U3308">
        <v>-0.51826479999999997</v>
      </c>
      <c r="V3308">
        <v>-6.2915499999999999E-2</v>
      </c>
      <c r="W3308">
        <v>2.023732E-2</v>
      </c>
      <c r="X3308">
        <v>0.99781359999999997</v>
      </c>
      <c r="Y3308">
        <v>0.13215560000000001</v>
      </c>
      <c r="Z3308">
        <v>-1.631864E-3</v>
      </c>
      <c r="AA3308">
        <v>0.99122759999999999</v>
      </c>
      <c r="AB3308">
        <v>31</v>
      </c>
      <c r="AC3308">
        <v>18.9481999999999</v>
      </c>
      <c r="AD3308">
        <v>-1.103122476507</v>
      </c>
      <c r="AE3308">
        <v>-3.29660000000001</v>
      </c>
      <c r="AF3308">
        <v>2.5775303445590398</v>
      </c>
      <c r="AG3308">
        <v>-1.103122476507</v>
      </c>
      <c r="AH3308">
        <v>18.995694009320399</v>
      </c>
      <c r="AI3308">
        <v>93.293447845796294</v>
      </c>
      <c r="AJ3308">
        <v>82.272715616033807</v>
      </c>
      <c r="AK3308">
        <v>19.2014825670059</v>
      </c>
    </row>
    <row r="3309" spans="1:37" x14ac:dyDescent="0.2">
      <c r="A3309" t="str">
        <f>"20200111155610983"</f>
        <v>20200111155610983</v>
      </c>
      <c r="B3309" t="str">
        <f>"1578729370975752"</f>
        <v>1578729370975752</v>
      </c>
      <c r="C3309" t="s">
        <v>37</v>
      </c>
      <c r="D3309">
        <v>5.2086649999999999</v>
      </c>
      <c r="E3309">
        <v>0.57490350000000001</v>
      </c>
      <c r="F3309" t="s">
        <v>40</v>
      </c>
      <c r="G3309">
        <v>-442.30669999999998</v>
      </c>
      <c r="H3309">
        <v>1.0458240000000001</v>
      </c>
      <c r="I3309">
        <v>213.9803</v>
      </c>
      <c r="J3309">
        <v>-442.96140000000003</v>
      </c>
      <c r="K3309">
        <v>1.1032029999999999</v>
      </c>
      <c r="L3309">
        <v>214.13460000000001</v>
      </c>
      <c r="M3309">
        <v>0.99928119999999998</v>
      </c>
      <c r="N3309">
        <v>0</v>
      </c>
      <c r="O3309">
        <v>-3.7809580000000002E-2</v>
      </c>
      <c r="P3309">
        <v>0.99949370000000004</v>
      </c>
      <c r="Q3309">
        <v>1.9013289999999999E-2</v>
      </c>
      <c r="R3309">
        <v>2.5513859999999999E-2</v>
      </c>
      <c r="S3309">
        <v>3.0176699999999999</v>
      </c>
      <c r="T3309">
        <v>-0.17579620000000001</v>
      </c>
      <c r="U3309">
        <v>-0.51092529999999903</v>
      </c>
      <c r="V3309">
        <v>-6.3267309999999993E-2</v>
      </c>
      <c r="W3309">
        <v>2.1869179999999998E-2</v>
      </c>
      <c r="X3309">
        <v>0.99775700000000001</v>
      </c>
      <c r="Y3309">
        <v>0.12938620000000001</v>
      </c>
      <c r="Z3309">
        <v>-1.5558739999999901E-3</v>
      </c>
      <c r="AA3309">
        <v>0.99159310000000001</v>
      </c>
      <c r="AB3309">
        <v>31</v>
      </c>
      <c r="AC3309">
        <v>0.65470000000004802</v>
      </c>
      <c r="AD3309">
        <v>-5.7378999999999999E-2</v>
      </c>
      <c r="AE3309">
        <v>-0.15430000000000599</v>
      </c>
      <c r="AF3309">
        <v>0.128500562326851</v>
      </c>
      <c r="AG3309">
        <v>-5.7378999999999999E-2</v>
      </c>
      <c r="AH3309">
        <v>0.65529738981385899</v>
      </c>
      <c r="AI3309">
        <v>94.911094317079801</v>
      </c>
      <c r="AJ3309">
        <v>78.905361085114805</v>
      </c>
      <c r="AK3309">
        <v>0.67023832571419995</v>
      </c>
    </row>
    <row r="3310" spans="1:37" x14ac:dyDescent="0.2">
      <c r="A3310" t="str">
        <f>"20200111155611027"</f>
        <v>20200111155611027</v>
      </c>
      <c r="B3310" t="str">
        <f>"1578729371015768"</f>
        <v>1578729371015768</v>
      </c>
      <c r="C3310" t="s">
        <v>37</v>
      </c>
      <c r="D3310">
        <v>5.213857</v>
      </c>
      <c r="E3310">
        <v>0.57469979999999998</v>
      </c>
      <c r="F3310" t="s">
        <v>40</v>
      </c>
      <c r="G3310">
        <v>-442.02339999999998</v>
      </c>
      <c r="H3310">
        <v>1.049248</v>
      </c>
      <c r="I3310">
        <v>213.97620000000001</v>
      </c>
      <c r="J3310">
        <v>-442.34519999999998</v>
      </c>
      <c r="K3310">
        <v>1.10334</v>
      </c>
      <c r="L3310">
        <v>214.1103</v>
      </c>
      <c r="M3310">
        <v>0.99924679999999999</v>
      </c>
      <c r="N3310">
        <v>0</v>
      </c>
      <c r="O3310">
        <v>-3.8617770000000003E-2</v>
      </c>
      <c r="P3310">
        <v>0.99951849999999998</v>
      </c>
      <c r="Q3310">
        <v>1.965832E-2</v>
      </c>
      <c r="R3310">
        <v>2.400737E-2</v>
      </c>
      <c r="S3310">
        <v>3.0178529999999899</v>
      </c>
      <c r="T3310">
        <v>-0.1736287</v>
      </c>
      <c r="U3310">
        <v>-0.50907899999999995</v>
      </c>
      <c r="V3310">
        <v>-6.2567940000000002E-2</v>
      </c>
      <c r="W3310">
        <v>2.352433E-2</v>
      </c>
      <c r="X3310">
        <v>0.99776350000000003</v>
      </c>
      <c r="Y3310">
        <v>0.12799140000000001</v>
      </c>
      <c r="Z3310">
        <v>-1.4508500000000001E-3</v>
      </c>
      <c r="AA3310">
        <v>0.99177420000000005</v>
      </c>
      <c r="AB3310">
        <v>31</v>
      </c>
      <c r="AC3310">
        <v>0.32179999999999598</v>
      </c>
      <c r="AD3310">
        <v>-5.4092000000000001E-2</v>
      </c>
      <c r="AE3310">
        <v>-0.13409999999998901</v>
      </c>
      <c r="AF3310">
        <v>0.118714704555483</v>
      </c>
      <c r="AG3310">
        <v>-5.4092000000000001E-2</v>
      </c>
      <c r="AH3310">
        <v>0.31905754255966801</v>
      </c>
      <c r="AI3310">
        <v>99.028496898293994</v>
      </c>
      <c r="AJ3310">
        <v>69.590808230402502</v>
      </c>
      <c r="AK3310">
        <v>0.34469818828347498</v>
      </c>
    </row>
    <row r="3311" spans="1:37" x14ac:dyDescent="0.2">
      <c r="A3311" t="str">
        <f>"20200111155611048"</f>
        <v>20200111155611048</v>
      </c>
      <c r="B3311" t="str">
        <f>"1578729371046024"</f>
        <v>1578729371046024</v>
      </c>
      <c r="C3311" t="s">
        <v>37</v>
      </c>
      <c r="D3311">
        <v>5.1899389999999999</v>
      </c>
      <c r="E3311">
        <v>0.57448880000000002</v>
      </c>
      <c r="F3311" t="s">
        <v>40</v>
      </c>
      <c r="G3311">
        <v>-441.45780000000002</v>
      </c>
      <c r="H3311">
        <v>1.052171</v>
      </c>
      <c r="I3311">
        <v>213.95959999999999</v>
      </c>
      <c r="J3311">
        <v>-442.04020000000003</v>
      </c>
      <c r="K3311">
        <v>1.103402</v>
      </c>
      <c r="L3311">
        <v>214.09809999999999</v>
      </c>
      <c r="M3311">
        <v>0.99922909999999998</v>
      </c>
      <c r="N3311">
        <v>0</v>
      </c>
      <c r="O3311">
        <v>-3.901839E-2</v>
      </c>
      <c r="P3311">
        <v>0.99955819999999995</v>
      </c>
      <c r="Q3311">
        <v>1.9185150000000002E-2</v>
      </c>
      <c r="R3311">
        <v>2.2708140000000002E-2</v>
      </c>
      <c r="S3311">
        <v>3.0172119999999998</v>
      </c>
      <c r="T3311">
        <v>-0.17396589999999901</v>
      </c>
      <c r="U3311">
        <v>-0.51211549999999995</v>
      </c>
      <c r="V3311">
        <v>-6.1671490000000002E-2</v>
      </c>
      <c r="W3311">
        <v>2.3574379999999999E-2</v>
      </c>
      <c r="X3311">
        <v>0.99781810000000004</v>
      </c>
      <c r="Y3311">
        <v>0.12859769999999901</v>
      </c>
      <c r="Z3311">
        <v>-1.4483250000000001E-3</v>
      </c>
      <c r="AA3311">
        <v>0.99169580000000002</v>
      </c>
      <c r="AB3311">
        <v>31</v>
      </c>
      <c r="AC3311">
        <v>0.58240000000000602</v>
      </c>
      <c r="AD3311">
        <v>-5.1230999999999999E-2</v>
      </c>
      <c r="AE3311">
        <v>-0.13849999999999299</v>
      </c>
      <c r="AF3311">
        <v>0.114829030258954</v>
      </c>
      <c r="AG3311">
        <v>-5.1230999999999999E-2</v>
      </c>
      <c r="AH3311">
        <v>0.5830901996415</v>
      </c>
      <c r="AI3311">
        <v>94.927029124855693</v>
      </c>
      <c r="AJ3311">
        <v>78.859197779415396</v>
      </c>
      <c r="AK3311">
        <v>0.59649350580637195</v>
      </c>
    </row>
    <row r="3312" spans="1:37" x14ac:dyDescent="0.2">
      <c r="A3312" t="str">
        <f>"20200111155611073"</f>
        <v>20200111155611073</v>
      </c>
      <c r="B3312" t="str">
        <f>"1578729371065544"</f>
        <v>1578729371065544</v>
      </c>
      <c r="C3312" t="s">
        <v>37</v>
      </c>
      <c r="D3312">
        <v>5.2048889999999997</v>
      </c>
      <c r="E3312">
        <v>0.56949019999999995</v>
      </c>
      <c r="F3312" t="s">
        <v>40</v>
      </c>
      <c r="G3312">
        <v>-441.17509999999999</v>
      </c>
      <c r="H3312">
        <v>1.0525579999999899</v>
      </c>
      <c r="I3312">
        <v>213.9502</v>
      </c>
      <c r="J3312">
        <v>-441.69740000000002</v>
      </c>
      <c r="K3312">
        <v>1.103478</v>
      </c>
      <c r="L3312">
        <v>214.08430000000001</v>
      </c>
      <c r="M3312">
        <v>0.99920889999999996</v>
      </c>
      <c r="N3312">
        <v>0</v>
      </c>
      <c r="O3312">
        <v>-3.9461330000000003E-2</v>
      </c>
      <c r="P3312">
        <v>0.99957320000000005</v>
      </c>
      <c r="Q3312">
        <v>1.9251890000000001E-2</v>
      </c>
      <c r="R3312">
        <v>2.197698E-2</v>
      </c>
      <c r="S3312">
        <v>3.0163880000000001</v>
      </c>
      <c r="T3312">
        <v>-0.1774416</v>
      </c>
      <c r="U3312">
        <v>-0.51445010000000002</v>
      </c>
      <c r="V3312">
        <v>-6.1383590000000002E-2</v>
      </c>
      <c r="W3312">
        <v>2.4248909999999999E-2</v>
      </c>
      <c r="X3312">
        <v>0.99781969999999998</v>
      </c>
      <c r="Y3312">
        <v>0.1289429</v>
      </c>
      <c r="Z3312">
        <v>-1.4618000000000001E-3</v>
      </c>
      <c r="AA3312">
        <v>0.9916509</v>
      </c>
      <c r="AB3312">
        <v>32</v>
      </c>
      <c r="AC3312">
        <v>0.52230000000002896</v>
      </c>
      <c r="AD3312">
        <v>-5.092E-2</v>
      </c>
      <c r="AE3312">
        <v>-0.13410000000001701</v>
      </c>
      <c r="AF3312">
        <v>0.11238254308868199</v>
      </c>
      <c r="AG3312">
        <v>-5.092E-2</v>
      </c>
      <c r="AH3312">
        <v>0.52252570830550304</v>
      </c>
      <c r="AI3312">
        <v>95.442209244288406</v>
      </c>
      <c r="AJ3312">
        <v>77.861978364915103</v>
      </c>
      <c r="AK3312">
        <v>0.53689458763452502</v>
      </c>
    </row>
    <row r="3313" spans="1:37" x14ac:dyDescent="0.2">
      <c r="A3313" t="str">
        <f>"20200111155611094"</f>
        <v>20200111155611094</v>
      </c>
      <c r="B3313" t="str">
        <f>"1578729371086040"</f>
        <v>1578729371086040</v>
      </c>
      <c r="C3313" t="s">
        <v>37</v>
      </c>
      <c r="D3313">
        <v>5.1358160000000002</v>
      </c>
      <c r="E3313">
        <v>0.57319730000000002</v>
      </c>
      <c r="F3313" t="s">
        <v>61</v>
      </c>
      <c r="G3313">
        <v>-408.81060000000002</v>
      </c>
      <c r="H3313">
        <v>4.3439140000000001E-2</v>
      </c>
      <c r="I3313">
        <v>208.8364</v>
      </c>
      <c r="J3313">
        <v>-441.38699999999898</v>
      </c>
      <c r="K3313">
        <v>1.103564</v>
      </c>
      <c r="L3313">
        <v>214.07159999999999</v>
      </c>
      <c r="M3313">
        <v>0.99919069999999899</v>
      </c>
      <c r="N3313">
        <v>0</v>
      </c>
      <c r="O3313">
        <v>-3.9842870000000002E-2</v>
      </c>
      <c r="P3313">
        <v>0.99956650000000002</v>
      </c>
      <c r="Q3313">
        <v>2.0237680000000001E-2</v>
      </c>
      <c r="R3313">
        <v>2.1385270000000001E-2</v>
      </c>
      <c r="S3313">
        <v>3.0137330000000002</v>
      </c>
      <c r="T3313">
        <v>-9.7141740000000004E-2</v>
      </c>
      <c r="U3313">
        <v>-0.48091129999999999</v>
      </c>
      <c r="V3313">
        <v>-6.1172339999999999E-2</v>
      </c>
      <c r="W3313">
        <v>2.5801480000000002E-2</v>
      </c>
      <c r="X3313">
        <v>0.99779370000000001</v>
      </c>
      <c r="Y3313">
        <v>0.1180692</v>
      </c>
      <c r="Z3313">
        <v>-6.1580269999999995E-4</v>
      </c>
      <c r="AA3313">
        <v>0.99300519999999903</v>
      </c>
      <c r="AB3313">
        <v>32</v>
      </c>
      <c r="AC3313">
        <v>32.5763999999999</v>
      </c>
      <c r="AD3313">
        <v>-1.0601248599999999</v>
      </c>
      <c r="AE3313">
        <v>-5.2351999999999901</v>
      </c>
      <c r="AF3313">
        <v>3.9290296439892001</v>
      </c>
      <c r="AG3313">
        <v>-1.0601248599999999</v>
      </c>
      <c r="AH3313">
        <v>32.725336187063199</v>
      </c>
      <c r="AI3313">
        <v>91.842205601136698</v>
      </c>
      <c r="AJ3313">
        <v>83.153793168648306</v>
      </c>
      <c r="AK3313">
        <v>32.977397823637403</v>
      </c>
    </row>
    <row r="3314" spans="1:37" x14ac:dyDescent="0.2">
      <c r="A3314" t="str">
        <f>"20200111155611118"</f>
        <v>20200111155611118</v>
      </c>
      <c r="B3314" t="str">
        <f>"1578729371105559"</f>
        <v>1578729371105559</v>
      </c>
      <c r="C3314" t="s">
        <v>37</v>
      </c>
      <c r="D3314">
        <v>5.1253409999999997</v>
      </c>
      <c r="E3314">
        <v>0.57344910000000004</v>
      </c>
      <c r="F3314" t="s">
        <v>40</v>
      </c>
      <c r="G3314">
        <v>-440.60919999999999</v>
      </c>
      <c r="H3314">
        <v>1.053542</v>
      </c>
      <c r="I3314">
        <v>213.94059999999999</v>
      </c>
      <c r="J3314">
        <v>-441.06</v>
      </c>
      <c r="K3314">
        <v>1.103669</v>
      </c>
      <c r="L3314">
        <v>214.0582</v>
      </c>
      <c r="M3314">
        <v>0.99917259999999997</v>
      </c>
      <c r="N3314">
        <v>0</v>
      </c>
      <c r="O3314">
        <v>-4.0206499999999999E-2</v>
      </c>
      <c r="P3314">
        <v>0.99958440000000004</v>
      </c>
      <c r="Q3314">
        <v>2.0287779999999998E-2</v>
      </c>
      <c r="R3314">
        <v>2.0489710000000001E-2</v>
      </c>
      <c r="S3314">
        <v>3.0160830000000001</v>
      </c>
      <c r="T3314">
        <v>-0.19406760000000001</v>
      </c>
      <c r="U3314">
        <v>-0.50679019999999997</v>
      </c>
      <c r="V3314">
        <v>-6.06422E-2</v>
      </c>
      <c r="W3314">
        <v>2.6471209999999998E-2</v>
      </c>
      <c r="X3314">
        <v>0.99780849999999899</v>
      </c>
      <c r="Y3314">
        <v>0.1257491</v>
      </c>
      <c r="Z3314">
        <v>-1.449559E-3</v>
      </c>
      <c r="AA3314">
        <v>0.99206099999999997</v>
      </c>
      <c r="AB3314">
        <v>32</v>
      </c>
      <c r="AC3314">
        <v>0.45080000000001502</v>
      </c>
      <c r="AD3314">
        <v>-5.0126999999999998E-2</v>
      </c>
      <c r="AE3314">
        <v>-0.11760000000001</v>
      </c>
      <c r="AF3314">
        <v>9.8242158652550204E-2</v>
      </c>
      <c r="AG3314">
        <v>-5.0126999999999998E-2</v>
      </c>
      <c r="AH3314">
        <v>0.44995486964574</v>
      </c>
      <c r="AI3314">
        <v>96.211645573412397</v>
      </c>
      <c r="AJ3314">
        <v>77.683453182175299</v>
      </c>
      <c r="AK3314">
        <v>0.46327488879026002</v>
      </c>
    </row>
    <row r="3315" spans="1:37" x14ac:dyDescent="0.2">
      <c r="A3315" t="str">
        <f>"20200111155611140"</f>
        <v>20200111155611140</v>
      </c>
      <c r="B3315" t="str">
        <f>"1578729371135816"</f>
        <v>1578729371135816</v>
      </c>
      <c r="C3315" t="s">
        <v>37</v>
      </c>
      <c r="D3315">
        <v>5.1071</v>
      </c>
      <c r="E3315">
        <v>0.57369680000000001</v>
      </c>
      <c r="F3315" t="s">
        <v>40</v>
      </c>
      <c r="G3315">
        <v>-440.3141</v>
      </c>
      <c r="H3315">
        <v>1.0559909999999999</v>
      </c>
      <c r="I3315">
        <v>213.9316</v>
      </c>
      <c r="J3315">
        <v>-440.76650000000001</v>
      </c>
      <c r="K3315">
        <v>1.103783</v>
      </c>
      <c r="L3315">
        <v>214.0461</v>
      </c>
      <c r="M3315">
        <v>0.99915830000000005</v>
      </c>
      <c r="N3315">
        <v>0</v>
      </c>
      <c r="O3315">
        <v>-4.0466759999999997E-2</v>
      </c>
      <c r="P3315">
        <v>0.99960769999999899</v>
      </c>
      <c r="Q3315">
        <v>1.9897129999999999E-2</v>
      </c>
      <c r="R3315">
        <v>1.9716999999999998E-2</v>
      </c>
      <c r="S3315">
        <v>3.0156559999999999</v>
      </c>
      <c r="T3315">
        <v>-0.19264890000000001</v>
      </c>
      <c r="U3315">
        <v>-0.51139829999999997</v>
      </c>
      <c r="V3315">
        <v>-6.0133270000000003E-2</v>
      </c>
      <c r="W3315">
        <v>2.6659490000000001E-2</v>
      </c>
      <c r="X3315">
        <v>0.99783429999999995</v>
      </c>
      <c r="Y3315">
        <v>0.12698789999999999</v>
      </c>
      <c r="Z3315">
        <v>-1.46181E-3</v>
      </c>
      <c r="AA3315">
        <v>0.99190319999999899</v>
      </c>
      <c r="AB3315">
        <v>32</v>
      </c>
      <c r="AC3315">
        <v>0.45240000000001102</v>
      </c>
      <c r="AD3315">
        <v>-4.7792000000000001E-2</v>
      </c>
      <c r="AE3315">
        <v>-0.114499999999992</v>
      </c>
      <c r="AF3315">
        <v>9.5101192771061605E-2</v>
      </c>
      <c r="AG3315">
        <v>-4.7792000000000001E-2</v>
      </c>
      <c r="AH3315">
        <v>0.45192311074272401</v>
      </c>
      <c r="AI3315">
        <v>95.908277311414096</v>
      </c>
      <c r="AJ3315">
        <v>78.116260599769703</v>
      </c>
      <c r="AK3315">
        <v>0.46428742192079597</v>
      </c>
    </row>
    <row r="3316" spans="1:37" x14ac:dyDescent="0.2">
      <c r="A3316" t="str">
        <f>"20200111155611161"</f>
        <v>20200111155611161</v>
      </c>
      <c r="B3316" t="str">
        <f>"1578729371155561"</f>
        <v>1578729371155561</v>
      </c>
      <c r="C3316" t="s">
        <v>37</v>
      </c>
      <c r="D3316">
        <v>5.0987749999999998</v>
      </c>
      <c r="E3316">
        <v>0.5733663</v>
      </c>
      <c r="F3316" t="s">
        <v>40</v>
      </c>
      <c r="G3316">
        <v>-439.77069999999998</v>
      </c>
      <c r="H3316">
        <v>1.0393749999999999</v>
      </c>
      <c r="I3316">
        <v>213.87569999999999</v>
      </c>
      <c r="J3316">
        <v>-440.44869999999997</v>
      </c>
      <c r="K3316">
        <v>1.103925</v>
      </c>
      <c r="L3316">
        <v>214.03290000000001</v>
      </c>
      <c r="M3316">
        <v>0.99914559999999997</v>
      </c>
      <c r="N3316">
        <v>0</v>
      </c>
      <c r="O3316">
        <v>-4.0662370000000003E-2</v>
      </c>
      <c r="P3316">
        <v>0.99963049999999998</v>
      </c>
      <c r="Q3316">
        <v>1.9339760000000001E-2</v>
      </c>
      <c r="R3316">
        <v>1.910309E-2</v>
      </c>
      <c r="S3316">
        <v>3.0151979999999998</v>
      </c>
      <c r="T3316">
        <v>-0.19505620000000001</v>
      </c>
      <c r="U3316">
        <v>-0.51515200000000005</v>
      </c>
      <c r="V3316">
        <v>-5.9720580000000002E-2</v>
      </c>
      <c r="W3316">
        <v>2.6756729999999999E-2</v>
      </c>
      <c r="X3316">
        <v>0.99785639999999998</v>
      </c>
      <c r="Y3316">
        <v>0.1280124</v>
      </c>
      <c r="Z3316">
        <v>-1.500452E-3</v>
      </c>
      <c r="AA3316">
        <v>0.99177150000000003</v>
      </c>
      <c r="AB3316">
        <v>32</v>
      </c>
      <c r="AC3316">
        <v>0.67799999999999705</v>
      </c>
      <c r="AD3316">
        <v>-6.4550000000000093E-2</v>
      </c>
      <c r="AE3316">
        <v>-0.15720000000001699</v>
      </c>
      <c r="AF3316">
        <v>0.12839569845312199</v>
      </c>
      <c r="AG3316">
        <v>-6.4550000000000093E-2</v>
      </c>
      <c r="AH3316">
        <v>0.677999471710094</v>
      </c>
      <c r="AI3316">
        <v>95.344123129338996</v>
      </c>
      <c r="AJ3316">
        <v>79.276635871214793</v>
      </c>
      <c r="AK3316">
        <v>0.69306236481317596</v>
      </c>
    </row>
    <row r="3317" spans="1:37" x14ac:dyDescent="0.2">
      <c r="A3317" t="str">
        <f>"20200111155611206"</f>
        <v>20200111155611206</v>
      </c>
      <c r="B3317" t="str">
        <f>"1578729371195576"</f>
        <v>1578729371195576</v>
      </c>
      <c r="C3317" t="s">
        <v>37</v>
      </c>
      <c r="D3317">
        <v>5.1729769999999897</v>
      </c>
      <c r="E3317">
        <v>0.57318190000000002</v>
      </c>
      <c r="F3317" t="s">
        <v>40</v>
      </c>
      <c r="G3317">
        <v>-439.48630000000003</v>
      </c>
      <c r="H3317">
        <v>1.04193</v>
      </c>
      <c r="I3317">
        <v>213.86850000000001</v>
      </c>
      <c r="J3317">
        <v>-439.81670000000003</v>
      </c>
      <c r="K3317">
        <v>1.1042130000000001</v>
      </c>
      <c r="L3317">
        <v>214.0069</v>
      </c>
      <c r="M3317">
        <v>0.99912670000000003</v>
      </c>
      <c r="N3317">
        <v>0</v>
      </c>
      <c r="O3317">
        <v>-4.0863570000000002E-2</v>
      </c>
      <c r="P3317">
        <v>0.9996408</v>
      </c>
      <c r="Q3317">
        <v>1.8959159999999999E-2</v>
      </c>
      <c r="R3317">
        <v>1.8941360000000001E-2</v>
      </c>
      <c r="S3317">
        <v>3.0147089999999999</v>
      </c>
      <c r="T3317">
        <v>-0.19429279999999999</v>
      </c>
      <c r="U3317">
        <v>-0.51449579999999995</v>
      </c>
      <c r="V3317">
        <v>-5.976807E-2</v>
      </c>
      <c r="W3317">
        <v>2.7688129999999998E-2</v>
      </c>
      <c r="X3317">
        <v>0.99782819999999905</v>
      </c>
      <c r="Y3317">
        <v>0.12763169999999999</v>
      </c>
      <c r="Z3317">
        <v>-1.469829E-3</v>
      </c>
      <c r="AA3317">
        <v>0.99182060000000005</v>
      </c>
      <c r="AB3317">
        <v>32</v>
      </c>
      <c r="AC3317">
        <v>0.33039999999999697</v>
      </c>
      <c r="AD3317">
        <v>-6.2282999999999797E-2</v>
      </c>
      <c r="AE3317">
        <v>-0.13839999999999</v>
      </c>
      <c r="AF3317">
        <v>0.12112097514244601</v>
      </c>
      <c r="AG3317">
        <v>-6.2282999999999797E-2</v>
      </c>
      <c r="AH3317">
        <v>0.32592672879186901</v>
      </c>
      <c r="AI3317">
        <v>100.15547048829301</v>
      </c>
      <c r="AJ3317">
        <v>69.613914034184802</v>
      </c>
      <c r="AK3317">
        <v>0.35323886429642098</v>
      </c>
    </row>
    <row r="3318" spans="1:37" x14ac:dyDescent="0.2">
      <c r="A3318" t="str">
        <f>"20200111155611228"</f>
        <v>20200111155611228</v>
      </c>
      <c r="B3318" t="str">
        <f>"1578729371225833"</f>
        <v>1578729371225833</v>
      </c>
      <c r="C3318" t="s">
        <v>37</v>
      </c>
      <c r="D3318">
        <v>4.9687029999999996</v>
      </c>
      <c r="E3318">
        <v>0.53597649999999997</v>
      </c>
      <c r="F3318" t="s">
        <v>40</v>
      </c>
      <c r="G3318">
        <v>-438.91950000000003</v>
      </c>
      <c r="H3318">
        <v>1.0458049999999901</v>
      </c>
      <c r="I3318">
        <v>213.8537</v>
      </c>
      <c r="J3318">
        <v>-439.4991</v>
      </c>
      <c r="K3318">
        <v>1.10436</v>
      </c>
      <c r="L3318">
        <v>213.9939</v>
      </c>
      <c r="M3318">
        <v>0.99912119999999904</v>
      </c>
      <c r="N3318">
        <v>0</v>
      </c>
      <c r="O3318">
        <v>-4.0846760000000003E-2</v>
      </c>
      <c r="P3318">
        <v>0.99964929999999996</v>
      </c>
      <c r="Q3318">
        <v>1.8423220000000001E-2</v>
      </c>
      <c r="R3318">
        <v>1.9028239999999998E-2</v>
      </c>
      <c r="S3318">
        <v>3.014526</v>
      </c>
      <c r="T3318">
        <v>-0.19648889999999999</v>
      </c>
      <c r="U3318">
        <v>-0.51351930000000001</v>
      </c>
      <c r="V3318">
        <v>-5.9843510000000003E-2</v>
      </c>
      <c r="W3318">
        <v>2.7817769999999999E-2</v>
      </c>
      <c r="X3318">
        <v>0.99782009999999899</v>
      </c>
      <c r="Y3318">
        <v>0.12734239999999999</v>
      </c>
      <c r="Z3318">
        <v>-1.478252E-3</v>
      </c>
      <c r="AA3318">
        <v>0.99185769999999995</v>
      </c>
      <c r="AB3318">
        <v>32</v>
      </c>
      <c r="AC3318">
        <v>0.57959999999997003</v>
      </c>
      <c r="AD3318">
        <v>-5.85550000000001E-2</v>
      </c>
      <c r="AE3318">
        <v>-0.140199999999993</v>
      </c>
      <c r="AF3318">
        <v>0.115295452887075</v>
      </c>
      <c r="AG3318">
        <v>-5.85550000000001E-2</v>
      </c>
      <c r="AH3318">
        <v>0.57925788971562797</v>
      </c>
      <c r="AI3318">
        <v>95.661886011160405</v>
      </c>
      <c r="AJ3318">
        <v>78.742969254772206</v>
      </c>
      <c r="AK3318">
        <v>0.59351616008263697</v>
      </c>
    </row>
    <row r="3319" spans="1:37" x14ac:dyDescent="0.2">
      <c r="A3319" t="str">
        <f>"20200111155611251"</f>
        <v>20200111155611251</v>
      </c>
      <c r="B3319" t="str">
        <f>"1578729371246330"</f>
        <v>1578729371246330</v>
      </c>
      <c r="C3319" t="s">
        <v>37</v>
      </c>
      <c r="D3319">
        <v>4.898892</v>
      </c>
      <c r="E3319">
        <v>0.53527539999999996</v>
      </c>
      <c r="F3319" t="s">
        <v>61</v>
      </c>
      <c r="G3319">
        <v>-419.54289999999997</v>
      </c>
      <c r="H3319" s="1">
        <v>4.0791389999999996E-6</v>
      </c>
      <c r="I3319">
        <v>212.55</v>
      </c>
      <c r="J3319">
        <v>-439.18830000000003</v>
      </c>
      <c r="K3319">
        <v>1.104517</v>
      </c>
      <c r="L3319">
        <v>213.9813</v>
      </c>
      <c r="M3319">
        <v>0.99912009999999996</v>
      </c>
      <c r="N3319">
        <v>0</v>
      </c>
      <c r="O3319">
        <v>-4.0714189999999997E-2</v>
      </c>
      <c r="P3319">
        <v>0.99964529999999996</v>
      </c>
      <c r="Q3319">
        <v>1.821016E-2</v>
      </c>
      <c r="R3319">
        <v>1.9439640000000001E-2</v>
      </c>
      <c r="S3319">
        <v>3.00827</v>
      </c>
      <c r="T3319">
        <v>-0.16647400000000001</v>
      </c>
      <c r="U3319">
        <v>-0.21765139999999999</v>
      </c>
      <c r="V3319">
        <v>-6.0127779999999999E-2</v>
      </c>
      <c r="W3319">
        <v>2.825391E-2</v>
      </c>
      <c r="X3319">
        <v>0.99779079999999998</v>
      </c>
      <c r="Y3319">
        <v>3.1506409999999999E-2</v>
      </c>
      <c r="Z3319">
        <v>1.3772789999999999E-3</v>
      </c>
      <c r="AA3319">
        <v>0.99950260000000002</v>
      </c>
      <c r="AB3319">
        <v>31</v>
      </c>
      <c r="AC3319">
        <v>19.645399999999999</v>
      </c>
      <c r="AD3319">
        <v>-1.1045129208610001</v>
      </c>
      <c r="AE3319">
        <v>-1.43129999999999</v>
      </c>
      <c r="AF3319">
        <v>0.62825060471121796</v>
      </c>
      <c r="AG3319">
        <v>-1.1045129208610001</v>
      </c>
      <c r="AH3319">
        <v>19.625677668686301</v>
      </c>
      <c r="AI3319">
        <v>93.219503812648497</v>
      </c>
      <c r="AJ3319">
        <v>88.166492864196897</v>
      </c>
      <c r="AK3319">
        <v>19.666770745850499</v>
      </c>
    </row>
    <row r="3320" spans="1:37" x14ac:dyDescent="0.2">
      <c r="A3320" t="str">
        <f>"20200111155611273"</f>
        <v>20200111155611273</v>
      </c>
      <c r="B3320" t="str">
        <f>"1578729371265848"</f>
        <v>1578729371265848</v>
      </c>
      <c r="C3320" t="s">
        <v>37</v>
      </c>
      <c r="D3320">
        <v>4.9337540000000004</v>
      </c>
      <c r="E3320">
        <v>0.53483230000000004</v>
      </c>
      <c r="F3320" t="s">
        <v>61</v>
      </c>
      <c r="G3320">
        <v>-418.40699999999998</v>
      </c>
      <c r="H3320" s="1">
        <v>3.8802569999999998E-6</v>
      </c>
      <c r="I3320">
        <v>212.52029999999999</v>
      </c>
      <c r="J3320">
        <v>-438.8655</v>
      </c>
      <c r="K3320">
        <v>1.104698</v>
      </c>
      <c r="L3320">
        <v>213.9684</v>
      </c>
      <c r="M3320">
        <v>0.99912449999999997</v>
      </c>
      <c r="N3320">
        <v>0</v>
      </c>
      <c r="O3320">
        <v>-4.0434669999999999E-2</v>
      </c>
      <c r="P3320">
        <v>0.99964390000000003</v>
      </c>
      <c r="Q3320">
        <v>1.7707090000000002E-2</v>
      </c>
      <c r="R3320">
        <v>1.9965839999999999E-2</v>
      </c>
      <c r="S3320">
        <v>3.00808699999999</v>
      </c>
      <c r="T3320">
        <v>-0.1598782</v>
      </c>
      <c r="U3320">
        <v>-0.21147159999999901</v>
      </c>
      <c r="V3320">
        <v>-6.0382060000000001E-2</v>
      </c>
      <c r="W3320">
        <v>2.8394989999999998E-2</v>
      </c>
      <c r="X3320">
        <v>0.99777139999999997</v>
      </c>
      <c r="Y3320">
        <v>2.97481E-2</v>
      </c>
      <c r="Z3320">
        <v>1.35483E-3</v>
      </c>
      <c r="AA3320">
        <v>0.99955649999999996</v>
      </c>
      <c r="AB3320">
        <v>31</v>
      </c>
      <c r="AC3320">
        <v>20.458500000000001</v>
      </c>
      <c r="AD3320">
        <v>-1.104694119743</v>
      </c>
      <c r="AE3320">
        <v>-1.4481000000000099</v>
      </c>
      <c r="AF3320">
        <v>0.61784276870587296</v>
      </c>
      <c r="AG3320">
        <v>-1.104694119743</v>
      </c>
      <c r="AH3320">
        <v>20.441021701166299</v>
      </c>
      <c r="AI3320">
        <v>93.092017156526595</v>
      </c>
      <c r="AJ3320">
        <v>88.2687260357512</v>
      </c>
      <c r="AK3320">
        <v>20.480172044506599</v>
      </c>
    </row>
    <row r="3321" spans="1:37" x14ac:dyDescent="0.2">
      <c r="A3321" t="str">
        <f>"20200111155611295"</f>
        <v>20200111155611295</v>
      </c>
      <c r="B3321" t="str">
        <f>"1578729371285368"</f>
        <v>1578729371285368</v>
      </c>
      <c r="C3321" t="s">
        <v>37</v>
      </c>
      <c r="D3321">
        <v>5.1029640000000001</v>
      </c>
      <c r="E3321">
        <v>0.53437460000000003</v>
      </c>
      <c r="F3321" t="s">
        <v>61</v>
      </c>
      <c r="G3321">
        <v>-417.91660000000002</v>
      </c>
      <c r="H3321" s="1">
        <v>3.7922379999999899E-6</v>
      </c>
      <c r="I3321">
        <v>212.53200000000001</v>
      </c>
      <c r="J3321">
        <v>-438.5729</v>
      </c>
      <c r="K3321">
        <v>1.1048709999999999</v>
      </c>
      <c r="L3321">
        <v>213.95689999999999</v>
      </c>
      <c r="M3321">
        <v>0.99913449999999904</v>
      </c>
      <c r="N3321">
        <v>0</v>
      </c>
      <c r="O3321">
        <v>-4.0038209999999998E-2</v>
      </c>
      <c r="P3321">
        <v>0.99964560000000002</v>
      </c>
      <c r="Q3321">
        <v>1.676499E-2</v>
      </c>
      <c r="R3321">
        <v>2.0680939999999998E-2</v>
      </c>
      <c r="S3321">
        <v>3.0079959999999999</v>
      </c>
      <c r="T3321">
        <v>-0.15862000000000001</v>
      </c>
      <c r="U3321">
        <v>-0.206237799999999</v>
      </c>
      <c r="V3321">
        <v>-6.0708659999999998E-2</v>
      </c>
      <c r="W3321">
        <v>2.7992710000000001E-2</v>
      </c>
      <c r="X3321">
        <v>0.99776290000000001</v>
      </c>
      <c r="Y3321">
        <v>2.8416819999999999E-2</v>
      </c>
      <c r="Z3321">
        <v>1.358529E-3</v>
      </c>
      <c r="AA3321">
        <v>0.99959519999999902</v>
      </c>
      <c r="AB3321">
        <v>31</v>
      </c>
      <c r="AC3321">
        <v>20.656299999999899</v>
      </c>
      <c r="AD3321">
        <v>-1.1048672077619901</v>
      </c>
      <c r="AE3321">
        <v>-1.4248999999999701</v>
      </c>
      <c r="AF3321">
        <v>0.59496928373296698</v>
      </c>
      <c r="AG3321">
        <v>-1.1048672077619901</v>
      </c>
      <c r="AH3321">
        <v>20.638023320083999</v>
      </c>
      <c r="AI3321">
        <v>93.063163484660706</v>
      </c>
      <c r="AJ3321">
        <v>88.348689250346496</v>
      </c>
      <c r="AK3321">
        <v>20.676139063077098</v>
      </c>
    </row>
    <row r="3322" spans="1:37" x14ac:dyDescent="0.2">
      <c r="A3322" t="str">
        <f>"20200111155611318"</f>
        <v>20200111155611318</v>
      </c>
      <c r="B3322" t="str">
        <f>"1578729371305865"</f>
        <v>1578729371305865</v>
      </c>
      <c r="C3322" t="s">
        <v>37</v>
      </c>
      <c r="D3322">
        <v>4.8918730000000004</v>
      </c>
      <c r="E3322">
        <v>0.53437219999999996</v>
      </c>
      <c r="F3322" t="s">
        <v>61</v>
      </c>
      <c r="G3322">
        <v>-417.19130000000001</v>
      </c>
      <c r="H3322" s="1">
        <v>3.6640269999999899E-6</v>
      </c>
      <c r="I3322">
        <v>212.52690000000001</v>
      </c>
      <c r="J3322">
        <v>-438.25490000000002</v>
      </c>
      <c r="K3322">
        <v>1.105064</v>
      </c>
      <c r="L3322">
        <v>213.94470000000001</v>
      </c>
      <c r="M3322">
        <v>0.99915159999999903</v>
      </c>
      <c r="N3322">
        <v>0</v>
      </c>
      <c r="O3322">
        <v>-3.9444989999999999E-2</v>
      </c>
      <c r="P3322">
        <v>0.99965499999999996</v>
      </c>
      <c r="Q3322">
        <v>1.6090110000000001E-2</v>
      </c>
      <c r="R3322">
        <v>2.0761760000000001E-2</v>
      </c>
      <c r="S3322">
        <v>3.0078429999999998</v>
      </c>
      <c r="T3322">
        <v>-0.1554266</v>
      </c>
      <c r="U3322">
        <v>-0.20115659999999999</v>
      </c>
      <c r="V3322">
        <v>-6.0206959999999997E-2</v>
      </c>
      <c r="W3322">
        <v>2.7850670000000001E-2</v>
      </c>
      <c r="X3322">
        <v>0.9977973</v>
      </c>
      <c r="Y3322">
        <v>2.7332599999999901E-2</v>
      </c>
      <c r="Z3322">
        <v>1.3287889999999999E-3</v>
      </c>
      <c r="AA3322">
        <v>0.99962549999999994</v>
      </c>
      <c r="AB3322">
        <v>31</v>
      </c>
      <c r="AC3322">
        <v>21.063600000000001</v>
      </c>
      <c r="AD3322">
        <v>-1.105060335973</v>
      </c>
      <c r="AE3322">
        <v>-1.41779999999999</v>
      </c>
      <c r="AF3322">
        <v>0.58418406557195801</v>
      </c>
      <c r="AG3322">
        <v>-1.105060335973</v>
      </c>
      <c r="AH3322">
        <v>21.0454701848114</v>
      </c>
      <c r="AI3322">
        <v>93.004584267105002</v>
      </c>
      <c r="AJ3322">
        <v>88.409981418069293</v>
      </c>
      <c r="AK3322">
        <v>21.082557830310702</v>
      </c>
    </row>
    <row r="3323" spans="1:37" x14ac:dyDescent="0.2">
      <c r="A3323" t="str">
        <f>"20200111155611341"</f>
        <v>20200111155611341</v>
      </c>
      <c r="B3323" t="str">
        <f>"1578729371336121"</f>
        <v>1578729371336121</v>
      </c>
      <c r="C3323" t="s">
        <v>37</v>
      </c>
      <c r="D3323">
        <v>4.8963219999999996</v>
      </c>
      <c r="E3323">
        <v>0.53453680000000003</v>
      </c>
      <c r="F3323" t="s">
        <v>61</v>
      </c>
      <c r="G3323">
        <v>-416.53879999999998</v>
      </c>
      <c r="H3323" s="1">
        <v>3.55117599999999E-6</v>
      </c>
      <c r="I3323">
        <v>212.4939</v>
      </c>
      <c r="J3323">
        <v>-437.94240000000002</v>
      </c>
      <c r="K3323">
        <v>1.105245</v>
      </c>
      <c r="L3323">
        <v>213.9332</v>
      </c>
      <c r="M3323">
        <v>0.99917599999999995</v>
      </c>
      <c r="N3323">
        <v>0</v>
      </c>
      <c r="O3323">
        <v>-3.8672669999999999E-2</v>
      </c>
      <c r="P3323">
        <v>0.99965859999999995</v>
      </c>
      <c r="Q3323">
        <v>1.56402E-2</v>
      </c>
      <c r="R3323">
        <v>2.0928349999999998E-2</v>
      </c>
      <c r="S3323">
        <v>3.00766</v>
      </c>
      <c r="T3323">
        <v>-0.15304989999999999</v>
      </c>
      <c r="U3323">
        <v>-0.20094300000000001</v>
      </c>
      <c r="V3323">
        <v>-5.961172E-2</v>
      </c>
      <c r="W3323">
        <v>2.7863539999999999E-2</v>
      </c>
      <c r="X3323">
        <v>0.99783269999999902</v>
      </c>
      <c r="Y3323">
        <v>2.803603E-2</v>
      </c>
      <c r="Z3323">
        <v>1.251538E-3</v>
      </c>
      <c r="AA3323">
        <v>0.99960609999999905</v>
      </c>
      <c r="AB3323">
        <v>31</v>
      </c>
      <c r="AC3323">
        <v>21.403600000000001</v>
      </c>
      <c r="AD3323">
        <v>-1.1052414488240001</v>
      </c>
      <c r="AE3323">
        <v>-1.4393</v>
      </c>
      <c r="AF3323">
        <v>0.60880989340045399</v>
      </c>
      <c r="AG3323">
        <v>-1.1052414488240001</v>
      </c>
      <c r="AH3323">
        <v>21.386481809217202</v>
      </c>
      <c r="AI3323">
        <v>92.957186239094995</v>
      </c>
      <c r="AJ3323">
        <v>88.369398960898295</v>
      </c>
      <c r="AK3323">
        <v>21.4236741088563</v>
      </c>
    </row>
    <row r="3324" spans="1:37" x14ac:dyDescent="0.2">
      <c r="A3324" t="str">
        <f>"20200111155611362"</f>
        <v>20200111155611362</v>
      </c>
      <c r="B3324" t="str">
        <f>"1578729371356146"</f>
        <v>1578729371356146</v>
      </c>
      <c r="C3324" t="s">
        <v>37</v>
      </c>
      <c r="D3324">
        <v>4.9079920000000001</v>
      </c>
      <c r="E3324">
        <v>0.53476000000000001</v>
      </c>
      <c r="F3324" t="s">
        <v>61</v>
      </c>
      <c r="G3324">
        <v>-416.24599999999998</v>
      </c>
      <c r="H3324" s="1">
        <v>3.50057599999999E-6</v>
      </c>
      <c r="I3324">
        <v>212.4785</v>
      </c>
      <c r="J3324">
        <v>-437.6259</v>
      </c>
      <c r="K3324">
        <v>1.105426</v>
      </c>
      <c r="L3324">
        <v>213.92189999999999</v>
      </c>
      <c r="M3324">
        <v>0.99920750000000003</v>
      </c>
      <c r="N3324">
        <v>0</v>
      </c>
      <c r="O3324">
        <v>-3.770329E-2</v>
      </c>
      <c r="P3324">
        <v>0.99965800000000005</v>
      </c>
      <c r="Q3324">
        <v>1.554913E-2</v>
      </c>
      <c r="R3324">
        <v>2.10257999999999E-2</v>
      </c>
      <c r="S3324">
        <v>3.0075989999999999</v>
      </c>
      <c r="T3324">
        <v>-0.15321019999999999</v>
      </c>
      <c r="U3324">
        <v>-0.20164489999999999</v>
      </c>
      <c r="V3324">
        <v>-5.8751869999999998E-2</v>
      </c>
      <c r="W3324">
        <v>2.818623E-2</v>
      </c>
      <c r="X3324">
        <v>0.99787459999999994</v>
      </c>
      <c r="Y3324">
        <v>2.9236399999999999E-2</v>
      </c>
      <c r="Z3324">
        <v>1.173112E-3</v>
      </c>
      <c r="AA3324">
        <v>0.99957189999999996</v>
      </c>
      <c r="AB3324">
        <v>31</v>
      </c>
      <c r="AC3324">
        <v>21.379899999999999</v>
      </c>
      <c r="AD3324">
        <v>-1.1054224994239901</v>
      </c>
      <c r="AE3324">
        <v>-1.44339999999999</v>
      </c>
      <c r="AF3324">
        <v>0.63452676187440604</v>
      </c>
      <c r="AG3324">
        <v>-1.1054224994239901</v>
      </c>
      <c r="AH3324">
        <v>21.362272971839001</v>
      </c>
      <c r="AI3324">
        <v>92.960909448154098</v>
      </c>
      <c r="AJ3324">
        <v>88.298635205470006</v>
      </c>
      <c r="AK3324">
        <v>21.4002637749428</v>
      </c>
    </row>
    <row r="3325" spans="1:37" x14ac:dyDescent="0.2">
      <c r="A3325" t="str">
        <f>"20200111155611385"</f>
        <v>20200111155611385</v>
      </c>
      <c r="B3325" t="str">
        <f>"1578729371375665"</f>
        <v>1578729371375665</v>
      </c>
      <c r="C3325" t="s">
        <v>37</v>
      </c>
      <c r="D3325">
        <v>5.1241769999999898</v>
      </c>
      <c r="E3325">
        <v>0.53447210000000001</v>
      </c>
      <c r="F3325" t="s">
        <v>61</v>
      </c>
      <c r="G3325">
        <v>-415.7602</v>
      </c>
      <c r="H3325" s="1">
        <v>3.41747299999999E-6</v>
      </c>
      <c r="I3325">
        <v>212.4434</v>
      </c>
      <c r="J3325">
        <v>-437.32619999999997</v>
      </c>
      <c r="K3325">
        <v>1.1055790000000001</v>
      </c>
      <c r="L3325">
        <v>213.9118</v>
      </c>
      <c r="M3325">
        <v>0.99924219999999897</v>
      </c>
      <c r="N3325">
        <v>0</v>
      </c>
      <c r="O3325">
        <v>-3.6648050000000001E-2</v>
      </c>
      <c r="P3325">
        <v>0.99964140000000001</v>
      </c>
      <c r="Q3325">
        <v>1.6185120000000001E-2</v>
      </c>
      <c r="R3325">
        <v>2.1334289999999999E-2</v>
      </c>
      <c r="S3325">
        <v>3.0077210000000001</v>
      </c>
      <c r="T3325">
        <v>-0.15205539999999901</v>
      </c>
      <c r="U3325">
        <v>-0.20338439999999999</v>
      </c>
      <c r="V3325">
        <v>-5.8015530000000003E-2</v>
      </c>
      <c r="W3325">
        <v>2.916906E-2</v>
      </c>
      <c r="X3325">
        <v>0.99788949999999998</v>
      </c>
      <c r="Y3325">
        <v>3.0861010000000001E-2</v>
      </c>
      <c r="Z3325">
        <v>1.0700250000000001E-3</v>
      </c>
      <c r="AA3325">
        <v>0.9995231</v>
      </c>
      <c r="AB3325">
        <v>31</v>
      </c>
      <c r="AC3325">
        <v>21.565999999999899</v>
      </c>
      <c r="AD3325">
        <v>-1.1055755825269999</v>
      </c>
      <c r="AE3325">
        <v>-1.4683999999999999</v>
      </c>
      <c r="AF3325">
        <v>0.67522724734321504</v>
      </c>
      <c r="AG3325">
        <v>-1.1055755825269999</v>
      </c>
      <c r="AH3325">
        <v>21.548957910610898</v>
      </c>
      <c r="AI3325">
        <v>92.935563286202296</v>
      </c>
      <c r="AJ3325">
        <v>88.205248847556305</v>
      </c>
      <c r="AK3325">
        <v>21.587862706565399</v>
      </c>
    </row>
    <row r="3326" spans="1:37" x14ac:dyDescent="0.2">
      <c r="A3326" t="str">
        <f>"20200111155611406"</f>
        <v>20200111155611406</v>
      </c>
      <c r="B3326" t="str">
        <f>"1578729371396161"</f>
        <v>1578729371396161</v>
      </c>
      <c r="C3326" t="s">
        <v>37</v>
      </c>
      <c r="D3326">
        <v>4.924963</v>
      </c>
      <c r="E3326">
        <v>0.53456190000000003</v>
      </c>
      <c r="F3326" t="s">
        <v>61</v>
      </c>
      <c r="G3326">
        <v>-414.95359999999999</v>
      </c>
      <c r="H3326" s="1">
        <v>3.2762949999999999E-6</v>
      </c>
      <c r="I3326">
        <v>212.42179999999999</v>
      </c>
      <c r="J3326">
        <v>-437.01990000000001</v>
      </c>
      <c r="K3326">
        <v>1.105715</v>
      </c>
      <c r="L3326">
        <v>213.90180000000001</v>
      </c>
      <c r="M3326">
        <v>0.99928159999999899</v>
      </c>
      <c r="N3326">
        <v>0</v>
      </c>
      <c r="O3326">
        <v>-3.5435689999999999E-2</v>
      </c>
      <c r="P3326">
        <v>0.9996138</v>
      </c>
      <c r="Q3326">
        <v>1.718022E-2</v>
      </c>
      <c r="R3326">
        <v>2.184796E-2</v>
      </c>
      <c r="S3326">
        <v>3.0077820000000002</v>
      </c>
      <c r="T3326">
        <v>-0.14863409999999999</v>
      </c>
      <c r="U3326">
        <v>-0.20031740000000001</v>
      </c>
      <c r="V3326">
        <v>-5.7327620000000003E-2</v>
      </c>
      <c r="W3326">
        <v>3.047501E-2</v>
      </c>
      <c r="X3326">
        <v>0.99789019999999995</v>
      </c>
      <c r="Y3326">
        <v>3.10555E-2</v>
      </c>
      <c r="Z3326">
        <v>9.814635999999999E-4</v>
      </c>
      <c r="AA3326">
        <v>0.999517199999999</v>
      </c>
      <c r="AB3326">
        <v>31</v>
      </c>
      <c r="AC3326">
        <v>22.066299999999998</v>
      </c>
      <c r="AD3326">
        <v>-1.105711723705</v>
      </c>
      <c r="AE3326">
        <v>-1.48000000000001</v>
      </c>
      <c r="AF3326">
        <v>0.695327088511001</v>
      </c>
      <c r="AG3326">
        <v>-1.105711723705</v>
      </c>
      <c r="AH3326">
        <v>22.049772261044499</v>
      </c>
      <c r="AI3326">
        <v>92.869335528256698</v>
      </c>
      <c r="AJ3326">
        <v>88.193808567280797</v>
      </c>
      <c r="AK3326">
        <v>22.088425361258398</v>
      </c>
    </row>
    <row r="3327" spans="1:37" x14ac:dyDescent="0.2">
      <c r="A3327" t="str">
        <f>"20200111155611431"</f>
        <v>20200111155611431</v>
      </c>
      <c r="B3327" t="str">
        <f>"1578729371426417"</f>
        <v>1578729371426417</v>
      </c>
      <c r="C3327" t="s">
        <v>37</v>
      </c>
      <c r="D3327">
        <v>4.9245359999999998</v>
      </c>
      <c r="E3327">
        <v>0.53433310000000001</v>
      </c>
      <c r="F3327" t="s">
        <v>61</v>
      </c>
      <c r="G3327">
        <v>-414.08370000000002</v>
      </c>
      <c r="H3327" s="1">
        <v>3.1256749999999999E-6</v>
      </c>
      <c r="I3327">
        <v>212.37950000000001</v>
      </c>
      <c r="J3327">
        <v>-436.69139999999999</v>
      </c>
      <c r="K3327">
        <v>1.105839</v>
      </c>
      <c r="L3327">
        <v>213.89169999999999</v>
      </c>
      <c r="M3327">
        <v>0.99932739999999998</v>
      </c>
      <c r="N3327">
        <v>0</v>
      </c>
      <c r="O3327">
        <v>-3.3997489999999998E-2</v>
      </c>
      <c r="P3327">
        <v>0.99958930000000001</v>
      </c>
      <c r="Q3327">
        <v>1.798317E-2</v>
      </c>
      <c r="R3327">
        <v>2.2318129999999999E-2</v>
      </c>
      <c r="S3327">
        <v>3.008057</v>
      </c>
      <c r="T3327">
        <v>-0.145013</v>
      </c>
      <c r="U3327">
        <v>-0.19964599999999999</v>
      </c>
      <c r="V3327">
        <v>-5.6370679999999999E-2</v>
      </c>
      <c r="W3327">
        <v>3.1569310000000003E-2</v>
      </c>
      <c r="X3327">
        <v>0.99791070000000004</v>
      </c>
      <c r="Y3327">
        <v>3.2262369999999999E-2</v>
      </c>
      <c r="Z3327">
        <v>8.5931569999999995E-4</v>
      </c>
      <c r="AA3327">
        <v>0.99947909999999995</v>
      </c>
      <c r="AB3327">
        <v>31</v>
      </c>
      <c r="AC3327">
        <v>22.607699999999902</v>
      </c>
      <c r="AD3327">
        <v>-1.1058358743250001</v>
      </c>
      <c r="AE3327">
        <v>-1.51219999999997</v>
      </c>
      <c r="AF3327">
        <v>0.74088325730567195</v>
      </c>
      <c r="AG3327">
        <v>-1.1058358743250001</v>
      </c>
      <c r="AH3327">
        <v>22.592231074148401</v>
      </c>
      <c r="AI3327">
        <v>92.800752155221801</v>
      </c>
      <c r="AJ3327">
        <v>88.121731478964193</v>
      </c>
      <c r="AK3327">
        <v>22.631409277586201</v>
      </c>
    </row>
    <row r="3328" spans="1:37" x14ac:dyDescent="0.2">
      <c r="A3328" t="str">
        <f>"20200111155611465"</f>
        <v>20200111155611465</v>
      </c>
      <c r="B3328" t="str">
        <f>"1578729371455698"</f>
        <v>1578729371455698</v>
      </c>
      <c r="C3328" t="s">
        <v>37</v>
      </c>
      <c r="D3328">
        <v>4.9501749999999998</v>
      </c>
      <c r="E3328">
        <v>0.53436909999999904</v>
      </c>
      <c r="F3328" t="s">
        <v>61</v>
      </c>
      <c r="G3328">
        <v>-413.30349999999999</v>
      </c>
      <c r="H3328" s="1">
        <v>2.9885339999999999E-6</v>
      </c>
      <c r="I3328">
        <v>212.36529999999999</v>
      </c>
      <c r="J3328">
        <v>-436.2287</v>
      </c>
      <c r="K3328">
        <v>1.105996</v>
      </c>
      <c r="L3328">
        <v>213.87860000000001</v>
      </c>
      <c r="M3328">
        <v>0.9993957</v>
      </c>
      <c r="N3328">
        <v>0</v>
      </c>
      <c r="O3328">
        <v>-3.1769390000000002E-2</v>
      </c>
      <c r="P3328">
        <v>0.99952350000000001</v>
      </c>
      <c r="Q3328">
        <v>1.8377959999999999E-2</v>
      </c>
      <c r="R3328">
        <v>2.4802149999999999E-2</v>
      </c>
      <c r="S3328">
        <v>3.0082089999999999</v>
      </c>
      <c r="T3328">
        <v>-0.14223569999999999</v>
      </c>
      <c r="U3328">
        <v>-0.1963348</v>
      </c>
      <c r="V3328">
        <v>-5.6637260000000002E-2</v>
      </c>
      <c r="W3328">
        <v>3.2300879999999997E-2</v>
      </c>
      <c r="X3328">
        <v>0.99787219999999999</v>
      </c>
      <c r="Y3328">
        <v>3.3388010000000003E-2</v>
      </c>
      <c r="Z3328">
        <v>7.112202E-4</v>
      </c>
      <c r="AA3328">
        <v>0.99944219999999895</v>
      </c>
      <c r="AB3328">
        <v>31</v>
      </c>
      <c r="AC3328">
        <v>22.9252</v>
      </c>
      <c r="AD3328">
        <v>-1.1059930114659999</v>
      </c>
      <c r="AE3328">
        <v>-1.5133000000000101</v>
      </c>
      <c r="AF3328">
        <v>0.78233096730321205</v>
      </c>
      <c r="AG3328">
        <v>-1.1059930114659999</v>
      </c>
      <c r="AH3328">
        <v>22.908619922825</v>
      </c>
      <c r="AI3328">
        <v>92.762398350571999</v>
      </c>
      <c r="AJ3328">
        <v>88.044105238539302</v>
      </c>
      <c r="AK3328">
        <v>22.948641115592601</v>
      </c>
    </row>
    <row r="3329" spans="1:37" x14ac:dyDescent="0.2">
      <c r="A3329" t="str">
        <f>"20200111155611484"</f>
        <v>20200111155611484</v>
      </c>
      <c r="B3329" t="str">
        <f>"1578729371476193"</f>
        <v>1578729371476193</v>
      </c>
      <c r="C3329" t="s">
        <v>37</v>
      </c>
      <c r="D3329">
        <v>5.1066339999999997</v>
      </c>
      <c r="E3329">
        <v>0.53457399999999999</v>
      </c>
      <c r="F3329" t="s">
        <v>61</v>
      </c>
      <c r="G3329">
        <v>-412.69400000000002</v>
      </c>
      <c r="H3329" s="1">
        <v>2.877594E-6</v>
      </c>
      <c r="I3329">
        <v>212.39750000000001</v>
      </c>
      <c r="J3329">
        <v>-435.95069999999998</v>
      </c>
      <c r="K3329">
        <v>1.106079</v>
      </c>
      <c r="L3329">
        <v>213.87119999999999</v>
      </c>
      <c r="M3329">
        <v>0.99943749999999998</v>
      </c>
      <c r="N3329">
        <v>0</v>
      </c>
      <c r="O3329">
        <v>-3.0344289999999999E-2</v>
      </c>
      <c r="P3329">
        <v>0.99943119999999996</v>
      </c>
      <c r="Q3329">
        <v>1.918858E-2</v>
      </c>
      <c r="R3329">
        <v>2.773904E-2</v>
      </c>
      <c r="S3329">
        <v>3.0087280000000001</v>
      </c>
      <c r="T3329">
        <v>-0.1413922</v>
      </c>
      <c r="U3329">
        <v>-0.1893463</v>
      </c>
      <c r="V3329">
        <v>-5.8154629999999999E-2</v>
      </c>
      <c r="W3329">
        <v>3.3275489999999998E-2</v>
      </c>
      <c r="X3329">
        <v>0.9977528</v>
      </c>
      <c r="Y3329">
        <v>3.2489329999999997E-2</v>
      </c>
      <c r="Z3329">
        <v>6.6122109999999996E-4</v>
      </c>
      <c r="AA3329">
        <v>0.99947180000000002</v>
      </c>
      <c r="AB3329">
        <v>31</v>
      </c>
      <c r="AC3329">
        <v>23.256699999999899</v>
      </c>
      <c r="AD3329">
        <v>-1.1060761224060001</v>
      </c>
      <c r="AE3329">
        <v>-1.47369999999997</v>
      </c>
      <c r="AF3329">
        <v>0.76551662267029397</v>
      </c>
      <c r="AG3329">
        <v>-1.1060761224060001</v>
      </c>
      <c r="AH3329">
        <v>23.238358500533302</v>
      </c>
      <c r="AI3329">
        <v>92.723575402184395</v>
      </c>
      <c r="AJ3329">
        <v>88.113248126995899</v>
      </c>
      <c r="AK3329">
        <v>23.277257696890501</v>
      </c>
    </row>
    <row r="3330" spans="1:37" x14ac:dyDescent="0.2">
      <c r="A3330" t="str">
        <f>"20200111155611508"</f>
        <v>20200111155611508</v>
      </c>
      <c r="B3330" t="str">
        <f>"1578729371495713"</f>
        <v>1578729371495713</v>
      </c>
      <c r="C3330" t="s">
        <v>37</v>
      </c>
      <c r="D3330">
        <v>4.9309570000000003</v>
      </c>
      <c r="E3330">
        <v>0.53461250000000005</v>
      </c>
      <c r="F3330" t="s">
        <v>61</v>
      </c>
      <c r="G3330">
        <v>-411.99369999999999</v>
      </c>
      <c r="H3330" s="1">
        <v>2.7514329999999999E-6</v>
      </c>
      <c r="I3330">
        <v>212.41980000000001</v>
      </c>
      <c r="J3330">
        <v>-435.63119999999998</v>
      </c>
      <c r="K3330">
        <v>1.106155</v>
      </c>
      <c r="L3330">
        <v>213.86340000000001</v>
      </c>
      <c r="M3330">
        <v>0.99948479999999995</v>
      </c>
      <c r="N3330">
        <v>0</v>
      </c>
      <c r="O3330">
        <v>-2.8653499999999998E-2</v>
      </c>
      <c r="P3330">
        <v>0.99930589999999997</v>
      </c>
      <c r="Q3330">
        <v>1.9798039999999999E-2</v>
      </c>
      <c r="R3330">
        <v>3.1560499999999998E-2</v>
      </c>
      <c r="S3330">
        <v>3.0094599999999998</v>
      </c>
      <c r="T3330">
        <v>-0.1389444</v>
      </c>
      <c r="U3330">
        <v>-0.1823273</v>
      </c>
      <c r="V3330">
        <v>-6.0289599999999999E-2</v>
      </c>
      <c r="W3330">
        <v>3.4045619999999999E-2</v>
      </c>
      <c r="X3330">
        <v>0.99760009999999999</v>
      </c>
      <c r="Y3330">
        <v>3.1841550000000003E-2</v>
      </c>
      <c r="Z3330">
        <v>5.8672550000000003E-4</v>
      </c>
      <c r="AA3330">
        <v>0.99949279999999996</v>
      </c>
      <c r="AB3330">
        <v>31</v>
      </c>
      <c r="AC3330">
        <v>23.6374999999999</v>
      </c>
      <c r="AD3330">
        <v>-1.1061522485669999</v>
      </c>
      <c r="AE3330">
        <v>-1.4436</v>
      </c>
      <c r="AF3330">
        <v>0.76397239159966301</v>
      </c>
      <c r="AG3330">
        <v>-1.1061522485669999</v>
      </c>
      <c r="AH3330">
        <v>23.6176326766053</v>
      </c>
      <c r="AI3330">
        <v>92.680137996809293</v>
      </c>
      <c r="AJ3330">
        <v>88.147268331199001</v>
      </c>
      <c r="AK3330">
        <v>23.655861849850002</v>
      </c>
    </row>
    <row r="3331" spans="1:37" x14ac:dyDescent="0.2">
      <c r="A3331" t="str">
        <f>"20200111155611529"</f>
        <v>20200111155611529</v>
      </c>
      <c r="B3331" t="str">
        <f>"1578729371525969"</f>
        <v>1578729371525969</v>
      </c>
      <c r="C3331" t="s">
        <v>37</v>
      </c>
      <c r="D3331">
        <v>4.9545789999999998</v>
      </c>
      <c r="E3331">
        <v>0.53457180000000004</v>
      </c>
      <c r="F3331" t="s">
        <v>61</v>
      </c>
      <c r="G3331">
        <v>-411.42439999999999</v>
      </c>
      <c r="H3331" s="1">
        <v>2.644775E-6</v>
      </c>
      <c r="I3331">
        <v>212.4847</v>
      </c>
      <c r="J3331">
        <v>-435.3338</v>
      </c>
      <c r="K3331">
        <v>1.106204</v>
      </c>
      <c r="L3331">
        <v>213.85659999999999</v>
      </c>
      <c r="M3331">
        <v>0.99952770000000002</v>
      </c>
      <c r="N3331">
        <v>0</v>
      </c>
      <c r="O3331">
        <v>-2.7045059999999999E-2</v>
      </c>
      <c r="P3331">
        <v>0.99916360000000004</v>
      </c>
      <c r="Q3331">
        <v>2.0116040000000002E-2</v>
      </c>
      <c r="R3331">
        <v>3.5608550000000003E-2</v>
      </c>
      <c r="S3331">
        <v>3.0101930000000001</v>
      </c>
      <c r="T3331">
        <v>-0.1375537</v>
      </c>
      <c r="U3331">
        <v>-0.17144779999999901</v>
      </c>
      <c r="V3331">
        <v>-6.2730659999999994E-2</v>
      </c>
      <c r="W3331">
        <v>3.4490239999999998E-2</v>
      </c>
      <c r="X3331">
        <v>0.99743440000000005</v>
      </c>
      <c r="Y3331">
        <v>2.9835690000000002E-2</v>
      </c>
      <c r="Z3331">
        <v>5.5320960000000002E-4</v>
      </c>
      <c r="AA3331">
        <v>0.99955459999999996</v>
      </c>
      <c r="AB3331">
        <v>31</v>
      </c>
      <c r="AC3331">
        <v>23.909400000000002</v>
      </c>
      <c r="AD3331">
        <v>-1.1062013552250001</v>
      </c>
      <c r="AE3331">
        <v>-1.3718999999999799</v>
      </c>
      <c r="AF3331">
        <v>0.72315516723468898</v>
      </c>
      <c r="AG3331">
        <v>-1.1062013552250001</v>
      </c>
      <c r="AH3331">
        <v>23.886795763448401</v>
      </c>
      <c r="AI3331">
        <v>92.650269850557706</v>
      </c>
      <c r="AJ3331">
        <v>88.265942073357095</v>
      </c>
      <c r="AK3331">
        <v>23.923328503343701</v>
      </c>
    </row>
    <row r="3332" spans="1:37" x14ac:dyDescent="0.2">
      <c r="A3332" t="str">
        <f>"20200111155611552"</f>
        <v>20200111155611552</v>
      </c>
      <c r="B3332" t="str">
        <f>"1578729371546466"</f>
        <v>1578729371546466</v>
      </c>
      <c r="C3332" t="s">
        <v>37</v>
      </c>
      <c r="D3332">
        <v>4.9507890000000003</v>
      </c>
      <c r="E3332">
        <v>0.53447210000000001</v>
      </c>
      <c r="F3332" t="s">
        <v>61</v>
      </c>
      <c r="G3332">
        <v>-411.16340000000002</v>
      </c>
      <c r="H3332" s="1">
        <v>2.59006899999999E-6</v>
      </c>
      <c r="I3332">
        <v>212.58080000000001</v>
      </c>
      <c r="J3332">
        <v>-435.02460000000002</v>
      </c>
      <c r="K3332">
        <v>1.1062350000000001</v>
      </c>
      <c r="L3332">
        <v>213.8501</v>
      </c>
      <c r="M3332">
        <v>0.99957009999999902</v>
      </c>
      <c r="N3332">
        <v>0</v>
      </c>
      <c r="O3332">
        <v>-2.5350080000000001E-2</v>
      </c>
      <c r="P3332">
        <v>0.99904159999999997</v>
      </c>
      <c r="Q3332">
        <v>1.9794530000000001E-2</v>
      </c>
      <c r="R3332">
        <v>3.9041960000000001E-2</v>
      </c>
      <c r="S3332">
        <v>3.0109560000000002</v>
      </c>
      <c r="T3332">
        <v>-0.1378019</v>
      </c>
      <c r="U3332">
        <v>-0.15893550000000001</v>
      </c>
      <c r="V3332">
        <v>-6.4467969999999999E-2</v>
      </c>
      <c r="W3332">
        <v>3.4285330000000003E-2</v>
      </c>
      <c r="X3332">
        <v>0.99733059999999996</v>
      </c>
      <c r="Y3332">
        <v>2.7375719999999999E-2</v>
      </c>
      <c r="Z3332">
        <v>5.3293209999999999E-4</v>
      </c>
      <c r="AA3332">
        <v>0.99962510000000004</v>
      </c>
      <c r="AB3332">
        <v>31</v>
      </c>
      <c r="AC3332">
        <v>23.8612</v>
      </c>
      <c r="AD3332">
        <v>-1.1062324099309999</v>
      </c>
      <c r="AE3332">
        <v>-1.2692999999999801</v>
      </c>
      <c r="AF3332">
        <v>0.66252305775006104</v>
      </c>
      <c r="AG3332">
        <v>-1.1062324099309999</v>
      </c>
      <c r="AH3332">
        <v>23.834626008556398</v>
      </c>
      <c r="AI3332">
        <v>92.656327629290402</v>
      </c>
      <c r="AJ3332">
        <v>88.407778542066694</v>
      </c>
      <c r="AK3332">
        <v>23.869480176882401</v>
      </c>
    </row>
    <row r="3333" spans="1:37" x14ac:dyDescent="0.2">
      <c r="A3333" t="str">
        <f>"20200111155611574"</f>
        <v>20200111155611574</v>
      </c>
      <c r="B3333" t="str">
        <f>"1578729371565986"</f>
        <v>1578729371565986</v>
      </c>
      <c r="C3333" t="s">
        <v>37</v>
      </c>
      <c r="D3333">
        <v>4.9917449999999999</v>
      </c>
      <c r="E3333">
        <v>0.53455819999999998</v>
      </c>
      <c r="F3333" t="s">
        <v>61</v>
      </c>
      <c r="G3333">
        <v>-410.95089999999999</v>
      </c>
      <c r="H3333" s="1">
        <v>2.5445209999999999E-6</v>
      </c>
      <c r="I3333">
        <v>212.67070000000001</v>
      </c>
      <c r="J3333">
        <v>-434.71949999999998</v>
      </c>
      <c r="K3333">
        <v>1.106249</v>
      </c>
      <c r="L3333">
        <v>213.8442</v>
      </c>
      <c r="M3333">
        <v>0.99960979999999999</v>
      </c>
      <c r="N3333">
        <v>0</v>
      </c>
      <c r="O3333">
        <v>-2.3666329999999999E-2</v>
      </c>
      <c r="P3333">
        <v>0.99898319999999996</v>
      </c>
      <c r="Q3333">
        <v>1.8726619999999999E-2</v>
      </c>
      <c r="R3333">
        <v>4.1012979999999997E-2</v>
      </c>
      <c r="S3333">
        <v>3.01135299999999</v>
      </c>
      <c r="T3333">
        <v>-0.13837720000000001</v>
      </c>
      <c r="U3333">
        <v>-0.14753720000000001</v>
      </c>
      <c r="V3333">
        <v>-6.475446E-2</v>
      </c>
      <c r="W3333">
        <v>3.3321719999999999E-2</v>
      </c>
      <c r="X3333">
        <v>0.99734469999999997</v>
      </c>
      <c r="Y3333">
        <v>2.5278990000000001E-2</v>
      </c>
      <c r="Z3333">
        <v>5.0601949999999998E-4</v>
      </c>
      <c r="AA3333">
        <v>0.99968029999999997</v>
      </c>
      <c r="AB3333">
        <v>31</v>
      </c>
      <c r="AC3333">
        <v>23.7685999999999</v>
      </c>
      <c r="AD3333">
        <v>-1.1062464554789999</v>
      </c>
      <c r="AE3333">
        <v>-1.17349999999999</v>
      </c>
      <c r="AF3333">
        <v>0.60927718373221995</v>
      </c>
      <c r="AG3333">
        <v>-1.1062464554789999</v>
      </c>
      <c r="AH3333">
        <v>23.738419866879401</v>
      </c>
      <c r="AI3333">
        <v>92.667262954391703</v>
      </c>
      <c r="AJ3333">
        <v>88.529752659614701</v>
      </c>
      <c r="AK3333">
        <v>23.771991453875501</v>
      </c>
    </row>
    <row r="3334" spans="1:37" x14ac:dyDescent="0.2">
      <c r="A3334" t="str">
        <f>"20200111155611597"</f>
        <v>20200111155611597</v>
      </c>
      <c r="B3334" t="str">
        <f>"1578729371586481"</f>
        <v>1578729371586481</v>
      </c>
      <c r="C3334" t="s">
        <v>37</v>
      </c>
      <c r="D3334">
        <v>5.143904</v>
      </c>
      <c r="E3334">
        <v>0.53454269999999904</v>
      </c>
      <c r="F3334" t="s">
        <v>61</v>
      </c>
      <c r="G3334">
        <v>-411.35890000000001</v>
      </c>
      <c r="H3334" s="1">
        <v>2.6107440000000002E-6</v>
      </c>
      <c r="I3334">
        <v>212.74099999999899</v>
      </c>
      <c r="J3334">
        <v>-434.42599999999999</v>
      </c>
      <c r="K3334">
        <v>1.10626</v>
      </c>
      <c r="L3334">
        <v>213.839</v>
      </c>
      <c r="M3334">
        <v>0.99964549999999996</v>
      </c>
      <c r="N3334">
        <v>0</v>
      </c>
      <c r="O3334">
        <v>-2.2044649999999999E-2</v>
      </c>
      <c r="P3334">
        <v>0.99894609999999995</v>
      </c>
      <c r="Q3334">
        <v>1.8549260000000001E-2</v>
      </c>
      <c r="R3334">
        <v>4.1986219999999998E-2</v>
      </c>
      <c r="S3334">
        <v>3.0115660000000002</v>
      </c>
      <c r="T3334">
        <v>-0.1426135</v>
      </c>
      <c r="U3334">
        <v>-0.1422272</v>
      </c>
      <c r="V3334">
        <v>-6.4107869999999997E-2</v>
      </c>
      <c r="W3334">
        <v>3.3234029999999998E-2</v>
      </c>
      <c r="X3334">
        <v>0.99738939999999998</v>
      </c>
      <c r="Y3334">
        <v>2.5136909999999998E-2</v>
      </c>
      <c r="Z3334">
        <v>4.481644E-4</v>
      </c>
      <c r="AA3334">
        <v>0.99968389999999996</v>
      </c>
      <c r="AB3334">
        <v>31</v>
      </c>
      <c r="AC3334">
        <v>23.0670999999999</v>
      </c>
      <c r="AD3334">
        <v>-1.1062573892559999</v>
      </c>
      <c r="AE3334">
        <v>-1.0980000000000401</v>
      </c>
      <c r="AF3334">
        <v>0.58782135377532096</v>
      </c>
      <c r="AG3334">
        <v>-1.1062573892559999</v>
      </c>
      <c r="AH3334">
        <v>23.032845266660999</v>
      </c>
      <c r="AI3334">
        <v>92.748884177491306</v>
      </c>
      <c r="AJ3334">
        <v>88.538071478239203</v>
      </c>
      <c r="AK3334">
        <v>23.066887532417201</v>
      </c>
    </row>
    <row r="3335" spans="1:37" x14ac:dyDescent="0.2">
      <c r="A3335" t="str">
        <f>"20200111155611619"</f>
        <v>20200111155611619</v>
      </c>
      <c r="B3335" t="str">
        <f>"1578729371615762"</f>
        <v>1578729371615762</v>
      </c>
      <c r="C3335" t="s">
        <v>37</v>
      </c>
      <c r="D3335">
        <v>5.0390360000000003</v>
      </c>
      <c r="E3335">
        <v>0.53465620000000003</v>
      </c>
      <c r="F3335" t="s">
        <v>61</v>
      </c>
      <c r="G3335">
        <v>-411.06619999999998</v>
      </c>
      <c r="H3335" s="1">
        <v>2.5571480000000001E-6</v>
      </c>
      <c r="I3335">
        <v>212.7602</v>
      </c>
      <c r="J3335">
        <v>-434.12520000000001</v>
      </c>
      <c r="K3335">
        <v>1.1062780000000001</v>
      </c>
      <c r="L3335">
        <v>213.83420000000001</v>
      </c>
      <c r="M3335">
        <v>0.99967969999999895</v>
      </c>
      <c r="N3335">
        <v>0</v>
      </c>
      <c r="O3335">
        <v>-2.038564E-2</v>
      </c>
      <c r="P3335">
        <v>0.99891749999999901</v>
      </c>
      <c r="Q3335">
        <v>1.8239760000000001E-2</v>
      </c>
      <c r="R3335">
        <v>4.2793049999999999E-2</v>
      </c>
      <c r="S3335">
        <v>3.0116879999999999</v>
      </c>
      <c r="T3335">
        <v>-0.1426259</v>
      </c>
      <c r="U3335">
        <v>-0.13908389999999901</v>
      </c>
      <c r="V3335">
        <v>-6.3257480000000005E-2</v>
      </c>
      <c r="W3335">
        <v>3.3004789999999999E-2</v>
      </c>
      <c r="X3335">
        <v>0.99745139999999999</v>
      </c>
      <c r="Y3335">
        <v>2.575038E-2</v>
      </c>
      <c r="Z3335">
        <v>3.5523269999999902E-4</v>
      </c>
      <c r="AA3335">
        <v>0.99966840000000001</v>
      </c>
      <c r="AB3335">
        <v>30</v>
      </c>
      <c r="AC3335">
        <v>23.059000000000001</v>
      </c>
      <c r="AD3335">
        <v>-1.1062754428520001</v>
      </c>
      <c r="AE3335">
        <v>-1.0740000000000101</v>
      </c>
      <c r="AF3335">
        <v>0.60226818637463897</v>
      </c>
      <c r="AG3335">
        <v>-1.1062754428520001</v>
      </c>
      <c r="AH3335">
        <v>23.0232262290404</v>
      </c>
      <c r="AI3335">
        <v>92.750030452750906</v>
      </c>
      <c r="AJ3335">
        <v>88.501532455077196</v>
      </c>
      <c r="AK3335">
        <v>23.0576563925597</v>
      </c>
    </row>
    <row r="3336" spans="1:37" x14ac:dyDescent="0.2">
      <c r="A3336" t="str">
        <f>"20200111155611641"</f>
        <v>20200111155611641</v>
      </c>
      <c r="B3336" t="str">
        <f>"1578729371636259"</f>
        <v>1578729371636259</v>
      </c>
      <c r="C3336" t="s">
        <v>37</v>
      </c>
      <c r="D3336">
        <v>5.0347970000000002</v>
      </c>
      <c r="E3336">
        <v>0.53478190000000003</v>
      </c>
      <c r="F3336" t="s">
        <v>61</v>
      </c>
      <c r="G3336">
        <v>-411.00349999999997</v>
      </c>
      <c r="H3336" s="1">
        <v>2.544548E-6</v>
      </c>
      <c r="I3336">
        <v>212.77709999999999</v>
      </c>
      <c r="J3336">
        <v>-433.81900000000002</v>
      </c>
      <c r="K3336">
        <v>1.106293</v>
      </c>
      <c r="L3336">
        <v>213.82980000000001</v>
      </c>
      <c r="M3336">
        <v>0.99971169999999998</v>
      </c>
      <c r="N3336">
        <v>0</v>
      </c>
      <c r="O3336">
        <v>-1.8700599999999901E-2</v>
      </c>
      <c r="P3336">
        <v>0.99888140000000003</v>
      </c>
      <c r="Q3336">
        <v>1.8913369999999999E-2</v>
      </c>
      <c r="R3336">
        <v>4.3342430000000001E-2</v>
      </c>
      <c r="S3336">
        <v>3.0118099999999899</v>
      </c>
      <c r="T3336">
        <v>-0.14410209999999901</v>
      </c>
      <c r="U3336">
        <v>-0.13769529999999999</v>
      </c>
      <c r="V3336">
        <v>-6.2126290000000001E-2</v>
      </c>
      <c r="W3336">
        <v>3.3748720000000003E-2</v>
      </c>
      <c r="X3336">
        <v>0.99749759999999998</v>
      </c>
      <c r="Y3336">
        <v>2.697012E-2</v>
      </c>
      <c r="Z3336">
        <v>2.4923499999999999E-4</v>
      </c>
      <c r="AA3336">
        <v>0.99963619999999898</v>
      </c>
      <c r="AB3336">
        <v>30</v>
      </c>
      <c r="AC3336">
        <v>22.8155</v>
      </c>
      <c r="AD3336">
        <v>-1.1062904554520001</v>
      </c>
      <c r="AE3336">
        <v>-1.05270000000001</v>
      </c>
      <c r="AF3336">
        <v>0.62433914894819298</v>
      </c>
      <c r="AG3336">
        <v>-1.1062904554520001</v>
      </c>
      <c r="AH3336">
        <v>22.777757754961598</v>
      </c>
      <c r="AI3336">
        <v>92.779565148853706</v>
      </c>
      <c r="AJ3336">
        <v>88.429913777292896</v>
      </c>
      <c r="AK3336">
        <v>22.813152484662101</v>
      </c>
    </row>
    <row r="3337" spans="1:37" x14ac:dyDescent="0.2">
      <c r="A3337" t="str">
        <f>"20200111155611664"</f>
        <v>20200111155611664</v>
      </c>
      <c r="B3337" t="str">
        <f>"1578729371655778"</f>
        <v>1578729371655778</v>
      </c>
      <c r="C3337" t="s">
        <v>37</v>
      </c>
      <c r="D3337">
        <v>5.0608579999999996</v>
      </c>
      <c r="E3337">
        <v>0.5348889</v>
      </c>
      <c r="F3337" t="s">
        <v>61</v>
      </c>
      <c r="G3337">
        <v>-410.34140000000002</v>
      </c>
      <c r="H3337" s="1">
        <v>2.4286439999999999E-6</v>
      </c>
      <c r="I3337">
        <v>212.7595</v>
      </c>
      <c r="J3337">
        <v>-433.50599999999997</v>
      </c>
      <c r="K3337">
        <v>1.1063049999999901</v>
      </c>
      <c r="L3337">
        <v>213.82579999999999</v>
      </c>
      <c r="M3337">
        <v>0.99974149999999995</v>
      </c>
      <c r="N3337">
        <v>0</v>
      </c>
      <c r="O3337">
        <v>-1.6981309999999999E-2</v>
      </c>
      <c r="P3337">
        <v>0.99883169999999899</v>
      </c>
      <c r="Q3337">
        <v>1.8935190000000001E-2</v>
      </c>
      <c r="R3337">
        <v>4.4460699999999999E-2</v>
      </c>
      <c r="S3337">
        <v>3.0119929999999999</v>
      </c>
      <c r="T3337">
        <v>-0.14192839999999901</v>
      </c>
      <c r="U3337">
        <v>-0.13731379999999899</v>
      </c>
      <c r="V3337">
        <v>-6.1527270000000002E-2</v>
      </c>
      <c r="W3337">
        <v>3.3829730000000002E-2</v>
      </c>
      <c r="X3337">
        <v>0.99753199999999997</v>
      </c>
      <c r="Y3337">
        <v>2.8556709999999999E-2</v>
      </c>
      <c r="Z3337">
        <v>1.2721480000000001E-4</v>
      </c>
      <c r="AA3337">
        <v>0.99959219999999904</v>
      </c>
      <c r="AB3337">
        <v>30</v>
      </c>
      <c r="AC3337">
        <v>23.164599999999901</v>
      </c>
      <c r="AD3337">
        <v>-1.106302571356</v>
      </c>
      <c r="AE3337">
        <v>-1.06629999999998</v>
      </c>
      <c r="AF3337">
        <v>0.67120830152539801</v>
      </c>
      <c r="AG3337">
        <v>-1.106302571356</v>
      </c>
      <c r="AH3337">
        <v>23.126731052474899</v>
      </c>
      <c r="AI3337">
        <v>92.737592523579707</v>
      </c>
      <c r="AJ3337">
        <v>88.337568323824797</v>
      </c>
      <c r="AK3337">
        <v>23.1629038580427</v>
      </c>
    </row>
    <row r="3338" spans="1:37" x14ac:dyDescent="0.2">
      <c r="A3338" t="str">
        <f>"20200111155611686"</f>
        <v>20200111155611686</v>
      </c>
      <c r="B3338" t="str">
        <f>"1578729371676273"</f>
        <v>1578729371676273</v>
      </c>
      <c r="C3338" t="s">
        <v>37</v>
      </c>
      <c r="D3338">
        <v>5.0301279999999897</v>
      </c>
      <c r="E3338">
        <v>0.53499799999999997</v>
      </c>
      <c r="F3338" t="s">
        <v>61</v>
      </c>
      <c r="G3338">
        <v>-409.91890000000001</v>
      </c>
      <c r="H3338" s="1">
        <v>4.3854060000000001E-6</v>
      </c>
      <c r="I3338">
        <v>212.76859999999999</v>
      </c>
      <c r="J3338">
        <v>-433.21980000000002</v>
      </c>
      <c r="K3338">
        <v>1.1063190000000001</v>
      </c>
      <c r="L3338">
        <v>213.8227</v>
      </c>
      <c r="M3338">
        <v>0.99976620000000005</v>
      </c>
      <c r="N3338">
        <v>0</v>
      </c>
      <c r="O3338">
        <v>-1.541122E-2</v>
      </c>
      <c r="P3338">
        <v>0.99875119999999895</v>
      </c>
      <c r="Q3338">
        <v>1.8703170000000002E-2</v>
      </c>
      <c r="R3338">
        <v>4.6330299999999998E-2</v>
      </c>
      <c r="S3338">
        <v>3.0122680000000002</v>
      </c>
      <c r="T3338">
        <v>-0.14128379999999999</v>
      </c>
      <c r="U3338">
        <v>-0.13500979999999899</v>
      </c>
      <c r="V3338">
        <v>-6.1827809999999997E-2</v>
      </c>
      <c r="W3338">
        <v>3.3641009999999999E-2</v>
      </c>
      <c r="X3338">
        <v>0.99751970000000001</v>
      </c>
      <c r="Y3338">
        <v>2.935687E-2</v>
      </c>
      <c r="Z3338" s="1">
        <v>3.4333089999999998E-5</v>
      </c>
      <c r="AA3338">
        <v>0.99956900000000004</v>
      </c>
      <c r="AB3338">
        <v>30</v>
      </c>
      <c r="AC3338">
        <v>23.300899999999999</v>
      </c>
      <c r="AD3338">
        <v>-1.1063146145939999</v>
      </c>
      <c r="AE3338">
        <v>-1.0541</v>
      </c>
      <c r="AF3338">
        <v>0.69327851352662095</v>
      </c>
      <c r="AG3338">
        <v>-1.1063146145939999</v>
      </c>
      <c r="AH3338">
        <v>23.2620464316816</v>
      </c>
      <c r="AI3338">
        <v>92.721659251368905</v>
      </c>
      <c r="AJ3338">
        <v>88.292919814608496</v>
      </c>
      <c r="AK3338">
        <v>23.2986559980076</v>
      </c>
    </row>
    <row r="3339" spans="1:37" x14ac:dyDescent="0.2">
      <c r="A3339" t="str">
        <f>"20200111155611707"</f>
        <v>20200111155611707</v>
      </c>
      <c r="B3339" t="str">
        <f>"1578729371695793"</f>
        <v>1578729371695793</v>
      </c>
      <c r="C3339" t="s">
        <v>37</v>
      </c>
      <c r="D3339">
        <v>5.0659289999999997</v>
      </c>
      <c r="E3339">
        <v>0.53506180000000003</v>
      </c>
      <c r="F3339" t="s">
        <v>61</v>
      </c>
      <c r="G3339">
        <v>-409.6823</v>
      </c>
      <c r="H3339" s="1">
        <v>4.4830339999999998E-6</v>
      </c>
      <c r="I3339">
        <v>212.8039</v>
      </c>
      <c r="J3339">
        <v>-432.9316</v>
      </c>
      <c r="K3339">
        <v>1.1063339999999999</v>
      </c>
      <c r="L3339">
        <v>213.82</v>
      </c>
      <c r="M3339">
        <v>0.99978849999999997</v>
      </c>
      <c r="N3339">
        <v>0</v>
      </c>
      <c r="O3339">
        <v>-1.3839850000000001E-2</v>
      </c>
      <c r="P3339">
        <v>0.99865809999999999</v>
      </c>
      <c r="Q3339">
        <v>1.9383729999999998E-2</v>
      </c>
      <c r="R3339">
        <v>4.8025039999999998E-2</v>
      </c>
      <c r="S3339">
        <v>3.012451</v>
      </c>
      <c r="T3339">
        <v>-0.1415921</v>
      </c>
      <c r="U3339">
        <v>-0.13038640000000001</v>
      </c>
      <c r="V3339">
        <v>-6.1954719999999998E-2</v>
      </c>
      <c r="W3339">
        <v>3.4359670000000002E-2</v>
      </c>
      <c r="X3339">
        <v>0.99748740000000002</v>
      </c>
      <c r="Y3339">
        <v>2.9392209999999998E-2</v>
      </c>
      <c r="Z3339" s="1">
        <v>-4.0193669999999999E-5</v>
      </c>
      <c r="AA3339">
        <v>0.99956789999999995</v>
      </c>
      <c r="AB3339">
        <v>30</v>
      </c>
      <c r="AC3339">
        <v>23.249300000000002</v>
      </c>
      <c r="AD3339">
        <v>-1.1063295169659999</v>
      </c>
      <c r="AE3339">
        <v>-1.01609999999999</v>
      </c>
      <c r="AF3339">
        <v>0.69263320400031603</v>
      </c>
      <c r="AG3339">
        <v>-1.1063295169659999</v>
      </c>
      <c r="AH3339">
        <v>23.208683993720701</v>
      </c>
      <c r="AI3339">
        <v>92.727940954985499</v>
      </c>
      <c r="AJ3339">
        <v>88.290588820978797</v>
      </c>
      <c r="AK3339">
        <v>23.245359073926601</v>
      </c>
    </row>
    <row r="3340" spans="1:37" x14ac:dyDescent="0.2">
      <c r="A3340" t="str">
        <f>"20200111155611732"</f>
        <v>20200111155611732</v>
      </c>
      <c r="B3340" t="str">
        <f>"1578729371726049"</f>
        <v>1578729371726049</v>
      </c>
      <c r="C3340" t="s">
        <v>37</v>
      </c>
      <c r="D3340">
        <v>5.1172459999999997</v>
      </c>
      <c r="E3340">
        <v>0.53517040000000005</v>
      </c>
      <c r="F3340" t="s">
        <v>61</v>
      </c>
      <c r="G3340">
        <v>-409.14049999999997</v>
      </c>
      <c r="H3340" s="1">
        <v>4.718278E-6</v>
      </c>
      <c r="I3340">
        <v>212.82839999999999</v>
      </c>
      <c r="J3340">
        <v>-432.59519999999998</v>
      </c>
      <c r="K3340">
        <v>1.1063379999999901</v>
      </c>
      <c r="L3340">
        <v>213.81729999999999</v>
      </c>
      <c r="M3340">
        <v>0.99981149999999996</v>
      </c>
      <c r="N3340">
        <v>0</v>
      </c>
      <c r="O3340">
        <v>-1.202425E-2</v>
      </c>
      <c r="P3340">
        <v>0.99856329999999904</v>
      </c>
      <c r="Q3340">
        <v>1.995154E-2</v>
      </c>
      <c r="R3340">
        <v>4.9734569999999999E-2</v>
      </c>
      <c r="S3340">
        <v>3.012756</v>
      </c>
      <c r="T3340">
        <v>-0.14009820000000001</v>
      </c>
      <c r="U3340">
        <v>-0.1255646</v>
      </c>
      <c r="V3340">
        <v>-6.1850679999999998E-2</v>
      </c>
      <c r="W3340">
        <v>3.4966799999999999E-2</v>
      </c>
      <c r="X3340">
        <v>0.99747269999999899</v>
      </c>
      <c r="Y3340">
        <v>2.96043E-2</v>
      </c>
      <c r="Z3340">
        <v>-1.290315E-4</v>
      </c>
      <c r="AA3340">
        <v>0.9995617</v>
      </c>
      <c r="AB3340">
        <v>30</v>
      </c>
      <c r="AC3340">
        <v>23.454699999999999</v>
      </c>
      <c r="AD3340">
        <v>-1.10633328172199</v>
      </c>
      <c r="AE3340">
        <v>-0.988900000000001</v>
      </c>
      <c r="AF3340">
        <v>0.70520430999287897</v>
      </c>
      <c r="AG3340">
        <v>-1.10633328172199</v>
      </c>
      <c r="AH3340">
        <v>23.412897014836901</v>
      </c>
      <c r="AI3340">
        <v>92.704169473584301</v>
      </c>
      <c r="AJ3340">
        <v>88.274753514243201</v>
      </c>
      <c r="AK3340">
        <v>23.449627567968701</v>
      </c>
    </row>
    <row r="3341" spans="1:37" x14ac:dyDescent="0.2">
      <c r="A3341" t="str">
        <f>"20200111155611754"</f>
        <v>20200111155611754</v>
      </c>
      <c r="B3341" t="str">
        <f>"1578729371745570"</f>
        <v>1578729371745570</v>
      </c>
      <c r="C3341" t="s">
        <v>37</v>
      </c>
      <c r="D3341">
        <v>5.023638</v>
      </c>
      <c r="E3341">
        <v>0.53521350000000001</v>
      </c>
      <c r="F3341" t="s">
        <v>61</v>
      </c>
      <c r="G3341">
        <v>-408.5797</v>
      </c>
      <c r="H3341" s="1">
        <v>4.961681E-6</v>
      </c>
      <c r="I3341">
        <v>212.85390000000001</v>
      </c>
      <c r="J3341">
        <v>-432.30959999999999</v>
      </c>
      <c r="K3341">
        <v>1.1063339999999999</v>
      </c>
      <c r="L3341">
        <v>213.81559999999999</v>
      </c>
      <c r="M3341">
        <v>0.99982819999999994</v>
      </c>
      <c r="N3341">
        <v>0</v>
      </c>
      <c r="O3341">
        <v>-1.0507499999999999E-2</v>
      </c>
      <c r="P3341">
        <v>0.99845149999999905</v>
      </c>
      <c r="Q3341">
        <v>2.0449740000000001E-2</v>
      </c>
      <c r="R3341">
        <v>5.1736079999999997E-2</v>
      </c>
      <c r="S3341">
        <v>3.013153</v>
      </c>
      <c r="T3341">
        <v>-0.1388086</v>
      </c>
      <c r="U3341">
        <v>-0.1208801</v>
      </c>
      <c r="V3341">
        <v>-6.2337040000000003E-2</v>
      </c>
      <c r="W3341">
        <v>3.5491000000000002E-2</v>
      </c>
      <c r="X3341">
        <v>0.99742389999999903</v>
      </c>
      <c r="Y3341">
        <v>2.9562580000000001E-2</v>
      </c>
      <c r="Z3341">
        <v>-1.966755E-4</v>
      </c>
      <c r="AA3341">
        <v>0.99956290000000003</v>
      </c>
      <c r="AB3341">
        <v>30</v>
      </c>
      <c r="AC3341">
        <v>23.729899999999901</v>
      </c>
      <c r="AD3341">
        <v>-1.1063290383190001</v>
      </c>
      <c r="AE3341">
        <v>-0.96169999999997902</v>
      </c>
      <c r="AF3341">
        <v>0.71073359132386704</v>
      </c>
      <c r="AG3341">
        <v>-1.1063290383190001</v>
      </c>
      <c r="AH3341">
        <v>23.687293975318401</v>
      </c>
      <c r="AI3341">
        <v>92.672888708091094</v>
      </c>
      <c r="AJ3341">
        <v>88.2813646327279</v>
      </c>
      <c r="AK3341">
        <v>23.7237645000118</v>
      </c>
    </row>
    <row r="3342" spans="1:37" x14ac:dyDescent="0.2">
      <c r="A3342" t="str">
        <f>"20200111155611775"</f>
        <v>20200111155611775</v>
      </c>
      <c r="B3342" t="str">
        <f>"1578729371766066"</f>
        <v>1578729371766066</v>
      </c>
      <c r="C3342" t="s">
        <v>37</v>
      </c>
      <c r="D3342">
        <v>5.1775219999999997</v>
      </c>
      <c r="E3342">
        <v>0.535394699999999</v>
      </c>
      <c r="F3342" t="s">
        <v>61</v>
      </c>
      <c r="G3342">
        <v>-408.04160000000002</v>
      </c>
      <c r="H3342" s="1">
        <v>5.193863E-6</v>
      </c>
      <c r="I3342">
        <v>212.88509999999999</v>
      </c>
      <c r="J3342">
        <v>-432.01690000000002</v>
      </c>
      <c r="K3342">
        <v>1.106317</v>
      </c>
      <c r="L3342">
        <v>213.8142</v>
      </c>
      <c r="M3342">
        <v>0.99984280000000003</v>
      </c>
      <c r="N3342">
        <v>0</v>
      </c>
      <c r="O3342">
        <v>-8.9864400000000001E-3</v>
      </c>
      <c r="P3342">
        <v>0.99832330000000002</v>
      </c>
      <c r="Q3342">
        <v>2.1550739999999999E-2</v>
      </c>
      <c r="R3342">
        <v>5.372499E-2</v>
      </c>
      <c r="S3342">
        <v>3.013458</v>
      </c>
      <c r="T3342">
        <v>-0.13737729999999901</v>
      </c>
      <c r="U3342">
        <v>-0.11553959999999899</v>
      </c>
      <c r="V3342">
        <v>-6.2807719999999997E-2</v>
      </c>
      <c r="W3342">
        <v>3.6615599999999998E-2</v>
      </c>
      <c r="X3342">
        <v>0.99735370000000001</v>
      </c>
      <c r="Y3342">
        <v>2.9309519999999999E-2</v>
      </c>
      <c r="Z3342">
        <v>-2.5815199999999999E-4</v>
      </c>
      <c r="AA3342">
        <v>0.99957039999999997</v>
      </c>
      <c r="AB3342">
        <v>30</v>
      </c>
      <c r="AC3342">
        <v>23.975300000000001</v>
      </c>
      <c r="AD3342">
        <v>-1.1063118061370001</v>
      </c>
      <c r="AE3342">
        <v>-0.92910000000000503</v>
      </c>
      <c r="AF3342">
        <v>0.712070804517284</v>
      </c>
      <c r="AG3342">
        <v>-1.1063118061370001</v>
      </c>
      <c r="AH3342">
        <v>23.9318015366363</v>
      </c>
      <c r="AI3342">
        <v>92.645597832540204</v>
      </c>
      <c r="AJ3342">
        <v>88.295714665758695</v>
      </c>
      <c r="AK3342">
        <v>23.967938906630899</v>
      </c>
    </row>
    <row r="3343" spans="1:37" x14ac:dyDescent="0.2">
      <c r="A3343" t="str">
        <f>"20200111155611797"</f>
        <v>20200111155611797</v>
      </c>
      <c r="B3343" t="str">
        <f>"1578729371785585"</f>
        <v>1578729371785585</v>
      </c>
      <c r="C3343" t="s">
        <v>37</v>
      </c>
      <c r="D3343">
        <v>5.182874</v>
      </c>
      <c r="E3343">
        <v>0.53545900000000002</v>
      </c>
      <c r="F3343" t="s">
        <v>61</v>
      </c>
      <c r="G3343">
        <v>-407.1037</v>
      </c>
      <c r="H3343" s="1">
        <v>5.6077300000000001E-6</v>
      </c>
      <c r="I3343">
        <v>212.89510000000001</v>
      </c>
      <c r="J3343">
        <v>-431.73219999999998</v>
      </c>
      <c r="K3343">
        <v>1.106284</v>
      </c>
      <c r="L3343">
        <v>213.81319999999999</v>
      </c>
      <c r="M3343">
        <v>0.99985440000000003</v>
      </c>
      <c r="N3343">
        <v>0</v>
      </c>
      <c r="O3343">
        <v>-7.5488999999999903E-3</v>
      </c>
      <c r="P3343">
        <v>0.99822840000000002</v>
      </c>
      <c r="Q3343">
        <v>2.1689030000000002E-2</v>
      </c>
      <c r="R3343">
        <v>5.5406440000000001E-2</v>
      </c>
      <c r="S3343">
        <v>3.0139469999999999</v>
      </c>
      <c r="T3343">
        <v>-0.13383909999999999</v>
      </c>
      <c r="U3343">
        <v>-0.11119080000000001</v>
      </c>
      <c r="V3343">
        <v>-6.3050830000000002E-2</v>
      </c>
      <c r="W3343">
        <v>3.6775219999999997E-2</v>
      </c>
      <c r="X3343">
        <v>0.99733249999999996</v>
      </c>
      <c r="Y3343">
        <v>2.9299909999999998E-2</v>
      </c>
      <c r="Z3343">
        <v>-3.1504610000000001E-4</v>
      </c>
      <c r="AA3343">
        <v>0.99957059999999998</v>
      </c>
      <c r="AB3343">
        <v>30</v>
      </c>
      <c r="AC3343">
        <v>24.628499999999899</v>
      </c>
      <c r="AD3343">
        <v>-1.1062783922699999</v>
      </c>
      <c r="AE3343">
        <v>-0.91809999999998104</v>
      </c>
      <c r="AF3343">
        <v>0.730661778284042</v>
      </c>
      <c r="AG3343">
        <v>-1.1062783922699999</v>
      </c>
      <c r="AH3343">
        <v>24.5851932551749</v>
      </c>
      <c r="AI3343">
        <v>92.575307662012406</v>
      </c>
      <c r="AJ3343">
        <v>88.297694194381293</v>
      </c>
      <c r="AK3343">
        <v>24.620914806516499</v>
      </c>
    </row>
    <row r="3344" spans="1:37" x14ac:dyDescent="0.2">
      <c r="A3344" t="str">
        <f>"20200111155611820"</f>
        <v>20200111155611820</v>
      </c>
      <c r="B3344" t="str">
        <f>"1578729371815841"</f>
        <v>1578729371815841</v>
      </c>
      <c r="C3344" t="s">
        <v>37</v>
      </c>
      <c r="D3344">
        <v>5.0148849999999996</v>
      </c>
      <c r="E3344">
        <v>0.53572369999999903</v>
      </c>
      <c r="F3344" t="s">
        <v>61</v>
      </c>
      <c r="G3344">
        <v>-406.7663</v>
      </c>
      <c r="H3344" s="1">
        <v>5.7498259999999999E-6</v>
      </c>
      <c r="I3344">
        <v>212.9314</v>
      </c>
      <c r="J3344">
        <v>-431.42410000000001</v>
      </c>
      <c r="K3344">
        <v>1.106239</v>
      </c>
      <c r="L3344">
        <v>213.8125</v>
      </c>
      <c r="M3344">
        <v>0.99986439999999999</v>
      </c>
      <c r="N3344">
        <v>0</v>
      </c>
      <c r="O3344">
        <v>-6.0505890000000003E-3</v>
      </c>
      <c r="P3344">
        <v>0.99811700000000003</v>
      </c>
      <c r="Q3344">
        <v>2.143979E-2</v>
      </c>
      <c r="R3344">
        <v>5.7473070000000001E-2</v>
      </c>
      <c r="S3344">
        <v>3.01416</v>
      </c>
      <c r="T3344">
        <v>-0.13356229999999999</v>
      </c>
      <c r="U3344">
        <v>-0.1064606</v>
      </c>
      <c r="V3344">
        <v>-6.3616809999999996E-2</v>
      </c>
      <c r="W3344">
        <v>3.6545550000000003E-2</v>
      </c>
      <c r="X3344">
        <v>0.997304999999999</v>
      </c>
      <c r="Y3344">
        <v>2.922725E-2</v>
      </c>
      <c r="Z3344">
        <v>-3.7911489999999998E-4</v>
      </c>
      <c r="AA3344">
        <v>0.99957269999999898</v>
      </c>
      <c r="AB3344">
        <v>30</v>
      </c>
      <c r="AC3344">
        <v>24.657800000000002</v>
      </c>
      <c r="AD3344">
        <v>-1.106233250174</v>
      </c>
      <c r="AE3344">
        <v>-0.88110000000000299</v>
      </c>
      <c r="AF3344">
        <v>0.73040392416440203</v>
      </c>
      <c r="AG3344">
        <v>-1.106233250174</v>
      </c>
      <c r="AH3344">
        <v>24.613203859542601</v>
      </c>
      <c r="AI3344">
        <v>92.572279369934705</v>
      </c>
      <c r="AJ3344">
        <v>88.300230050998707</v>
      </c>
      <c r="AK3344">
        <v>24.648875149337499</v>
      </c>
    </row>
    <row r="3345" spans="1:37" x14ac:dyDescent="0.2">
      <c r="A3345" t="str">
        <f>"20200111155611843"</f>
        <v>20200111155611843</v>
      </c>
      <c r="B3345" t="str">
        <f>"1578729371836337"</f>
        <v>1578729371836337</v>
      </c>
      <c r="C3345" t="s">
        <v>37</v>
      </c>
      <c r="D3345">
        <v>5.0763259999999999</v>
      </c>
      <c r="E3345">
        <v>0.53583590000000003</v>
      </c>
      <c r="F3345" t="s">
        <v>61</v>
      </c>
      <c r="G3345">
        <v>-406.72719999999998</v>
      </c>
      <c r="H3345" s="1">
        <v>5.7583660000000001E-6</v>
      </c>
      <c r="I3345">
        <v>212.97389999999999</v>
      </c>
      <c r="J3345">
        <v>-431.12880000000001</v>
      </c>
      <c r="K3345">
        <v>1.1061909999999999</v>
      </c>
      <c r="L3345">
        <v>213.81229999999999</v>
      </c>
      <c r="M3345">
        <v>0.99987150000000002</v>
      </c>
      <c r="N3345">
        <v>0</v>
      </c>
      <c r="O3345">
        <v>-4.6753179999999899E-3</v>
      </c>
      <c r="P3345">
        <v>0.99798729999999902</v>
      </c>
      <c r="Q3345">
        <v>2.1073700000000001E-2</v>
      </c>
      <c r="R3345">
        <v>5.9810929999999998E-2</v>
      </c>
      <c r="S3345">
        <v>3.01443499999999</v>
      </c>
      <c r="T3345">
        <v>-0.135023799999999</v>
      </c>
      <c r="U3345">
        <v>-0.102355999999999</v>
      </c>
      <c r="V3345">
        <v>-6.4576330000000001E-2</v>
      </c>
      <c r="W3345">
        <v>3.6193870000000003E-2</v>
      </c>
      <c r="X3345">
        <v>0.99725620000000004</v>
      </c>
      <c r="Y3345">
        <v>2.9237579999999999E-2</v>
      </c>
      <c r="Z3345">
        <v>-4.4502069999999999E-4</v>
      </c>
      <c r="AA3345">
        <v>0.99957240000000003</v>
      </c>
      <c r="AB3345">
        <v>30</v>
      </c>
      <c r="AC3345">
        <v>24.401599999999998</v>
      </c>
      <c r="AD3345">
        <v>-1.1061852416339999</v>
      </c>
      <c r="AE3345">
        <v>-0.83840000000000703</v>
      </c>
      <c r="AF3345">
        <v>0.722808535438213</v>
      </c>
      <c r="AG3345">
        <v>-1.1061852416339999</v>
      </c>
      <c r="AH3345">
        <v>24.3552616040582</v>
      </c>
      <c r="AI3345">
        <v>92.599371906152498</v>
      </c>
      <c r="AJ3345">
        <v>88.300091088558005</v>
      </c>
      <c r="AK3345">
        <v>24.3910816851124</v>
      </c>
    </row>
    <row r="3346" spans="1:37" x14ac:dyDescent="0.2">
      <c r="A3346" t="str">
        <f>"20200111155611865"</f>
        <v>20200111155611865</v>
      </c>
      <c r="B3346" t="str">
        <f>"1578729371855858"</f>
        <v>1578729371855858</v>
      </c>
      <c r="C3346" t="s">
        <v>37</v>
      </c>
      <c r="D3346">
        <v>5.0344819999999997</v>
      </c>
      <c r="E3346">
        <v>0.53611409999999904</v>
      </c>
      <c r="F3346" t="s">
        <v>61</v>
      </c>
      <c r="G3346">
        <v>-406.61880000000002</v>
      </c>
      <c r="H3346" s="1">
        <v>5.7952509999999902E-6</v>
      </c>
      <c r="I3346">
        <v>213.0282</v>
      </c>
      <c r="J3346">
        <v>-430.83269999999999</v>
      </c>
      <c r="K3346">
        <v>1.1061510000000001</v>
      </c>
      <c r="L3346">
        <v>213.8124</v>
      </c>
      <c r="M3346">
        <v>0.99987689999999996</v>
      </c>
      <c r="N3346">
        <v>0</v>
      </c>
      <c r="O3346">
        <v>-3.3476949999999999E-3</v>
      </c>
      <c r="P3346">
        <v>0.99787029999999999</v>
      </c>
      <c r="Q3346">
        <v>2.131887E-2</v>
      </c>
      <c r="R3346">
        <v>6.1649009999999997E-2</v>
      </c>
      <c r="S3346">
        <v>3.0146790000000001</v>
      </c>
      <c r="T3346">
        <v>-0.1360584</v>
      </c>
      <c r="U3346">
        <v>-9.6435549999999995E-2</v>
      </c>
      <c r="V3346">
        <v>-6.5085459999999998E-2</v>
      </c>
      <c r="W3346">
        <v>3.6453100000000002E-2</v>
      </c>
      <c r="X3346">
        <v>0.99721369999999898</v>
      </c>
      <c r="Y3346">
        <v>2.8600069999999998E-2</v>
      </c>
      <c r="Z3346">
        <v>-4.9390790000000001E-4</v>
      </c>
      <c r="AA3346">
        <v>0.9995908</v>
      </c>
      <c r="AB3346">
        <v>30</v>
      </c>
      <c r="AC3346">
        <v>24.213899999999899</v>
      </c>
      <c r="AD3346">
        <v>-1.1061452047489999</v>
      </c>
      <c r="AE3346">
        <v>-0.78419999999999801</v>
      </c>
      <c r="AF3346">
        <v>0.70166258495841405</v>
      </c>
      <c r="AG3346">
        <v>-1.1061452047489999</v>
      </c>
      <c r="AH3346">
        <v>24.166011441735499</v>
      </c>
      <c r="AI3346">
        <v>92.619654621091101</v>
      </c>
      <c r="AJ3346">
        <v>88.336878502953098</v>
      </c>
      <c r="AK3346">
        <v>24.201487487326201</v>
      </c>
    </row>
    <row r="3347" spans="1:37" x14ac:dyDescent="0.2">
      <c r="A3347" t="str">
        <f>"20200111155611887"</f>
        <v>20200111155611887</v>
      </c>
      <c r="B3347" t="str">
        <f>"1578729371876353"</f>
        <v>1578729371876353</v>
      </c>
      <c r="C3347" t="s">
        <v>37</v>
      </c>
      <c r="D3347">
        <v>5.041264</v>
      </c>
      <c r="E3347">
        <v>0.53636119999999898</v>
      </c>
      <c r="F3347" t="s">
        <v>61</v>
      </c>
      <c r="G3347">
        <v>-406.24699999999899</v>
      </c>
      <c r="H3347" s="1">
        <v>5.9544299999999997E-6</v>
      </c>
      <c r="I3347">
        <v>213.0557</v>
      </c>
      <c r="J3347">
        <v>-430.54349999999999</v>
      </c>
      <c r="K3347">
        <v>1.106115</v>
      </c>
      <c r="L3347">
        <v>213.81280000000001</v>
      </c>
      <c r="M3347">
        <v>0.99987999999999899</v>
      </c>
      <c r="N3347">
        <v>0</v>
      </c>
      <c r="O3347">
        <v>-2.1035870000000001E-3</v>
      </c>
      <c r="P3347">
        <v>0.99780230000000003</v>
      </c>
      <c r="Q3347">
        <v>2.0813990000000001E-2</v>
      </c>
      <c r="R3347">
        <v>6.2908599999999995E-2</v>
      </c>
      <c r="S3347">
        <v>3.015015</v>
      </c>
      <c r="T3347">
        <v>-0.13564960000000001</v>
      </c>
      <c r="U3347">
        <v>-9.2788699999999905E-2</v>
      </c>
      <c r="V3347">
        <v>-6.5098520000000007E-2</v>
      </c>
      <c r="W3347">
        <v>3.596133E-2</v>
      </c>
      <c r="X3347">
        <v>0.99723059999999997</v>
      </c>
      <c r="Y3347">
        <v>2.8631259999999999E-2</v>
      </c>
      <c r="Z3347">
        <v>-5.4901850000000003E-4</v>
      </c>
      <c r="AA3347">
        <v>0.99958989999999903</v>
      </c>
      <c r="AB3347">
        <v>30</v>
      </c>
      <c r="AC3347">
        <v>24.296500000000002</v>
      </c>
      <c r="AD3347">
        <v>-1.10610904557</v>
      </c>
      <c r="AE3347">
        <v>-0.75710000000000799</v>
      </c>
      <c r="AF3347">
        <v>0.70452374635540604</v>
      </c>
      <c r="AG3347">
        <v>-1.10610904557</v>
      </c>
      <c r="AH3347">
        <v>24.247832550897499</v>
      </c>
      <c r="AI3347">
        <v>92.610740451515298</v>
      </c>
      <c r="AJ3347">
        <v>88.335732324231401</v>
      </c>
      <c r="AK3347">
        <v>24.283270256418</v>
      </c>
    </row>
    <row r="3348" spans="1:37" x14ac:dyDescent="0.2">
      <c r="A3348" t="str">
        <f>"20200111155611909"</f>
        <v>20200111155611909</v>
      </c>
      <c r="B3348" t="str">
        <f>"1578729371905634"</f>
        <v>1578729371905634</v>
      </c>
      <c r="C3348" t="s">
        <v>37</v>
      </c>
      <c r="D3348">
        <v>4.9851619999999999</v>
      </c>
      <c r="E3348">
        <v>0.54645980000000005</v>
      </c>
      <c r="F3348" t="s">
        <v>61</v>
      </c>
      <c r="G3348">
        <v>-406.2423</v>
      </c>
      <c r="H3348" s="1">
        <v>5.9512629999999997E-6</v>
      </c>
      <c r="I3348">
        <v>213.08109999999999</v>
      </c>
      <c r="J3348">
        <v>-430.25279999999998</v>
      </c>
      <c r="K3348">
        <v>1.10607099999999</v>
      </c>
      <c r="L3348">
        <v>213.8135</v>
      </c>
      <c r="M3348">
        <v>0.99988189999999999</v>
      </c>
      <c r="N3348">
        <v>0</v>
      </c>
      <c r="O3348">
        <v>-9.1158910000000001E-4</v>
      </c>
      <c r="P3348">
        <v>0.99773289999999903</v>
      </c>
      <c r="Q3348">
        <v>2.086617E-2</v>
      </c>
      <c r="R3348">
        <v>6.3984139999999995E-2</v>
      </c>
      <c r="S3348">
        <v>3.015228</v>
      </c>
      <c r="T3348">
        <v>-0.13724359999999999</v>
      </c>
      <c r="U3348">
        <v>-9.0789789999999995E-2</v>
      </c>
      <c r="V3348">
        <v>-6.4980919999999998E-2</v>
      </c>
      <c r="W3348">
        <v>3.6025189999999999E-2</v>
      </c>
      <c r="X3348">
        <v>0.99723600000000001</v>
      </c>
      <c r="Y3348">
        <v>2.9156270000000001E-2</v>
      </c>
      <c r="Z3348">
        <v>-6.2159050000000005E-4</v>
      </c>
      <c r="AA3348">
        <v>0.99957469999999904</v>
      </c>
      <c r="AB3348">
        <v>30</v>
      </c>
      <c r="AC3348">
        <v>24.010499999999901</v>
      </c>
      <c r="AD3348">
        <v>-1.1060650487369901</v>
      </c>
      <c r="AE3348">
        <v>-0.73240000000001204</v>
      </c>
      <c r="AF3348">
        <v>0.70900624979983495</v>
      </c>
      <c r="AG3348">
        <v>-1.1060650487369901</v>
      </c>
      <c r="AH3348">
        <v>23.960359543753398</v>
      </c>
      <c r="AI3348">
        <v>92.641873281443196</v>
      </c>
      <c r="AJ3348">
        <v>88.305066533593404</v>
      </c>
      <c r="AK3348">
        <v>23.996351789808099</v>
      </c>
    </row>
    <row r="3349" spans="1:37" x14ac:dyDescent="0.2">
      <c r="A3349" t="str">
        <f>"20200111155611931"</f>
        <v>20200111155611931</v>
      </c>
      <c r="B3349" t="str">
        <f>"1578729371926130"</f>
        <v>1578729371926130</v>
      </c>
      <c r="C3349" t="s">
        <v>37</v>
      </c>
      <c r="D3349">
        <v>4.9671250000000002</v>
      </c>
      <c r="E3349">
        <v>0.547157</v>
      </c>
      <c r="F3349" t="s">
        <v>61</v>
      </c>
      <c r="G3349">
        <v>-403.83730000000003</v>
      </c>
      <c r="H3349" s="1">
        <v>7.171207E-6</v>
      </c>
      <c r="I3349">
        <v>212.33869999999999</v>
      </c>
      <c r="J3349">
        <v>-429.95209999999997</v>
      </c>
      <c r="K3349">
        <v>1.106033</v>
      </c>
      <c r="L3349">
        <v>213.81450000000001</v>
      </c>
      <c r="M3349">
        <v>0.9998821</v>
      </c>
      <c r="N3349">
        <v>0</v>
      </c>
      <c r="O3349">
        <v>2.5570120000000001E-4</v>
      </c>
      <c r="P3349">
        <v>0.99767539999999999</v>
      </c>
      <c r="Q3349">
        <v>2.085921E-2</v>
      </c>
      <c r="R3349">
        <v>6.4875450000000001E-2</v>
      </c>
      <c r="S3349">
        <v>3.0202640000000001</v>
      </c>
      <c r="T3349">
        <v>-0.12646369999999901</v>
      </c>
      <c r="U3349">
        <v>-0.16862489999999999</v>
      </c>
      <c r="V3349">
        <v>-6.4702720000000005E-2</v>
      </c>
      <c r="W3349">
        <v>3.6029949999999998E-2</v>
      </c>
      <c r="X3349">
        <v>0.99725399999999997</v>
      </c>
      <c r="Y3349">
        <v>5.5950599999999899E-2</v>
      </c>
      <c r="Z3349">
        <v>-1.180646E-3</v>
      </c>
      <c r="AA3349">
        <v>0.99843280000000001</v>
      </c>
      <c r="AB3349">
        <v>30</v>
      </c>
      <c r="AC3349">
        <v>26.114799999999899</v>
      </c>
      <c r="AD3349">
        <v>-1.106025828793</v>
      </c>
      <c r="AE3349">
        <v>-1.47580000000002</v>
      </c>
      <c r="AF3349">
        <v>1.4798323547475201</v>
      </c>
      <c r="AG3349">
        <v>-1.106025828793</v>
      </c>
      <c r="AH3349">
        <v>26.0678119684612</v>
      </c>
      <c r="AI3349">
        <v>92.425632963575197</v>
      </c>
      <c r="AJ3349">
        <v>86.750887926025499</v>
      </c>
      <c r="AK3349">
        <v>26.133197618262599</v>
      </c>
    </row>
    <row r="3350" spans="1:37" x14ac:dyDescent="0.2">
      <c r="A3350" t="str">
        <f>"20200111155611954"</f>
        <v>20200111155611954</v>
      </c>
      <c r="B3350" t="str">
        <f>"1578729371945650"</f>
        <v>1578729371945650</v>
      </c>
      <c r="C3350" t="s">
        <v>37</v>
      </c>
      <c r="D3350">
        <v>4.9903579999999996</v>
      </c>
      <c r="E3350">
        <v>0.54743439999999999</v>
      </c>
      <c r="F3350" t="s">
        <v>61</v>
      </c>
      <c r="G3350">
        <v>-403.86559999999997</v>
      </c>
      <c r="H3350" s="1">
        <v>7.1593119999999997E-6</v>
      </c>
      <c r="I3350">
        <v>212.33539999999999</v>
      </c>
      <c r="J3350">
        <v>-429.6619</v>
      </c>
      <c r="K3350">
        <v>1.1059859999999999</v>
      </c>
      <c r="L3350">
        <v>213.8158</v>
      </c>
      <c r="M3350">
        <v>0.99988129999999997</v>
      </c>
      <c r="N3350">
        <v>0</v>
      </c>
      <c r="O3350">
        <v>1.3157069999999999E-3</v>
      </c>
      <c r="P3350">
        <v>0.99764330000000001</v>
      </c>
      <c r="Q3350">
        <v>2.1192900000000001E-2</v>
      </c>
      <c r="R3350">
        <v>6.5260319999999997E-2</v>
      </c>
      <c r="S3350">
        <v>3.020813</v>
      </c>
      <c r="T3350">
        <v>-0.12807750000000001</v>
      </c>
      <c r="U3350">
        <v>-0.17127989999999901</v>
      </c>
      <c r="V3350">
        <v>-6.4025689999999996E-2</v>
      </c>
      <c r="W3350">
        <v>3.637543E-2</v>
      </c>
      <c r="X3350">
        <v>0.99728510000000004</v>
      </c>
      <c r="Y3350">
        <v>5.7869719999999999E-2</v>
      </c>
      <c r="Z3350">
        <v>-1.2809780000000001E-3</v>
      </c>
      <c r="AA3350">
        <v>0.99832330000000002</v>
      </c>
      <c r="AB3350">
        <v>30</v>
      </c>
      <c r="AC3350">
        <v>25.796299999999999</v>
      </c>
      <c r="AD3350">
        <v>-1.105978840688</v>
      </c>
      <c r="AE3350">
        <v>-1.4803999999999999</v>
      </c>
      <c r="AF3350">
        <v>1.5115737257586701</v>
      </c>
      <c r="AG3350">
        <v>-1.105978840688</v>
      </c>
      <c r="AH3350">
        <v>25.7471581147237</v>
      </c>
      <c r="AI3350">
        <v>92.455426939846006</v>
      </c>
      <c r="AJ3350">
        <v>86.640114686676299</v>
      </c>
      <c r="AK3350">
        <v>25.815193110047399</v>
      </c>
    </row>
    <row r="3351" spans="1:37" x14ac:dyDescent="0.2">
      <c r="A3351" t="str">
        <f>"20200111155611976"</f>
        <v>20200111155611976</v>
      </c>
      <c r="B3351" t="str">
        <f>"1578729371966145"</f>
        <v>1578729371966145</v>
      </c>
      <c r="C3351" t="s">
        <v>37</v>
      </c>
      <c r="D3351">
        <v>5.1026020000000001</v>
      </c>
      <c r="E3351">
        <v>0.52293859999999903</v>
      </c>
      <c r="F3351" t="s">
        <v>61</v>
      </c>
      <c r="G3351">
        <v>-403.2373</v>
      </c>
      <c r="H3351" s="1">
        <v>7.443316E-6</v>
      </c>
      <c r="I3351">
        <v>212.30950000000001</v>
      </c>
      <c r="J3351">
        <v>-429.36509999999998</v>
      </c>
      <c r="K3351">
        <v>1.1059289999999999</v>
      </c>
      <c r="L3351">
        <v>213.81729999999999</v>
      </c>
      <c r="M3351">
        <v>0.99987939999999997</v>
      </c>
      <c r="N3351">
        <v>0</v>
      </c>
      <c r="O3351">
        <v>2.3265429999999999E-3</v>
      </c>
      <c r="P3351">
        <v>0.99761679999999997</v>
      </c>
      <c r="Q3351">
        <v>2.1330760000000001E-2</v>
      </c>
      <c r="R3351">
        <v>6.5616599999999997E-2</v>
      </c>
      <c r="S3351">
        <v>3.0210270000000001</v>
      </c>
      <c r="T3351">
        <v>-0.12644249999999899</v>
      </c>
      <c r="U3351">
        <v>-0.17221069999999999</v>
      </c>
      <c r="V3351">
        <v>-6.3368140000000003E-2</v>
      </c>
      <c r="W3351">
        <v>3.6524580000000001E-2</v>
      </c>
      <c r="X3351">
        <v>0.99732160000000003</v>
      </c>
      <c r="Y3351">
        <v>5.9180860000000002E-2</v>
      </c>
      <c r="Z3351">
        <v>-1.334205E-3</v>
      </c>
      <c r="AA3351">
        <v>0.99824639999999998</v>
      </c>
      <c r="AB3351">
        <v>29</v>
      </c>
      <c r="AC3351">
        <v>26.127799999999901</v>
      </c>
      <c r="AD3351">
        <v>-1.1059215566839999</v>
      </c>
      <c r="AE3351">
        <v>-1.5077999999999701</v>
      </c>
      <c r="AF3351">
        <v>1.56579455735842</v>
      </c>
      <c r="AG3351">
        <v>-1.1059215566839999</v>
      </c>
      <c r="AH3351">
        <v>26.077655041544499</v>
      </c>
      <c r="AI3351">
        <v>92.424028596695806</v>
      </c>
      <c r="AJ3351">
        <v>86.563884298262195</v>
      </c>
      <c r="AK3351">
        <v>26.148018424943398</v>
      </c>
    </row>
    <row r="3352" spans="1:37" x14ac:dyDescent="0.2">
      <c r="A3352" t="str">
        <f>"20200111155611997"</f>
        <v>20200111155611997</v>
      </c>
      <c r="B3352" t="str">
        <f>"1578729371985665"</f>
        <v>1578729371985665</v>
      </c>
      <c r="C3352" t="s">
        <v>37</v>
      </c>
      <c r="D3352">
        <v>5.0440699999999996</v>
      </c>
      <c r="E3352">
        <v>0.51750640000000003</v>
      </c>
      <c r="F3352" t="s">
        <v>59</v>
      </c>
      <c r="G3352">
        <v>-392.95499999999998</v>
      </c>
      <c r="H3352" s="1">
        <v>3.5688489999999999E-8</v>
      </c>
      <c r="I3352">
        <v>214.08519999999999</v>
      </c>
      <c r="J3352">
        <v>-429.09019999999998</v>
      </c>
      <c r="K3352">
        <v>1.105872</v>
      </c>
      <c r="L3352">
        <v>213.81899999999999</v>
      </c>
      <c r="M3352">
        <v>0.99987700000000002</v>
      </c>
      <c r="N3352">
        <v>0</v>
      </c>
      <c r="O3352">
        <v>3.1894530000000001E-3</v>
      </c>
      <c r="P3352">
        <v>0.99761149999999998</v>
      </c>
      <c r="Q3352">
        <v>2.1563019999999999E-2</v>
      </c>
      <c r="R3352">
        <v>6.5623559999999997E-2</v>
      </c>
      <c r="S3352">
        <v>3.00766</v>
      </c>
      <c r="T3352">
        <v>-9.1355320000000004E-2</v>
      </c>
      <c r="U3352">
        <v>2.2125240000000001E-2</v>
      </c>
      <c r="V3352">
        <v>-6.2509179999999998E-2</v>
      </c>
      <c r="W3352">
        <v>3.6767130000000002E-2</v>
      </c>
      <c r="X3352">
        <v>0.99736689999999995</v>
      </c>
      <c r="Y3352">
        <v>-4.1658700000000003E-3</v>
      </c>
      <c r="Z3352" s="1">
        <v>-3.361245E-5</v>
      </c>
      <c r="AA3352">
        <v>0.99999130000000003</v>
      </c>
      <c r="AB3352">
        <v>29</v>
      </c>
      <c r="AC3352">
        <v>36.135199999999998</v>
      </c>
      <c r="AD3352">
        <v>-1.10587196431151</v>
      </c>
      <c r="AE3352">
        <v>0.26619999999996902</v>
      </c>
      <c r="AF3352">
        <v>-0.15079230972959601</v>
      </c>
      <c r="AG3352">
        <v>-1.10587196431151</v>
      </c>
      <c r="AH3352">
        <v>36.102054363907598</v>
      </c>
      <c r="AI3352">
        <v>91.754510613799297</v>
      </c>
      <c r="AJ3352">
        <v>90.239313602517498</v>
      </c>
      <c r="AK3352">
        <v>36.119302601471503</v>
      </c>
    </row>
    <row r="3353" spans="1:37" x14ac:dyDescent="0.2">
      <c r="A3353" t="str">
        <f>"20200111155612020"</f>
        <v>20200111155612020</v>
      </c>
      <c r="B3353" t="str">
        <f>"1578729372015923"</f>
        <v>1578729372015923</v>
      </c>
      <c r="C3353" t="s">
        <v>37</v>
      </c>
      <c r="D3353">
        <v>5.2207179999999997</v>
      </c>
      <c r="E3353">
        <v>0.51360989999999995</v>
      </c>
      <c r="F3353" t="s">
        <v>59</v>
      </c>
      <c r="G3353">
        <v>-370.65140000000002</v>
      </c>
      <c r="H3353" s="1">
        <v>-1.190128E-6</v>
      </c>
      <c r="I3353">
        <v>215.05699999999999</v>
      </c>
      <c r="J3353">
        <v>-428.78750000000002</v>
      </c>
      <c r="K3353">
        <v>1.1058110000000001</v>
      </c>
      <c r="L3353">
        <v>213.82089999999999</v>
      </c>
      <c r="M3353">
        <v>0.99987409999999999</v>
      </c>
      <c r="N3353">
        <v>0</v>
      </c>
      <c r="O3353">
        <v>4.0537200000000002E-3</v>
      </c>
      <c r="P3353">
        <v>0.99756699999999998</v>
      </c>
      <c r="Q3353">
        <v>2.2009709999999998E-2</v>
      </c>
      <c r="R3353">
        <v>6.6151470000000004E-2</v>
      </c>
      <c r="S3353">
        <v>3.0042719999999998</v>
      </c>
      <c r="T3353">
        <v>-5.6851739999999998E-2</v>
      </c>
      <c r="U3353">
        <v>6.3644409999999998E-2</v>
      </c>
      <c r="V3353">
        <v>-6.216903E-2</v>
      </c>
      <c r="W3353">
        <v>3.7223150000000003E-2</v>
      </c>
      <c r="X3353">
        <v>0.99737129999999996</v>
      </c>
      <c r="Y3353">
        <v>-1.712408E-2</v>
      </c>
      <c r="Z3353" s="1">
        <v>8.5288549999999998E-5</v>
      </c>
      <c r="AA3353">
        <v>0.9998534</v>
      </c>
      <c r="AB3353">
        <v>29</v>
      </c>
      <c r="AC3353">
        <v>58.136099999999999</v>
      </c>
      <c r="AD3353">
        <v>-1.105812190128</v>
      </c>
      <c r="AE3353">
        <v>1.23610000000002</v>
      </c>
      <c r="AF3353">
        <v>-1.0000329824021099</v>
      </c>
      <c r="AG3353">
        <v>-1.105812190128</v>
      </c>
      <c r="AH3353">
        <v>58.119615322815697</v>
      </c>
      <c r="AI3353">
        <v>91.0898446901369</v>
      </c>
      <c r="AJ3353">
        <v>90.985760407921404</v>
      </c>
      <c r="AK3353">
        <v>58.1387355541708</v>
      </c>
    </row>
    <row r="3354" spans="1:37" x14ac:dyDescent="0.2">
      <c r="A3354" t="str">
        <f>"20200111155612043"</f>
        <v>20200111155612043</v>
      </c>
      <c r="B3354" t="str">
        <f>"1578729372036417"</f>
        <v>1578729372036417</v>
      </c>
      <c r="C3354" t="s">
        <v>37</v>
      </c>
      <c r="D3354">
        <v>4.9816919999999998</v>
      </c>
      <c r="E3354">
        <v>0.51318869999999905</v>
      </c>
      <c r="F3354" t="s">
        <v>59</v>
      </c>
      <c r="G3354">
        <v>-333.83089999999999</v>
      </c>
      <c r="H3354" s="1">
        <v>4.0458559999999902E-7</v>
      </c>
      <c r="I3354">
        <v>216.84110000000001</v>
      </c>
      <c r="J3354">
        <v>-428.49250000000001</v>
      </c>
      <c r="K3354">
        <v>1.1057509999999999</v>
      </c>
      <c r="L3354">
        <v>213.82299999999901</v>
      </c>
      <c r="M3354">
        <v>0.9998707</v>
      </c>
      <c r="N3354">
        <v>0</v>
      </c>
      <c r="O3354">
        <v>4.8137500000000003E-3</v>
      </c>
      <c r="P3354">
        <v>0.99752809999999903</v>
      </c>
      <c r="Q3354">
        <v>2.271515E-2</v>
      </c>
      <c r="R3354">
        <v>6.6498130000000003E-2</v>
      </c>
      <c r="S3354">
        <v>3.00177</v>
      </c>
      <c r="T3354">
        <v>-3.4956929999999997E-2</v>
      </c>
      <c r="U3354">
        <v>9.5474240000000002E-2</v>
      </c>
      <c r="V3354">
        <v>-6.1752679999999997E-2</v>
      </c>
      <c r="W3354">
        <v>3.7935990000000003E-2</v>
      </c>
      <c r="X3354">
        <v>0.99737030000000004</v>
      </c>
      <c r="Y3354">
        <v>-2.6976150000000001E-2</v>
      </c>
      <c r="Z3354">
        <v>1.00982E-4</v>
      </c>
      <c r="AA3354">
        <v>0.99963609999999903</v>
      </c>
      <c r="AB3354">
        <v>29</v>
      </c>
      <c r="AC3354">
        <v>94.661600000000007</v>
      </c>
      <c r="AD3354">
        <v>-1.1057505954144</v>
      </c>
      <c r="AE3354">
        <v>3.0181000000000302</v>
      </c>
      <c r="AF3354">
        <v>-2.5619848790349602</v>
      </c>
      <c r="AG3354">
        <v>-1.1057505954144</v>
      </c>
      <c r="AH3354">
        <v>94.662129739351997</v>
      </c>
      <c r="AI3354">
        <v>90.668997980263597</v>
      </c>
      <c r="AJ3354">
        <v>91.550304182088794</v>
      </c>
      <c r="AK3354">
        <v>94.703248400936999</v>
      </c>
    </row>
    <row r="3355" spans="1:37" x14ac:dyDescent="0.2">
      <c r="A3355" t="str">
        <f>"20200111155612065"</f>
        <v>20200111155612065</v>
      </c>
      <c r="B3355" t="str">
        <f>"1578729372055937"</f>
        <v>1578729372055937</v>
      </c>
      <c r="C3355" t="s">
        <v>37</v>
      </c>
      <c r="D3355">
        <v>4.9708879999999898</v>
      </c>
      <c r="E3355">
        <v>0.51286140000000002</v>
      </c>
      <c r="F3355" t="s">
        <v>61</v>
      </c>
      <c r="G3355">
        <v>-313.46339999999998</v>
      </c>
      <c r="H3355" s="1">
        <v>2.4415330000000001E-6</v>
      </c>
      <c r="I3355">
        <v>217.64099999999999</v>
      </c>
      <c r="J3355">
        <v>-428.20599999999899</v>
      </c>
      <c r="K3355">
        <v>1.105702</v>
      </c>
      <c r="L3355">
        <v>213.82509999999999</v>
      </c>
      <c r="M3355">
        <v>0.99986710000000001</v>
      </c>
      <c r="N3355">
        <v>0</v>
      </c>
      <c r="O3355">
        <v>5.4904430000000002E-3</v>
      </c>
      <c r="P3355">
        <v>0.99748400000000004</v>
      </c>
      <c r="Q3355">
        <v>2.2856390000000001E-2</v>
      </c>
      <c r="R3355">
        <v>6.710779E-2</v>
      </c>
      <c r="S3355">
        <v>3.0014949999999998</v>
      </c>
      <c r="T3355">
        <v>-2.8852699999999998E-2</v>
      </c>
      <c r="U3355">
        <v>9.9624630000000006E-2</v>
      </c>
      <c r="V3355">
        <v>-6.1681939999999998E-2</v>
      </c>
      <c r="W3355">
        <v>3.8081799999999999E-2</v>
      </c>
      <c r="X3355">
        <v>0.99736909999999901</v>
      </c>
      <c r="Y3355">
        <v>-2.768381E-2</v>
      </c>
      <c r="Z3355" s="1">
        <v>8.0251960000000001E-5</v>
      </c>
      <c r="AA3355">
        <v>0.99961669999999903</v>
      </c>
      <c r="AB3355">
        <v>29</v>
      </c>
      <c r="AC3355">
        <v>114.742599999999</v>
      </c>
      <c r="AD3355">
        <v>-1.105699558467</v>
      </c>
      <c r="AE3355">
        <v>3.8158999999999899</v>
      </c>
      <c r="AF3355">
        <v>-3.1854850537295598</v>
      </c>
      <c r="AG3355">
        <v>-1.105699558467</v>
      </c>
      <c r="AH3355">
        <v>114.751179643949</v>
      </c>
      <c r="AI3355">
        <v>90.551851093834699</v>
      </c>
      <c r="AJ3355">
        <v>91.590118626116293</v>
      </c>
      <c r="AK3355">
        <v>114.80071043429599</v>
      </c>
    </row>
    <row r="3356" spans="1:37" x14ac:dyDescent="0.2">
      <c r="A3356" t="str">
        <f>"20200111155612087"</f>
        <v>20200111155612087</v>
      </c>
      <c r="B3356" t="str">
        <f>"1578729372076433"</f>
        <v>1578729372076433</v>
      </c>
      <c r="C3356" t="s">
        <v>37</v>
      </c>
      <c r="D3356">
        <v>4.9876129999999996</v>
      </c>
      <c r="E3356">
        <v>0.51262949999999996</v>
      </c>
      <c r="F3356" t="s">
        <v>61</v>
      </c>
      <c r="G3356">
        <v>-301.30950000000001</v>
      </c>
      <c r="H3356" s="1">
        <v>2.420969E-6</v>
      </c>
      <c r="I3356">
        <v>218.22329999999999</v>
      </c>
      <c r="J3356">
        <v>-427.92189999999999</v>
      </c>
      <c r="K3356">
        <v>1.105658</v>
      </c>
      <c r="L3356">
        <v>213.82740000000001</v>
      </c>
      <c r="M3356">
        <v>0.99986369999999902</v>
      </c>
      <c r="N3356">
        <v>0</v>
      </c>
      <c r="O3356">
        <v>6.1016250000000003E-3</v>
      </c>
      <c r="P3356">
        <v>0.99745209999999995</v>
      </c>
      <c r="Q3356">
        <v>2.2867729999999999E-2</v>
      </c>
      <c r="R3356">
        <v>6.7576609999999995E-2</v>
      </c>
      <c r="S3356">
        <v>3.0011899999999998</v>
      </c>
      <c r="T3356">
        <v>-2.615058E-2</v>
      </c>
      <c r="U3356">
        <v>0.10401920000000001</v>
      </c>
      <c r="V3356">
        <v>-6.1536380000000002E-2</v>
      </c>
      <c r="W3356">
        <v>3.809705E-2</v>
      </c>
      <c r="X3356">
        <v>0.99737749999999903</v>
      </c>
      <c r="Y3356">
        <v>-2.8538339999999999E-2</v>
      </c>
      <c r="Z3356" s="1">
        <v>7.113981E-5</v>
      </c>
      <c r="AA3356">
        <v>0.9995927</v>
      </c>
      <c r="AB3356">
        <v>29</v>
      </c>
      <c r="AC3356">
        <v>126.612399999999</v>
      </c>
      <c r="AD3356">
        <v>-1.1056555790310001</v>
      </c>
      <c r="AE3356">
        <v>4.3958999999999797</v>
      </c>
      <c r="AF3356">
        <v>-3.6229098956572101</v>
      </c>
      <c r="AG3356">
        <v>-1.1056555790310001</v>
      </c>
      <c r="AH3356">
        <v>126.62722308115799</v>
      </c>
      <c r="AI3356">
        <v>90.500065282153798</v>
      </c>
      <c r="AJ3356">
        <v>91.638832707358006</v>
      </c>
      <c r="AK3356">
        <v>126.68386470114</v>
      </c>
    </row>
    <row r="3357" spans="1:37" x14ac:dyDescent="0.2">
      <c r="A3357" t="str">
        <f>"20200111155612154"</f>
        <v>20200111155612154</v>
      </c>
      <c r="B3357" t="str">
        <f>"1578729372145729"</f>
        <v>1578729372145729</v>
      </c>
      <c r="C3357" t="s">
        <v>37</v>
      </c>
      <c r="D3357">
        <v>4.9555040000000004</v>
      </c>
      <c r="E3357">
        <v>0.51266509999999998</v>
      </c>
      <c r="F3357" t="s">
        <v>61</v>
      </c>
      <c r="G3357">
        <v>-295.38069999999999</v>
      </c>
      <c r="H3357" s="1">
        <v>1.8488589999999999E-6</v>
      </c>
      <c r="I3357">
        <v>218.55770000000001</v>
      </c>
      <c r="J3357">
        <v>-427.0523</v>
      </c>
      <c r="K3357">
        <v>1.105529</v>
      </c>
      <c r="L3357">
        <v>213.83500000000001</v>
      </c>
      <c r="M3357">
        <v>0.99985329999999994</v>
      </c>
      <c r="N3357">
        <v>0</v>
      </c>
      <c r="O3357">
        <v>7.6529069999999996E-3</v>
      </c>
      <c r="P3357">
        <v>0.99734279999999997</v>
      </c>
      <c r="Q3357">
        <v>2.2388379999999999E-2</v>
      </c>
      <c r="R3357">
        <v>6.9325789999999998E-2</v>
      </c>
      <c r="S3357">
        <v>3.0009459999999999</v>
      </c>
      <c r="T3357">
        <v>-2.503383E-2</v>
      </c>
      <c r="U3357">
        <v>0.107101399999999</v>
      </c>
      <c r="V3357">
        <v>-6.1725820000000001E-2</v>
      </c>
      <c r="W3357">
        <v>3.7621990000000001E-2</v>
      </c>
      <c r="X3357">
        <v>0.99738379999999904</v>
      </c>
      <c r="Y3357">
        <v>-2.8015829999999999E-2</v>
      </c>
      <c r="Z3357" s="1">
        <v>5.2990730000000003E-5</v>
      </c>
      <c r="AA3357">
        <v>0.99960749999999998</v>
      </c>
      <c r="AB3357">
        <v>29</v>
      </c>
      <c r="AC3357">
        <v>131.67160000000001</v>
      </c>
      <c r="AD3357">
        <v>-1.1055271511410001</v>
      </c>
      <c r="AE3357">
        <v>4.7226999999999997</v>
      </c>
      <c r="AF3357">
        <v>-3.7145113160468499</v>
      </c>
      <c r="AG3357">
        <v>-1.1055271511410001</v>
      </c>
      <c r="AH3357">
        <v>131.694618056644</v>
      </c>
      <c r="AI3357">
        <v>90.480774187449597</v>
      </c>
      <c r="AJ3357">
        <v>91.615627225982294</v>
      </c>
      <c r="AK3357">
        <v>131.75163076669801</v>
      </c>
    </row>
    <row r="3358" spans="1:37" x14ac:dyDescent="0.2">
      <c r="A3358" t="str">
        <f>"20200111155612177"</f>
        <v>20200111155612177</v>
      </c>
      <c r="B3358" t="str">
        <f>"1578729372166225"</f>
        <v>1578729372166225</v>
      </c>
      <c r="C3358" t="s">
        <v>37</v>
      </c>
      <c r="D3358">
        <v>4.9508169999999998</v>
      </c>
      <c r="E3358">
        <v>0.5127602</v>
      </c>
      <c r="F3358" t="s">
        <v>61</v>
      </c>
      <c r="G3358">
        <v>-301.7706</v>
      </c>
      <c r="H3358" s="1">
        <v>2.3391909999999999E-6</v>
      </c>
      <c r="I3358">
        <v>218.52430000000001</v>
      </c>
      <c r="J3358">
        <v>-426.75940000000003</v>
      </c>
      <c r="K3358">
        <v>1.105494</v>
      </c>
      <c r="L3358">
        <v>213.83770000000001</v>
      </c>
      <c r="M3358">
        <v>0.99984980000000001</v>
      </c>
      <c r="N3358">
        <v>0</v>
      </c>
      <c r="O3358">
        <v>8.0981669999999999E-3</v>
      </c>
      <c r="P3358">
        <v>0.99732430000000005</v>
      </c>
      <c r="Q3358">
        <v>2.172379E-2</v>
      </c>
      <c r="R3358">
        <v>6.9803000000000004E-2</v>
      </c>
      <c r="S3358">
        <v>3.0007929999999998</v>
      </c>
      <c r="T3358">
        <v>-2.647996E-2</v>
      </c>
      <c r="U3358">
        <v>0.112319899999999</v>
      </c>
      <c r="V3358">
        <v>-6.1755409999999997E-2</v>
      </c>
      <c r="W3358">
        <v>3.6957249999999997E-2</v>
      </c>
      <c r="X3358">
        <v>0.99740680000000004</v>
      </c>
      <c r="Y3358">
        <v>-2.930839E-2</v>
      </c>
      <c r="Z3358" s="1">
        <v>5.782602E-5</v>
      </c>
      <c r="AA3358">
        <v>0.99957039999999997</v>
      </c>
      <c r="AB3358">
        <v>29</v>
      </c>
      <c r="AC3358">
        <v>124.9888</v>
      </c>
      <c r="AD3358">
        <v>-1.105491660809</v>
      </c>
      <c r="AE3358">
        <v>4.6865999999999897</v>
      </c>
      <c r="AF3358">
        <v>-3.6738602625477301</v>
      </c>
      <c r="AG3358">
        <v>-1.105491660809</v>
      </c>
      <c r="AH3358">
        <v>125.01289196930399</v>
      </c>
      <c r="AI3358">
        <v>90.506435957638203</v>
      </c>
      <c r="AJ3358">
        <v>91.683315356029496</v>
      </c>
      <c r="AK3358">
        <v>125.071749486323</v>
      </c>
    </row>
    <row r="3359" spans="1:37" x14ac:dyDescent="0.2">
      <c r="A3359" t="str">
        <f>"20200111155612199"</f>
        <v>20200111155612199</v>
      </c>
      <c r="B3359" t="str">
        <f>"1578729372196481"</f>
        <v>1578729372196481</v>
      </c>
      <c r="C3359" t="s">
        <v>37</v>
      </c>
      <c r="D3359">
        <v>5.0462189999999998</v>
      </c>
      <c r="E3359">
        <v>0.51289070000000003</v>
      </c>
      <c r="F3359" t="s">
        <v>61</v>
      </c>
      <c r="G3359">
        <v>-308.7801</v>
      </c>
      <c r="H3359" s="1">
        <v>1.095823E-6</v>
      </c>
      <c r="I3359">
        <v>218.2808</v>
      </c>
      <c r="J3359">
        <v>-426.4776</v>
      </c>
      <c r="K3359">
        <v>1.105469</v>
      </c>
      <c r="L3359">
        <v>213.84049999999999</v>
      </c>
      <c r="M3359">
        <v>0.99984660000000003</v>
      </c>
      <c r="N3359">
        <v>0</v>
      </c>
      <c r="O3359">
        <v>8.5051689999999999E-3</v>
      </c>
      <c r="P3359">
        <v>0.99735339999999995</v>
      </c>
      <c r="Q3359">
        <v>2.1099420000000001E-2</v>
      </c>
      <c r="R3359">
        <v>6.9577920000000001E-2</v>
      </c>
      <c r="S3359">
        <v>3.0007320000000002</v>
      </c>
      <c r="T3359">
        <v>-2.811754E-2</v>
      </c>
      <c r="U3359">
        <v>0.1130066</v>
      </c>
      <c r="V3359">
        <v>-6.1120920000000002E-2</v>
      </c>
      <c r="W3359">
        <v>3.6332540000000003E-2</v>
      </c>
      <c r="X3359">
        <v>0.99746889999999999</v>
      </c>
      <c r="Y3359">
        <v>-2.9130590000000001E-2</v>
      </c>
      <c r="Z3359" s="1">
        <v>5.6757949999999998E-5</v>
      </c>
      <c r="AA3359">
        <v>0.99957559999999901</v>
      </c>
      <c r="AB3359">
        <v>29</v>
      </c>
      <c r="AC3359">
        <v>117.69750000000001</v>
      </c>
      <c r="AD3359">
        <v>-1.1054679041769999</v>
      </c>
      <c r="AE3359">
        <v>4.4402999999999997</v>
      </c>
      <c r="AF3359">
        <v>-3.43868194566351</v>
      </c>
      <c r="AG3359">
        <v>-1.1054679041769999</v>
      </c>
      <c r="AH3359">
        <v>117.720641525468</v>
      </c>
      <c r="AI3359">
        <v>90.537796773994799</v>
      </c>
      <c r="AJ3359">
        <v>91.673164128591594</v>
      </c>
      <c r="AK3359">
        <v>117.77604185053301</v>
      </c>
    </row>
    <row r="3360" spans="1:37" x14ac:dyDescent="0.2">
      <c r="A3360" t="str">
        <f>"20200111155612222"</f>
        <v>20200111155612222</v>
      </c>
      <c r="B3360" t="str">
        <f>"1578729372216001"</f>
        <v>1578729372216001</v>
      </c>
      <c r="C3360" t="s">
        <v>37</v>
      </c>
      <c r="D3360">
        <v>4.9347649999999996</v>
      </c>
      <c r="E3360">
        <v>0.51291169999999997</v>
      </c>
      <c r="F3360" t="s">
        <v>61</v>
      </c>
      <c r="G3360">
        <v>-314.01990000000001</v>
      </c>
      <c r="H3360" s="1">
        <v>2.6883179999999998E-6</v>
      </c>
      <c r="I3360">
        <v>218.00569999999999</v>
      </c>
      <c r="J3360">
        <v>-426.1746</v>
      </c>
      <c r="K3360">
        <v>1.105453</v>
      </c>
      <c r="L3360">
        <v>213.84360000000001</v>
      </c>
      <c r="M3360">
        <v>0.99984309999999998</v>
      </c>
      <c r="N3360">
        <v>0</v>
      </c>
      <c r="O3360">
        <v>8.9274070000000001E-3</v>
      </c>
      <c r="P3360">
        <v>0.9973803</v>
      </c>
      <c r="Q3360">
        <v>2.1118999999999999E-2</v>
      </c>
      <c r="R3360">
        <v>6.9186369999999997E-2</v>
      </c>
      <c r="S3360">
        <v>3.0008539999999999</v>
      </c>
      <c r="T3360">
        <v>-2.949858E-2</v>
      </c>
      <c r="U3360">
        <v>0.11114499999999999</v>
      </c>
      <c r="V3360">
        <v>-6.0306579999999999E-2</v>
      </c>
      <c r="W3360">
        <v>3.6349699999999999E-2</v>
      </c>
      <c r="X3360">
        <v>0.99751780000000001</v>
      </c>
      <c r="Y3360">
        <v>-2.808768E-2</v>
      </c>
      <c r="Z3360" s="1">
        <v>5.0270620000000001E-5</v>
      </c>
      <c r="AA3360">
        <v>0.99960550000000004</v>
      </c>
      <c r="AB3360">
        <v>29</v>
      </c>
      <c r="AC3360">
        <v>112.15470000000001</v>
      </c>
      <c r="AD3360">
        <v>-1.105450311682</v>
      </c>
      <c r="AE3360">
        <v>4.1620999999999801</v>
      </c>
      <c r="AF3360">
        <v>-3.1602596444169002</v>
      </c>
      <c r="AG3360">
        <v>-1.105450311682</v>
      </c>
      <c r="AH3360">
        <v>112.17650771136999</v>
      </c>
      <c r="AI3360">
        <v>90.564382606843395</v>
      </c>
      <c r="AJ3360">
        <v>91.613721651149206</v>
      </c>
      <c r="AK3360">
        <v>112.226459196265</v>
      </c>
    </row>
    <row r="3361" spans="1:37" x14ac:dyDescent="0.2">
      <c r="A3361" t="str">
        <f>"20200111155612245"</f>
        <v>20200111155612245</v>
      </c>
      <c r="B3361" t="str">
        <f>"1578729372236497"</f>
        <v>1578729372236497</v>
      </c>
      <c r="C3361" t="s">
        <v>37</v>
      </c>
      <c r="D3361">
        <v>4.9525249999999996</v>
      </c>
      <c r="E3361">
        <v>0.51288909999999999</v>
      </c>
      <c r="F3361" t="s">
        <v>61</v>
      </c>
      <c r="G3361">
        <v>-311.1173</v>
      </c>
      <c r="H3361" s="1">
        <v>1.4011400000000001E-6</v>
      </c>
      <c r="I3361">
        <v>218.05359999999999</v>
      </c>
      <c r="J3361">
        <v>-425.88900000000001</v>
      </c>
      <c r="K3361">
        <v>1.105442</v>
      </c>
      <c r="L3361">
        <v>213.8466</v>
      </c>
      <c r="M3361">
        <v>0.99983949999999999</v>
      </c>
      <c r="N3361">
        <v>0</v>
      </c>
      <c r="O3361">
        <v>9.3188349999999993E-3</v>
      </c>
      <c r="P3361">
        <v>0.99734929999999999</v>
      </c>
      <c r="Q3361">
        <v>2.0853099999999999E-2</v>
      </c>
      <c r="R3361">
        <v>6.9709119999999999E-2</v>
      </c>
      <c r="S3361">
        <v>3.0008539999999999</v>
      </c>
      <c r="T3361">
        <v>-2.8831720000000002E-2</v>
      </c>
      <c r="U3361">
        <v>0.109802199999999</v>
      </c>
      <c r="V3361">
        <v>-6.0437499999999998E-2</v>
      </c>
      <c r="W3361">
        <v>3.6078550000000001E-2</v>
      </c>
      <c r="X3361">
        <v>0.99751970000000001</v>
      </c>
      <c r="Y3361">
        <v>-2.724975E-2</v>
      </c>
      <c r="Z3361" s="1">
        <v>4.1351260000000002E-5</v>
      </c>
      <c r="AA3361">
        <v>0.99962870000000004</v>
      </c>
      <c r="AB3361">
        <v>29</v>
      </c>
      <c r="AC3361">
        <v>114.7717</v>
      </c>
      <c r="AD3361">
        <v>-1.10544059886</v>
      </c>
      <c r="AE3361">
        <v>4.2069999999999901</v>
      </c>
      <c r="AF3361">
        <v>-3.1368629074449799</v>
      </c>
      <c r="AG3361">
        <v>-1.10544059886</v>
      </c>
      <c r="AH3361">
        <v>114.795289113908</v>
      </c>
      <c r="AI3361">
        <v>90.551516463393</v>
      </c>
      <c r="AJ3361">
        <v>91.565258406563999</v>
      </c>
      <c r="AK3361">
        <v>114.843460025217</v>
      </c>
    </row>
    <row r="3362" spans="1:37" x14ac:dyDescent="0.2">
      <c r="A3362" t="str">
        <f>"20200111155612267"</f>
        <v>20200111155612267</v>
      </c>
      <c r="B3362" t="str">
        <f>"1578729372256017"</f>
        <v>1578729372256017</v>
      </c>
      <c r="C3362" t="s">
        <v>37</v>
      </c>
      <c r="D3362">
        <v>5.0798069999999997</v>
      </c>
      <c r="E3362">
        <v>0.51246919999999996</v>
      </c>
      <c r="F3362" t="s">
        <v>61</v>
      </c>
      <c r="G3362">
        <v>-313.42380000000003</v>
      </c>
      <c r="H3362" s="1">
        <v>2.4239650000000001E-6</v>
      </c>
      <c r="I3362">
        <v>218.02520000000001</v>
      </c>
      <c r="J3362">
        <v>-425.6069</v>
      </c>
      <c r="K3362">
        <v>1.1054360000000001</v>
      </c>
      <c r="L3362">
        <v>213.84960000000001</v>
      </c>
      <c r="M3362">
        <v>0.9998359</v>
      </c>
      <c r="N3362">
        <v>0</v>
      </c>
      <c r="O3362">
        <v>9.7038269999999999E-3</v>
      </c>
      <c r="P3362">
        <v>0.99726909999999902</v>
      </c>
      <c r="Q3362">
        <v>2.0982870000000001E-2</v>
      </c>
      <c r="R3362">
        <v>7.0812180000000002E-2</v>
      </c>
      <c r="S3362">
        <v>3.0008240000000002</v>
      </c>
      <c r="T3362">
        <v>-2.94955999999999E-2</v>
      </c>
      <c r="U3362">
        <v>0.111496</v>
      </c>
      <c r="V3362">
        <v>-6.1157360000000001E-2</v>
      </c>
      <c r="W3362">
        <v>3.6201509999999999E-2</v>
      </c>
      <c r="X3362">
        <v>0.99747140000000001</v>
      </c>
      <c r="Y3362">
        <v>-2.7428629999999999E-2</v>
      </c>
      <c r="Z3362" s="1">
        <v>3.9399459999999998E-5</v>
      </c>
      <c r="AA3362">
        <v>0.99962379999999995</v>
      </c>
      <c r="AB3362">
        <v>29</v>
      </c>
      <c r="AC3362">
        <v>112.183099999999</v>
      </c>
      <c r="AD3362">
        <v>-1.105433576035</v>
      </c>
      <c r="AE3362">
        <v>4.1756000000000002</v>
      </c>
      <c r="AF3362">
        <v>-3.0863712985343001</v>
      </c>
      <c r="AG3362">
        <v>-1.105433576035</v>
      </c>
      <c r="AH3362">
        <v>112.207460811719</v>
      </c>
      <c r="AI3362">
        <v>90.564228843801502</v>
      </c>
      <c r="AJ3362">
        <v>91.575576808367103</v>
      </c>
      <c r="AK3362">
        <v>112.255342558815</v>
      </c>
    </row>
    <row r="3363" spans="1:37" x14ac:dyDescent="0.2">
      <c r="A3363" t="str">
        <f>"20200111155612290"</f>
        <v>20200111155612290</v>
      </c>
      <c r="B3363" t="str">
        <f>"1578729372286273"</f>
        <v>1578729372286273</v>
      </c>
      <c r="C3363" t="s">
        <v>37</v>
      </c>
      <c r="D3363">
        <v>5.0834529999999898</v>
      </c>
      <c r="E3363">
        <v>0.51266239999999996</v>
      </c>
      <c r="F3363" t="s">
        <v>61</v>
      </c>
      <c r="G3363">
        <v>-306.65989999999999</v>
      </c>
      <c r="H3363" s="1">
        <v>1.4719090000000001E-6</v>
      </c>
      <c r="I3363">
        <v>218.5316</v>
      </c>
      <c r="J3363">
        <v>-425.32199999999898</v>
      </c>
      <c r="K3363">
        <v>1.105437</v>
      </c>
      <c r="L3363">
        <v>213.85290000000001</v>
      </c>
      <c r="M3363">
        <v>0.99983199999999905</v>
      </c>
      <c r="N3363">
        <v>0</v>
      </c>
      <c r="O3363">
        <v>1.0095160000000001E-2</v>
      </c>
      <c r="P3363">
        <v>0.99715580000000004</v>
      </c>
      <c r="Q3363">
        <v>2.1280790000000001E-2</v>
      </c>
      <c r="R3363">
        <v>7.2302210000000006E-2</v>
      </c>
      <c r="S3363">
        <v>3.0004270000000002</v>
      </c>
      <c r="T3363">
        <v>-2.788448E-2</v>
      </c>
      <c r="U3363">
        <v>0.118103</v>
      </c>
      <c r="V3363">
        <v>-6.2257270000000003E-2</v>
      </c>
      <c r="W3363">
        <v>3.6491699999999898E-2</v>
      </c>
      <c r="X3363">
        <v>0.99739279999999997</v>
      </c>
      <c r="Y3363">
        <v>-2.9240249999999999E-2</v>
      </c>
      <c r="Z3363" s="1">
        <v>4.2030459999999899E-5</v>
      </c>
      <c r="AA3363">
        <v>0.99957240000000003</v>
      </c>
      <c r="AB3363">
        <v>29</v>
      </c>
      <c r="AC3363">
        <v>118.662099999999</v>
      </c>
      <c r="AD3363">
        <v>-1.105435528091</v>
      </c>
      <c r="AE3363">
        <v>4.6786999999999903</v>
      </c>
      <c r="AF3363">
        <v>-3.48010687720353</v>
      </c>
      <c r="AG3363">
        <v>-1.105435528091</v>
      </c>
      <c r="AH3363">
        <v>118.693004884148</v>
      </c>
      <c r="AI3363">
        <v>90.533373929726096</v>
      </c>
      <c r="AJ3363">
        <v>91.679444609747904</v>
      </c>
      <c r="AK3363">
        <v>118.749158060223</v>
      </c>
    </row>
    <row r="3364" spans="1:37" x14ac:dyDescent="0.2">
      <c r="A3364" t="str">
        <f>"20200111155612311"</f>
        <v>20200111155612311</v>
      </c>
      <c r="B3364" t="str">
        <f>"1578729372305794"</f>
        <v>1578729372305794</v>
      </c>
      <c r="C3364" t="s">
        <v>37</v>
      </c>
      <c r="D3364">
        <v>4.9189999999999996</v>
      </c>
      <c r="E3364">
        <v>0.51277479999999998</v>
      </c>
      <c r="F3364" t="s">
        <v>61</v>
      </c>
      <c r="G3364">
        <v>-291.45599999999899</v>
      </c>
      <c r="H3364" s="1">
        <v>1.1526720000000001E-6</v>
      </c>
      <c r="I3364">
        <v>219.24690000000001</v>
      </c>
      <c r="J3364">
        <v>-425.04070000000002</v>
      </c>
      <c r="K3364">
        <v>1.105437</v>
      </c>
      <c r="L3364">
        <v>213.8561</v>
      </c>
      <c r="M3364">
        <v>0.9998283</v>
      </c>
      <c r="N3364">
        <v>0</v>
      </c>
      <c r="O3364">
        <v>1.0484719999999999E-2</v>
      </c>
      <c r="P3364">
        <v>0.99708149999999995</v>
      </c>
      <c r="Q3364">
        <v>2.1553590000000001E-2</v>
      </c>
      <c r="R3364">
        <v>7.3241479999999998E-2</v>
      </c>
      <c r="S3364">
        <v>3.000305</v>
      </c>
      <c r="T3364">
        <v>-2.477586E-2</v>
      </c>
      <c r="U3364">
        <v>0.1208954</v>
      </c>
      <c r="V3364">
        <v>-6.2808820000000001E-2</v>
      </c>
      <c r="W3364">
        <v>3.6757599999999897E-2</v>
      </c>
      <c r="X3364">
        <v>0.99734840000000002</v>
      </c>
      <c r="Y3364">
        <v>-2.978138E-2</v>
      </c>
      <c r="Z3364" s="1">
        <v>3.6363850000000003E-5</v>
      </c>
      <c r="AA3364">
        <v>0.99955640000000001</v>
      </c>
      <c r="AB3364">
        <v>29</v>
      </c>
      <c r="AC3364">
        <v>133.5847</v>
      </c>
      <c r="AD3364">
        <v>-1.1054358473279999</v>
      </c>
      <c r="AE3364">
        <v>5.3908000000000103</v>
      </c>
      <c r="AF3364">
        <v>-3.9894691877220398</v>
      </c>
      <c r="AG3364">
        <v>-1.1054358473279999</v>
      </c>
      <c r="AH3364">
        <v>133.624747738259</v>
      </c>
      <c r="AI3364">
        <v>90.473768201332803</v>
      </c>
      <c r="AJ3364">
        <v>91.710101392086699</v>
      </c>
      <c r="AK3364">
        <v>133.68885915036401</v>
      </c>
    </row>
    <row r="3365" spans="1:37" x14ac:dyDescent="0.2">
      <c r="A3365" t="str">
        <f>"20200111155612334"</f>
        <v>20200111155612334</v>
      </c>
      <c r="B3365" t="str">
        <f>"1578729372326289"</f>
        <v>1578729372326289</v>
      </c>
      <c r="C3365" t="s">
        <v>37</v>
      </c>
      <c r="D3365">
        <v>5.0376620000000001</v>
      </c>
      <c r="E3365">
        <v>0.51294989999999996</v>
      </c>
      <c r="F3365" t="s">
        <v>61</v>
      </c>
      <c r="G3365">
        <v>-284.22370000000001</v>
      </c>
      <c r="H3365" s="1">
        <v>9.5233829999999897E-5</v>
      </c>
      <c r="I3365">
        <v>219.6163</v>
      </c>
      <c r="J3365">
        <v>-424.75850000000003</v>
      </c>
      <c r="K3365">
        <v>1.105429</v>
      </c>
      <c r="L3365">
        <v>213.8596</v>
      </c>
      <c r="M3365">
        <v>0.99982409999999999</v>
      </c>
      <c r="N3365">
        <v>0</v>
      </c>
      <c r="O3365">
        <v>1.087893E-2</v>
      </c>
      <c r="P3365">
        <v>0.99710549999999998</v>
      </c>
      <c r="Q3365">
        <v>2.0643459999999999E-2</v>
      </c>
      <c r="R3365">
        <v>7.3174509999999998E-2</v>
      </c>
      <c r="S3365">
        <v>3.0002439999999999</v>
      </c>
      <c r="T3365">
        <v>-2.3550390000000001E-2</v>
      </c>
      <c r="U3365">
        <v>0.122726399999999</v>
      </c>
      <c r="V3365">
        <v>-6.2347199999999998E-2</v>
      </c>
      <c r="W3365">
        <v>3.5842680000000002E-2</v>
      </c>
      <c r="X3365">
        <v>0.99741069999999998</v>
      </c>
      <c r="Y3365">
        <v>-2.9997199999999901E-2</v>
      </c>
      <c r="Z3365" s="1">
        <v>3.2319369999999999E-5</v>
      </c>
      <c r="AA3365">
        <v>0.99955000000000005</v>
      </c>
      <c r="AB3365">
        <v>29</v>
      </c>
      <c r="AC3365">
        <v>140.53479999999999</v>
      </c>
      <c r="AD3365">
        <v>-1.10533376617</v>
      </c>
      <c r="AE3365">
        <v>5.7566999999999897</v>
      </c>
      <c r="AF3365">
        <v>-4.22705148588493</v>
      </c>
      <c r="AG3365">
        <v>-1.10533376617</v>
      </c>
      <c r="AH3365">
        <v>140.58043371158499</v>
      </c>
      <c r="AI3365">
        <v>90.450283477510894</v>
      </c>
      <c r="AJ3365">
        <v>91.722282774044103</v>
      </c>
      <c r="AK3365">
        <v>140.648313425851</v>
      </c>
    </row>
    <row r="3366" spans="1:37" x14ac:dyDescent="0.2">
      <c r="A3366" t="str">
        <f>"20200111155612356"</f>
        <v>20200111155612356</v>
      </c>
      <c r="B3366" t="str">
        <f>"1578729372345809"</f>
        <v>1578729372345809</v>
      </c>
      <c r="C3366" t="s">
        <v>37</v>
      </c>
      <c r="D3366">
        <v>4.9610180000000001</v>
      </c>
      <c r="E3366">
        <v>0.51326000000000005</v>
      </c>
      <c r="F3366" t="s">
        <v>61</v>
      </c>
      <c r="G3366">
        <v>-294.58620000000002</v>
      </c>
      <c r="H3366" s="1">
        <v>1.7079339999999899E-6</v>
      </c>
      <c r="I3366">
        <v>219.12260000000001</v>
      </c>
      <c r="J3366">
        <v>-424.47449999999998</v>
      </c>
      <c r="K3366">
        <v>1.1054250000000001</v>
      </c>
      <c r="L3366">
        <v>213.8631</v>
      </c>
      <c r="M3366">
        <v>0.99981980000000004</v>
      </c>
      <c r="N3366">
        <v>0</v>
      </c>
      <c r="O3366">
        <v>1.127738E-2</v>
      </c>
      <c r="P3366">
        <v>0.99712239999999996</v>
      </c>
      <c r="Q3366">
        <v>2.0024110000000001E-2</v>
      </c>
      <c r="R3366">
        <v>7.3117039999999994E-2</v>
      </c>
      <c r="S3366">
        <v>3.0003359999999999</v>
      </c>
      <c r="T3366">
        <v>-2.5478959999999998E-2</v>
      </c>
      <c r="U3366">
        <v>0.121307399999999</v>
      </c>
      <c r="V3366">
        <v>-6.1891509999999997E-2</v>
      </c>
      <c r="W3366">
        <v>3.5218409999999999E-2</v>
      </c>
      <c r="X3366">
        <v>0.9974613</v>
      </c>
      <c r="Y3366">
        <v>-2.912557E-2</v>
      </c>
      <c r="Z3366" s="1">
        <v>2.7883730000000001E-5</v>
      </c>
      <c r="AA3366">
        <v>0.99957569999999996</v>
      </c>
      <c r="AB3366">
        <v>28</v>
      </c>
      <c r="AC3366">
        <v>129.88829999999899</v>
      </c>
      <c r="AD3366">
        <v>-1.1054232920660001</v>
      </c>
      <c r="AE3366">
        <v>5.2595000000000001</v>
      </c>
      <c r="AF3366">
        <v>-3.79392058503156</v>
      </c>
      <c r="AG3366">
        <v>-1.1054232920660001</v>
      </c>
      <c r="AH3366">
        <v>129.92996316278999</v>
      </c>
      <c r="AI3366">
        <v>90.487243879936898</v>
      </c>
      <c r="AJ3366">
        <v>91.672546375677399</v>
      </c>
      <c r="AK3366">
        <v>129.99004239380801</v>
      </c>
    </row>
    <row r="3367" spans="1:37" x14ac:dyDescent="0.2">
      <c r="A3367" t="str">
        <f>"20200111155612378"</f>
        <v>20200111155612378</v>
      </c>
      <c r="B3367" t="str">
        <f>"1578729372376065"</f>
        <v>1578729372376065</v>
      </c>
      <c r="C3367" t="s">
        <v>37</v>
      </c>
      <c r="D3367">
        <v>4.9004070000000004</v>
      </c>
      <c r="E3367">
        <v>0.52805480000000005</v>
      </c>
      <c r="F3367" t="s">
        <v>61</v>
      </c>
      <c r="G3367">
        <v>-298.27870000000001</v>
      </c>
      <c r="H3367" s="1">
        <v>2.3629229999999999E-6</v>
      </c>
      <c r="I3367">
        <v>218.8476</v>
      </c>
      <c r="J3367">
        <v>-424.19589999999999</v>
      </c>
      <c r="K3367">
        <v>1.105423</v>
      </c>
      <c r="L3367">
        <v>213.86670000000001</v>
      </c>
      <c r="M3367">
        <v>0.99981529999999996</v>
      </c>
      <c r="N3367">
        <v>0</v>
      </c>
      <c r="O3367">
        <v>1.166711E-2</v>
      </c>
      <c r="P3367">
        <v>0.99714400000000003</v>
      </c>
      <c r="Q3367">
        <v>1.982155E-2</v>
      </c>
      <c r="R3367">
        <v>7.2876270000000007E-2</v>
      </c>
      <c r="S3367">
        <v>3.0004879999999998</v>
      </c>
      <c r="T3367">
        <v>-2.6283029999999999E-2</v>
      </c>
      <c r="U3367">
        <v>0.118515</v>
      </c>
      <c r="V3367">
        <v>-6.1260790000000002E-2</v>
      </c>
      <c r="W3367">
        <v>3.5010640000000003E-2</v>
      </c>
      <c r="X3367">
        <v>0.99750759999999905</v>
      </c>
      <c r="Y3367">
        <v>-2.7805119999999999E-2</v>
      </c>
      <c r="Z3367" s="1">
        <v>1.9569299999999999E-5</v>
      </c>
      <c r="AA3367">
        <v>0.99961329999999904</v>
      </c>
      <c r="AB3367">
        <v>28</v>
      </c>
      <c r="AC3367">
        <v>125.917199999999</v>
      </c>
      <c r="AD3367">
        <v>-1.1054206370769999</v>
      </c>
      <c r="AE3367">
        <v>4.9808999999999903</v>
      </c>
      <c r="AF3367">
        <v>-3.5110295518260402</v>
      </c>
      <c r="AG3367">
        <v>-1.1054206370769999</v>
      </c>
      <c r="AH3367">
        <v>125.957054842609</v>
      </c>
      <c r="AI3367">
        <v>90.502629417782202</v>
      </c>
      <c r="AJ3367">
        <v>91.5966957701621</v>
      </c>
      <c r="AK3367">
        <v>126.01082869310299</v>
      </c>
    </row>
    <row r="3368" spans="1:37" x14ac:dyDescent="0.2">
      <c r="A3368" t="str">
        <f>"20200111155612401"</f>
        <v>20200111155612401</v>
      </c>
      <c r="B3368" t="str">
        <f>"1578729372396562"</f>
        <v>1578729372396562</v>
      </c>
      <c r="C3368" t="s">
        <v>37</v>
      </c>
      <c r="D3368">
        <v>4.8471359999999999</v>
      </c>
      <c r="E3368">
        <v>0.53113869999999996</v>
      </c>
      <c r="F3368" t="s">
        <v>59</v>
      </c>
      <c r="G3368">
        <v>-385.60410000000002</v>
      </c>
      <c r="H3368" s="1">
        <v>1.47655399999999E-6</v>
      </c>
      <c r="I3368">
        <v>213.90459999999999</v>
      </c>
      <c r="J3368">
        <v>-423.91399999999999</v>
      </c>
      <c r="K3368">
        <v>1.1054170000000001</v>
      </c>
      <c r="L3368">
        <v>213.87049999999999</v>
      </c>
      <c r="M3368">
        <v>0.99981109999999895</v>
      </c>
      <c r="N3368">
        <v>0</v>
      </c>
      <c r="O3368">
        <v>1.204415E-2</v>
      </c>
      <c r="P3368">
        <v>0.99714360000000002</v>
      </c>
      <c r="Q3368">
        <v>2.009267E-2</v>
      </c>
      <c r="R3368">
        <v>7.2810319999999998E-2</v>
      </c>
      <c r="S3368">
        <v>3.0101009999999899</v>
      </c>
      <c r="T3368">
        <v>-8.6221339999999994E-2</v>
      </c>
      <c r="U3368">
        <v>2.960205E-3</v>
      </c>
      <c r="V3368">
        <v>-6.0818329999999997E-2</v>
      </c>
      <c r="W3368">
        <v>3.5277499999999899E-2</v>
      </c>
      <c r="X3368">
        <v>0.99752529999999995</v>
      </c>
      <c r="Y3368">
        <v>1.105272E-2</v>
      </c>
      <c r="Z3368">
        <v>-5.0321959999999897E-4</v>
      </c>
      <c r="AA3368">
        <v>0.99993880000000002</v>
      </c>
      <c r="AB3368">
        <v>28</v>
      </c>
      <c r="AC3368">
        <v>38.309899999999899</v>
      </c>
      <c r="AD3368">
        <v>-1.1054155234459999</v>
      </c>
      <c r="AE3368">
        <v>3.40999999999951E-2</v>
      </c>
      <c r="AF3368">
        <v>0.42701082819702901</v>
      </c>
      <c r="AG3368">
        <v>-1.1054155234459999</v>
      </c>
      <c r="AH3368">
        <v>38.2756636042472</v>
      </c>
      <c r="AI3368">
        <v>91.654160902353894</v>
      </c>
      <c r="AJ3368">
        <v>89.360823535927807</v>
      </c>
      <c r="AK3368">
        <v>38.294003526301204</v>
      </c>
    </row>
    <row r="3369" spans="1:37" x14ac:dyDescent="0.2">
      <c r="A3369" t="str">
        <f>"20200111155612424"</f>
        <v>20200111155612424</v>
      </c>
      <c r="B3369" t="str">
        <f>"1578729372416082"</f>
        <v>1578729372416082</v>
      </c>
      <c r="C3369" t="s">
        <v>37</v>
      </c>
      <c r="D3369">
        <v>4.8429199999999897</v>
      </c>
      <c r="E3369">
        <v>0.53266800000000003</v>
      </c>
      <c r="F3369" t="s">
        <v>59</v>
      </c>
      <c r="G3369">
        <v>-390.6961</v>
      </c>
      <c r="H3369" s="1">
        <v>-1.166347E-6</v>
      </c>
      <c r="I3369">
        <v>213.63839999999999</v>
      </c>
      <c r="J3369">
        <v>-423.61810000000003</v>
      </c>
      <c r="K3369">
        <v>1.105383</v>
      </c>
      <c r="L3369">
        <v>213.87440000000001</v>
      </c>
      <c r="M3369">
        <v>0.99980669999999905</v>
      </c>
      <c r="N3369">
        <v>0</v>
      </c>
      <c r="O3369">
        <v>1.240637E-2</v>
      </c>
      <c r="P3369">
        <v>0.99712500000000004</v>
      </c>
      <c r="Q3369">
        <v>1.9753900000000001E-2</v>
      </c>
      <c r="R3369">
        <v>7.3153850000000006E-2</v>
      </c>
      <c r="S3369">
        <v>3.012146</v>
      </c>
      <c r="T3369">
        <v>-0.1002376</v>
      </c>
      <c r="U3369">
        <v>-2.1041870000000001E-2</v>
      </c>
      <c r="V3369">
        <v>-6.0798129999999999E-2</v>
      </c>
      <c r="W3369">
        <v>3.4935340000000002E-2</v>
      </c>
      <c r="X3369">
        <v>0.99753849999999999</v>
      </c>
      <c r="Y3369">
        <v>1.9374889999999999E-2</v>
      </c>
      <c r="Z3369">
        <v>-7.3506590000000001E-4</v>
      </c>
      <c r="AA3369">
        <v>0.99981200000000003</v>
      </c>
      <c r="AB3369">
        <v>28</v>
      </c>
      <c r="AC3369">
        <v>32.921999999999997</v>
      </c>
      <c r="AD3369">
        <v>-1.1053841663470001</v>
      </c>
      <c r="AE3369">
        <v>-0.236000000000018</v>
      </c>
      <c r="AF3369">
        <v>0.64374618306041798</v>
      </c>
      <c r="AG3369">
        <v>-1.1053841663470001</v>
      </c>
      <c r="AH3369">
        <v>32.879473057237298</v>
      </c>
      <c r="AI3369">
        <v>91.925148876121696</v>
      </c>
      <c r="AJ3369">
        <v>88.878351018412005</v>
      </c>
      <c r="AK3369">
        <v>32.904346701081998</v>
      </c>
    </row>
    <row r="3370" spans="1:37" x14ac:dyDescent="0.2">
      <c r="A3370" t="str">
        <f>"20200111155612448"</f>
        <v>20200111155612448</v>
      </c>
      <c r="B3370" t="str">
        <f>"1578729372435602"</f>
        <v>1578729372435602</v>
      </c>
      <c r="C3370" t="s">
        <v>37</v>
      </c>
      <c r="D3370">
        <v>4.8991889999999998</v>
      </c>
      <c r="E3370">
        <v>0.53228730000000002</v>
      </c>
      <c r="F3370" t="s">
        <v>59</v>
      </c>
      <c r="G3370">
        <v>-391.5068</v>
      </c>
      <c r="H3370" s="1">
        <v>-7.3492949999999896E-7</v>
      </c>
      <c r="I3370">
        <v>213.53280000000001</v>
      </c>
      <c r="J3370">
        <v>-423.32549999999998</v>
      </c>
      <c r="K3370">
        <v>1.105345</v>
      </c>
      <c r="L3370">
        <v>213.8785</v>
      </c>
      <c r="M3370">
        <v>0.99980279999999999</v>
      </c>
      <c r="N3370">
        <v>0</v>
      </c>
      <c r="O3370">
        <v>1.272935E-2</v>
      </c>
      <c r="P3370">
        <v>0.99705379999999999</v>
      </c>
      <c r="Q3370">
        <v>1.7604680000000001E-2</v>
      </c>
      <c r="R3370">
        <v>7.4656899999999998E-2</v>
      </c>
      <c r="S3370">
        <v>3.0130309999999998</v>
      </c>
      <c r="T3370">
        <v>-0.1037192</v>
      </c>
      <c r="U3370">
        <v>-3.2058719999999999E-2</v>
      </c>
      <c r="V3370">
        <v>-6.1976080000000003E-2</v>
      </c>
      <c r="W3370">
        <v>3.2782699999999998E-2</v>
      </c>
      <c r="X3370">
        <v>0.99753910000000001</v>
      </c>
      <c r="Y3370">
        <v>2.334729E-2</v>
      </c>
      <c r="Z3370">
        <v>-8.3981479999999998E-4</v>
      </c>
      <c r="AA3370">
        <v>0.99972709999999998</v>
      </c>
      <c r="AB3370">
        <v>28</v>
      </c>
      <c r="AC3370">
        <v>31.8186999999999</v>
      </c>
      <c r="AD3370">
        <v>-1.1053457349294999</v>
      </c>
      <c r="AE3370">
        <v>-0.34569999999999301</v>
      </c>
      <c r="AF3370">
        <v>0.749845612040975</v>
      </c>
      <c r="AG3370">
        <v>-1.1053457349294999</v>
      </c>
      <c r="AH3370">
        <v>31.773381108242599</v>
      </c>
      <c r="AI3370">
        <v>91.991871985176104</v>
      </c>
      <c r="AJ3370">
        <v>88.648081698206497</v>
      </c>
      <c r="AK3370">
        <v>31.801443437134299</v>
      </c>
    </row>
    <row r="3371" spans="1:37" x14ac:dyDescent="0.2">
      <c r="A3371" t="str">
        <f>"20200111155613016"</f>
        <v>20200111155613016</v>
      </c>
      <c r="B3371" t="str">
        <f>"1578729373006257"</f>
        <v>1578729373006257</v>
      </c>
      <c r="C3371" t="s">
        <v>37</v>
      </c>
      <c r="D3371">
        <v>5.3667540000000002</v>
      </c>
      <c r="E3371">
        <v>0.53850900000000002</v>
      </c>
      <c r="F3371" t="s">
        <v>59</v>
      </c>
      <c r="G3371">
        <v>-392.27809999999999</v>
      </c>
      <c r="H3371" s="1">
        <v>-3.24486099999999E-7</v>
      </c>
      <c r="I3371">
        <v>213.62370000000001</v>
      </c>
      <c r="J3371">
        <v>-416.3759</v>
      </c>
      <c r="K3371">
        <v>1.104994</v>
      </c>
      <c r="L3371">
        <v>213.9605</v>
      </c>
      <c r="M3371">
        <v>0.99983789999999995</v>
      </c>
      <c r="N3371">
        <v>0</v>
      </c>
      <c r="O3371">
        <v>9.8554409999999995E-3</v>
      </c>
      <c r="P3371">
        <v>0.99711070000000002</v>
      </c>
      <c r="Q3371">
        <v>2.168687E-2</v>
      </c>
      <c r="R3371">
        <v>7.2802099999999995E-2</v>
      </c>
      <c r="S3371">
        <v>3.0125730000000002</v>
      </c>
      <c r="T3371">
        <v>-0.10725319999999899</v>
      </c>
      <c r="U3371">
        <v>-2.471924E-2</v>
      </c>
      <c r="V3371">
        <v>-6.2955789999999998E-2</v>
      </c>
      <c r="W3371">
        <v>3.6754259999999997E-2</v>
      </c>
      <c r="X3371">
        <v>0.99733930000000004</v>
      </c>
      <c r="Y3371">
        <v>1.8043239999999999E-2</v>
      </c>
      <c r="Z3371">
        <v>-6.7187330000000002E-4</v>
      </c>
      <c r="AA3371">
        <v>0.99983699999999998</v>
      </c>
      <c r="AB3371">
        <v>27</v>
      </c>
      <c r="AC3371">
        <v>24.097799999999999</v>
      </c>
      <c r="AD3371">
        <v>-1.1049943244861</v>
      </c>
      <c r="AE3371">
        <v>-0.336799999999982</v>
      </c>
      <c r="AF3371">
        <v>0.57310026156070204</v>
      </c>
      <c r="AG3371">
        <v>-1.1049943244861</v>
      </c>
      <c r="AH3371">
        <v>24.042766256807301</v>
      </c>
      <c r="AI3371">
        <v>92.630689365854195</v>
      </c>
      <c r="AJ3371">
        <v>88.634516139287697</v>
      </c>
      <c r="AK3371">
        <v>24.074967614649498</v>
      </c>
    </row>
    <row r="3372" spans="1:37" x14ac:dyDescent="0.2">
      <c r="A3372" t="str">
        <f>"20200111155613104"</f>
        <v>20200111155613104</v>
      </c>
      <c r="B3372" t="str">
        <f>"1578729373096050"</f>
        <v>1578729373096050</v>
      </c>
      <c r="C3372" t="s">
        <v>37</v>
      </c>
      <c r="D3372">
        <v>5.4967620000000004</v>
      </c>
      <c r="E3372">
        <v>0.53937889999999999</v>
      </c>
      <c r="F3372" t="s">
        <v>59</v>
      </c>
      <c r="G3372">
        <v>-382.25240000000002</v>
      </c>
      <c r="H3372" s="1">
        <v>-2.698155E-7</v>
      </c>
      <c r="I3372">
        <v>213.05260000000001</v>
      </c>
      <c r="J3372">
        <v>-415.3202</v>
      </c>
      <c r="K3372">
        <v>1.105</v>
      </c>
      <c r="L3372">
        <v>213.96969999999999</v>
      </c>
      <c r="M3372">
        <v>0.99984589999999995</v>
      </c>
      <c r="N3372">
        <v>0</v>
      </c>
      <c r="O3372">
        <v>9.0475509999999992E-3</v>
      </c>
      <c r="P3372">
        <v>0.99703899999999901</v>
      </c>
      <c r="Q3372">
        <v>2.324037E-2</v>
      </c>
      <c r="R3372">
        <v>7.3302919999999994E-2</v>
      </c>
      <c r="S3372">
        <v>3.016724</v>
      </c>
      <c r="T3372">
        <v>-9.7688199999999906E-2</v>
      </c>
      <c r="U3372">
        <v>-8.0261230000000003E-2</v>
      </c>
      <c r="V3372">
        <v>-6.4263180000000003E-2</v>
      </c>
      <c r="W3372">
        <v>3.8280010000000003E-2</v>
      </c>
      <c r="X3372">
        <v>0.99719849999999999</v>
      </c>
      <c r="Y3372">
        <v>3.5616910000000002E-2</v>
      </c>
      <c r="Z3372">
        <v>-8.6931460000000003E-4</v>
      </c>
      <c r="AA3372">
        <v>0.99936519999999995</v>
      </c>
      <c r="AB3372">
        <v>27</v>
      </c>
      <c r="AC3372">
        <v>33.067799999999899</v>
      </c>
      <c r="AD3372">
        <v>-1.1050002698154999</v>
      </c>
      <c r="AE3372">
        <v>-0.91709999999997605</v>
      </c>
      <c r="AF3372">
        <v>1.2149233302127</v>
      </c>
      <c r="AG3372">
        <v>-1.1050002698154999</v>
      </c>
      <c r="AH3372">
        <v>33.0213031313206</v>
      </c>
      <c r="AI3372">
        <v>91.915293149569194</v>
      </c>
      <c r="AJ3372">
        <v>87.892917942488793</v>
      </c>
      <c r="AK3372">
        <v>33.062116157093598</v>
      </c>
    </row>
    <row r="3373" spans="1:37" x14ac:dyDescent="0.2">
      <c r="A3373" t="str">
        <f>"20200111155613148"</f>
        <v>20200111155613148</v>
      </c>
      <c r="B3373" t="str">
        <f>"1578729373145825"</f>
        <v>1578729373145825</v>
      </c>
      <c r="C3373" t="s">
        <v>37</v>
      </c>
      <c r="D3373">
        <v>5.231617</v>
      </c>
      <c r="E3373">
        <v>0.53825599999999996</v>
      </c>
      <c r="F3373" t="s">
        <v>59</v>
      </c>
      <c r="G3373">
        <v>-382.52679999999998</v>
      </c>
      <c r="H3373" s="1">
        <v>-1.2341210000000001E-7</v>
      </c>
      <c r="I3373">
        <v>213.04419999999999</v>
      </c>
      <c r="J3373">
        <v>-414.80029999999999</v>
      </c>
      <c r="K3373">
        <v>1.1050089999999999</v>
      </c>
      <c r="L3373">
        <v>213.97389999999999</v>
      </c>
      <c r="M3373">
        <v>0.99984949999999995</v>
      </c>
      <c r="N3373">
        <v>0</v>
      </c>
      <c r="O3373">
        <v>8.6482169999999997E-3</v>
      </c>
      <c r="P3373">
        <v>0.99702250000000003</v>
      </c>
      <c r="Q3373">
        <v>2.34678E-2</v>
      </c>
      <c r="R3373">
        <v>7.345264E-2</v>
      </c>
      <c r="S3373">
        <v>3.0175169999999998</v>
      </c>
      <c r="T3373">
        <v>-0.1016779</v>
      </c>
      <c r="U3373">
        <v>-8.5159299999999993E-2</v>
      </c>
      <c r="V3373">
        <v>-6.4811359999999998E-2</v>
      </c>
      <c r="W3373">
        <v>3.8494439999999998E-2</v>
      </c>
      <c r="X3373">
        <v>0.99715480000000001</v>
      </c>
      <c r="Y3373">
        <v>3.6829319999999999E-2</v>
      </c>
      <c r="Z3373">
        <v>-9.1150649999999895E-4</v>
      </c>
      <c r="AA3373">
        <v>0.99932119999999902</v>
      </c>
      <c r="AB3373">
        <v>26</v>
      </c>
      <c r="AC3373">
        <v>32.273499999999999</v>
      </c>
      <c r="AD3373">
        <v>-1.1050091234121</v>
      </c>
      <c r="AE3373">
        <v>-0.92969999999999597</v>
      </c>
      <c r="AF3373">
        <v>1.2073907731256901</v>
      </c>
      <c r="AG3373">
        <v>-1.1050091234121</v>
      </c>
      <c r="AH3373">
        <v>32.226503775390597</v>
      </c>
      <c r="AI3373">
        <v>91.962460090401095</v>
      </c>
      <c r="AJ3373">
        <v>87.854373063911297</v>
      </c>
      <c r="AK3373">
        <v>32.268039655781998</v>
      </c>
    </row>
    <row r="3374" spans="1:37" x14ac:dyDescent="0.2">
      <c r="A3374" t="str">
        <f>"20200111155613171"</f>
        <v>20200111155613171</v>
      </c>
      <c r="B3374" t="str">
        <f>"1578729373166322"</f>
        <v>1578729373166322</v>
      </c>
      <c r="C3374" t="s">
        <v>37</v>
      </c>
      <c r="D3374">
        <v>5.2451489999999996</v>
      </c>
      <c r="E3374">
        <v>0.53809859999999998</v>
      </c>
      <c r="F3374" t="s">
        <v>59</v>
      </c>
      <c r="G3374">
        <v>-384.58440000000002</v>
      </c>
      <c r="H3374" s="1">
        <v>9.6384700000000001E-7</v>
      </c>
      <c r="I3374">
        <v>213.21940000000001</v>
      </c>
      <c r="J3374">
        <v>-414.53449999999998</v>
      </c>
      <c r="K3374">
        <v>1.1050070000000001</v>
      </c>
      <c r="L3374">
        <v>213.9759</v>
      </c>
      <c r="M3374">
        <v>0.99985139999999995</v>
      </c>
      <c r="N3374">
        <v>0</v>
      </c>
      <c r="O3374">
        <v>8.4434780000000008E-3</v>
      </c>
      <c r="P3374">
        <v>0.99702119999999905</v>
      </c>
      <c r="Q3374">
        <v>2.3626689999999999E-2</v>
      </c>
      <c r="R3374">
        <v>7.342166E-2</v>
      </c>
      <c r="S3374">
        <v>3.01709</v>
      </c>
      <c r="T3374">
        <v>-0.1103362</v>
      </c>
      <c r="U3374">
        <v>-7.5332640000000006E-2</v>
      </c>
      <c r="V3374">
        <v>-6.4984520000000004E-2</v>
      </c>
      <c r="W3374">
        <v>3.864691E-2</v>
      </c>
      <c r="X3374">
        <v>0.99713759999999996</v>
      </c>
      <c r="Y3374">
        <v>3.3373840000000002E-2</v>
      </c>
      <c r="Z3374">
        <v>-9.1861869999999997E-4</v>
      </c>
      <c r="AA3374">
        <v>0.99944249999999901</v>
      </c>
      <c r="AB3374">
        <v>26</v>
      </c>
      <c r="AC3374">
        <v>29.9500999999999</v>
      </c>
      <c r="AD3374">
        <v>-1.1050060361530001</v>
      </c>
      <c r="AE3374">
        <v>-0.75649999999998796</v>
      </c>
      <c r="AF3374">
        <v>1.0080133366809401</v>
      </c>
      <c r="AG3374">
        <v>-1.1050060361530001</v>
      </c>
      <c r="AH3374">
        <v>29.901966304022899</v>
      </c>
      <c r="AI3374">
        <v>92.115161609155507</v>
      </c>
      <c r="AJ3374">
        <v>88.069255829184897</v>
      </c>
      <c r="AK3374">
        <v>29.939350662193402</v>
      </c>
    </row>
    <row r="3375" spans="1:37" x14ac:dyDescent="0.2">
      <c r="A3375" t="str">
        <f>"20200111155613194"</f>
        <v>20200111155613194</v>
      </c>
      <c r="B3375" t="str">
        <f>"1578729373185842"</f>
        <v>1578729373185842</v>
      </c>
      <c r="C3375" t="s">
        <v>37</v>
      </c>
      <c r="D3375">
        <v>5.2854970000000003</v>
      </c>
      <c r="E3375">
        <v>0.53795459999999995</v>
      </c>
      <c r="F3375" t="s">
        <v>59</v>
      </c>
      <c r="G3375">
        <v>-385.51069999999999</v>
      </c>
      <c r="H3375" s="1">
        <v>1.454822E-6</v>
      </c>
      <c r="I3375">
        <v>213.2646</v>
      </c>
      <c r="J3375">
        <v>-414.26249999999999</v>
      </c>
      <c r="K3375">
        <v>1.1050089999999999</v>
      </c>
      <c r="L3375">
        <v>213.97799999999901</v>
      </c>
      <c r="M3375">
        <v>0.99985329999999994</v>
      </c>
      <c r="N3375">
        <v>0</v>
      </c>
      <c r="O3375">
        <v>8.2335540000000006E-3</v>
      </c>
      <c r="P3375">
        <v>0.99702570000000001</v>
      </c>
      <c r="Q3375">
        <v>2.398432E-2</v>
      </c>
      <c r="R3375">
        <v>7.3244180000000006E-2</v>
      </c>
      <c r="S3375">
        <v>3.01709</v>
      </c>
      <c r="T3375">
        <v>-0.11486780000000001</v>
      </c>
      <c r="U3375">
        <v>-7.3944090000000004E-2</v>
      </c>
      <c r="V3375">
        <v>-6.5016930000000001E-2</v>
      </c>
      <c r="W3375">
        <v>3.8997589999999999E-2</v>
      </c>
      <c r="X3375">
        <v>0.99712190000000001</v>
      </c>
      <c r="Y3375">
        <v>3.2702589999999997E-2</v>
      </c>
      <c r="Z3375">
        <v>-9.3556529999999996E-4</v>
      </c>
      <c r="AA3375">
        <v>0.99946469999999898</v>
      </c>
      <c r="AB3375">
        <v>26</v>
      </c>
      <c r="AC3375">
        <v>28.751799999999999</v>
      </c>
      <c r="AD3375">
        <v>-1.1050075451779999</v>
      </c>
      <c r="AE3375">
        <v>-0.71339999999997805</v>
      </c>
      <c r="AF3375">
        <v>0.94873153838117297</v>
      </c>
      <c r="AG3375">
        <v>-1.1050075451779999</v>
      </c>
      <c r="AH3375">
        <v>28.7025811496068</v>
      </c>
      <c r="AI3375">
        <v>92.203512994307999</v>
      </c>
      <c r="AJ3375">
        <v>88.106841709622003</v>
      </c>
      <c r="AK3375">
        <v>28.739507613328801</v>
      </c>
    </row>
    <row r="3376" spans="1:37" x14ac:dyDescent="0.2">
      <c r="A3376" t="str">
        <f>"20200111155613216"</f>
        <v>20200111155613216</v>
      </c>
      <c r="B3376" t="str">
        <f>"1578729373206337"</f>
        <v>1578729373206337</v>
      </c>
      <c r="C3376" t="s">
        <v>37</v>
      </c>
      <c r="D3376">
        <v>5.2466609999999996</v>
      </c>
      <c r="E3376">
        <v>0.53800150000000002</v>
      </c>
      <c r="F3376" t="s">
        <v>59</v>
      </c>
      <c r="G3376">
        <v>-385.85230000000001</v>
      </c>
      <c r="H3376" s="1">
        <v>1.6354929999999899E-6</v>
      </c>
      <c r="I3376">
        <v>213.28989999999999</v>
      </c>
      <c r="J3376">
        <v>-414.01350000000002</v>
      </c>
      <c r="K3376">
        <v>1.105011</v>
      </c>
      <c r="L3376">
        <v>213.97980000000001</v>
      </c>
      <c r="M3376">
        <v>0.99985489999999999</v>
      </c>
      <c r="N3376">
        <v>0</v>
      </c>
      <c r="O3376">
        <v>8.0400039999999999E-3</v>
      </c>
      <c r="P3376">
        <v>0.99703069999999905</v>
      </c>
      <c r="Q3376">
        <v>2.4622580000000002E-2</v>
      </c>
      <c r="R3376">
        <v>7.2962490000000005E-2</v>
      </c>
      <c r="S3376">
        <v>3.0171509999999899</v>
      </c>
      <c r="T3376">
        <v>-0.1173515</v>
      </c>
      <c r="U3376">
        <v>-7.3074340000000002E-2</v>
      </c>
      <c r="V3376">
        <v>-6.4927349999999995E-2</v>
      </c>
      <c r="W3376">
        <v>3.9629879999999999E-2</v>
      </c>
      <c r="X3376">
        <v>0.99710270000000001</v>
      </c>
      <c r="Y3376">
        <v>3.2219900000000003E-2</v>
      </c>
      <c r="Z3376">
        <v>-9.388558E-4</v>
      </c>
      <c r="AA3376">
        <v>0.99948040000000005</v>
      </c>
      <c r="AB3376">
        <v>26</v>
      </c>
      <c r="AC3376">
        <v>28.161200000000001</v>
      </c>
      <c r="AD3376">
        <v>-1.105009364507</v>
      </c>
      <c r="AE3376">
        <v>-0.68990000000002205</v>
      </c>
      <c r="AF3376">
        <v>0.91491157075884799</v>
      </c>
      <c r="AG3376">
        <v>-1.105009364507</v>
      </c>
      <c r="AH3376">
        <v>28.111485517467099</v>
      </c>
      <c r="AI3376">
        <v>92.249839894389396</v>
      </c>
      <c r="AJ3376">
        <v>88.135919396473298</v>
      </c>
      <c r="AK3376">
        <v>28.1480679066382</v>
      </c>
    </row>
    <row r="3377" spans="1:37" x14ac:dyDescent="0.2">
      <c r="A3377" t="str">
        <f>"20200111155613238"</f>
        <v>20200111155613238</v>
      </c>
      <c r="B3377" t="str">
        <f>"1578729373225857"</f>
        <v>1578729373225857</v>
      </c>
      <c r="C3377" t="s">
        <v>37</v>
      </c>
      <c r="D3377">
        <v>5.260256</v>
      </c>
      <c r="E3377">
        <v>0.53802340000000004</v>
      </c>
      <c r="F3377" t="s">
        <v>59</v>
      </c>
      <c r="G3377">
        <v>-385.46780000000001</v>
      </c>
      <c r="H3377" s="1">
        <v>1.4314650000000001E-6</v>
      </c>
      <c r="I3377">
        <v>213.2764</v>
      </c>
      <c r="J3377">
        <v>-413.75420000000003</v>
      </c>
      <c r="K3377">
        <v>1.1050070000000001</v>
      </c>
      <c r="L3377">
        <v>213.98169999999999</v>
      </c>
      <c r="M3377">
        <v>0.99985659999999899</v>
      </c>
      <c r="N3377">
        <v>0</v>
      </c>
      <c r="O3377">
        <v>7.8358950000000007E-3</v>
      </c>
      <c r="P3377">
        <v>0.99707199999999996</v>
      </c>
      <c r="Q3377">
        <v>2.4923810000000001E-2</v>
      </c>
      <c r="R3377">
        <v>7.2293189999999993E-2</v>
      </c>
      <c r="S3377">
        <v>3.0172119999999998</v>
      </c>
      <c r="T3377">
        <v>-0.116796699999999</v>
      </c>
      <c r="U3377">
        <v>-7.4356080000000005E-2</v>
      </c>
      <c r="V3377">
        <v>-6.4461599999999994E-2</v>
      </c>
      <c r="W3377">
        <v>3.992528E-2</v>
      </c>
      <c r="X3377">
        <v>0.99712119999999904</v>
      </c>
      <c r="Y3377">
        <v>3.243998E-2</v>
      </c>
      <c r="Z3377">
        <v>-9.3075630000000003E-4</v>
      </c>
      <c r="AA3377">
        <v>0.99947330000000001</v>
      </c>
      <c r="AB3377">
        <v>26</v>
      </c>
      <c r="AC3377">
        <v>28.2864</v>
      </c>
      <c r="AD3377">
        <v>-1.105005568535</v>
      </c>
      <c r="AE3377">
        <v>-0.70529999999999404</v>
      </c>
      <c r="AF3377">
        <v>0.925541023697941</v>
      </c>
      <c r="AG3377">
        <v>-1.105005568535</v>
      </c>
      <c r="AH3377">
        <v>28.2369394161651</v>
      </c>
      <c r="AI3377">
        <v>92.239829672316503</v>
      </c>
      <c r="AJ3377">
        <v>88.122650098757006</v>
      </c>
      <c r="AK3377">
        <v>28.273705294588101</v>
      </c>
    </row>
    <row r="3378" spans="1:37" x14ac:dyDescent="0.2">
      <c r="A3378" t="str">
        <f>"20200111155613260"</f>
        <v>20200111155613260</v>
      </c>
      <c r="B3378" t="str">
        <f>"1578729373256114"</f>
        <v>1578729373256114</v>
      </c>
      <c r="C3378" t="s">
        <v>37</v>
      </c>
      <c r="D3378">
        <v>5.2782099999999996</v>
      </c>
      <c r="E3378">
        <v>0.53804110000000005</v>
      </c>
      <c r="F3378" t="s">
        <v>59</v>
      </c>
      <c r="G3378">
        <v>-385.3227</v>
      </c>
      <c r="H3378" s="1">
        <v>1.3549769999999999E-6</v>
      </c>
      <c r="I3378">
        <v>213.2602</v>
      </c>
      <c r="J3378">
        <v>-413.48520000000002</v>
      </c>
      <c r="K3378">
        <v>1.105005</v>
      </c>
      <c r="L3378">
        <v>213.98349999999999</v>
      </c>
      <c r="M3378">
        <v>0.99985840000000004</v>
      </c>
      <c r="N3378">
        <v>0</v>
      </c>
      <c r="O3378">
        <v>7.6192509999999996E-3</v>
      </c>
      <c r="P3378">
        <v>0.99710180000000004</v>
      </c>
      <c r="Q3378">
        <v>2.4864580000000001E-2</v>
      </c>
      <c r="R3378">
        <v>7.190299E-2</v>
      </c>
      <c r="S3378">
        <v>3.0173030000000001</v>
      </c>
      <c r="T3378">
        <v>-0.1172695</v>
      </c>
      <c r="U3378">
        <v>-7.6568600000000001E-2</v>
      </c>
      <c r="V3378">
        <v>-6.4286780000000002E-2</v>
      </c>
      <c r="W3378">
        <v>3.9859529999999997E-2</v>
      </c>
      <c r="X3378">
        <v>0.99713510000000005</v>
      </c>
      <c r="Y3378">
        <v>3.295464E-2</v>
      </c>
      <c r="Z3378">
        <v>-9.3606339999999905E-4</v>
      </c>
      <c r="AA3378">
        <v>0.99945640000000002</v>
      </c>
      <c r="AB3378">
        <v>26</v>
      </c>
      <c r="AC3378">
        <v>28.162500000000001</v>
      </c>
      <c r="AD3378">
        <v>-1.1050036450230001</v>
      </c>
      <c r="AE3378">
        <v>-0.72329999999999395</v>
      </c>
      <c r="AF3378">
        <v>0.93643959793420795</v>
      </c>
      <c r="AG3378">
        <v>-1.1050036450230001</v>
      </c>
      <c r="AH3378">
        <v>28.112918881942399</v>
      </c>
      <c r="AI3378">
        <v>92.249657185568495</v>
      </c>
      <c r="AJ3378">
        <v>88.092186507746604</v>
      </c>
      <c r="AK3378">
        <v>28.150207108274898</v>
      </c>
    </row>
    <row r="3379" spans="1:37" x14ac:dyDescent="0.2">
      <c r="A3379" t="str">
        <f>"20200111155613283"</f>
        <v>20200111155613283</v>
      </c>
      <c r="B3379" t="str">
        <f>"1578729373275634"</f>
        <v>1578729373275634</v>
      </c>
      <c r="C3379" t="s">
        <v>37</v>
      </c>
      <c r="D3379">
        <v>5.4287769999999904</v>
      </c>
      <c r="E3379">
        <v>0.53787439999999997</v>
      </c>
      <c r="F3379" t="s">
        <v>59</v>
      </c>
      <c r="G3379">
        <v>-386.1558</v>
      </c>
      <c r="H3379" s="1">
        <v>1.7974599999999999E-6</v>
      </c>
      <c r="I3379">
        <v>213.2791</v>
      </c>
      <c r="J3379">
        <v>-413.22489999999999</v>
      </c>
      <c r="K3379">
        <v>1.105002</v>
      </c>
      <c r="L3379">
        <v>213.9853</v>
      </c>
      <c r="M3379">
        <v>0.99986019999999898</v>
      </c>
      <c r="N3379">
        <v>0</v>
      </c>
      <c r="O3379">
        <v>7.4059900000000003E-3</v>
      </c>
      <c r="P3379">
        <v>0.99713180000000001</v>
      </c>
      <c r="Q3379">
        <v>2.4648969999999999E-2</v>
      </c>
      <c r="R3379">
        <v>7.1561949999999999E-2</v>
      </c>
      <c r="S3379">
        <v>3.0173649999999999</v>
      </c>
      <c r="T3379">
        <v>-0.1220005</v>
      </c>
      <c r="U3379">
        <v>-7.7774049999999997E-2</v>
      </c>
      <c r="V3379">
        <v>-6.4158499999999993E-2</v>
      </c>
      <c r="W3379">
        <v>3.963846E-2</v>
      </c>
      <c r="X3379">
        <v>0.99715219999999904</v>
      </c>
      <c r="Y3379">
        <v>3.3137479999999997E-2</v>
      </c>
      <c r="Z3379">
        <v>-9.688473E-4</v>
      </c>
      <c r="AA3379">
        <v>0.99945030000000001</v>
      </c>
      <c r="AB3379">
        <v>26</v>
      </c>
      <c r="AC3379">
        <v>27.069099999999899</v>
      </c>
      <c r="AD3379">
        <v>-1.1050002025400001</v>
      </c>
      <c r="AE3379">
        <v>-0.70619999999999505</v>
      </c>
      <c r="AF3379">
        <v>0.90516930175792398</v>
      </c>
      <c r="AG3379">
        <v>-1.1050002025400001</v>
      </c>
      <c r="AH3379">
        <v>27.018134601450502</v>
      </c>
      <c r="AI3379">
        <v>92.340692370469696</v>
      </c>
      <c r="AJ3379">
        <v>88.081178028921599</v>
      </c>
      <c r="AK3379">
        <v>27.055867279659601</v>
      </c>
    </row>
    <row r="3380" spans="1:37" x14ac:dyDescent="0.2">
      <c r="A3380" t="str">
        <f>"20200111155613306"</f>
        <v>20200111155613306</v>
      </c>
      <c r="B3380" t="str">
        <f>"1578729373296129"</f>
        <v>1578729373296129</v>
      </c>
      <c r="C3380" t="s">
        <v>37</v>
      </c>
      <c r="D3380">
        <v>5.2923339999999897</v>
      </c>
      <c r="E3380">
        <v>0.53774540000000004</v>
      </c>
      <c r="F3380" t="s">
        <v>59</v>
      </c>
      <c r="G3380">
        <v>-386.56380000000001</v>
      </c>
      <c r="H3380" s="1">
        <v>2.01360199999999E-6</v>
      </c>
      <c r="I3380">
        <v>213.3022</v>
      </c>
      <c r="J3380">
        <v>-412.9588</v>
      </c>
      <c r="K3380">
        <v>1.1050009999999999</v>
      </c>
      <c r="L3380">
        <v>213.98699999999999</v>
      </c>
      <c r="M3380">
        <v>0.99986180000000002</v>
      </c>
      <c r="N3380">
        <v>0</v>
      </c>
      <c r="O3380">
        <v>7.1839080000000001E-3</v>
      </c>
      <c r="P3380">
        <v>0.99712440000000002</v>
      </c>
      <c r="Q3380">
        <v>2.4507879999999999E-2</v>
      </c>
      <c r="R3380">
        <v>7.1710759999999998E-2</v>
      </c>
      <c r="S3380">
        <v>3.0172729999999999</v>
      </c>
      <c r="T3380">
        <v>-0.12505479999999999</v>
      </c>
      <c r="U3380">
        <v>-7.7301030000000007E-2</v>
      </c>
      <c r="V3380">
        <v>-6.452832E-2</v>
      </c>
      <c r="W3380">
        <v>3.9491230000000002E-2</v>
      </c>
      <c r="X3380">
        <v>0.99713410000000002</v>
      </c>
      <c r="Y3380">
        <v>3.2758519999999999E-2</v>
      </c>
      <c r="Z3380">
        <v>-9.7606539999999995E-4</v>
      </c>
      <c r="AA3380">
        <v>0.99946279999999998</v>
      </c>
      <c r="AB3380">
        <v>26</v>
      </c>
      <c r="AC3380">
        <v>26.3949999999999</v>
      </c>
      <c r="AD3380">
        <v>-1.1049989863980001</v>
      </c>
      <c r="AE3380">
        <v>-0.68479999999999497</v>
      </c>
      <c r="AF3380">
        <v>0.87289409411507501</v>
      </c>
      <c r="AG3380">
        <v>-1.1049989863980001</v>
      </c>
      <c r="AH3380">
        <v>26.343260751311099</v>
      </c>
      <c r="AI3380">
        <v>92.400614674189697</v>
      </c>
      <c r="AJ3380">
        <v>88.102176642659202</v>
      </c>
      <c r="AK3380">
        <v>26.380870983935498</v>
      </c>
    </row>
    <row r="3381" spans="1:37" x14ac:dyDescent="0.2">
      <c r="A3381" t="str">
        <f>"20200111155613328"</f>
        <v>20200111155613328</v>
      </c>
      <c r="B3381" t="str">
        <f>"1578729373315649"</f>
        <v>1578729373315649</v>
      </c>
      <c r="C3381" t="s">
        <v>37</v>
      </c>
      <c r="D3381">
        <v>5.548044</v>
      </c>
      <c r="E3381">
        <v>0.53753600000000001</v>
      </c>
      <c r="F3381" t="s">
        <v>59</v>
      </c>
      <c r="G3381">
        <v>-386.96030000000002</v>
      </c>
      <c r="H3381" s="1">
        <v>2.223102E-6</v>
      </c>
      <c r="I3381">
        <v>213.33539999999999</v>
      </c>
      <c r="J3381">
        <v>-412.71390000000002</v>
      </c>
      <c r="K3381">
        <v>1.105003</v>
      </c>
      <c r="L3381">
        <v>213.98849999999999</v>
      </c>
      <c r="M3381">
        <v>0.99986339999999996</v>
      </c>
      <c r="N3381">
        <v>0</v>
      </c>
      <c r="O3381">
        <v>6.9744639999999997E-3</v>
      </c>
      <c r="P3381">
        <v>0.99713890000000005</v>
      </c>
      <c r="Q3381">
        <v>2.437974E-2</v>
      </c>
      <c r="R3381">
        <v>7.1551199999999995E-2</v>
      </c>
      <c r="S3381">
        <v>3.017242</v>
      </c>
      <c r="T3381">
        <v>-0.12823999999999999</v>
      </c>
      <c r="U3381">
        <v>-7.5622560000000005E-2</v>
      </c>
      <c r="V3381">
        <v>-6.4577620000000002E-2</v>
      </c>
      <c r="W3381">
        <v>3.935781E-2</v>
      </c>
      <c r="X3381">
        <v>0.99713619999999903</v>
      </c>
      <c r="Y3381">
        <v>3.1992890000000003E-2</v>
      </c>
      <c r="Z3381">
        <v>-9.7576289999999903E-4</v>
      </c>
      <c r="AA3381">
        <v>0.99948760000000003</v>
      </c>
      <c r="AB3381">
        <v>26</v>
      </c>
      <c r="AC3381">
        <v>25.753599999999999</v>
      </c>
      <c r="AD3381">
        <v>-1.1050007768979999</v>
      </c>
      <c r="AE3381">
        <v>-0.65309999999999402</v>
      </c>
      <c r="AF3381">
        <v>0.831192610551862</v>
      </c>
      <c r="AG3381">
        <v>-1.1050007768979999</v>
      </c>
      <c r="AH3381">
        <v>25.701133064761301</v>
      </c>
      <c r="AI3381">
        <v>92.460587652035201</v>
      </c>
      <c r="AJ3381">
        <v>88.147660056293702</v>
      </c>
      <c r="AK3381">
        <v>25.738301200455101</v>
      </c>
    </row>
    <row r="3382" spans="1:37" x14ac:dyDescent="0.2">
      <c r="A3382" t="str">
        <f>"20200111155613349"</f>
        <v>20200111155613349</v>
      </c>
      <c r="B3382" t="str">
        <f>"1578729373345906"</f>
        <v>1578729373345906</v>
      </c>
      <c r="C3382" t="s">
        <v>37</v>
      </c>
      <c r="D3382">
        <v>5.1950779999999996</v>
      </c>
      <c r="E3382">
        <v>0.53757480000000002</v>
      </c>
      <c r="F3382" t="s">
        <v>59</v>
      </c>
      <c r="G3382">
        <v>-387.20049999999998</v>
      </c>
      <c r="H3382" s="1">
        <v>2.34989299999999E-6</v>
      </c>
      <c r="I3382">
        <v>213.35980000000001</v>
      </c>
      <c r="J3382">
        <v>-412.4579</v>
      </c>
      <c r="K3382">
        <v>1.1049959999999901</v>
      </c>
      <c r="L3382">
        <v>213.99010000000001</v>
      </c>
      <c r="M3382">
        <v>0.99986509999999995</v>
      </c>
      <c r="N3382">
        <v>0</v>
      </c>
      <c r="O3382">
        <v>6.7499980000000001E-3</v>
      </c>
      <c r="P3382">
        <v>0.99717</v>
      </c>
      <c r="Q3382">
        <v>2.4265930000000002E-2</v>
      </c>
      <c r="R3382">
        <v>7.1157609999999996E-2</v>
      </c>
      <c r="S3382">
        <v>3.0171809999999999</v>
      </c>
      <c r="T3382">
        <v>-0.13067590000000001</v>
      </c>
      <c r="U3382">
        <v>-7.4356080000000005E-2</v>
      </c>
      <c r="V3382">
        <v>-6.4407240000000004E-2</v>
      </c>
      <c r="W3382">
        <v>3.9238219999999997E-2</v>
      </c>
      <c r="X3382">
        <v>0.99715200000000004</v>
      </c>
      <c r="Y3382">
        <v>3.1349179999999997E-2</v>
      </c>
      <c r="Z3382">
        <v>-9.7065689999999995E-4</v>
      </c>
      <c r="AA3382">
        <v>0.99950799999999995</v>
      </c>
      <c r="AB3382">
        <v>26</v>
      </c>
      <c r="AC3382">
        <v>25.257400000000001</v>
      </c>
      <c r="AD3382">
        <v>-1.1049936501069999</v>
      </c>
      <c r="AE3382">
        <v>-0.63030000000000497</v>
      </c>
      <c r="AF3382">
        <v>0.79926331447460397</v>
      </c>
      <c r="AG3382">
        <v>-1.1049936501069999</v>
      </c>
      <c r="AH3382">
        <v>25.2043583122122</v>
      </c>
      <c r="AI3382">
        <v>92.509058444072295</v>
      </c>
      <c r="AJ3382">
        <v>88.183684229285205</v>
      </c>
      <c r="AK3382">
        <v>25.241226411230901</v>
      </c>
    </row>
    <row r="3383" spans="1:37" x14ac:dyDescent="0.2">
      <c r="A3383" t="str">
        <f>"20200111155613373"</f>
        <v>20200111155613373</v>
      </c>
      <c r="B3383" t="str">
        <f>"1578729373366188"</f>
        <v>1578729373366188</v>
      </c>
      <c r="C3383" t="s">
        <v>37</v>
      </c>
      <c r="D3383">
        <v>5.1827750000000004</v>
      </c>
      <c r="E3383">
        <v>0.53763819999999996</v>
      </c>
      <c r="F3383" t="s">
        <v>59</v>
      </c>
      <c r="G3383">
        <v>-387.55410000000001</v>
      </c>
      <c r="H3383" s="1">
        <v>2.537849E-6</v>
      </c>
      <c r="I3383">
        <v>213.3646</v>
      </c>
      <c r="J3383">
        <v>-412.18950000000001</v>
      </c>
      <c r="K3383">
        <v>1.104994</v>
      </c>
      <c r="L3383">
        <v>213.99160000000001</v>
      </c>
      <c r="M3383">
        <v>0.9998667</v>
      </c>
      <c r="N3383">
        <v>0</v>
      </c>
      <c r="O3383">
        <v>6.5087219999999998E-3</v>
      </c>
      <c r="P3383">
        <v>0.997208599999999</v>
      </c>
      <c r="Q3383">
        <v>2.3859289999999998E-2</v>
      </c>
      <c r="R3383">
        <v>7.0753339999999998E-2</v>
      </c>
      <c r="S3383">
        <v>3.0171809999999999</v>
      </c>
      <c r="T3383">
        <v>-0.1338741</v>
      </c>
      <c r="U3383">
        <v>-7.5775149999999999E-2</v>
      </c>
      <c r="V3383">
        <v>-6.4243759999999997E-2</v>
      </c>
      <c r="W3383">
        <v>3.8825599999999898E-2</v>
      </c>
      <c r="X3383">
        <v>0.99717869999999997</v>
      </c>
      <c r="Y3383">
        <v>3.1576050000000001E-2</v>
      </c>
      <c r="Z3383">
        <v>-9.88714499999999E-4</v>
      </c>
      <c r="AA3383">
        <v>0.99950090000000003</v>
      </c>
      <c r="AB3383">
        <v>26</v>
      </c>
      <c r="AC3383">
        <v>24.635400000000001</v>
      </c>
      <c r="AD3383">
        <v>-1.104991462151</v>
      </c>
      <c r="AE3383">
        <v>-0.62700000000000899</v>
      </c>
      <c r="AF3383">
        <v>0.78576982646830196</v>
      </c>
      <c r="AG3383">
        <v>-1.104991462151</v>
      </c>
      <c r="AH3383">
        <v>24.581374264014201</v>
      </c>
      <c r="AI3383">
        <v>92.572537099626899</v>
      </c>
      <c r="AJ3383">
        <v>88.169102795344898</v>
      </c>
      <c r="AK3383">
        <v>24.618740850399998</v>
      </c>
    </row>
    <row r="3384" spans="1:37" x14ac:dyDescent="0.2">
      <c r="A3384" t="str">
        <f>"20200111155613395"</f>
        <v>20200111155613395</v>
      </c>
      <c r="B3384" t="str">
        <f>"1578729373385708"</f>
        <v>1578729373385708</v>
      </c>
      <c r="C3384" t="s">
        <v>37</v>
      </c>
      <c r="D3384">
        <v>5.3175439999999998</v>
      </c>
      <c r="E3384">
        <v>0.53751719999999903</v>
      </c>
      <c r="F3384" t="s">
        <v>59</v>
      </c>
      <c r="G3384">
        <v>-387.66300000000001</v>
      </c>
      <c r="H3384" s="1">
        <v>2.59591499999999E-6</v>
      </c>
      <c r="I3384">
        <v>213.3614</v>
      </c>
      <c r="J3384">
        <v>-411.928</v>
      </c>
      <c r="K3384">
        <v>1.104992</v>
      </c>
      <c r="L3384">
        <v>213.99299999999999</v>
      </c>
      <c r="M3384">
        <v>0.99986839999999999</v>
      </c>
      <c r="N3384">
        <v>0</v>
      </c>
      <c r="O3384">
        <v>6.2691269999999898E-3</v>
      </c>
      <c r="P3384">
        <v>0.99724360000000001</v>
      </c>
      <c r="Q3384">
        <v>2.3680219999999998E-2</v>
      </c>
      <c r="R3384">
        <v>7.0317470000000007E-2</v>
      </c>
      <c r="S3384">
        <v>3.0171199999999998</v>
      </c>
      <c r="T3384">
        <v>-0.135930299999999</v>
      </c>
      <c r="U3384">
        <v>-7.7529909999999994E-2</v>
      </c>
      <c r="V3384">
        <v>-6.4046409999999998E-2</v>
      </c>
      <c r="W3384">
        <v>3.8640720000000003E-2</v>
      </c>
      <c r="X3384">
        <v>0.99719859999999905</v>
      </c>
      <c r="Y3384">
        <v>3.1916720000000003E-2</v>
      </c>
      <c r="Z3384">
        <v>-1.0007779999999999E-3</v>
      </c>
      <c r="AA3384">
        <v>0.99948999999999999</v>
      </c>
      <c r="AB3384">
        <v>26</v>
      </c>
      <c r="AC3384">
        <v>24.265000000000001</v>
      </c>
      <c r="AD3384">
        <v>-1.1049894040849999</v>
      </c>
      <c r="AE3384">
        <v>-0.63159999999999095</v>
      </c>
      <c r="AF3384">
        <v>0.78210419586004298</v>
      </c>
      <c r="AG3384">
        <v>-1.1049894040849999</v>
      </c>
      <c r="AH3384">
        <v>24.210390816745299</v>
      </c>
      <c r="AI3384">
        <v>92.611869523391604</v>
      </c>
      <c r="AJ3384">
        <v>88.149732831229102</v>
      </c>
      <c r="AK3384">
        <v>24.248210491825301</v>
      </c>
    </row>
    <row r="3385" spans="1:37" x14ac:dyDescent="0.2">
      <c r="A3385" t="str">
        <f>"20200111155613417"</f>
        <v>20200111155613417</v>
      </c>
      <c r="B3385" t="str">
        <f>"1578729373406203"</f>
        <v>1578729373406203</v>
      </c>
      <c r="C3385" t="s">
        <v>37</v>
      </c>
      <c r="D3385">
        <v>5.0872830000000002</v>
      </c>
      <c r="E3385">
        <v>0.53767480000000001</v>
      </c>
      <c r="F3385" t="s">
        <v>59</v>
      </c>
      <c r="G3385">
        <v>-387.55259999999998</v>
      </c>
      <c r="H3385" s="1">
        <v>2.5370469999999998E-6</v>
      </c>
      <c r="I3385">
        <v>213.3647</v>
      </c>
      <c r="J3385">
        <v>-411.6823</v>
      </c>
      <c r="K3385">
        <v>1.1049879999999901</v>
      </c>
      <c r="L3385">
        <v>213.99430000000001</v>
      </c>
      <c r="M3385">
        <v>0.99986980000000003</v>
      </c>
      <c r="N3385">
        <v>0</v>
      </c>
      <c r="O3385">
        <v>6.0407500000000001E-3</v>
      </c>
      <c r="P3385">
        <v>0.99727199999999905</v>
      </c>
      <c r="Q3385">
        <v>2.359019E-2</v>
      </c>
      <c r="R3385">
        <v>6.9945220000000002E-2</v>
      </c>
      <c r="S3385">
        <v>3.017029</v>
      </c>
      <c r="T3385">
        <v>-0.13676849999999999</v>
      </c>
      <c r="U3385">
        <v>-7.7774049999999997E-2</v>
      </c>
      <c r="V3385">
        <v>-6.3902089999999995E-2</v>
      </c>
      <c r="W3385">
        <v>3.8544950000000001E-2</v>
      </c>
      <c r="X3385">
        <v>0.99721150000000003</v>
      </c>
      <c r="Y3385">
        <v>3.1769940000000003E-2</v>
      </c>
      <c r="Z3385">
        <v>-9.9330019999999998E-4</v>
      </c>
      <c r="AA3385">
        <v>0.99949469999999996</v>
      </c>
      <c r="AB3385">
        <v>26</v>
      </c>
      <c r="AC3385">
        <v>24.1297</v>
      </c>
      <c r="AD3385">
        <v>-1.10498546295299</v>
      </c>
      <c r="AE3385">
        <v>-0.62960000000001004</v>
      </c>
      <c r="AF3385">
        <v>0.77374483596885701</v>
      </c>
      <c r="AG3385">
        <v>-1.10498546295299</v>
      </c>
      <c r="AH3385">
        <v>24.075003764726301</v>
      </c>
      <c r="AI3385">
        <v>92.626541619982007</v>
      </c>
      <c r="AJ3385">
        <v>88.159208628486098</v>
      </c>
      <c r="AK3385">
        <v>24.112765917996899</v>
      </c>
    </row>
    <row r="3386" spans="1:37" x14ac:dyDescent="0.2">
      <c r="A3386" t="str">
        <f>"20200111155613440"</f>
        <v>20200111155613440</v>
      </c>
      <c r="B3386" t="str">
        <f>"1578729373435484"</f>
        <v>1578729373435484</v>
      </c>
      <c r="C3386" t="s">
        <v>37</v>
      </c>
      <c r="D3386">
        <v>4.9418280000000001</v>
      </c>
      <c r="E3386">
        <v>0.53818069999999996</v>
      </c>
      <c r="F3386" t="s">
        <v>59</v>
      </c>
      <c r="G3386">
        <v>-387.50599999999997</v>
      </c>
      <c r="H3386" s="1">
        <v>2.512756E-6</v>
      </c>
      <c r="I3386">
        <v>213.35319999999999</v>
      </c>
      <c r="J3386">
        <v>-411.42090000000002</v>
      </c>
      <c r="K3386">
        <v>1.1049850000000001</v>
      </c>
      <c r="L3386">
        <v>213.9956</v>
      </c>
      <c r="M3386">
        <v>0.99987130000000002</v>
      </c>
      <c r="N3386">
        <v>0</v>
      </c>
      <c r="O3386">
        <v>5.795405E-3</v>
      </c>
      <c r="P3386">
        <v>0.99729409999999896</v>
      </c>
      <c r="Q3386">
        <v>2.3251419999999998E-2</v>
      </c>
      <c r="R3386">
        <v>6.9740300000000005E-2</v>
      </c>
      <c r="S3386">
        <v>3.01709</v>
      </c>
      <c r="T3386">
        <v>-0.1378973</v>
      </c>
      <c r="U3386">
        <v>-8.0001829999999996E-2</v>
      </c>
      <c r="V3386">
        <v>-6.3941449999999997E-2</v>
      </c>
      <c r="W3386">
        <v>3.819997E-2</v>
      </c>
      <c r="X3386">
        <v>0.99722219999999995</v>
      </c>
      <c r="Y3386">
        <v>3.2260780000000003E-2</v>
      </c>
      <c r="Z3386">
        <v>-1.0014620000000001E-3</v>
      </c>
      <c r="AA3386">
        <v>0.99947900000000001</v>
      </c>
      <c r="AB3386">
        <v>26</v>
      </c>
      <c r="AC3386">
        <v>23.914899999999999</v>
      </c>
      <c r="AD3386">
        <v>-1.1049824872439999</v>
      </c>
      <c r="AE3386">
        <v>-0.64240000000000896</v>
      </c>
      <c r="AF3386">
        <v>0.77933865625822596</v>
      </c>
      <c r="AG3386">
        <v>-1.1049824872439999</v>
      </c>
      <c r="AH3386">
        <v>23.859873650307499</v>
      </c>
      <c r="AI3386">
        <v>92.650137921891499</v>
      </c>
      <c r="AJ3386">
        <v>88.129204417711904</v>
      </c>
      <c r="AK3386">
        <v>23.898157369280401</v>
      </c>
    </row>
    <row r="3387" spans="1:37" x14ac:dyDescent="0.2">
      <c r="A3387" t="str">
        <f>"20200111155613506"</f>
        <v>20200111155613506</v>
      </c>
      <c r="B3387" t="str">
        <f>"1578729373495996"</f>
        <v>1578729373495996</v>
      </c>
      <c r="C3387" t="s">
        <v>37</v>
      </c>
      <c r="D3387">
        <v>4.8159830000000001</v>
      </c>
      <c r="E3387">
        <v>0.57276559999999999</v>
      </c>
      <c r="F3387" t="s">
        <v>59</v>
      </c>
      <c r="G3387">
        <v>-387.0616</v>
      </c>
      <c r="H3387" s="1">
        <v>2.2781709999999999E-6</v>
      </c>
      <c r="I3387">
        <v>213.31010000000001</v>
      </c>
      <c r="J3387">
        <v>-410.66109999999998</v>
      </c>
      <c r="K3387">
        <v>1.1049799999999901</v>
      </c>
      <c r="L3387">
        <v>213.999</v>
      </c>
      <c r="M3387">
        <v>0.99987569999999903</v>
      </c>
      <c r="N3387">
        <v>0</v>
      </c>
      <c r="O3387">
        <v>5.0743339999999998E-3</v>
      </c>
      <c r="P3387">
        <v>0.99738439999999995</v>
      </c>
      <c r="Q3387">
        <v>2.34147E-2</v>
      </c>
      <c r="R3387">
        <v>6.8384319999999998E-2</v>
      </c>
      <c r="S3387">
        <v>3.017242</v>
      </c>
      <c r="T3387">
        <v>-0.13686799999999999</v>
      </c>
      <c r="U3387">
        <v>-8.4915160000000003E-2</v>
      </c>
      <c r="V3387">
        <v>-6.3304860000000004E-2</v>
      </c>
      <c r="W3387">
        <v>3.8344820000000002E-2</v>
      </c>
      <c r="X3387">
        <v>0.99725739999999996</v>
      </c>
      <c r="Y3387">
        <v>3.3165399999999998E-2</v>
      </c>
      <c r="Z3387">
        <v>-9.8173529999999996E-4</v>
      </c>
      <c r="AA3387">
        <v>0.99944940000000004</v>
      </c>
      <c r="AB3387">
        <v>26</v>
      </c>
      <c r="AC3387">
        <v>23.5994999999999</v>
      </c>
      <c r="AD3387">
        <v>-1.10497772182899</v>
      </c>
      <c r="AE3387">
        <v>-0.68890000000001705</v>
      </c>
      <c r="AF3387">
        <v>0.80688877660880198</v>
      </c>
      <c r="AG3387">
        <v>-1.10497772182899</v>
      </c>
      <c r="AH3387">
        <v>23.544127983151402</v>
      </c>
      <c r="AI3387">
        <v>92.685470977250901</v>
      </c>
      <c r="AJ3387">
        <v>88.037165178855503</v>
      </c>
      <c r="AK3387">
        <v>23.583850570900601</v>
      </c>
    </row>
    <row r="3388" spans="1:37" x14ac:dyDescent="0.2">
      <c r="A3388" t="str">
        <f>"20200111155613540"</f>
        <v>20200111155613540</v>
      </c>
      <c r="B3388" t="str">
        <f>"1578729373536011"</f>
        <v>1578729373536011</v>
      </c>
      <c r="C3388" t="s">
        <v>37</v>
      </c>
      <c r="D3388">
        <v>4.7434269999999996</v>
      </c>
      <c r="E3388">
        <v>0.57058779999999998</v>
      </c>
      <c r="F3388" t="s">
        <v>69</v>
      </c>
      <c r="G3388">
        <v>-168.42310000000001</v>
      </c>
      <c r="H3388">
        <v>15.354369999999999</v>
      </c>
      <c r="I3388">
        <v>183.66460000000001</v>
      </c>
      <c r="J3388">
        <v>-410.27050000000003</v>
      </c>
      <c r="K3388">
        <v>1.1049819999999999</v>
      </c>
      <c r="L3388">
        <v>214.00049999999999</v>
      </c>
      <c r="M3388">
        <v>0.99987760000000003</v>
      </c>
      <c r="N3388">
        <v>0</v>
      </c>
      <c r="O3388">
        <v>4.6978840000000003E-3</v>
      </c>
      <c r="P3388">
        <v>0.99742749999999902</v>
      </c>
      <c r="Q3388">
        <v>2.4869039999999999E-2</v>
      </c>
      <c r="R3388">
        <v>6.7231739999999998E-2</v>
      </c>
      <c r="S3388">
        <v>3.0296939999999899</v>
      </c>
      <c r="T3388">
        <v>0.17821879999999901</v>
      </c>
      <c r="U3388">
        <v>-0.37939450000000002</v>
      </c>
      <c r="V3388">
        <v>-6.2526670000000006E-2</v>
      </c>
      <c r="W3388">
        <v>3.9789489999999997E-2</v>
      </c>
      <c r="X3388">
        <v>0.99724979999999996</v>
      </c>
      <c r="Y3388">
        <v>0.12868850000000001</v>
      </c>
      <c r="Z3388">
        <v>4.042136E-3</v>
      </c>
      <c r="AA3388">
        <v>0.99167680000000002</v>
      </c>
      <c r="AB3388">
        <v>25</v>
      </c>
      <c r="AC3388">
        <v>241.84739999999999</v>
      </c>
      <c r="AD3388">
        <v>14.249388</v>
      </c>
      <c r="AE3388">
        <v>-30.335899999999899</v>
      </c>
      <c r="AF3388">
        <v>31.364668752139501</v>
      </c>
      <c r="AG3388">
        <v>14.249388</v>
      </c>
      <c r="AH3388">
        <v>240.878956174406</v>
      </c>
      <c r="AI3388">
        <v>86.642841628107604</v>
      </c>
      <c r="AJ3388">
        <v>82.5812981708998</v>
      </c>
      <c r="AK3388">
        <v>243.32993862650201</v>
      </c>
    </row>
    <row r="3389" spans="1:37" x14ac:dyDescent="0.2">
      <c r="A3389" t="str">
        <f>"20200111155613564"</f>
        <v>20200111155613564</v>
      </c>
      <c r="B3389" t="str">
        <f>"1578729373555532"</f>
        <v>1578729373555532</v>
      </c>
      <c r="C3389" t="s">
        <v>37</v>
      </c>
      <c r="D3389">
        <v>4.7904460000000002</v>
      </c>
      <c r="E3389">
        <v>0.56997039999999999</v>
      </c>
      <c r="F3389" t="s">
        <v>69</v>
      </c>
      <c r="G3389">
        <v>-169.7209</v>
      </c>
      <c r="H3389">
        <v>14.359159999999999</v>
      </c>
      <c r="I3389">
        <v>184.99629999999999</v>
      </c>
      <c r="J3389">
        <v>-410.00729999999999</v>
      </c>
      <c r="K3389">
        <v>1.104975</v>
      </c>
      <c r="L3389">
        <v>214.00139999999999</v>
      </c>
      <c r="M3389">
        <v>0.99987890000000001</v>
      </c>
      <c r="N3389">
        <v>0</v>
      </c>
      <c r="O3389">
        <v>4.4387430000000002E-3</v>
      </c>
      <c r="P3389">
        <v>0.99747319999999995</v>
      </c>
      <c r="Q3389">
        <v>2.312109E-2</v>
      </c>
      <c r="R3389">
        <v>6.7179379999999997E-2</v>
      </c>
      <c r="S3389">
        <v>3.0282290000000001</v>
      </c>
      <c r="T3389">
        <v>0.16685449999999999</v>
      </c>
      <c r="U3389">
        <v>-0.3651276</v>
      </c>
      <c r="V3389">
        <v>-6.2733520000000001E-2</v>
      </c>
      <c r="W3389">
        <v>3.8035579999999999E-2</v>
      </c>
      <c r="X3389">
        <v>0.99730529999999995</v>
      </c>
      <c r="Y3389">
        <v>0.1239218</v>
      </c>
      <c r="Z3389">
        <v>3.6427090000000001E-3</v>
      </c>
      <c r="AA3389">
        <v>0.99228530000000004</v>
      </c>
      <c r="AB3389">
        <v>25</v>
      </c>
      <c r="AC3389">
        <v>240.28639999999999</v>
      </c>
      <c r="AD3389">
        <v>13.254185</v>
      </c>
      <c r="AE3389">
        <v>-29.005099999999999</v>
      </c>
      <c r="AF3389">
        <v>29.981589982690899</v>
      </c>
      <c r="AG3389">
        <v>13.254185</v>
      </c>
      <c r="AH3389">
        <v>239.43721822175999</v>
      </c>
      <c r="AI3389">
        <v>86.856094160552203</v>
      </c>
      <c r="AJ3389">
        <v>82.862746826198602</v>
      </c>
      <c r="AK3389">
        <v>241.670748390613</v>
      </c>
    </row>
    <row r="3390" spans="1:37" x14ac:dyDescent="0.2">
      <c r="A3390" t="str">
        <f>"20200111155613585"</f>
        <v>20200111155613585</v>
      </c>
      <c r="B3390" t="str">
        <f>"1578729373575560"</f>
        <v>1578729373575560</v>
      </c>
      <c r="C3390" t="s">
        <v>37</v>
      </c>
      <c r="D3390">
        <v>4.7365599999999999</v>
      </c>
      <c r="E3390">
        <v>0.56910130000000003</v>
      </c>
      <c r="F3390" t="s">
        <v>69</v>
      </c>
      <c r="G3390">
        <v>-169.72049999999999</v>
      </c>
      <c r="H3390">
        <v>13.63674</v>
      </c>
      <c r="I3390">
        <v>185.4076</v>
      </c>
      <c r="J3390">
        <v>-409.7697</v>
      </c>
      <c r="K3390">
        <v>1.1049629999999999</v>
      </c>
      <c r="L3390">
        <v>214.00219999999999</v>
      </c>
      <c r="M3390">
        <v>0.99987999999999899</v>
      </c>
      <c r="N3390">
        <v>0</v>
      </c>
      <c r="O3390">
        <v>4.2025489999999999E-3</v>
      </c>
      <c r="P3390">
        <v>0.9974982</v>
      </c>
      <c r="Q3390">
        <v>2.1253939999999999E-2</v>
      </c>
      <c r="R3390">
        <v>6.7422040000000003E-2</v>
      </c>
      <c r="S3390">
        <v>3.0281980000000002</v>
      </c>
      <c r="T3390">
        <v>0.15793109999999999</v>
      </c>
      <c r="U3390">
        <v>-0.36035159999999899</v>
      </c>
      <c r="V3390">
        <v>-6.3212519999999994E-2</v>
      </c>
      <c r="W3390">
        <v>3.6163859999999999E-2</v>
      </c>
      <c r="X3390">
        <v>0.99734469999999997</v>
      </c>
      <c r="Y3390">
        <v>0.1221681</v>
      </c>
      <c r="Z3390">
        <v>3.3907130000000001E-3</v>
      </c>
      <c r="AA3390">
        <v>0.99250360000000004</v>
      </c>
      <c r="AB3390">
        <v>25</v>
      </c>
      <c r="AC3390">
        <v>240.04920000000001</v>
      </c>
      <c r="AD3390">
        <v>12.531777</v>
      </c>
      <c r="AE3390">
        <v>-28.5945999999999</v>
      </c>
      <c r="AF3390">
        <v>29.5239403478658</v>
      </c>
      <c r="AG3390">
        <v>12.531777</v>
      </c>
      <c r="AH3390">
        <v>239.28388407823701</v>
      </c>
      <c r="AI3390">
        <v>87.024566131679194</v>
      </c>
      <c r="AJ3390">
        <v>82.966134775724299</v>
      </c>
      <c r="AK3390">
        <v>241.423871371514</v>
      </c>
    </row>
    <row r="3391" spans="1:37" x14ac:dyDescent="0.2">
      <c r="A3391" t="str">
        <f>"20200111155613606"</f>
        <v>20200111155613606</v>
      </c>
      <c r="B3391" t="str">
        <f>"1578729373596056"</f>
        <v>1578729373596056</v>
      </c>
      <c r="C3391" t="s">
        <v>37</v>
      </c>
      <c r="D3391">
        <v>4.6992940000000001</v>
      </c>
      <c r="E3391">
        <v>0.56871159999999998</v>
      </c>
      <c r="F3391" t="s">
        <v>69</v>
      </c>
      <c r="G3391">
        <v>-169.72020000000001</v>
      </c>
      <c r="H3391">
        <v>13.30611</v>
      </c>
      <c r="I3391">
        <v>186.05690000000001</v>
      </c>
      <c r="J3391">
        <v>-409.5249</v>
      </c>
      <c r="K3391">
        <v>1.104956</v>
      </c>
      <c r="L3391">
        <v>214.00299999999999</v>
      </c>
      <c r="M3391">
        <v>0.99988099999999902</v>
      </c>
      <c r="N3391">
        <v>0</v>
      </c>
      <c r="O3391">
        <v>3.9574859999999996E-3</v>
      </c>
      <c r="P3391">
        <v>0.99749480000000001</v>
      </c>
      <c r="Q3391">
        <v>2.043509E-2</v>
      </c>
      <c r="R3391">
        <v>6.7724119999999999E-2</v>
      </c>
      <c r="S3391">
        <v>3.0280459999999998</v>
      </c>
      <c r="T3391">
        <v>0.15390870000000001</v>
      </c>
      <c r="U3391">
        <v>-0.3525085</v>
      </c>
      <c r="V3391">
        <v>-6.3759389999999999E-2</v>
      </c>
      <c r="W3391">
        <v>3.5339460000000003E-2</v>
      </c>
      <c r="X3391">
        <v>0.99733939999999999</v>
      </c>
      <c r="Y3391">
        <v>0.1194069</v>
      </c>
      <c r="Z3391">
        <v>3.2228270000000002E-3</v>
      </c>
      <c r="AA3391">
        <v>0.99284019999999995</v>
      </c>
      <c r="AB3391">
        <v>25</v>
      </c>
      <c r="AC3391">
        <v>239.8047</v>
      </c>
      <c r="AD3391">
        <v>12.201154000000001</v>
      </c>
      <c r="AE3391">
        <v>-27.946099999999898</v>
      </c>
      <c r="AF3391">
        <v>28.821399299943501</v>
      </c>
      <c r="AG3391">
        <v>12.201154000000001</v>
      </c>
      <c r="AH3391">
        <v>239.08158868145199</v>
      </c>
      <c r="AI3391">
        <v>87.099497593914606</v>
      </c>
      <c r="AJ3391">
        <v>83.126136395847098</v>
      </c>
      <c r="AK3391">
        <v>241.121436755394</v>
      </c>
    </row>
    <row r="3392" spans="1:37" x14ac:dyDescent="0.2">
      <c r="A3392" t="str">
        <f>"20200111155613629"</f>
        <v>20200111155613629</v>
      </c>
      <c r="B3392" t="str">
        <f>"1578729373626312"</f>
        <v>1578729373626312</v>
      </c>
      <c r="C3392" t="s">
        <v>37</v>
      </c>
      <c r="D3392">
        <v>4.6916919999999998</v>
      </c>
      <c r="E3392">
        <v>0.56829879999999999</v>
      </c>
      <c r="F3392" t="s">
        <v>69</v>
      </c>
      <c r="G3392">
        <v>-169.4042</v>
      </c>
      <c r="H3392">
        <v>13.146089999999999</v>
      </c>
      <c r="I3392">
        <v>186.3716</v>
      </c>
      <c r="J3392">
        <v>-409.2758</v>
      </c>
      <c r="K3392">
        <v>1.1049629999999999</v>
      </c>
      <c r="L3392">
        <v>214.00360000000001</v>
      </c>
      <c r="M3392">
        <v>0.99988199999999905</v>
      </c>
      <c r="N3392">
        <v>0</v>
      </c>
      <c r="O3392">
        <v>3.7054709999999901E-3</v>
      </c>
      <c r="P3392">
        <v>0.99749730000000003</v>
      </c>
      <c r="Q3392">
        <v>2.1380980000000001E-2</v>
      </c>
      <c r="R3392">
        <v>6.7395720000000006E-2</v>
      </c>
      <c r="S3392">
        <v>3.028076</v>
      </c>
      <c r="T3392">
        <v>0.15184690000000001</v>
      </c>
      <c r="U3392">
        <v>-0.34844969999999997</v>
      </c>
      <c r="V3392">
        <v>-6.3681630000000003E-2</v>
      </c>
      <c r="W3392">
        <v>3.627822E-2</v>
      </c>
      <c r="X3392">
        <v>0.99731059999999905</v>
      </c>
      <c r="Y3392">
        <v>0.1178486</v>
      </c>
      <c r="Z3392">
        <v>3.1284080000000001E-3</v>
      </c>
      <c r="AA3392">
        <v>0.99302669999999904</v>
      </c>
      <c r="AB3392">
        <v>25</v>
      </c>
      <c r="AC3392">
        <v>239.8716</v>
      </c>
      <c r="AD3392">
        <v>12.041126999999999</v>
      </c>
      <c r="AE3392">
        <v>-27.632000000000001</v>
      </c>
      <c r="AF3392">
        <v>28.449995127172599</v>
      </c>
      <c r="AG3392">
        <v>12.041126999999999</v>
      </c>
      <c r="AH3392">
        <v>239.172762524917</v>
      </c>
      <c r="AI3392">
        <v>87.138026233529999</v>
      </c>
      <c r="AJ3392">
        <v>83.216447176629501</v>
      </c>
      <c r="AK3392">
        <v>241.159700812484</v>
      </c>
    </row>
    <row r="3393" spans="1:37" x14ac:dyDescent="0.2">
      <c r="A3393" t="str">
        <f>"20200111155613651"</f>
        <v>20200111155613651</v>
      </c>
      <c r="B3393" t="str">
        <f>"1578729373645832"</f>
        <v>1578729373645832</v>
      </c>
      <c r="C3393" t="s">
        <v>37</v>
      </c>
      <c r="D3393">
        <v>4.6483499999999998</v>
      </c>
      <c r="E3393">
        <v>0.56828639999999997</v>
      </c>
      <c r="F3393" t="s">
        <v>69</v>
      </c>
      <c r="G3393">
        <v>-169.7201</v>
      </c>
      <c r="H3393">
        <v>13.54434</v>
      </c>
      <c r="I3393">
        <v>186.6139</v>
      </c>
      <c r="J3393">
        <v>-409.01949999999999</v>
      </c>
      <c r="K3393">
        <v>1.10497</v>
      </c>
      <c r="L3393">
        <v>214.0043</v>
      </c>
      <c r="M3393">
        <v>0.99988310000000002</v>
      </c>
      <c r="N3393">
        <v>0</v>
      </c>
      <c r="O3393">
        <v>3.444534E-3</v>
      </c>
      <c r="P3393">
        <v>0.99751659999999998</v>
      </c>
      <c r="Q3393">
        <v>2.284682E-2</v>
      </c>
      <c r="R3393">
        <v>6.6623619999999995E-2</v>
      </c>
      <c r="S3393">
        <v>3.0275880000000002</v>
      </c>
      <c r="T3393">
        <v>0.15721360000000001</v>
      </c>
      <c r="U3393">
        <v>-0.34616089999999999</v>
      </c>
      <c r="V3393">
        <v>-6.3169349999999999E-2</v>
      </c>
      <c r="W3393">
        <v>3.7737779999999999E-2</v>
      </c>
      <c r="X3393">
        <v>0.99728909999999904</v>
      </c>
      <c r="Y3393">
        <v>0.116857399999999</v>
      </c>
      <c r="Z3393">
        <v>3.200353E-3</v>
      </c>
      <c r="AA3393">
        <v>0.99314360000000002</v>
      </c>
      <c r="AB3393">
        <v>25</v>
      </c>
      <c r="AC3393">
        <v>239.29939999999999</v>
      </c>
      <c r="AD3393">
        <v>12.43937</v>
      </c>
      <c r="AE3393">
        <v>-27.3904</v>
      </c>
      <c r="AF3393">
        <v>28.139549180952301</v>
      </c>
      <c r="AG3393">
        <v>12.43937</v>
      </c>
      <c r="AH3393">
        <v>238.56730821574399</v>
      </c>
      <c r="AI3393">
        <v>87.035700600220594</v>
      </c>
      <c r="AJ3393">
        <v>83.272916735076805</v>
      </c>
      <c r="AK3393">
        <v>240.54299554011101</v>
      </c>
    </row>
    <row r="3394" spans="1:37" x14ac:dyDescent="0.2">
      <c r="A3394" t="str">
        <f>"20200111155613674"</f>
        <v>20200111155613674</v>
      </c>
      <c r="B3394" t="str">
        <f>"1578729373666328"</f>
        <v>1578729373666328</v>
      </c>
      <c r="C3394" t="s">
        <v>37</v>
      </c>
      <c r="D3394">
        <v>4.7209159999999999</v>
      </c>
      <c r="E3394">
        <v>0.56792010000000004</v>
      </c>
      <c r="F3394" t="s">
        <v>69</v>
      </c>
      <c r="G3394">
        <v>-169.72030000000001</v>
      </c>
      <c r="H3394">
        <v>14.037570000000001</v>
      </c>
      <c r="I3394">
        <v>186.4221</v>
      </c>
      <c r="J3394">
        <v>-408.76690000000002</v>
      </c>
      <c r="K3394">
        <v>1.1049610000000001</v>
      </c>
      <c r="L3394">
        <v>214.00489999999999</v>
      </c>
      <c r="M3394">
        <v>0.99988449999999995</v>
      </c>
      <c r="N3394">
        <v>0</v>
      </c>
      <c r="O3394">
        <v>3.185659E-3</v>
      </c>
      <c r="P3394">
        <v>0.99751290000000004</v>
      </c>
      <c r="Q3394">
        <v>2.3287370000000002E-2</v>
      </c>
      <c r="R3394">
        <v>6.652798E-2</v>
      </c>
      <c r="S3394">
        <v>3.027069</v>
      </c>
      <c r="T3394">
        <v>0.1635942</v>
      </c>
      <c r="U3394">
        <v>-0.34890749999999998</v>
      </c>
      <c r="V3394">
        <v>-6.3331960000000007E-2</v>
      </c>
      <c r="W3394">
        <v>3.8143740000000002E-2</v>
      </c>
      <c r="X3394">
        <v>0.99726329999999996</v>
      </c>
      <c r="Y3394">
        <v>0.117495</v>
      </c>
      <c r="Z3394">
        <v>3.3336759999999998E-3</v>
      </c>
      <c r="AA3394">
        <v>0.9930679</v>
      </c>
      <c r="AB3394">
        <v>25</v>
      </c>
      <c r="AC3394">
        <v>239.04660000000001</v>
      </c>
      <c r="AD3394">
        <v>12.932608999999999</v>
      </c>
      <c r="AE3394">
        <v>-27.582799999999899</v>
      </c>
      <c r="AF3394">
        <v>28.262630201959201</v>
      </c>
      <c r="AG3394">
        <v>12.932608999999999</v>
      </c>
      <c r="AH3394">
        <v>238.26928157712601</v>
      </c>
      <c r="AI3394">
        <v>86.914775600105102</v>
      </c>
      <c r="AJ3394">
        <v>83.235391795076794</v>
      </c>
      <c r="AK3394">
        <v>240.287908944165</v>
      </c>
    </row>
    <row r="3395" spans="1:37" x14ac:dyDescent="0.2">
      <c r="A3395" t="str">
        <f>"20200111155613696"</f>
        <v>20200111155613696</v>
      </c>
      <c r="B3395" t="str">
        <f>"1578729373685848"</f>
        <v>1578729373685848</v>
      </c>
      <c r="C3395" t="s">
        <v>37</v>
      </c>
      <c r="D3395">
        <v>4.6743600000000001</v>
      </c>
      <c r="E3395">
        <v>0.53216450000000004</v>
      </c>
      <c r="F3395" t="s">
        <v>69</v>
      </c>
      <c r="G3395">
        <v>-169.72020000000001</v>
      </c>
      <c r="H3395">
        <v>14.14235</v>
      </c>
      <c r="I3395">
        <v>186.67859999999999</v>
      </c>
      <c r="J3395">
        <v>-408.51900000000001</v>
      </c>
      <c r="K3395">
        <v>1.104924</v>
      </c>
      <c r="L3395">
        <v>214.00540000000001</v>
      </c>
      <c r="M3395">
        <v>0.99988709999999903</v>
      </c>
      <c r="N3395">
        <v>0</v>
      </c>
      <c r="O3395">
        <v>2.9270469999999999E-3</v>
      </c>
      <c r="P3395">
        <v>0.99753549999999902</v>
      </c>
      <c r="Q3395">
        <v>2.217353E-2</v>
      </c>
      <c r="R3395">
        <v>6.6568719999999998E-2</v>
      </c>
      <c r="S3395">
        <v>3.0267029999999999</v>
      </c>
      <c r="T3395">
        <v>0.165074</v>
      </c>
      <c r="U3395">
        <v>-0.34599299999999999</v>
      </c>
      <c r="V3395">
        <v>-6.3631209999999994E-2</v>
      </c>
      <c r="W3395">
        <v>3.6902940000000002E-2</v>
      </c>
      <c r="X3395">
        <v>0.99729100000000004</v>
      </c>
      <c r="Y3395">
        <v>0.11630689999999901</v>
      </c>
      <c r="Z3395">
        <v>3.3180509999999998E-3</v>
      </c>
      <c r="AA3395">
        <v>0.99320779999999997</v>
      </c>
      <c r="AB3395">
        <v>25</v>
      </c>
      <c r="AC3395">
        <v>238.7988</v>
      </c>
      <c r="AD3395">
        <v>13.037426</v>
      </c>
      <c r="AE3395">
        <v>-27.326799999999999</v>
      </c>
      <c r="AF3395">
        <v>27.943519302096799</v>
      </c>
      <c r="AG3395">
        <v>13.037426</v>
      </c>
      <c r="AH3395">
        <v>238.017491116966</v>
      </c>
      <c r="AI3395">
        <v>86.886095972790201</v>
      </c>
      <c r="AJ3395">
        <v>83.304062647579798</v>
      </c>
      <c r="AK3395">
        <v>240.00654329685901</v>
      </c>
    </row>
    <row r="3396" spans="1:37" x14ac:dyDescent="0.2">
      <c r="A3396" t="str">
        <f>"20200111155613719"</f>
        <v>20200111155613719</v>
      </c>
      <c r="B3396" t="str">
        <f>"1578729373716104"</f>
        <v>1578729373716104</v>
      </c>
      <c r="C3396" t="s">
        <v>37</v>
      </c>
      <c r="D3396">
        <v>4.5779800000000002</v>
      </c>
      <c r="E3396">
        <v>0.52469679999999996</v>
      </c>
      <c r="F3396" t="s">
        <v>59</v>
      </c>
      <c r="G3396">
        <v>-343.0872</v>
      </c>
      <c r="H3396" s="1">
        <v>1.060737E-7</v>
      </c>
      <c r="I3396">
        <v>212.90020000000001</v>
      </c>
      <c r="J3396">
        <v>-408.27120000000002</v>
      </c>
      <c r="K3396">
        <v>1.1048530000000001</v>
      </c>
      <c r="L3396">
        <v>214.00579999999999</v>
      </c>
      <c r="M3396">
        <v>0.9998918</v>
      </c>
      <c r="N3396">
        <v>0</v>
      </c>
      <c r="O3396">
        <v>2.68117099999999E-3</v>
      </c>
      <c r="P3396">
        <v>0.99754399999999999</v>
      </c>
      <c r="Q3396">
        <v>2.2133440000000001E-2</v>
      </c>
      <c r="R3396">
        <v>6.6455330000000007E-2</v>
      </c>
      <c r="S3396">
        <v>3.0119319999999998</v>
      </c>
      <c r="T3396">
        <v>-5.0861480000000001E-2</v>
      </c>
      <c r="U3396">
        <v>-5.0872800000000003E-2</v>
      </c>
      <c r="V3396">
        <v>-6.3762689999999997E-2</v>
      </c>
      <c r="W3396">
        <v>3.659987E-2</v>
      </c>
      <c r="X3396">
        <v>0.99729369999999995</v>
      </c>
      <c r="Y3396">
        <v>1.9565849999999999E-2</v>
      </c>
      <c r="Z3396">
        <v>-2.1045189999999999E-4</v>
      </c>
      <c r="AA3396">
        <v>0.99980849999999899</v>
      </c>
      <c r="AB3396">
        <v>25</v>
      </c>
      <c r="AC3396">
        <v>65.183999999999997</v>
      </c>
      <c r="AD3396">
        <v>-1.1048528939263</v>
      </c>
      <c r="AE3396">
        <v>-1.1055999999999799</v>
      </c>
      <c r="AF3396">
        <v>1.2800161239622501</v>
      </c>
      <c r="AG3396">
        <v>-1.1048528939263</v>
      </c>
      <c r="AH3396">
        <v>65.162085737358396</v>
      </c>
      <c r="AI3396">
        <v>90.971195679566904</v>
      </c>
      <c r="AJ3396">
        <v>88.874650960086399</v>
      </c>
      <c r="AK3396">
        <v>65.184020732367202</v>
      </c>
    </row>
    <row r="3397" spans="1:37" x14ac:dyDescent="0.2">
      <c r="A3397" t="str">
        <f>"20200111155613741"</f>
        <v>20200111155613741</v>
      </c>
      <c r="B3397" t="str">
        <f>"1578729373736601"</f>
        <v>1578729373736601</v>
      </c>
      <c r="C3397" t="s">
        <v>37</v>
      </c>
      <c r="D3397">
        <v>4.6809010000000004</v>
      </c>
      <c r="E3397">
        <v>0.52359279999999997</v>
      </c>
      <c r="F3397" t="s">
        <v>59</v>
      </c>
      <c r="G3397">
        <v>-379.71620000000001</v>
      </c>
      <c r="H3397" s="1">
        <v>3.6336810000000002E-6</v>
      </c>
      <c r="I3397">
        <v>214.1164</v>
      </c>
      <c r="J3397">
        <v>-408.01819999999998</v>
      </c>
      <c r="K3397">
        <v>1.1047750000000001</v>
      </c>
      <c r="L3397">
        <v>214.0061</v>
      </c>
      <c r="M3397">
        <v>0.99989810000000001</v>
      </c>
      <c r="N3397">
        <v>0</v>
      </c>
      <c r="O3397">
        <v>2.426742E-3</v>
      </c>
      <c r="P3397">
        <v>0.9975212</v>
      </c>
      <c r="Q3397">
        <v>2.31763E-2</v>
      </c>
      <c r="R3397">
        <v>6.6441429999999996E-2</v>
      </c>
      <c r="S3397">
        <v>3.0091860000000001</v>
      </c>
      <c r="T3397">
        <v>-0.11643139999999901</v>
      </c>
      <c r="U3397">
        <v>1.165771E-2</v>
      </c>
      <c r="V3397">
        <v>-6.4002260000000005E-2</v>
      </c>
      <c r="W3397">
        <v>3.7242209999999998E-2</v>
      </c>
      <c r="X3397">
        <v>0.99725459999999999</v>
      </c>
      <c r="Y3397">
        <v>-1.447771E-3</v>
      </c>
      <c r="Z3397" s="1">
        <v>-6.5871140000000003E-5</v>
      </c>
      <c r="AA3397">
        <v>0.99999889999999902</v>
      </c>
      <c r="AB3397">
        <v>25</v>
      </c>
      <c r="AC3397">
        <v>28.3019999999999</v>
      </c>
      <c r="AD3397">
        <v>-1.104771366319</v>
      </c>
      <c r="AE3397">
        <v>0.110299999999995</v>
      </c>
      <c r="AF3397">
        <v>-4.1547918771663903E-2</v>
      </c>
      <c r="AG3397">
        <v>-1.104771366319</v>
      </c>
      <c r="AH3397">
        <v>28.2591254673479</v>
      </c>
      <c r="AI3397">
        <v>92.238797164475102</v>
      </c>
      <c r="AJ3397">
        <v>90.084238936574806</v>
      </c>
      <c r="AK3397">
        <v>28.280742885940999</v>
      </c>
    </row>
    <row r="3398" spans="1:37" x14ac:dyDescent="0.2">
      <c r="A3398" t="str">
        <f>"20200111155613762"</f>
        <v>20200111155613762</v>
      </c>
      <c r="B3398" t="str">
        <f>"1578729373756120"</f>
        <v>1578729373756120</v>
      </c>
      <c r="C3398" t="s">
        <v>37</v>
      </c>
      <c r="D3398">
        <v>4.6376460000000002</v>
      </c>
      <c r="E3398">
        <v>0.52273049999999999</v>
      </c>
      <c r="F3398" t="s">
        <v>59</v>
      </c>
      <c r="G3398">
        <v>-381.274</v>
      </c>
      <c r="H3398" s="1">
        <v>-8.4033419999999904E-7</v>
      </c>
      <c r="I3398">
        <v>214.1936</v>
      </c>
      <c r="J3398">
        <v>-407.76339999999999</v>
      </c>
      <c r="K3398">
        <v>1.1046910000000001</v>
      </c>
      <c r="L3398">
        <v>214.00649999999999</v>
      </c>
      <c r="M3398">
        <v>0.9999053</v>
      </c>
      <c r="N3398">
        <v>0</v>
      </c>
      <c r="O3398">
        <v>2.1623189999999998E-3</v>
      </c>
      <c r="P3398">
        <v>0.99750159999999999</v>
      </c>
      <c r="Q3398">
        <v>2.448067E-2</v>
      </c>
      <c r="R3398">
        <v>6.626783E-2</v>
      </c>
      <c r="S3398">
        <v>3.0089419999999998</v>
      </c>
      <c r="T3398">
        <v>-0.12429649999999901</v>
      </c>
      <c r="U3398">
        <v>2.1087649999999999E-2</v>
      </c>
      <c r="V3398">
        <v>-6.4092499999999997E-2</v>
      </c>
      <c r="W3398">
        <v>3.8073699999999898E-2</v>
      </c>
      <c r="X3398">
        <v>0.99721740000000003</v>
      </c>
      <c r="Y3398">
        <v>-4.8433859999999999E-3</v>
      </c>
      <c r="Z3398" s="1">
        <v>1.070178E-5</v>
      </c>
      <c r="AA3398">
        <v>0.99998829999999905</v>
      </c>
      <c r="AB3398">
        <v>25</v>
      </c>
      <c r="AC3398">
        <v>26.4893999999999</v>
      </c>
      <c r="AD3398">
        <v>-1.1046918403342001</v>
      </c>
      <c r="AE3398">
        <v>0.187100000000015</v>
      </c>
      <c r="AF3398">
        <v>-0.129590372372552</v>
      </c>
      <c r="AG3398">
        <v>-1.1046918403342001</v>
      </c>
      <c r="AH3398">
        <v>26.4437551991292</v>
      </c>
      <c r="AI3398">
        <v>92.392120176945099</v>
      </c>
      <c r="AJ3398">
        <v>90.280781678251401</v>
      </c>
      <c r="AK3398">
        <v>26.4671367313918</v>
      </c>
    </row>
    <row r="3399" spans="1:37" x14ac:dyDescent="0.2">
      <c r="A3399" t="str">
        <f>"20200111155613785"</f>
        <v>20200111155613785</v>
      </c>
      <c r="B3399" t="str">
        <f>"1578729373775640"</f>
        <v>1578729373775640</v>
      </c>
      <c r="C3399" t="s">
        <v>37</v>
      </c>
      <c r="D3399">
        <v>4.6541730000000001</v>
      </c>
      <c r="E3399">
        <v>0.52261499999999905</v>
      </c>
      <c r="F3399" t="s">
        <v>59</v>
      </c>
      <c r="G3399">
        <v>-381.24630000000002</v>
      </c>
      <c r="H3399" s="1">
        <v>-8.5755759999999999E-7</v>
      </c>
      <c r="I3399">
        <v>214.24959999999999</v>
      </c>
      <c r="J3399">
        <v>-407.51369999999997</v>
      </c>
      <c r="K3399">
        <v>1.104614</v>
      </c>
      <c r="L3399">
        <v>214.0067</v>
      </c>
      <c r="M3399">
        <v>0.99991229999999998</v>
      </c>
      <c r="N3399">
        <v>0</v>
      </c>
      <c r="O3399">
        <v>1.89849299999999E-3</v>
      </c>
      <c r="P3399">
        <v>0.99752759999999996</v>
      </c>
      <c r="Q3399">
        <v>2.4798049999999999E-2</v>
      </c>
      <c r="R3399">
        <v>6.5753679999999995E-2</v>
      </c>
      <c r="S3399">
        <v>3.008759</v>
      </c>
      <c r="T3399">
        <v>-0.12534339999999999</v>
      </c>
      <c r="U3399">
        <v>2.758789E-2</v>
      </c>
      <c r="V3399">
        <v>-6.3842300000000005E-2</v>
      </c>
      <c r="W3399">
        <v>3.7908829999999998E-2</v>
      </c>
      <c r="X3399">
        <v>0.99723969999999995</v>
      </c>
      <c r="Y3399">
        <v>-7.2655599999999999E-3</v>
      </c>
      <c r="Z3399" s="1">
        <v>7.2210180000000001E-5</v>
      </c>
      <c r="AA3399">
        <v>0.99997359999999902</v>
      </c>
      <c r="AB3399">
        <v>25</v>
      </c>
      <c r="AC3399">
        <v>26.267399999999899</v>
      </c>
      <c r="AD3399">
        <v>-1.1046148575576</v>
      </c>
      <c r="AE3399">
        <v>0.24289999999999101</v>
      </c>
      <c r="AF3399">
        <v>-0.192686080717132</v>
      </c>
      <c r="AG3399">
        <v>-1.1046148575576</v>
      </c>
      <c r="AH3399">
        <v>26.221447039950601</v>
      </c>
      <c r="AI3399">
        <v>92.412172930214496</v>
      </c>
      <c r="AJ3399">
        <v>90.421025600408697</v>
      </c>
      <c r="AK3399">
        <v>26.245410775565599</v>
      </c>
    </row>
    <row r="3400" spans="1:37" x14ac:dyDescent="0.2">
      <c r="A3400" t="str">
        <f>"20200111155613806"</f>
        <v>20200111155613806</v>
      </c>
      <c r="B3400" t="str">
        <f>"1578729373796135"</f>
        <v>1578729373796135</v>
      </c>
      <c r="C3400" t="s">
        <v>37</v>
      </c>
      <c r="D3400">
        <v>4.6702849999999998</v>
      </c>
      <c r="E3400">
        <v>0.52234829999999999</v>
      </c>
      <c r="F3400" t="s">
        <v>59</v>
      </c>
      <c r="G3400">
        <v>-381.31560000000002</v>
      </c>
      <c r="H3400" s="1">
        <v>-8.2053010000000005E-7</v>
      </c>
      <c r="I3400">
        <v>214.24639999999999</v>
      </c>
      <c r="J3400">
        <v>-407.27089999999998</v>
      </c>
      <c r="K3400">
        <v>1.1045499999999999</v>
      </c>
      <c r="L3400">
        <v>214.0069</v>
      </c>
      <c r="M3400">
        <v>0.9999188</v>
      </c>
      <c r="N3400">
        <v>0</v>
      </c>
      <c r="O3400">
        <v>1.6427289999999899E-3</v>
      </c>
      <c r="P3400">
        <v>0.99753570000000003</v>
      </c>
      <c r="Q3400">
        <v>2.4857319999999999E-2</v>
      </c>
      <c r="R3400">
        <v>6.5612509999999999E-2</v>
      </c>
      <c r="S3400">
        <v>3.0087890000000002</v>
      </c>
      <c r="T3400">
        <v>-0.12686210000000001</v>
      </c>
      <c r="U3400">
        <v>2.752686E-2</v>
      </c>
      <c r="V3400">
        <v>-6.3956940000000004E-2</v>
      </c>
      <c r="W3400">
        <v>3.7503809999999999E-2</v>
      </c>
      <c r="X3400">
        <v>0.99724769999999896</v>
      </c>
      <c r="Y3400">
        <v>-7.5004249999999998E-3</v>
      </c>
      <c r="Z3400" s="1">
        <v>8.8812869999999996E-5</v>
      </c>
      <c r="AA3400">
        <v>0.99997190000000002</v>
      </c>
      <c r="AB3400">
        <v>25</v>
      </c>
      <c r="AC3400">
        <v>25.955299999999902</v>
      </c>
      <c r="AD3400">
        <v>-1.1045508205301</v>
      </c>
      <c r="AE3400">
        <v>0.239499999999992</v>
      </c>
      <c r="AF3400">
        <v>-0.19650291070857501</v>
      </c>
      <c r="AG3400">
        <v>-1.1045508205301</v>
      </c>
      <c r="AH3400">
        <v>25.9087416103993</v>
      </c>
      <c r="AI3400">
        <v>92.441105976164593</v>
      </c>
      <c r="AJ3400">
        <v>90.434547217334995</v>
      </c>
      <c r="AK3400">
        <v>25.933020220242099</v>
      </c>
    </row>
    <row r="3401" spans="1:37" x14ac:dyDescent="0.2">
      <c r="A3401" t="str">
        <f>"20200111155613831"</f>
        <v>20200111155613831</v>
      </c>
      <c r="B3401" t="str">
        <f>"1578729373826392"</f>
        <v>1578729373826392</v>
      </c>
      <c r="C3401" t="s">
        <v>37</v>
      </c>
      <c r="D3401">
        <v>4.6512000000000002</v>
      </c>
      <c r="E3401">
        <v>0.52176650000000002</v>
      </c>
      <c r="F3401" t="s">
        <v>59</v>
      </c>
      <c r="G3401">
        <v>-381.40890000000002</v>
      </c>
      <c r="H3401" s="1">
        <v>-7.7131690000000003E-7</v>
      </c>
      <c r="I3401">
        <v>214.25710000000001</v>
      </c>
      <c r="J3401">
        <v>-406.9991</v>
      </c>
      <c r="K3401">
        <v>1.1044849999999999</v>
      </c>
      <c r="L3401">
        <v>214.00700000000001</v>
      </c>
      <c r="M3401">
        <v>0.99992539999999996</v>
      </c>
      <c r="N3401">
        <v>0</v>
      </c>
      <c r="O3401">
        <v>1.3608029999999901E-3</v>
      </c>
      <c r="P3401">
        <v>0.99751270000000003</v>
      </c>
      <c r="Q3401">
        <v>2.5630989999999999E-2</v>
      </c>
      <c r="R3401">
        <v>6.5665109999999999E-2</v>
      </c>
      <c r="S3401">
        <v>3.008667</v>
      </c>
      <c r="T3401">
        <v>-0.12849839999999901</v>
      </c>
      <c r="U3401">
        <v>2.9113770000000001E-2</v>
      </c>
      <c r="V3401">
        <v>-6.4291029999999999E-2</v>
      </c>
      <c r="W3401">
        <v>3.7777789999999999E-2</v>
      </c>
      <c r="X3401">
        <v>0.99721589999999904</v>
      </c>
      <c r="Y3401">
        <v>-8.3090000000000004E-3</v>
      </c>
      <c r="Z3401">
        <v>1.192559E-4</v>
      </c>
      <c r="AA3401">
        <v>0.99996549999999995</v>
      </c>
      <c r="AB3401">
        <v>25</v>
      </c>
      <c r="AC3401">
        <v>25.5901999999999</v>
      </c>
      <c r="AD3401">
        <v>-1.1044857713168901</v>
      </c>
      <c r="AE3401">
        <v>0.25010000000000299</v>
      </c>
      <c r="AF3401">
        <v>-0.21487374698700201</v>
      </c>
      <c r="AG3401">
        <v>-1.1044857713168901</v>
      </c>
      <c r="AH3401">
        <v>25.5429390923357</v>
      </c>
      <c r="AI3401">
        <v>92.475860044113702</v>
      </c>
      <c r="AJ3401">
        <v>90.481975405789498</v>
      </c>
      <c r="AK3401">
        <v>25.5677100464817</v>
      </c>
    </row>
    <row r="3402" spans="1:37" x14ac:dyDescent="0.2">
      <c r="A3402" t="str">
        <f>"20200111155613852"</f>
        <v>20200111155613852</v>
      </c>
      <c r="B3402" t="str">
        <f>"1578729373845912"</f>
        <v>1578729373845912</v>
      </c>
      <c r="C3402" t="s">
        <v>37</v>
      </c>
      <c r="D3402">
        <v>4.6409339999999997</v>
      </c>
      <c r="E3402">
        <v>0.5216634</v>
      </c>
      <c r="F3402" t="s">
        <v>59</v>
      </c>
      <c r="G3402">
        <v>-381.29599999999999</v>
      </c>
      <c r="H3402" s="1">
        <v>-8.3315789999999998E-7</v>
      </c>
      <c r="I3402">
        <v>214.2971</v>
      </c>
      <c r="J3402">
        <v>-406.74740000000003</v>
      </c>
      <c r="K3402">
        <v>1.1044339999999999</v>
      </c>
      <c r="L3402">
        <v>214.00710000000001</v>
      </c>
      <c r="M3402">
        <v>0.99993080000000001</v>
      </c>
      <c r="N3402">
        <v>0</v>
      </c>
      <c r="O3402">
        <v>1.103265E-3</v>
      </c>
      <c r="P3402">
        <v>0.99747399999999997</v>
      </c>
      <c r="Q3402">
        <v>2.659336E-2</v>
      </c>
      <c r="R3402">
        <v>6.5868179999999998E-2</v>
      </c>
      <c r="S3402">
        <v>3.008575</v>
      </c>
      <c r="T3402">
        <v>-0.12928129999999999</v>
      </c>
      <c r="U3402">
        <v>3.3950809999999998E-2</v>
      </c>
      <c r="V3402">
        <v>-6.4750020000000005E-2</v>
      </c>
      <c r="W3402">
        <v>3.8310039999999997E-2</v>
      </c>
      <c r="X3402">
        <v>0.99716589999999905</v>
      </c>
      <c r="Y3402">
        <v>-1.017231E-2</v>
      </c>
      <c r="Z3402">
        <v>1.7106099999999999E-4</v>
      </c>
      <c r="AA3402">
        <v>0.99994830000000001</v>
      </c>
      <c r="AB3402">
        <v>25</v>
      </c>
      <c r="AC3402">
        <v>25.4514</v>
      </c>
      <c r="AD3402">
        <v>-1.1044348331578999</v>
      </c>
      <c r="AE3402">
        <v>0.28999999999999199</v>
      </c>
      <c r="AF3402">
        <v>-0.26142604977202299</v>
      </c>
      <c r="AG3402">
        <v>-1.1044348331578999</v>
      </c>
      <c r="AH3402">
        <v>25.403874473181499</v>
      </c>
      <c r="AI3402">
        <v>92.489237934076499</v>
      </c>
      <c r="AJ3402">
        <v>90.589598276001794</v>
      </c>
      <c r="AK3402">
        <v>25.429214658132</v>
      </c>
    </row>
    <row r="3403" spans="1:37" x14ac:dyDescent="0.2">
      <c r="A3403" t="str">
        <f>"20200111155613875"</f>
        <v>20200111155613875</v>
      </c>
      <c r="B3403" t="str">
        <f>"1578729373866407"</f>
        <v>1578729373866407</v>
      </c>
      <c r="C3403" t="s">
        <v>37</v>
      </c>
      <c r="D3403">
        <v>4.6953120000000004</v>
      </c>
      <c r="E3403">
        <v>0.52165189999999995</v>
      </c>
      <c r="F3403" t="s">
        <v>59</v>
      </c>
      <c r="G3403">
        <v>-380.70089999999999</v>
      </c>
      <c r="H3403" s="1">
        <v>-1.150543E-6</v>
      </c>
      <c r="I3403">
        <v>214.31270000000001</v>
      </c>
      <c r="J3403">
        <v>-406.49849999999998</v>
      </c>
      <c r="K3403">
        <v>1.1043969999999901</v>
      </c>
      <c r="L3403">
        <v>214.00710000000001</v>
      </c>
      <c r="M3403">
        <v>0.99993549999999998</v>
      </c>
      <c r="N3403">
        <v>0</v>
      </c>
      <c r="O3403">
        <v>8.4791979999999999E-4</v>
      </c>
      <c r="P3403">
        <v>0.99747830000000004</v>
      </c>
      <c r="Q3403">
        <v>2.6845790000000001E-2</v>
      </c>
      <c r="R3403">
        <v>6.5701220000000005E-2</v>
      </c>
      <c r="S3403">
        <v>3.0086979999999999</v>
      </c>
      <c r="T3403">
        <v>-0.1275762</v>
      </c>
      <c r="U3403">
        <v>3.5308840000000001E-2</v>
      </c>
      <c r="V3403">
        <v>-6.4837839999999994E-2</v>
      </c>
      <c r="W3403">
        <v>3.8177099999999999E-2</v>
      </c>
      <c r="X3403">
        <v>0.99716530000000003</v>
      </c>
      <c r="Y3403">
        <v>-1.087785E-2</v>
      </c>
      <c r="Z3403">
        <v>1.9457360000000001E-4</v>
      </c>
      <c r="AA3403">
        <v>0.99994079999999996</v>
      </c>
      <c r="AB3403">
        <v>25</v>
      </c>
      <c r="AC3403">
        <v>25.7975999999999</v>
      </c>
      <c r="AD3403">
        <v>-1.1043981505429901</v>
      </c>
      <c r="AE3403">
        <v>0.30559999999999798</v>
      </c>
      <c r="AF3403">
        <v>-0.28320523215693799</v>
      </c>
      <c r="AG3403">
        <v>-1.1043981505429901</v>
      </c>
      <c r="AH3403">
        <v>25.750663100361599</v>
      </c>
      <c r="AI3403">
        <v>92.455656331584507</v>
      </c>
      <c r="AJ3403">
        <v>90.630112331321499</v>
      </c>
      <c r="AK3403">
        <v>25.775890878624701</v>
      </c>
    </row>
    <row r="3404" spans="1:37" x14ac:dyDescent="0.2">
      <c r="A3404" t="str">
        <f>"20200111155613897"</f>
        <v>20200111155613897</v>
      </c>
      <c r="B3404" t="str">
        <f>"1578729373885927"</f>
        <v>1578729373885927</v>
      </c>
      <c r="C3404" t="s">
        <v>37</v>
      </c>
      <c r="D3404">
        <v>4.8673120000000001</v>
      </c>
      <c r="E3404">
        <v>0.52138279999999904</v>
      </c>
      <c r="F3404" t="s">
        <v>59</v>
      </c>
      <c r="G3404">
        <v>-380.6728</v>
      </c>
      <c r="H3404" s="1">
        <v>-1.165183E-6</v>
      </c>
      <c r="I3404">
        <v>214.30520000000001</v>
      </c>
      <c r="J3404">
        <v>-406.24610000000001</v>
      </c>
      <c r="K3404">
        <v>1.104368</v>
      </c>
      <c r="L3404">
        <v>214.00700000000001</v>
      </c>
      <c r="M3404">
        <v>0.99993949999999998</v>
      </c>
      <c r="N3404">
        <v>0</v>
      </c>
      <c r="O3404">
        <v>5.8429450000000002E-4</v>
      </c>
      <c r="P3404">
        <v>0.99748429999999999</v>
      </c>
      <c r="Q3404">
        <v>2.7132380000000001E-2</v>
      </c>
      <c r="R3404">
        <v>6.5488400000000002E-2</v>
      </c>
      <c r="S3404">
        <v>3.0087280000000001</v>
      </c>
      <c r="T3404">
        <v>-0.12866349999999999</v>
      </c>
      <c r="U3404">
        <v>3.4729000000000003E-2</v>
      </c>
      <c r="V3404">
        <v>-6.4887429999999996E-2</v>
      </c>
      <c r="W3404">
        <v>3.8114679999999998E-2</v>
      </c>
      <c r="X3404">
        <v>0.99716439999999995</v>
      </c>
      <c r="Y3404">
        <v>-1.094822E-2</v>
      </c>
      <c r="Z3404">
        <v>2.0900129999999999E-4</v>
      </c>
      <c r="AA3404">
        <v>0.99993999999999905</v>
      </c>
      <c r="AB3404">
        <v>25</v>
      </c>
      <c r="AC3404">
        <v>25.5733</v>
      </c>
      <c r="AD3404">
        <v>-1.1043691651830001</v>
      </c>
      <c r="AE3404">
        <v>0.29820000000000801</v>
      </c>
      <c r="AF3404">
        <v>-0.28272951910983701</v>
      </c>
      <c r="AG3404">
        <v>-1.1043691651830001</v>
      </c>
      <c r="AH3404">
        <v>25.525873212389399</v>
      </c>
      <c r="AI3404">
        <v>92.477187817454904</v>
      </c>
      <c r="AJ3404">
        <v>90.634593208699997</v>
      </c>
      <c r="AK3404">
        <v>25.551316414012099</v>
      </c>
    </row>
    <row r="3405" spans="1:37" x14ac:dyDescent="0.2">
      <c r="A3405" t="str">
        <f>"20200111155613920"</f>
        <v>20200111155613920</v>
      </c>
      <c r="B3405" t="str">
        <f>"1578729373916184"</f>
        <v>1578729373916184</v>
      </c>
      <c r="C3405" t="s">
        <v>37</v>
      </c>
      <c r="D3405">
        <v>4.7655289999999999</v>
      </c>
      <c r="E3405">
        <v>0.52120869999999997</v>
      </c>
      <c r="F3405" t="s">
        <v>59</v>
      </c>
      <c r="G3405">
        <v>-380.50810000000001</v>
      </c>
      <c r="H3405" s="1">
        <v>-1.2534079999999999E-6</v>
      </c>
      <c r="I3405">
        <v>214.3194</v>
      </c>
      <c r="J3405">
        <v>-405.9871</v>
      </c>
      <c r="K3405">
        <v>1.1043449999999999</v>
      </c>
      <c r="L3405">
        <v>214.0069</v>
      </c>
      <c r="M3405">
        <v>0.99994309999999997</v>
      </c>
      <c r="N3405">
        <v>0</v>
      </c>
      <c r="O3405">
        <v>3.0688530000000001E-4</v>
      </c>
      <c r="P3405">
        <v>0.99748930000000002</v>
      </c>
      <c r="Q3405">
        <v>2.6882349999999999E-2</v>
      </c>
      <c r="R3405">
        <v>6.5517060000000002E-2</v>
      </c>
      <c r="S3405">
        <v>3.008667</v>
      </c>
      <c r="T3405">
        <v>-0.1290963</v>
      </c>
      <c r="U3405">
        <v>3.6514280000000003E-2</v>
      </c>
      <c r="V3405">
        <v>-6.5192189999999997E-2</v>
      </c>
      <c r="W3405">
        <v>3.7549079999999999E-2</v>
      </c>
      <c r="X3405">
        <v>0.997166</v>
      </c>
      <c r="Y3405">
        <v>-1.1818E-2</v>
      </c>
      <c r="Z3405">
        <v>2.4025629999999999E-4</v>
      </c>
      <c r="AA3405">
        <v>0.99993009999999904</v>
      </c>
      <c r="AB3405">
        <v>26</v>
      </c>
      <c r="AC3405">
        <v>25.4789999999999</v>
      </c>
      <c r="AD3405">
        <v>-1.104346253408</v>
      </c>
      <c r="AE3405">
        <v>0.3125</v>
      </c>
      <c r="AF3405">
        <v>-0.30410918151980998</v>
      </c>
      <c r="AG3405">
        <v>-1.104346253408</v>
      </c>
      <c r="AH3405">
        <v>25.4313253459032</v>
      </c>
      <c r="AI3405">
        <v>92.486309163838897</v>
      </c>
      <c r="AJ3405">
        <v>90.685113415164594</v>
      </c>
      <c r="AK3405">
        <v>25.4571084746654</v>
      </c>
    </row>
    <row r="3406" spans="1:37" x14ac:dyDescent="0.2">
      <c r="A3406" t="str">
        <f>"20200111155613942"</f>
        <v>20200111155613942</v>
      </c>
      <c r="B3406" t="str">
        <f>"1578729373935703"</f>
        <v>1578729373935703</v>
      </c>
      <c r="C3406" t="s">
        <v>37</v>
      </c>
      <c r="D3406">
        <v>4.7226220000000003</v>
      </c>
      <c r="E3406">
        <v>0.52112119999999995</v>
      </c>
      <c r="F3406" t="s">
        <v>59</v>
      </c>
      <c r="G3406">
        <v>-380.63740000000001</v>
      </c>
      <c r="H3406" s="1">
        <v>-1.184882E-6</v>
      </c>
      <c r="I3406">
        <v>214.32550000000001</v>
      </c>
      <c r="J3406">
        <v>-405.72399999999999</v>
      </c>
      <c r="K3406">
        <v>1.1043179999999999</v>
      </c>
      <c r="L3406">
        <v>214.00659999999999</v>
      </c>
      <c r="M3406">
        <v>0.99994620000000001</v>
      </c>
      <c r="N3406">
        <v>0</v>
      </c>
      <c r="O3406" s="1">
        <v>1.6697879999999898E-5</v>
      </c>
      <c r="P3406">
        <v>0.99751909999999899</v>
      </c>
      <c r="Q3406">
        <v>2.6938480000000001E-2</v>
      </c>
      <c r="R3406">
        <v>6.5037689999999995E-2</v>
      </c>
      <c r="S3406">
        <v>3.0086059999999999</v>
      </c>
      <c r="T3406">
        <v>-0.1310685</v>
      </c>
      <c r="U3406">
        <v>3.7811280000000003E-2</v>
      </c>
      <c r="V3406">
        <v>-6.5001580000000003E-2</v>
      </c>
      <c r="W3406">
        <v>3.7328449999999999E-2</v>
      </c>
      <c r="X3406">
        <v>0.99718669999999998</v>
      </c>
      <c r="Y3406">
        <v>-1.253814E-2</v>
      </c>
      <c r="Z3406">
        <v>2.722418E-4</v>
      </c>
      <c r="AA3406">
        <v>0.99992139999999996</v>
      </c>
      <c r="AB3406">
        <v>26</v>
      </c>
      <c r="AC3406">
        <v>25.086599999999901</v>
      </c>
      <c r="AD3406">
        <v>-1.104319184882</v>
      </c>
      <c r="AE3406">
        <v>0.31890000000001301</v>
      </c>
      <c r="AF3406">
        <v>-0.31786522937830902</v>
      </c>
      <c r="AG3406">
        <v>-1.104319184882</v>
      </c>
      <c r="AH3406">
        <v>25.038094712606899</v>
      </c>
      <c r="AI3406">
        <v>92.525222487461093</v>
      </c>
      <c r="AJ3406">
        <v>90.727345989188805</v>
      </c>
      <c r="AK3406">
        <v>25.0644518392807</v>
      </c>
    </row>
    <row r="3407" spans="1:37" x14ac:dyDescent="0.2">
      <c r="A3407" t="str">
        <f>"20200111155613964"</f>
        <v>20200111155613964</v>
      </c>
      <c r="B3407" t="str">
        <f>"1578729373956201"</f>
        <v>1578729373956201</v>
      </c>
      <c r="C3407" t="s">
        <v>37</v>
      </c>
      <c r="D3407">
        <v>4.7428309999999998</v>
      </c>
      <c r="E3407">
        <v>0.52104600000000001</v>
      </c>
      <c r="F3407" t="s">
        <v>59</v>
      </c>
      <c r="G3407">
        <v>-380.38119999999998</v>
      </c>
      <c r="H3407" s="1">
        <v>-1.3210229999999999E-6</v>
      </c>
      <c r="I3407">
        <v>214.3212</v>
      </c>
      <c r="J3407">
        <v>-405.47149999999999</v>
      </c>
      <c r="K3407">
        <v>1.1043080000000001</v>
      </c>
      <c r="L3407">
        <v>214.00630000000001</v>
      </c>
      <c r="M3407">
        <v>0.99994859999999897</v>
      </c>
      <c r="N3407">
        <v>0</v>
      </c>
      <c r="O3407">
        <v>-2.683338E-4</v>
      </c>
      <c r="P3407">
        <v>0.99754259999999995</v>
      </c>
      <c r="Q3407">
        <v>2.6856120000000001E-2</v>
      </c>
      <c r="R3407">
        <v>6.4713069999999998E-2</v>
      </c>
      <c r="S3407">
        <v>3.008575</v>
      </c>
      <c r="T3407">
        <v>-0.1310994</v>
      </c>
      <c r="U3407">
        <v>3.7338259999999998E-2</v>
      </c>
      <c r="V3407">
        <v>-6.4961439999999995E-2</v>
      </c>
      <c r="W3407">
        <v>3.7013959999999999E-2</v>
      </c>
      <c r="X3407">
        <v>0.99720109999999995</v>
      </c>
      <c r="Y3407">
        <v>-1.266571E-2</v>
      </c>
      <c r="Z3407">
        <v>2.8750150000000002E-4</v>
      </c>
      <c r="AA3407">
        <v>0.99991980000000003</v>
      </c>
      <c r="AB3407">
        <v>26</v>
      </c>
      <c r="AC3407">
        <v>25.090299999999999</v>
      </c>
      <c r="AD3407">
        <v>-1.1043093210229999</v>
      </c>
      <c r="AE3407">
        <v>0.31489999999999402</v>
      </c>
      <c r="AF3407">
        <v>-0.32101115188889801</v>
      </c>
      <c r="AG3407">
        <v>-1.1043093210229999</v>
      </c>
      <c r="AH3407">
        <v>25.041711953856499</v>
      </c>
      <c r="AI3407">
        <v>92.524831690006906</v>
      </c>
      <c r="AJ3407">
        <v>90.734437678997494</v>
      </c>
      <c r="AK3407">
        <v>25.068104930689401</v>
      </c>
    </row>
    <row r="3408" spans="1:37" x14ac:dyDescent="0.2">
      <c r="A3408" t="str">
        <f>"20200111155613987"</f>
        <v>20200111155613987</v>
      </c>
      <c r="B3408" t="str">
        <f>"1578729373975719"</f>
        <v>1578729373975719</v>
      </c>
      <c r="C3408" t="s">
        <v>37</v>
      </c>
      <c r="D3408">
        <v>4.7411099999999999</v>
      </c>
      <c r="E3408">
        <v>0.52102289999999996</v>
      </c>
      <c r="F3408" t="s">
        <v>59</v>
      </c>
      <c r="G3408">
        <v>-380.2885</v>
      </c>
      <c r="H3408" s="1">
        <v>-1.370192E-6</v>
      </c>
      <c r="I3408">
        <v>214.31720000000001</v>
      </c>
      <c r="J3408">
        <v>-405.20729999999998</v>
      </c>
      <c r="K3408">
        <v>1.104298</v>
      </c>
      <c r="L3408">
        <v>214.0059</v>
      </c>
      <c r="M3408">
        <v>0.99995049999999996</v>
      </c>
      <c r="N3408">
        <v>0</v>
      </c>
      <c r="O3408">
        <v>-5.7317220000000001E-4</v>
      </c>
      <c r="P3408">
        <v>0.99756710000000004</v>
      </c>
      <c r="Q3408">
        <v>2.6736550000000001E-2</v>
      </c>
      <c r="R3408">
        <v>6.4383109999999993E-2</v>
      </c>
      <c r="S3408">
        <v>3.0085449999999998</v>
      </c>
      <c r="T3408">
        <v>-0.13192879999999901</v>
      </c>
      <c r="U3408">
        <v>3.7139890000000002E-2</v>
      </c>
      <c r="V3408">
        <v>-6.4935129999999994E-2</v>
      </c>
      <c r="W3408">
        <v>3.6683739999999999E-2</v>
      </c>
      <c r="X3408">
        <v>0.99721499999999996</v>
      </c>
      <c r="Y3408">
        <v>-1.290407E-2</v>
      </c>
      <c r="Z3408">
        <v>3.079065E-4</v>
      </c>
      <c r="AA3408">
        <v>0.99991669999999999</v>
      </c>
      <c r="AB3408">
        <v>26</v>
      </c>
      <c r="AC3408">
        <v>24.918799999999901</v>
      </c>
      <c r="AD3408">
        <v>-1.1042993701920001</v>
      </c>
      <c r="AE3408">
        <v>0.31130000000001601</v>
      </c>
      <c r="AF3408">
        <v>-0.324945356311793</v>
      </c>
      <c r="AG3408">
        <v>-1.1042993701920001</v>
      </c>
      <c r="AH3408">
        <v>24.869783319488398</v>
      </c>
      <c r="AI3408">
        <v>92.542232430767996</v>
      </c>
      <c r="AJ3408">
        <v>90.748576611588405</v>
      </c>
      <c r="AK3408">
        <v>24.8964091575853</v>
      </c>
    </row>
    <row r="3409" spans="1:37" x14ac:dyDescent="0.2">
      <c r="A3409" t="str">
        <f>"20200111155614009"</f>
        <v>20200111155614009</v>
      </c>
      <c r="B3409" t="str">
        <f>"1578729374005976"</f>
        <v>1578729374005976</v>
      </c>
      <c r="C3409" t="s">
        <v>37</v>
      </c>
      <c r="D3409">
        <v>4.7525779999999997</v>
      </c>
      <c r="E3409">
        <v>0.5211848</v>
      </c>
      <c r="F3409" t="s">
        <v>59</v>
      </c>
      <c r="G3409">
        <v>-380.19130000000001</v>
      </c>
      <c r="H3409" s="1">
        <v>-1.4214859999999999E-6</v>
      </c>
      <c r="I3409">
        <v>214.30789999999999</v>
      </c>
      <c r="J3409">
        <v>-404.94690000000003</v>
      </c>
      <c r="K3409">
        <v>1.1042860000000001</v>
      </c>
      <c r="L3409">
        <v>214.00550000000001</v>
      </c>
      <c r="M3409">
        <v>0.99995199999999995</v>
      </c>
      <c r="N3409">
        <v>0</v>
      </c>
      <c r="O3409">
        <v>-8.8082179999999903E-4</v>
      </c>
      <c r="P3409">
        <v>0.99758959999999997</v>
      </c>
      <c r="Q3409">
        <v>2.6971640000000002E-2</v>
      </c>
      <c r="R3409">
        <v>6.3932649999999994E-2</v>
      </c>
      <c r="S3409">
        <v>3.0085449999999998</v>
      </c>
      <c r="T3409">
        <v>-0.13280839999999999</v>
      </c>
      <c r="U3409">
        <v>3.6315920000000002E-2</v>
      </c>
      <c r="V3409">
        <v>-6.4791399999999999E-2</v>
      </c>
      <c r="W3409">
        <v>3.6741879999999998E-2</v>
      </c>
      <c r="X3409">
        <v>0.99722219999999995</v>
      </c>
      <c r="Y3409">
        <v>-1.293738E-2</v>
      </c>
      <c r="Z3409">
        <v>3.2426729999999998E-4</v>
      </c>
      <c r="AA3409">
        <v>0.99991629999999998</v>
      </c>
      <c r="AB3409">
        <v>26</v>
      </c>
      <c r="AC3409">
        <v>24.755600000000001</v>
      </c>
      <c r="AD3409">
        <v>-1.1042874214859999</v>
      </c>
      <c r="AE3409">
        <v>0.30239999999997702</v>
      </c>
      <c r="AF3409">
        <v>-0.32356245283686003</v>
      </c>
      <c r="AG3409">
        <v>-1.1042874214859999</v>
      </c>
      <c r="AH3409">
        <v>24.706170124413401</v>
      </c>
      <c r="AI3409">
        <v>92.559017032484107</v>
      </c>
      <c r="AJ3409">
        <v>90.750326864592594</v>
      </c>
      <c r="AK3409">
        <v>24.732953434367602</v>
      </c>
    </row>
    <row r="3410" spans="1:37" x14ac:dyDescent="0.2">
      <c r="A3410" t="str">
        <f>"20200111155614032"</f>
        <v>20200111155614032</v>
      </c>
      <c r="B3410" t="str">
        <f>"1578729374026472"</f>
        <v>1578729374026472</v>
      </c>
      <c r="C3410" t="s">
        <v>37</v>
      </c>
      <c r="D3410">
        <v>4.7521279999999999</v>
      </c>
      <c r="E3410">
        <v>0.52114380000000005</v>
      </c>
      <c r="F3410" t="s">
        <v>59</v>
      </c>
      <c r="G3410">
        <v>-379.98610000000002</v>
      </c>
      <c r="H3410" s="1">
        <v>-1.5296919999999999E-6</v>
      </c>
      <c r="I3410">
        <v>214.2843</v>
      </c>
      <c r="J3410">
        <v>-404.68360000000001</v>
      </c>
      <c r="K3410">
        <v>1.1042749999999999</v>
      </c>
      <c r="L3410">
        <v>214.00489999999999</v>
      </c>
      <c r="M3410">
        <v>0.99995330000000004</v>
      </c>
      <c r="N3410">
        <v>0</v>
      </c>
      <c r="O3410">
        <v>-1.198522E-3</v>
      </c>
      <c r="P3410">
        <v>0.99763239999999997</v>
      </c>
      <c r="Q3410">
        <v>2.6819240000000001E-2</v>
      </c>
      <c r="R3410">
        <v>6.3328090000000004E-2</v>
      </c>
      <c r="S3410">
        <v>3.0087280000000001</v>
      </c>
      <c r="T3410">
        <v>-0.13310859999999999</v>
      </c>
      <c r="U3410">
        <v>3.3615109999999997E-2</v>
      </c>
      <c r="V3410">
        <v>-6.4502989999999996E-2</v>
      </c>
      <c r="W3410">
        <v>3.6440710000000001E-2</v>
      </c>
      <c r="X3410">
        <v>0.99725189999999997</v>
      </c>
      <c r="Y3410">
        <v>-1.235707E-2</v>
      </c>
      <c r="Z3410">
        <v>3.2620000000000001E-4</v>
      </c>
      <c r="AA3410">
        <v>0.99992359999999902</v>
      </c>
      <c r="AB3410">
        <v>26</v>
      </c>
      <c r="AC3410">
        <v>24.697499999999899</v>
      </c>
      <c r="AD3410">
        <v>-1.1042765296920001</v>
      </c>
      <c r="AE3410">
        <v>0.27940000000000897</v>
      </c>
      <c r="AF3410">
        <v>-0.30838522200027302</v>
      </c>
      <c r="AG3410">
        <v>-1.1042765296920001</v>
      </c>
      <c r="AH3410">
        <v>24.6478783874574</v>
      </c>
      <c r="AI3410">
        <v>92.565054894107206</v>
      </c>
      <c r="AJ3410">
        <v>90.716826394164698</v>
      </c>
      <c r="AK3410">
        <v>24.674530129306699</v>
      </c>
    </row>
    <row r="3411" spans="1:37" x14ac:dyDescent="0.2">
      <c r="A3411" t="str">
        <f>"20200111155614054"</f>
        <v>20200111155614054</v>
      </c>
      <c r="B3411" t="str">
        <f>"1578729374045992"</f>
        <v>1578729374045992</v>
      </c>
      <c r="C3411" t="s">
        <v>37</v>
      </c>
      <c r="D3411">
        <v>4.713228</v>
      </c>
      <c r="E3411">
        <v>0.52119399999999905</v>
      </c>
      <c r="F3411" t="s">
        <v>59</v>
      </c>
      <c r="G3411">
        <v>-379.8202</v>
      </c>
      <c r="H3411" s="1">
        <v>3.6890059999999999E-6</v>
      </c>
      <c r="I3411">
        <v>214.26849999999999</v>
      </c>
      <c r="J3411">
        <v>-404.4203</v>
      </c>
      <c r="K3411">
        <v>1.1042639999999999</v>
      </c>
      <c r="L3411">
        <v>214.0042</v>
      </c>
      <c r="M3411">
        <v>0.9999538</v>
      </c>
      <c r="N3411">
        <v>0</v>
      </c>
      <c r="O3411">
        <v>-1.5222160000000001E-3</v>
      </c>
      <c r="P3411">
        <v>0.99767329999999999</v>
      </c>
      <c r="Q3411">
        <v>2.650367E-2</v>
      </c>
      <c r="R3411">
        <v>6.2813480000000005E-2</v>
      </c>
      <c r="S3411">
        <v>3.008667</v>
      </c>
      <c r="T3411">
        <v>-0.1336253</v>
      </c>
      <c r="U3411">
        <v>3.1906129999999998E-2</v>
      </c>
      <c r="V3411">
        <v>-6.4311409999999999E-2</v>
      </c>
      <c r="W3411">
        <v>3.6004699999999903E-2</v>
      </c>
      <c r="X3411">
        <v>0.99728019999999995</v>
      </c>
      <c r="Y3411">
        <v>-1.2112889999999999E-2</v>
      </c>
      <c r="Z3411">
        <v>3.3642239999999999E-4</v>
      </c>
      <c r="AA3411">
        <v>0.9999266</v>
      </c>
      <c r="AB3411">
        <v>26</v>
      </c>
      <c r="AC3411">
        <v>24.600100000000001</v>
      </c>
      <c r="AD3411">
        <v>-1.1042603109939999</v>
      </c>
      <c r="AE3411">
        <v>0.26429999999999099</v>
      </c>
      <c r="AF3411">
        <v>-0.30114132477411198</v>
      </c>
      <c r="AG3411">
        <v>-1.1042603109939999</v>
      </c>
      <c r="AH3411">
        <v>24.5502068677986</v>
      </c>
      <c r="AI3411">
        <v>92.575216141176995</v>
      </c>
      <c r="AJ3411">
        <v>90.702774593589396</v>
      </c>
      <c r="AK3411">
        <v>24.5768739709433</v>
      </c>
    </row>
    <row r="3412" spans="1:37" x14ac:dyDescent="0.2">
      <c r="A3412" t="str">
        <f>"20200111155614076"</f>
        <v>20200111155614076</v>
      </c>
      <c r="B3412" t="str">
        <f>"1578729374066487"</f>
        <v>1578729374066487</v>
      </c>
      <c r="C3412" t="s">
        <v>37</v>
      </c>
      <c r="D3412">
        <v>4.6716040000000003</v>
      </c>
      <c r="E3412">
        <v>0.52103829999999995</v>
      </c>
      <c r="F3412" t="s">
        <v>59</v>
      </c>
      <c r="G3412">
        <v>-379.74189999999999</v>
      </c>
      <c r="H3412" s="1">
        <v>3.6473939999999998E-6</v>
      </c>
      <c r="I3412">
        <v>214.25</v>
      </c>
      <c r="J3412">
        <v>-404.17160000000001</v>
      </c>
      <c r="K3412">
        <v>1.1042620000000001</v>
      </c>
      <c r="L3412">
        <v>214.0035</v>
      </c>
      <c r="M3412">
        <v>0.99995429999999996</v>
      </c>
      <c r="N3412">
        <v>0</v>
      </c>
      <c r="O3412">
        <v>-1.8333170000000001E-3</v>
      </c>
      <c r="P3412">
        <v>0.99770999999999999</v>
      </c>
      <c r="Q3412">
        <v>2.660798E-2</v>
      </c>
      <c r="R3412">
        <v>6.2185070000000002E-2</v>
      </c>
      <c r="S3412">
        <v>3.008667</v>
      </c>
      <c r="T3412">
        <v>-0.1346263</v>
      </c>
      <c r="U3412">
        <v>2.996826E-2</v>
      </c>
      <c r="V3412">
        <v>-6.3992759999999996E-2</v>
      </c>
      <c r="W3412">
        <v>3.6021850000000001E-2</v>
      </c>
      <c r="X3412">
        <v>0.99729999999999996</v>
      </c>
      <c r="Y3412">
        <v>-1.177982E-2</v>
      </c>
      <c r="Z3412">
        <v>3.4540709999999997E-4</v>
      </c>
      <c r="AA3412">
        <v>0.9999306</v>
      </c>
      <c r="AB3412">
        <v>26</v>
      </c>
      <c r="AC3412">
        <v>24.4297</v>
      </c>
      <c r="AD3412">
        <v>-1.1042583526059999</v>
      </c>
      <c r="AE3412">
        <v>0.246499999999997</v>
      </c>
      <c r="AF3412">
        <v>-0.29069506182230198</v>
      </c>
      <c r="AG3412">
        <v>-1.1042583526059999</v>
      </c>
      <c r="AH3412">
        <v>24.379400749164201</v>
      </c>
      <c r="AI3412">
        <v>92.593240122564794</v>
      </c>
      <c r="AJ3412">
        <v>90.683150954316304</v>
      </c>
      <c r="AK3412">
        <v>24.406127734989401</v>
      </c>
    </row>
    <row r="3413" spans="1:37" x14ac:dyDescent="0.2">
      <c r="A3413" t="str">
        <f>"20200111155614097"</f>
        <v>20200111155614097</v>
      </c>
      <c r="B3413" t="str">
        <f>"1578729374086008"</f>
        <v>1578729374086008</v>
      </c>
      <c r="C3413" t="s">
        <v>37</v>
      </c>
      <c r="D3413">
        <v>4.5759119999999998</v>
      </c>
      <c r="E3413">
        <v>0.52158679999999902</v>
      </c>
      <c r="F3413" t="s">
        <v>59</v>
      </c>
      <c r="G3413">
        <v>-379.2783</v>
      </c>
      <c r="H3413" s="1">
        <v>3.40066199999999E-6</v>
      </c>
      <c r="I3413">
        <v>214.24459999999999</v>
      </c>
      <c r="J3413">
        <v>-403.92099999999999</v>
      </c>
      <c r="K3413">
        <v>1.1042609999999999</v>
      </c>
      <c r="L3413">
        <v>214.0027</v>
      </c>
      <c r="M3413">
        <v>0.99995429999999996</v>
      </c>
      <c r="N3413">
        <v>0</v>
      </c>
      <c r="O3413">
        <v>-2.149541E-3</v>
      </c>
      <c r="P3413">
        <v>0.99768969999999901</v>
      </c>
      <c r="Q3413">
        <v>2.74075999999999E-2</v>
      </c>
      <c r="R3413">
        <v>6.2164829999999997E-2</v>
      </c>
      <c r="S3413">
        <v>3.0086059999999999</v>
      </c>
      <c r="T3413">
        <v>-0.13346079999999999</v>
      </c>
      <c r="U3413">
        <v>2.914429E-2</v>
      </c>
      <c r="V3413">
        <v>-6.4287769999999994E-2</v>
      </c>
      <c r="W3413">
        <v>3.6757599999999897E-2</v>
      </c>
      <c r="X3413">
        <v>0.99725419999999998</v>
      </c>
      <c r="Y3413">
        <v>-1.1822289999999999E-2</v>
      </c>
      <c r="Z3413">
        <v>3.573898E-4</v>
      </c>
      <c r="AA3413">
        <v>0.99992999999999899</v>
      </c>
      <c r="AB3413">
        <v>26</v>
      </c>
      <c r="AC3413">
        <v>24.642699999999898</v>
      </c>
      <c r="AD3413">
        <v>-1.1042575993379999</v>
      </c>
      <c r="AE3413">
        <v>0.24189999999998599</v>
      </c>
      <c r="AF3413">
        <v>-0.29428137282035699</v>
      </c>
      <c r="AG3413">
        <v>-1.1042575993379999</v>
      </c>
      <c r="AH3413">
        <v>24.592745534887801</v>
      </c>
      <c r="AI3413">
        <v>92.570770739676803</v>
      </c>
      <c r="AJ3413">
        <v>90.685579246120994</v>
      </c>
      <c r="AK3413">
        <v>24.619283485021001</v>
      </c>
    </row>
    <row r="3414" spans="1:37" x14ac:dyDescent="0.2">
      <c r="A3414" t="str">
        <f>"20200111155614123"</f>
        <v>20200111155614123</v>
      </c>
      <c r="B3414" t="str">
        <f>"1578729374116264"</f>
        <v>1578729374116264</v>
      </c>
      <c r="C3414" t="s">
        <v>37</v>
      </c>
      <c r="D3414">
        <v>4.5960260000000002</v>
      </c>
      <c r="E3414">
        <v>0.52094689999999999</v>
      </c>
      <c r="F3414" t="s">
        <v>59</v>
      </c>
      <c r="G3414">
        <v>-343.47800000000001</v>
      </c>
      <c r="H3414" s="1">
        <v>3.1402569999999998E-7</v>
      </c>
      <c r="I3414">
        <v>214.42500000000001</v>
      </c>
      <c r="J3414">
        <v>-403.63069999999999</v>
      </c>
      <c r="K3414">
        <v>1.1042590000000001</v>
      </c>
      <c r="L3414">
        <v>214.0017</v>
      </c>
      <c r="M3414">
        <v>0.99995369999999995</v>
      </c>
      <c r="N3414">
        <v>0</v>
      </c>
      <c r="O3414">
        <v>-2.5183129999999999E-3</v>
      </c>
      <c r="P3414">
        <v>0.99764779999999997</v>
      </c>
      <c r="Q3414">
        <v>2.7959919999999999E-2</v>
      </c>
      <c r="R3414">
        <v>6.2589599999999995E-2</v>
      </c>
      <c r="S3414">
        <v>3.0071720000000002</v>
      </c>
      <c r="T3414">
        <v>-5.4939389999999998E-2</v>
      </c>
      <c r="U3414">
        <v>2.1011350000000002E-2</v>
      </c>
      <c r="V3414">
        <v>-6.5079230000000002E-2</v>
      </c>
      <c r="W3414">
        <v>3.7268419999999997E-2</v>
      </c>
      <c r="X3414">
        <v>0.99718390000000001</v>
      </c>
      <c r="Y3414">
        <v>-9.5032429999999998E-3</v>
      </c>
      <c r="Z3414">
        <v>1.3280709999999901E-4</v>
      </c>
      <c r="AA3414">
        <v>0.99995480000000003</v>
      </c>
      <c r="AB3414">
        <v>26</v>
      </c>
      <c r="AC3414">
        <v>60.152699999999903</v>
      </c>
      <c r="AD3414">
        <v>-1.1042586859743</v>
      </c>
      <c r="AE3414">
        <v>0.423300000000011</v>
      </c>
      <c r="AF3414">
        <v>-0.57459488805070602</v>
      </c>
      <c r="AG3414">
        <v>-1.1042586859743</v>
      </c>
      <c r="AH3414">
        <v>60.131179920184202</v>
      </c>
      <c r="AI3414">
        <v>91.052022659784399</v>
      </c>
      <c r="AJ3414">
        <v>90.547484018586502</v>
      </c>
      <c r="AK3414">
        <v>60.144063257519399</v>
      </c>
    </row>
    <row r="3415" spans="1:37" x14ac:dyDescent="0.2">
      <c r="A3415" t="str">
        <f>"20200111155614144"</f>
        <v>20200111155614144</v>
      </c>
      <c r="B3415" t="str">
        <f>"1578729374135784"</f>
        <v>1578729374135784</v>
      </c>
      <c r="C3415" t="s">
        <v>37</v>
      </c>
      <c r="D3415">
        <v>4.5610599999999897</v>
      </c>
      <c r="E3415">
        <v>0.52058769999999999</v>
      </c>
      <c r="F3415" t="s">
        <v>59</v>
      </c>
      <c r="G3415">
        <v>-366.68400000000003</v>
      </c>
      <c r="H3415" s="1">
        <v>2.0201029999999998E-6</v>
      </c>
      <c r="I3415">
        <v>214.3612</v>
      </c>
      <c r="J3415">
        <v>-403.37540000000001</v>
      </c>
      <c r="K3415">
        <v>1.1042609999999999</v>
      </c>
      <c r="L3415">
        <v>214.00069999999999</v>
      </c>
      <c r="M3415">
        <v>0.99995299999999998</v>
      </c>
      <c r="N3415">
        <v>0</v>
      </c>
      <c r="O3415">
        <v>-2.84379599999999E-3</v>
      </c>
      <c r="P3415">
        <v>0.99757680000000004</v>
      </c>
      <c r="Q3415">
        <v>2.824548E-2</v>
      </c>
      <c r="R3415">
        <v>6.3583239999999999E-2</v>
      </c>
      <c r="S3415">
        <v>3.0076900000000002</v>
      </c>
      <c r="T3415">
        <v>-8.9893459999999994E-2</v>
      </c>
      <c r="U3415">
        <v>2.9266360000000002E-2</v>
      </c>
      <c r="V3415">
        <v>-6.6397059999999994E-2</v>
      </c>
      <c r="W3415">
        <v>3.7534779999999997E-2</v>
      </c>
      <c r="X3415">
        <v>0.997087099999999</v>
      </c>
      <c r="Y3415">
        <v>-1.2566910000000001E-2</v>
      </c>
      <c r="Z3415">
        <v>2.7273059999999999E-4</v>
      </c>
      <c r="AA3415">
        <v>0.99992099999999995</v>
      </c>
      <c r="AB3415">
        <v>26</v>
      </c>
      <c r="AC3415">
        <v>36.691399999999902</v>
      </c>
      <c r="AD3415">
        <v>-1.1042589798969999</v>
      </c>
      <c r="AE3415">
        <v>0.36050000000000099</v>
      </c>
      <c r="AF3415">
        <v>-0.46442526368815401</v>
      </c>
      <c r="AG3415">
        <v>-1.1042589798969999</v>
      </c>
      <c r="AH3415">
        <v>36.6570271121196</v>
      </c>
      <c r="AI3415">
        <v>91.725322090950499</v>
      </c>
      <c r="AJ3415">
        <v>90.7258685711776</v>
      </c>
      <c r="AK3415">
        <v>36.676596289990002</v>
      </c>
    </row>
    <row r="3416" spans="1:37" x14ac:dyDescent="0.2">
      <c r="A3416" t="str">
        <f>"20200111155614165"</f>
        <v>20200111155614165</v>
      </c>
      <c r="B3416" t="str">
        <f>"1578729374156279"</f>
        <v>1578729374156279</v>
      </c>
      <c r="C3416" t="s">
        <v>37</v>
      </c>
      <c r="D3416">
        <v>4.5353019999999997</v>
      </c>
      <c r="E3416">
        <v>0.52085039999999905</v>
      </c>
      <c r="F3416" t="s">
        <v>59</v>
      </c>
      <c r="G3416">
        <v>-367.92</v>
      </c>
      <c r="H3416" s="1">
        <v>2.6778399999999998E-6</v>
      </c>
      <c r="I3416">
        <v>214.41329999999999</v>
      </c>
      <c r="J3416">
        <v>-403.12450000000001</v>
      </c>
      <c r="K3416">
        <v>1.1042639999999999</v>
      </c>
      <c r="L3416">
        <v>213.99959999999999</v>
      </c>
      <c r="M3416">
        <v>0.99995210000000001</v>
      </c>
      <c r="N3416">
        <v>0</v>
      </c>
      <c r="O3416">
        <v>-3.164203E-3</v>
      </c>
      <c r="P3416">
        <v>0.99745849999999903</v>
      </c>
      <c r="Q3416">
        <v>2.9508400000000001E-2</v>
      </c>
      <c r="R3416">
        <v>6.4852679999999996E-2</v>
      </c>
      <c r="S3416">
        <v>3.0077509999999998</v>
      </c>
      <c r="T3416">
        <v>-9.3676330000000002E-2</v>
      </c>
      <c r="U3416">
        <v>3.5003659999999999E-2</v>
      </c>
      <c r="V3416">
        <v>-6.7984559999999999E-2</v>
      </c>
      <c r="W3416">
        <v>3.8791289999999999E-2</v>
      </c>
      <c r="X3416">
        <v>0.99693199999999904</v>
      </c>
      <c r="Y3416">
        <v>-1.4792390000000001E-2</v>
      </c>
      <c r="Z3416">
        <v>3.2881699999999899E-4</v>
      </c>
      <c r="AA3416">
        <v>0.99989050000000002</v>
      </c>
      <c r="AB3416">
        <v>26</v>
      </c>
      <c r="AC3416">
        <v>35.204500000000003</v>
      </c>
      <c r="AD3416">
        <v>-1.1042613221599999</v>
      </c>
      <c r="AE3416">
        <v>0.41370000000000501</v>
      </c>
      <c r="AF3416">
        <v>-0.52458083208515405</v>
      </c>
      <c r="AG3416">
        <v>-1.1042613221599999</v>
      </c>
      <c r="AH3416">
        <v>35.168417519082197</v>
      </c>
      <c r="AI3416">
        <v>91.798252717038295</v>
      </c>
      <c r="AJ3416">
        <v>90.854574672163807</v>
      </c>
      <c r="AK3416">
        <v>35.1896599715527</v>
      </c>
    </row>
    <row r="3417" spans="1:37" x14ac:dyDescent="0.2">
      <c r="A3417" t="str">
        <f>"20200111155614188"</f>
        <v>20200111155614188</v>
      </c>
      <c r="B3417" t="str">
        <f>"1578729374175799"</f>
        <v>1578729374175799</v>
      </c>
      <c r="C3417" t="s">
        <v>37</v>
      </c>
      <c r="D3417">
        <v>4.6199719999999997</v>
      </c>
      <c r="E3417">
        <v>0.52061650000000004</v>
      </c>
      <c r="F3417" t="s">
        <v>59</v>
      </c>
      <c r="G3417">
        <v>-368.06439999999998</v>
      </c>
      <c r="H3417" s="1">
        <v>2.7546580000000002E-6</v>
      </c>
      <c r="I3417">
        <v>214.42619999999999</v>
      </c>
      <c r="J3417">
        <v>-402.85829999999999</v>
      </c>
      <c r="K3417">
        <v>1.1042749999999999</v>
      </c>
      <c r="L3417">
        <v>213.9984</v>
      </c>
      <c r="M3417">
        <v>0.99995089999999998</v>
      </c>
      <c r="N3417">
        <v>0</v>
      </c>
      <c r="O3417">
        <v>-3.5038539999999998E-3</v>
      </c>
      <c r="P3417">
        <v>0.99736080000000005</v>
      </c>
      <c r="Q3417">
        <v>3.0645929999999998E-2</v>
      </c>
      <c r="R3417">
        <v>6.582085E-2</v>
      </c>
      <c r="S3417">
        <v>3.008057</v>
      </c>
      <c r="T3417">
        <v>-9.4742300000000002E-2</v>
      </c>
      <c r="U3417">
        <v>3.6605829999999999E-2</v>
      </c>
      <c r="V3417">
        <v>-6.9290560000000001E-2</v>
      </c>
      <c r="W3417">
        <v>3.99329E-2</v>
      </c>
      <c r="X3417">
        <v>0.99679699999999904</v>
      </c>
      <c r="Y3417">
        <v>-1.5662530000000001E-2</v>
      </c>
      <c r="Z3417">
        <v>3.5691649999999999E-4</v>
      </c>
      <c r="AA3417">
        <v>0.99987729999999997</v>
      </c>
      <c r="AB3417">
        <v>26</v>
      </c>
      <c r="AC3417">
        <v>34.793900000000001</v>
      </c>
      <c r="AD3417">
        <v>-1.104272245342</v>
      </c>
      <c r="AE3417">
        <v>0.42779999999999002</v>
      </c>
      <c r="AF3417">
        <v>-0.54916228582255899</v>
      </c>
      <c r="AG3417">
        <v>-1.104272245342</v>
      </c>
      <c r="AH3417">
        <v>34.757182794362897</v>
      </c>
      <c r="AI3417">
        <v>91.819508104492499</v>
      </c>
      <c r="AJ3417">
        <v>90.905196015283806</v>
      </c>
      <c r="AK3417">
        <v>34.779056229414302</v>
      </c>
    </row>
    <row r="3418" spans="1:37" x14ac:dyDescent="0.2">
      <c r="A3418" t="str">
        <f>"20200111155614210"</f>
        <v>20200111155614210</v>
      </c>
      <c r="B3418" t="str">
        <f>"1578729374206056"</f>
        <v>1578729374206056</v>
      </c>
      <c r="C3418" t="s">
        <v>37</v>
      </c>
      <c r="D3418">
        <v>4.5364599999999999</v>
      </c>
      <c r="E3418">
        <v>0.52056930000000001</v>
      </c>
      <c r="F3418" t="s">
        <v>59</v>
      </c>
      <c r="G3418">
        <v>-366.98079999999999</v>
      </c>
      <c r="H3418" s="1">
        <v>2.1780569999999998E-6</v>
      </c>
      <c r="I3418">
        <v>214.48519999999999</v>
      </c>
      <c r="J3418">
        <v>-402.59660000000002</v>
      </c>
      <c r="K3418">
        <v>1.1042879999999999</v>
      </c>
      <c r="L3418">
        <v>213.99709999999999</v>
      </c>
      <c r="M3418">
        <v>0.99994959999999899</v>
      </c>
      <c r="N3418">
        <v>0</v>
      </c>
      <c r="O3418">
        <v>-3.8366339999999998E-3</v>
      </c>
      <c r="P3418">
        <v>0.99714239999999998</v>
      </c>
      <c r="Q3418">
        <v>3.3188450000000001E-2</v>
      </c>
      <c r="R3418">
        <v>6.7865259999999997E-2</v>
      </c>
      <c r="S3418">
        <v>3.0080259999999899</v>
      </c>
      <c r="T3418">
        <v>-9.2583890000000002E-2</v>
      </c>
      <c r="U3418">
        <v>4.0817260000000001E-2</v>
      </c>
      <c r="V3418">
        <v>-7.1664569999999997E-2</v>
      </c>
      <c r="W3418">
        <v>4.2488949999999998E-2</v>
      </c>
      <c r="X3418">
        <v>0.99652339999999995</v>
      </c>
      <c r="Y3418">
        <v>-1.7394489999999999E-2</v>
      </c>
      <c r="Z3418">
        <v>3.8567629999999999E-4</v>
      </c>
      <c r="AA3418">
        <v>0.99984859999999898</v>
      </c>
      <c r="AB3418">
        <v>26</v>
      </c>
      <c r="AC3418">
        <v>35.6158</v>
      </c>
      <c r="AD3418">
        <v>-1.1042858219429901</v>
      </c>
      <c r="AE3418">
        <v>0.48810000000000198</v>
      </c>
      <c r="AF3418">
        <v>-0.62414717219094396</v>
      </c>
      <c r="AG3418">
        <v>-1.1042858219429901</v>
      </c>
      <c r="AH3418">
        <v>35.579467519312097</v>
      </c>
      <c r="AI3418">
        <v>91.777454611335699</v>
      </c>
      <c r="AJ3418">
        <v>91.004999052630495</v>
      </c>
      <c r="AK3418">
        <v>35.602071791215799</v>
      </c>
    </row>
    <row r="3419" spans="1:37" x14ac:dyDescent="0.2">
      <c r="A3419" t="str">
        <f>"20200111155614234"</f>
        <v>20200111155614234</v>
      </c>
      <c r="B3419" t="str">
        <f>"1578729374226552"</f>
        <v>1578729374226552</v>
      </c>
      <c r="C3419" t="s">
        <v>37</v>
      </c>
      <c r="D3419">
        <v>4.5884599999999898</v>
      </c>
      <c r="E3419">
        <v>0.5209104</v>
      </c>
      <c r="F3419" t="s">
        <v>59</v>
      </c>
      <c r="G3419">
        <v>-364.46600000000001</v>
      </c>
      <c r="H3419" s="1">
        <v>8.3979929999999999E-7</v>
      </c>
      <c r="I3419">
        <v>214.59049999999999</v>
      </c>
      <c r="J3419">
        <v>-402.31990000000002</v>
      </c>
      <c r="K3419">
        <v>1.1043019999999999</v>
      </c>
      <c r="L3419">
        <v>213.9956</v>
      </c>
      <c r="M3419">
        <v>0.99994799999999995</v>
      </c>
      <c r="N3419">
        <v>0</v>
      </c>
      <c r="O3419">
        <v>-4.1771709999999899E-3</v>
      </c>
      <c r="P3419">
        <v>0.99683869999999897</v>
      </c>
      <c r="Q3419">
        <v>3.3187979999999999E-2</v>
      </c>
      <c r="R3419">
        <v>7.2189790000000004E-2</v>
      </c>
      <c r="S3419">
        <v>3.00827</v>
      </c>
      <c r="T3419">
        <v>-8.7121489999999996E-2</v>
      </c>
      <c r="U3419">
        <v>4.6813960000000002E-2</v>
      </c>
      <c r="V3419">
        <v>-7.6327569999999997E-2</v>
      </c>
      <c r="W3419">
        <v>4.2514679999999999E-2</v>
      </c>
      <c r="X3419">
        <v>0.99617599999999995</v>
      </c>
      <c r="Y3419">
        <v>-1.9726560000000001E-2</v>
      </c>
      <c r="Z3419">
        <v>4.065168E-4</v>
      </c>
      <c r="AA3419">
        <v>0.99980530000000001</v>
      </c>
      <c r="AB3419">
        <v>26</v>
      </c>
      <c r="AC3419">
        <v>37.853900000000003</v>
      </c>
      <c r="AD3419">
        <v>-1.1043011602007</v>
      </c>
      <c r="AE3419">
        <v>0.59489999999999499</v>
      </c>
      <c r="AF3419">
        <v>-0.75238370961842105</v>
      </c>
      <c r="AG3419">
        <v>-1.1043011602007</v>
      </c>
      <c r="AH3419">
        <v>37.818906873166497</v>
      </c>
      <c r="AI3419">
        <v>91.672214275900402</v>
      </c>
      <c r="AJ3419">
        <v>91.139713672578395</v>
      </c>
      <c r="AK3419">
        <v>37.842506251306297</v>
      </c>
    </row>
    <row r="3420" spans="1:37" x14ac:dyDescent="0.2">
      <c r="A3420" t="str">
        <f>"20200111155614255"</f>
        <v>20200111155614255</v>
      </c>
      <c r="B3420" t="str">
        <f>"1578729374246072"</f>
        <v>1578729374246072</v>
      </c>
      <c r="C3420" t="s">
        <v>37</v>
      </c>
      <c r="D3420">
        <v>4.3175919999999897</v>
      </c>
      <c r="E3420">
        <v>0.56718000000000002</v>
      </c>
      <c r="F3420" t="s">
        <v>59</v>
      </c>
      <c r="G3420">
        <v>-353.4135</v>
      </c>
      <c r="H3420" s="1">
        <v>2.6696990000000002E-7</v>
      </c>
      <c r="I3420">
        <v>214.90690000000001</v>
      </c>
      <c r="J3420">
        <v>-402.05939999999998</v>
      </c>
      <c r="K3420">
        <v>1.1043149999999999</v>
      </c>
      <c r="L3420">
        <v>213.99420000000001</v>
      </c>
      <c r="M3420">
        <v>0.99994649999999996</v>
      </c>
      <c r="N3420">
        <v>0</v>
      </c>
      <c r="O3420">
        <v>-4.4630039999999996E-3</v>
      </c>
      <c r="P3420">
        <v>0.99668749999999995</v>
      </c>
      <c r="Q3420">
        <v>3.0883529999999999E-2</v>
      </c>
      <c r="R3420">
        <v>7.5236289999999997E-2</v>
      </c>
      <c r="S3420">
        <v>3.0076900000000002</v>
      </c>
      <c r="T3420">
        <v>-6.7913290000000001E-2</v>
      </c>
      <c r="U3420">
        <v>5.6045530000000003E-2</v>
      </c>
      <c r="V3420">
        <v>-7.9661640000000006E-2</v>
      </c>
      <c r="W3420">
        <v>4.0244500000000002E-2</v>
      </c>
      <c r="X3420">
        <v>0.99600919999999904</v>
      </c>
      <c r="Y3420">
        <v>-2.3086059999999999E-2</v>
      </c>
      <c r="Z3420">
        <v>3.6134220000000002E-4</v>
      </c>
      <c r="AA3420">
        <v>0.99973339999999999</v>
      </c>
      <c r="AB3420">
        <v>26</v>
      </c>
      <c r="AC3420">
        <v>48.645899999999898</v>
      </c>
      <c r="AD3420">
        <v>-1.1043147330301</v>
      </c>
      <c r="AE3420">
        <v>0.91270000000000095</v>
      </c>
      <c r="AF3420">
        <v>-1.12922547952672</v>
      </c>
      <c r="AG3420">
        <v>-1.1043147330301</v>
      </c>
      <c r="AH3420">
        <v>48.616296848750402</v>
      </c>
      <c r="AI3420">
        <v>91.300893865166103</v>
      </c>
      <c r="AJ3420">
        <v>91.330587204262997</v>
      </c>
      <c r="AK3420">
        <v>48.641946717817802</v>
      </c>
    </row>
    <row r="3421" spans="1:37" x14ac:dyDescent="0.2">
      <c r="A3421" t="str">
        <f>"20200111155614277"</f>
        <v>20200111155614277</v>
      </c>
      <c r="B3421" t="str">
        <f>"1578729374266570"</f>
        <v>1578729374266570</v>
      </c>
      <c r="C3421" t="s">
        <v>37</v>
      </c>
      <c r="D3421">
        <v>4.4163370000000004</v>
      </c>
      <c r="E3421">
        <v>0.56600709999999999</v>
      </c>
      <c r="F3421" t="s">
        <v>70</v>
      </c>
      <c r="G3421">
        <v>-259.48379999999997</v>
      </c>
      <c r="H3421">
        <v>0.30085089999999998</v>
      </c>
      <c r="I3421">
        <v>199.66159999999999</v>
      </c>
      <c r="J3421">
        <v>-401.80720000000002</v>
      </c>
      <c r="K3421">
        <v>1.104349</v>
      </c>
      <c r="L3421">
        <v>213.99279999999999</v>
      </c>
      <c r="M3421">
        <v>0.99994499999999997</v>
      </c>
      <c r="N3421">
        <v>0</v>
      </c>
      <c r="O3421">
        <v>-4.67326799999999E-3</v>
      </c>
      <c r="P3421">
        <v>0.99669769999999902</v>
      </c>
      <c r="Q3421">
        <v>2.8848559999999999E-2</v>
      </c>
      <c r="R3421">
        <v>7.5904189999999996E-2</v>
      </c>
      <c r="S3421">
        <v>3.0335079999999999</v>
      </c>
      <c r="T3421">
        <v>-1.7094970000000001E-2</v>
      </c>
      <c r="U3421">
        <v>-0.30494690000000002</v>
      </c>
      <c r="V3421">
        <v>-8.0543699999999996E-2</v>
      </c>
      <c r="W3421">
        <v>3.8249529999999997E-2</v>
      </c>
      <c r="X3421">
        <v>0.99601689999999998</v>
      </c>
      <c r="Y3421">
        <v>9.5369469999999998E-2</v>
      </c>
      <c r="Z3421">
        <v>-2.417752E-4</v>
      </c>
      <c r="AA3421">
        <v>0.99544189999999999</v>
      </c>
      <c r="AB3421">
        <v>26</v>
      </c>
      <c r="AC3421">
        <v>142.32339999999999</v>
      </c>
      <c r="AD3421">
        <v>-0.80349809999999999</v>
      </c>
      <c r="AE3421">
        <v>-14.3311999999999</v>
      </c>
      <c r="AF3421">
        <v>13.6654676007714</v>
      </c>
      <c r="AG3421">
        <v>-0.80349809999999999</v>
      </c>
      <c r="AH3421">
        <v>142.38432961168201</v>
      </c>
      <c r="AI3421">
        <v>90.321847140355601</v>
      </c>
      <c r="AJ3421">
        <v>84.517776413642295</v>
      </c>
      <c r="AK3421">
        <v>143.04086106044201</v>
      </c>
    </row>
    <row r="3422" spans="1:37" x14ac:dyDescent="0.2">
      <c r="A3422" t="str">
        <f>"20200111155614323"</f>
        <v>20200111155614323</v>
      </c>
      <c r="B3422" t="str">
        <f>"1578729374316343"</f>
        <v>1578729374316343</v>
      </c>
      <c r="C3422" t="s">
        <v>37</v>
      </c>
      <c r="D3422">
        <v>4.5136649999999996</v>
      </c>
      <c r="E3422">
        <v>0.56161119999999898</v>
      </c>
      <c r="F3422" t="s">
        <v>61</v>
      </c>
      <c r="G3422">
        <v>-292.79160000000002</v>
      </c>
      <c r="H3422" s="1">
        <v>2.7060029999999999E-6</v>
      </c>
      <c r="I3422">
        <v>203.47450000000001</v>
      </c>
      <c r="J3422">
        <v>-401.26249999999999</v>
      </c>
      <c r="K3422">
        <v>1.1045240000000001</v>
      </c>
      <c r="L3422">
        <v>213.98990000000001</v>
      </c>
      <c r="M3422">
        <v>0.99994329999999998</v>
      </c>
      <c r="N3422">
        <v>0</v>
      </c>
      <c r="O3422">
        <v>-4.8053419999999998E-3</v>
      </c>
      <c r="P3422">
        <v>0.9967454</v>
      </c>
      <c r="Q3422">
        <v>3.2488639999999999E-2</v>
      </c>
      <c r="R3422">
        <v>7.3780509999999994E-2</v>
      </c>
      <c r="S3422">
        <v>3.033112</v>
      </c>
      <c r="T3422">
        <v>-3.072596E-2</v>
      </c>
      <c r="U3422">
        <v>-0.29264829999999997</v>
      </c>
      <c r="V3422">
        <v>-7.8566449999999996E-2</v>
      </c>
      <c r="W3422">
        <v>4.1983489999999998E-2</v>
      </c>
      <c r="X3422">
        <v>0.99602440000000003</v>
      </c>
      <c r="Y3422">
        <v>9.1249689999999994E-2</v>
      </c>
      <c r="Z3422">
        <v>-4.1254110000000003E-4</v>
      </c>
      <c r="AA3422">
        <v>0.99582800000000005</v>
      </c>
      <c r="AB3422">
        <v>27</v>
      </c>
      <c r="AC3422">
        <v>108.47089999999901</v>
      </c>
      <c r="AD3422">
        <v>-1.1045212939969999</v>
      </c>
      <c r="AE3422">
        <v>-10.5154</v>
      </c>
      <c r="AF3422">
        <v>9.9929887825242592</v>
      </c>
      <c r="AG3422">
        <v>-1.1045212939969999</v>
      </c>
      <c r="AH3422">
        <v>108.50903372752801</v>
      </c>
      <c r="AI3422">
        <v>90.580740408999503</v>
      </c>
      <c r="AJ3422">
        <v>84.738266583381005</v>
      </c>
      <c r="AK3422">
        <v>108.973805075249</v>
      </c>
    </row>
    <row r="3423" spans="1:37" x14ac:dyDescent="0.2">
      <c r="A3423" t="str">
        <f>"20200111155614345"</f>
        <v>20200111155614345</v>
      </c>
      <c r="B3423" t="str">
        <f>"1578729374335864"</f>
        <v>1578729374335864</v>
      </c>
      <c r="C3423" t="s">
        <v>37</v>
      </c>
      <c r="D3423">
        <v>4.5041320000000002</v>
      </c>
      <c r="E3423">
        <v>0.55928469999999997</v>
      </c>
      <c r="F3423" t="s">
        <v>59</v>
      </c>
      <c r="G3423">
        <v>-321.69749999999999</v>
      </c>
      <c r="H3423">
        <v>8.0000959999999996E-2</v>
      </c>
      <c r="I3423">
        <v>207.0917</v>
      </c>
      <c r="J3423">
        <v>-400.99110000000002</v>
      </c>
      <c r="K3423">
        <v>1.104627</v>
      </c>
      <c r="L3423">
        <v>213.98869999999999</v>
      </c>
      <c r="M3423">
        <v>0.99994300000000003</v>
      </c>
      <c r="N3423">
        <v>0</v>
      </c>
      <c r="O3423">
        <v>-4.6880940000000003E-3</v>
      </c>
      <c r="P3423">
        <v>0.99689689999999997</v>
      </c>
      <c r="Q3423">
        <v>3.4210400000000002E-2</v>
      </c>
      <c r="R3423">
        <v>7.0897070000000006E-2</v>
      </c>
      <c r="S3423">
        <v>3.0304869999999999</v>
      </c>
      <c r="T3423">
        <v>-3.9022210000000002E-2</v>
      </c>
      <c r="U3423">
        <v>-0.26274109999999901</v>
      </c>
      <c r="V3423">
        <v>-7.5577259999999993E-2</v>
      </c>
      <c r="W3423">
        <v>4.3757119999999997E-2</v>
      </c>
      <c r="X3423">
        <v>0.99617939999999905</v>
      </c>
      <c r="Y3423">
        <v>8.1697199999999998E-2</v>
      </c>
      <c r="Z3423">
        <v>-4.6473199999999998E-4</v>
      </c>
      <c r="AA3423">
        <v>0.99665709999999996</v>
      </c>
      <c r="AB3423">
        <v>27</v>
      </c>
      <c r="AC3423">
        <v>79.293599999999998</v>
      </c>
      <c r="AD3423">
        <v>-1.02462604</v>
      </c>
      <c r="AE3423">
        <v>-6.8969999999999896</v>
      </c>
      <c r="AF3423">
        <v>6.5240900580774603</v>
      </c>
      <c r="AG3423">
        <v>-1.02462604</v>
      </c>
      <c r="AH3423">
        <v>79.311920060418799</v>
      </c>
      <c r="AI3423">
        <v>90.737668411103499</v>
      </c>
      <c r="AJ3423">
        <v>85.297514905914795</v>
      </c>
      <c r="AK3423">
        <v>79.586395026273195</v>
      </c>
    </row>
    <row r="3424" spans="1:37" x14ac:dyDescent="0.2">
      <c r="A3424" t="str">
        <f>"20200111155614367"</f>
        <v>20200111155614367</v>
      </c>
      <c r="B3424" t="str">
        <f>"1578729374356360"</f>
        <v>1578729374356360</v>
      </c>
      <c r="C3424" t="s">
        <v>37</v>
      </c>
      <c r="D3424">
        <v>4.5392650000000003</v>
      </c>
      <c r="E3424">
        <v>0.55827749999999998</v>
      </c>
      <c r="F3424" t="s">
        <v>59</v>
      </c>
      <c r="G3424">
        <v>-333.84519999999998</v>
      </c>
      <c r="H3424">
        <v>8.000061E-2</v>
      </c>
      <c r="I3424">
        <v>208.39400000000001</v>
      </c>
      <c r="J3424">
        <v>-400.74099999999999</v>
      </c>
      <c r="K3424">
        <v>1.104719</v>
      </c>
      <c r="L3424">
        <v>213.98769999999999</v>
      </c>
      <c r="M3424">
        <v>0.99994349999999999</v>
      </c>
      <c r="N3424">
        <v>0</v>
      </c>
      <c r="O3424">
        <v>-4.4513080000000002E-3</v>
      </c>
      <c r="P3424">
        <v>0.99716399999999905</v>
      </c>
      <c r="Q3424">
        <v>3.3689280000000002E-2</v>
      </c>
      <c r="R3424">
        <v>6.7300159999999998E-2</v>
      </c>
      <c r="S3424">
        <v>3.0288390000000001</v>
      </c>
      <c r="T3424">
        <v>-4.621923E-2</v>
      </c>
      <c r="U3424">
        <v>-0.25236510000000001</v>
      </c>
      <c r="V3424">
        <v>-7.1755250000000007E-2</v>
      </c>
      <c r="W3424">
        <v>4.3286449999999997E-2</v>
      </c>
      <c r="X3424">
        <v>0.996482599999999</v>
      </c>
      <c r="Y3424">
        <v>7.8587480000000001E-2</v>
      </c>
      <c r="Z3424">
        <v>-5.3073550000000001E-4</v>
      </c>
      <c r="AA3424">
        <v>0.99690710000000005</v>
      </c>
      <c r="AB3424">
        <v>27</v>
      </c>
      <c r="AC3424">
        <v>66.895799999999994</v>
      </c>
      <c r="AD3424">
        <v>-1.0247183900000001</v>
      </c>
      <c r="AE3424">
        <v>-5.5936999999999797</v>
      </c>
      <c r="AF3424">
        <v>5.2946231622482802</v>
      </c>
      <c r="AG3424">
        <v>-1.0247183900000001</v>
      </c>
      <c r="AH3424">
        <v>66.904447842780201</v>
      </c>
      <c r="AI3424">
        <v>90.874747569258105</v>
      </c>
      <c r="AJ3424">
        <v>85.475208914386201</v>
      </c>
      <c r="AK3424">
        <v>67.121443841415697</v>
      </c>
    </row>
    <row r="3425" spans="1:37" x14ac:dyDescent="0.2">
      <c r="A3425" t="str">
        <f>"20200111155614389"</f>
        <v>20200111155614389</v>
      </c>
      <c r="B3425" t="str">
        <f>"1578729374386615"</f>
        <v>1578729374386615</v>
      </c>
      <c r="C3425" t="s">
        <v>37</v>
      </c>
      <c r="D3425">
        <v>4.5024230000000003</v>
      </c>
      <c r="E3425">
        <v>0.55674599999999996</v>
      </c>
      <c r="F3425" t="s">
        <v>59</v>
      </c>
      <c r="G3425">
        <v>-343.33080000000001</v>
      </c>
      <c r="H3425">
        <v>8.0000479999999999E-2</v>
      </c>
      <c r="I3425">
        <v>209.15099999999899</v>
      </c>
      <c r="J3425">
        <v>-400.4744</v>
      </c>
      <c r="K3425">
        <v>1.104824</v>
      </c>
      <c r="L3425">
        <v>213.98689999999999</v>
      </c>
      <c r="M3425">
        <v>0.99994450000000001</v>
      </c>
      <c r="N3425">
        <v>0</v>
      </c>
      <c r="O3425">
        <v>-4.0329440000000001E-3</v>
      </c>
      <c r="P3425">
        <v>0.99738839999999995</v>
      </c>
      <c r="Q3425">
        <v>3.2463220000000001E-2</v>
      </c>
      <c r="R3425">
        <v>6.4519599999999996E-2</v>
      </c>
      <c r="S3425">
        <v>3.0275880000000002</v>
      </c>
      <c r="T3425">
        <v>-5.4039599999999903E-2</v>
      </c>
      <c r="U3425">
        <v>-0.25506590000000001</v>
      </c>
      <c r="V3425">
        <v>-6.8569039999999998E-2</v>
      </c>
      <c r="W3425">
        <v>4.2114029999999997E-2</v>
      </c>
      <c r="X3425">
        <v>0.99675709999999995</v>
      </c>
      <c r="Y3425">
        <v>7.9918260000000005E-2</v>
      </c>
      <c r="Z3425">
        <v>-6.4006399999999998E-4</v>
      </c>
      <c r="AA3425">
        <v>0.99680119999999905</v>
      </c>
      <c r="AB3425">
        <v>27</v>
      </c>
      <c r="AC3425">
        <v>57.1435999999999</v>
      </c>
      <c r="AD3425">
        <v>-1.02482352</v>
      </c>
      <c r="AE3425">
        <v>-4.8358999999999996</v>
      </c>
      <c r="AF3425">
        <v>4.6039225617139898</v>
      </c>
      <c r="AG3425">
        <v>-1.02482352</v>
      </c>
      <c r="AH3425">
        <v>57.1443901541572</v>
      </c>
      <c r="AI3425">
        <v>91.024110742745407</v>
      </c>
      <c r="AJ3425">
        <v>85.393829491269599</v>
      </c>
      <c r="AK3425">
        <v>57.338710242661897</v>
      </c>
    </row>
    <row r="3426" spans="1:37" x14ac:dyDescent="0.2">
      <c r="A3426" t="str">
        <f>"20200111155614411"</f>
        <v>20200111155614411</v>
      </c>
      <c r="B3426" t="str">
        <f>"1578729374406136"</f>
        <v>1578729374406136</v>
      </c>
      <c r="C3426" t="s">
        <v>37</v>
      </c>
      <c r="D3426">
        <v>4.4989840000000001</v>
      </c>
      <c r="E3426">
        <v>0.55606290000000003</v>
      </c>
      <c r="F3426" t="s">
        <v>59</v>
      </c>
      <c r="G3426">
        <v>-349.05520000000001</v>
      </c>
      <c r="H3426" s="1">
        <v>3.2819199999999898E-6</v>
      </c>
      <c r="I3426">
        <v>209.7192</v>
      </c>
      <c r="J3426">
        <v>-400.21109999999999</v>
      </c>
      <c r="K3426">
        <v>1.1049389999999999</v>
      </c>
      <c r="L3426">
        <v>213.9864</v>
      </c>
      <c r="M3426">
        <v>0.99994620000000001</v>
      </c>
      <c r="N3426">
        <v>0</v>
      </c>
      <c r="O3426">
        <v>-3.4456970000000002E-3</v>
      </c>
      <c r="P3426">
        <v>0.99755159999999998</v>
      </c>
      <c r="Q3426">
        <v>3.1272370000000001E-2</v>
      </c>
      <c r="R3426">
        <v>6.2554849999999995E-2</v>
      </c>
      <c r="S3426">
        <v>3.0262449999999999</v>
      </c>
      <c r="T3426">
        <v>-6.5023540000000005E-2</v>
      </c>
      <c r="U3426">
        <v>-0.25117489999999998</v>
      </c>
      <c r="V3426">
        <v>-6.6030580000000005E-2</v>
      </c>
      <c r="W3426">
        <v>4.0976319999999997E-2</v>
      </c>
      <c r="X3426">
        <v>0.99697590000000003</v>
      </c>
      <c r="Y3426">
        <v>7.9262550000000001E-2</v>
      </c>
      <c r="Z3426">
        <v>-7.7607860000000002E-4</v>
      </c>
      <c r="AA3426">
        <v>0.99685349999999995</v>
      </c>
      <c r="AB3426">
        <v>27</v>
      </c>
      <c r="AC3426">
        <v>51.155899999999903</v>
      </c>
      <c r="AD3426">
        <v>-1.1049357180799999</v>
      </c>
      <c r="AE3426">
        <v>-4.2671999999999999</v>
      </c>
      <c r="AF3426">
        <v>4.0890040231929099</v>
      </c>
      <c r="AG3426">
        <v>-1.1049357180799999</v>
      </c>
      <c r="AH3426">
        <v>51.146603765628399</v>
      </c>
      <c r="AI3426">
        <v>91.233650811496801</v>
      </c>
      <c r="AJ3426">
        <v>85.429111153967099</v>
      </c>
      <c r="AK3426">
        <v>51.321690478792398</v>
      </c>
    </row>
    <row r="3427" spans="1:37" x14ac:dyDescent="0.2">
      <c r="A3427" t="str">
        <f>"20200111155614434"</f>
        <v>20200111155614434</v>
      </c>
      <c r="B3427" t="str">
        <f>"1578729374426632"</f>
        <v>1578729374426632</v>
      </c>
      <c r="C3427" t="s">
        <v>37</v>
      </c>
      <c r="D3427">
        <v>4.5402610000000001</v>
      </c>
      <c r="E3427">
        <v>0.5554249</v>
      </c>
      <c r="F3427" t="s">
        <v>59</v>
      </c>
      <c r="G3427">
        <v>-354.861999999999</v>
      </c>
      <c r="H3427" s="1">
        <v>1.242815E-6</v>
      </c>
      <c r="I3427">
        <v>210.2176</v>
      </c>
      <c r="J3427">
        <v>-399.92970000000003</v>
      </c>
      <c r="K3427">
        <v>1.1050690000000001</v>
      </c>
      <c r="L3427">
        <v>213.9862</v>
      </c>
      <c r="M3427">
        <v>0.999947899999999</v>
      </c>
      <c r="N3427">
        <v>0</v>
      </c>
      <c r="O3427">
        <v>-2.6362540000000002E-3</v>
      </c>
      <c r="P3427">
        <v>0.99768760000000001</v>
      </c>
      <c r="Q3427">
        <v>3.0451269999999999E-2</v>
      </c>
      <c r="R3427">
        <v>6.0762620000000003E-2</v>
      </c>
      <c r="S3427">
        <v>3.025452</v>
      </c>
      <c r="T3427">
        <v>-7.371569E-2</v>
      </c>
      <c r="U3427">
        <v>-0.2514343</v>
      </c>
      <c r="V3427">
        <v>-6.3443799999999995E-2</v>
      </c>
      <c r="W3427">
        <v>4.0213060000000002E-2</v>
      </c>
      <c r="X3427">
        <v>0.99717489999999998</v>
      </c>
      <c r="Y3427">
        <v>8.0170389999999994E-2</v>
      </c>
      <c r="Z3427">
        <v>-9.1074449999999996E-4</v>
      </c>
      <c r="AA3427">
        <v>0.99678080000000002</v>
      </c>
      <c r="AB3427">
        <v>27</v>
      </c>
      <c r="AC3427">
        <v>45.067700000000002</v>
      </c>
      <c r="AD3427">
        <v>-1.1050677571850001</v>
      </c>
      <c r="AE3427">
        <v>-3.76859999999999</v>
      </c>
      <c r="AF3427">
        <v>3.6475933750137401</v>
      </c>
      <c r="AG3427">
        <v>-1.1050677571850001</v>
      </c>
      <c r="AH3427">
        <v>45.050580772534502</v>
      </c>
      <c r="AI3427">
        <v>91.4005729934849</v>
      </c>
      <c r="AJ3427">
        <v>85.371051784806298</v>
      </c>
      <c r="AK3427">
        <v>45.211513357994001</v>
      </c>
    </row>
    <row r="3428" spans="1:37" x14ac:dyDescent="0.2">
      <c r="A3428" t="str">
        <f>"20200111155614457"</f>
        <v>20200111155614457</v>
      </c>
      <c r="B3428" t="str">
        <f>"1578729374446151"</f>
        <v>1578729374446151</v>
      </c>
      <c r="C3428" t="s">
        <v>37</v>
      </c>
      <c r="D3428">
        <v>4.5593320000000004</v>
      </c>
      <c r="E3428">
        <v>0.55467580000000005</v>
      </c>
      <c r="F3428" t="s">
        <v>59</v>
      </c>
      <c r="G3428">
        <v>-357.98360000000002</v>
      </c>
      <c r="H3428" s="1">
        <v>2.8918349999999999E-6</v>
      </c>
      <c r="I3428">
        <v>210.49510000000001</v>
      </c>
      <c r="J3428">
        <v>-399.661</v>
      </c>
      <c r="K3428">
        <v>1.1052040000000001</v>
      </c>
      <c r="L3428">
        <v>213.98650000000001</v>
      </c>
      <c r="M3428">
        <v>0.99994930000000004</v>
      </c>
      <c r="N3428">
        <v>0</v>
      </c>
      <c r="O3428">
        <v>-1.693373E-3</v>
      </c>
      <c r="P3428">
        <v>0.99773780000000001</v>
      </c>
      <c r="Q3428">
        <v>3.049489E-2</v>
      </c>
      <c r="R3428">
        <v>5.9911840000000001E-2</v>
      </c>
      <c r="S3428">
        <v>3.024689</v>
      </c>
      <c r="T3428">
        <v>-7.9685210000000006E-2</v>
      </c>
      <c r="U3428">
        <v>-0.2517395</v>
      </c>
      <c r="V3428">
        <v>-6.1665129999999999E-2</v>
      </c>
      <c r="W3428">
        <v>4.0309780000000003E-2</v>
      </c>
      <c r="X3428">
        <v>0.99728259999999902</v>
      </c>
      <c r="Y3428">
        <v>8.1226300000000001E-2</v>
      </c>
      <c r="Z3428">
        <v>-1.023391E-3</v>
      </c>
      <c r="AA3428">
        <v>0.996695199999999</v>
      </c>
      <c r="AB3428">
        <v>27</v>
      </c>
      <c r="AC3428">
        <v>41.677399999999899</v>
      </c>
      <c r="AD3428">
        <v>-1.1052011081649999</v>
      </c>
      <c r="AE3428">
        <v>-3.4913999999999898</v>
      </c>
      <c r="AF3428">
        <v>3.4184290314780799</v>
      </c>
      <c r="AG3428">
        <v>-1.1052011081649999</v>
      </c>
      <c r="AH3428">
        <v>41.6541655202317</v>
      </c>
      <c r="AI3428">
        <v>91.514770107096396</v>
      </c>
      <c r="AJ3428">
        <v>85.308425600597005</v>
      </c>
      <c r="AK3428">
        <v>41.8088104556874</v>
      </c>
    </row>
    <row r="3429" spans="1:37" x14ac:dyDescent="0.2">
      <c r="A3429" t="str">
        <f>"20200111155614480"</f>
        <v>20200111155614480</v>
      </c>
      <c r="B3429" t="str">
        <f>"1578729374476408"</f>
        <v>1578729374476408</v>
      </c>
      <c r="C3429" t="s">
        <v>37</v>
      </c>
      <c r="D3429">
        <v>4.565321</v>
      </c>
      <c r="E3429">
        <v>0.54449449999999999</v>
      </c>
      <c r="F3429" t="s">
        <v>59</v>
      </c>
      <c r="G3429">
        <v>-359.51830000000001</v>
      </c>
      <c r="H3429" s="1">
        <v>3.6998819999999999E-6</v>
      </c>
      <c r="I3429">
        <v>210.69280000000001</v>
      </c>
      <c r="J3429">
        <v>-399.39429999999999</v>
      </c>
      <c r="K3429">
        <v>1.1053249999999999</v>
      </c>
      <c r="L3429">
        <v>213.9872</v>
      </c>
      <c r="M3429">
        <v>0.9999498</v>
      </c>
      <c r="N3429">
        <v>0</v>
      </c>
      <c r="O3429">
        <v>-5.9549620000000001E-4</v>
      </c>
      <c r="P3429">
        <v>0.99773519999999905</v>
      </c>
      <c r="Q3429">
        <v>3.068537E-2</v>
      </c>
      <c r="R3429">
        <v>5.9856300000000001E-2</v>
      </c>
      <c r="S3429">
        <v>3.024292</v>
      </c>
      <c r="T3429">
        <v>-8.3264229999999995E-2</v>
      </c>
      <c r="U3429">
        <v>-0.24813840000000001</v>
      </c>
      <c r="V3429">
        <v>-6.052652E-2</v>
      </c>
      <c r="W3429">
        <v>4.0549910000000002E-2</v>
      </c>
      <c r="X3429">
        <v>0.99734259999999997</v>
      </c>
      <c r="Y3429">
        <v>8.1149789999999999E-2</v>
      </c>
      <c r="Z3429">
        <v>-1.098651E-3</v>
      </c>
      <c r="AA3429">
        <v>0.99670130000000001</v>
      </c>
      <c r="AB3429">
        <v>27</v>
      </c>
      <c r="AC3429">
        <v>39.875999999999898</v>
      </c>
      <c r="AD3429">
        <v>-1.10532130011799</v>
      </c>
      <c r="AE3429">
        <v>-3.2943999999999898</v>
      </c>
      <c r="AF3429">
        <v>3.2681581849772501</v>
      </c>
      <c r="AG3429">
        <v>-1.10532130011799</v>
      </c>
      <c r="AH3429">
        <v>39.847545887767403</v>
      </c>
      <c r="AI3429">
        <v>91.583591598043498</v>
      </c>
      <c r="AJ3429">
        <v>85.311292320037296</v>
      </c>
      <c r="AK3429">
        <v>39.996618686787201</v>
      </c>
    </row>
    <row r="3430" spans="1:37" x14ac:dyDescent="0.2">
      <c r="A3430" t="str">
        <f>"20200111155614500"</f>
        <v>20200111155614500</v>
      </c>
      <c r="B3430" t="str">
        <f>"1578729374495928"</f>
        <v>1578729374495928</v>
      </c>
      <c r="C3430" t="s">
        <v>37</v>
      </c>
      <c r="D3430">
        <v>4.5887659999999997</v>
      </c>
      <c r="E3430">
        <v>0.54550889999999996</v>
      </c>
      <c r="F3430" t="s">
        <v>59</v>
      </c>
      <c r="G3430">
        <v>-363.03960000000001</v>
      </c>
      <c r="H3430" s="1">
        <v>8.0738569999999995E-8</v>
      </c>
      <c r="I3430">
        <v>211.98159999999999</v>
      </c>
      <c r="J3430">
        <v>-399.14260000000002</v>
      </c>
      <c r="K3430">
        <v>1.1054299999999999</v>
      </c>
      <c r="L3430">
        <v>213.98820000000001</v>
      </c>
      <c r="M3430">
        <v>0.99994939999999999</v>
      </c>
      <c r="N3430">
        <v>0</v>
      </c>
      <c r="O3430">
        <v>5.7998769999999895E-4</v>
      </c>
      <c r="P3430">
        <v>0.99773409999999996</v>
      </c>
      <c r="Q3430">
        <v>3.076924E-2</v>
      </c>
      <c r="R3430">
        <v>5.9836E-2</v>
      </c>
      <c r="S3430">
        <v>3.0196230000000002</v>
      </c>
      <c r="T3430">
        <v>-9.1808199999999895E-2</v>
      </c>
      <c r="U3430">
        <v>-0.16658020000000001</v>
      </c>
      <c r="V3430">
        <v>-5.934391E-2</v>
      </c>
      <c r="W3430">
        <v>4.0677600000000001E-2</v>
      </c>
      <c r="X3430">
        <v>0.99740839999999997</v>
      </c>
      <c r="Y3430">
        <v>5.5635370000000003E-2</v>
      </c>
      <c r="Z3430">
        <v>-8.6254530000000004E-4</v>
      </c>
      <c r="AA3430">
        <v>0.99845079999999997</v>
      </c>
      <c r="AB3430">
        <v>27</v>
      </c>
      <c r="AC3430">
        <v>36.103000000000002</v>
      </c>
      <c r="AD3430">
        <v>-1.1054299192614201</v>
      </c>
      <c r="AE3430">
        <v>-2.0066000000000201</v>
      </c>
      <c r="AF3430">
        <v>2.0256467989756999</v>
      </c>
      <c r="AG3430">
        <v>-1.1054299192614201</v>
      </c>
      <c r="AH3430">
        <v>36.068119981306197</v>
      </c>
      <c r="AI3430">
        <v>91.752713811692701</v>
      </c>
      <c r="AJ3430">
        <v>86.785548601990101</v>
      </c>
      <c r="AK3430">
        <v>36.141866294458303</v>
      </c>
    </row>
    <row r="3431" spans="1:37" x14ac:dyDescent="0.2">
      <c r="A3431" t="str">
        <f>"20200111155614524"</f>
        <v>20200111155614524</v>
      </c>
      <c r="B3431" t="str">
        <f>"1578729374516425"</f>
        <v>1578729374516425</v>
      </c>
      <c r="C3431" t="s">
        <v>37</v>
      </c>
      <c r="D3431">
        <v>4.6032799999999998</v>
      </c>
      <c r="E3431">
        <v>0.54583029999999999</v>
      </c>
      <c r="F3431" t="s">
        <v>59</v>
      </c>
      <c r="G3431">
        <v>-365.7962</v>
      </c>
      <c r="H3431" s="1">
        <v>1.547662E-6</v>
      </c>
      <c r="I3431">
        <v>212.06700000000001</v>
      </c>
      <c r="J3431">
        <v>-398.86360000000002</v>
      </c>
      <c r="K3431">
        <v>1.105518</v>
      </c>
      <c r="L3431">
        <v>213.98990000000001</v>
      </c>
      <c r="M3431">
        <v>0.99994680000000002</v>
      </c>
      <c r="N3431">
        <v>0</v>
      </c>
      <c r="O3431">
        <v>2.0004810000000001E-3</v>
      </c>
      <c r="P3431">
        <v>0.99774830000000003</v>
      </c>
      <c r="Q3431">
        <v>3.0843889999999999E-2</v>
      </c>
      <c r="R3431">
        <v>5.9558170000000001E-2</v>
      </c>
      <c r="S3431">
        <v>3.0202939999999998</v>
      </c>
      <c r="T3431">
        <v>-0.1001225</v>
      </c>
      <c r="U3431">
        <v>-0.1740112</v>
      </c>
      <c r="V3431">
        <v>-5.7658010000000003E-2</v>
      </c>
      <c r="W3431">
        <v>4.0800509999999998E-2</v>
      </c>
      <c r="X3431">
        <v>0.99750229999999995</v>
      </c>
      <c r="Y3431">
        <v>5.9482109999999998E-2</v>
      </c>
      <c r="Z3431">
        <v>-1.051073E-3</v>
      </c>
      <c r="AA3431">
        <v>0.99822880000000003</v>
      </c>
      <c r="AB3431">
        <v>27</v>
      </c>
      <c r="AC3431">
        <v>33.067399999999999</v>
      </c>
      <c r="AD3431">
        <v>-1.1055164523380001</v>
      </c>
      <c r="AE3431">
        <v>-1.9228999999999901</v>
      </c>
      <c r="AF3431">
        <v>1.98683701482896</v>
      </c>
      <c r="AG3431">
        <v>-1.1055164523380001</v>
      </c>
      <c r="AH3431">
        <v>33.026696940801898</v>
      </c>
      <c r="AI3431">
        <v>91.913712582323598</v>
      </c>
      <c r="AJ3431">
        <v>86.557320110916194</v>
      </c>
      <c r="AK3431">
        <v>33.104869713826901</v>
      </c>
    </row>
    <row r="3432" spans="1:37" x14ac:dyDescent="0.2">
      <c r="A3432" t="str">
        <f>"20200111155614545"</f>
        <v>20200111155614545</v>
      </c>
      <c r="B3432" t="str">
        <f>"1578729374535944"</f>
        <v>1578729374535944</v>
      </c>
      <c r="C3432" t="s">
        <v>37</v>
      </c>
      <c r="D3432">
        <v>4.6347509999999996</v>
      </c>
      <c r="E3432">
        <v>0.5457978</v>
      </c>
      <c r="F3432" t="s">
        <v>59</v>
      </c>
      <c r="G3432">
        <v>-366.36840000000001</v>
      </c>
      <c r="H3432" s="1">
        <v>1.8521490000000001E-6</v>
      </c>
      <c r="I3432">
        <v>212.08699999999999</v>
      </c>
      <c r="J3432">
        <v>-398.60079999999999</v>
      </c>
      <c r="K3432">
        <v>1.1055870000000001</v>
      </c>
      <c r="L3432">
        <v>213.99199999999999</v>
      </c>
      <c r="M3432">
        <v>0.99994249999999996</v>
      </c>
      <c r="N3432">
        <v>0</v>
      </c>
      <c r="O3432">
        <v>3.432409E-3</v>
      </c>
      <c r="P3432">
        <v>0.99780769999999996</v>
      </c>
      <c r="Q3432">
        <v>3.1033680000000001E-2</v>
      </c>
      <c r="R3432">
        <v>5.845529E-2</v>
      </c>
      <c r="S3432">
        <v>3.0204770000000001</v>
      </c>
      <c r="T3432">
        <v>-0.1027594</v>
      </c>
      <c r="U3432">
        <v>-0.17687990000000001</v>
      </c>
      <c r="V3432">
        <v>-5.5133040000000001E-2</v>
      </c>
      <c r="W3432">
        <v>4.1036360000000001E-2</v>
      </c>
      <c r="X3432">
        <v>0.99763539999999995</v>
      </c>
      <c r="Y3432">
        <v>6.1848819999999999E-2</v>
      </c>
      <c r="Z3432">
        <v>-1.1675209999999999E-3</v>
      </c>
      <c r="AA3432">
        <v>0.99808479999999999</v>
      </c>
      <c r="AB3432">
        <v>27</v>
      </c>
      <c r="AC3432">
        <v>32.232399999999899</v>
      </c>
      <c r="AD3432">
        <v>-1.1055851478509999</v>
      </c>
      <c r="AE3432">
        <v>-1.905</v>
      </c>
      <c r="AF3432">
        <v>2.01326886196376</v>
      </c>
      <c r="AG3432">
        <v>-1.1055851478509999</v>
      </c>
      <c r="AH3432">
        <v>32.187933122947499</v>
      </c>
      <c r="AI3432">
        <v>91.963377644492795</v>
      </c>
      <c r="AJ3432">
        <v>86.420965107966794</v>
      </c>
      <c r="AK3432">
        <v>32.269778566904399</v>
      </c>
    </row>
    <row r="3433" spans="1:37" x14ac:dyDescent="0.2">
      <c r="A3433" t="str">
        <f>"20200111155614578"</f>
        <v>20200111155614578</v>
      </c>
      <c r="B3433" t="str">
        <f>"1578729374575960"</f>
        <v>1578729374575960</v>
      </c>
      <c r="C3433" t="s">
        <v>37</v>
      </c>
      <c r="D3433">
        <v>4.9254110000000004</v>
      </c>
      <c r="E3433">
        <v>0.54594929999999997</v>
      </c>
      <c r="F3433" t="s">
        <v>59</v>
      </c>
      <c r="G3433">
        <v>-366.74360000000001</v>
      </c>
      <c r="H3433" s="1">
        <v>2.051823E-6</v>
      </c>
      <c r="I3433">
        <v>212.10140000000001</v>
      </c>
      <c r="J3433">
        <v>-398.20179999999999</v>
      </c>
      <c r="K3433">
        <v>1.1056779999999999</v>
      </c>
      <c r="L3433">
        <v>213.99599999999899</v>
      </c>
      <c r="M3433">
        <v>0.99993129999999997</v>
      </c>
      <c r="N3433">
        <v>0</v>
      </c>
      <c r="O3433">
        <v>5.7547299999999996E-3</v>
      </c>
      <c r="P3433">
        <v>0.99783199999999905</v>
      </c>
      <c r="Q3433">
        <v>3.3054779999999999E-2</v>
      </c>
      <c r="R3433">
        <v>5.6911549999999998E-2</v>
      </c>
      <c r="S3433">
        <v>3.0203549999999999</v>
      </c>
      <c r="T3433">
        <v>-0.1048198</v>
      </c>
      <c r="U3433">
        <v>-0.17924499999999999</v>
      </c>
      <c r="V3433">
        <v>-5.1284870000000003E-2</v>
      </c>
      <c r="W3433">
        <v>4.3120659999999998E-2</v>
      </c>
      <c r="X3433">
        <v>0.99775270000000005</v>
      </c>
      <c r="Y3433">
        <v>6.4942959999999994E-2</v>
      </c>
      <c r="Z3433">
        <v>-1.3250739999999899E-3</v>
      </c>
      <c r="AA3433">
        <v>0.99788809999999994</v>
      </c>
      <c r="AB3433">
        <v>27</v>
      </c>
      <c r="AC3433">
        <v>31.458199999999898</v>
      </c>
      <c r="AD3433">
        <v>-1.105675948177</v>
      </c>
      <c r="AE3433">
        <v>-1.8945999999999601</v>
      </c>
      <c r="AF3433">
        <v>2.0730598246969398</v>
      </c>
      <c r="AG3433">
        <v>-1.105675948177</v>
      </c>
      <c r="AH3433">
        <v>31.408115952462499</v>
      </c>
      <c r="AI3433">
        <v>92.011806123464893</v>
      </c>
      <c r="AJ3433">
        <v>86.223729479011993</v>
      </c>
      <c r="AK3433">
        <v>31.495870269330201</v>
      </c>
    </row>
    <row r="3434" spans="1:37" x14ac:dyDescent="0.2">
      <c r="A3434" t="str">
        <f>"20200111155614601"</f>
        <v>20200111155614601</v>
      </c>
      <c r="B3434" t="str">
        <f>"1578729374596456"</f>
        <v>1578729374596456</v>
      </c>
      <c r="C3434" t="s">
        <v>37</v>
      </c>
      <c r="D3434">
        <v>5.018516</v>
      </c>
      <c r="E3434">
        <v>0.54590680000000003</v>
      </c>
      <c r="F3434" t="s">
        <v>59</v>
      </c>
      <c r="G3434">
        <v>-365.14830000000001</v>
      </c>
      <c r="H3434" s="1">
        <v>1.202886E-6</v>
      </c>
      <c r="I3434">
        <v>211.9813</v>
      </c>
      <c r="J3434">
        <v>-397.9341</v>
      </c>
      <c r="K3434">
        <v>1.105731</v>
      </c>
      <c r="L3434">
        <v>213.99930000000001</v>
      </c>
      <c r="M3434">
        <v>0.99992000000000003</v>
      </c>
      <c r="N3434">
        <v>0</v>
      </c>
      <c r="O3434">
        <v>7.4049290000000002E-3</v>
      </c>
      <c r="P3434">
        <v>0.99783069999999896</v>
      </c>
      <c r="Q3434">
        <v>3.4633810000000001E-2</v>
      </c>
      <c r="R3434">
        <v>5.5988389999999999E-2</v>
      </c>
      <c r="S3434">
        <v>3.0203549999999999</v>
      </c>
      <c r="T3434">
        <v>-0.1010342</v>
      </c>
      <c r="U3434">
        <v>-0.18409729999999999</v>
      </c>
      <c r="V3434">
        <v>-4.8724000000000003E-2</v>
      </c>
      <c r="W3434">
        <v>4.4737970000000002E-2</v>
      </c>
      <c r="X3434">
        <v>0.99780979999999997</v>
      </c>
      <c r="Y3434">
        <v>6.81871E-2</v>
      </c>
      <c r="Z3434">
        <v>-1.3865209999999999E-3</v>
      </c>
      <c r="AA3434">
        <v>0.99767159999999999</v>
      </c>
      <c r="AB3434">
        <v>27</v>
      </c>
      <c r="AC3434">
        <v>32.785799999999902</v>
      </c>
      <c r="AD3434">
        <v>-1.1057297971140001</v>
      </c>
      <c r="AE3434">
        <v>-2.0179999999999998</v>
      </c>
      <c r="AF3434">
        <v>2.2581751220086401</v>
      </c>
      <c r="AG3434">
        <v>-1.1057297971140001</v>
      </c>
      <c r="AH3434">
        <v>32.732866113234003</v>
      </c>
      <c r="AI3434">
        <v>91.930155302211105</v>
      </c>
      <c r="AJ3434">
        <v>86.053531434281695</v>
      </c>
      <c r="AK3434">
        <v>32.829293584431397</v>
      </c>
    </row>
    <row r="3435" spans="1:37" x14ac:dyDescent="0.2">
      <c r="A3435" t="str">
        <f>"20200111155614623"</f>
        <v>20200111155614623</v>
      </c>
      <c r="B3435" t="str">
        <f>"1578729374615976"</f>
        <v>1578729374615976</v>
      </c>
      <c r="C3435" t="s">
        <v>37</v>
      </c>
      <c r="D3435">
        <v>4.6155039999999996</v>
      </c>
      <c r="E3435">
        <v>0.54554740000000002</v>
      </c>
      <c r="F3435" t="s">
        <v>59</v>
      </c>
      <c r="G3435">
        <v>-362.94920000000002</v>
      </c>
      <c r="H3435" s="1">
        <v>3.2625169999999997E-8</v>
      </c>
      <c r="I3435">
        <v>211.83930000000001</v>
      </c>
      <c r="J3435">
        <v>-397.65559999999999</v>
      </c>
      <c r="K3435">
        <v>1.1057809999999999</v>
      </c>
      <c r="L3435">
        <v>214.0033</v>
      </c>
      <c r="M3435">
        <v>0.99990499999999904</v>
      </c>
      <c r="N3435">
        <v>0</v>
      </c>
      <c r="O3435">
        <v>9.1664180000000008E-3</v>
      </c>
      <c r="P3435">
        <v>0.99780939999999996</v>
      </c>
      <c r="Q3435">
        <v>3.5435319999999999E-2</v>
      </c>
      <c r="R3435">
        <v>5.586435E-2</v>
      </c>
      <c r="S3435">
        <v>3.0202939999999998</v>
      </c>
      <c r="T3435">
        <v>-9.5459219999999997E-2</v>
      </c>
      <c r="U3435">
        <v>-0.1864777</v>
      </c>
      <c r="V3435">
        <v>-4.6848939999999999E-2</v>
      </c>
      <c r="W3435">
        <v>4.5574429999999999E-2</v>
      </c>
      <c r="X3435">
        <v>0.99786180000000002</v>
      </c>
      <c r="Y3435">
        <v>7.0731370000000002E-2</v>
      </c>
      <c r="Z3435">
        <v>-1.4058229999999901E-3</v>
      </c>
      <c r="AA3435">
        <v>0.9974944</v>
      </c>
      <c r="AB3435">
        <v>27</v>
      </c>
      <c r="AC3435">
        <v>34.706399999999903</v>
      </c>
      <c r="AD3435">
        <v>-1.10578096737483</v>
      </c>
      <c r="AE3435">
        <v>-2.1639999999999802</v>
      </c>
      <c r="AF3435">
        <v>2.4795519973120199</v>
      </c>
      <c r="AG3435">
        <v>-1.10578096737483</v>
      </c>
      <c r="AH3435">
        <v>34.650066667680001</v>
      </c>
      <c r="AI3435">
        <v>91.823189957950902</v>
      </c>
      <c r="AJ3435">
        <v>85.906902355649095</v>
      </c>
      <c r="AK3435">
        <v>34.7562663375952</v>
      </c>
    </row>
    <row r="3436" spans="1:37" x14ac:dyDescent="0.2">
      <c r="A3436" t="str">
        <f>"20200111155614645"</f>
        <v>20200111155614645</v>
      </c>
      <c r="B3436" t="str">
        <f>"1578729374636471"</f>
        <v>1578729374636471</v>
      </c>
      <c r="C3436" t="s">
        <v>37</v>
      </c>
      <c r="D3436">
        <v>4.749682</v>
      </c>
      <c r="E3436">
        <v>0.5100055</v>
      </c>
      <c r="F3436" t="s">
        <v>59</v>
      </c>
      <c r="G3436">
        <v>-361.76620000000003</v>
      </c>
      <c r="H3436" s="1">
        <v>-5.9691149999999995E-7</v>
      </c>
      <c r="I3436">
        <v>211.81620000000001</v>
      </c>
      <c r="J3436">
        <v>-397.39710000000002</v>
      </c>
      <c r="K3436">
        <v>1.105812</v>
      </c>
      <c r="L3436">
        <v>214.00749999999999</v>
      </c>
      <c r="M3436">
        <v>0.99988809999999995</v>
      </c>
      <c r="N3436">
        <v>0</v>
      </c>
      <c r="O3436">
        <v>1.083275E-2</v>
      </c>
      <c r="P3436">
        <v>0.99774949999999996</v>
      </c>
      <c r="Q3436">
        <v>3.5403339999999998E-2</v>
      </c>
      <c r="R3436">
        <v>5.6944069999999999E-2</v>
      </c>
      <c r="S3436">
        <v>3.020203</v>
      </c>
      <c r="T3436">
        <v>-9.3054890000000001E-2</v>
      </c>
      <c r="U3436">
        <v>-0.18405150000000001</v>
      </c>
      <c r="V3436">
        <v>-4.6269409999999997E-2</v>
      </c>
      <c r="W3436">
        <v>4.5569199999999997E-2</v>
      </c>
      <c r="X3436">
        <v>0.99788899999999903</v>
      </c>
      <c r="Y3436">
        <v>7.1597999999999995E-2</v>
      </c>
      <c r="Z3436">
        <v>-1.4351310000000001E-3</v>
      </c>
      <c r="AA3436">
        <v>0.99743250000000006</v>
      </c>
      <c r="AB3436">
        <v>27</v>
      </c>
      <c r="AC3436">
        <v>35.630899999999997</v>
      </c>
      <c r="AD3436">
        <v>-1.1058125969115</v>
      </c>
      <c r="AE3436">
        <v>-2.19129999999998</v>
      </c>
      <c r="AF3436">
        <v>2.5747020162526302</v>
      </c>
      <c r="AG3436">
        <v>-1.1058125969115</v>
      </c>
      <c r="AH3436">
        <v>35.570937752954002</v>
      </c>
      <c r="AI3436">
        <v>91.775967559442904</v>
      </c>
      <c r="AJ3436">
        <v>85.860026527284504</v>
      </c>
      <c r="AK3436">
        <v>35.681136817603097</v>
      </c>
    </row>
    <row r="3437" spans="1:37" x14ac:dyDescent="0.2">
      <c r="A3437" t="str">
        <f>"20200111155614667"</f>
        <v>20200111155614667</v>
      </c>
      <c r="B3437" t="str">
        <f>"1578729374655992"</f>
        <v>1578729374655992</v>
      </c>
      <c r="C3437" t="s">
        <v>37</v>
      </c>
      <c r="D3437">
        <v>4.8613</v>
      </c>
      <c r="E3437">
        <v>0.4970098</v>
      </c>
      <c r="F3437" t="s">
        <v>59</v>
      </c>
      <c r="G3437">
        <v>-337.5351</v>
      </c>
      <c r="H3437" s="1">
        <v>2.4121449999999999E-6</v>
      </c>
      <c r="I3437">
        <v>216.00890000000001</v>
      </c>
      <c r="J3437">
        <v>-397.13400000000001</v>
      </c>
      <c r="K3437">
        <v>1.105831</v>
      </c>
      <c r="L3437">
        <v>214.01220000000001</v>
      </c>
      <c r="M3437">
        <v>0.99986779999999997</v>
      </c>
      <c r="N3437">
        <v>0</v>
      </c>
      <c r="O3437">
        <v>1.255038E-2</v>
      </c>
      <c r="P3437">
        <v>0.99763729999999995</v>
      </c>
      <c r="Q3437">
        <v>3.5296210000000001E-2</v>
      </c>
      <c r="R3437">
        <v>5.8942920000000003E-2</v>
      </c>
      <c r="S3437">
        <v>3.0029910000000002</v>
      </c>
      <c r="T3437">
        <v>-5.5473210000000002E-2</v>
      </c>
      <c r="U3437">
        <v>0.1004028</v>
      </c>
      <c r="V3437">
        <v>-4.6556979999999998E-2</v>
      </c>
      <c r="W3437">
        <v>4.5483929999999999E-2</v>
      </c>
      <c r="X3437">
        <v>0.99787959999999998</v>
      </c>
      <c r="Y3437">
        <v>-2.0867520000000001E-2</v>
      </c>
      <c r="Z3437" s="1">
        <v>-3.9080959999999998E-5</v>
      </c>
      <c r="AA3437">
        <v>0.99978230000000001</v>
      </c>
      <c r="AB3437">
        <v>27</v>
      </c>
      <c r="AC3437">
        <v>59.5989</v>
      </c>
      <c r="AD3437">
        <v>-1.105828587855</v>
      </c>
      <c r="AE3437">
        <v>1.9966999999999999</v>
      </c>
      <c r="AF3437">
        <v>-1.2480847137525299</v>
      </c>
      <c r="AG3437">
        <v>-1.105828587855</v>
      </c>
      <c r="AH3437">
        <v>59.598771160992598</v>
      </c>
      <c r="AI3437">
        <v>91.062742682362497</v>
      </c>
      <c r="AJ3437">
        <v>91.199681377589499</v>
      </c>
      <c r="AK3437">
        <v>59.622094027455802</v>
      </c>
    </row>
    <row r="3438" spans="1:37" x14ac:dyDescent="0.2">
      <c r="A3438" t="str">
        <f>"20200111155614690"</f>
        <v>20200111155614690</v>
      </c>
      <c r="B3438" t="str">
        <f>"1578729374686248"</f>
        <v>1578729374686248</v>
      </c>
      <c r="C3438" t="s">
        <v>37</v>
      </c>
      <c r="D3438">
        <v>4.7563659999999999</v>
      </c>
      <c r="E3438">
        <v>0.49308999999999997</v>
      </c>
      <c r="F3438" t="s">
        <v>61</v>
      </c>
      <c r="G3438">
        <v>-316.74209999999999</v>
      </c>
      <c r="H3438">
        <v>4.8181649999999999E-2</v>
      </c>
      <c r="I3438">
        <v>219.6163</v>
      </c>
      <c r="J3438">
        <v>-396.86579999999998</v>
      </c>
      <c r="K3438">
        <v>1.1058490000000001</v>
      </c>
      <c r="L3438">
        <v>214.01759999999999</v>
      </c>
      <c r="M3438">
        <v>0.99984379999999995</v>
      </c>
      <c r="N3438">
        <v>0</v>
      </c>
      <c r="O3438">
        <v>1.4315080000000001E-2</v>
      </c>
      <c r="P3438">
        <v>0.99745419999999996</v>
      </c>
      <c r="Q3438">
        <v>3.5472299999999998E-2</v>
      </c>
      <c r="R3438">
        <v>6.1862130000000001E-2</v>
      </c>
      <c r="S3438">
        <v>2.9961849999999899</v>
      </c>
      <c r="T3438">
        <v>-3.9418340000000003E-2</v>
      </c>
      <c r="U3438">
        <v>0.2088623</v>
      </c>
      <c r="V3438">
        <v>-4.771802E-2</v>
      </c>
      <c r="W3438">
        <v>4.5676849999999998E-2</v>
      </c>
      <c r="X3438">
        <v>0.99781589999999998</v>
      </c>
      <c r="Y3438">
        <v>-5.5248810000000002E-2</v>
      </c>
      <c r="Z3438">
        <v>1.7489820000000001E-4</v>
      </c>
      <c r="AA3438">
        <v>0.99847260000000004</v>
      </c>
      <c r="AB3438">
        <v>27</v>
      </c>
      <c r="AC3438">
        <v>80.1236999999999</v>
      </c>
      <c r="AD3438">
        <v>-1.05766735</v>
      </c>
      <c r="AE3438">
        <v>5.5987</v>
      </c>
      <c r="AF3438">
        <v>-4.4503157521764498</v>
      </c>
      <c r="AG3438">
        <v>-1.05766735</v>
      </c>
      <c r="AH3438">
        <v>80.181735416787504</v>
      </c>
      <c r="AI3438">
        <v>90.754576473477698</v>
      </c>
      <c r="AJ3438">
        <v>93.176820251290096</v>
      </c>
      <c r="AK3438">
        <v>80.312107835400795</v>
      </c>
    </row>
    <row r="3439" spans="1:37" x14ac:dyDescent="0.2">
      <c r="A3439" t="str">
        <f>"20200111155614712"</f>
        <v>20200111155614712</v>
      </c>
      <c r="B3439" t="str">
        <f>"1578729374705768"</f>
        <v>1578729374705768</v>
      </c>
      <c r="C3439" t="s">
        <v>37</v>
      </c>
      <c r="D3439">
        <v>4.835693</v>
      </c>
      <c r="E3439">
        <v>0.49154520000000002</v>
      </c>
      <c r="F3439" t="s">
        <v>59</v>
      </c>
      <c r="G3439">
        <v>-329.69369999999998</v>
      </c>
      <c r="H3439">
        <v>7.0719469999999899E-3</v>
      </c>
      <c r="I3439">
        <v>219.6163</v>
      </c>
      <c r="J3439">
        <v>-396.5915</v>
      </c>
      <c r="K3439">
        <v>1.1058479999999999</v>
      </c>
      <c r="L3439">
        <v>214.02350000000001</v>
      </c>
      <c r="M3439">
        <v>0.99981600000000004</v>
      </c>
      <c r="N3439">
        <v>0</v>
      </c>
      <c r="O3439">
        <v>1.6124530000000002E-2</v>
      </c>
      <c r="P3439">
        <v>0.99723390000000001</v>
      </c>
      <c r="Q3439">
        <v>3.5255960000000003E-2</v>
      </c>
      <c r="R3439">
        <v>6.5434309999999996E-2</v>
      </c>
      <c r="S3439">
        <v>2.9939269999999998</v>
      </c>
      <c r="T3439">
        <v>-4.8973559999999999E-2</v>
      </c>
      <c r="U3439">
        <v>0.24954219999999999</v>
      </c>
      <c r="V3439">
        <v>-4.948694E-2</v>
      </c>
      <c r="W3439">
        <v>4.5475359999999999E-2</v>
      </c>
      <c r="X3439">
        <v>0.99773899999999904</v>
      </c>
      <c r="Y3439">
        <v>-6.6974220000000001E-2</v>
      </c>
      <c r="Z3439">
        <v>2.8353880000000001E-4</v>
      </c>
      <c r="AA3439">
        <v>0.997754699999999</v>
      </c>
      <c r="AB3439">
        <v>27</v>
      </c>
      <c r="AC3439">
        <v>66.897800000000004</v>
      </c>
      <c r="AD3439">
        <v>-1.0987760529999999</v>
      </c>
      <c r="AE3439">
        <v>5.59279999999998</v>
      </c>
      <c r="AF3439">
        <v>-4.5121102037983203</v>
      </c>
      <c r="AG3439">
        <v>-1.0987760529999999</v>
      </c>
      <c r="AH3439">
        <v>66.961349079306004</v>
      </c>
      <c r="AI3439">
        <v>90.937961651777897</v>
      </c>
      <c r="AJ3439">
        <v>93.854979827596097</v>
      </c>
      <c r="AK3439">
        <v>67.122192439062502</v>
      </c>
    </row>
    <row r="3440" spans="1:37" x14ac:dyDescent="0.2">
      <c r="A3440" t="str">
        <f>"20200111155614735"</f>
        <v>20200111155614735</v>
      </c>
      <c r="B3440" t="str">
        <f>"1578729374726263"</f>
        <v>1578729374726263</v>
      </c>
      <c r="C3440" t="s">
        <v>37</v>
      </c>
      <c r="D3440">
        <v>4.8242310000000002</v>
      </c>
      <c r="E3440">
        <v>0.4910407</v>
      </c>
      <c r="F3440" t="s">
        <v>59</v>
      </c>
      <c r="G3440">
        <v>-335.4862</v>
      </c>
      <c r="H3440" s="1">
        <v>1.165237E-6</v>
      </c>
      <c r="I3440">
        <v>219.59139999999999</v>
      </c>
      <c r="J3440">
        <v>-396.32139999999998</v>
      </c>
      <c r="K3440">
        <v>1.1058410000000001</v>
      </c>
      <c r="L3440">
        <v>214.02979999999999</v>
      </c>
      <c r="M3440">
        <v>0.99978579999999995</v>
      </c>
      <c r="N3440">
        <v>0</v>
      </c>
      <c r="O3440">
        <v>1.7893079999999999E-2</v>
      </c>
      <c r="P3440">
        <v>0.99699359999999904</v>
      </c>
      <c r="Q3440">
        <v>3.4372479999999997E-2</v>
      </c>
      <c r="R3440">
        <v>6.9445569999999998E-2</v>
      </c>
      <c r="S3440">
        <v>2.9923099999999998</v>
      </c>
      <c r="T3440">
        <v>-5.4153079999999999E-2</v>
      </c>
      <c r="U3440">
        <v>0.27265929999999999</v>
      </c>
      <c r="V3440">
        <v>-5.1732529999999999E-2</v>
      </c>
      <c r="W3440">
        <v>4.4603160000000003E-2</v>
      </c>
      <c r="X3440">
        <v>0.99766449999999995</v>
      </c>
      <c r="Y3440">
        <v>-7.2900399999999893E-2</v>
      </c>
      <c r="Z3440">
        <v>3.3517570000000002E-4</v>
      </c>
      <c r="AA3440">
        <v>0.99733919999999998</v>
      </c>
      <c r="AB3440">
        <v>27</v>
      </c>
      <c r="AC3440">
        <v>60.835199999999901</v>
      </c>
      <c r="AD3440">
        <v>-1.1058398347630001</v>
      </c>
      <c r="AE3440">
        <v>5.5615999999999897</v>
      </c>
      <c r="AF3440">
        <v>-4.4706565563812299</v>
      </c>
      <c r="AG3440">
        <v>-1.1058398347630001</v>
      </c>
      <c r="AH3440">
        <v>60.905021317777297</v>
      </c>
      <c r="AI3440">
        <v>91.037402830683305</v>
      </c>
      <c r="AJ3440">
        <v>94.198195388261794</v>
      </c>
      <c r="AK3440">
        <v>61.078893846435697</v>
      </c>
    </row>
    <row r="3441" spans="1:37" x14ac:dyDescent="0.2">
      <c r="A3441" t="str">
        <f>"20200111155614757"</f>
        <v>20200111155614757</v>
      </c>
      <c r="B3441" t="str">
        <f>"1578729374745783"</f>
        <v>1578729374745783</v>
      </c>
      <c r="C3441" t="s">
        <v>37</v>
      </c>
      <c r="D3441">
        <v>4.7710520000000001</v>
      </c>
      <c r="E3441">
        <v>0.4917396</v>
      </c>
      <c r="F3441" t="s">
        <v>59</v>
      </c>
      <c r="G3441">
        <v>-343.63290000000001</v>
      </c>
      <c r="H3441" s="1">
        <v>3.9646139999999999E-7</v>
      </c>
      <c r="I3441">
        <v>219.1258</v>
      </c>
      <c r="J3441">
        <v>-396.0564</v>
      </c>
      <c r="K3441">
        <v>1.1058239999999999</v>
      </c>
      <c r="L3441">
        <v>214.03639999999999</v>
      </c>
      <c r="M3441">
        <v>0.99975360000000002</v>
      </c>
      <c r="N3441">
        <v>0</v>
      </c>
      <c r="O3441">
        <v>1.9599740000000001E-2</v>
      </c>
      <c r="P3441">
        <v>0.99671529999999997</v>
      </c>
      <c r="Q3441">
        <v>3.3934600000000002E-2</v>
      </c>
      <c r="R3441">
        <v>7.3534730000000006E-2</v>
      </c>
      <c r="S3441">
        <v>2.991028</v>
      </c>
      <c r="T3441">
        <v>-6.2776570000000004E-2</v>
      </c>
      <c r="U3441">
        <v>0.28929139999999998</v>
      </c>
      <c r="V3441">
        <v>-5.4119630000000002E-2</v>
      </c>
      <c r="W3441">
        <v>4.4174900000000003E-2</v>
      </c>
      <c r="X3441">
        <v>0.99755689999999997</v>
      </c>
      <c r="Y3441">
        <v>-7.6729770000000003E-2</v>
      </c>
      <c r="Z3441">
        <v>3.9298289999999998E-4</v>
      </c>
      <c r="AA3441">
        <v>0.99705180000000004</v>
      </c>
      <c r="AB3441">
        <v>27</v>
      </c>
      <c r="AC3441">
        <v>52.423499999999898</v>
      </c>
      <c r="AD3441">
        <v>-1.1058236035386</v>
      </c>
      <c r="AE3441">
        <v>5.0894000000000101</v>
      </c>
      <c r="AF3441">
        <v>-4.0590902286910602</v>
      </c>
      <c r="AG3441">
        <v>-1.1058236035386</v>
      </c>
      <c r="AH3441">
        <v>52.490047205137301</v>
      </c>
      <c r="AI3441">
        <v>91.2032974256919</v>
      </c>
      <c r="AJ3441">
        <v>94.421920305789399</v>
      </c>
      <c r="AK3441">
        <v>52.658371745852001</v>
      </c>
    </row>
    <row r="3442" spans="1:37" x14ac:dyDescent="0.2">
      <c r="A3442" t="str">
        <f>"20200111155614780"</f>
        <v>20200111155614780</v>
      </c>
      <c r="B3442" t="str">
        <f>"1578729374776040"</f>
        <v>1578729374776040</v>
      </c>
      <c r="C3442" t="s">
        <v>37</v>
      </c>
      <c r="D3442">
        <v>4.7983399999999996</v>
      </c>
      <c r="E3442">
        <v>0.49293530000000002</v>
      </c>
      <c r="F3442" t="s">
        <v>59</v>
      </c>
      <c r="G3442">
        <v>-345.5437</v>
      </c>
      <c r="H3442" s="1">
        <v>1.4132749999999901E-6</v>
      </c>
      <c r="I3442">
        <v>219.03559999999999</v>
      </c>
      <c r="J3442">
        <v>-395.77330000000001</v>
      </c>
      <c r="K3442">
        <v>1.1057999999999999</v>
      </c>
      <c r="L3442">
        <v>214.04400000000001</v>
      </c>
      <c r="M3442">
        <v>0.99971690000000002</v>
      </c>
      <c r="N3442">
        <v>0</v>
      </c>
      <c r="O3442">
        <v>2.1374819999999999E-2</v>
      </c>
      <c r="P3442">
        <v>0.99634409999999896</v>
      </c>
      <c r="Q3442">
        <v>3.3633139999999999E-2</v>
      </c>
      <c r="R3442">
        <v>7.8532889999999994E-2</v>
      </c>
      <c r="S3442">
        <v>2.9902950000000001</v>
      </c>
      <c r="T3442">
        <v>-6.5463419999999994E-2</v>
      </c>
      <c r="U3442">
        <v>0.29594419999999999</v>
      </c>
      <c r="V3442">
        <v>-5.7348950000000003E-2</v>
      </c>
      <c r="W3442">
        <v>4.388193E-2</v>
      </c>
      <c r="X3442">
        <v>0.99738930000000003</v>
      </c>
      <c r="Y3442">
        <v>-7.7179250000000005E-2</v>
      </c>
      <c r="Z3442">
        <v>3.7602689999999999E-4</v>
      </c>
      <c r="AA3442">
        <v>0.99701709999999999</v>
      </c>
      <c r="AB3442">
        <v>27</v>
      </c>
      <c r="AC3442">
        <v>50.229599999999998</v>
      </c>
      <c r="AD3442">
        <v>-1.105798586725</v>
      </c>
      <c r="AE3442">
        <v>4.9915999999999698</v>
      </c>
      <c r="AF3442">
        <v>-3.9148733437965202</v>
      </c>
      <c r="AG3442">
        <v>-1.105798586725</v>
      </c>
      <c r="AH3442">
        <v>50.3006832138066</v>
      </c>
      <c r="AI3442">
        <v>91.255578492258394</v>
      </c>
      <c r="AJ3442">
        <v>94.450326317044002</v>
      </c>
      <c r="AK3442">
        <v>50.464916086208802</v>
      </c>
    </row>
    <row r="3443" spans="1:37" x14ac:dyDescent="0.2">
      <c r="A3443" t="str">
        <f>"20200111155614802"</f>
        <v>20200111155614802</v>
      </c>
      <c r="B3443" t="str">
        <f>"1578729374796537"</f>
        <v>1578729374796537</v>
      </c>
      <c r="C3443" t="s">
        <v>37</v>
      </c>
      <c r="D3443">
        <v>5.0897759999999996</v>
      </c>
      <c r="E3443">
        <v>0.49310709999999902</v>
      </c>
      <c r="F3443" t="s">
        <v>59</v>
      </c>
      <c r="G3443">
        <v>-346.16419999999999</v>
      </c>
      <c r="H3443" s="1">
        <v>1.7435159999999999E-6</v>
      </c>
      <c r="I3443">
        <v>219.0368</v>
      </c>
      <c r="J3443">
        <v>-395.50299999999999</v>
      </c>
      <c r="K3443">
        <v>1.105764</v>
      </c>
      <c r="L3443">
        <v>214.05160000000001</v>
      </c>
      <c r="M3443">
        <v>0.99968060000000003</v>
      </c>
      <c r="N3443">
        <v>0</v>
      </c>
      <c r="O3443">
        <v>2.3009749999999999E-2</v>
      </c>
      <c r="P3443">
        <v>0.99602289999999905</v>
      </c>
      <c r="Q3443">
        <v>3.3575099999999997E-2</v>
      </c>
      <c r="R3443">
        <v>8.2528199999999996E-2</v>
      </c>
      <c r="S3443">
        <v>2.9895019999999999</v>
      </c>
      <c r="T3443">
        <v>-6.6636680000000004E-2</v>
      </c>
      <c r="U3443">
        <v>0.3008728</v>
      </c>
      <c r="V3443">
        <v>-5.9714030000000001E-2</v>
      </c>
      <c r="W3443">
        <v>4.3833339999999998E-2</v>
      </c>
      <c r="X3443">
        <v>0.99725259999999905</v>
      </c>
      <c r="Y3443">
        <v>-7.7202049999999994E-2</v>
      </c>
      <c r="Z3443">
        <v>3.46768199999999E-4</v>
      </c>
      <c r="AA3443">
        <v>0.9970154</v>
      </c>
      <c r="AB3443">
        <v>27</v>
      </c>
      <c r="AC3443">
        <v>49.338799999999999</v>
      </c>
      <c r="AD3443">
        <v>-1.105762256484</v>
      </c>
      <c r="AE3443">
        <v>4.9851999999999901</v>
      </c>
      <c r="AF3443">
        <v>-3.8466319423022699</v>
      </c>
      <c r="AG3443">
        <v>-1.105762256484</v>
      </c>
      <c r="AH3443">
        <v>49.415880336664102</v>
      </c>
      <c r="AI3443">
        <v>91.278009306966297</v>
      </c>
      <c r="AJ3443">
        <v>94.451043503719106</v>
      </c>
      <c r="AK3443">
        <v>49.577701811549403</v>
      </c>
    </row>
    <row r="3444" spans="1:37" x14ac:dyDescent="0.2">
      <c r="A3444" t="str">
        <f>"20200111155614824"</f>
        <v>20200111155614824</v>
      </c>
      <c r="B3444" t="str">
        <f>"1578729374816056"</f>
        <v>1578729374816056</v>
      </c>
      <c r="C3444" t="s">
        <v>37</v>
      </c>
      <c r="D3444">
        <v>4.9216509999999998</v>
      </c>
      <c r="E3444">
        <v>0.49322659999999902</v>
      </c>
      <c r="F3444" t="s">
        <v>59</v>
      </c>
      <c r="G3444">
        <v>-347.04680000000002</v>
      </c>
      <c r="H3444" s="1">
        <v>2.2131940000000001E-6</v>
      </c>
      <c r="I3444">
        <v>219.09700000000001</v>
      </c>
      <c r="J3444">
        <v>-395.23160000000001</v>
      </c>
      <c r="K3444">
        <v>1.105721</v>
      </c>
      <c r="L3444">
        <v>214.05959999999999</v>
      </c>
      <c r="M3444">
        <v>0.9996427</v>
      </c>
      <c r="N3444">
        <v>0</v>
      </c>
      <c r="O3444">
        <v>2.4597029999999999E-2</v>
      </c>
      <c r="P3444">
        <v>0.99579719999999905</v>
      </c>
      <c r="Q3444">
        <v>3.2135549999999999E-2</v>
      </c>
      <c r="R3444">
        <v>8.5764339999999994E-2</v>
      </c>
      <c r="S3444">
        <v>2.9884949999999999</v>
      </c>
      <c r="T3444">
        <v>-6.8197010000000002E-2</v>
      </c>
      <c r="U3444">
        <v>0.31117250000000002</v>
      </c>
      <c r="V3444">
        <v>-6.1362109999999997E-2</v>
      </c>
      <c r="W3444">
        <v>4.240654E-2</v>
      </c>
      <c r="X3444">
        <v>0.9972143</v>
      </c>
      <c r="Y3444">
        <v>-7.9052140000000007E-2</v>
      </c>
      <c r="Z3444">
        <v>3.3990650000000002E-4</v>
      </c>
      <c r="AA3444">
        <v>0.99687039999999905</v>
      </c>
      <c r="AB3444">
        <v>27</v>
      </c>
      <c r="AC3444">
        <v>48.184800000000003</v>
      </c>
      <c r="AD3444">
        <v>-1.1057187868060001</v>
      </c>
      <c r="AE3444">
        <v>5.0374000000000096</v>
      </c>
      <c r="AF3444">
        <v>-3.84860320217452</v>
      </c>
      <c r="AG3444">
        <v>-1.1057187868060001</v>
      </c>
      <c r="AH3444">
        <v>48.268988847376903</v>
      </c>
      <c r="AI3444">
        <v>91.308119921442398</v>
      </c>
      <c r="AJ3444">
        <v>94.558687121622498</v>
      </c>
      <c r="AK3444">
        <v>48.434797872928897</v>
      </c>
    </row>
    <row r="3445" spans="1:37" x14ac:dyDescent="0.2">
      <c r="A3445" t="str">
        <f>"20200111155614846"</f>
        <v>20200111155614846</v>
      </c>
      <c r="B3445" t="str">
        <f>"1578729374836563"</f>
        <v>1578729374836563</v>
      </c>
      <c r="C3445" t="s">
        <v>37</v>
      </c>
      <c r="D3445">
        <v>4.9671349999999999</v>
      </c>
      <c r="E3445">
        <v>0.49344449999999901</v>
      </c>
      <c r="F3445" t="s">
        <v>59</v>
      </c>
      <c r="G3445">
        <v>-351.23180000000002</v>
      </c>
      <c r="H3445" s="1">
        <v>-1.062962E-6</v>
      </c>
      <c r="I3445">
        <v>218.77260000000001</v>
      </c>
      <c r="J3445">
        <v>-394.96879999999999</v>
      </c>
      <c r="K3445">
        <v>1.105672</v>
      </c>
      <c r="L3445">
        <v>214.0677</v>
      </c>
      <c r="M3445">
        <v>0.99960519999999997</v>
      </c>
      <c r="N3445">
        <v>0</v>
      </c>
      <c r="O3445">
        <v>2.6068830000000001E-2</v>
      </c>
      <c r="P3445">
        <v>0.99560280000000001</v>
      </c>
      <c r="Q3445">
        <v>3.0003849999999999E-2</v>
      </c>
      <c r="R3445">
        <v>8.8740890000000003E-2</v>
      </c>
      <c r="S3445">
        <v>2.987549</v>
      </c>
      <c r="T3445">
        <v>-7.5077649999999996E-2</v>
      </c>
      <c r="U3445">
        <v>0.32000729999999999</v>
      </c>
      <c r="V3445">
        <v>-6.286398E-2</v>
      </c>
      <c r="W3445">
        <v>4.0287379999999998E-2</v>
      </c>
      <c r="X3445">
        <v>0.99720869999999995</v>
      </c>
      <c r="Y3445">
        <v>-8.052927E-2</v>
      </c>
      <c r="Z3445">
        <v>3.5591710000000001E-4</v>
      </c>
      <c r="AA3445">
        <v>0.99675219999999898</v>
      </c>
      <c r="AB3445">
        <v>27</v>
      </c>
      <c r="AC3445">
        <v>43.736999999999902</v>
      </c>
      <c r="AD3445">
        <v>-1.105673062962</v>
      </c>
      <c r="AE3445">
        <v>4.7049000000000003</v>
      </c>
      <c r="AF3445">
        <v>-3.5608161972565799</v>
      </c>
      <c r="AG3445">
        <v>-1.105673062962</v>
      </c>
      <c r="AH3445">
        <v>43.817110017256702</v>
      </c>
      <c r="AI3445">
        <v>91.440737107847596</v>
      </c>
      <c r="AJ3445">
        <v>94.645956584220002</v>
      </c>
      <c r="AK3445">
        <v>43.975459692619303</v>
      </c>
    </row>
    <row r="3446" spans="1:37" x14ac:dyDescent="0.2">
      <c r="A3446" t="str">
        <f>"20200111155614868"</f>
        <v>20200111155614868</v>
      </c>
      <c r="B3446" t="str">
        <f>"1578729374856072"</f>
        <v>1578729374856072</v>
      </c>
      <c r="C3446" t="s">
        <v>37</v>
      </c>
      <c r="D3446">
        <v>4.9432410000000004</v>
      </c>
      <c r="E3446">
        <v>0.49422299999999902</v>
      </c>
      <c r="F3446" t="s">
        <v>59</v>
      </c>
      <c r="G3446">
        <v>-355.15839999999997</v>
      </c>
      <c r="H3446" s="1">
        <v>1.041633E-6</v>
      </c>
      <c r="I3446">
        <v>218.42789999999999</v>
      </c>
      <c r="J3446">
        <v>-394.70389999999998</v>
      </c>
      <c r="K3446">
        <v>1.105615</v>
      </c>
      <c r="L3446">
        <v>214.0762</v>
      </c>
      <c r="M3446">
        <v>0.99956749999999905</v>
      </c>
      <c r="N3446">
        <v>0</v>
      </c>
      <c r="O3446">
        <v>2.7475110000000001E-2</v>
      </c>
      <c r="P3446">
        <v>0.99537180000000003</v>
      </c>
      <c r="Q3446">
        <v>2.8799769999999999E-2</v>
      </c>
      <c r="R3446">
        <v>9.1683280000000006E-2</v>
      </c>
      <c r="S3446">
        <v>2.9866029999999899</v>
      </c>
      <c r="T3446">
        <v>-8.2948090000000002E-2</v>
      </c>
      <c r="U3446">
        <v>0.32710270000000002</v>
      </c>
      <c r="V3446">
        <v>-6.4400460000000007E-2</v>
      </c>
      <c r="W3446">
        <v>3.909576E-2</v>
      </c>
      <c r="X3446">
        <v>0.99715799999999999</v>
      </c>
      <c r="Y3446">
        <v>-8.1497299999999995E-2</v>
      </c>
      <c r="Z3446">
        <v>3.6779709999999998E-4</v>
      </c>
      <c r="AA3446">
        <v>0.99667349999999999</v>
      </c>
      <c r="AB3446">
        <v>27</v>
      </c>
      <c r="AC3446">
        <v>39.545499999999997</v>
      </c>
      <c r="AD3446">
        <v>-1.1056139583669999</v>
      </c>
      <c r="AE3446">
        <v>4.3516999999999904</v>
      </c>
      <c r="AF3446">
        <v>-3.26096187420496</v>
      </c>
      <c r="AG3446">
        <v>-1.1056139583669999</v>
      </c>
      <c r="AH3446">
        <v>39.619541334610297</v>
      </c>
      <c r="AI3446">
        <v>91.5930840050992</v>
      </c>
      <c r="AJ3446">
        <v>94.705232395149196</v>
      </c>
      <c r="AK3446">
        <v>39.768886206868402</v>
      </c>
    </row>
    <row r="3447" spans="1:37" x14ac:dyDescent="0.2">
      <c r="A3447" t="str">
        <f>"20200111155614891"</f>
        <v>20200111155614891</v>
      </c>
      <c r="B3447" t="str">
        <f>"1578729374886327"</f>
        <v>1578729374886327</v>
      </c>
      <c r="C3447" t="s">
        <v>37</v>
      </c>
      <c r="D3447">
        <v>4.9091949999999898</v>
      </c>
      <c r="E3447">
        <v>0.49515569999999998</v>
      </c>
      <c r="F3447" t="s">
        <v>59</v>
      </c>
      <c r="G3447">
        <v>-356.20229999999998</v>
      </c>
      <c r="H3447" s="1">
        <v>1.6017339999999999E-6</v>
      </c>
      <c r="I3447">
        <v>218.32310000000001</v>
      </c>
      <c r="J3447">
        <v>-394.42610000000002</v>
      </c>
      <c r="K3447">
        <v>1.105556</v>
      </c>
      <c r="L3447">
        <v>214.08539999999999</v>
      </c>
      <c r="M3447">
        <v>0.99952839999999998</v>
      </c>
      <c r="N3447">
        <v>0</v>
      </c>
      <c r="O3447">
        <v>2.8859659999999999E-2</v>
      </c>
      <c r="P3447">
        <v>0.99514799999999903</v>
      </c>
      <c r="Q3447">
        <v>2.858521E-2</v>
      </c>
      <c r="R3447">
        <v>9.4146209999999994E-2</v>
      </c>
      <c r="S3447">
        <v>2.986084</v>
      </c>
      <c r="T3447">
        <v>-8.5748550000000007E-2</v>
      </c>
      <c r="U3447">
        <v>0.32937620000000001</v>
      </c>
      <c r="V3447">
        <v>-6.5480280000000002E-2</v>
      </c>
      <c r="W3447">
        <v>3.8896590000000002E-2</v>
      </c>
      <c r="X3447">
        <v>0.99709550000000002</v>
      </c>
      <c r="Y3447">
        <v>-8.0884670000000006E-2</v>
      </c>
      <c r="Z3447">
        <v>3.3190349999999999E-4</v>
      </c>
      <c r="AA3447">
        <v>0.99672340000000004</v>
      </c>
      <c r="AB3447">
        <v>27</v>
      </c>
      <c r="AC3447">
        <v>38.223799999999997</v>
      </c>
      <c r="AD3447">
        <v>-1.1055543982660001</v>
      </c>
      <c r="AE3447">
        <v>4.23770000000001</v>
      </c>
      <c r="AF3447">
        <v>-3.13016134152027</v>
      </c>
      <c r="AG3447">
        <v>-1.1055543982660001</v>
      </c>
      <c r="AH3447">
        <v>38.298532654614</v>
      </c>
      <c r="AI3447">
        <v>91.647992118774596</v>
      </c>
      <c r="AJ3447">
        <v>94.672432066215904</v>
      </c>
      <c r="AK3447">
        <v>38.442135269102998</v>
      </c>
    </row>
    <row r="3448" spans="1:37" x14ac:dyDescent="0.2">
      <c r="A3448" t="str">
        <f>"20200111155614914"</f>
        <v>20200111155614914</v>
      </c>
      <c r="B3448" t="str">
        <f>"1578729374905847"</f>
        <v>1578729374905847</v>
      </c>
      <c r="C3448" t="s">
        <v>37</v>
      </c>
      <c r="D3448">
        <v>4.9324649999999997</v>
      </c>
      <c r="E3448">
        <v>0.49577369999999998</v>
      </c>
      <c r="F3448" t="s">
        <v>59</v>
      </c>
      <c r="G3448">
        <v>-356.0206</v>
      </c>
      <c r="H3448" s="1">
        <v>1.5051179999999899E-6</v>
      </c>
      <c r="I3448">
        <v>218.32159999999999</v>
      </c>
      <c r="J3448">
        <v>-394.13900000000001</v>
      </c>
      <c r="K3448">
        <v>1.105488</v>
      </c>
      <c r="L3448">
        <v>214.09520000000001</v>
      </c>
      <c r="M3448">
        <v>0.99948890000000001</v>
      </c>
      <c r="N3448">
        <v>0</v>
      </c>
      <c r="O3448">
        <v>3.0192030000000002E-2</v>
      </c>
      <c r="P3448">
        <v>0.99495389999999995</v>
      </c>
      <c r="Q3448">
        <v>2.8821070000000001E-2</v>
      </c>
      <c r="R3448">
        <v>9.6106090000000005E-2</v>
      </c>
      <c r="S3448">
        <v>2.9859009999999899</v>
      </c>
      <c r="T3448">
        <v>-8.595324E-2</v>
      </c>
      <c r="U3448">
        <v>0.32934570000000002</v>
      </c>
      <c r="V3448">
        <v>-6.6109580000000001E-2</v>
      </c>
      <c r="W3448">
        <v>3.9149589999999998E-2</v>
      </c>
      <c r="X3448">
        <v>0.99704400000000004</v>
      </c>
      <c r="Y3448">
        <v>-7.9553540000000006E-2</v>
      </c>
      <c r="Z3448">
        <v>2.754295E-4</v>
      </c>
      <c r="AA3448">
        <v>0.99683060000000001</v>
      </c>
      <c r="AB3448">
        <v>27</v>
      </c>
      <c r="AC3448">
        <v>38.118400000000001</v>
      </c>
      <c r="AD3448">
        <v>-1.105486494882</v>
      </c>
      <c r="AE3448">
        <v>4.2263999999999804</v>
      </c>
      <c r="AF3448">
        <v>-3.0709860651063399</v>
      </c>
      <c r="AG3448">
        <v>-1.105486494882</v>
      </c>
      <c r="AH3448">
        <v>38.196894666480198</v>
      </c>
      <c r="AI3448">
        <v>91.652450516035302</v>
      </c>
      <c r="AJ3448">
        <v>94.596627128840794</v>
      </c>
      <c r="AK3448">
        <v>38.3360902801085</v>
      </c>
    </row>
    <row r="3449" spans="1:37" x14ac:dyDescent="0.2">
      <c r="A3449" t="str">
        <f>"20200111155614937"</f>
        <v>20200111155614937</v>
      </c>
      <c r="B3449" t="str">
        <f>"1578729374926343"</f>
        <v>1578729374926343</v>
      </c>
      <c r="C3449" t="s">
        <v>37</v>
      </c>
      <c r="D3449">
        <v>4.9698640000000003</v>
      </c>
      <c r="E3449">
        <v>0.49629809999999902</v>
      </c>
      <c r="F3449" t="s">
        <v>59</v>
      </c>
      <c r="G3449">
        <v>-355.96170000000001</v>
      </c>
      <c r="H3449" s="1">
        <v>1.4738899999999999E-6</v>
      </c>
      <c r="I3449">
        <v>218.3184</v>
      </c>
      <c r="J3449">
        <v>-393.87419999999997</v>
      </c>
      <c r="K3449">
        <v>1.105421</v>
      </c>
      <c r="L3449">
        <v>214.1045</v>
      </c>
      <c r="M3449">
        <v>0.99945390000000001</v>
      </c>
      <c r="N3449">
        <v>0</v>
      </c>
      <c r="O3449">
        <v>3.1331060000000001E-2</v>
      </c>
      <c r="P3449">
        <v>0.99477729999999998</v>
      </c>
      <c r="Q3449">
        <v>2.830767E-2</v>
      </c>
      <c r="R3449">
        <v>9.8066849999999997E-2</v>
      </c>
      <c r="S3449">
        <v>2.98584</v>
      </c>
      <c r="T3449">
        <v>-8.6459759999999997E-2</v>
      </c>
      <c r="U3449">
        <v>0.33029169999999902</v>
      </c>
      <c r="V3449">
        <v>-6.6930970000000006E-2</v>
      </c>
      <c r="W3449">
        <v>3.8652159999999998E-2</v>
      </c>
      <c r="X3449">
        <v>0.99700869999999997</v>
      </c>
      <c r="Y3449">
        <v>-7.8732299999999894E-2</v>
      </c>
      <c r="Z3449">
        <v>2.3236449999999999E-4</v>
      </c>
      <c r="AA3449">
        <v>0.9968958</v>
      </c>
      <c r="AB3449">
        <v>27</v>
      </c>
      <c r="AC3449">
        <v>37.912499999999902</v>
      </c>
      <c r="AD3449">
        <v>-1.1054195261099999</v>
      </c>
      <c r="AE3449">
        <v>4.21389999999999</v>
      </c>
      <c r="AF3449">
        <v>-3.0213894474188501</v>
      </c>
      <c r="AG3449">
        <v>-1.1054195261099999</v>
      </c>
      <c r="AH3449">
        <v>37.994012496967201</v>
      </c>
      <c r="AI3449">
        <v>91.661284400592095</v>
      </c>
      <c r="AJ3449">
        <v>94.546751345279006</v>
      </c>
      <c r="AK3449">
        <v>38.129984685826699</v>
      </c>
    </row>
    <row r="3450" spans="1:37" x14ac:dyDescent="0.2">
      <c r="A3450" t="str">
        <f>"20200111155614958"</f>
        <v>20200111155614958</v>
      </c>
      <c r="B3450" t="str">
        <f>"1578729374945864"</f>
        <v>1578729374945864</v>
      </c>
      <c r="C3450" t="s">
        <v>37</v>
      </c>
      <c r="D3450">
        <v>4.9954150000000004</v>
      </c>
      <c r="E3450">
        <v>0.49672680000000002</v>
      </c>
      <c r="F3450" t="s">
        <v>59</v>
      </c>
      <c r="G3450">
        <v>-356.67970000000003</v>
      </c>
      <c r="H3450" s="1">
        <v>1.8592140000000001E-6</v>
      </c>
      <c r="I3450">
        <v>218.24539999999999</v>
      </c>
      <c r="J3450">
        <v>-393.60930000000002</v>
      </c>
      <c r="K3450">
        <v>1.105351</v>
      </c>
      <c r="L3450">
        <v>214.114</v>
      </c>
      <c r="M3450">
        <v>0.99941999999999998</v>
      </c>
      <c r="N3450">
        <v>0</v>
      </c>
      <c r="O3450">
        <v>3.2387609999999997E-2</v>
      </c>
      <c r="P3450">
        <v>0.99465249999999905</v>
      </c>
      <c r="Q3450">
        <v>2.737844E-2</v>
      </c>
      <c r="R3450">
        <v>9.958351E-2</v>
      </c>
      <c r="S3450">
        <v>2.985535</v>
      </c>
      <c r="T3450">
        <v>-8.8730100000000006E-2</v>
      </c>
      <c r="U3450">
        <v>0.33238220000000002</v>
      </c>
      <c r="V3450">
        <v>-6.7388290000000003E-2</v>
      </c>
      <c r="W3450">
        <v>3.7738720000000003E-2</v>
      </c>
      <c r="X3450">
        <v>0.99701289999999998</v>
      </c>
      <c r="Y3450">
        <v>-7.8378660000000003E-2</v>
      </c>
      <c r="Z3450">
        <v>2.0198380000000001E-4</v>
      </c>
      <c r="AA3450">
        <v>0.99692359999999902</v>
      </c>
      <c r="AB3450">
        <v>27</v>
      </c>
      <c r="AC3450">
        <v>36.929599999999901</v>
      </c>
      <c r="AD3450">
        <v>-1.1053491407860001</v>
      </c>
      <c r="AE3450">
        <v>4.1313999999999798</v>
      </c>
      <c r="AF3450">
        <v>-2.9305117322119401</v>
      </c>
      <c r="AG3450">
        <v>-1.1053491407860001</v>
      </c>
      <c r="AH3450">
        <v>37.011289750547498</v>
      </c>
      <c r="AI3450">
        <v>91.705306764731105</v>
      </c>
      <c r="AJ3450">
        <v>94.527169557749104</v>
      </c>
      <c r="AK3450">
        <v>37.143576358970201</v>
      </c>
    </row>
    <row r="3451" spans="1:37" x14ac:dyDescent="0.2">
      <c r="A3451" t="str">
        <f>"20200111155614980"</f>
        <v>20200111155614980</v>
      </c>
      <c r="B3451" t="str">
        <f>"1578729374977096"</f>
        <v>1578729374977096</v>
      </c>
      <c r="C3451" t="s">
        <v>37</v>
      </c>
      <c r="D3451">
        <v>4.9751830000000004</v>
      </c>
      <c r="E3451">
        <v>0.49758429999999998</v>
      </c>
      <c r="F3451" t="s">
        <v>59</v>
      </c>
      <c r="G3451">
        <v>-357.83580000000001</v>
      </c>
      <c r="H3451" s="1">
        <v>2.48023599999999E-6</v>
      </c>
      <c r="I3451">
        <v>218.11189999999999</v>
      </c>
      <c r="J3451">
        <v>-393.33280000000002</v>
      </c>
      <c r="K3451">
        <v>1.1052930000000001</v>
      </c>
      <c r="L3451">
        <v>214.1241</v>
      </c>
      <c r="M3451">
        <v>0.99938669999999996</v>
      </c>
      <c r="N3451">
        <v>0</v>
      </c>
      <c r="O3451">
        <v>3.3401739999999999E-2</v>
      </c>
      <c r="P3451">
        <v>0.99453040000000004</v>
      </c>
      <c r="Q3451">
        <v>2.6772440000000002E-2</v>
      </c>
      <c r="R3451">
        <v>0.10096049999999999</v>
      </c>
      <c r="S3451">
        <v>2.9852289999999999</v>
      </c>
      <c r="T3451">
        <v>-9.2239260000000003E-2</v>
      </c>
      <c r="U3451">
        <v>0.33361819999999998</v>
      </c>
      <c r="V3451">
        <v>-6.7750630000000006E-2</v>
      </c>
      <c r="W3451">
        <v>3.7148809999999997E-2</v>
      </c>
      <c r="X3451">
        <v>0.99701049999999902</v>
      </c>
      <c r="Y3451">
        <v>-7.7785049999999994E-2</v>
      </c>
      <c r="Z3451">
        <v>1.696554E-4</v>
      </c>
      <c r="AA3451">
        <v>0.99697009999999897</v>
      </c>
      <c r="AB3451">
        <v>27</v>
      </c>
      <c r="AC3451">
        <v>35.497</v>
      </c>
      <c r="AD3451">
        <v>-1.1052905197639999</v>
      </c>
      <c r="AE3451">
        <v>3.9877999999999898</v>
      </c>
      <c r="AF3451">
        <v>-2.7971692890487398</v>
      </c>
      <c r="AG3451">
        <v>-1.1052905197639999</v>
      </c>
      <c r="AH3451">
        <v>35.576334439868802</v>
      </c>
      <c r="AI3451">
        <v>91.774029486546496</v>
      </c>
      <c r="AJ3451">
        <v>94.495600029003697</v>
      </c>
      <c r="AK3451">
        <v>35.703240684034199</v>
      </c>
    </row>
    <row r="3452" spans="1:37" x14ac:dyDescent="0.2">
      <c r="A3452" t="str">
        <f>"20200111155615003"</f>
        <v>20200111155615003</v>
      </c>
      <c r="B3452" t="str">
        <f>"1578729374996615"</f>
        <v>1578729374996615</v>
      </c>
      <c r="C3452" t="s">
        <v>37</v>
      </c>
      <c r="D3452">
        <v>5.1015629999999996</v>
      </c>
      <c r="E3452">
        <v>0.49795309999999998</v>
      </c>
      <c r="F3452" t="s">
        <v>59</v>
      </c>
      <c r="G3452">
        <v>-358.90219999999999</v>
      </c>
      <c r="H3452" s="1">
        <v>3.055025E-6</v>
      </c>
      <c r="I3452">
        <v>217.9444</v>
      </c>
      <c r="J3452">
        <v>-393.05579999999998</v>
      </c>
      <c r="K3452">
        <v>1.10524</v>
      </c>
      <c r="L3452">
        <v>214.1344</v>
      </c>
      <c r="M3452">
        <v>0.99935469999999904</v>
      </c>
      <c r="N3452">
        <v>0</v>
      </c>
      <c r="O3452">
        <v>3.4341499999999997E-2</v>
      </c>
      <c r="P3452">
        <v>0.99446819999999903</v>
      </c>
      <c r="Q3452">
        <v>2.677421E-2</v>
      </c>
      <c r="R3452">
        <v>0.1015692</v>
      </c>
      <c r="S3452">
        <v>2.985474</v>
      </c>
      <c r="T3452">
        <v>-9.5839380000000002E-2</v>
      </c>
      <c r="U3452">
        <v>0.33125310000000002</v>
      </c>
      <c r="V3452">
        <v>-6.7418249999999999E-2</v>
      </c>
      <c r="W3452">
        <v>3.7166449999999997E-2</v>
      </c>
      <c r="X3452">
        <v>0.99703229999999998</v>
      </c>
      <c r="Y3452">
        <v>-7.6058000000000001E-2</v>
      </c>
      <c r="Z3452">
        <v>1.186059E-4</v>
      </c>
      <c r="AA3452">
        <v>0.99710339999999997</v>
      </c>
      <c r="AB3452">
        <v>27</v>
      </c>
      <c r="AC3452">
        <v>34.153599999999898</v>
      </c>
      <c r="AD3452">
        <v>-1.1052369449749999</v>
      </c>
      <c r="AE3452">
        <v>3.81</v>
      </c>
      <c r="AF3452">
        <v>-2.6320790986841298</v>
      </c>
      <c r="AG3452">
        <v>-1.1052369449749999</v>
      </c>
      <c r="AH3452">
        <v>34.228896278830597</v>
      </c>
      <c r="AI3452">
        <v>91.8439745732191</v>
      </c>
      <c r="AJ3452">
        <v>94.397186198753005</v>
      </c>
      <c r="AK3452">
        <v>34.3477325241887</v>
      </c>
    </row>
    <row r="3453" spans="1:37" x14ac:dyDescent="0.2">
      <c r="A3453" t="str">
        <f>"20200111155615025"</f>
        <v>20200111155615025</v>
      </c>
      <c r="B3453" t="str">
        <f>"1578729375016135"</f>
        <v>1578729375016135</v>
      </c>
      <c r="C3453" t="s">
        <v>37</v>
      </c>
      <c r="D3453">
        <v>4.924919</v>
      </c>
      <c r="E3453">
        <v>0.49842700000000001</v>
      </c>
      <c r="F3453" t="s">
        <v>59</v>
      </c>
      <c r="G3453">
        <v>-358.58769999999998</v>
      </c>
      <c r="H3453" s="1">
        <v>2.8875369999999998E-6</v>
      </c>
      <c r="I3453">
        <v>217.94799999999901</v>
      </c>
      <c r="J3453">
        <v>-392.78070000000002</v>
      </c>
      <c r="K3453">
        <v>1.105208</v>
      </c>
      <c r="L3453">
        <v>214.14490000000001</v>
      </c>
      <c r="M3453">
        <v>0.99932410000000005</v>
      </c>
      <c r="N3453">
        <v>0</v>
      </c>
      <c r="O3453">
        <v>3.5218680000000002E-2</v>
      </c>
      <c r="P3453">
        <v>0.99441000000000002</v>
      </c>
      <c r="Q3453">
        <v>2.73829999999999E-2</v>
      </c>
      <c r="R3453">
        <v>0.1019746</v>
      </c>
      <c r="S3453">
        <v>2.9855649999999998</v>
      </c>
      <c r="T3453">
        <v>-9.5733639999999995E-2</v>
      </c>
      <c r="U3453">
        <v>0.33032230000000001</v>
      </c>
      <c r="V3453">
        <v>-6.6946969999999995E-2</v>
      </c>
      <c r="W3453">
        <v>3.7787330000000001E-2</v>
      </c>
      <c r="X3453">
        <v>0.997040699999999</v>
      </c>
      <c r="Y3453">
        <v>-7.4873369999999995E-2</v>
      </c>
      <c r="Z3453" s="1">
        <v>7.1545130000000003E-5</v>
      </c>
      <c r="AA3453">
        <v>0.997193</v>
      </c>
      <c r="AB3453">
        <v>27</v>
      </c>
      <c r="AC3453">
        <v>34.192999999999998</v>
      </c>
      <c r="AD3453">
        <v>-1.105205112463</v>
      </c>
      <c r="AE3453">
        <v>3.8030999999999699</v>
      </c>
      <c r="AF3453">
        <v>-2.5937645342846598</v>
      </c>
      <c r="AG3453">
        <v>-1.105205112463</v>
      </c>
      <c r="AH3453">
        <v>34.270366556255397</v>
      </c>
      <c r="AI3453">
        <v>91.841860790202603</v>
      </c>
      <c r="AJ3453">
        <v>94.328199089782203</v>
      </c>
      <c r="AK3453">
        <v>34.386147162775202</v>
      </c>
    </row>
    <row r="3454" spans="1:37" x14ac:dyDescent="0.2">
      <c r="A3454" t="str">
        <f>"20200111155615046"</f>
        <v>20200111155615046</v>
      </c>
      <c r="B3454" t="str">
        <f>"1578729375035656"</f>
        <v>1578729375035656</v>
      </c>
      <c r="C3454" t="s">
        <v>37</v>
      </c>
      <c r="D3454">
        <v>4.9480969999999997</v>
      </c>
      <c r="E3454">
        <v>0.49886970000000003</v>
      </c>
      <c r="F3454" t="s">
        <v>59</v>
      </c>
      <c r="G3454">
        <v>-357.64330000000001</v>
      </c>
      <c r="H3454" s="1">
        <v>2.38258199999999E-6</v>
      </c>
      <c r="I3454">
        <v>218.00290000000001</v>
      </c>
      <c r="J3454">
        <v>-392.52120000000002</v>
      </c>
      <c r="K3454">
        <v>1.105178</v>
      </c>
      <c r="L3454">
        <v>214.1549</v>
      </c>
      <c r="M3454">
        <v>0.99929630000000003</v>
      </c>
      <c r="N3454">
        <v>0</v>
      </c>
      <c r="O3454">
        <v>3.5998420000000003E-2</v>
      </c>
      <c r="P3454">
        <v>0.99432009999999904</v>
      </c>
      <c r="Q3454">
        <v>2.811253E-2</v>
      </c>
      <c r="R3454">
        <v>0.10265150000000001</v>
      </c>
      <c r="S3454">
        <v>2.9858090000000002</v>
      </c>
      <c r="T3454">
        <v>-9.3915100000000001E-2</v>
      </c>
      <c r="U3454">
        <v>0.32783509999999999</v>
      </c>
      <c r="V3454">
        <v>-6.6846219999999998E-2</v>
      </c>
      <c r="W3454">
        <v>3.8516830000000002E-2</v>
      </c>
      <c r="X3454">
        <v>0.99701960000000001</v>
      </c>
      <c r="Y3454">
        <v>-7.3267520000000003E-2</v>
      </c>
      <c r="Z3454" s="1">
        <v>2.0594800000000001E-5</v>
      </c>
      <c r="AA3454">
        <v>0.99731229999999904</v>
      </c>
      <c r="AB3454">
        <v>27</v>
      </c>
      <c r="AC3454">
        <v>34.877899999999997</v>
      </c>
      <c r="AD3454">
        <v>-1.1051756174180001</v>
      </c>
      <c r="AE3454">
        <v>3.8480000000000101</v>
      </c>
      <c r="AF3454">
        <v>-2.58732003925698</v>
      </c>
      <c r="AG3454">
        <v>-1.1051756174180001</v>
      </c>
      <c r="AH3454">
        <v>34.959141740363698</v>
      </c>
      <c r="AI3454">
        <v>91.805773054773297</v>
      </c>
      <c r="AJ3454">
        <v>94.232733794712502</v>
      </c>
      <c r="AK3454">
        <v>35.072171722801997</v>
      </c>
    </row>
    <row r="3455" spans="1:37" x14ac:dyDescent="0.2">
      <c r="A3455" t="str">
        <f>"20200111155615069"</f>
        <v>20200111155615069</v>
      </c>
      <c r="B3455" t="str">
        <f>"1578729375065912"</f>
        <v>1578729375065912</v>
      </c>
      <c r="C3455" t="s">
        <v>37</v>
      </c>
      <c r="D3455">
        <v>4.8884369999999997</v>
      </c>
      <c r="E3455">
        <v>0.49959549999999903</v>
      </c>
      <c r="F3455" t="s">
        <v>59</v>
      </c>
      <c r="G3455">
        <v>-356.55110000000002</v>
      </c>
      <c r="H3455" s="1">
        <v>1.7974900000000001E-6</v>
      </c>
      <c r="I3455">
        <v>218.0908</v>
      </c>
      <c r="J3455">
        <v>-392.24310000000003</v>
      </c>
      <c r="K3455">
        <v>1.10514</v>
      </c>
      <c r="L3455">
        <v>214.16589999999999</v>
      </c>
      <c r="M3455">
        <v>0.99926809999999999</v>
      </c>
      <c r="N3455">
        <v>0</v>
      </c>
      <c r="O3455">
        <v>3.6779859999999998E-2</v>
      </c>
      <c r="P3455">
        <v>0.99417639999999996</v>
      </c>
      <c r="Q3455">
        <v>2.8889689999999999E-2</v>
      </c>
      <c r="R3455">
        <v>0.1038206</v>
      </c>
      <c r="S3455">
        <v>2.9859619999999998</v>
      </c>
      <c r="T3455">
        <v>-9.1743110000000003E-2</v>
      </c>
      <c r="U3455">
        <v>0.32672119999999999</v>
      </c>
      <c r="V3455">
        <v>-6.7237850000000002E-2</v>
      </c>
      <c r="W3455">
        <v>3.9280620000000002E-2</v>
      </c>
      <c r="X3455">
        <v>0.99696340000000006</v>
      </c>
      <c r="Y3455">
        <v>-7.2116159999999999E-2</v>
      </c>
      <c r="Z3455" s="1">
        <v>-2.1412739999999999E-5</v>
      </c>
      <c r="AA3455">
        <v>0.99739619999999996</v>
      </c>
      <c r="AB3455">
        <v>27</v>
      </c>
      <c r="AC3455">
        <v>35.692</v>
      </c>
      <c r="AD3455">
        <v>-1.1051382025100001</v>
      </c>
      <c r="AE3455">
        <v>3.9249000000000001</v>
      </c>
      <c r="AF3455">
        <v>-2.6069553094285198</v>
      </c>
      <c r="AG3455">
        <v>-1.1051382025100001</v>
      </c>
      <c r="AH3455">
        <v>35.7783215581928</v>
      </c>
      <c r="AI3455">
        <v>91.764542421305094</v>
      </c>
      <c r="AJ3455">
        <v>94.167440768659702</v>
      </c>
      <c r="AK3455">
        <v>35.890191417063399</v>
      </c>
    </row>
    <row r="3456" spans="1:37" x14ac:dyDescent="0.2">
      <c r="A3456" t="str">
        <f>"20200111155615092"</f>
        <v>20200111155615092</v>
      </c>
      <c r="B3456" t="str">
        <f>"1578729375086408"</f>
        <v>1578729375086408</v>
      </c>
      <c r="C3456" t="s">
        <v>37</v>
      </c>
      <c r="D3456">
        <v>4.8716900000000001</v>
      </c>
      <c r="E3456">
        <v>0.49999510000000003</v>
      </c>
      <c r="F3456" t="s">
        <v>59</v>
      </c>
      <c r="G3456">
        <v>-355.63479999999998</v>
      </c>
      <c r="H3456" s="1">
        <v>1.307571E-6</v>
      </c>
      <c r="I3456">
        <v>218.14359999999999</v>
      </c>
      <c r="J3456">
        <v>-391.96420000000001</v>
      </c>
      <c r="K3456">
        <v>1.1050979999999999</v>
      </c>
      <c r="L3456">
        <v>214.17699999999999</v>
      </c>
      <c r="M3456">
        <v>0.99924169999999901</v>
      </c>
      <c r="N3456">
        <v>0</v>
      </c>
      <c r="O3456">
        <v>3.7502059999999997E-2</v>
      </c>
      <c r="P3456">
        <v>0.99404619999999999</v>
      </c>
      <c r="Q3456">
        <v>2.9126429999999998E-2</v>
      </c>
      <c r="R3456">
        <v>0.104994899999999</v>
      </c>
      <c r="S3456">
        <v>2.9862980000000001</v>
      </c>
      <c r="T3456">
        <v>-9.0150830000000001E-2</v>
      </c>
      <c r="U3456">
        <v>0.32447809999999999</v>
      </c>
      <c r="V3456">
        <v>-6.7691299999999996E-2</v>
      </c>
      <c r="W3456">
        <v>3.9489789999999997E-2</v>
      </c>
      <c r="X3456">
        <v>0.99692449999999999</v>
      </c>
      <c r="Y3456">
        <v>-7.0644330000000005E-2</v>
      </c>
      <c r="Z3456" s="1">
        <v>-6.4889779999999995E-5</v>
      </c>
      <c r="AA3456">
        <v>0.99750159999999999</v>
      </c>
      <c r="AB3456">
        <v>28</v>
      </c>
      <c r="AC3456">
        <v>36.3294</v>
      </c>
      <c r="AD3456">
        <v>-1.105096692429</v>
      </c>
      <c r="AE3456">
        <v>3.9665999999999699</v>
      </c>
      <c r="AF3456">
        <v>-2.59893090190725</v>
      </c>
      <c r="AG3456">
        <v>-1.105096692429</v>
      </c>
      <c r="AH3456">
        <v>36.419303215729698</v>
      </c>
      <c r="AI3456">
        <v>91.7336271995499</v>
      </c>
      <c r="AJ3456">
        <v>94.081785212727297</v>
      </c>
      <c r="AK3456">
        <v>36.528637084509</v>
      </c>
    </row>
    <row r="3457" spans="1:37" x14ac:dyDescent="0.2">
      <c r="A3457" t="str">
        <f>"20200111155615115"</f>
        <v>20200111155615115</v>
      </c>
      <c r="B3457" t="str">
        <f>"1578729375105927"</f>
        <v>1578729375105927</v>
      </c>
      <c r="C3457" t="s">
        <v>37</v>
      </c>
      <c r="D3457">
        <v>4.8438660000000002</v>
      </c>
      <c r="E3457">
        <v>0.50051440000000003</v>
      </c>
      <c r="F3457" t="s">
        <v>59</v>
      </c>
      <c r="G3457">
        <v>-355.39330000000001</v>
      </c>
      <c r="H3457" s="1">
        <v>1.17856E-6</v>
      </c>
      <c r="I3457">
        <v>218.15530000000001</v>
      </c>
      <c r="J3457">
        <v>-391.68310000000002</v>
      </c>
      <c r="K3457">
        <v>1.1050359999999999</v>
      </c>
      <c r="L3457">
        <v>214.1883</v>
      </c>
      <c r="M3457">
        <v>0.99921729999999997</v>
      </c>
      <c r="N3457">
        <v>0</v>
      </c>
      <c r="O3457">
        <v>3.8158400000000002E-2</v>
      </c>
      <c r="P3457">
        <v>0.99385829999999997</v>
      </c>
      <c r="Q3457">
        <v>2.9282579999999999E-2</v>
      </c>
      <c r="R3457">
        <v>0.1067168</v>
      </c>
      <c r="S3457">
        <v>2.9862980000000001</v>
      </c>
      <c r="T3457">
        <v>-9.0239639999999996E-2</v>
      </c>
      <c r="U3457">
        <v>0.32485959999999903</v>
      </c>
      <c r="V3457">
        <v>-6.8759580000000001E-2</v>
      </c>
      <c r="W3457">
        <v>3.9602720000000001E-2</v>
      </c>
      <c r="X3457">
        <v>0.99684689999999998</v>
      </c>
      <c r="Y3457">
        <v>-7.0115540000000004E-2</v>
      </c>
      <c r="Z3457" s="1">
        <v>-9.2656929999999999E-5</v>
      </c>
      <c r="AA3457">
        <v>0.99753890000000001</v>
      </c>
      <c r="AB3457">
        <v>28</v>
      </c>
      <c r="AC3457">
        <v>36.2898</v>
      </c>
      <c r="AD3457">
        <v>-1.1050348214400001</v>
      </c>
      <c r="AE3457">
        <v>3.9670000000000099</v>
      </c>
      <c r="AF3457">
        <v>-2.5769133923366301</v>
      </c>
      <c r="AG3457">
        <v>-1.1050348214400001</v>
      </c>
      <c r="AH3457">
        <v>36.381414746812403</v>
      </c>
      <c r="AI3457">
        <v>91.735399562458895</v>
      </c>
      <c r="AJ3457">
        <v>94.051521675736893</v>
      </c>
      <c r="AK3457">
        <v>36.489298754124803</v>
      </c>
    </row>
    <row r="3458" spans="1:37" x14ac:dyDescent="0.2">
      <c r="A3458" t="str">
        <f>"20200111155615137"</f>
        <v>20200111155615137</v>
      </c>
      <c r="B3458" t="str">
        <f>"1578729375126424"</f>
        <v>1578729375126424</v>
      </c>
      <c r="C3458" t="s">
        <v>37</v>
      </c>
      <c r="D3458">
        <v>4.8389519999999999</v>
      </c>
      <c r="E3458">
        <v>0.50076849999999995</v>
      </c>
      <c r="F3458" t="s">
        <v>59</v>
      </c>
      <c r="G3458">
        <v>-355.36860000000001</v>
      </c>
      <c r="H3458" s="1">
        <v>1.165374E-6</v>
      </c>
      <c r="I3458">
        <v>218.1559</v>
      </c>
      <c r="J3458">
        <v>-391.41019999999997</v>
      </c>
      <c r="K3458">
        <v>1.1049659999999999</v>
      </c>
      <c r="L3458">
        <v>214.1994</v>
      </c>
      <c r="M3458">
        <v>0.99919659999999999</v>
      </c>
      <c r="N3458">
        <v>0</v>
      </c>
      <c r="O3458">
        <v>3.871024E-2</v>
      </c>
      <c r="P3458">
        <v>0.99359599999999904</v>
      </c>
      <c r="Q3458">
        <v>3.0744509999999999E-2</v>
      </c>
      <c r="R3458">
        <v>0.1087272</v>
      </c>
      <c r="S3458">
        <v>2.9861759999999999</v>
      </c>
      <c r="T3458">
        <v>-9.0867999999999893E-2</v>
      </c>
      <c r="U3458">
        <v>0.32626339999999998</v>
      </c>
      <c r="V3458">
        <v>-7.0222859999999998E-2</v>
      </c>
      <c r="W3458">
        <v>4.1010629999999999E-2</v>
      </c>
      <c r="X3458">
        <v>0.99668789999999996</v>
      </c>
      <c r="Y3458">
        <v>-7.0032570000000002E-2</v>
      </c>
      <c r="Z3458">
        <v>-1.112714E-4</v>
      </c>
      <c r="AA3458">
        <v>0.99754469999999995</v>
      </c>
      <c r="AB3458">
        <v>28</v>
      </c>
      <c r="AC3458">
        <v>36.041599999999903</v>
      </c>
      <c r="AD3458">
        <v>-1.1049648346259999</v>
      </c>
      <c r="AE3458">
        <v>3.9565000000000001</v>
      </c>
      <c r="AF3458">
        <v>-2.5559063623836802</v>
      </c>
      <c r="AG3458">
        <v>-1.1049648346259999</v>
      </c>
      <c r="AH3458">
        <v>36.134189744139398</v>
      </c>
      <c r="AI3458">
        <v>91.747166889421806</v>
      </c>
      <c r="AJ3458">
        <v>94.046005976153097</v>
      </c>
      <c r="AK3458">
        <v>36.241319968849197</v>
      </c>
    </row>
    <row r="3459" spans="1:37" x14ac:dyDescent="0.2">
      <c r="A3459" t="str">
        <f>"20200111155615159"</f>
        <v>20200111155615159</v>
      </c>
      <c r="B3459" t="str">
        <f>"1578729375155704"</f>
        <v>1578729375155704</v>
      </c>
      <c r="C3459" t="s">
        <v>37</v>
      </c>
      <c r="D3459">
        <v>4.8221429999999996</v>
      </c>
      <c r="E3459">
        <v>0.54009219999999902</v>
      </c>
      <c r="F3459" t="s">
        <v>59</v>
      </c>
      <c r="G3459">
        <v>-353.55180000000001</v>
      </c>
      <c r="H3459" s="1">
        <v>1.8831989999999999E-7</v>
      </c>
      <c r="I3459">
        <v>218.3905</v>
      </c>
      <c r="J3459">
        <v>-391.14019999999999</v>
      </c>
      <c r="K3459">
        <v>1.104881</v>
      </c>
      <c r="L3459">
        <v>214.21039999999999</v>
      </c>
      <c r="M3459">
        <v>0.99918039999999997</v>
      </c>
      <c r="N3459">
        <v>0</v>
      </c>
      <c r="O3459">
        <v>3.91518E-2</v>
      </c>
      <c r="P3459">
        <v>0.99330200000000002</v>
      </c>
      <c r="Q3459">
        <v>3.2533579999999999E-2</v>
      </c>
      <c r="R3459">
        <v>0.1108746</v>
      </c>
      <c r="S3459">
        <v>2.9858699999999998</v>
      </c>
      <c r="T3459">
        <v>-8.7147950000000002E-2</v>
      </c>
      <c r="U3459">
        <v>0.33055109999999999</v>
      </c>
      <c r="V3459">
        <v>-7.1933239999999996E-2</v>
      </c>
      <c r="W3459">
        <v>4.2736219999999998E-2</v>
      </c>
      <c r="X3459">
        <v>0.99649349999999903</v>
      </c>
      <c r="Y3459">
        <v>-7.1019020000000002E-2</v>
      </c>
      <c r="Z3459">
        <v>-1.051879E-4</v>
      </c>
      <c r="AA3459">
        <v>0.997475</v>
      </c>
      <c r="AB3459">
        <v>28</v>
      </c>
      <c r="AC3459">
        <v>37.588399999999901</v>
      </c>
      <c r="AD3459">
        <v>-1.1048808116801001</v>
      </c>
      <c r="AE3459">
        <v>4.1801000000000004</v>
      </c>
      <c r="AF3459">
        <v>-2.7028566042834399</v>
      </c>
      <c r="AG3459">
        <v>-1.1048808116801001</v>
      </c>
      <c r="AH3459">
        <v>37.691076073863002</v>
      </c>
      <c r="AI3459">
        <v>91.674796350342106</v>
      </c>
      <c r="AJ3459">
        <v>94.101703950748501</v>
      </c>
      <c r="AK3459">
        <v>37.804013160471001</v>
      </c>
    </row>
    <row r="3460" spans="1:37" x14ac:dyDescent="0.2">
      <c r="A3460" t="str">
        <f>"20200111155615181"</f>
        <v>20200111155615181</v>
      </c>
      <c r="B3460" t="str">
        <f>"1578729375176201"</f>
        <v>1578729375176201</v>
      </c>
      <c r="C3460" t="s">
        <v>37</v>
      </c>
      <c r="D3460">
        <v>5.0368889999999897</v>
      </c>
      <c r="E3460">
        <v>0.54172569999999998</v>
      </c>
      <c r="F3460" t="s">
        <v>59</v>
      </c>
      <c r="G3460">
        <v>-361.56540000000001</v>
      </c>
      <c r="H3460" s="1">
        <v>-7.0378009999999996E-7</v>
      </c>
      <c r="I3460">
        <v>214.4691</v>
      </c>
      <c r="J3460">
        <v>-390.86110000000002</v>
      </c>
      <c r="K3460">
        <v>1.1047769999999999</v>
      </c>
      <c r="L3460">
        <v>214.2218</v>
      </c>
      <c r="M3460">
        <v>0.99916879999999997</v>
      </c>
      <c r="N3460">
        <v>0</v>
      </c>
      <c r="O3460">
        <v>3.9471729999999997E-2</v>
      </c>
      <c r="P3460">
        <v>0.99303709999999901</v>
      </c>
      <c r="Q3460">
        <v>3.3623319999999998E-2</v>
      </c>
      <c r="R3460">
        <v>0.1129015</v>
      </c>
      <c r="S3460">
        <v>3.0209959999999998</v>
      </c>
      <c r="T3460">
        <v>-0.112860999999999</v>
      </c>
      <c r="U3460">
        <v>2.6428219999999999E-2</v>
      </c>
      <c r="V3460">
        <v>-7.3640510000000006E-2</v>
      </c>
      <c r="W3460">
        <v>4.3742820000000002E-2</v>
      </c>
      <c r="X3460">
        <v>0.99632509999999996</v>
      </c>
      <c r="Y3460">
        <v>3.0682319999999999E-2</v>
      </c>
      <c r="Z3460">
        <v>-2.046721E-3</v>
      </c>
      <c r="AA3460">
        <v>0.9995271</v>
      </c>
      <c r="AB3460">
        <v>28</v>
      </c>
      <c r="AC3460">
        <v>29.2957</v>
      </c>
      <c r="AD3460">
        <v>-1.1047777037801001</v>
      </c>
      <c r="AE3460">
        <v>0.247299999999995</v>
      </c>
      <c r="AF3460">
        <v>0.908013431897294</v>
      </c>
      <c r="AG3460">
        <v>-1.1047777037801001</v>
      </c>
      <c r="AH3460">
        <v>29.241047124168102</v>
      </c>
      <c r="AI3460">
        <v>92.162663773222306</v>
      </c>
      <c r="AJ3460">
        <v>88.221382952636603</v>
      </c>
      <c r="AK3460">
        <v>29.275994587461799</v>
      </c>
    </row>
    <row r="3461" spans="1:37" x14ac:dyDescent="0.2">
      <c r="A3461" t="str">
        <f>"20200111155615204"</f>
        <v>20200111155615204</v>
      </c>
      <c r="B3461" t="str">
        <f>"1578729375195719"</f>
        <v>1578729375195719</v>
      </c>
      <c r="C3461" t="s">
        <v>37</v>
      </c>
      <c r="D3461">
        <v>4.8242560000000001</v>
      </c>
      <c r="E3461">
        <v>0.54187109999999905</v>
      </c>
      <c r="F3461" t="s">
        <v>59</v>
      </c>
      <c r="G3461">
        <v>-360.4171</v>
      </c>
      <c r="H3461" s="1">
        <v>-1.314833E-6</v>
      </c>
      <c r="I3461">
        <v>214.4179</v>
      </c>
      <c r="J3461">
        <v>-390.57639999999998</v>
      </c>
      <c r="K3461">
        <v>1.1046719999999901</v>
      </c>
      <c r="L3461">
        <v>214.23330000000001</v>
      </c>
      <c r="M3461">
        <v>0.99916139999999998</v>
      </c>
      <c r="N3461">
        <v>0</v>
      </c>
      <c r="O3461">
        <v>3.9685199999999997E-2</v>
      </c>
      <c r="P3461">
        <v>0.99281269999999999</v>
      </c>
      <c r="Q3461">
        <v>3.4409019999999998E-2</v>
      </c>
      <c r="R3461">
        <v>0.1146267</v>
      </c>
      <c r="S3461">
        <v>3.022491</v>
      </c>
      <c r="T3461">
        <v>-0.1096829</v>
      </c>
      <c r="U3461">
        <v>1.9470210000000002E-2</v>
      </c>
      <c r="V3461">
        <v>-7.5151289999999996E-2</v>
      </c>
      <c r="W3461">
        <v>4.4430230000000001E-2</v>
      </c>
      <c r="X3461">
        <v>0.99618180000000001</v>
      </c>
      <c r="Y3461">
        <v>3.3201870000000001E-2</v>
      </c>
      <c r="Z3461">
        <v>-2.0416129999999998E-3</v>
      </c>
      <c r="AA3461">
        <v>0.99944659999999996</v>
      </c>
      <c r="AB3461">
        <v>28</v>
      </c>
      <c r="AC3461">
        <v>30.159299999999899</v>
      </c>
      <c r="AD3461">
        <v>-1.1046733148329999</v>
      </c>
      <c r="AE3461">
        <v>0.184599999999988</v>
      </c>
      <c r="AF3461">
        <v>1.0111275994084701</v>
      </c>
      <c r="AG3461">
        <v>-1.1046733148329999</v>
      </c>
      <c r="AH3461">
        <v>30.102481142072499</v>
      </c>
      <c r="AI3461">
        <v>92.100461496264998</v>
      </c>
      <c r="AJ3461">
        <v>88.076186125856907</v>
      </c>
      <c r="AK3461">
        <v>30.139708908077001</v>
      </c>
    </row>
    <row r="3462" spans="1:37" x14ac:dyDescent="0.2">
      <c r="A3462" t="str">
        <f>"20200111155615226"</f>
        <v>20200111155615226</v>
      </c>
      <c r="B3462" t="str">
        <f>"1578729375216215"</f>
        <v>1578729375216215</v>
      </c>
      <c r="C3462" t="s">
        <v>37</v>
      </c>
      <c r="D3462">
        <v>4.8374509999999997</v>
      </c>
      <c r="E3462">
        <v>0.54318639999999996</v>
      </c>
      <c r="F3462" t="s">
        <v>59</v>
      </c>
      <c r="G3462">
        <v>-352.63199999999898</v>
      </c>
      <c r="H3462" s="1">
        <v>-1.315309E-7</v>
      </c>
      <c r="I3462">
        <v>214.51089999999999</v>
      </c>
      <c r="J3462">
        <v>-390.30020000000002</v>
      </c>
      <c r="K3462">
        <v>1.1045799999999999</v>
      </c>
      <c r="L3462">
        <v>214.24440000000001</v>
      </c>
      <c r="M3462">
        <v>0.99915869999999996</v>
      </c>
      <c r="N3462">
        <v>0</v>
      </c>
      <c r="O3462">
        <v>3.9786830000000002E-2</v>
      </c>
      <c r="P3462">
        <v>0.99262430000000001</v>
      </c>
      <c r="Q3462">
        <v>3.491495E-2</v>
      </c>
      <c r="R3462">
        <v>0.11609649999999901</v>
      </c>
      <c r="S3462">
        <v>3.0222169999999999</v>
      </c>
      <c r="T3462">
        <v>-8.7985629999999995E-2</v>
      </c>
      <c r="U3462">
        <v>2.210999E-2</v>
      </c>
      <c r="V3462">
        <v>-7.6516979999999998E-2</v>
      </c>
      <c r="W3462">
        <v>4.4821809999999997E-2</v>
      </c>
      <c r="X3462">
        <v>0.99606030000000001</v>
      </c>
      <c r="Y3462">
        <v>3.2447320000000002E-2</v>
      </c>
      <c r="Z3462">
        <v>-1.630049E-3</v>
      </c>
      <c r="AA3462">
        <v>0.99947209999999997</v>
      </c>
      <c r="AB3462">
        <v>28</v>
      </c>
      <c r="AC3462">
        <v>37.668199999999999</v>
      </c>
      <c r="AD3462">
        <v>-1.1045801315308901</v>
      </c>
      <c r="AE3462">
        <v>0.26649999999997898</v>
      </c>
      <c r="AF3462">
        <v>1.2314245831742501</v>
      </c>
      <c r="AG3462">
        <v>-1.1045801315308901</v>
      </c>
      <c r="AH3462">
        <v>37.616630047780397</v>
      </c>
      <c r="AI3462">
        <v>91.681058190949798</v>
      </c>
      <c r="AJ3462">
        <v>88.1250249221102</v>
      </c>
      <c r="AK3462">
        <v>37.652986069136603</v>
      </c>
    </row>
    <row r="3463" spans="1:37" x14ac:dyDescent="0.2">
      <c r="A3463" t="str">
        <f>"20200111155615248"</f>
        <v>20200111155615248</v>
      </c>
      <c r="B3463" t="str">
        <f>"1578729375235736"</f>
        <v>1578729375235736</v>
      </c>
      <c r="C3463" t="s">
        <v>37</v>
      </c>
      <c r="D3463">
        <v>4.8231970000000004</v>
      </c>
      <c r="E3463">
        <v>0.54356899999999997</v>
      </c>
      <c r="F3463" t="s">
        <v>59</v>
      </c>
      <c r="G3463">
        <v>-347.73689999999999</v>
      </c>
      <c r="H3463" s="1">
        <v>2.5804229999999999E-6</v>
      </c>
      <c r="I3463">
        <v>214.4633</v>
      </c>
      <c r="J3463">
        <v>-390.03250000000003</v>
      </c>
      <c r="K3463">
        <v>1.1044719999999999</v>
      </c>
      <c r="L3463">
        <v>214.2551</v>
      </c>
      <c r="M3463">
        <v>0.99916119999999997</v>
      </c>
      <c r="N3463">
        <v>0</v>
      </c>
      <c r="O3463">
        <v>3.975803E-2</v>
      </c>
      <c r="P3463">
        <v>0.99258649999999904</v>
      </c>
      <c r="Q3463">
        <v>3.5533519999999999E-2</v>
      </c>
      <c r="R3463">
        <v>0.1162286</v>
      </c>
      <c r="S3463">
        <v>3.0232239999999999</v>
      </c>
      <c r="T3463">
        <v>-7.8456880000000007E-2</v>
      </c>
      <c r="U3463">
        <v>1.554871E-2</v>
      </c>
      <c r="V3463">
        <v>-7.6670619999999995E-2</v>
      </c>
      <c r="W3463">
        <v>4.5305779999999997E-2</v>
      </c>
      <c r="X3463">
        <v>0.99602659999999998</v>
      </c>
      <c r="Y3463">
        <v>3.4595430000000003E-2</v>
      </c>
      <c r="Z3463">
        <v>-1.480236E-3</v>
      </c>
      <c r="AA3463">
        <v>0.99940030000000002</v>
      </c>
      <c r="AB3463">
        <v>28</v>
      </c>
      <c r="AC3463">
        <v>42.2956</v>
      </c>
      <c r="AD3463">
        <v>-1.104469419577</v>
      </c>
      <c r="AE3463">
        <v>0.20820000000000499</v>
      </c>
      <c r="AF3463">
        <v>1.47263109774064</v>
      </c>
      <c r="AG3463">
        <v>-1.104469419577</v>
      </c>
      <c r="AH3463">
        <v>42.241629608203802</v>
      </c>
      <c r="AI3463">
        <v>91.496832119221807</v>
      </c>
      <c r="AJ3463">
        <v>88.003358534824201</v>
      </c>
      <c r="AK3463">
        <v>42.281719063981903</v>
      </c>
    </row>
    <row r="3464" spans="1:37" x14ac:dyDescent="0.2">
      <c r="A3464" t="str">
        <f>"20200111155615270"</f>
        <v>20200111155615270</v>
      </c>
      <c r="B3464" t="str">
        <f>"1578729375265991"</f>
        <v>1578729375265991</v>
      </c>
      <c r="C3464" t="s">
        <v>37</v>
      </c>
      <c r="D3464">
        <v>4.8888910000000001</v>
      </c>
      <c r="E3464">
        <v>0.54400559999999998</v>
      </c>
      <c r="F3464" t="s">
        <v>59</v>
      </c>
      <c r="G3464">
        <v>-350.64120000000003</v>
      </c>
      <c r="H3464" s="1">
        <v>-1.1873189999999999E-6</v>
      </c>
      <c r="I3464">
        <v>214.42740000000001</v>
      </c>
      <c r="J3464">
        <v>-389.74329999999998</v>
      </c>
      <c r="K3464">
        <v>1.1043319999999901</v>
      </c>
      <c r="L3464">
        <v>214.2664</v>
      </c>
      <c r="M3464">
        <v>0.99917089999999997</v>
      </c>
      <c r="N3464">
        <v>0</v>
      </c>
      <c r="O3464">
        <v>3.9560329999999998E-2</v>
      </c>
      <c r="P3464">
        <v>0.99261619999999995</v>
      </c>
      <c r="Q3464">
        <v>3.6220009999999997E-2</v>
      </c>
      <c r="R3464">
        <v>0.115763799999999</v>
      </c>
      <c r="S3464">
        <v>3.0239259999999999</v>
      </c>
      <c r="T3464">
        <v>-8.4786420000000001E-2</v>
      </c>
      <c r="U3464">
        <v>1.3229370000000001E-2</v>
      </c>
      <c r="V3464">
        <v>-7.63905E-2</v>
      </c>
      <c r="W3464">
        <v>4.5822130000000003E-2</v>
      </c>
      <c r="X3464">
        <v>0.99602449999999998</v>
      </c>
      <c r="Y3464">
        <v>3.5160999999999998E-2</v>
      </c>
      <c r="Z3464">
        <v>-1.601632E-3</v>
      </c>
      <c r="AA3464">
        <v>0.99938039999999995</v>
      </c>
      <c r="AB3464">
        <v>28</v>
      </c>
      <c r="AC3464">
        <v>39.102099999999901</v>
      </c>
      <c r="AD3464">
        <v>-1.1043331873190001</v>
      </c>
      <c r="AE3464">
        <v>0.161000000000001</v>
      </c>
      <c r="AF3464">
        <v>1.38498488477267</v>
      </c>
      <c r="AG3464">
        <v>-1.1043331873190001</v>
      </c>
      <c r="AH3464">
        <v>39.046712714334497</v>
      </c>
      <c r="AI3464">
        <v>91.619010417961206</v>
      </c>
      <c r="AJ3464">
        <v>87.968573296399597</v>
      </c>
      <c r="AK3464">
        <v>39.086871308860701</v>
      </c>
    </row>
    <row r="3465" spans="1:37" x14ac:dyDescent="0.2">
      <c r="A3465" t="str">
        <f>"20200111155615294"</f>
        <v>20200111155615294</v>
      </c>
      <c r="B3465" t="str">
        <f>"1578729375286489"</f>
        <v>1578729375286489</v>
      </c>
      <c r="C3465" t="s">
        <v>37</v>
      </c>
      <c r="D3465">
        <v>5.038977</v>
      </c>
      <c r="E3465">
        <v>0.5437843</v>
      </c>
      <c r="F3465" t="s">
        <v>59</v>
      </c>
      <c r="G3465">
        <v>-353.59739999999999</v>
      </c>
      <c r="H3465" s="1">
        <v>3.8834860000000001E-7</v>
      </c>
      <c r="I3465">
        <v>214.36959999999999</v>
      </c>
      <c r="J3465">
        <v>-389.45350000000002</v>
      </c>
      <c r="K3465">
        <v>1.104171</v>
      </c>
      <c r="L3465">
        <v>214.27760000000001</v>
      </c>
      <c r="M3465">
        <v>0.99918809999999902</v>
      </c>
      <c r="N3465">
        <v>0</v>
      </c>
      <c r="O3465">
        <v>3.9175699999999897E-2</v>
      </c>
      <c r="P3465">
        <v>0.99276019999999898</v>
      </c>
      <c r="Q3465">
        <v>3.6931360000000003E-2</v>
      </c>
      <c r="R3465">
        <v>0.1142953</v>
      </c>
      <c r="S3465">
        <v>3.0247189999999899</v>
      </c>
      <c r="T3465">
        <v>-9.2411279999999998E-2</v>
      </c>
      <c r="U3465">
        <v>8.6364749999999994E-3</v>
      </c>
      <c r="V3465">
        <v>-7.5286270000000002E-2</v>
      </c>
      <c r="W3465">
        <v>4.6351820000000002E-2</v>
      </c>
      <c r="X3465">
        <v>0.99608410000000003</v>
      </c>
      <c r="Y3465">
        <v>3.6288979999999998E-2</v>
      </c>
      <c r="Z3465">
        <v>-1.750642E-3</v>
      </c>
      <c r="AA3465">
        <v>0.9993398</v>
      </c>
      <c r="AB3465">
        <v>28</v>
      </c>
      <c r="AC3465">
        <v>35.856099999999998</v>
      </c>
      <c r="AD3465">
        <v>-1.1041706116513901</v>
      </c>
      <c r="AE3465">
        <v>9.1999999999984497E-2</v>
      </c>
      <c r="AF3465">
        <v>1.31157678147847</v>
      </c>
      <c r="AG3465">
        <v>-1.1041706116513901</v>
      </c>
      <c r="AH3465">
        <v>35.798229232175999</v>
      </c>
      <c r="AI3465">
        <v>91.765503150002203</v>
      </c>
      <c r="AJ3465">
        <v>87.9017337456864</v>
      </c>
      <c r="AK3465">
        <v>35.839261188712698</v>
      </c>
    </row>
    <row r="3466" spans="1:37" x14ac:dyDescent="0.2">
      <c r="A3466" t="str">
        <f>"20200111155615315"</f>
        <v>20200111155615315</v>
      </c>
      <c r="B3466" t="str">
        <f>"1578729375306008"</f>
        <v>1578729375306008</v>
      </c>
      <c r="C3466" t="s">
        <v>37</v>
      </c>
      <c r="D3466">
        <v>4.8779539999999999</v>
      </c>
      <c r="E3466">
        <v>0.54438050000000004</v>
      </c>
      <c r="F3466" t="s">
        <v>59</v>
      </c>
      <c r="G3466">
        <v>-353.57190000000003</v>
      </c>
      <c r="H3466" s="1">
        <v>3.758733E-7</v>
      </c>
      <c r="I3466">
        <v>214.3451</v>
      </c>
      <c r="J3466">
        <v>-389.1848</v>
      </c>
      <c r="K3466">
        <v>1.1040019999999999</v>
      </c>
      <c r="L3466">
        <v>214.2877</v>
      </c>
      <c r="M3466">
        <v>0.99921070000000001</v>
      </c>
      <c r="N3466">
        <v>0</v>
      </c>
      <c r="O3466">
        <v>3.8642199999999897E-2</v>
      </c>
      <c r="P3466">
        <v>0.99300580000000005</v>
      </c>
      <c r="Q3466">
        <v>3.6694339999999999E-2</v>
      </c>
      <c r="R3466">
        <v>0.1122196</v>
      </c>
      <c r="S3466">
        <v>3.024689</v>
      </c>
      <c r="T3466">
        <v>-9.3077660000000007E-2</v>
      </c>
      <c r="U3466">
        <v>5.6915280000000004E-3</v>
      </c>
      <c r="V3466">
        <v>-7.3719690000000004E-2</v>
      </c>
      <c r="W3466">
        <v>4.5944550000000001E-2</v>
      </c>
      <c r="X3466">
        <v>0.99622009999999905</v>
      </c>
      <c r="Y3466">
        <v>3.6727830000000003E-2</v>
      </c>
      <c r="Z3466">
        <v>-1.7536299999999999E-3</v>
      </c>
      <c r="AA3466">
        <v>0.99932379999999998</v>
      </c>
      <c r="AB3466">
        <v>28</v>
      </c>
      <c r="AC3466">
        <v>35.612899999999897</v>
      </c>
      <c r="AD3466">
        <v>-1.1040016241267001</v>
      </c>
      <c r="AE3466">
        <v>5.74000000000012E-2</v>
      </c>
      <c r="AF3466">
        <v>1.3175957928090001</v>
      </c>
      <c r="AG3466">
        <v>-1.1040016241267001</v>
      </c>
      <c r="AH3466">
        <v>35.554349279466599</v>
      </c>
      <c r="AI3466">
        <v>91.777306252467895</v>
      </c>
      <c r="AJ3466">
        <v>87.877667601749096</v>
      </c>
      <c r="AK3466">
        <v>35.5958794096397</v>
      </c>
    </row>
    <row r="3467" spans="1:37" x14ac:dyDescent="0.2">
      <c r="A3467" t="str">
        <f>"20200111155615337"</f>
        <v>20200111155615337</v>
      </c>
      <c r="B3467" t="str">
        <f>"1578729375326503"</f>
        <v>1578729375326503</v>
      </c>
      <c r="C3467" t="s">
        <v>37</v>
      </c>
      <c r="D3467">
        <v>4.9116179999999998</v>
      </c>
      <c r="E3467">
        <v>0.5448383</v>
      </c>
      <c r="F3467" t="s">
        <v>59</v>
      </c>
      <c r="G3467">
        <v>-354.209</v>
      </c>
      <c r="H3467" s="1">
        <v>7.2006860000000002E-7</v>
      </c>
      <c r="I3467">
        <v>214.227</v>
      </c>
      <c r="J3467">
        <v>-388.91199999999998</v>
      </c>
      <c r="K3467">
        <v>1.1038190000000001</v>
      </c>
      <c r="L3467">
        <v>214.29759999999999</v>
      </c>
      <c r="M3467">
        <v>0.99924000000000002</v>
      </c>
      <c r="N3467">
        <v>0</v>
      </c>
      <c r="O3467">
        <v>3.7922579999999997E-2</v>
      </c>
      <c r="P3467">
        <v>0.9932742</v>
      </c>
      <c r="Q3467">
        <v>3.588773E-2</v>
      </c>
      <c r="R3467">
        <v>0.1100845</v>
      </c>
      <c r="S3467">
        <v>3.02526899999999</v>
      </c>
      <c r="T3467">
        <v>-9.5491770000000004E-2</v>
      </c>
      <c r="U3467">
        <v>-5.2490230000000002E-3</v>
      </c>
      <c r="V3467">
        <v>-7.2279189999999993E-2</v>
      </c>
      <c r="W3467">
        <v>4.4970900000000001E-2</v>
      </c>
      <c r="X3467">
        <v>0.99637009999999904</v>
      </c>
      <c r="Y3467">
        <v>3.9619250000000002E-2</v>
      </c>
      <c r="Z3467">
        <v>-1.821689E-3</v>
      </c>
      <c r="AA3467">
        <v>0.99921319999999902</v>
      </c>
      <c r="AB3467">
        <v>28</v>
      </c>
      <c r="AC3467">
        <v>34.702999999999903</v>
      </c>
      <c r="AD3467">
        <v>-1.1038182799314</v>
      </c>
      <c r="AE3467">
        <v>-7.0599999999984606E-2</v>
      </c>
      <c r="AF3467">
        <v>1.38522854545461</v>
      </c>
      <c r="AG3467">
        <v>-1.1038182799314</v>
      </c>
      <c r="AH3467">
        <v>34.640311758695901</v>
      </c>
      <c r="AI3467">
        <v>91.823663741682196</v>
      </c>
      <c r="AJ3467">
        <v>87.710023962808194</v>
      </c>
      <c r="AK3467">
        <v>34.685565753752599</v>
      </c>
    </row>
    <row r="3468" spans="1:37" x14ac:dyDescent="0.2">
      <c r="A3468" t="str">
        <f>"20200111155615360"</f>
        <v>20200111155615360</v>
      </c>
      <c r="B3468" t="str">
        <f>"1578729375356760"</f>
        <v>1578729375356760</v>
      </c>
      <c r="C3468" t="s">
        <v>37</v>
      </c>
      <c r="D3468">
        <v>5.0930410000000004</v>
      </c>
      <c r="E3468">
        <v>0.54523639999999995</v>
      </c>
      <c r="F3468" t="s">
        <v>59</v>
      </c>
      <c r="G3468">
        <v>-355.29840000000002</v>
      </c>
      <c r="H3468" s="1">
        <v>1.3042449999999999E-6</v>
      </c>
      <c r="I3468">
        <v>214.12479999999999</v>
      </c>
      <c r="J3468">
        <v>-388.61709999999999</v>
      </c>
      <c r="K3468">
        <v>1.1036349999999999</v>
      </c>
      <c r="L3468">
        <v>214.30779999999999</v>
      </c>
      <c r="M3468">
        <v>0.99927860000000002</v>
      </c>
      <c r="N3468">
        <v>0</v>
      </c>
      <c r="O3468">
        <v>3.694153E-2</v>
      </c>
      <c r="P3468">
        <v>0.99352739999999995</v>
      </c>
      <c r="Q3468">
        <v>3.5420510000000002E-2</v>
      </c>
      <c r="R3468">
        <v>0.10793119999999901</v>
      </c>
      <c r="S3468">
        <v>3.025665</v>
      </c>
      <c r="T3468">
        <v>-9.9358199999999994E-2</v>
      </c>
      <c r="U3468">
        <v>-1.554871E-2</v>
      </c>
      <c r="V3468">
        <v>-7.1080080000000004E-2</v>
      </c>
      <c r="W3468">
        <v>4.4335439999999997E-2</v>
      </c>
      <c r="X3468">
        <v>0.99648479999999995</v>
      </c>
      <c r="Y3468">
        <v>4.203527E-2</v>
      </c>
      <c r="Z3468">
        <v>-1.9026339999999901E-3</v>
      </c>
      <c r="AA3468">
        <v>0.99911430000000001</v>
      </c>
      <c r="AB3468">
        <v>28</v>
      </c>
      <c r="AC3468">
        <v>33.3186999999999</v>
      </c>
      <c r="AD3468">
        <v>-1.1036336957549999</v>
      </c>
      <c r="AE3468">
        <v>-0.182999999999992</v>
      </c>
      <c r="AF3468">
        <v>1.41221720151006</v>
      </c>
      <c r="AG3468">
        <v>-1.1036336957549999</v>
      </c>
      <c r="AH3468">
        <v>33.252712516451602</v>
      </c>
      <c r="AI3468">
        <v>91.899197390960197</v>
      </c>
      <c r="AJ3468">
        <v>87.568153532554305</v>
      </c>
      <c r="AK3468">
        <v>33.300979782288998</v>
      </c>
    </row>
    <row r="3469" spans="1:37" x14ac:dyDescent="0.2">
      <c r="A3469" t="str">
        <f>"20200111155615384"</f>
        <v>20200111155615384</v>
      </c>
      <c r="B3469" t="str">
        <f>"1578729375376255"</f>
        <v>1578729375376255</v>
      </c>
      <c r="C3469" t="s">
        <v>37</v>
      </c>
      <c r="D3469">
        <v>5.1601080000000001</v>
      </c>
      <c r="E3469">
        <v>0.54529629999999996</v>
      </c>
      <c r="F3469" t="s">
        <v>59</v>
      </c>
      <c r="G3469">
        <v>-356.08350000000002</v>
      </c>
      <c r="H3469" s="1">
        <v>1.725821E-6</v>
      </c>
      <c r="I3469">
        <v>214.03799999999899</v>
      </c>
      <c r="J3469">
        <v>-388.31939999999997</v>
      </c>
      <c r="K3469">
        <v>1.1034740000000001</v>
      </c>
      <c r="L3469">
        <v>214.3175</v>
      </c>
      <c r="M3469">
        <v>0.99932310000000002</v>
      </c>
      <c r="N3469">
        <v>0</v>
      </c>
      <c r="O3469">
        <v>3.5757089999999998E-2</v>
      </c>
      <c r="P3469">
        <v>0.99372749999999999</v>
      </c>
      <c r="Q3469">
        <v>3.5741059999999998E-2</v>
      </c>
      <c r="R3469">
        <v>0.105963</v>
      </c>
      <c r="S3469">
        <v>3.025909</v>
      </c>
      <c r="T3469">
        <v>-0.1026474</v>
      </c>
      <c r="U3469">
        <v>-2.5085449999999999E-2</v>
      </c>
      <c r="V3469">
        <v>-7.0271760000000003E-2</v>
      </c>
      <c r="W3469">
        <v>4.4502640000000003E-2</v>
      </c>
      <c r="X3469">
        <v>0.9965347</v>
      </c>
      <c r="Y3469">
        <v>4.3995970000000002E-2</v>
      </c>
      <c r="Z3469">
        <v>-1.9585150000000001E-3</v>
      </c>
      <c r="AA3469">
        <v>0.99902979999999997</v>
      </c>
      <c r="AB3469">
        <v>28</v>
      </c>
      <c r="AC3469">
        <v>32.235899999999901</v>
      </c>
      <c r="AD3469">
        <v>-1.103472274179</v>
      </c>
      <c r="AE3469">
        <v>-0.27950000000001202</v>
      </c>
      <c r="AF3469">
        <v>1.4303504038627499</v>
      </c>
      <c r="AG3469">
        <v>-1.103472274179</v>
      </c>
      <c r="AH3469">
        <v>32.167599196915901</v>
      </c>
      <c r="AI3469">
        <v>91.962757124690796</v>
      </c>
      <c r="AJ3469">
        <v>87.453988011143807</v>
      </c>
      <c r="AK3469">
        <v>32.218286599866403</v>
      </c>
    </row>
    <row r="3470" spans="1:37" x14ac:dyDescent="0.2">
      <c r="A3470" t="str">
        <f>"20200111155615405"</f>
        <v>20200111155615405</v>
      </c>
      <c r="B3470" t="str">
        <f>"1578729375395775"</f>
        <v>1578729375395775</v>
      </c>
      <c r="C3470" t="s">
        <v>37</v>
      </c>
      <c r="D3470">
        <v>5.105315</v>
      </c>
      <c r="E3470">
        <v>0.54516900000000001</v>
      </c>
      <c r="F3470" t="s">
        <v>59</v>
      </c>
      <c r="G3470">
        <v>-355.81079999999997</v>
      </c>
      <c r="H3470" s="1">
        <v>1.5833439999999899E-6</v>
      </c>
      <c r="I3470">
        <v>213.97799999999901</v>
      </c>
      <c r="J3470">
        <v>-388.04469999999998</v>
      </c>
      <c r="K3470">
        <v>1.103362</v>
      </c>
      <c r="L3470">
        <v>214.3261</v>
      </c>
      <c r="M3470">
        <v>0.99936719999999901</v>
      </c>
      <c r="N3470">
        <v>0</v>
      </c>
      <c r="O3470">
        <v>3.4539449999999999E-2</v>
      </c>
      <c r="P3470">
        <v>0.993869</v>
      </c>
      <c r="Q3470">
        <v>3.6086729999999997E-2</v>
      </c>
      <c r="R3470">
        <v>0.1045098</v>
      </c>
      <c r="S3470">
        <v>3.0260009999999999</v>
      </c>
      <c r="T3470">
        <v>-0.10271469999999901</v>
      </c>
      <c r="U3470">
        <v>-3.1600950000000003E-2</v>
      </c>
      <c r="V3470">
        <v>-7.0017789999999996E-2</v>
      </c>
      <c r="W3470">
        <v>4.4720339999999997E-2</v>
      </c>
      <c r="X3470">
        <v>0.99654279999999995</v>
      </c>
      <c r="Y3470">
        <v>4.4929379999999998E-2</v>
      </c>
      <c r="Z3470">
        <v>-1.9342599999999999E-3</v>
      </c>
      <c r="AA3470">
        <v>0.99898829999999905</v>
      </c>
      <c r="AB3470">
        <v>28</v>
      </c>
      <c r="AC3470">
        <v>32.233899999999998</v>
      </c>
      <c r="AD3470">
        <v>-1.103360416656</v>
      </c>
      <c r="AE3470">
        <v>-0.34810000000001601</v>
      </c>
      <c r="AF3470">
        <v>1.45956372907092</v>
      </c>
      <c r="AG3470">
        <v>-1.103360416656</v>
      </c>
      <c r="AH3470">
        <v>32.164959508369797</v>
      </c>
      <c r="AI3470">
        <v>91.962639081009399</v>
      </c>
      <c r="AJ3470">
        <v>87.401846149821793</v>
      </c>
      <c r="AK3470">
        <v>32.216957501653198</v>
      </c>
    </row>
    <row r="3471" spans="1:37" x14ac:dyDescent="0.2">
      <c r="A3471" t="str">
        <f>"20200111155615427"</f>
        <v>20200111155615427</v>
      </c>
      <c r="B3471" t="str">
        <f>"1578729375416271"</f>
        <v>1578729375416271</v>
      </c>
      <c r="C3471" t="s">
        <v>37</v>
      </c>
      <c r="D3471">
        <v>4.9971819999999996</v>
      </c>
      <c r="E3471">
        <v>0.54506669999999902</v>
      </c>
      <c r="F3471" t="s">
        <v>59</v>
      </c>
      <c r="G3471">
        <v>-355.77940000000001</v>
      </c>
      <c r="H3471" s="1">
        <v>1.5676729999999999E-6</v>
      </c>
      <c r="I3471">
        <v>213.95429999999999</v>
      </c>
      <c r="J3471">
        <v>-387.75</v>
      </c>
      <c r="K3471">
        <v>1.1032660000000001</v>
      </c>
      <c r="L3471">
        <v>214.3348</v>
      </c>
      <c r="M3471">
        <v>0.99941639999999998</v>
      </c>
      <c r="N3471">
        <v>0</v>
      </c>
      <c r="O3471">
        <v>3.3120629999999998E-2</v>
      </c>
      <c r="P3471">
        <v>0.99405919999999903</v>
      </c>
      <c r="Q3471">
        <v>3.6001709999999999E-2</v>
      </c>
      <c r="R3471">
        <v>0.1027144</v>
      </c>
      <c r="S3471">
        <v>3.025909</v>
      </c>
      <c r="T3471">
        <v>-0.1034757</v>
      </c>
      <c r="U3471">
        <v>-3.4866330000000001E-2</v>
      </c>
      <c r="V3471">
        <v>-6.9623080000000004E-2</v>
      </c>
      <c r="W3471">
        <v>4.4512169999999997E-2</v>
      </c>
      <c r="X3471">
        <v>0.99657980000000002</v>
      </c>
      <c r="Y3471">
        <v>4.4589690000000001E-2</v>
      </c>
      <c r="Z3471">
        <v>-1.89434E-3</v>
      </c>
      <c r="AA3471">
        <v>0.99900359999999999</v>
      </c>
      <c r="AB3471">
        <v>29</v>
      </c>
      <c r="AC3471">
        <v>31.970599999999902</v>
      </c>
      <c r="AD3471">
        <v>-1.103264432327</v>
      </c>
      <c r="AE3471">
        <v>-0.380500000000012</v>
      </c>
      <c r="AF3471">
        <v>1.4375030326692899</v>
      </c>
      <c r="AG3471">
        <v>-1.103264432327</v>
      </c>
      <c r="AH3471">
        <v>31.902469901315602</v>
      </c>
      <c r="AI3471">
        <v>91.9786310307897</v>
      </c>
      <c r="AJ3471">
        <v>87.420037278737198</v>
      </c>
      <c r="AK3471">
        <v>31.953891675051398</v>
      </c>
    </row>
    <row r="3472" spans="1:37" x14ac:dyDescent="0.2">
      <c r="A3472" t="str">
        <f>"20200111155615451"</f>
        <v>20200111155615451</v>
      </c>
      <c r="B3472" t="str">
        <f>"1578729375446528"</f>
        <v>1578729375446528</v>
      </c>
      <c r="C3472" t="s">
        <v>37</v>
      </c>
      <c r="D3472">
        <v>5.03599</v>
      </c>
      <c r="E3472">
        <v>0.54512839999999996</v>
      </c>
      <c r="F3472" t="s">
        <v>59</v>
      </c>
      <c r="G3472">
        <v>-356.20190000000002</v>
      </c>
      <c r="H3472" s="1">
        <v>1.793734E-6</v>
      </c>
      <c r="I3472">
        <v>213.9255</v>
      </c>
      <c r="J3472">
        <v>-387.4615</v>
      </c>
      <c r="K3472">
        <v>1.103194</v>
      </c>
      <c r="L3472">
        <v>214.34289999999999</v>
      </c>
      <c r="M3472">
        <v>0.99946520000000005</v>
      </c>
      <c r="N3472">
        <v>0</v>
      </c>
      <c r="O3472">
        <v>3.1646720000000003E-2</v>
      </c>
      <c r="P3472">
        <v>0.99424899999999905</v>
      </c>
      <c r="Q3472">
        <v>3.599699E-2</v>
      </c>
      <c r="R3472">
        <v>0.1008637</v>
      </c>
      <c r="S3472">
        <v>3.0258180000000001</v>
      </c>
      <c r="T3472">
        <v>-0.1058154</v>
      </c>
      <c r="U3472">
        <v>-3.9260860000000002E-2</v>
      </c>
      <c r="V3472">
        <v>-6.9231390000000004E-2</v>
      </c>
      <c r="W3472">
        <v>4.4401650000000001E-2</v>
      </c>
      <c r="X3472">
        <v>0.99661200000000005</v>
      </c>
      <c r="Y3472">
        <v>4.4566250000000002E-2</v>
      </c>
      <c r="Z3472">
        <v>-1.8852729999999901E-3</v>
      </c>
      <c r="AA3472">
        <v>0.99900469999999897</v>
      </c>
      <c r="AB3472">
        <v>29</v>
      </c>
      <c r="AC3472">
        <v>31.259599999999899</v>
      </c>
      <c r="AD3472">
        <v>-1.103192206266</v>
      </c>
      <c r="AE3472">
        <v>-0.417399999999986</v>
      </c>
      <c r="AF3472">
        <v>1.4047390055856901</v>
      </c>
      <c r="AG3472">
        <v>-1.103192206266</v>
      </c>
      <c r="AH3472">
        <v>31.191889910178698</v>
      </c>
      <c r="AI3472">
        <v>92.023538810422096</v>
      </c>
      <c r="AJ3472">
        <v>87.421404428934096</v>
      </c>
      <c r="AK3472">
        <v>31.242988347571501</v>
      </c>
    </row>
    <row r="3473" spans="1:37" x14ac:dyDescent="0.2">
      <c r="A3473" t="str">
        <f>"20200111155615473"</f>
        <v>20200111155615473</v>
      </c>
      <c r="B3473" t="str">
        <f>"1578729375466048"</f>
        <v>1578729375466048</v>
      </c>
      <c r="C3473" t="s">
        <v>37</v>
      </c>
      <c r="D3473">
        <v>5.0424290000000003</v>
      </c>
      <c r="E3473">
        <v>0.54521549999999996</v>
      </c>
      <c r="F3473" t="s">
        <v>59</v>
      </c>
      <c r="G3473">
        <v>-356.6164</v>
      </c>
      <c r="H3473" s="1">
        <v>2.0161649999999999E-6</v>
      </c>
      <c r="I3473">
        <v>213.88390000000001</v>
      </c>
      <c r="J3473">
        <v>-387.17110000000002</v>
      </c>
      <c r="K3473">
        <v>1.103137</v>
      </c>
      <c r="L3473">
        <v>214.35050000000001</v>
      </c>
      <c r="M3473">
        <v>0.99951350000000005</v>
      </c>
      <c r="N3473">
        <v>0</v>
      </c>
      <c r="O3473">
        <v>3.010987E-2</v>
      </c>
      <c r="P3473">
        <v>0.99443009999999998</v>
      </c>
      <c r="Q3473">
        <v>3.5963090000000003E-2</v>
      </c>
      <c r="R3473">
        <v>9.9074889999999999E-2</v>
      </c>
      <c r="S3473">
        <v>3.0258479999999999</v>
      </c>
      <c r="T3473">
        <v>-0.1082214</v>
      </c>
      <c r="U3473">
        <v>-4.5028690000000003E-2</v>
      </c>
      <c r="V3473">
        <v>-6.8965650000000003E-2</v>
      </c>
      <c r="W3473">
        <v>4.4275410000000001E-2</v>
      </c>
      <c r="X3473">
        <v>0.99663599999999997</v>
      </c>
      <c r="Y3473">
        <v>4.4932510000000002E-2</v>
      </c>
      <c r="Z3473">
        <v>-1.87968799999999E-3</v>
      </c>
      <c r="AA3473">
        <v>0.99898829999999905</v>
      </c>
      <c r="AB3473">
        <v>29</v>
      </c>
      <c r="AC3473">
        <v>30.5547</v>
      </c>
      <c r="AD3473">
        <v>-1.103134983835</v>
      </c>
      <c r="AE3473">
        <v>-0.46659999999999902</v>
      </c>
      <c r="AF3473">
        <v>1.38461252571108</v>
      </c>
      <c r="AG3473">
        <v>-1.103134983835</v>
      </c>
      <c r="AH3473">
        <v>30.487065970064599</v>
      </c>
      <c r="AI3473">
        <v>92.070137462220003</v>
      </c>
      <c r="AJ3473">
        <v>87.399619350883995</v>
      </c>
      <c r="AK3473">
        <v>30.538422521505399</v>
      </c>
    </row>
    <row r="3474" spans="1:37" x14ac:dyDescent="0.2">
      <c r="A3474" t="str">
        <f>"20200111155615495"</f>
        <v>20200111155615495</v>
      </c>
      <c r="B3474" t="str">
        <f>"1578729375486076"</f>
        <v>1578729375486076</v>
      </c>
      <c r="C3474" t="s">
        <v>37</v>
      </c>
      <c r="D3474">
        <v>5.053674</v>
      </c>
      <c r="E3474">
        <v>0.54524729999999999</v>
      </c>
      <c r="F3474" t="s">
        <v>59</v>
      </c>
      <c r="G3474">
        <v>-356.85890000000001</v>
      </c>
      <c r="H3474" s="1">
        <v>2.1472419999999998E-6</v>
      </c>
      <c r="I3474">
        <v>213.83750000000001</v>
      </c>
      <c r="J3474">
        <v>-386.88</v>
      </c>
      <c r="K3474">
        <v>1.1030979999999999</v>
      </c>
      <c r="L3474">
        <v>214.35769999999999</v>
      </c>
      <c r="M3474">
        <v>0.99956019999999901</v>
      </c>
      <c r="N3474">
        <v>0</v>
      </c>
      <c r="O3474">
        <v>2.85411E-2</v>
      </c>
      <c r="P3474">
        <v>0.9945927</v>
      </c>
      <c r="Q3474">
        <v>3.6313239999999997E-2</v>
      </c>
      <c r="R3474">
        <v>9.7299629999999998E-2</v>
      </c>
      <c r="S3474">
        <v>3.0258790000000002</v>
      </c>
      <c r="T3474">
        <v>-0.1101192</v>
      </c>
      <c r="U3474">
        <v>-5.1208499999999997E-2</v>
      </c>
      <c r="V3474">
        <v>-6.8746680000000004E-2</v>
      </c>
      <c r="W3474">
        <v>4.4546469999999998E-2</v>
      </c>
      <c r="X3474">
        <v>0.9966391</v>
      </c>
      <c r="Y3474">
        <v>4.5403199999999998E-2</v>
      </c>
      <c r="Z3474">
        <v>-1.864089E-3</v>
      </c>
      <c r="AA3474">
        <v>0.99896700000000005</v>
      </c>
      <c r="AB3474">
        <v>29</v>
      </c>
      <c r="AC3474">
        <v>30.021099999999901</v>
      </c>
      <c r="AD3474">
        <v>-1.1030958527579999</v>
      </c>
      <c r="AE3474">
        <v>-0.52019999999998801</v>
      </c>
      <c r="AF3474">
        <v>1.3749951970696801</v>
      </c>
      <c r="AG3474">
        <v>-1.1030958527579999</v>
      </c>
      <c r="AH3474">
        <v>29.953592752413201</v>
      </c>
      <c r="AI3474">
        <v>92.106852193937598</v>
      </c>
      <c r="AJ3474">
        <v>87.371729119855402</v>
      </c>
      <c r="AK3474">
        <v>30.005418694458399</v>
      </c>
    </row>
    <row r="3475" spans="1:37" x14ac:dyDescent="0.2">
      <c r="A3475" t="str">
        <f>"20200111155615517"</f>
        <v>20200111155615517</v>
      </c>
      <c r="B3475" t="str">
        <f>"1578729375505595"</f>
        <v>1578729375505595</v>
      </c>
      <c r="C3475" t="s">
        <v>37</v>
      </c>
      <c r="D3475">
        <v>5.0738859999999999</v>
      </c>
      <c r="E3475">
        <v>0.5452825</v>
      </c>
      <c r="F3475" t="s">
        <v>59</v>
      </c>
      <c r="G3475">
        <v>-356.65140000000002</v>
      </c>
      <c r="H3475" s="1">
        <v>2.0389449999999998E-6</v>
      </c>
      <c r="I3475">
        <v>213.78880000000001</v>
      </c>
      <c r="J3475">
        <v>-386.6037</v>
      </c>
      <c r="K3475">
        <v>1.103065</v>
      </c>
      <c r="L3475">
        <v>214.36410000000001</v>
      </c>
      <c r="M3475">
        <v>0.999602399999999</v>
      </c>
      <c r="N3475">
        <v>0</v>
      </c>
      <c r="O3475">
        <v>2.70406999999999E-2</v>
      </c>
      <c r="P3475">
        <v>0.99475539999999996</v>
      </c>
      <c r="Q3475">
        <v>3.5315480000000003E-2</v>
      </c>
      <c r="R3475">
        <v>9.5993060000000005E-2</v>
      </c>
      <c r="S3475">
        <v>3.025909</v>
      </c>
      <c r="T3475">
        <v>-0.11042109999999999</v>
      </c>
      <c r="U3475">
        <v>-5.6945799999999998E-2</v>
      </c>
      <c r="V3475">
        <v>-6.8932869999999993E-2</v>
      </c>
      <c r="W3475">
        <v>4.3486539999999997E-2</v>
      </c>
      <c r="X3475">
        <v>0.99667299999999903</v>
      </c>
      <c r="Y3475">
        <v>4.5797499999999998E-2</v>
      </c>
      <c r="Z3475">
        <v>-1.821621E-3</v>
      </c>
      <c r="AA3475">
        <v>0.99894910000000003</v>
      </c>
      <c r="AB3475">
        <v>29</v>
      </c>
      <c r="AC3475">
        <v>29.952299999999902</v>
      </c>
      <c r="AD3475">
        <v>-1.103062961055</v>
      </c>
      <c r="AE3475">
        <v>-0.57529999999999804</v>
      </c>
      <c r="AF3475">
        <v>1.3831713958718901</v>
      </c>
      <c r="AG3475">
        <v>-1.103062961055</v>
      </c>
      <c r="AH3475">
        <v>29.885272733736699</v>
      </c>
      <c r="AI3475">
        <v>92.111564625297603</v>
      </c>
      <c r="AJ3475">
        <v>87.350087118945893</v>
      </c>
      <c r="AK3475">
        <v>29.937592377748601</v>
      </c>
    </row>
    <row r="3476" spans="1:37" x14ac:dyDescent="0.2">
      <c r="A3476" t="str">
        <f>"20200111155615537"</f>
        <v>20200111155615537</v>
      </c>
      <c r="B3476" t="str">
        <f>"1578729375526092"</f>
        <v>1578729375526092</v>
      </c>
      <c r="C3476" t="s">
        <v>37</v>
      </c>
      <c r="D3476">
        <v>5.0804919999999996</v>
      </c>
      <c r="E3476">
        <v>0.54522349999999997</v>
      </c>
      <c r="F3476" t="s">
        <v>59</v>
      </c>
      <c r="G3476">
        <v>-357.43740000000003</v>
      </c>
      <c r="H3476" s="1">
        <v>2.4579050000000001E-6</v>
      </c>
      <c r="I3476">
        <v>213.7722</v>
      </c>
      <c r="J3476">
        <v>-386.32850000000002</v>
      </c>
      <c r="K3476">
        <v>1.103043</v>
      </c>
      <c r="L3476">
        <v>214.37</v>
      </c>
      <c r="M3476">
        <v>0.99964229999999998</v>
      </c>
      <c r="N3476">
        <v>0</v>
      </c>
      <c r="O3476">
        <v>2.5543239999999998E-2</v>
      </c>
      <c r="P3476">
        <v>0.9948688</v>
      </c>
      <c r="Q3476">
        <v>3.4233340000000001E-2</v>
      </c>
      <c r="R3476">
        <v>9.5206429999999995E-2</v>
      </c>
      <c r="S3476">
        <v>3.0258479999999999</v>
      </c>
      <c r="T3476">
        <v>-0.1144366</v>
      </c>
      <c r="U3476">
        <v>-6.1401369999999997E-2</v>
      </c>
      <c r="V3476">
        <v>-6.9638660000000005E-2</v>
      </c>
      <c r="W3476">
        <v>4.2353189999999999E-2</v>
      </c>
      <c r="X3476">
        <v>0.99667280000000003</v>
      </c>
      <c r="Y3476">
        <v>4.5769310000000001E-2</v>
      </c>
      <c r="Z3476">
        <v>-1.8306989999999899E-3</v>
      </c>
      <c r="AA3476">
        <v>0.99895040000000002</v>
      </c>
      <c r="AB3476">
        <v>29</v>
      </c>
      <c r="AC3476">
        <v>28.891099999999899</v>
      </c>
      <c r="AD3476">
        <v>-1.103040542095</v>
      </c>
      <c r="AE3476">
        <v>-0.59780000000000599</v>
      </c>
      <c r="AF3476">
        <v>1.3336572361861001</v>
      </c>
      <c r="AG3476">
        <v>-1.103040542095</v>
      </c>
      <c r="AH3476">
        <v>28.8244044785237</v>
      </c>
      <c r="AI3476">
        <v>92.189162463952499</v>
      </c>
      <c r="AJ3476">
        <v>87.350908889832198</v>
      </c>
      <c r="AK3476">
        <v>28.876316136284998</v>
      </c>
    </row>
    <row r="3477" spans="1:37" x14ac:dyDescent="0.2">
      <c r="A3477" t="str">
        <f>"20200111155615561"</f>
        <v>20200111155615561</v>
      </c>
      <c r="B3477" t="str">
        <f>"1578729375556348"</f>
        <v>1578729375556348</v>
      </c>
      <c r="C3477" t="s">
        <v>37</v>
      </c>
      <c r="D3477">
        <v>5.074605</v>
      </c>
      <c r="E3477">
        <v>0.54508480000000004</v>
      </c>
      <c r="F3477" t="s">
        <v>59</v>
      </c>
      <c r="G3477">
        <v>-358.09989999999999</v>
      </c>
      <c r="H3477" s="1">
        <v>2.810298E-6</v>
      </c>
      <c r="I3477">
        <v>213.7764</v>
      </c>
      <c r="J3477">
        <v>-386.0292</v>
      </c>
      <c r="K3477">
        <v>1.10302099999999</v>
      </c>
      <c r="L3477">
        <v>214.3759</v>
      </c>
      <c r="M3477">
        <v>0.99968279999999998</v>
      </c>
      <c r="N3477">
        <v>0</v>
      </c>
      <c r="O3477">
        <v>2.3916639999999999E-2</v>
      </c>
      <c r="P3477">
        <v>0.99491620000000003</v>
      </c>
      <c r="Q3477">
        <v>3.3526170000000001E-2</v>
      </c>
      <c r="R3477">
        <v>9.496454E-2</v>
      </c>
      <c r="S3477">
        <v>3.0256349999999999</v>
      </c>
      <c r="T3477">
        <v>-0.1182275</v>
      </c>
      <c r="U3477">
        <v>-6.3629149999999995E-2</v>
      </c>
      <c r="V3477">
        <v>-7.1019059999999995E-2</v>
      </c>
      <c r="W3477">
        <v>4.1602819999999999E-2</v>
      </c>
      <c r="X3477">
        <v>0.99660700000000002</v>
      </c>
      <c r="Y3477">
        <v>4.4878969999999997E-2</v>
      </c>
      <c r="Z3477">
        <v>-1.810508E-3</v>
      </c>
      <c r="AA3477">
        <v>0.99899079999999996</v>
      </c>
      <c r="AB3477">
        <v>29</v>
      </c>
      <c r="AC3477">
        <v>27.929300000000001</v>
      </c>
      <c r="AD3477">
        <v>-1.1030181897019899</v>
      </c>
      <c r="AE3477">
        <v>-0.59950000000000603</v>
      </c>
      <c r="AF3477">
        <v>1.26535164689961</v>
      </c>
      <c r="AG3477">
        <v>-1.1030181897019899</v>
      </c>
      <c r="AH3477">
        <v>27.8635328726788</v>
      </c>
      <c r="AI3477">
        <v>92.264620985508998</v>
      </c>
      <c r="AJ3477">
        <v>87.399843995606702</v>
      </c>
      <c r="AK3477">
        <v>27.914050728333599</v>
      </c>
    </row>
    <row r="3478" spans="1:37" x14ac:dyDescent="0.2">
      <c r="A3478" t="str">
        <f>"20200111155615583"</f>
        <v>20200111155615583</v>
      </c>
      <c r="B3478" t="str">
        <f>"1578729375575869"</f>
        <v>1578729375575869</v>
      </c>
      <c r="C3478" t="s">
        <v>37</v>
      </c>
      <c r="D3478">
        <v>5.1116890000000001</v>
      </c>
      <c r="E3478">
        <v>0.54490139999999998</v>
      </c>
      <c r="F3478" t="s">
        <v>59</v>
      </c>
      <c r="G3478">
        <v>-358.5607</v>
      </c>
      <c r="H3478" s="1">
        <v>3.0545869999999998E-6</v>
      </c>
      <c r="I3478">
        <v>213.7979</v>
      </c>
      <c r="J3478">
        <v>-385.72840000000002</v>
      </c>
      <c r="K3478">
        <v>1.103003</v>
      </c>
      <c r="L3478">
        <v>214.38149999999999</v>
      </c>
      <c r="M3478">
        <v>0.99972079999999997</v>
      </c>
      <c r="N3478">
        <v>0</v>
      </c>
      <c r="O3478">
        <v>2.2286130000000001E-2</v>
      </c>
      <c r="P3478">
        <v>0.99490730000000005</v>
      </c>
      <c r="Q3478">
        <v>3.3082260000000002E-2</v>
      </c>
      <c r="R3478">
        <v>9.5210340000000004E-2</v>
      </c>
      <c r="S3478">
        <v>3.0255130000000001</v>
      </c>
      <c r="T3478">
        <v>-0.12149169999999999</v>
      </c>
      <c r="U3478">
        <v>-6.3674930000000005E-2</v>
      </c>
      <c r="V3478">
        <v>-7.2890839999999998E-2</v>
      </c>
      <c r="W3478">
        <v>4.1126870000000003E-2</v>
      </c>
      <c r="X3478">
        <v>0.99649159999999903</v>
      </c>
      <c r="Y3478">
        <v>4.3265199999999997E-2</v>
      </c>
      <c r="Z3478">
        <v>-1.7627089999999899E-3</v>
      </c>
      <c r="AA3478">
        <v>0.99906209999999995</v>
      </c>
      <c r="AB3478">
        <v>29</v>
      </c>
      <c r="AC3478">
        <v>27.1677</v>
      </c>
      <c r="AD3478">
        <v>-1.1029999454129999</v>
      </c>
      <c r="AE3478">
        <v>-0.58359999999998902</v>
      </c>
      <c r="AF3478">
        <v>1.18698096395113</v>
      </c>
      <c r="AG3478">
        <v>-1.1029999454129999</v>
      </c>
      <c r="AH3478">
        <v>27.103290775439302</v>
      </c>
      <c r="AI3478">
        <v>92.328203234694797</v>
      </c>
      <c r="AJ3478">
        <v>87.492349906065996</v>
      </c>
      <c r="AK3478">
        <v>27.151683254383599</v>
      </c>
    </row>
    <row r="3479" spans="1:37" x14ac:dyDescent="0.2">
      <c r="A3479" t="str">
        <f>"20200111155615616"</f>
        <v>20200111155615616</v>
      </c>
      <c r="B3479" t="str">
        <f>"1578729375606124"</f>
        <v>1578729375606124</v>
      </c>
      <c r="C3479" t="s">
        <v>37</v>
      </c>
      <c r="D3479">
        <v>5.0550110000000004</v>
      </c>
      <c r="E3479">
        <v>0.54492010000000002</v>
      </c>
      <c r="F3479" t="s">
        <v>59</v>
      </c>
      <c r="G3479">
        <v>-358.44240000000002</v>
      </c>
      <c r="H3479" s="1">
        <v>2.9905119999999999E-6</v>
      </c>
      <c r="I3479">
        <v>213.8235</v>
      </c>
      <c r="J3479">
        <v>-385.29270000000002</v>
      </c>
      <c r="K3479">
        <v>1.1029910000000001</v>
      </c>
      <c r="L3479">
        <v>214.3886</v>
      </c>
      <c r="M3479">
        <v>0.99977090000000002</v>
      </c>
      <c r="N3479">
        <v>0</v>
      </c>
      <c r="O3479">
        <v>1.993106E-2</v>
      </c>
      <c r="P3479">
        <v>0.994905699999999</v>
      </c>
      <c r="Q3479">
        <v>3.3245179999999999E-2</v>
      </c>
      <c r="R3479">
        <v>9.5172549999999995E-2</v>
      </c>
      <c r="S3479">
        <v>3.025299</v>
      </c>
      <c r="T3479">
        <v>-0.12229369999999901</v>
      </c>
      <c r="U3479">
        <v>-6.1859129999999998E-2</v>
      </c>
      <c r="V3479">
        <v>-7.5199070000000007E-2</v>
      </c>
      <c r="W3479">
        <v>4.1255989999999999E-2</v>
      </c>
      <c r="X3479">
        <v>0.996314699999999</v>
      </c>
      <c r="Y3479">
        <v>4.0317260000000001E-2</v>
      </c>
      <c r="Z3479">
        <v>-1.6197679999999999E-3</v>
      </c>
      <c r="AA3479">
        <v>0.99918560000000001</v>
      </c>
      <c r="AB3479">
        <v>29</v>
      </c>
      <c r="AC3479">
        <v>26.850300000000001</v>
      </c>
      <c r="AD3479">
        <v>-1.102988009488</v>
      </c>
      <c r="AE3479">
        <v>-0.56510000000000005</v>
      </c>
      <c r="AF3479">
        <v>1.09830640705135</v>
      </c>
      <c r="AG3479">
        <v>-1.102988009488</v>
      </c>
      <c r="AH3479">
        <v>26.788517100378801</v>
      </c>
      <c r="AI3479">
        <v>92.355782655983006</v>
      </c>
      <c r="AJ3479">
        <v>87.652236678636896</v>
      </c>
      <c r="AK3479">
        <v>26.833700973778001</v>
      </c>
    </row>
    <row r="3480" spans="1:37" x14ac:dyDescent="0.2">
      <c r="A3480" t="str">
        <f>"20200111155615639"</f>
        <v>20200111155615639</v>
      </c>
      <c r="B3480" t="str">
        <f>"1578729375636380"</f>
        <v>1578729375636380</v>
      </c>
      <c r="C3480" t="s">
        <v>37</v>
      </c>
      <c r="D3480">
        <v>5.0989870000000002</v>
      </c>
      <c r="E3480">
        <v>0.54492459999999998</v>
      </c>
      <c r="F3480" t="s">
        <v>59</v>
      </c>
      <c r="G3480">
        <v>-357.97620000000001</v>
      </c>
      <c r="H3480" s="1">
        <v>2.742208E-6</v>
      </c>
      <c r="I3480">
        <v>213.8278</v>
      </c>
      <c r="J3480">
        <v>-385.01049999999998</v>
      </c>
      <c r="K3480">
        <v>1.102978</v>
      </c>
      <c r="L3480">
        <v>214.39269999999999</v>
      </c>
      <c r="M3480">
        <v>0.99980020000000003</v>
      </c>
      <c r="N3480">
        <v>0</v>
      </c>
      <c r="O3480">
        <v>1.8410079999999999E-2</v>
      </c>
      <c r="P3480">
        <v>0.99498220000000004</v>
      </c>
      <c r="Q3480">
        <v>3.2799429999999997E-2</v>
      </c>
      <c r="R3480">
        <v>9.452294E-2</v>
      </c>
      <c r="S3480">
        <v>3.0253909999999999</v>
      </c>
      <c r="T3480">
        <v>-0.1221597</v>
      </c>
      <c r="U3480">
        <v>-6.2118529999999998E-2</v>
      </c>
      <c r="V3480">
        <v>-7.606512E-2</v>
      </c>
      <c r="W3480">
        <v>4.0796220000000001E-2</v>
      </c>
      <c r="X3480">
        <v>0.99626789999999998</v>
      </c>
      <c r="Y3480">
        <v>3.8884679999999998E-2</v>
      </c>
      <c r="Z3480">
        <v>-1.5276529999999999E-3</v>
      </c>
      <c r="AA3480">
        <v>0.99924249999999903</v>
      </c>
      <c r="AB3480">
        <v>29</v>
      </c>
      <c r="AC3480">
        <v>27.034299999999899</v>
      </c>
      <c r="AD3480">
        <v>-1.102975257792</v>
      </c>
      <c r="AE3480">
        <v>-0.56489999999999396</v>
      </c>
      <c r="AF3480">
        <v>1.0607580368709</v>
      </c>
      <c r="AG3480">
        <v>-1.102975257792</v>
      </c>
      <c r="AH3480">
        <v>26.974436621785902</v>
      </c>
      <c r="AI3480">
        <v>92.339693588155299</v>
      </c>
      <c r="AJ3480">
        <v>87.748028640874196</v>
      </c>
      <c r="AK3480">
        <v>27.017808813721899</v>
      </c>
    </row>
    <row r="3481" spans="1:37" x14ac:dyDescent="0.2">
      <c r="A3481" t="str">
        <f>"20200111155615661"</f>
        <v>20200111155615661</v>
      </c>
      <c r="B3481" t="str">
        <f>"1578729375655900"</f>
        <v>1578729375655900</v>
      </c>
      <c r="C3481" t="s">
        <v>37</v>
      </c>
      <c r="D3481">
        <v>5.0564530000000003</v>
      </c>
      <c r="E3481">
        <v>0.54492410000000002</v>
      </c>
      <c r="F3481" t="s">
        <v>59</v>
      </c>
      <c r="G3481">
        <v>-358.22669999999999</v>
      </c>
      <c r="H3481" s="1">
        <v>2.8754360000000002E-6</v>
      </c>
      <c r="I3481">
        <v>213.82929999999999</v>
      </c>
      <c r="J3481">
        <v>-384.7054</v>
      </c>
      <c r="K3481">
        <v>1.1029690000000001</v>
      </c>
      <c r="L3481">
        <v>214.39660000000001</v>
      </c>
      <c r="M3481">
        <v>0.99982919999999997</v>
      </c>
      <c r="N3481">
        <v>0</v>
      </c>
      <c r="O3481">
        <v>1.6768129999999999E-2</v>
      </c>
      <c r="P3481">
        <v>0.99509749999999997</v>
      </c>
      <c r="Q3481">
        <v>3.2474719999999999E-2</v>
      </c>
      <c r="R3481">
        <v>9.3415070000000003E-2</v>
      </c>
      <c r="S3481">
        <v>3.02526899999999</v>
      </c>
      <c r="T3481">
        <v>-0.124582399999999</v>
      </c>
      <c r="U3481">
        <v>-6.3644409999999998E-2</v>
      </c>
      <c r="V3481">
        <v>-7.659204E-2</v>
      </c>
      <c r="W3481">
        <v>4.0461289999999997E-2</v>
      </c>
      <c r="X3481">
        <v>0.99624120000000005</v>
      </c>
      <c r="Y3481">
        <v>3.7748730000000001E-2</v>
      </c>
      <c r="Z3481">
        <v>-1.4670229999999901E-3</v>
      </c>
      <c r="AA3481">
        <v>0.99928619999999901</v>
      </c>
      <c r="AB3481">
        <v>29</v>
      </c>
      <c r="AC3481">
        <v>26.4787</v>
      </c>
      <c r="AD3481">
        <v>-1.1029661245639999</v>
      </c>
      <c r="AE3481">
        <v>-0.56730000000001701</v>
      </c>
      <c r="AF3481">
        <v>1.00948115557318</v>
      </c>
      <c r="AG3481">
        <v>-1.1029661245639999</v>
      </c>
      <c r="AH3481">
        <v>26.4196437758531</v>
      </c>
      <c r="AI3481">
        <v>92.388852312525401</v>
      </c>
      <c r="AJ3481">
        <v>87.811821870654597</v>
      </c>
      <c r="AK3481">
        <v>26.461919123872399</v>
      </c>
    </row>
    <row r="3482" spans="1:37" x14ac:dyDescent="0.2">
      <c r="A3482" t="str">
        <f>"20200111155615684"</f>
        <v>20200111155615684</v>
      </c>
      <c r="B3482" t="str">
        <f>"1578729375676395"</f>
        <v>1578729375676395</v>
      </c>
      <c r="C3482" t="s">
        <v>37</v>
      </c>
      <c r="D3482">
        <v>5.0180829999999998</v>
      </c>
      <c r="E3482">
        <v>0.54493530000000001</v>
      </c>
      <c r="F3482" t="s">
        <v>59</v>
      </c>
      <c r="G3482">
        <v>-358.22300000000001</v>
      </c>
      <c r="H3482" s="1">
        <v>2.87435299999999E-6</v>
      </c>
      <c r="I3482">
        <v>213.80889999999999</v>
      </c>
      <c r="J3482">
        <v>-384.40940000000001</v>
      </c>
      <c r="K3482">
        <v>1.1029579999999899</v>
      </c>
      <c r="L3482">
        <v>214.4</v>
      </c>
      <c r="M3482">
        <v>0.99985460000000004</v>
      </c>
      <c r="N3482">
        <v>0</v>
      </c>
      <c r="O3482">
        <v>1.517658E-2</v>
      </c>
      <c r="P3482">
        <v>0.99517739999999999</v>
      </c>
      <c r="Q3482">
        <v>3.3000929999999998E-2</v>
      </c>
      <c r="R3482">
        <v>9.2374739999999997E-2</v>
      </c>
      <c r="S3482">
        <v>3.0251769999999998</v>
      </c>
      <c r="T3482">
        <v>-0.12599549999999901</v>
      </c>
      <c r="U3482">
        <v>-6.7138669999999998E-2</v>
      </c>
      <c r="V3482">
        <v>-7.7134800000000003E-2</v>
      </c>
      <c r="W3482">
        <v>4.0982520000000001E-2</v>
      </c>
      <c r="X3482">
        <v>0.99617800000000001</v>
      </c>
      <c r="Y3482">
        <v>3.7313099999999898E-2</v>
      </c>
      <c r="Z3482">
        <v>-1.4083589999999899E-3</v>
      </c>
      <c r="AA3482">
        <v>0.99930259999999904</v>
      </c>
      <c r="AB3482">
        <v>29</v>
      </c>
      <c r="AC3482">
        <v>26.1863999999999</v>
      </c>
      <c r="AD3482">
        <v>-1.1029551256469901</v>
      </c>
      <c r="AE3482">
        <v>-0.59110000000001095</v>
      </c>
      <c r="AF3482">
        <v>0.98671434347899301</v>
      </c>
      <c r="AG3482">
        <v>-1.1029551256469901</v>
      </c>
      <c r="AH3482">
        <v>26.128084024973798</v>
      </c>
      <c r="AI3482">
        <v>92.415494455972294</v>
      </c>
      <c r="AJ3482">
        <v>87.837280581401998</v>
      </c>
      <c r="AK3482">
        <v>26.169961597620102</v>
      </c>
    </row>
    <row r="3483" spans="1:37" x14ac:dyDescent="0.2">
      <c r="A3483" t="str">
        <f>"20200111155615705"</f>
        <v>20200111155615705</v>
      </c>
      <c r="B3483" t="str">
        <f>"1578729375695915"</f>
        <v>1578729375695915</v>
      </c>
      <c r="C3483" t="s">
        <v>37</v>
      </c>
      <c r="D3483">
        <v>5.0243070000000003</v>
      </c>
      <c r="E3483">
        <v>0.54495019999999905</v>
      </c>
      <c r="F3483" t="s">
        <v>59</v>
      </c>
      <c r="G3483">
        <v>-357.5788</v>
      </c>
      <c r="H3483" s="1">
        <v>2.53312199999999E-6</v>
      </c>
      <c r="I3483">
        <v>213.7731</v>
      </c>
      <c r="J3483">
        <v>-384.11950000000002</v>
      </c>
      <c r="K3483">
        <v>1.1029500000000001</v>
      </c>
      <c r="L3483">
        <v>214.40280000000001</v>
      </c>
      <c r="M3483">
        <v>0.99987719999999902</v>
      </c>
      <c r="N3483">
        <v>0</v>
      </c>
      <c r="O3483">
        <v>1.3618160000000001E-2</v>
      </c>
      <c r="P3483">
        <v>0.99522319999999997</v>
      </c>
      <c r="Q3483">
        <v>3.3705300000000001E-2</v>
      </c>
      <c r="R3483">
        <v>9.1623449999999995E-2</v>
      </c>
      <c r="S3483">
        <v>3.0252080000000001</v>
      </c>
      <c r="T3483">
        <v>-0.1243606</v>
      </c>
      <c r="U3483">
        <v>-7.0678710000000006E-2</v>
      </c>
      <c r="V3483">
        <v>-7.7932420000000002E-2</v>
      </c>
      <c r="W3483">
        <v>4.1686679999999997E-2</v>
      </c>
      <c r="X3483">
        <v>0.99608669999999999</v>
      </c>
      <c r="Y3483">
        <v>3.692691E-2</v>
      </c>
      <c r="Z3483">
        <v>-1.3181039999999901E-3</v>
      </c>
      <c r="AA3483">
        <v>0.99931709999999996</v>
      </c>
      <c r="AB3483">
        <v>30</v>
      </c>
      <c r="AC3483">
        <v>26.540700000000001</v>
      </c>
      <c r="AD3483">
        <v>-1.1029474668779999</v>
      </c>
      <c r="AE3483">
        <v>-0.62970000000001303</v>
      </c>
      <c r="AF3483">
        <v>0.98938030049504799</v>
      </c>
      <c r="AG3483">
        <v>-1.1029474668779999</v>
      </c>
      <c r="AH3483">
        <v>26.483951810558001</v>
      </c>
      <c r="AI3483">
        <v>92.383094653912096</v>
      </c>
      <c r="AJ3483">
        <v>87.860554683111204</v>
      </c>
      <c r="AK3483">
        <v>26.5253665384224</v>
      </c>
    </row>
    <row r="3484" spans="1:37" x14ac:dyDescent="0.2">
      <c r="A3484" t="str">
        <f>"20200111155615730"</f>
        <v>20200111155615730</v>
      </c>
      <c r="B3484" t="str">
        <f>"1578729375726172"</f>
        <v>1578729375726172</v>
      </c>
      <c r="C3484" t="s">
        <v>37</v>
      </c>
      <c r="D3484">
        <v>5.0325350000000002</v>
      </c>
      <c r="E3484">
        <v>0.5450393</v>
      </c>
      <c r="F3484" t="s">
        <v>59</v>
      </c>
      <c r="G3484">
        <v>-356.76</v>
      </c>
      <c r="H3484" s="1">
        <v>2.0989439999999999E-6</v>
      </c>
      <c r="I3484">
        <v>213.73820000000001</v>
      </c>
      <c r="J3484">
        <v>-383.80579999999998</v>
      </c>
      <c r="K3484">
        <v>1.102943</v>
      </c>
      <c r="L3484">
        <v>214.40530000000001</v>
      </c>
      <c r="M3484">
        <v>0.99989869999999903</v>
      </c>
      <c r="N3484">
        <v>0</v>
      </c>
      <c r="O3484">
        <v>1.193282E-2</v>
      </c>
      <c r="P3484">
        <v>0.99521059999999995</v>
      </c>
      <c r="Q3484">
        <v>3.488455E-2</v>
      </c>
      <c r="R3484">
        <v>9.1320219999999994E-2</v>
      </c>
      <c r="S3484">
        <v>3.025299</v>
      </c>
      <c r="T3484">
        <v>-0.1219596</v>
      </c>
      <c r="U3484">
        <v>-7.3486330000000002E-2</v>
      </c>
      <c r="V3484">
        <v>-7.9304840000000001E-2</v>
      </c>
      <c r="W3484">
        <v>4.2871039999999999E-2</v>
      </c>
      <c r="X3484">
        <v>0.99592809999999898</v>
      </c>
      <c r="Y3484">
        <v>3.6172320000000001E-2</v>
      </c>
      <c r="Z3484">
        <v>-1.209517E-3</v>
      </c>
      <c r="AA3484">
        <v>0.99934480000000003</v>
      </c>
      <c r="AB3484">
        <v>30</v>
      </c>
      <c r="AC3484">
        <v>27.0457999999999</v>
      </c>
      <c r="AD3484">
        <v>-1.1029409010560001</v>
      </c>
      <c r="AE3484">
        <v>-0.66710000000000402</v>
      </c>
      <c r="AF3484">
        <v>0.98815253194492703</v>
      </c>
      <c r="AG3484">
        <v>-1.1029409010560001</v>
      </c>
      <c r="AH3484">
        <v>26.9910535075044</v>
      </c>
      <c r="AI3484">
        <v>92.338422365021302</v>
      </c>
      <c r="AJ3484">
        <v>87.903316557780101</v>
      </c>
      <c r="AK3484">
        <v>27.031646148589999</v>
      </c>
    </row>
    <row r="3485" spans="1:37" x14ac:dyDescent="0.2">
      <c r="A3485" t="str">
        <f>"20200111155615751"</f>
        <v>20200111155615751</v>
      </c>
      <c r="B3485" t="str">
        <f>"1578729375745692"</f>
        <v>1578729375745692</v>
      </c>
      <c r="C3485" t="s">
        <v>37</v>
      </c>
      <c r="D3485">
        <v>5.0126530000000002</v>
      </c>
      <c r="E3485">
        <v>0.54504209999999997</v>
      </c>
      <c r="F3485" t="s">
        <v>59</v>
      </c>
      <c r="G3485">
        <v>-355.65879999999999</v>
      </c>
      <c r="H3485" s="1">
        <v>1.514305E-6</v>
      </c>
      <c r="I3485">
        <v>213.70650000000001</v>
      </c>
      <c r="J3485">
        <v>-383.51459999999997</v>
      </c>
      <c r="K3485">
        <v>1.102938</v>
      </c>
      <c r="L3485">
        <v>214.40719999999999</v>
      </c>
      <c r="M3485">
        <v>0.99991620000000003</v>
      </c>
      <c r="N3485">
        <v>0</v>
      </c>
      <c r="O3485">
        <v>1.036811E-2</v>
      </c>
      <c r="P3485">
        <v>0.995193199999999</v>
      </c>
      <c r="Q3485">
        <v>3.634743E-2</v>
      </c>
      <c r="R3485">
        <v>9.0937899999999905E-2</v>
      </c>
      <c r="S3485">
        <v>3.025452</v>
      </c>
      <c r="T3485">
        <v>-0.1185523</v>
      </c>
      <c r="U3485">
        <v>-7.5119019999999995E-2</v>
      </c>
      <c r="V3485">
        <v>-8.0475920000000006E-2</v>
      </c>
      <c r="W3485">
        <v>4.434163E-2</v>
      </c>
      <c r="X3485">
        <v>0.99576980000000004</v>
      </c>
      <c r="Y3485">
        <v>3.5150359999999999E-2</v>
      </c>
      <c r="Z3485">
        <v>-1.0943889999999901E-3</v>
      </c>
      <c r="AA3485">
        <v>0.99938139999999998</v>
      </c>
      <c r="AB3485">
        <v>30</v>
      </c>
      <c r="AC3485">
        <v>27.855799999999899</v>
      </c>
      <c r="AD3485">
        <v>-1.1029364856949999</v>
      </c>
      <c r="AE3485">
        <v>-0.700699999999983</v>
      </c>
      <c r="AF3485">
        <v>0.987935181187658</v>
      </c>
      <c r="AG3485">
        <v>-1.1029364856949999</v>
      </c>
      <c r="AH3485">
        <v>27.803476871614599</v>
      </c>
      <c r="AI3485">
        <v>92.270244700111505</v>
      </c>
      <c r="AJ3485">
        <v>87.964977112696403</v>
      </c>
      <c r="AK3485">
        <v>27.842877203409099</v>
      </c>
    </row>
    <row r="3486" spans="1:37" x14ac:dyDescent="0.2">
      <c r="A3486" t="str">
        <f>"20200111155615773"</f>
        <v>20200111155615773</v>
      </c>
      <c r="B3486" t="str">
        <f>"1578729375766188"</f>
        <v>1578729375766188</v>
      </c>
      <c r="C3486" t="s">
        <v>37</v>
      </c>
      <c r="D3486">
        <v>5.075488</v>
      </c>
      <c r="E3486">
        <v>0.54507119999999998</v>
      </c>
      <c r="F3486" t="s">
        <v>59</v>
      </c>
      <c r="G3486">
        <v>-354.35210000000001</v>
      </c>
      <c r="H3486" s="1">
        <v>8.2050659999999898E-7</v>
      </c>
      <c r="I3486">
        <v>213.6705</v>
      </c>
      <c r="J3486">
        <v>-383.21480000000003</v>
      </c>
      <c r="K3486">
        <v>1.102935</v>
      </c>
      <c r="L3486">
        <v>214.40870000000001</v>
      </c>
      <c r="M3486">
        <v>0.99993149999999997</v>
      </c>
      <c r="N3486">
        <v>0</v>
      </c>
      <c r="O3486">
        <v>8.7576679999999997E-3</v>
      </c>
      <c r="P3486">
        <v>0.99517880000000003</v>
      </c>
      <c r="Q3486">
        <v>3.724454E-2</v>
      </c>
      <c r="R3486">
        <v>9.0732569999999999E-2</v>
      </c>
      <c r="S3486">
        <v>3.025665</v>
      </c>
      <c r="T3486">
        <v>-0.1144317</v>
      </c>
      <c r="U3486">
        <v>-7.6431269999999996E-2</v>
      </c>
      <c r="V3486">
        <v>-8.1871319999999997E-2</v>
      </c>
      <c r="W3486">
        <v>4.525005E-2</v>
      </c>
      <c r="X3486">
        <v>0.99561509999999998</v>
      </c>
      <c r="Y3486">
        <v>3.3976569999999998E-2</v>
      </c>
      <c r="Z3486">
        <v>-9.7323399999999904E-4</v>
      </c>
      <c r="AA3486">
        <v>0.99942209999999998</v>
      </c>
      <c r="AB3486">
        <v>30</v>
      </c>
      <c r="AC3486">
        <v>28.8627</v>
      </c>
      <c r="AD3486">
        <v>-1.10293417949339</v>
      </c>
      <c r="AE3486">
        <v>-0.73820000000000596</v>
      </c>
      <c r="AF3486">
        <v>0.98950528025930196</v>
      </c>
      <c r="AG3486">
        <v>-1.10293417949339</v>
      </c>
      <c r="AH3486">
        <v>28.813081358908398</v>
      </c>
      <c r="AI3486">
        <v>92.190861057858896</v>
      </c>
      <c r="AJ3486">
        <v>88.033108533245596</v>
      </c>
      <c r="AK3486">
        <v>28.851156682168401</v>
      </c>
    </row>
    <row r="3487" spans="1:37" x14ac:dyDescent="0.2">
      <c r="A3487" t="str">
        <f>"20200111155615795"</f>
        <v>20200111155615795</v>
      </c>
      <c r="B3487" t="str">
        <f>"1578729375785708"</f>
        <v>1578729375785708</v>
      </c>
      <c r="C3487" t="s">
        <v>37</v>
      </c>
      <c r="D3487">
        <v>5.0691949999999997</v>
      </c>
      <c r="E3487">
        <v>0.54505609999999904</v>
      </c>
      <c r="F3487" t="s">
        <v>59</v>
      </c>
      <c r="G3487">
        <v>-353.37520000000001</v>
      </c>
      <c r="H3487" s="1">
        <v>3.0176679999999901E-7</v>
      </c>
      <c r="I3487">
        <v>213.64590000000001</v>
      </c>
      <c r="J3487">
        <v>-382.92570000000001</v>
      </c>
      <c r="K3487">
        <v>1.102929</v>
      </c>
      <c r="L3487">
        <v>214.40960000000001</v>
      </c>
      <c r="M3487">
        <v>0.99994380000000005</v>
      </c>
      <c r="N3487">
        <v>0</v>
      </c>
      <c r="O3487">
        <v>7.205749E-3</v>
      </c>
      <c r="P3487">
        <v>0.99527119999999902</v>
      </c>
      <c r="Q3487">
        <v>3.7519150000000001E-2</v>
      </c>
      <c r="R3487">
        <v>8.9597060000000006E-2</v>
      </c>
      <c r="S3487">
        <v>3.0257869999999998</v>
      </c>
      <c r="T3487">
        <v>-0.1118398</v>
      </c>
      <c r="U3487">
        <v>-7.7346799999999993E-2</v>
      </c>
      <c r="V3487">
        <v>-8.2278999999999894E-2</v>
      </c>
      <c r="W3487">
        <v>4.5535369999999999E-2</v>
      </c>
      <c r="X3487">
        <v>0.99556849999999997</v>
      </c>
      <c r="Y3487">
        <v>3.2729889999999998E-2</v>
      </c>
      <c r="Z3487">
        <v>-8.7079819999999995E-4</v>
      </c>
      <c r="AA3487">
        <v>0.99946389999999996</v>
      </c>
      <c r="AB3487">
        <v>30</v>
      </c>
      <c r="AC3487">
        <v>29.5505</v>
      </c>
      <c r="AD3487">
        <v>-1.1029286982332001</v>
      </c>
      <c r="AE3487">
        <v>-0.76370000000000005</v>
      </c>
      <c r="AF3487">
        <v>0.97526241857843399</v>
      </c>
      <c r="AG3487">
        <v>-1.1029286982332001</v>
      </c>
      <c r="AH3487">
        <v>29.5031577740099</v>
      </c>
      <c r="AI3487">
        <v>92.139747113496995</v>
      </c>
      <c r="AJ3487">
        <v>88.106708398993803</v>
      </c>
      <c r="AK3487">
        <v>29.539869788754899</v>
      </c>
    </row>
    <row r="3488" spans="1:37" x14ac:dyDescent="0.2">
      <c r="A3488" t="str">
        <f>"20200111155615816"</f>
        <v>20200111155615816</v>
      </c>
      <c r="B3488" t="str">
        <f>"1578729375806203"</f>
        <v>1578729375806203</v>
      </c>
      <c r="C3488" t="s">
        <v>37</v>
      </c>
      <c r="D3488">
        <v>5.1180560000000002</v>
      </c>
      <c r="E3488">
        <v>0.54511200000000004</v>
      </c>
      <c r="F3488" t="s">
        <v>59</v>
      </c>
      <c r="G3488">
        <v>-352.98140000000001</v>
      </c>
      <c r="H3488" s="1">
        <v>9.3643169999999995E-8</v>
      </c>
      <c r="I3488">
        <v>213.61189999999999</v>
      </c>
      <c r="J3488">
        <v>-382.63490000000002</v>
      </c>
      <c r="K3488">
        <v>1.1029180000000001</v>
      </c>
      <c r="L3488">
        <v>214.4102</v>
      </c>
      <c r="M3488">
        <v>0.9999538</v>
      </c>
      <c r="N3488">
        <v>0</v>
      </c>
      <c r="O3488">
        <v>5.6446999999999999E-3</v>
      </c>
      <c r="P3488">
        <v>0.99543400000000004</v>
      </c>
      <c r="Q3488">
        <v>3.7608559999999999E-2</v>
      </c>
      <c r="R3488">
        <v>8.7732840000000006E-2</v>
      </c>
      <c r="S3488">
        <v>3.025757</v>
      </c>
      <c r="T3488">
        <v>-0.1114464</v>
      </c>
      <c r="U3488">
        <v>-8.0612180000000005E-2</v>
      </c>
      <c r="V3488">
        <v>-8.1968150000000004E-2</v>
      </c>
      <c r="W3488">
        <v>4.5635879999999997E-2</v>
      </c>
      <c r="X3488">
        <v>0.99558959999999996</v>
      </c>
      <c r="Y3488">
        <v>3.2249310000000003E-2</v>
      </c>
      <c r="Z3488">
        <v>-8.0141719999999997E-4</v>
      </c>
      <c r="AA3488">
        <v>0.99947949999999997</v>
      </c>
      <c r="AB3488">
        <v>30</v>
      </c>
      <c r="AC3488">
        <v>29.653500000000001</v>
      </c>
      <c r="AD3488">
        <v>-1.10291790635683</v>
      </c>
      <c r="AE3488">
        <v>-0.798300000000011</v>
      </c>
      <c r="AF3488">
        <v>0.96434439218145995</v>
      </c>
      <c r="AG3488">
        <v>-1.10291790635683</v>
      </c>
      <c r="AH3488">
        <v>29.607593021779898</v>
      </c>
      <c r="AI3488">
        <v>92.132219580777601</v>
      </c>
      <c r="AJ3488">
        <v>88.134487408813499</v>
      </c>
      <c r="AK3488">
        <v>29.643818117075298</v>
      </c>
    </row>
    <row r="3489" spans="1:37" x14ac:dyDescent="0.2">
      <c r="A3489" t="str">
        <f>"20200111155615840"</f>
        <v>20200111155615840</v>
      </c>
      <c r="B3489" t="str">
        <f>"1578729375836460"</f>
        <v>1578729375836460</v>
      </c>
      <c r="C3489" t="s">
        <v>37</v>
      </c>
      <c r="D3489">
        <v>4.8050100000000002</v>
      </c>
      <c r="E3489">
        <v>0.56358379999999997</v>
      </c>
      <c r="F3489" t="s">
        <v>59</v>
      </c>
      <c r="G3489">
        <v>-352.70350000000002</v>
      </c>
      <c r="H3489" s="1">
        <v>-5.1542829999999999E-8</v>
      </c>
      <c r="I3489">
        <v>213.55070000000001</v>
      </c>
      <c r="J3489">
        <v>-382.32040000000001</v>
      </c>
      <c r="K3489">
        <v>1.102911</v>
      </c>
      <c r="L3489">
        <v>214.4102</v>
      </c>
      <c r="M3489">
        <v>0.99996160000000001</v>
      </c>
      <c r="N3489">
        <v>0</v>
      </c>
      <c r="O3489">
        <v>3.9576869999999997E-3</v>
      </c>
      <c r="P3489">
        <v>0.995703</v>
      </c>
      <c r="Q3489">
        <v>3.7289019999999999E-2</v>
      </c>
      <c r="R3489">
        <v>8.4763399999999905E-2</v>
      </c>
      <c r="S3489">
        <v>3.0256349999999999</v>
      </c>
      <c r="T3489">
        <v>-0.1114893</v>
      </c>
      <c r="U3489">
        <v>-8.6883539999999995E-2</v>
      </c>
      <c r="V3489">
        <v>-8.0677449999999998E-2</v>
      </c>
      <c r="W3489">
        <v>4.5328159999999999E-2</v>
      </c>
      <c r="X3489">
        <v>0.99570910000000001</v>
      </c>
      <c r="Y3489">
        <v>3.2635119999999997E-2</v>
      </c>
      <c r="Z3489">
        <v>-7.4670599999999998E-4</v>
      </c>
      <c r="AA3489">
        <v>0.99946710000000005</v>
      </c>
      <c r="AB3489">
        <v>30</v>
      </c>
      <c r="AC3489">
        <v>29.616899999999902</v>
      </c>
      <c r="AD3489">
        <v>-1.10291105154283</v>
      </c>
      <c r="AE3489">
        <v>-0.85949999999999704</v>
      </c>
      <c r="AF3489">
        <v>0.975359818237995</v>
      </c>
      <c r="AG3489">
        <v>-1.10291105154283</v>
      </c>
      <c r="AH3489">
        <v>29.572291094017601</v>
      </c>
      <c r="AI3489">
        <v>92.134720583134595</v>
      </c>
      <c r="AJ3489">
        <v>88.110942771019594</v>
      </c>
      <c r="AK3489">
        <v>29.608919941665601</v>
      </c>
    </row>
    <row r="3490" spans="1:37" x14ac:dyDescent="0.2">
      <c r="A3490" t="str">
        <f>"20200111155615906"</f>
        <v>20200111155615906</v>
      </c>
      <c r="B3490" t="str">
        <f>"1578729375895995"</f>
        <v>1578729375895995</v>
      </c>
      <c r="C3490" t="s">
        <v>37</v>
      </c>
      <c r="D3490">
        <v>4.9893269999999896</v>
      </c>
      <c r="E3490">
        <v>0.570407</v>
      </c>
      <c r="F3490" t="s">
        <v>59</v>
      </c>
      <c r="G3490">
        <v>-347.62169999999998</v>
      </c>
      <c r="H3490" s="1">
        <v>2.51911399999999E-6</v>
      </c>
      <c r="I3490">
        <v>211.62909999999999</v>
      </c>
      <c r="J3490">
        <v>-381.42160000000001</v>
      </c>
      <c r="K3490">
        <v>1.102878</v>
      </c>
      <c r="L3490">
        <v>214.4074</v>
      </c>
      <c r="M3490">
        <v>0.99996879999999999</v>
      </c>
      <c r="N3490">
        <v>0</v>
      </c>
      <c r="O3490">
        <v>-8.6059839999999999E-4</v>
      </c>
      <c r="P3490">
        <v>0.99624690000000005</v>
      </c>
      <c r="Q3490">
        <v>3.7397470000000002E-2</v>
      </c>
      <c r="R3490">
        <v>7.8062709999999993E-2</v>
      </c>
      <c r="S3490">
        <v>3.0372919999999999</v>
      </c>
      <c r="T3490">
        <v>-9.6541399999999999E-2</v>
      </c>
      <c r="U3490">
        <v>-0.24343870000000001</v>
      </c>
      <c r="V3490">
        <v>-7.8773330000000003E-2</v>
      </c>
      <c r="W3490">
        <v>4.548108E-2</v>
      </c>
      <c r="X3490">
        <v>0.99585449999999998</v>
      </c>
      <c r="Y3490">
        <v>7.8996590000000005E-2</v>
      </c>
      <c r="Z3490">
        <v>-1.2258379999999999E-3</v>
      </c>
      <c r="AA3490">
        <v>0.99687420000000004</v>
      </c>
      <c r="AB3490">
        <v>30</v>
      </c>
      <c r="AC3490">
        <v>33.799900000000001</v>
      </c>
      <c r="AD3490">
        <v>-1.102875480886</v>
      </c>
      <c r="AE3490">
        <v>-2.7783000000000002</v>
      </c>
      <c r="AF3490">
        <v>2.74630560072106</v>
      </c>
      <c r="AG3490">
        <v>-1.102875480886</v>
      </c>
      <c r="AH3490">
        <v>33.766568989678802</v>
      </c>
      <c r="AI3490">
        <v>91.864563386828493</v>
      </c>
      <c r="AJ3490">
        <v>85.350249086848393</v>
      </c>
      <c r="AK3490">
        <v>33.896013189070302</v>
      </c>
    </row>
    <row r="3491" spans="1:37" x14ac:dyDescent="0.2">
      <c r="A3491" t="str">
        <f>"20200111155615930"</f>
        <v>20200111155615930</v>
      </c>
      <c r="B3491" t="str">
        <f>"1578729375926252"</f>
        <v>1578729375926252</v>
      </c>
      <c r="C3491" t="s">
        <v>37</v>
      </c>
      <c r="D3491">
        <v>5.0996540000000001</v>
      </c>
      <c r="E3491">
        <v>0.57310989999999995</v>
      </c>
      <c r="F3491" t="s">
        <v>59</v>
      </c>
      <c r="G3491">
        <v>-342.64909999999998</v>
      </c>
      <c r="H3491" s="1">
        <v>-1.2708190000000001E-7</v>
      </c>
      <c r="I3491">
        <v>210.34129999999999</v>
      </c>
      <c r="J3491">
        <v>-381.09829999999999</v>
      </c>
      <c r="K3491">
        <v>1.1028719999999901</v>
      </c>
      <c r="L3491">
        <v>214.40530000000001</v>
      </c>
      <c r="M3491">
        <v>0.99996569999999996</v>
      </c>
      <c r="N3491">
        <v>0</v>
      </c>
      <c r="O3491">
        <v>-2.5921679999999902E-3</v>
      </c>
      <c r="P3491">
        <v>0.99630680000000005</v>
      </c>
      <c r="Q3491">
        <v>3.801359E-2</v>
      </c>
      <c r="R3491">
        <v>7.6995019999999997E-2</v>
      </c>
      <c r="S3491">
        <v>3.03952</v>
      </c>
      <c r="T3491">
        <v>-8.6458560000000004E-2</v>
      </c>
      <c r="U3491">
        <v>-0.31875609999999999</v>
      </c>
      <c r="V3491">
        <v>-7.9428199999999893E-2</v>
      </c>
      <c r="W3491">
        <v>4.611937E-2</v>
      </c>
      <c r="X3491">
        <v>0.99577309999999997</v>
      </c>
      <c r="Y3491">
        <v>0.10168049999999999</v>
      </c>
      <c r="Z3491">
        <v>-1.36838E-3</v>
      </c>
      <c r="AA3491">
        <v>0.99481620000000004</v>
      </c>
      <c r="AB3491">
        <v>30</v>
      </c>
      <c r="AC3491">
        <v>38.449199999999998</v>
      </c>
      <c r="AD3491">
        <v>-1.10287212708189</v>
      </c>
      <c r="AE3491">
        <v>-4.0640000000000196</v>
      </c>
      <c r="AF3491">
        <v>3.96109343546201</v>
      </c>
      <c r="AG3491">
        <v>-1.10287212708189</v>
      </c>
      <c r="AH3491">
        <v>38.428337557621497</v>
      </c>
      <c r="AI3491">
        <v>91.635246568779294</v>
      </c>
      <c r="AJ3491">
        <v>84.114883846239493</v>
      </c>
      <c r="AK3491">
        <v>38.647687066312997</v>
      </c>
    </row>
    <row r="3492" spans="1:37" x14ac:dyDescent="0.2">
      <c r="A3492" t="str">
        <f>"20200111155615952"</f>
        <v>20200111155615952</v>
      </c>
      <c r="B3492" t="str">
        <f>"1578729375945772"</f>
        <v>1578729375945772</v>
      </c>
      <c r="C3492" t="s">
        <v>37</v>
      </c>
      <c r="D3492">
        <v>5.0619589999999999</v>
      </c>
      <c r="E3492">
        <v>0.57297019999999999</v>
      </c>
      <c r="F3492" t="s">
        <v>59</v>
      </c>
      <c r="G3492">
        <v>-331.36430000000001</v>
      </c>
      <c r="H3492">
        <v>8.0001320000000001E-2</v>
      </c>
      <c r="I3492">
        <v>208.7696</v>
      </c>
      <c r="J3492">
        <v>-380.79300000000001</v>
      </c>
      <c r="K3492">
        <v>1.10287</v>
      </c>
      <c r="L3492">
        <v>214.40289999999999</v>
      </c>
      <c r="M3492">
        <v>0.99995990000000001</v>
      </c>
      <c r="N3492">
        <v>0</v>
      </c>
      <c r="O3492">
        <v>-4.2269339999999999E-3</v>
      </c>
      <c r="P3492">
        <v>0.99622089999999996</v>
      </c>
      <c r="Q3492">
        <v>3.9251660000000001E-2</v>
      </c>
      <c r="R3492">
        <v>7.7483720000000006E-2</v>
      </c>
      <c r="S3492">
        <v>3.0400999999999998</v>
      </c>
      <c r="T3492">
        <v>-6.2525269999999994E-2</v>
      </c>
      <c r="U3492">
        <v>-0.34449770000000002</v>
      </c>
      <c r="V3492">
        <v>-8.1539940000000005E-2</v>
      </c>
      <c r="W3492">
        <v>4.738303E-2</v>
      </c>
      <c r="X3492">
        <v>0.99554310000000001</v>
      </c>
      <c r="Y3492">
        <v>0.10837429999999899</v>
      </c>
      <c r="Z3492">
        <v>-1.024142E-3</v>
      </c>
      <c r="AA3492">
        <v>0.99410959999999904</v>
      </c>
      <c r="AB3492">
        <v>30</v>
      </c>
      <c r="AC3492">
        <v>49.4286999999999</v>
      </c>
      <c r="AD3492">
        <v>-1.02286868</v>
      </c>
      <c r="AE3492">
        <v>-5.6332999999999904</v>
      </c>
      <c r="AF3492">
        <v>5.42201918477872</v>
      </c>
      <c r="AG3492">
        <v>-1.02286868</v>
      </c>
      <c r="AH3492">
        <v>49.431174030342902</v>
      </c>
      <c r="AI3492">
        <v>91.178374486710297</v>
      </c>
      <c r="AJ3492">
        <v>83.740350280842904</v>
      </c>
      <c r="AK3492">
        <v>49.738169632533499</v>
      </c>
    </row>
    <row r="3493" spans="1:37" x14ac:dyDescent="0.2">
      <c r="A3493" t="str">
        <f>"20200111155615974"</f>
        <v>20200111155615974</v>
      </c>
      <c r="B3493" t="str">
        <f>"1578729375966267"</f>
        <v>1578729375966267</v>
      </c>
      <c r="C3493" t="s">
        <v>37</v>
      </c>
      <c r="D3493">
        <v>5.1040729999999996</v>
      </c>
      <c r="E3493">
        <v>0.57350950000000001</v>
      </c>
      <c r="F3493" t="s">
        <v>59</v>
      </c>
      <c r="G3493">
        <v>-331.17180000000002</v>
      </c>
      <c r="H3493">
        <v>8.0001370000000002E-2</v>
      </c>
      <c r="I3493">
        <v>208.82509999999999</v>
      </c>
      <c r="J3493">
        <v>-380.49489999999997</v>
      </c>
      <c r="K3493">
        <v>1.102873</v>
      </c>
      <c r="L3493">
        <v>214.40010000000001</v>
      </c>
      <c r="M3493">
        <v>0.99995179999999995</v>
      </c>
      <c r="N3493">
        <v>0</v>
      </c>
      <c r="O3493">
        <v>-5.8203169999999898E-3</v>
      </c>
      <c r="P3493">
        <v>0.99606830000000002</v>
      </c>
      <c r="Q3493">
        <v>4.0819870000000001E-2</v>
      </c>
      <c r="R3493">
        <v>7.8624680000000002E-2</v>
      </c>
      <c r="S3493">
        <v>3.0404360000000001</v>
      </c>
      <c r="T3493">
        <v>-6.2674049999999995E-2</v>
      </c>
      <c r="U3493">
        <v>-0.34176640000000003</v>
      </c>
      <c r="V3493">
        <v>-8.4261320000000001E-2</v>
      </c>
      <c r="W3493">
        <v>4.8977149999999997E-2</v>
      </c>
      <c r="X3493">
        <v>0.99523930000000005</v>
      </c>
      <c r="Y3493">
        <v>0.10589659999999999</v>
      </c>
      <c r="Z3493">
        <v>-9.6832820000000003E-4</v>
      </c>
      <c r="AA3493">
        <v>0.9943767</v>
      </c>
      <c r="AB3493">
        <v>30</v>
      </c>
      <c r="AC3493">
        <v>49.323099999999897</v>
      </c>
      <c r="AD3493">
        <v>-1.02287163</v>
      </c>
      <c r="AE3493">
        <v>-5.5750000000000099</v>
      </c>
      <c r="AF3493">
        <v>5.2855760068540603</v>
      </c>
      <c r="AG3493">
        <v>-1.02287163</v>
      </c>
      <c r="AH3493">
        <v>49.333764343202702</v>
      </c>
      <c r="AI3493">
        <v>91.1810263997899</v>
      </c>
      <c r="AJ3493">
        <v>83.884708230845007</v>
      </c>
      <c r="AK3493">
        <v>49.626644903381802</v>
      </c>
    </row>
    <row r="3494" spans="1:37" x14ac:dyDescent="0.2">
      <c r="A3494" t="str">
        <f>"20200111155615996"</f>
        <v>20200111155615996</v>
      </c>
      <c r="B3494" t="str">
        <f>"1578729375985787"</f>
        <v>1578729375985787</v>
      </c>
      <c r="C3494" t="s">
        <v>37</v>
      </c>
      <c r="D3494">
        <v>5.1040080000000003</v>
      </c>
      <c r="E3494">
        <v>0.57391539999999996</v>
      </c>
      <c r="F3494" t="s">
        <v>59</v>
      </c>
      <c r="G3494">
        <v>-328.53219999999999</v>
      </c>
      <c r="H3494">
        <v>8.0000420000000003E-2</v>
      </c>
      <c r="I3494">
        <v>208.54499999999999</v>
      </c>
      <c r="J3494">
        <v>-380.19029999999998</v>
      </c>
      <c r="K3494">
        <v>1.102881</v>
      </c>
      <c r="L3494">
        <v>214.39670000000001</v>
      </c>
      <c r="M3494">
        <v>0.99994089999999902</v>
      </c>
      <c r="N3494">
        <v>0</v>
      </c>
      <c r="O3494">
        <v>-7.4382090000000003E-3</v>
      </c>
      <c r="P3494">
        <v>0.995837999999999</v>
      </c>
      <c r="Q3494">
        <v>4.2218930000000002E-2</v>
      </c>
      <c r="R3494">
        <v>8.0773860000000003E-2</v>
      </c>
      <c r="S3494">
        <v>3.0413509999999899</v>
      </c>
      <c r="T3494">
        <v>-5.986822E-2</v>
      </c>
      <c r="U3494">
        <v>-0.34269709999999998</v>
      </c>
      <c r="V3494">
        <v>-8.8014430000000005E-2</v>
      </c>
      <c r="W3494">
        <v>5.0405409999999998E-2</v>
      </c>
      <c r="X3494">
        <v>0.99484309999999998</v>
      </c>
      <c r="Y3494">
        <v>0.10455730000000001</v>
      </c>
      <c r="Z3494">
        <v>-8.7981589999999905E-4</v>
      </c>
      <c r="AA3494">
        <v>0.99451849999999997</v>
      </c>
      <c r="AB3494">
        <v>31</v>
      </c>
      <c r="AC3494">
        <v>51.658099999999898</v>
      </c>
      <c r="AD3494">
        <v>-1.02288058</v>
      </c>
      <c r="AE3494">
        <v>-5.8517000000000197</v>
      </c>
      <c r="AF3494">
        <v>5.4651666587154404</v>
      </c>
      <c r="AG3494">
        <v>-1.02288058</v>
      </c>
      <c r="AH3494">
        <v>51.680192404722398</v>
      </c>
      <c r="AI3494">
        <v>91.127593304997802</v>
      </c>
      <c r="AJ3494">
        <v>83.963422140210795</v>
      </c>
      <c r="AK3494">
        <v>51.978424545936399</v>
      </c>
    </row>
    <row r="3495" spans="1:37" x14ac:dyDescent="0.2">
      <c r="A3495" t="str">
        <f>"20200111155616017"</f>
        <v>20200111155616017</v>
      </c>
      <c r="B3495" t="str">
        <f>"1578729376006283"</f>
        <v>1578729376006283</v>
      </c>
      <c r="C3495" t="s">
        <v>37</v>
      </c>
      <c r="D3495">
        <v>5.1046860000000001</v>
      </c>
      <c r="E3495">
        <v>0.57425740000000003</v>
      </c>
      <c r="F3495" t="s">
        <v>59</v>
      </c>
      <c r="G3495">
        <v>-325.47460000000001</v>
      </c>
      <c r="H3495">
        <v>8.0001320000000001E-2</v>
      </c>
      <c r="I3495">
        <v>208.29429999999999</v>
      </c>
      <c r="J3495">
        <v>-379.88959999999997</v>
      </c>
      <c r="K3495">
        <v>1.1028929999999999</v>
      </c>
      <c r="L3495">
        <v>214.3929</v>
      </c>
      <c r="M3495">
        <v>0.99992780000000003</v>
      </c>
      <c r="N3495">
        <v>0</v>
      </c>
      <c r="O3495">
        <v>-9.0141530000000004E-3</v>
      </c>
      <c r="P3495">
        <v>0.99567309999999998</v>
      </c>
      <c r="Q3495">
        <v>4.3495029999999997E-2</v>
      </c>
      <c r="R3495">
        <v>8.2117910000000002E-2</v>
      </c>
      <c r="S3495">
        <v>3.0425110000000002</v>
      </c>
      <c r="T3495">
        <v>-5.6878089999999999E-2</v>
      </c>
      <c r="U3495">
        <v>-0.33932499999999999</v>
      </c>
      <c r="V3495">
        <v>-9.0921630000000003E-2</v>
      </c>
      <c r="W3495">
        <v>5.1706910000000002E-2</v>
      </c>
      <c r="X3495">
        <v>0.99451480000000003</v>
      </c>
      <c r="Y3495">
        <v>0.1018613</v>
      </c>
      <c r="Z3495">
        <v>-7.8113429999999897E-4</v>
      </c>
      <c r="AA3495">
        <v>0.99479830000000002</v>
      </c>
      <c r="AB3495">
        <v>31</v>
      </c>
      <c r="AC3495">
        <v>54.4149999999999</v>
      </c>
      <c r="AD3495">
        <v>-1.0228916800000001</v>
      </c>
      <c r="AE3495">
        <v>-6.0986000000000002</v>
      </c>
      <c r="AF3495">
        <v>5.6058752474333904</v>
      </c>
      <c r="AG3495">
        <v>-1.0228916800000001</v>
      </c>
      <c r="AH3495">
        <v>54.448762977725401</v>
      </c>
      <c r="AI3495">
        <v>91.070592115068706</v>
      </c>
      <c r="AJ3495">
        <v>84.121716571693597</v>
      </c>
      <c r="AK3495">
        <v>54.746140818173899</v>
      </c>
    </row>
    <row r="3496" spans="1:37" x14ac:dyDescent="0.2">
      <c r="A3496" t="str">
        <f>"20200111155616043"</f>
        <v>20200111155616043</v>
      </c>
      <c r="B3496" t="str">
        <f>"1578729376035564"</f>
        <v>1578729376035564</v>
      </c>
      <c r="C3496" t="s">
        <v>37</v>
      </c>
      <c r="D3496">
        <v>5.1039069999999898</v>
      </c>
      <c r="E3496">
        <v>0.57420550000000004</v>
      </c>
      <c r="F3496" t="s">
        <v>59</v>
      </c>
      <c r="G3496">
        <v>-322.35390000000001</v>
      </c>
      <c r="H3496">
        <v>8.0000769999999999E-2</v>
      </c>
      <c r="I3496">
        <v>208.00389999999999</v>
      </c>
      <c r="J3496">
        <v>-379.5523</v>
      </c>
      <c r="K3496">
        <v>1.10292099999999</v>
      </c>
      <c r="L3496">
        <v>214.38800000000001</v>
      </c>
      <c r="M3496">
        <v>0.99991070000000004</v>
      </c>
      <c r="N3496">
        <v>0</v>
      </c>
      <c r="O3496">
        <v>-1.07273E-2</v>
      </c>
      <c r="P3496">
        <v>0.99570910000000001</v>
      </c>
      <c r="Q3496">
        <v>4.3053920000000002E-2</v>
      </c>
      <c r="R3496">
        <v>8.1914619999999994E-2</v>
      </c>
      <c r="S3496">
        <v>3.0432739999999998</v>
      </c>
      <c r="T3496">
        <v>-5.4104449999999998E-2</v>
      </c>
      <c r="U3496">
        <v>-0.33793640000000003</v>
      </c>
      <c r="V3496">
        <v>-9.2427289999999995E-2</v>
      </c>
      <c r="W3496">
        <v>5.1285949999999997E-2</v>
      </c>
      <c r="X3496">
        <v>0.9943978</v>
      </c>
      <c r="Y3496">
        <v>9.9683010000000002E-2</v>
      </c>
      <c r="Z3496">
        <v>-6.932269E-4</v>
      </c>
      <c r="AA3496">
        <v>0.99501899999999999</v>
      </c>
      <c r="AB3496">
        <v>31</v>
      </c>
      <c r="AC3496">
        <v>57.1983999999999</v>
      </c>
      <c r="AD3496">
        <v>-1.02292022999999</v>
      </c>
      <c r="AE3496">
        <v>-6.3841000000000099</v>
      </c>
      <c r="AF3496">
        <v>5.7683065939509399</v>
      </c>
      <c r="AG3496">
        <v>-1.02292022999999</v>
      </c>
      <c r="AH3496">
        <v>57.245511562159301</v>
      </c>
      <c r="AI3496">
        <v>91.018552760401604</v>
      </c>
      <c r="AJ3496">
        <v>84.246049894620498</v>
      </c>
      <c r="AK3496">
        <v>57.544489925379303</v>
      </c>
    </row>
    <row r="3497" spans="1:37" x14ac:dyDescent="0.2">
      <c r="A3497" t="str">
        <f>"20200111155616063"</f>
        <v>20200111155616063</v>
      </c>
      <c r="B3497" t="str">
        <f>"1578729376056061"</f>
        <v>1578729376056061</v>
      </c>
      <c r="C3497" t="s">
        <v>37</v>
      </c>
      <c r="D3497">
        <v>5.1139559999999999</v>
      </c>
      <c r="E3497">
        <v>0.57452460000000005</v>
      </c>
      <c r="F3497" t="s">
        <v>59</v>
      </c>
      <c r="G3497">
        <v>-326.65199999999999</v>
      </c>
      <c r="H3497">
        <v>8.0000970000000005E-2</v>
      </c>
      <c r="I3497">
        <v>208.51740000000001</v>
      </c>
      <c r="J3497">
        <v>-379.25790000000001</v>
      </c>
      <c r="K3497">
        <v>1.1029420000000001</v>
      </c>
      <c r="L3497">
        <v>214.38329999999999</v>
      </c>
      <c r="M3497">
        <v>0.99989409999999901</v>
      </c>
      <c r="N3497">
        <v>0</v>
      </c>
      <c r="O3497">
        <v>-1.2162869999999999E-2</v>
      </c>
      <c r="P3497">
        <v>0.99586330000000001</v>
      </c>
      <c r="Q3497">
        <v>4.1744660000000003E-2</v>
      </c>
      <c r="R3497">
        <v>8.0708730000000006E-2</v>
      </c>
      <c r="S3497">
        <v>3.0432429999999999</v>
      </c>
      <c r="T3497">
        <v>-5.8846469999999998E-2</v>
      </c>
      <c r="U3497">
        <v>-0.33772279999999999</v>
      </c>
      <c r="V3497">
        <v>-9.2660519999999996E-2</v>
      </c>
      <c r="W3497">
        <v>4.998872E-2</v>
      </c>
      <c r="X3497">
        <v>0.9944421</v>
      </c>
      <c r="Y3497">
        <v>9.8184439999999998E-2</v>
      </c>
      <c r="Z3497">
        <v>-7.1187919999999997E-4</v>
      </c>
      <c r="AA3497">
        <v>0.99516800000000005</v>
      </c>
      <c r="AB3497">
        <v>31</v>
      </c>
      <c r="AC3497">
        <v>52.605899999999998</v>
      </c>
      <c r="AD3497">
        <v>-1.0229410299999999</v>
      </c>
      <c r="AE3497">
        <v>-5.8658999999999804</v>
      </c>
      <c r="AF3497">
        <v>5.2236559936484399</v>
      </c>
      <c r="AG3497">
        <v>-1.0229410299999999</v>
      </c>
      <c r="AH3497">
        <v>52.6536919012147</v>
      </c>
      <c r="AI3497">
        <v>91.107550533306906</v>
      </c>
      <c r="AJ3497">
        <v>84.334351706665601</v>
      </c>
      <c r="AK3497">
        <v>52.922058360563398</v>
      </c>
    </row>
    <row r="3498" spans="1:37" x14ac:dyDescent="0.2">
      <c r="A3498" t="str">
        <f>"20200111155616085"</f>
        <v>20200111155616085</v>
      </c>
      <c r="B3498" t="str">
        <f>"1578729376075579"</f>
        <v>1578729376075579</v>
      </c>
      <c r="C3498" t="s">
        <v>37</v>
      </c>
      <c r="D3498">
        <v>5.0733100000000002</v>
      </c>
      <c r="E3498">
        <v>0.57473359999999996</v>
      </c>
      <c r="F3498" t="s">
        <v>59</v>
      </c>
      <c r="G3498">
        <v>-330.80040000000002</v>
      </c>
      <c r="H3498">
        <v>8.0001470000000005E-2</v>
      </c>
      <c r="I3498">
        <v>208.90780000000001</v>
      </c>
      <c r="J3498">
        <v>-378.9538</v>
      </c>
      <c r="K3498">
        <v>1.1029770000000001</v>
      </c>
      <c r="L3498">
        <v>214.37819999999999</v>
      </c>
      <c r="M3498">
        <v>0.99987579999999998</v>
      </c>
      <c r="N3498">
        <v>0</v>
      </c>
      <c r="O3498">
        <v>-1.358259E-2</v>
      </c>
      <c r="P3498">
        <v>0.9962261</v>
      </c>
      <c r="Q3498">
        <v>3.9058269999999999E-2</v>
      </c>
      <c r="R3498">
        <v>7.751305E-2</v>
      </c>
      <c r="S3498">
        <v>3.0430599999999899</v>
      </c>
      <c r="T3498">
        <v>-6.423914E-2</v>
      </c>
      <c r="U3498">
        <v>-0.34385679999999902</v>
      </c>
      <c r="V3498">
        <v>-9.0895939999999995E-2</v>
      </c>
      <c r="W3498">
        <v>4.7309199999999899E-2</v>
      </c>
      <c r="X3498">
        <v>0.99473599999999995</v>
      </c>
      <c r="Y3498">
        <v>9.8756280000000002E-2</v>
      </c>
      <c r="Z3498">
        <v>-7.5321800000000005E-4</v>
      </c>
      <c r="AA3498">
        <v>0.99511130000000003</v>
      </c>
      <c r="AB3498">
        <v>31</v>
      </c>
      <c r="AC3498">
        <v>48.153399999999898</v>
      </c>
      <c r="AD3498">
        <v>-1.0229755300000001</v>
      </c>
      <c r="AE3498">
        <v>-5.4703999999999802</v>
      </c>
      <c r="AF3498">
        <v>4.8136817592662702</v>
      </c>
      <c r="AG3498">
        <v>-1.0229755300000001</v>
      </c>
      <c r="AH3498">
        <v>48.201785400042503</v>
      </c>
      <c r="AI3498">
        <v>91.209776965406306</v>
      </c>
      <c r="AJ3498">
        <v>84.297053000582096</v>
      </c>
      <c r="AK3498">
        <v>48.452349032489899</v>
      </c>
    </row>
    <row r="3499" spans="1:37" x14ac:dyDescent="0.2">
      <c r="A3499" t="str">
        <f>"20200111155616107"</f>
        <v>20200111155616107</v>
      </c>
      <c r="B3499" t="str">
        <f>"1578729376096076"</f>
        <v>1578729376096076</v>
      </c>
      <c r="C3499" t="s">
        <v>37</v>
      </c>
      <c r="D3499">
        <v>5.158277</v>
      </c>
      <c r="E3499">
        <v>0.57469150000000002</v>
      </c>
      <c r="F3499" t="s">
        <v>59</v>
      </c>
      <c r="G3499">
        <v>-336.45650000000001</v>
      </c>
      <c r="H3499">
        <v>8.0001260000000005E-2</v>
      </c>
      <c r="I3499">
        <v>209.41730000000001</v>
      </c>
      <c r="J3499">
        <v>-378.6499</v>
      </c>
      <c r="K3499">
        <v>1.1030279999999999</v>
      </c>
      <c r="L3499">
        <v>214.37270000000001</v>
      </c>
      <c r="M3499">
        <v>0.99985669999999904</v>
      </c>
      <c r="N3499">
        <v>0</v>
      </c>
      <c r="O3499">
        <v>-1.490965E-2</v>
      </c>
      <c r="P3499">
        <v>0.99660059999999995</v>
      </c>
      <c r="Q3499">
        <v>3.6958150000000002E-2</v>
      </c>
      <c r="R3499">
        <v>7.363161E-2</v>
      </c>
      <c r="S3499">
        <v>3.0418699999999999</v>
      </c>
      <c r="T3499">
        <v>-7.3222399999999896E-2</v>
      </c>
      <c r="U3499">
        <v>-0.35508729999999999</v>
      </c>
      <c r="V3499">
        <v>-8.8354240000000001E-2</v>
      </c>
      <c r="W3499">
        <v>4.5216699999999999E-2</v>
      </c>
      <c r="X3499">
        <v>0.99506229999999996</v>
      </c>
      <c r="Y3499">
        <v>0.1010988</v>
      </c>
      <c r="Z3499">
        <v>-8.5495350000000005E-4</v>
      </c>
      <c r="AA3499">
        <v>0.99487599999999998</v>
      </c>
      <c r="AB3499">
        <v>31</v>
      </c>
      <c r="AC3499">
        <v>42.193399999999997</v>
      </c>
      <c r="AD3499">
        <v>-1.0230267399999999</v>
      </c>
      <c r="AE3499">
        <v>-4.9553999999999903</v>
      </c>
      <c r="AF3499">
        <v>4.3232331589935002</v>
      </c>
      <c r="AG3499">
        <v>-1.0230267399999999</v>
      </c>
      <c r="AH3499">
        <v>42.238102462263697</v>
      </c>
      <c r="AI3499">
        <v>91.380251181427397</v>
      </c>
      <c r="AJ3499">
        <v>84.155906835823004</v>
      </c>
      <c r="AK3499">
        <v>42.471098741031703</v>
      </c>
    </row>
    <row r="3500" spans="1:37" x14ac:dyDescent="0.2">
      <c r="A3500" t="str">
        <f>"20200111155616131"</f>
        <v>20200111155616131</v>
      </c>
      <c r="B3500" t="str">
        <f>"1578729376126332"</f>
        <v>1578729376126332</v>
      </c>
      <c r="C3500" t="s">
        <v>37</v>
      </c>
      <c r="D3500">
        <v>5.0847850000000001</v>
      </c>
      <c r="E3500">
        <v>0.57440659999999999</v>
      </c>
      <c r="F3500" t="s">
        <v>59</v>
      </c>
      <c r="G3500">
        <v>-339.22</v>
      </c>
      <c r="H3500">
        <v>5.0874139999999998E-2</v>
      </c>
      <c r="I3500">
        <v>209.61539999999999</v>
      </c>
      <c r="J3500">
        <v>-378.31939999999997</v>
      </c>
      <c r="K3500">
        <v>1.1031070000000001</v>
      </c>
      <c r="L3500">
        <v>214.3664</v>
      </c>
      <c r="M3500">
        <v>0.99983599999999995</v>
      </c>
      <c r="N3500">
        <v>0</v>
      </c>
      <c r="O3500">
        <v>-1.6215070000000002E-2</v>
      </c>
      <c r="P3500">
        <v>0.99702440000000003</v>
      </c>
      <c r="Q3500">
        <v>3.4296050000000002E-2</v>
      </c>
      <c r="R3500">
        <v>6.9039470000000006E-2</v>
      </c>
      <c r="S3500">
        <v>3.0403439999999899</v>
      </c>
      <c r="T3500">
        <v>-8.1129069999999998E-2</v>
      </c>
      <c r="U3500">
        <v>-0.36682129999999902</v>
      </c>
      <c r="V3500">
        <v>-8.5085960000000002E-2</v>
      </c>
      <c r="W3500">
        <v>4.2565190000000003E-2</v>
      </c>
      <c r="X3500">
        <v>0.99546399999999902</v>
      </c>
      <c r="Y3500">
        <v>0.1036373</v>
      </c>
      <c r="Z3500">
        <v>-9.4655849999999997E-4</v>
      </c>
      <c r="AA3500">
        <v>0.99461469999999896</v>
      </c>
      <c r="AB3500">
        <v>31</v>
      </c>
      <c r="AC3500">
        <v>39.099399999999903</v>
      </c>
      <c r="AD3500">
        <v>-1.0522328599999999</v>
      </c>
      <c r="AE3500">
        <v>-4.7510000000000003</v>
      </c>
      <c r="AF3500">
        <v>4.1134194398306496</v>
      </c>
      <c r="AG3500">
        <v>-1.0522328599999999</v>
      </c>
      <c r="AH3500">
        <v>39.143362684636699</v>
      </c>
      <c r="AI3500">
        <v>91.531398079792297</v>
      </c>
      <c r="AJ3500">
        <v>84.001033348358703</v>
      </c>
      <c r="AK3500">
        <v>39.3729635122967</v>
      </c>
    </row>
    <row r="3501" spans="1:37" x14ac:dyDescent="0.2">
      <c r="A3501" t="str">
        <f>"20200111155616154"</f>
        <v>20200111155616154</v>
      </c>
      <c r="B3501" t="str">
        <f>"1578729376145852"</f>
        <v>1578729376145852</v>
      </c>
      <c r="C3501" t="s">
        <v>37</v>
      </c>
      <c r="D3501">
        <v>5.0500569999999998</v>
      </c>
      <c r="E3501">
        <v>0.57455369999999995</v>
      </c>
      <c r="F3501" t="s">
        <v>59</v>
      </c>
      <c r="G3501">
        <v>-341.64580000000001</v>
      </c>
      <c r="H3501" s="1">
        <v>-6.6099110000000001E-7</v>
      </c>
      <c r="I3501">
        <v>209.79900000000001</v>
      </c>
      <c r="J3501">
        <v>-378.00529999999998</v>
      </c>
      <c r="K3501">
        <v>1.1032090000000001</v>
      </c>
      <c r="L3501">
        <v>214.36019999999999</v>
      </c>
      <c r="M3501">
        <v>0.99981759999999997</v>
      </c>
      <c r="N3501">
        <v>0</v>
      </c>
      <c r="O3501">
        <v>-1.7293639999999999E-2</v>
      </c>
      <c r="P3501">
        <v>0.99737140000000002</v>
      </c>
      <c r="Q3501">
        <v>3.215295E-2</v>
      </c>
      <c r="R3501">
        <v>6.4938720000000005E-2</v>
      </c>
      <c r="S3501">
        <v>3.03832999999999</v>
      </c>
      <c r="T3501">
        <v>-9.1390009999999994E-2</v>
      </c>
      <c r="U3501">
        <v>-0.37840269999999998</v>
      </c>
      <c r="V3501">
        <v>-8.2082470000000005E-2</v>
      </c>
      <c r="W3501">
        <v>4.0432219999999998E-2</v>
      </c>
      <c r="X3501">
        <v>0.99580499999999905</v>
      </c>
      <c r="Y3501">
        <v>0.1063684</v>
      </c>
      <c r="Z3501">
        <v>-1.0753010000000001E-3</v>
      </c>
      <c r="AA3501">
        <v>0.99432619999999905</v>
      </c>
      <c r="AB3501">
        <v>31</v>
      </c>
      <c r="AC3501">
        <v>36.359499999999898</v>
      </c>
      <c r="AD3501">
        <v>-1.1032096609911</v>
      </c>
      <c r="AE3501">
        <v>-4.5611999999999799</v>
      </c>
      <c r="AF3501">
        <v>3.9281487829364399</v>
      </c>
      <c r="AG3501">
        <v>-1.1032096609911</v>
      </c>
      <c r="AH3501">
        <v>36.399953228323902</v>
      </c>
      <c r="AI3501">
        <v>91.725973799894106</v>
      </c>
      <c r="AJ3501">
        <v>83.8406871705496</v>
      </c>
      <c r="AK3501">
        <v>36.627913118838201</v>
      </c>
    </row>
    <row r="3502" spans="1:37" x14ac:dyDescent="0.2">
      <c r="A3502" t="str">
        <f>"20200111155616175"</f>
        <v>20200111155616175</v>
      </c>
      <c r="B3502" t="str">
        <f>"1578729376166348"</f>
        <v>1578729376166348</v>
      </c>
      <c r="C3502" t="s">
        <v>37</v>
      </c>
      <c r="D3502">
        <v>5.0882849999999999</v>
      </c>
      <c r="E3502">
        <v>0.57460299999999997</v>
      </c>
      <c r="F3502" t="s">
        <v>59</v>
      </c>
      <c r="G3502">
        <v>-343.42439999999999</v>
      </c>
      <c r="H3502" s="1">
        <v>2.8549949999999999E-7</v>
      </c>
      <c r="I3502">
        <v>209.89340000000001</v>
      </c>
      <c r="J3502">
        <v>-377.71339999999998</v>
      </c>
      <c r="K3502">
        <v>1.103326</v>
      </c>
      <c r="L3502">
        <v>214.35419999999999</v>
      </c>
      <c r="M3502">
        <v>0.99980249999999904</v>
      </c>
      <c r="N3502">
        <v>0</v>
      </c>
      <c r="O3502">
        <v>-1.8123360000000002E-2</v>
      </c>
      <c r="P3502">
        <v>0.99763199999999996</v>
      </c>
      <c r="Q3502">
        <v>3.081952E-2</v>
      </c>
      <c r="R3502">
        <v>6.1486060000000002E-2</v>
      </c>
      <c r="S3502">
        <v>3.03653</v>
      </c>
      <c r="T3502">
        <v>-9.6872089999999994E-2</v>
      </c>
      <c r="U3502">
        <v>-0.3922272</v>
      </c>
      <c r="V3502">
        <v>-7.9476199999999997E-2</v>
      </c>
      <c r="W3502">
        <v>3.9108150000000001E-2</v>
      </c>
      <c r="X3502">
        <v>0.99606930000000005</v>
      </c>
      <c r="Y3502">
        <v>0.1100636</v>
      </c>
      <c r="Z3502">
        <v>-1.172469E-3</v>
      </c>
      <c r="AA3502">
        <v>0.99392380000000002</v>
      </c>
      <c r="AB3502">
        <v>31</v>
      </c>
      <c r="AC3502">
        <v>34.288999999999902</v>
      </c>
      <c r="AD3502">
        <v>-1.1033257145005</v>
      </c>
      <c r="AE3502">
        <v>-4.4607999999999697</v>
      </c>
      <c r="AF3502">
        <v>3.8347104595042101</v>
      </c>
      <c r="AG3502">
        <v>-1.1033257145005</v>
      </c>
      <c r="AH3502">
        <v>34.3292631914791</v>
      </c>
      <c r="AI3502">
        <v>91.829454110931806</v>
      </c>
      <c r="AJ3502">
        <v>83.626263837764398</v>
      </c>
      <c r="AK3502">
        <v>34.560391247935101</v>
      </c>
    </row>
    <row r="3503" spans="1:37" x14ac:dyDescent="0.2">
      <c r="A3503" t="str">
        <f>"20200111155616196"</f>
        <v>20200111155616196</v>
      </c>
      <c r="B3503" t="str">
        <f>"1578729376185867"</f>
        <v>1578729376185867</v>
      </c>
      <c r="C3503" t="s">
        <v>37</v>
      </c>
      <c r="D3503">
        <v>5.0850479999999996</v>
      </c>
      <c r="E3503">
        <v>0.57452009999999998</v>
      </c>
      <c r="F3503" t="s">
        <v>59</v>
      </c>
      <c r="G3503">
        <v>-344.29039999999998</v>
      </c>
      <c r="H3503" s="1">
        <v>7.4633619999999998E-7</v>
      </c>
      <c r="I3503">
        <v>209.9144</v>
      </c>
      <c r="J3503">
        <v>-377.40989999999999</v>
      </c>
      <c r="K3503">
        <v>1.103477</v>
      </c>
      <c r="L3503">
        <v>214.34799999999899</v>
      </c>
      <c r="M3503">
        <v>0.99978989999999901</v>
      </c>
      <c r="N3503">
        <v>0</v>
      </c>
      <c r="O3503">
        <v>-1.8794040000000001E-2</v>
      </c>
      <c r="P3503">
        <v>0.99782109999999902</v>
      </c>
      <c r="Q3503">
        <v>3.0238060000000001E-2</v>
      </c>
      <c r="R3503">
        <v>5.8643479999999998E-2</v>
      </c>
      <c r="S3503">
        <v>3.0350649999999999</v>
      </c>
      <c r="T3503">
        <v>-0.1001903</v>
      </c>
      <c r="U3503">
        <v>-0.40316770000000002</v>
      </c>
      <c r="V3503">
        <v>-7.7321399999999998E-2</v>
      </c>
      <c r="W3503">
        <v>3.8538749999999997E-2</v>
      </c>
      <c r="X3503">
        <v>0.99626109999999901</v>
      </c>
      <c r="Y3503">
        <v>0.112975299999999</v>
      </c>
      <c r="Z3503">
        <v>-1.2387239999999901E-3</v>
      </c>
      <c r="AA3503">
        <v>0.99359699999999995</v>
      </c>
      <c r="AB3503">
        <v>31</v>
      </c>
      <c r="AC3503">
        <v>33.119500000000002</v>
      </c>
      <c r="AD3503">
        <v>-1.1034762536638001</v>
      </c>
      <c r="AE3503">
        <v>-4.4335999999999798</v>
      </c>
      <c r="AF3503">
        <v>3.8061959889125299</v>
      </c>
      <c r="AG3503">
        <v>-1.1034762536638001</v>
      </c>
      <c r="AH3503">
        <v>33.160814519291101</v>
      </c>
      <c r="AI3503">
        <v>91.893477641341605</v>
      </c>
      <c r="AJ3503">
        <v>83.452248380210804</v>
      </c>
      <c r="AK3503">
        <v>33.396772408890598</v>
      </c>
    </row>
    <row r="3504" spans="1:37" x14ac:dyDescent="0.2">
      <c r="A3504" t="str">
        <f>"20200111155616220"</f>
        <v>20200111155616220</v>
      </c>
      <c r="B3504" t="str">
        <f>"1578729376217100"</f>
        <v>1578729376217100</v>
      </c>
      <c r="C3504" t="s">
        <v>37</v>
      </c>
      <c r="D3504">
        <v>5.1957420000000001</v>
      </c>
      <c r="E3504">
        <v>0.53982319999999995</v>
      </c>
      <c r="F3504" t="s">
        <v>59</v>
      </c>
      <c r="G3504">
        <v>-344.55020000000002</v>
      </c>
      <c r="H3504" s="1">
        <v>8.8457880000000004E-7</v>
      </c>
      <c r="I3504">
        <v>209.8963</v>
      </c>
      <c r="J3504">
        <v>-377.09140000000002</v>
      </c>
      <c r="K3504">
        <v>1.103656</v>
      </c>
      <c r="L3504">
        <v>214.3415</v>
      </c>
      <c r="M3504">
        <v>0.99978040000000001</v>
      </c>
      <c r="N3504">
        <v>0</v>
      </c>
      <c r="O3504">
        <v>-1.9274059999999999E-2</v>
      </c>
      <c r="P3504">
        <v>0.99792930000000002</v>
      </c>
      <c r="Q3504">
        <v>3.0580619999999999E-2</v>
      </c>
      <c r="R3504">
        <v>5.6590429999999997E-2</v>
      </c>
      <c r="S3504">
        <v>3.0337830000000001</v>
      </c>
      <c r="T3504">
        <v>-0.10187889999999999</v>
      </c>
      <c r="U3504">
        <v>-0.41101070000000001</v>
      </c>
      <c r="V3504">
        <v>-7.5764919999999999E-2</v>
      </c>
      <c r="W3504">
        <v>3.8894680000000001E-2</v>
      </c>
      <c r="X3504">
        <v>0.99636689999999895</v>
      </c>
      <c r="Y3504">
        <v>0.11507339999999899</v>
      </c>
      <c r="Z3504">
        <v>-1.2789349999999999E-3</v>
      </c>
      <c r="AA3504">
        <v>0.99335620000000002</v>
      </c>
      <c r="AB3504">
        <v>31</v>
      </c>
      <c r="AC3504">
        <v>32.541200000000003</v>
      </c>
      <c r="AD3504">
        <v>-1.1036551154212</v>
      </c>
      <c r="AE3504">
        <v>-4.4451999999999998</v>
      </c>
      <c r="AF3504">
        <v>3.8128464731106999</v>
      </c>
      <c r="AG3504">
        <v>-1.1036551154212</v>
      </c>
      <c r="AH3504">
        <v>32.584040773016902</v>
      </c>
      <c r="AI3504">
        <v>91.926788998492697</v>
      </c>
      <c r="AJ3504">
        <v>83.325842451756898</v>
      </c>
      <c r="AK3504">
        <v>32.824922938811802</v>
      </c>
    </row>
    <row r="3505" spans="1:37" x14ac:dyDescent="0.2">
      <c r="A3505" t="str">
        <f>"20200111155616264"</f>
        <v>20200111155616264</v>
      </c>
      <c r="B3505" t="str">
        <f>"1578729376256139"</f>
        <v>1578729376256139</v>
      </c>
      <c r="C3505" t="s">
        <v>37</v>
      </c>
      <c r="D3505">
        <v>5.5022000000000002</v>
      </c>
      <c r="E3505">
        <v>0.52670530000000004</v>
      </c>
      <c r="F3505" t="s">
        <v>59</v>
      </c>
      <c r="G3505">
        <v>-349.233</v>
      </c>
      <c r="H3505" s="1">
        <v>3.3765359999999999E-6</v>
      </c>
      <c r="I3505">
        <v>213.0455</v>
      </c>
      <c r="J3505">
        <v>-376.44979999999998</v>
      </c>
      <c r="K3505">
        <v>1.10398</v>
      </c>
      <c r="L3505">
        <v>214.3287</v>
      </c>
      <c r="M3505">
        <v>0.99977199999999899</v>
      </c>
      <c r="N3505">
        <v>0</v>
      </c>
      <c r="O3505">
        <v>-1.96618E-2</v>
      </c>
      <c r="P3505">
        <v>0.99805849999999996</v>
      </c>
      <c r="Q3505">
        <v>3.0898169999999999E-2</v>
      </c>
      <c r="R3505">
        <v>5.4082860000000003E-2</v>
      </c>
      <c r="S3505">
        <v>3.0178219999999998</v>
      </c>
      <c r="T3505">
        <v>-0.1195555</v>
      </c>
      <c r="U3505">
        <v>-0.1403961</v>
      </c>
      <c r="V3505">
        <v>-7.3675169999999998E-2</v>
      </c>
      <c r="W3505">
        <v>3.9252509999999997E-2</v>
      </c>
      <c r="X3505">
        <v>0.99650949999999905</v>
      </c>
      <c r="Y3505">
        <v>2.681625E-2</v>
      </c>
      <c r="Z3505">
        <v>2.4741789999999997E-4</v>
      </c>
      <c r="AA3505">
        <v>0.99964030000000004</v>
      </c>
      <c r="AB3505">
        <v>31</v>
      </c>
      <c r="AC3505">
        <v>27.2167999999999</v>
      </c>
      <c r="AD3505">
        <v>-1.1039766234639901</v>
      </c>
      <c r="AE3505">
        <v>-1.2831999999999899</v>
      </c>
      <c r="AF3505">
        <v>0.74657646762369401</v>
      </c>
      <c r="AG3505">
        <v>-1.1039766234639901</v>
      </c>
      <c r="AH3505">
        <v>27.1921291652605</v>
      </c>
      <c r="AI3505">
        <v>92.324006853980094</v>
      </c>
      <c r="AJ3505">
        <v>88.427304569442597</v>
      </c>
      <c r="AK3505">
        <v>27.224768673900201</v>
      </c>
    </row>
    <row r="3506" spans="1:37" x14ac:dyDescent="0.2">
      <c r="A3506" t="str">
        <f>"20200111155616286"</f>
        <v>20200111155616286</v>
      </c>
      <c r="B3506" t="str">
        <f>"1578729376276642"</f>
        <v>1578729376276642</v>
      </c>
      <c r="C3506" t="s">
        <v>37</v>
      </c>
      <c r="D3506">
        <v>5.1536559999999998</v>
      </c>
      <c r="E3506">
        <v>0.5221114</v>
      </c>
      <c r="F3506" t="s">
        <v>59</v>
      </c>
      <c r="G3506">
        <v>-340.80790000000002</v>
      </c>
      <c r="H3506" s="1">
        <v>-1.1068849999999999E-6</v>
      </c>
      <c r="I3506">
        <v>213.8065</v>
      </c>
      <c r="J3506">
        <v>-376.14589999999998</v>
      </c>
      <c r="K3506">
        <v>1.104096</v>
      </c>
      <c r="L3506">
        <v>214.3227</v>
      </c>
      <c r="M3506">
        <v>0.99977229999999995</v>
      </c>
      <c r="N3506">
        <v>0</v>
      </c>
      <c r="O3506">
        <v>-1.9623129999999999E-2</v>
      </c>
      <c r="P3506">
        <v>0.99809020000000004</v>
      </c>
      <c r="Q3506">
        <v>3.1412330000000002E-2</v>
      </c>
      <c r="R3506">
        <v>5.3191460000000003E-2</v>
      </c>
      <c r="S3506">
        <v>3.0110779999999999</v>
      </c>
      <c r="T3506">
        <v>-9.3265890000000004E-2</v>
      </c>
      <c r="U3506">
        <v>-4.4113159999999998E-2</v>
      </c>
      <c r="V3506">
        <v>-7.2756509999999996E-2</v>
      </c>
      <c r="W3506">
        <v>3.979282E-2</v>
      </c>
      <c r="X3506">
        <v>0.99655559999999999</v>
      </c>
      <c r="Y3506">
        <v>-4.9640300000000004E-3</v>
      </c>
      <c r="Z3506">
        <v>6.8445989999999998E-4</v>
      </c>
      <c r="AA3506">
        <v>0.99998739999999997</v>
      </c>
      <c r="AB3506">
        <v>31</v>
      </c>
      <c r="AC3506">
        <v>35.337999999999901</v>
      </c>
      <c r="AD3506">
        <v>-1.1040971068850001</v>
      </c>
      <c r="AE3506">
        <v>-0.51619999999999699</v>
      </c>
      <c r="AF3506">
        <v>-0.177193003863788</v>
      </c>
      <c r="AG3506">
        <v>-1.1040971068850001</v>
      </c>
      <c r="AH3506">
        <v>35.306866369321099</v>
      </c>
      <c r="AI3506">
        <v>91.791116186523595</v>
      </c>
      <c r="AJ3506">
        <v>90.287545372613707</v>
      </c>
      <c r="AK3506">
        <v>35.324569928070602</v>
      </c>
    </row>
    <row r="3507" spans="1:37" x14ac:dyDescent="0.2">
      <c r="A3507" t="str">
        <f>"20200111155616308"</f>
        <v>20200111155616308</v>
      </c>
      <c r="B3507" t="str">
        <f>"1578729376296155"</f>
        <v>1578729376296155</v>
      </c>
      <c r="C3507" t="s">
        <v>37</v>
      </c>
      <c r="D3507">
        <v>5.1620119999999998</v>
      </c>
      <c r="E3507">
        <v>0.52045609999999998</v>
      </c>
      <c r="F3507" t="s">
        <v>59</v>
      </c>
      <c r="G3507">
        <v>-343.18680000000001</v>
      </c>
      <c r="H3507" s="1">
        <v>1.5907529999999999E-7</v>
      </c>
      <c r="I3507">
        <v>214.2149</v>
      </c>
      <c r="J3507">
        <v>-375.839</v>
      </c>
      <c r="K3507">
        <v>1.104204</v>
      </c>
      <c r="L3507">
        <v>214.3169</v>
      </c>
      <c r="M3507">
        <v>0.99977559999999999</v>
      </c>
      <c r="N3507">
        <v>0</v>
      </c>
      <c r="O3507">
        <v>-1.9443530000000001E-2</v>
      </c>
      <c r="P3507">
        <v>0.99808809999999903</v>
      </c>
      <c r="Q3507">
        <v>3.1847729999999998E-2</v>
      </c>
      <c r="R3507">
        <v>5.2972770000000002E-2</v>
      </c>
      <c r="S3507">
        <v>3.00943</v>
      </c>
      <c r="T3507">
        <v>-0.1008129</v>
      </c>
      <c r="U3507">
        <v>-9.8419189999999993E-3</v>
      </c>
      <c r="V3507">
        <v>-7.236882E-2</v>
      </c>
      <c r="W3507">
        <v>4.025546E-2</v>
      </c>
      <c r="X3507">
        <v>0.99656520000000004</v>
      </c>
      <c r="Y3507">
        <v>-1.6154419999999999E-2</v>
      </c>
      <c r="Z3507">
        <v>9.2164350000000005E-4</v>
      </c>
      <c r="AA3507">
        <v>0.99986909999999896</v>
      </c>
      <c r="AB3507">
        <v>32</v>
      </c>
      <c r="AC3507">
        <v>32.652199999999901</v>
      </c>
      <c r="AD3507">
        <v>-1.1042038409246999</v>
      </c>
      <c r="AE3507">
        <v>-0.102000000000003</v>
      </c>
      <c r="AF3507">
        <v>-0.53230701803272495</v>
      </c>
      <c r="AG3507">
        <v>-1.1042038409246999</v>
      </c>
      <c r="AH3507">
        <v>32.610716988086502</v>
      </c>
      <c r="AI3507">
        <v>91.939044790831801</v>
      </c>
      <c r="AJ3507">
        <v>90.935159973420696</v>
      </c>
      <c r="AK3507">
        <v>32.633747553121097</v>
      </c>
    </row>
    <row r="3508" spans="1:37" x14ac:dyDescent="0.2">
      <c r="A3508" t="str">
        <f>"20200111155616332"</f>
        <v>20200111155616332</v>
      </c>
      <c r="B3508" t="str">
        <f>"1578729376326412"</f>
        <v>1578729376326412</v>
      </c>
      <c r="C3508" t="s">
        <v>37</v>
      </c>
      <c r="D3508">
        <v>5.1604469999999996</v>
      </c>
      <c r="E3508">
        <v>0.51814959999999999</v>
      </c>
      <c r="F3508" t="s">
        <v>59</v>
      </c>
      <c r="G3508">
        <v>-343.5206</v>
      </c>
      <c r="H3508" s="1">
        <v>3.3671390000000001E-7</v>
      </c>
      <c r="I3508">
        <v>214.3441</v>
      </c>
      <c r="J3508">
        <v>-375.50369999999998</v>
      </c>
      <c r="K3508">
        <v>1.10432</v>
      </c>
      <c r="L3508">
        <v>214.31059999999999</v>
      </c>
      <c r="M3508">
        <v>0.99978129999999998</v>
      </c>
      <c r="N3508">
        <v>0</v>
      </c>
      <c r="O3508">
        <v>-1.9115980000000001E-2</v>
      </c>
      <c r="P3508">
        <v>0.99804139999999997</v>
      </c>
      <c r="Q3508">
        <v>3.2474280000000001E-2</v>
      </c>
      <c r="R3508">
        <v>5.3465190000000003E-2</v>
      </c>
      <c r="S3508">
        <v>3.0088810000000001</v>
      </c>
      <c r="T3508">
        <v>-0.1028028</v>
      </c>
      <c r="U3508">
        <v>2.532959E-3</v>
      </c>
      <c r="V3508">
        <v>-7.2544600000000001E-2</v>
      </c>
      <c r="W3508">
        <v>4.0912480000000001E-2</v>
      </c>
      <c r="X3508">
        <v>0.99652569999999996</v>
      </c>
      <c r="Y3508">
        <v>-1.993555E-2</v>
      </c>
      <c r="Z3508">
        <v>9.9339359999999995E-4</v>
      </c>
      <c r="AA3508">
        <v>0.99980079999999905</v>
      </c>
      <c r="AB3508">
        <v>32</v>
      </c>
      <c r="AC3508">
        <v>31.983099999999901</v>
      </c>
      <c r="AD3508">
        <v>-1.1043196632861001</v>
      </c>
      <c r="AE3508">
        <v>3.3500000000003603E-2</v>
      </c>
      <c r="AF3508">
        <v>-0.64413623108283002</v>
      </c>
      <c r="AG3508">
        <v>-1.1043196632861001</v>
      </c>
      <c r="AH3508">
        <v>31.938537965072602</v>
      </c>
      <c r="AI3508">
        <v>91.979890579147494</v>
      </c>
      <c r="AJ3508">
        <v>91.155384284691195</v>
      </c>
      <c r="AK3508">
        <v>31.964114890753599</v>
      </c>
    </row>
    <row r="3509" spans="1:37" x14ac:dyDescent="0.2">
      <c r="A3509" t="str">
        <f>"20200111155616353"</f>
        <v>20200111155616353</v>
      </c>
      <c r="B3509" t="str">
        <f>"1578729376345931"</f>
        <v>1578729376345931</v>
      </c>
      <c r="C3509" t="s">
        <v>37</v>
      </c>
      <c r="D3509">
        <v>5.155424</v>
      </c>
      <c r="E3509">
        <v>0.51685740000000002</v>
      </c>
      <c r="F3509" t="s">
        <v>59</v>
      </c>
      <c r="G3509">
        <v>-342.93090000000001</v>
      </c>
      <c r="H3509" s="1">
        <v>2.288061E-8</v>
      </c>
      <c r="I3509">
        <v>214.5538</v>
      </c>
      <c r="J3509">
        <v>-375.195999999999</v>
      </c>
      <c r="K3509">
        <v>1.1044099999999999</v>
      </c>
      <c r="L3509">
        <v>214.30510000000001</v>
      </c>
      <c r="M3509">
        <v>0.99978829999999996</v>
      </c>
      <c r="N3509">
        <v>0</v>
      </c>
      <c r="O3509">
        <v>-1.8726650000000001E-2</v>
      </c>
      <c r="P3509">
        <v>0.99798880000000001</v>
      </c>
      <c r="Q3509">
        <v>3.2343589999999998E-2</v>
      </c>
      <c r="R3509">
        <v>5.4520739999999998E-2</v>
      </c>
      <c r="S3509">
        <v>3.0080259999999899</v>
      </c>
      <c r="T3509">
        <v>-0.1019814</v>
      </c>
      <c r="U3509">
        <v>2.2460939999999999E-2</v>
      </c>
      <c r="V3509">
        <v>-7.322012E-2</v>
      </c>
      <c r="W3509">
        <v>4.0809560000000002E-2</v>
      </c>
      <c r="X3509">
        <v>0.99648049999999999</v>
      </c>
      <c r="Y3509">
        <v>-2.6166499999999999E-2</v>
      </c>
      <c r="Z3509">
        <v>1.078135E-3</v>
      </c>
      <c r="AA3509">
        <v>0.99965700000000002</v>
      </c>
      <c r="AB3509">
        <v>32</v>
      </c>
      <c r="AC3509">
        <v>32.265099999999897</v>
      </c>
      <c r="AD3509">
        <v>-1.10440997711938</v>
      </c>
      <c r="AE3509">
        <v>0.24869999999998499</v>
      </c>
      <c r="AF3509">
        <v>-0.85189751581846795</v>
      </c>
      <c r="AG3509">
        <v>-1.10440997711938</v>
      </c>
      <c r="AH3509">
        <v>32.217039556935397</v>
      </c>
      <c r="AI3509">
        <v>91.962662537354802</v>
      </c>
      <c r="AJ3509">
        <v>91.514687929353201</v>
      </c>
      <c r="AK3509">
        <v>32.247218307757301</v>
      </c>
    </row>
    <row r="3510" spans="1:37" x14ac:dyDescent="0.2">
      <c r="A3510" t="str">
        <f>"20200111155616376"</f>
        <v>20200111155616376</v>
      </c>
      <c r="B3510" t="str">
        <f>"1578729376366427"</f>
        <v>1578729376366427</v>
      </c>
      <c r="C3510" t="s">
        <v>37</v>
      </c>
      <c r="D3510">
        <v>5.1892149999999999</v>
      </c>
      <c r="E3510">
        <v>0.51625920000000003</v>
      </c>
      <c r="F3510" t="s">
        <v>59</v>
      </c>
      <c r="G3510">
        <v>-343.53919999999999</v>
      </c>
      <c r="H3510" s="1">
        <v>3.4662229999999999E-7</v>
      </c>
      <c r="I3510">
        <v>214.68190000000001</v>
      </c>
      <c r="J3510">
        <v>-374.8784</v>
      </c>
      <c r="K3510">
        <v>1.1044769999999999</v>
      </c>
      <c r="L3510">
        <v>214.2997</v>
      </c>
      <c r="M3510">
        <v>0.99979660000000004</v>
      </c>
      <c r="N3510">
        <v>0</v>
      </c>
      <c r="O3510">
        <v>-1.8263680000000001E-2</v>
      </c>
      <c r="P3510">
        <v>0.99790409999999996</v>
      </c>
      <c r="Q3510">
        <v>3.134642E-2</v>
      </c>
      <c r="R3510">
        <v>5.6614869999999998E-2</v>
      </c>
      <c r="S3510">
        <v>3.0074459999999998</v>
      </c>
      <c r="T3510">
        <v>-0.104920899999999</v>
      </c>
      <c r="U3510">
        <v>3.5797120000000002E-2</v>
      </c>
      <c r="V3510">
        <v>-7.4857510000000002E-2</v>
      </c>
      <c r="W3510">
        <v>3.9840460000000001E-2</v>
      </c>
      <c r="X3510">
        <v>0.99639800000000001</v>
      </c>
      <c r="Y3510">
        <v>-3.013362E-2</v>
      </c>
      <c r="Z3510">
        <v>1.1624210000000001E-3</v>
      </c>
      <c r="AA3510">
        <v>0.99954519999999902</v>
      </c>
      <c r="AB3510">
        <v>32</v>
      </c>
      <c r="AC3510">
        <v>31.339200000000002</v>
      </c>
      <c r="AD3510">
        <v>-1.1044766533777</v>
      </c>
      <c r="AE3510">
        <v>0.38220000000001098</v>
      </c>
      <c r="AF3510">
        <v>-0.953342397565347</v>
      </c>
      <c r="AG3510">
        <v>-1.1044766533777</v>
      </c>
      <c r="AH3510">
        <v>31.288136275631999</v>
      </c>
      <c r="AI3510">
        <v>92.020774454748107</v>
      </c>
      <c r="AJ3510">
        <v>91.745249406050107</v>
      </c>
      <c r="AK3510">
        <v>31.322135974536799</v>
      </c>
    </row>
    <row r="3511" spans="1:37" x14ac:dyDescent="0.2">
      <c r="A3511" t="str">
        <f>"20200111155616398"</f>
        <v>20200111155616398</v>
      </c>
      <c r="B3511" t="str">
        <f>"1578729376385947"</f>
        <v>1578729376385947</v>
      </c>
      <c r="C3511" t="s">
        <v>37</v>
      </c>
      <c r="D3511">
        <v>5.3537169999999996</v>
      </c>
      <c r="E3511">
        <v>0.51600999999999997</v>
      </c>
      <c r="F3511" t="s">
        <v>59</v>
      </c>
      <c r="G3511">
        <v>-344.4144</v>
      </c>
      <c r="H3511" s="1">
        <v>8.1231780000000002E-7</v>
      </c>
      <c r="I3511">
        <v>214.7739</v>
      </c>
      <c r="J3511">
        <v>-374.56569999999999</v>
      </c>
      <c r="K3511">
        <v>1.104527</v>
      </c>
      <c r="L3511">
        <v>214.2944</v>
      </c>
      <c r="M3511">
        <v>0.99980499999999894</v>
      </c>
      <c r="N3511">
        <v>0</v>
      </c>
      <c r="O3511">
        <v>-1.776492E-2</v>
      </c>
      <c r="P3511">
        <v>0.99781379999999997</v>
      </c>
      <c r="Q3511">
        <v>3.043823E-2</v>
      </c>
      <c r="R3511">
        <v>5.865969E-2</v>
      </c>
      <c r="S3511">
        <v>3.0071110000000001</v>
      </c>
      <c r="T3511">
        <v>-0.1090231</v>
      </c>
      <c r="U3511">
        <v>4.6813960000000002E-2</v>
      </c>
      <c r="V3511">
        <v>-7.6407530000000001E-2</v>
      </c>
      <c r="W3511">
        <v>3.8960910000000001E-2</v>
      </c>
      <c r="X3511">
        <v>0.99631519999999996</v>
      </c>
      <c r="Y3511">
        <v>-3.329331E-2</v>
      </c>
      <c r="Z3511">
        <v>1.2471310000000001E-3</v>
      </c>
      <c r="AA3511">
        <v>0.99944480000000002</v>
      </c>
      <c r="AB3511">
        <v>32</v>
      </c>
      <c r="AC3511">
        <v>30.1512999999999</v>
      </c>
      <c r="AD3511">
        <v>-1.1045261876821999</v>
      </c>
      <c r="AE3511">
        <v>0.47950000000000098</v>
      </c>
      <c r="AF3511">
        <v>-1.0137196476849699</v>
      </c>
      <c r="AG3511">
        <v>-1.1045261876821999</v>
      </c>
      <c r="AH3511">
        <v>30.097643258174401</v>
      </c>
      <c r="AI3511">
        <v>92.100512821616903</v>
      </c>
      <c r="AJ3511">
        <v>91.929051685053196</v>
      </c>
      <c r="AK3511">
        <v>30.134958691189698</v>
      </c>
    </row>
    <row r="3512" spans="1:37" x14ac:dyDescent="0.2">
      <c r="A3512" t="str">
        <f>"20200111155616423"</f>
        <v>20200111155616423</v>
      </c>
      <c r="B3512" t="str">
        <f>"1578729376416203"</f>
        <v>1578729376416203</v>
      </c>
      <c r="C3512" t="s">
        <v>37</v>
      </c>
      <c r="D3512">
        <v>5.3145230000000003</v>
      </c>
      <c r="E3512">
        <v>0.51513089999999995</v>
      </c>
      <c r="F3512" t="s">
        <v>59</v>
      </c>
      <c r="G3512">
        <v>-345.10489999999999</v>
      </c>
      <c r="H3512" s="1">
        <v>1.1797910000000001E-6</v>
      </c>
      <c r="I3512">
        <v>214.83150000000001</v>
      </c>
      <c r="J3512">
        <v>-374.22089999999997</v>
      </c>
      <c r="K3512">
        <v>1.1045590000000001</v>
      </c>
      <c r="L3512">
        <v>214.28890000000001</v>
      </c>
      <c r="M3512">
        <v>0.9998148</v>
      </c>
      <c r="N3512">
        <v>0</v>
      </c>
      <c r="O3512">
        <v>-1.7194029999999999E-2</v>
      </c>
      <c r="P3512">
        <v>0.99771359999999998</v>
      </c>
      <c r="Q3512">
        <v>3.0161509999999999E-2</v>
      </c>
      <c r="R3512">
        <v>6.0482580000000001E-2</v>
      </c>
      <c r="S3512">
        <v>3.0068049999999999</v>
      </c>
      <c r="T3512">
        <v>-0.11272939999999999</v>
      </c>
      <c r="U3512">
        <v>5.4809570000000002E-2</v>
      </c>
      <c r="V3512">
        <v>-7.7662389999999998E-2</v>
      </c>
      <c r="W3512">
        <v>3.8721720000000001E-2</v>
      </c>
      <c r="X3512">
        <v>0.99622749999999904</v>
      </c>
      <c r="Y3512">
        <v>-3.537767E-2</v>
      </c>
      <c r="Z3512">
        <v>1.3072660000000001E-3</v>
      </c>
      <c r="AA3512">
        <v>0.99937310000000001</v>
      </c>
      <c r="AB3512">
        <v>32</v>
      </c>
      <c r="AC3512">
        <v>29.1159999999999</v>
      </c>
      <c r="AD3512">
        <v>-1.1045578202090001</v>
      </c>
      <c r="AE3512">
        <v>0.54259999999999298</v>
      </c>
      <c r="AF3512">
        <v>-1.0416612549243101</v>
      </c>
      <c r="AG3512">
        <v>-1.1045578202090001</v>
      </c>
      <c r="AH3512">
        <v>29.060556985513099</v>
      </c>
      <c r="AI3512">
        <v>92.175302187948105</v>
      </c>
      <c r="AJ3512">
        <v>92.0528599155286</v>
      </c>
      <c r="AK3512">
        <v>29.1001903508628</v>
      </c>
    </row>
    <row r="3513" spans="1:37" x14ac:dyDescent="0.2">
      <c r="A3513" t="str">
        <f>"20200111155616445"</f>
        <v>20200111155616445</v>
      </c>
      <c r="B3513" t="str">
        <f>"1578729376436700"</f>
        <v>1578729376436700</v>
      </c>
      <c r="C3513" t="s">
        <v>37</v>
      </c>
      <c r="D3513">
        <v>5.1315460000000002</v>
      </c>
      <c r="E3513">
        <v>0.51486829999999995</v>
      </c>
      <c r="F3513" t="s">
        <v>59</v>
      </c>
      <c r="G3513">
        <v>-345.79489999999998</v>
      </c>
      <c r="H3513" s="1">
        <v>1.5469429999999899E-6</v>
      </c>
      <c r="I3513">
        <v>214.93209999999999</v>
      </c>
      <c r="J3513">
        <v>-373.8963</v>
      </c>
      <c r="K3513">
        <v>1.104582</v>
      </c>
      <c r="L3513">
        <v>214.28389999999999</v>
      </c>
      <c r="M3513">
        <v>0.99982349999999998</v>
      </c>
      <c r="N3513">
        <v>0</v>
      </c>
      <c r="O3513">
        <v>-1.666028E-2</v>
      </c>
      <c r="P3513">
        <v>0.99765569999999903</v>
      </c>
      <c r="Q3513">
        <v>3.0012819999999999E-2</v>
      </c>
      <c r="R3513">
        <v>6.1502330000000001E-2</v>
      </c>
      <c r="S3513">
        <v>3.0062869999999999</v>
      </c>
      <c r="T3513">
        <v>-0.116815899999999</v>
      </c>
      <c r="U3513">
        <v>6.8023680000000003E-2</v>
      </c>
      <c r="V3513">
        <v>-7.8149640000000006E-2</v>
      </c>
      <c r="W3513">
        <v>3.8613080000000001E-2</v>
      </c>
      <c r="X3513">
        <v>0.99619360000000001</v>
      </c>
      <c r="Y3513">
        <v>-3.9232690000000001E-2</v>
      </c>
      <c r="Z3513">
        <v>1.408929E-3</v>
      </c>
      <c r="AA3513">
        <v>0.99922909999999998</v>
      </c>
      <c r="AB3513">
        <v>32</v>
      </c>
      <c r="AC3513">
        <v>28.101400000000002</v>
      </c>
      <c r="AD3513">
        <v>-1.104580453057</v>
      </c>
      <c r="AE3513">
        <v>0.648200000000002</v>
      </c>
      <c r="AF3513">
        <v>-1.1145837158071501</v>
      </c>
      <c r="AG3513">
        <v>-1.104580453057</v>
      </c>
      <c r="AH3513">
        <v>28.043394820377099</v>
      </c>
      <c r="AI3513">
        <v>92.253837301715507</v>
      </c>
      <c r="AJ3513">
        <v>92.276020746962402</v>
      </c>
      <c r="AK3513">
        <v>28.087263802093201</v>
      </c>
    </row>
    <row r="3514" spans="1:37" x14ac:dyDescent="0.2">
      <c r="A3514" t="str">
        <f>"20200111155616466"</f>
        <v>20200111155616466</v>
      </c>
      <c r="B3514" t="str">
        <f>"1578729376456220"</f>
        <v>1578729376456220</v>
      </c>
      <c r="C3514" t="s">
        <v>37</v>
      </c>
      <c r="D3514">
        <v>5.1388389999999999</v>
      </c>
      <c r="E3514">
        <v>0.51477410000000001</v>
      </c>
      <c r="F3514" t="s">
        <v>59</v>
      </c>
      <c r="G3514">
        <v>-345.56670000000003</v>
      </c>
      <c r="H3514" s="1">
        <v>1.425547E-6</v>
      </c>
      <c r="I3514">
        <v>214.97499999999999</v>
      </c>
      <c r="J3514">
        <v>-373.5865</v>
      </c>
      <c r="K3514">
        <v>1.1045849999999999</v>
      </c>
      <c r="L3514">
        <v>214.2792</v>
      </c>
      <c r="M3514">
        <v>0.99983109999999997</v>
      </c>
      <c r="N3514">
        <v>0</v>
      </c>
      <c r="O3514">
        <v>-1.616501E-2</v>
      </c>
      <c r="P3514">
        <v>0.99764240000000004</v>
      </c>
      <c r="Q3514">
        <v>3.0019850000000001E-2</v>
      </c>
      <c r="R3514">
        <v>6.1712500000000003E-2</v>
      </c>
      <c r="S3514">
        <v>3.0060119999999899</v>
      </c>
      <c r="T3514">
        <v>-0.1172057</v>
      </c>
      <c r="U3514">
        <v>7.3333739999999994E-2</v>
      </c>
      <c r="V3514">
        <v>-7.7866379999999999E-2</v>
      </c>
      <c r="W3514">
        <v>3.8662160000000001E-2</v>
      </c>
      <c r="X3514">
        <v>0.99621389999999999</v>
      </c>
      <c r="Y3514">
        <v>-4.0503039999999997E-2</v>
      </c>
      <c r="Z3514">
        <v>1.4191799999999999E-3</v>
      </c>
      <c r="AA3514">
        <v>0.99917839999999902</v>
      </c>
      <c r="AB3514">
        <v>32</v>
      </c>
      <c r="AC3514">
        <v>28.019799999999901</v>
      </c>
      <c r="AD3514">
        <v>-1.1045835744529999</v>
      </c>
      <c r="AE3514">
        <v>0.69579999999999098</v>
      </c>
      <c r="AF3514">
        <v>-1.1468855154929101</v>
      </c>
      <c r="AG3514">
        <v>-1.1045835744529999</v>
      </c>
      <c r="AH3514">
        <v>27.9614635996248</v>
      </c>
      <c r="AI3514">
        <v>92.260325153470006</v>
      </c>
      <c r="AJ3514">
        <v>92.348764261832997</v>
      </c>
      <c r="AK3514">
        <v>28.006765216492699</v>
      </c>
    </row>
    <row r="3515" spans="1:37" x14ac:dyDescent="0.2">
      <c r="A3515" t="str">
        <f>"20200111155616487"</f>
        <v>20200111155616487</v>
      </c>
      <c r="B3515" t="str">
        <f>"1578729376476716"</f>
        <v>1578729376476716</v>
      </c>
      <c r="C3515" t="s">
        <v>37</v>
      </c>
      <c r="D3515">
        <v>5.1998119999999997</v>
      </c>
      <c r="E3515">
        <v>0.51487629999999995</v>
      </c>
      <c r="F3515" t="s">
        <v>59</v>
      </c>
      <c r="G3515">
        <v>-345.15649999999999</v>
      </c>
      <c r="H3515" s="1">
        <v>1.2072639999999999E-6</v>
      </c>
      <c r="I3515">
        <v>214.98650000000001</v>
      </c>
      <c r="J3515">
        <v>-373.29250000000002</v>
      </c>
      <c r="K3515">
        <v>1.104582</v>
      </c>
      <c r="L3515">
        <v>214.2749</v>
      </c>
      <c r="M3515">
        <v>0.99983789999999995</v>
      </c>
      <c r="N3515">
        <v>0</v>
      </c>
      <c r="O3515">
        <v>-1.5720720000000001E-2</v>
      </c>
      <c r="P3515">
        <v>0.997668</v>
      </c>
      <c r="Q3515">
        <v>3.0144420000000002E-2</v>
      </c>
      <c r="R3515">
        <v>6.123928E-2</v>
      </c>
      <c r="S3515">
        <v>3.0059809999999998</v>
      </c>
      <c r="T3515">
        <v>-0.1167908</v>
      </c>
      <c r="U3515">
        <v>7.4783329999999995E-2</v>
      </c>
      <c r="V3515">
        <v>-7.6950439999999995E-2</v>
      </c>
      <c r="W3515">
        <v>3.8830839999999998E-2</v>
      </c>
      <c r="X3515">
        <v>0.99627849999999996</v>
      </c>
      <c r="Y3515">
        <v>-4.0541439999999998E-2</v>
      </c>
      <c r="Z3515">
        <v>1.3976589999999899E-3</v>
      </c>
      <c r="AA3515">
        <v>0.99917690000000003</v>
      </c>
      <c r="AB3515">
        <v>32</v>
      </c>
      <c r="AC3515">
        <v>28.135999999999999</v>
      </c>
      <c r="AD3515">
        <v>-1.1045807927360001</v>
      </c>
      <c r="AE3515">
        <v>0.71160000000000401</v>
      </c>
      <c r="AF3515">
        <v>-1.1520727848299199</v>
      </c>
      <c r="AG3515">
        <v>-1.1045807927360001</v>
      </c>
      <c r="AH3515">
        <v>28.078088033833399</v>
      </c>
      <c r="AI3515">
        <v>92.250939414605398</v>
      </c>
      <c r="AJ3515">
        <v>92.349586715573807</v>
      </c>
      <c r="AK3515">
        <v>28.123413698641301</v>
      </c>
    </row>
    <row r="3516" spans="1:37" x14ac:dyDescent="0.2">
      <c r="A3516" t="str">
        <f>"20200111155616511"</f>
        <v>20200111155616511</v>
      </c>
      <c r="B3516" t="str">
        <f>"1578729376505996"</f>
        <v>1578729376505996</v>
      </c>
      <c r="C3516" t="s">
        <v>37</v>
      </c>
      <c r="D3516">
        <v>5.6503839999999999</v>
      </c>
      <c r="E3516">
        <v>0.51502360000000003</v>
      </c>
      <c r="F3516" t="s">
        <v>59</v>
      </c>
      <c r="G3516">
        <v>-344.93490000000003</v>
      </c>
      <c r="H3516" s="1">
        <v>1.089311E-6</v>
      </c>
      <c r="I3516">
        <v>214.95859999999999</v>
      </c>
      <c r="J3516">
        <v>-372.94929999999999</v>
      </c>
      <c r="K3516">
        <v>1.104571</v>
      </c>
      <c r="L3516">
        <v>214.26990000000001</v>
      </c>
      <c r="M3516">
        <v>0.99984470000000003</v>
      </c>
      <c r="N3516">
        <v>0</v>
      </c>
      <c r="O3516">
        <v>-1.5245079999999999E-2</v>
      </c>
      <c r="P3516">
        <v>0.99768319999999999</v>
      </c>
      <c r="Q3516">
        <v>3.0395099999999901E-2</v>
      </c>
      <c r="R3516">
        <v>6.0865830000000003E-2</v>
      </c>
      <c r="S3516">
        <v>3.0061339999999999</v>
      </c>
      <c r="T3516">
        <v>-0.1170943</v>
      </c>
      <c r="U3516">
        <v>7.2479249999999995E-2</v>
      </c>
      <c r="V3516">
        <v>-7.6102000000000003E-2</v>
      </c>
      <c r="W3516">
        <v>3.9136730000000002E-2</v>
      </c>
      <c r="X3516">
        <v>0.99633169999999904</v>
      </c>
      <c r="Y3516">
        <v>-3.9300559999999998E-2</v>
      </c>
      <c r="Z3516">
        <v>1.358557E-3</v>
      </c>
      <c r="AA3516">
        <v>0.99922649999999902</v>
      </c>
      <c r="AB3516">
        <v>32</v>
      </c>
      <c r="AC3516">
        <v>28.014399999999899</v>
      </c>
      <c r="AD3516">
        <v>-1.1045699106889999</v>
      </c>
      <c r="AE3516">
        <v>0.68869999999998199</v>
      </c>
      <c r="AF3516">
        <v>-1.1139876395614401</v>
      </c>
      <c r="AG3516">
        <v>-1.1045699106889999</v>
      </c>
      <c r="AH3516">
        <v>27.957207876863901</v>
      </c>
      <c r="AI3516">
        <v>92.260747633682499</v>
      </c>
      <c r="AJ3516">
        <v>92.281810221160995</v>
      </c>
      <c r="AK3516">
        <v>28.0011877501451</v>
      </c>
    </row>
    <row r="3517" spans="1:37" x14ac:dyDescent="0.2">
      <c r="A3517" t="str">
        <f>"20200111155616723"</f>
        <v>20200111155616723</v>
      </c>
      <c r="B3517" t="str">
        <f>"1578729376715836"</f>
        <v>1578729376715836</v>
      </c>
      <c r="C3517" t="s">
        <v>37</v>
      </c>
      <c r="D3517">
        <v>5.3341890000000003</v>
      </c>
      <c r="E3517">
        <v>0.5152426</v>
      </c>
      <c r="F3517" t="s">
        <v>59</v>
      </c>
      <c r="G3517">
        <v>-343.00920000000002</v>
      </c>
      <c r="H3517" s="1">
        <v>6.4583329999999996E-8</v>
      </c>
      <c r="I3517">
        <v>214.9623</v>
      </c>
      <c r="J3517">
        <v>-369.88529999999997</v>
      </c>
      <c r="K3517">
        <v>1.104533</v>
      </c>
      <c r="L3517">
        <v>214.2295</v>
      </c>
      <c r="M3517">
        <v>0.9998707</v>
      </c>
      <c r="N3517">
        <v>0</v>
      </c>
      <c r="O3517">
        <v>-1.285823E-2</v>
      </c>
      <c r="P3517">
        <v>0.99733879999999997</v>
      </c>
      <c r="Q3517">
        <v>3.016833E-2</v>
      </c>
      <c r="R3517">
        <v>6.6374320000000001E-2</v>
      </c>
      <c r="S3517">
        <v>3.0061339999999999</v>
      </c>
      <c r="T3517">
        <v>-0.1109045</v>
      </c>
      <c r="U3517">
        <v>6.9519040000000004E-2</v>
      </c>
      <c r="V3517">
        <v>-7.9210039999999995E-2</v>
      </c>
      <c r="W3517">
        <v>3.9771859999999999E-2</v>
      </c>
      <c r="X3517">
        <v>0.99606419999999996</v>
      </c>
      <c r="Y3517">
        <v>-3.5939840000000001E-2</v>
      </c>
      <c r="Z3517">
        <v>1.1368260000000001E-3</v>
      </c>
      <c r="AA3517">
        <v>0.9993533</v>
      </c>
      <c r="AB3517">
        <v>32</v>
      </c>
      <c r="AC3517">
        <v>26.876099999999902</v>
      </c>
      <c r="AD3517">
        <v>-1.10453293541667</v>
      </c>
      <c r="AE3517">
        <v>0.73279999999999701</v>
      </c>
      <c r="AF3517">
        <v>-1.0765177347297099</v>
      </c>
      <c r="AG3517">
        <v>-1.10453293541667</v>
      </c>
      <c r="AH3517">
        <v>26.819191519861199</v>
      </c>
      <c r="AI3517">
        <v>92.356465385102197</v>
      </c>
      <c r="AJ3517">
        <v>92.298608754217994</v>
      </c>
      <c r="AK3517">
        <v>26.8635053039919</v>
      </c>
    </row>
    <row r="3518" spans="1:37" x14ac:dyDescent="0.2">
      <c r="A3518" t="str">
        <f>"20200111155616789"</f>
        <v>20200111155616789</v>
      </c>
      <c r="B3518" t="str">
        <f>"1578729376786108"</f>
        <v>1578729376786108</v>
      </c>
      <c r="C3518" t="s">
        <v>37</v>
      </c>
      <c r="D3518">
        <v>5.2919339999999897</v>
      </c>
      <c r="E3518">
        <v>0.51562839999999999</v>
      </c>
      <c r="F3518" t="s">
        <v>59</v>
      </c>
      <c r="G3518">
        <v>-339.428</v>
      </c>
      <c r="H3518" s="1">
        <v>3.460209E-6</v>
      </c>
      <c r="I3518">
        <v>215.07660000000001</v>
      </c>
      <c r="J3518">
        <v>-368.9298</v>
      </c>
      <c r="K3518">
        <v>1.104609</v>
      </c>
      <c r="L3518">
        <v>214.21799999999999</v>
      </c>
      <c r="M3518">
        <v>0.99987159999999997</v>
      </c>
      <c r="N3518">
        <v>0</v>
      </c>
      <c r="O3518">
        <v>-1.2339050000000001E-2</v>
      </c>
      <c r="P3518">
        <v>0.99723229999999996</v>
      </c>
      <c r="Q3518">
        <v>3.0076829999999999E-2</v>
      </c>
      <c r="R3518">
        <v>6.7994559999999996E-2</v>
      </c>
      <c r="S3518">
        <v>3.0057070000000001</v>
      </c>
      <c r="T3518">
        <v>-0.1090013</v>
      </c>
      <c r="U3518">
        <v>8.3587649999999999E-2</v>
      </c>
      <c r="V3518">
        <v>-8.0310839999999994E-2</v>
      </c>
      <c r="W3518">
        <v>4.024498E-2</v>
      </c>
      <c r="X3518">
        <v>0.99595710000000004</v>
      </c>
      <c r="Y3518">
        <v>-4.0097269999999997E-2</v>
      </c>
      <c r="Z3518">
        <v>1.1739539999999901E-3</v>
      </c>
      <c r="AA3518">
        <v>0.999195099999999</v>
      </c>
      <c r="AB3518">
        <v>32</v>
      </c>
      <c r="AC3518">
        <v>29.5017999999999</v>
      </c>
      <c r="AD3518">
        <v>-1.104605539791</v>
      </c>
      <c r="AE3518">
        <v>0.85860000000002401</v>
      </c>
      <c r="AF3518">
        <v>-1.22086775407051</v>
      </c>
      <c r="AG3518">
        <v>-1.104605539791</v>
      </c>
      <c r="AH3518">
        <v>29.447711117023399</v>
      </c>
      <c r="AI3518">
        <v>92.146358024780696</v>
      </c>
      <c r="AJ3518">
        <v>92.374056605938307</v>
      </c>
      <c r="AK3518">
        <v>29.493700369793</v>
      </c>
    </row>
    <row r="3519" spans="1:37" x14ac:dyDescent="0.2">
      <c r="A3519" t="str">
        <f>"20200111155616813"</f>
        <v>20200111155616813</v>
      </c>
      <c r="B3519" t="str">
        <f>"1578729376806603"</f>
        <v>1578729376806603</v>
      </c>
      <c r="C3519" t="s">
        <v>37</v>
      </c>
      <c r="D3519">
        <v>5.2522699999999896</v>
      </c>
      <c r="E3519">
        <v>0.51638819999999996</v>
      </c>
      <c r="F3519" t="s">
        <v>59</v>
      </c>
      <c r="G3519">
        <v>-338.74029999999999</v>
      </c>
      <c r="H3519" s="1">
        <v>3.094073E-6</v>
      </c>
      <c r="I3519">
        <v>215.0804</v>
      </c>
      <c r="J3519">
        <v>-368.58600000000001</v>
      </c>
      <c r="K3519">
        <v>1.104638</v>
      </c>
      <c r="L3519">
        <v>214.214</v>
      </c>
      <c r="M3519">
        <v>0.99987159999999997</v>
      </c>
      <c r="N3519">
        <v>0</v>
      </c>
      <c r="O3519">
        <v>-1.2150330000000001E-2</v>
      </c>
      <c r="P3519">
        <v>0.99726429999999999</v>
      </c>
      <c r="Q3519">
        <v>2.9420640000000001E-2</v>
      </c>
      <c r="R3519">
        <v>6.7810930000000005E-2</v>
      </c>
      <c r="S3519">
        <v>3.0058289999999999</v>
      </c>
      <c r="T3519">
        <v>-0.10998049999999999</v>
      </c>
      <c r="U3519">
        <v>8.5861209999999993E-2</v>
      </c>
      <c r="V3519">
        <v>-7.9939930000000006E-2</v>
      </c>
      <c r="W3519">
        <v>3.9804260000000001E-2</v>
      </c>
      <c r="X3519">
        <v>0.99600460000000002</v>
      </c>
      <c r="Y3519">
        <v>-4.0661879999999997E-2</v>
      </c>
      <c r="Z3519">
        <v>1.187855E-3</v>
      </c>
      <c r="AA3519">
        <v>0.99917230000000001</v>
      </c>
      <c r="AB3519">
        <v>32</v>
      </c>
      <c r="AC3519">
        <v>29.845700000000001</v>
      </c>
      <c r="AD3519">
        <v>-1.104634905927</v>
      </c>
      <c r="AE3519">
        <v>0.86639999999996997</v>
      </c>
      <c r="AF3519">
        <v>-1.22731111386298</v>
      </c>
      <c r="AG3519">
        <v>-1.104634905927</v>
      </c>
      <c r="AH3519">
        <v>29.792192425837399</v>
      </c>
      <c r="AI3519">
        <v>92.1216422764642</v>
      </c>
      <c r="AJ3519">
        <v>92.359007582338094</v>
      </c>
      <c r="AK3519">
        <v>29.837916153507201</v>
      </c>
    </row>
    <row r="3520" spans="1:37" x14ac:dyDescent="0.2">
      <c r="A3520" t="str">
        <f>"20200111155616833"</f>
        <v>20200111155616833</v>
      </c>
      <c r="B3520" t="str">
        <f>"1578729376826124"</f>
        <v>1578729376826124</v>
      </c>
      <c r="C3520" t="s">
        <v>37</v>
      </c>
      <c r="D3520">
        <v>5.3236809999999997</v>
      </c>
      <c r="E3520">
        <v>0.51700849999999998</v>
      </c>
      <c r="F3520" t="s">
        <v>59</v>
      </c>
      <c r="G3520">
        <v>-339.1508</v>
      </c>
      <c r="H3520" s="1">
        <v>3.316348E-6</v>
      </c>
      <c r="I3520">
        <v>214.9922</v>
      </c>
      <c r="J3520">
        <v>-368.27539999999999</v>
      </c>
      <c r="K3520">
        <v>1.104657</v>
      </c>
      <c r="L3520">
        <v>214.21039999999999</v>
      </c>
      <c r="M3520">
        <v>0.99987179999999998</v>
      </c>
      <c r="N3520">
        <v>0</v>
      </c>
      <c r="O3520">
        <v>-1.198253E-2</v>
      </c>
      <c r="P3520">
        <v>0.9972953</v>
      </c>
      <c r="Q3520">
        <v>3.0112420000000001E-2</v>
      </c>
      <c r="R3520">
        <v>6.7049129999999998E-2</v>
      </c>
      <c r="S3520">
        <v>3.006195</v>
      </c>
      <c r="T3520">
        <v>-0.11281529999999999</v>
      </c>
      <c r="U3520">
        <v>7.9483029999999996E-2</v>
      </c>
      <c r="V3520">
        <v>-7.9010999999999998E-2</v>
      </c>
      <c r="W3520">
        <v>4.067378E-2</v>
      </c>
      <c r="X3520">
        <v>0.99604359999999903</v>
      </c>
      <c r="Y3520">
        <v>-3.8372199999999898E-2</v>
      </c>
      <c r="Z3520">
        <v>1.1691029999999999E-3</v>
      </c>
      <c r="AA3520">
        <v>0.99926280000000001</v>
      </c>
      <c r="AB3520">
        <v>32</v>
      </c>
      <c r="AC3520">
        <v>29.124599999999901</v>
      </c>
      <c r="AD3520">
        <v>-1.104653683652</v>
      </c>
      <c r="AE3520">
        <v>0.78180000000000405</v>
      </c>
      <c r="AF3520">
        <v>-1.12912678062928</v>
      </c>
      <c r="AG3520">
        <v>-1.104653683652</v>
      </c>
      <c r="AH3520">
        <v>29.0713491608951</v>
      </c>
      <c r="AI3520">
        <v>92.174441307349994</v>
      </c>
      <c r="AJ3520">
        <v>92.224241365335104</v>
      </c>
      <c r="AK3520">
        <v>29.114232414443201</v>
      </c>
    </row>
    <row r="3521" spans="1:37" x14ac:dyDescent="0.2">
      <c r="A3521" t="str">
        <f>"20200111155616856"</f>
        <v>20200111155616856</v>
      </c>
      <c r="B3521" t="str">
        <f>"1578729376846620"</f>
        <v>1578729376846620</v>
      </c>
      <c r="C3521" t="s">
        <v>37</v>
      </c>
      <c r="D3521">
        <v>5.265631</v>
      </c>
      <c r="E3521">
        <v>0.51769730000000003</v>
      </c>
      <c r="F3521" t="s">
        <v>59</v>
      </c>
      <c r="G3521">
        <v>-338.3141</v>
      </c>
      <c r="H3521" s="1">
        <v>2.8738229999999999E-6</v>
      </c>
      <c r="I3521">
        <v>214.93010000000001</v>
      </c>
      <c r="J3521">
        <v>-367.95499999999998</v>
      </c>
      <c r="K3521">
        <v>1.104673</v>
      </c>
      <c r="L3521">
        <v>214.20679999999999</v>
      </c>
      <c r="M3521">
        <v>0.99987199999999998</v>
      </c>
      <c r="N3521">
        <v>0</v>
      </c>
      <c r="O3521">
        <v>-1.18058E-2</v>
      </c>
      <c r="P3521">
        <v>0.99737999999999905</v>
      </c>
      <c r="Q3521">
        <v>3.0324710000000001E-2</v>
      </c>
      <c r="R3521">
        <v>6.5675709999999998E-2</v>
      </c>
      <c r="S3521">
        <v>3.0065919999999999</v>
      </c>
      <c r="T3521">
        <v>-0.1108509</v>
      </c>
      <c r="U3521">
        <v>7.2219850000000002E-2</v>
      </c>
      <c r="V3521">
        <v>-7.7462779999999995E-2</v>
      </c>
      <c r="W3521">
        <v>4.105636E-2</v>
      </c>
      <c r="X3521">
        <v>0.99614950000000002</v>
      </c>
      <c r="Y3521">
        <v>-3.5782670000000003E-2</v>
      </c>
      <c r="Z3521">
        <v>1.094416E-3</v>
      </c>
      <c r="AA3521">
        <v>0.999359</v>
      </c>
      <c r="AB3521">
        <v>32</v>
      </c>
      <c r="AC3521">
        <v>29.640899999999899</v>
      </c>
      <c r="AD3521">
        <v>-1.104670126177</v>
      </c>
      <c r="AE3521">
        <v>0.72330000000002304</v>
      </c>
      <c r="AF3521">
        <v>-1.0717168670456101</v>
      </c>
      <c r="AG3521">
        <v>-1.104670126177</v>
      </c>
      <c r="AH3521">
        <v>29.589221328188898</v>
      </c>
      <c r="AI3521">
        <v>92.136661060933704</v>
      </c>
      <c r="AJ3521">
        <v>92.074337201442802</v>
      </c>
      <c r="AK3521">
        <v>29.629223613509101</v>
      </c>
    </row>
    <row r="3522" spans="1:37" x14ac:dyDescent="0.2">
      <c r="A3522" t="str">
        <f>"20200111155616879"</f>
        <v>20200111155616879</v>
      </c>
      <c r="B3522" t="str">
        <f>"1578729376875900"</f>
        <v>1578729376875900</v>
      </c>
      <c r="C3522" t="s">
        <v>37</v>
      </c>
      <c r="D3522">
        <v>5.2398339999999903</v>
      </c>
      <c r="E3522">
        <v>0.51860529999999905</v>
      </c>
      <c r="F3522" t="s">
        <v>59</v>
      </c>
      <c r="G3522">
        <v>-337.99590000000001</v>
      </c>
      <c r="H3522" s="1">
        <v>2.7088569999999999E-6</v>
      </c>
      <c r="I3522">
        <v>214.83070000000001</v>
      </c>
      <c r="J3522">
        <v>-367.62790000000001</v>
      </c>
      <c r="K3522">
        <v>1.104681</v>
      </c>
      <c r="L3522">
        <v>214.20310000000001</v>
      </c>
      <c r="M3522">
        <v>0.99987250000000005</v>
      </c>
      <c r="N3522">
        <v>0</v>
      </c>
      <c r="O3522">
        <v>-1.1618679999999999E-2</v>
      </c>
      <c r="P3522">
        <v>0.99743579999999998</v>
      </c>
      <c r="Q3522">
        <v>3.0632090000000001E-2</v>
      </c>
      <c r="R3522">
        <v>6.4681409999999995E-2</v>
      </c>
      <c r="S3522">
        <v>3.0071409999999998</v>
      </c>
      <c r="T3522">
        <v>-0.1108811</v>
      </c>
      <c r="U3522">
        <v>6.2622070000000002E-2</v>
      </c>
      <c r="V3522">
        <v>-7.6282310000000006E-2</v>
      </c>
      <c r="W3522">
        <v>4.152231E-2</v>
      </c>
      <c r="X3522">
        <v>0.99622129999999998</v>
      </c>
      <c r="Y3522">
        <v>-3.2405490000000002E-2</v>
      </c>
      <c r="Z3522">
        <v>1.02542E-3</v>
      </c>
      <c r="AA3522">
        <v>0.99947430000000004</v>
      </c>
      <c r="AB3522">
        <v>32</v>
      </c>
      <c r="AC3522">
        <v>29.632000000000001</v>
      </c>
      <c r="AD3522">
        <v>-1.104678291143</v>
      </c>
      <c r="AE3522">
        <v>0.62760000000000005</v>
      </c>
      <c r="AF3522">
        <v>-0.97051480681663205</v>
      </c>
      <c r="AG3522">
        <v>-1.104678291143</v>
      </c>
      <c r="AH3522">
        <v>29.5816134579973</v>
      </c>
      <c r="AI3522">
        <v>92.137476994830493</v>
      </c>
      <c r="AJ3522">
        <v>91.879088318246701</v>
      </c>
      <c r="AK3522">
        <v>29.618137481879899</v>
      </c>
    </row>
    <row r="3523" spans="1:37" x14ac:dyDescent="0.2">
      <c r="A3523" t="str">
        <f>"20200111155616901"</f>
        <v>20200111155616901</v>
      </c>
      <c r="B3523" t="str">
        <f>"1578729376895928"</f>
        <v>1578729376895928</v>
      </c>
      <c r="C3523" t="s">
        <v>37</v>
      </c>
      <c r="D3523">
        <v>5.281161</v>
      </c>
      <c r="E3523">
        <v>0.51912979999999997</v>
      </c>
      <c r="F3523" t="s">
        <v>59</v>
      </c>
      <c r="G3523">
        <v>-337.82060000000001</v>
      </c>
      <c r="H3523" s="1">
        <v>2.6202499999999899E-6</v>
      </c>
      <c r="I3523">
        <v>214.72389999999999</v>
      </c>
      <c r="J3523">
        <v>-367.30560000000003</v>
      </c>
      <c r="K3523">
        <v>1.1046899999999999</v>
      </c>
      <c r="L3523">
        <v>214.1996</v>
      </c>
      <c r="M3523">
        <v>0.99987329999999996</v>
      </c>
      <c r="N3523">
        <v>0</v>
      </c>
      <c r="O3523">
        <v>-1.143136E-2</v>
      </c>
      <c r="P3523">
        <v>0.99745189999999995</v>
      </c>
      <c r="Q3523">
        <v>3.0703270000000001E-2</v>
      </c>
      <c r="R3523">
        <v>6.4398880000000006E-2</v>
      </c>
      <c r="S3523">
        <v>3.0077210000000001</v>
      </c>
      <c r="T3523">
        <v>-0.11146829999999899</v>
      </c>
      <c r="U3523">
        <v>5.2551269999999997E-2</v>
      </c>
      <c r="V3523">
        <v>-7.5813259999999993E-2</v>
      </c>
      <c r="W3523">
        <v>4.1730990000000003E-2</v>
      </c>
      <c r="X3523">
        <v>0.99624840000000003</v>
      </c>
      <c r="Y3523">
        <v>-2.8870969999999999E-2</v>
      </c>
      <c r="Z3523">
        <v>9.582716E-4</v>
      </c>
      <c r="AA3523">
        <v>0.99958269999999905</v>
      </c>
      <c r="AB3523">
        <v>32</v>
      </c>
      <c r="AC3523">
        <v>29.484999999999999</v>
      </c>
      <c r="AD3523">
        <v>-1.1046873797499901</v>
      </c>
      <c r="AE3523">
        <v>0.524299999999982</v>
      </c>
      <c r="AF3523">
        <v>-0.86013307572539799</v>
      </c>
      <c r="AG3523">
        <v>-1.1046873797499901</v>
      </c>
      <c r="AH3523">
        <v>29.435773234689901</v>
      </c>
      <c r="AI3523">
        <v>92.148313488360301</v>
      </c>
      <c r="AJ3523">
        <v>91.673744916037805</v>
      </c>
      <c r="AK3523">
        <v>29.469050019283301</v>
      </c>
    </row>
    <row r="3524" spans="1:37" x14ac:dyDescent="0.2">
      <c r="A3524" t="str">
        <f>"20200111155616923"</f>
        <v>20200111155616923</v>
      </c>
      <c r="B3524" t="str">
        <f>"1578729376916423"</f>
        <v>1578729376916423</v>
      </c>
      <c r="C3524" t="s">
        <v>37</v>
      </c>
      <c r="D3524">
        <v>5.2669230000000002</v>
      </c>
      <c r="E3524">
        <v>0.51967379999999996</v>
      </c>
      <c r="F3524" t="s">
        <v>59</v>
      </c>
      <c r="G3524">
        <v>-337.77330000000001</v>
      </c>
      <c r="H3524" s="1">
        <v>2.597609E-6</v>
      </c>
      <c r="I3524">
        <v>214.6661</v>
      </c>
      <c r="J3524">
        <v>-366.983</v>
      </c>
      <c r="K3524">
        <v>1.104692</v>
      </c>
      <c r="L3524">
        <v>214.1962</v>
      </c>
      <c r="M3524">
        <v>0.99987389999999998</v>
      </c>
      <c r="N3524">
        <v>0</v>
      </c>
      <c r="O3524">
        <v>-1.1245359999999999E-2</v>
      </c>
      <c r="P3524">
        <v>0.99743369999999998</v>
      </c>
      <c r="Q3524">
        <v>3.078357E-2</v>
      </c>
      <c r="R3524">
        <v>6.4643359999999997E-2</v>
      </c>
      <c r="S3524">
        <v>3.008057</v>
      </c>
      <c r="T3524">
        <v>-0.112519699999999</v>
      </c>
      <c r="U3524">
        <v>4.7515870000000002E-2</v>
      </c>
      <c r="V3524">
        <v>-7.5871999999999995E-2</v>
      </c>
      <c r="W3524">
        <v>4.1932039999999997E-2</v>
      </c>
      <c r="X3524">
        <v>0.99623549999999905</v>
      </c>
      <c r="Y3524">
        <v>-2.7011150000000001E-2</v>
      </c>
      <c r="Z3524">
        <v>9.2548439999999999E-4</v>
      </c>
      <c r="AA3524">
        <v>0.99963469999999999</v>
      </c>
      <c r="AB3524">
        <v>32</v>
      </c>
      <c r="AC3524">
        <v>29.209700000000002</v>
      </c>
      <c r="AD3524">
        <v>-1.1046894023910001</v>
      </c>
      <c r="AE3524">
        <v>0.46989999999999499</v>
      </c>
      <c r="AF3524">
        <v>-0.79722455401078396</v>
      </c>
      <c r="AG3524">
        <v>-1.1046894023910001</v>
      </c>
      <c r="AH3524">
        <v>29.160870370769501</v>
      </c>
      <c r="AI3524">
        <v>92.168665812741395</v>
      </c>
      <c r="AJ3524">
        <v>91.566010437448398</v>
      </c>
      <c r="AK3524">
        <v>29.1926748765182</v>
      </c>
    </row>
    <row r="3525" spans="1:37" x14ac:dyDescent="0.2">
      <c r="A3525" t="str">
        <f>"20200111155616945"</f>
        <v>20200111155616945</v>
      </c>
      <c r="B3525" t="str">
        <f>"1578729376935943"</f>
        <v>1578729376935943</v>
      </c>
      <c r="C3525" t="s">
        <v>37</v>
      </c>
      <c r="D3525">
        <v>5.2998219999999998</v>
      </c>
      <c r="E3525">
        <v>0.52015540000000005</v>
      </c>
      <c r="F3525" t="s">
        <v>59</v>
      </c>
      <c r="G3525">
        <v>-337.61349999999999</v>
      </c>
      <c r="H3525" s="1">
        <v>2.51440599999999E-6</v>
      </c>
      <c r="I3525">
        <v>214.62360000000001</v>
      </c>
      <c r="J3525">
        <v>-366.66129999999998</v>
      </c>
      <c r="K3525">
        <v>1.1046940000000001</v>
      </c>
      <c r="L3525">
        <v>214.1927</v>
      </c>
      <c r="M3525">
        <v>0.99987469999999901</v>
      </c>
      <c r="N3525">
        <v>0</v>
      </c>
      <c r="O3525">
        <v>-1.106272E-2</v>
      </c>
      <c r="P3525">
        <v>0.99739630000000001</v>
      </c>
      <c r="Q3525">
        <v>3.0439299999999898E-2</v>
      </c>
      <c r="R3525">
        <v>6.537656E-2</v>
      </c>
      <c r="S3525">
        <v>3.00839199999999</v>
      </c>
      <c r="T3525">
        <v>-0.1131558</v>
      </c>
      <c r="U3525">
        <v>4.3777469999999999E-2</v>
      </c>
      <c r="V3525">
        <v>-7.6422359999999995E-2</v>
      </c>
      <c r="W3525">
        <v>4.1694299999999997E-2</v>
      </c>
      <c r="X3525">
        <v>0.99620339999999996</v>
      </c>
      <c r="Y3525">
        <v>-2.5585699999999999E-2</v>
      </c>
      <c r="Z3525">
        <v>8.9695339999999995E-4</v>
      </c>
      <c r="AA3525">
        <v>0.99967220000000001</v>
      </c>
      <c r="AB3525">
        <v>32</v>
      </c>
      <c r="AC3525">
        <v>29.047799999999899</v>
      </c>
      <c r="AD3525">
        <v>-1.104691485594</v>
      </c>
      <c r="AE3525">
        <v>0.430900000000008</v>
      </c>
      <c r="AF3525">
        <v>-0.75115575630040199</v>
      </c>
      <c r="AG3525">
        <v>-1.104691485594</v>
      </c>
      <c r="AH3525">
        <v>28.9993227797302</v>
      </c>
      <c r="AI3525">
        <v>92.180822599918102</v>
      </c>
      <c r="AJ3525">
        <v>91.483773723336398</v>
      </c>
      <c r="AK3525">
        <v>29.0300757823941</v>
      </c>
    </row>
    <row r="3526" spans="1:37" x14ac:dyDescent="0.2">
      <c r="A3526" t="str">
        <f>"20200111155616968"</f>
        <v>20200111155616968</v>
      </c>
      <c r="B3526" t="str">
        <f>"1578729376956438"</f>
        <v>1578729376956438</v>
      </c>
      <c r="C3526" t="s">
        <v>37</v>
      </c>
      <c r="D3526">
        <v>5.315143</v>
      </c>
      <c r="E3526">
        <v>0.52053939999999999</v>
      </c>
      <c r="F3526" t="s">
        <v>59</v>
      </c>
      <c r="G3526">
        <v>-337.80040000000002</v>
      </c>
      <c r="H3526" s="1">
        <v>2.615025E-6</v>
      </c>
      <c r="I3526">
        <v>214.59729999999999</v>
      </c>
      <c r="J3526">
        <v>-366.34500000000003</v>
      </c>
      <c r="K3526">
        <v>1.104695</v>
      </c>
      <c r="L3526">
        <v>214.18950000000001</v>
      </c>
      <c r="M3526">
        <v>0.99987559999999998</v>
      </c>
      <c r="N3526">
        <v>0</v>
      </c>
      <c r="O3526">
        <v>-1.0884309999999999E-2</v>
      </c>
      <c r="P3526">
        <v>0.99734049999999996</v>
      </c>
      <c r="Q3526">
        <v>3.0353740000000001E-2</v>
      </c>
      <c r="R3526">
        <v>6.6262020000000005E-2</v>
      </c>
      <c r="S3526">
        <v>3.0085449999999998</v>
      </c>
      <c r="T3526">
        <v>-0.1151561</v>
      </c>
      <c r="U3526">
        <v>4.2175289999999997E-2</v>
      </c>
      <c r="V3526">
        <v>-7.7129169999999997E-2</v>
      </c>
      <c r="W3526">
        <v>4.170049E-2</v>
      </c>
      <c r="X3526">
        <v>0.99614859999999905</v>
      </c>
      <c r="Y3526">
        <v>-2.487406E-2</v>
      </c>
      <c r="Z3526">
        <v>8.9231420000000002E-4</v>
      </c>
      <c r="AA3526">
        <v>0.99969019999999997</v>
      </c>
      <c r="AB3526">
        <v>32</v>
      </c>
      <c r="AC3526">
        <v>28.544599999999999</v>
      </c>
      <c r="AD3526">
        <v>-1.1046923849750001</v>
      </c>
      <c r="AE3526">
        <v>0.40779999999998001</v>
      </c>
      <c r="AF3526">
        <v>-0.71741009105666798</v>
      </c>
      <c r="AG3526">
        <v>-1.1046923849750001</v>
      </c>
      <c r="AH3526">
        <v>28.4957995754745</v>
      </c>
      <c r="AI3526">
        <v>92.219362639192596</v>
      </c>
      <c r="AJ3526">
        <v>91.442173578735407</v>
      </c>
      <c r="AK3526">
        <v>28.526226808847099</v>
      </c>
    </row>
    <row r="3527" spans="1:37" x14ac:dyDescent="0.2">
      <c r="A3527" t="str">
        <f>"20200111155616989"</f>
        <v>20200111155616989</v>
      </c>
      <c r="B3527" t="str">
        <f>"1578729376985899"</f>
        <v>1578729376985899</v>
      </c>
      <c r="C3527" t="s">
        <v>37</v>
      </c>
      <c r="D3527">
        <v>5.46462</v>
      </c>
      <c r="E3527">
        <v>0.52103329999999903</v>
      </c>
      <c r="F3527" t="s">
        <v>59</v>
      </c>
      <c r="G3527">
        <v>-337.71319999999997</v>
      </c>
      <c r="H3527" s="1">
        <v>2.5690420000000002E-6</v>
      </c>
      <c r="I3527">
        <v>214.58750000000001</v>
      </c>
      <c r="J3527">
        <v>-366.01990000000001</v>
      </c>
      <c r="K3527">
        <v>1.104698</v>
      </c>
      <c r="L3527">
        <v>214.18620000000001</v>
      </c>
      <c r="M3527">
        <v>0.9998764</v>
      </c>
      <c r="N3527">
        <v>0</v>
      </c>
      <c r="O3527">
        <v>-1.070018E-2</v>
      </c>
      <c r="P3527">
        <v>0.99729089999999998</v>
      </c>
      <c r="Q3527">
        <v>2.98537E-2</v>
      </c>
      <c r="R3527">
        <v>6.7226460000000002E-2</v>
      </c>
      <c r="S3527">
        <v>3.008759</v>
      </c>
      <c r="T3527">
        <v>-0.11608589999999901</v>
      </c>
      <c r="U3527">
        <v>4.1824340000000002E-2</v>
      </c>
      <c r="V3527">
        <v>-7.790946E-2</v>
      </c>
      <c r="W3527">
        <v>4.1293620000000003E-2</v>
      </c>
      <c r="X3527">
        <v>0.99610489999999996</v>
      </c>
      <c r="Y3527">
        <v>-2.4572340000000002E-2</v>
      </c>
      <c r="Z3527">
        <v>8.8653110000000001E-4</v>
      </c>
      <c r="AA3527">
        <v>0.99969769999999902</v>
      </c>
      <c r="AB3527">
        <v>32</v>
      </c>
      <c r="AC3527">
        <v>28.306699999999999</v>
      </c>
      <c r="AD3527">
        <v>-1.1046954309579999</v>
      </c>
      <c r="AE3527">
        <v>0.401299999999992</v>
      </c>
      <c r="AF3527">
        <v>-0.70311326255728002</v>
      </c>
      <c r="AG3527">
        <v>-1.1046954309579999</v>
      </c>
      <c r="AH3527">
        <v>28.257756418141302</v>
      </c>
      <c r="AI3527">
        <v>92.238062202356204</v>
      </c>
      <c r="AJ3527">
        <v>91.425347119240001</v>
      </c>
      <c r="AK3527">
        <v>28.288080847631999</v>
      </c>
    </row>
    <row r="3528" spans="1:37" x14ac:dyDescent="0.2">
      <c r="A3528" t="str">
        <f>"20200111155617013"</f>
        <v>20200111155617013</v>
      </c>
      <c r="B3528" t="str">
        <f>"1578729377006394"</f>
        <v>1578729377006394</v>
      </c>
      <c r="C3528" t="s">
        <v>37</v>
      </c>
      <c r="D3528">
        <v>5.3692469999999997</v>
      </c>
      <c r="E3528">
        <v>0.52137290000000003</v>
      </c>
      <c r="F3528" t="s">
        <v>59</v>
      </c>
      <c r="G3528">
        <v>-338.01960000000003</v>
      </c>
      <c r="H3528" s="1">
        <v>2.7330349999999998E-6</v>
      </c>
      <c r="I3528">
        <v>214.56599999999901</v>
      </c>
      <c r="J3528">
        <v>-365.68630000000002</v>
      </c>
      <c r="K3528">
        <v>1.1045209999999901</v>
      </c>
      <c r="L3528">
        <v>214.18279999999999</v>
      </c>
      <c r="M3528">
        <v>0.99988509999999997</v>
      </c>
      <c r="N3528">
        <v>0</v>
      </c>
      <c r="O3528">
        <v>-1.0516060000000001E-2</v>
      </c>
      <c r="P3528">
        <v>0.99723629999999996</v>
      </c>
      <c r="Q3528">
        <v>3.0148049999999999E-2</v>
      </c>
      <c r="R3528">
        <v>6.7907770000000006E-2</v>
      </c>
      <c r="S3528">
        <v>3.0089109999999999</v>
      </c>
      <c r="T3528">
        <v>-0.1187106</v>
      </c>
      <c r="U3528">
        <v>4.0817260000000001E-2</v>
      </c>
      <c r="V3528">
        <v>-7.8405779999999994E-2</v>
      </c>
      <c r="W3528">
        <v>4.1009669999999998E-2</v>
      </c>
      <c r="X3528">
        <v>0.99607769999999995</v>
      </c>
      <c r="Y3528">
        <v>-2.405229E-2</v>
      </c>
      <c r="Z3528">
        <v>8.8899750000000005E-4</v>
      </c>
      <c r="AA3528">
        <v>0.99971030000000005</v>
      </c>
      <c r="AB3528">
        <v>32</v>
      </c>
      <c r="AC3528">
        <v>27.666699999999899</v>
      </c>
      <c r="AD3528">
        <v>-1.10451826696499</v>
      </c>
      <c r="AE3528">
        <v>0.38319999999998799</v>
      </c>
      <c r="AF3528">
        <v>-0.67306830352416203</v>
      </c>
      <c r="AG3528">
        <v>-1.10451826696499</v>
      </c>
      <c r="AH3528">
        <v>27.617132519189799</v>
      </c>
      <c r="AI3528">
        <v>92.289584917826502</v>
      </c>
      <c r="AJ3528">
        <v>91.396102241526805</v>
      </c>
      <c r="AK3528">
        <v>27.6474047629385</v>
      </c>
    </row>
    <row r="3529" spans="1:37" x14ac:dyDescent="0.2">
      <c r="A3529" t="str">
        <f>"20200111155617034"</f>
        <v>20200111155617034</v>
      </c>
      <c r="B3529" t="str">
        <f>"1578729377025914"</f>
        <v>1578729377025914</v>
      </c>
      <c r="C3529" t="s">
        <v>37</v>
      </c>
      <c r="D3529">
        <v>5.3326099999999999</v>
      </c>
      <c r="E3529">
        <v>0.52166329999999905</v>
      </c>
      <c r="F3529" t="s">
        <v>59</v>
      </c>
      <c r="G3529">
        <v>-337.59879999999998</v>
      </c>
      <c r="H3529" s="1">
        <v>2.5094239999999999E-6</v>
      </c>
      <c r="I3529">
        <v>214.5582</v>
      </c>
      <c r="J3529">
        <v>-365.36540000000002</v>
      </c>
      <c r="K3529">
        <v>1.104217</v>
      </c>
      <c r="L3529">
        <v>214.17959999999999</v>
      </c>
      <c r="M3529">
        <v>0.99989879999999998</v>
      </c>
      <c r="N3529">
        <v>0</v>
      </c>
      <c r="O3529">
        <v>-1.034181E-2</v>
      </c>
      <c r="P3529">
        <v>0.99716689999999997</v>
      </c>
      <c r="Q3529">
        <v>3.1307979999999999E-2</v>
      </c>
      <c r="R3529">
        <v>6.8397910000000006E-2</v>
      </c>
      <c r="S3529">
        <v>3.0091549999999998</v>
      </c>
      <c r="T3529">
        <v>-0.11833239999999901</v>
      </c>
      <c r="U3529">
        <v>4.0222170000000002E-2</v>
      </c>
      <c r="V3529">
        <v>-7.872063E-2</v>
      </c>
      <c r="W3529">
        <v>4.1023009999999999E-2</v>
      </c>
      <c r="X3529">
        <v>0.9960523</v>
      </c>
      <c r="Y3529">
        <v>-2.3679780000000001E-2</v>
      </c>
      <c r="Z3529">
        <v>8.7192170000000002E-4</v>
      </c>
      <c r="AA3529">
        <v>0.99971919999999903</v>
      </c>
      <c r="AB3529">
        <v>32</v>
      </c>
      <c r="AC3529">
        <v>27.7666</v>
      </c>
      <c r="AD3529">
        <v>-1.1042144905760001</v>
      </c>
      <c r="AE3529">
        <v>0.37860000000000499</v>
      </c>
      <c r="AF3529">
        <v>-0.66469934856606006</v>
      </c>
      <c r="AG3529">
        <v>-1.1042144905760001</v>
      </c>
      <c r="AH3529">
        <v>27.717373262734601</v>
      </c>
      <c r="AI3529">
        <v>92.280708032064098</v>
      </c>
      <c r="AJ3529">
        <v>91.373765422589798</v>
      </c>
      <c r="AK3529">
        <v>27.747322311367999</v>
      </c>
    </row>
    <row r="3530" spans="1:37" x14ac:dyDescent="0.2">
      <c r="A3530" t="str">
        <f>"20200111155617057"</f>
        <v>20200111155617057</v>
      </c>
      <c r="B3530" t="str">
        <f>"1578729377046410"</f>
        <v>1578729377046410</v>
      </c>
      <c r="C3530" t="s">
        <v>37</v>
      </c>
      <c r="D3530">
        <v>5.7400500000000001</v>
      </c>
      <c r="E3530">
        <v>0.52177099999999998</v>
      </c>
      <c r="F3530" t="s">
        <v>59</v>
      </c>
      <c r="G3530">
        <v>-336.60629999999998</v>
      </c>
      <c r="H3530" s="1">
        <v>1.9814830000000002E-6</v>
      </c>
      <c r="I3530">
        <v>214.5538</v>
      </c>
      <c r="J3530">
        <v>-365.04090000000002</v>
      </c>
      <c r="K3530">
        <v>1.103926</v>
      </c>
      <c r="L3530">
        <v>214.1764</v>
      </c>
      <c r="M3530">
        <v>0.99991209999999997</v>
      </c>
      <c r="N3530">
        <v>0</v>
      </c>
      <c r="O3530">
        <v>-1.0166730000000001E-2</v>
      </c>
      <c r="P3530">
        <v>0.99709380000000003</v>
      </c>
      <c r="Q3530">
        <v>3.2131560000000003E-2</v>
      </c>
      <c r="R3530">
        <v>6.9079909999999994E-2</v>
      </c>
      <c r="S3530">
        <v>3.00943</v>
      </c>
      <c r="T3530">
        <v>-0.115548</v>
      </c>
      <c r="U3530">
        <v>3.9154050000000003E-2</v>
      </c>
      <c r="V3530">
        <v>-7.9225909999999997E-2</v>
      </c>
      <c r="W3530">
        <v>4.0602310000000003E-2</v>
      </c>
      <c r="X3530">
        <v>0.99602950000000001</v>
      </c>
      <c r="Y3530">
        <v>-2.3150380000000002E-2</v>
      </c>
      <c r="Z3530">
        <v>8.3446059999999996E-4</v>
      </c>
      <c r="AA3530">
        <v>0.999731699999999</v>
      </c>
      <c r="AB3530">
        <v>33</v>
      </c>
      <c r="AC3530">
        <v>28.4346</v>
      </c>
      <c r="AD3530">
        <v>-1.1039240185169901</v>
      </c>
      <c r="AE3530">
        <v>0.37739999999999402</v>
      </c>
      <c r="AF3530">
        <v>-0.66547500646124902</v>
      </c>
      <c r="AG3530">
        <v>-1.1039240185169901</v>
      </c>
      <c r="AH3530">
        <v>28.3865153346858</v>
      </c>
      <c r="AI3530">
        <v>92.2264438675451</v>
      </c>
      <c r="AJ3530">
        <v>91.342959007027503</v>
      </c>
      <c r="AK3530">
        <v>28.415766012360699</v>
      </c>
    </row>
    <row r="3531" spans="1:37" x14ac:dyDescent="0.2">
      <c r="A3531" t="str">
        <f>"20200111155617080"</f>
        <v>20200111155617080</v>
      </c>
      <c r="B3531" t="str">
        <f>"1578729377076667"</f>
        <v>1578729377076667</v>
      </c>
      <c r="C3531" t="s">
        <v>37</v>
      </c>
      <c r="D3531">
        <v>5.3781809999999997</v>
      </c>
      <c r="E3531">
        <v>0.52220359999999999</v>
      </c>
      <c r="F3531" t="s">
        <v>59</v>
      </c>
      <c r="G3531">
        <v>-335.75650000000002</v>
      </c>
      <c r="H3531" s="1">
        <v>1.5286240000000001E-6</v>
      </c>
      <c r="I3531">
        <v>214.56809999999999</v>
      </c>
      <c r="J3531">
        <v>-364.69690000000003</v>
      </c>
      <c r="K3531">
        <v>1.1036840000000001</v>
      </c>
      <c r="L3531">
        <v>214.17310000000001</v>
      </c>
      <c r="M3531">
        <v>0.99992409999999998</v>
      </c>
      <c r="N3531">
        <v>0</v>
      </c>
      <c r="O3531">
        <v>-9.9851519999999902E-3</v>
      </c>
      <c r="P3531">
        <v>0.99701459999999997</v>
      </c>
      <c r="Q3531">
        <v>3.3484479999999997E-2</v>
      </c>
      <c r="R3531">
        <v>6.9575250000000005E-2</v>
      </c>
      <c r="S3531">
        <v>3.0096129999999999</v>
      </c>
      <c r="T3531">
        <v>-0.11345230000000001</v>
      </c>
      <c r="U3531">
        <v>4.0252690000000001E-2</v>
      </c>
      <c r="V3531">
        <v>-7.9538230000000001E-2</v>
      </c>
      <c r="W3531">
        <v>4.0660439999999999E-2</v>
      </c>
      <c r="X3531">
        <v>0.99600219999999995</v>
      </c>
      <c r="Y3531">
        <v>-2.3333699999999999E-2</v>
      </c>
      <c r="Z3531">
        <v>8.1589309999999997E-4</v>
      </c>
      <c r="AA3531">
        <v>0.99972739999999904</v>
      </c>
      <c r="AB3531">
        <v>33</v>
      </c>
      <c r="AC3531">
        <v>28.9404</v>
      </c>
      <c r="AD3531">
        <v>-1.1036824713760001</v>
      </c>
      <c r="AE3531">
        <v>0.39499999999998098</v>
      </c>
      <c r="AF3531">
        <v>-0.68296901227472295</v>
      </c>
      <c r="AG3531">
        <v>-1.1036824713760001</v>
      </c>
      <c r="AH3531">
        <v>28.8929992219898</v>
      </c>
      <c r="AI3531">
        <v>92.186965192579507</v>
      </c>
      <c r="AJ3531">
        <v>91.354098129542805</v>
      </c>
      <c r="AK3531">
        <v>28.922136257739499</v>
      </c>
    </row>
    <row r="3532" spans="1:37" x14ac:dyDescent="0.2">
      <c r="A3532" t="str">
        <f>"20200111155617102"</f>
        <v>20200111155617102</v>
      </c>
      <c r="B3532" t="str">
        <f>"1578729377096188"</f>
        <v>1578729377096188</v>
      </c>
      <c r="C3532" t="s">
        <v>37</v>
      </c>
      <c r="D3532">
        <v>5.4167940000000003</v>
      </c>
      <c r="E3532">
        <v>0.52248899999999998</v>
      </c>
      <c r="F3532" t="s">
        <v>59</v>
      </c>
      <c r="G3532">
        <v>-334.58530000000002</v>
      </c>
      <c r="H3532" s="1">
        <v>9.0586879999999999E-7</v>
      </c>
      <c r="I3532">
        <v>214.55699999999999</v>
      </c>
      <c r="J3532">
        <v>-364.35489999999999</v>
      </c>
      <c r="K3532">
        <v>1.1035029999999999</v>
      </c>
      <c r="L3532">
        <v>214.16980000000001</v>
      </c>
      <c r="M3532">
        <v>0.99993390000000004</v>
      </c>
      <c r="N3532">
        <v>0</v>
      </c>
      <c r="O3532">
        <v>-9.813324E-3</v>
      </c>
      <c r="P3532">
        <v>0.99695429999999996</v>
      </c>
      <c r="Q3532">
        <v>3.539043E-2</v>
      </c>
      <c r="R3532">
        <v>6.9494730000000005E-2</v>
      </c>
      <c r="S3532">
        <v>3.0100099999999999</v>
      </c>
      <c r="T3532">
        <v>-0.1103262</v>
      </c>
      <c r="U3532">
        <v>3.8375850000000003E-2</v>
      </c>
      <c r="V3532">
        <v>-7.9285270000000005E-2</v>
      </c>
      <c r="W3532">
        <v>4.1335549999999999E-2</v>
      </c>
      <c r="X3532">
        <v>0.99599459999999995</v>
      </c>
      <c r="Y3532">
        <v>-2.2538740000000002E-2</v>
      </c>
      <c r="Z3532">
        <v>7.7246349999999999E-4</v>
      </c>
      <c r="AA3532">
        <v>0.99974569999999996</v>
      </c>
      <c r="AB3532">
        <v>34</v>
      </c>
      <c r="AC3532">
        <v>29.769599999999901</v>
      </c>
      <c r="AD3532">
        <v>-1.1035020941311999</v>
      </c>
      <c r="AE3532">
        <v>0.38720000000000698</v>
      </c>
      <c r="AF3532">
        <v>-0.67839334433081</v>
      </c>
      <c r="AG3532">
        <v>-1.1035020941311999</v>
      </c>
      <c r="AH3532">
        <v>29.7235321973446</v>
      </c>
      <c r="AI3532">
        <v>92.125607063398306</v>
      </c>
      <c r="AJ3532">
        <v>91.307459969414396</v>
      </c>
      <c r="AK3532">
        <v>29.751744498230099</v>
      </c>
    </row>
    <row r="3533" spans="1:37" x14ac:dyDescent="0.2">
      <c r="A3533" t="str">
        <f>"20200111155617126"</f>
        <v>20200111155617126</v>
      </c>
      <c r="B3533" t="str">
        <f>"1578729377116682"</f>
        <v>1578729377116682</v>
      </c>
      <c r="C3533" t="s">
        <v>37</v>
      </c>
      <c r="D3533">
        <v>5.9239809999999897</v>
      </c>
      <c r="E3533">
        <v>0.52275479999999996</v>
      </c>
      <c r="F3533" t="s">
        <v>59</v>
      </c>
      <c r="G3533">
        <v>-332.8922</v>
      </c>
      <c r="H3533" s="1">
        <v>5.3023359999999997E-9</v>
      </c>
      <c r="I3533">
        <v>214.54689999999999</v>
      </c>
      <c r="J3533">
        <v>-364</v>
      </c>
      <c r="K3533">
        <v>1.103372</v>
      </c>
      <c r="L3533">
        <v>214.16640000000001</v>
      </c>
      <c r="M3533">
        <v>0.99994189999999905</v>
      </c>
      <c r="N3533">
        <v>0</v>
      </c>
      <c r="O3533">
        <v>-9.6435569999999901E-3</v>
      </c>
      <c r="P3533">
        <v>0.99691289999999999</v>
      </c>
      <c r="Q3533">
        <v>3.673995E-2</v>
      </c>
      <c r="R3533">
        <v>6.9391350000000004E-2</v>
      </c>
      <c r="S3533">
        <v>3.0104060000000001</v>
      </c>
      <c r="T3533">
        <v>-0.1055851</v>
      </c>
      <c r="U3533">
        <v>3.6087040000000001E-2</v>
      </c>
      <c r="V3533">
        <v>-7.9013459999999994E-2</v>
      </c>
      <c r="W3533">
        <v>4.1522789999999997E-2</v>
      </c>
      <c r="X3533">
        <v>0.99600840000000002</v>
      </c>
      <c r="Y3533">
        <v>-2.160977E-2</v>
      </c>
      <c r="Z3533">
        <v>7.1695449999999996E-4</v>
      </c>
      <c r="AA3533">
        <v>0.99976620000000005</v>
      </c>
      <c r="AB3533">
        <v>34</v>
      </c>
      <c r="AC3533">
        <v>31.107800000000001</v>
      </c>
      <c r="AD3533">
        <v>-1.1033719946976599</v>
      </c>
      <c r="AE3533">
        <v>0.38049999999998302</v>
      </c>
      <c r="AF3533">
        <v>-0.67962074485020796</v>
      </c>
      <c r="AG3533">
        <v>-1.1033719946976599</v>
      </c>
      <c r="AH3533">
        <v>31.063609636942001</v>
      </c>
      <c r="AI3533">
        <v>92.033790890508001</v>
      </c>
      <c r="AJ3533">
        <v>91.253337575526999</v>
      </c>
      <c r="AK3533">
        <v>31.090628134404501</v>
      </c>
    </row>
    <row r="3534" spans="1:37" x14ac:dyDescent="0.2">
      <c r="A3534" t="str">
        <f>"20200111155617145"</f>
        <v>20200111155617145</v>
      </c>
      <c r="B3534" t="str">
        <f>"1578729377136202"</f>
        <v>1578729377136202</v>
      </c>
      <c r="C3534" t="s">
        <v>37</v>
      </c>
      <c r="D3534">
        <v>5.3586839999999896</v>
      </c>
      <c r="E3534">
        <v>0.5230243</v>
      </c>
      <c r="F3534" t="s">
        <v>59</v>
      </c>
      <c r="G3534">
        <v>-330.9674</v>
      </c>
      <c r="H3534" s="1">
        <v>-1.0184390000000001E-6</v>
      </c>
      <c r="I3534">
        <v>214.53559999999999</v>
      </c>
      <c r="J3534">
        <v>-363.68239999999997</v>
      </c>
      <c r="K3534">
        <v>1.1033170000000001</v>
      </c>
      <c r="L3534">
        <v>214.1634</v>
      </c>
      <c r="M3534">
        <v>0.99994699999999903</v>
      </c>
      <c r="N3534">
        <v>0</v>
      </c>
      <c r="O3534">
        <v>-9.4972089999999995E-3</v>
      </c>
      <c r="P3534">
        <v>0.99692510000000001</v>
      </c>
      <c r="Q3534">
        <v>3.7337969999999998E-2</v>
      </c>
      <c r="R3534">
        <v>6.8892720000000005E-2</v>
      </c>
      <c r="S3534">
        <v>3.01065099999999</v>
      </c>
      <c r="T3534">
        <v>-0.1005635</v>
      </c>
      <c r="U3534">
        <v>3.3645630000000003E-2</v>
      </c>
      <c r="V3534">
        <v>-7.8369729999999999E-2</v>
      </c>
      <c r="W3534">
        <v>4.1287909999999997E-2</v>
      </c>
      <c r="X3534">
        <v>0.99606899999999998</v>
      </c>
      <c r="Y3534">
        <v>-2.0654209999999999E-2</v>
      </c>
      <c r="Z3534">
        <v>6.6198149999999905E-4</v>
      </c>
      <c r="AA3534">
        <v>0.99978639999999996</v>
      </c>
      <c r="AB3534">
        <v>34</v>
      </c>
      <c r="AC3534">
        <v>32.714999999999897</v>
      </c>
      <c r="AD3534">
        <v>-1.1033180184389999</v>
      </c>
      <c r="AE3534">
        <v>0.37219999999999198</v>
      </c>
      <c r="AF3534">
        <v>-0.68211113803008105</v>
      </c>
      <c r="AG3534">
        <v>-1.1033180184389999</v>
      </c>
      <c r="AH3534">
        <v>32.672832870184699</v>
      </c>
      <c r="AI3534">
        <v>91.9336461542742</v>
      </c>
      <c r="AJ3534">
        <v>91.195990963991306</v>
      </c>
      <c r="AK3534">
        <v>32.698571742775897</v>
      </c>
    </row>
    <row r="3535" spans="1:37" x14ac:dyDescent="0.2">
      <c r="A3535" t="str">
        <f>"20200111155617168"</f>
        <v>20200111155617168</v>
      </c>
      <c r="B3535" t="str">
        <f>"1578729377156698"</f>
        <v>1578729377156698</v>
      </c>
      <c r="C3535" t="s">
        <v>37</v>
      </c>
      <c r="D3535">
        <v>5.4267510000000003</v>
      </c>
      <c r="E3535">
        <v>0.52321379999999995</v>
      </c>
      <c r="F3535" t="s">
        <v>59</v>
      </c>
      <c r="G3535">
        <v>-330.40649999999999</v>
      </c>
      <c r="H3535" s="1">
        <v>-1.3151699999999999E-6</v>
      </c>
      <c r="I3535">
        <v>214.49510000000001</v>
      </c>
      <c r="J3535">
        <v>-363.334</v>
      </c>
      <c r="K3535">
        <v>1.103361</v>
      </c>
      <c r="L3535">
        <v>214.16030000000001</v>
      </c>
      <c r="M3535">
        <v>0.99995049999999996</v>
      </c>
      <c r="N3535">
        <v>0</v>
      </c>
      <c r="O3535">
        <v>-9.3412959999999903E-3</v>
      </c>
      <c r="P3535">
        <v>0.99694340000000004</v>
      </c>
      <c r="Q3535">
        <v>3.7918510000000002E-2</v>
      </c>
      <c r="R3535">
        <v>6.8310739999999995E-2</v>
      </c>
      <c r="S3535">
        <v>3.0109249999999999</v>
      </c>
      <c r="T3535">
        <v>-9.9832180000000006E-2</v>
      </c>
      <c r="U3535">
        <v>3.0014039999999999E-2</v>
      </c>
      <c r="V3535">
        <v>-7.7633809999999998E-2</v>
      </c>
      <c r="W3535">
        <v>4.134413E-2</v>
      </c>
      <c r="X3535">
        <v>0.99612429999999996</v>
      </c>
      <c r="Y3535">
        <v>-1.92926E-2</v>
      </c>
      <c r="Z3535">
        <v>6.2937849999999897E-4</v>
      </c>
      <c r="AA3535">
        <v>0.99981369999999903</v>
      </c>
      <c r="AB3535">
        <v>34</v>
      </c>
      <c r="AC3535">
        <v>32.927500000000002</v>
      </c>
      <c r="AD3535">
        <v>-1.1033623151700001</v>
      </c>
      <c r="AE3535">
        <v>0.33480000000000099</v>
      </c>
      <c r="AF3535">
        <v>-0.641652321542863</v>
      </c>
      <c r="AG3535">
        <v>-1.1033623151700001</v>
      </c>
      <c r="AH3535">
        <v>32.886013852558499</v>
      </c>
      <c r="AI3535">
        <v>91.921250862997496</v>
      </c>
      <c r="AJ3535">
        <v>91.117779305328</v>
      </c>
      <c r="AK3535">
        <v>32.910773816653801</v>
      </c>
    </row>
    <row r="3536" spans="1:37" x14ac:dyDescent="0.2">
      <c r="A3536" t="str">
        <f>"20200111155617192"</f>
        <v>20200111155617192</v>
      </c>
      <c r="B3536" t="str">
        <f>"1578729377185978"</f>
        <v>1578729377185978</v>
      </c>
      <c r="C3536" t="s">
        <v>37</v>
      </c>
      <c r="D3536">
        <v>5.3942389999999998</v>
      </c>
      <c r="E3536">
        <v>0.52353570000000005</v>
      </c>
      <c r="F3536" t="s">
        <v>59</v>
      </c>
      <c r="G3536">
        <v>-329.6404</v>
      </c>
      <c r="H3536" s="1">
        <v>3.5933569999999899E-6</v>
      </c>
      <c r="I3536">
        <v>214.4589</v>
      </c>
      <c r="J3536">
        <v>-362.96460000000002</v>
      </c>
      <c r="K3536">
        <v>1.1035090000000001</v>
      </c>
      <c r="L3536">
        <v>214.15700000000001</v>
      </c>
      <c r="M3536">
        <v>0.99995219999999996</v>
      </c>
      <c r="N3536">
        <v>0</v>
      </c>
      <c r="O3536">
        <v>-9.1759219999999996E-3</v>
      </c>
      <c r="P3536">
        <v>0.99696839999999998</v>
      </c>
      <c r="Q3536">
        <v>3.8100130000000003E-2</v>
      </c>
      <c r="R3536">
        <v>6.7841639999999995E-2</v>
      </c>
      <c r="S3536">
        <v>3.0111080000000001</v>
      </c>
      <c r="T3536">
        <v>-9.8604319999999995E-2</v>
      </c>
      <c r="U3536">
        <v>2.6687619999999999E-2</v>
      </c>
      <c r="V3536">
        <v>-7.7001680000000003E-2</v>
      </c>
      <c r="W3536">
        <v>4.145799E-2</v>
      </c>
      <c r="X3536">
        <v>0.99616870000000002</v>
      </c>
      <c r="Y3536">
        <v>-1.802337E-2</v>
      </c>
      <c r="Z3536">
        <v>5.9541719999999995E-4</v>
      </c>
      <c r="AA3536">
        <v>0.99983739999999999</v>
      </c>
      <c r="AB3536">
        <v>35</v>
      </c>
      <c r="AC3536">
        <v>33.324199999999998</v>
      </c>
      <c r="AD3536">
        <v>-1.1035054066429999</v>
      </c>
      <c r="AE3536">
        <v>0.30189999999998901</v>
      </c>
      <c r="AF3536">
        <v>-0.60700373597364699</v>
      </c>
      <c r="AG3536">
        <v>-1.1035054066429999</v>
      </c>
      <c r="AH3536">
        <v>33.283532671107501</v>
      </c>
      <c r="AI3536">
        <v>91.898613082127696</v>
      </c>
      <c r="AJ3536">
        <v>91.044807878835499</v>
      </c>
      <c r="AK3536">
        <v>33.307352413343501</v>
      </c>
    </row>
    <row r="3537" spans="1:37" x14ac:dyDescent="0.2">
      <c r="A3537" t="str">
        <f>"20200111155617213"</f>
        <v>20200111155617213</v>
      </c>
      <c r="B3537" t="str">
        <f>"1578729377206474"</f>
        <v>1578729377206474</v>
      </c>
      <c r="C3537" t="s">
        <v>37</v>
      </c>
      <c r="D3537">
        <v>5.3356469999999998</v>
      </c>
      <c r="E3537">
        <v>0.52377779999999996</v>
      </c>
      <c r="F3537" t="s">
        <v>59</v>
      </c>
      <c r="G3537">
        <v>-329.42039999999997</v>
      </c>
      <c r="H3537" s="1">
        <v>3.4762869999999999E-6</v>
      </c>
      <c r="I3537">
        <v>214.41139999999999</v>
      </c>
      <c r="J3537">
        <v>-362.63720000000001</v>
      </c>
      <c r="K3537">
        <v>1.1036779999999999</v>
      </c>
      <c r="L3537">
        <v>214.1541</v>
      </c>
      <c r="M3537">
        <v>0.99995270000000003</v>
      </c>
      <c r="N3537">
        <v>0</v>
      </c>
      <c r="O3537">
        <v>-9.02139699999999E-3</v>
      </c>
      <c r="P3537">
        <v>0.99694719999999903</v>
      </c>
      <c r="Q3537">
        <v>3.823058E-2</v>
      </c>
      <c r="R3537">
        <v>6.8078689999999997E-2</v>
      </c>
      <c r="S3537">
        <v>3.01135299999999</v>
      </c>
      <c r="T3537">
        <v>-9.9064589999999994E-2</v>
      </c>
      <c r="U3537">
        <v>2.284241E-2</v>
      </c>
      <c r="V3537">
        <v>-7.7085580000000001E-2</v>
      </c>
      <c r="W3537">
        <v>4.1815310000000001E-2</v>
      </c>
      <c r="X3537">
        <v>0.99614720000000001</v>
      </c>
      <c r="Y3537">
        <v>-1.6592249999999999E-2</v>
      </c>
      <c r="Z3537">
        <v>5.6953449999999997E-4</v>
      </c>
      <c r="AA3537">
        <v>0.99986219999999904</v>
      </c>
      <c r="AB3537">
        <v>35</v>
      </c>
      <c r="AC3537">
        <v>33.216799999999999</v>
      </c>
      <c r="AD3537">
        <v>-1.1036745237129999</v>
      </c>
      <c r="AE3537">
        <v>0.25729999999998598</v>
      </c>
      <c r="AF3537">
        <v>-0.55633929085067702</v>
      </c>
      <c r="AG3537">
        <v>-1.1036745237129999</v>
      </c>
      <c r="AH3537">
        <v>33.176502608889599</v>
      </c>
      <c r="AI3537">
        <v>91.905074257743706</v>
      </c>
      <c r="AJ3537">
        <v>90.960707232127504</v>
      </c>
      <c r="AK3537">
        <v>33.199517108212497</v>
      </c>
    </row>
    <row r="3538" spans="1:37" x14ac:dyDescent="0.2">
      <c r="A3538" t="str">
        <f>"20200111155617235"</f>
        <v>20200111155617235</v>
      </c>
      <c r="B3538" t="str">
        <f>"1578729377225995"</f>
        <v>1578729377225995</v>
      </c>
      <c r="C3538" t="s">
        <v>37</v>
      </c>
      <c r="D3538">
        <v>5.3193060000000001</v>
      </c>
      <c r="E3538">
        <v>0.52397150000000003</v>
      </c>
      <c r="F3538" t="s">
        <v>59</v>
      </c>
      <c r="G3538">
        <v>-329.16730000000001</v>
      </c>
      <c r="H3538" s="1">
        <v>3.3415929999999999E-6</v>
      </c>
      <c r="I3538">
        <v>214.39240000000001</v>
      </c>
      <c r="J3538">
        <v>-362.2921</v>
      </c>
      <c r="K3538">
        <v>1.1038410000000001</v>
      </c>
      <c r="L3538">
        <v>214.15119999999999</v>
      </c>
      <c r="M3538">
        <v>0.99995299999999998</v>
      </c>
      <c r="N3538">
        <v>0</v>
      </c>
      <c r="O3538">
        <v>-8.8472359999999996E-3</v>
      </c>
      <c r="P3538">
        <v>0.99691580000000002</v>
      </c>
      <c r="Q3538">
        <v>3.8461450000000001E-2</v>
      </c>
      <c r="R3538">
        <v>6.8410699999999894E-2</v>
      </c>
      <c r="S3538">
        <v>3.0115050000000001</v>
      </c>
      <c r="T3538">
        <v>-9.9304909999999996E-2</v>
      </c>
      <c r="U3538">
        <v>2.1438599999999999E-2</v>
      </c>
      <c r="V3538">
        <v>-7.7244199999999999E-2</v>
      </c>
      <c r="W3538">
        <v>4.2407019999999997E-2</v>
      </c>
      <c r="X3538">
        <v>0.99610989999999999</v>
      </c>
      <c r="Y3538">
        <v>-1.5952049999999999E-2</v>
      </c>
      <c r="Z3538">
        <v>5.5459400000000005E-4</v>
      </c>
      <c r="AA3538">
        <v>0.9998726</v>
      </c>
      <c r="AB3538">
        <v>35</v>
      </c>
      <c r="AC3538">
        <v>33.124799999999901</v>
      </c>
      <c r="AD3538">
        <v>-1.103837658407</v>
      </c>
      <c r="AE3538">
        <v>0.24120000000002001</v>
      </c>
      <c r="AF3538">
        <v>-0.53366320550449897</v>
      </c>
      <c r="AG3538">
        <v>-1.103837658407</v>
      </c>
      <c r="AH3538">
        <v>33.084632291273302</v>
      </c>
      <c r="AI3538">
        <v>91.910662626021605</v>
      </c>
      <c r="AJ3538">
        <v>90.924114786645305</v>
      </c>
      <c r="AK3538">
        <v>33.107342808534099</v>
      </c>
    </row>
    <row r="3539" spans="1:37" x14ac:dyDescent="0.2">
      <c r="A3539" t="str">
        <f>"20200111155617258"</f>
        <v>20200111155617258</v>
      </c>
      <c r="B3539" t="str">
        <f>"1578729377246490"</f>
        <v>1578729377246490</v>
      </c>
      <c r="C3539" t="s">
        <v>37</v>
      </c>
      <c r="D3539">
        <v>5.3395169999999998</v>
      </c>
      <c r="E3539">
        <v>0.52412119999999995</v>
      </c>
      <c r="F3539" t="s">
        <v>59</v>
      </c>
      <c r="G3539">
        <v>-328.9126</v>
      </c>
      <c r="H3539" s="1">
        <v>3.2060689999999999E-6</v>
      </c>
      <c r="I3539">
        <v>214.38290000000001</v>
      </c>
      <c r="J3539">
        <v>-361.9504</v>
      </c>
      <c r="K3539">
        <v>1.1039699999999999</v>
      </c>
      <c r="L3539">
        <v>214.14840000000001</v>
      </c>
      <c r="M3539">
        <v>0.99995299999999998</v>
      </c>
      <c r="N3539">
        <v>0</v>
      </c>
      <c r="O3539">
        <v>-8.664527E-3</v>
      </c>
      <c r="P3539">
        <v>0.99693269999999901</v>
      </c>
      <c r="Q3539">
        <v>3.8075369999999997E-2</v>
      </c>
      <c r="R3539">
        <v>6.8378530000000007E-2</v>
      </c>
      <c r="S3539">
        <v>3.0116879999999999</v>
      </c>
      <c r="T3539">
        <v>-9.9594589999999997E-2</v>
      </c>
      <c r="U3539">
        <v>2.0904539999999999E-2</v>
      </c>
      <c r="V3539">
        <v>-7.7030379999999996E-2</v>
      </c>
      <c r="W3539">
        <v>4.2421779999999999E-2</v>
      </c>
      <c r="X3539">
        <v>0.99612590000000001</v>
      </c>
      <c r="Y3539">
        <v>-1.5591850000000001E-2</v>
      </c>
      <c r="Z3539">
        <v>5.4418350000000001E-4</v>
      </c>
      <c r="AA3539">
        <v>0.9998783</v>
      </c>
      <c r="AB3539">
        <v>35</v>
      </c>
      <c r="AC3539">
        <v>33.037799999999997</v>
      </c>
      <c r="AD3539">
        <v>-1.1039667939309901</v>
      </c>
      <c r="AE3539">
        <v>0.23449999999999699</v>
      </c>
      <c r="AF3539">
        <v>-0.52017003381458404</v>
      </c>
      <c r="AG3539">
        <v>-1.1039667939309901</v>
      </c>
      <c r="AH3539">
        <v>32.997685268178699</v>
      </c>
      <c r="AI3539">
        <v>91.915928496584201</v>
      </c>
      <c r="AJ3539">
        <v>90.903126355095694</v>
      </c>
      <c r="AK3539">
        <v>33.020244587282498</v>
      </c>
    </row>
    <row r="3540" spans="1:37" x14ac:dyDescent="0.2">
      <c r="A3540" t="str">
        <f>"20200111155617281"</f>
        <v>20200111155617281</v>
      </c>
      <c r="B3540" t="str">
        <f>"1578729377276747"</f>
        <v>1578729377276747</v>
      </c>
      <c r="C3540" t="s">
        <v>37</v>
      </c>
      <c r="D3540">
        <v>5.2878150000000002</v>
      </c>
      <c r="E3540">
        <v>0.52435980000000004</v>
      </c>
      <c r="F3540" t="s">
        <v>59</v>
      </c>
      <c r="G3540">
        <v>-329.24939999999998</v>
      </c>
      <c r="H3540" s="1">
        <v>3.3852650000000001E-6</v>
      </c>
      <c r="I3540">
        <v>214.3656</v>
      </c>
      <c r="J3540">
        <v>-361.5899</v>
      </c>
      <c r="K3540">
        <v>1.1040700000000001</v>
      </c>
      <c r="L3540">
        <v>214.1454</v>
      </c>
      <c r="M3540">
        <v>0.99995259999999997</v>
      </c>
      <c r="N3540">
        <v>0</v>
      </c>
      <c r="O3540">
        <v>-8.4646970000000002E-3</v>
      </c>
      <c r="P3540">
        <v>0.99696929999999995</v>
      </c>
      <c r="Q3540">
        <v>3.735132E-2</v>
      </c>
      <c r="R3540">
        <v>6.8245260000000002E-2</v>
      </c>
      <c r="S3540">
        <v>3.011749</v>
      </c>
      <c r="T3540">
        <v>-0.1016748</v>
      </c>
      <c r="U3540">
        <v>2.0004270000000001E-2</v>
      </c>
      <c r="V3540">
        <v>-7.6697890000000005E-2</v>
      </c>
      <c r="W3540">
        <v>4.2133089999999998E-2</v>
      </c>
      <c r="X3540">
        <v>0.99616380000000004</v>
      </c>
      <c r="Y3540">
        <v>-1.5092879999999999E-2</v>
      </c>
      <c r="Z3540">
        <v>5.4036920000000003E-4</v>
      </c>
      <c r="AA3540">
        <v>0.99988600000000005</v>
      </c>
      <c r="AB3540">
        <v>35</v>
      </c>
      <c r="AC3540">
        <v>32.340499999999999</v>
      </c>
      <c r="AD3540">
        <v>-1.104066614735</v>
      </c>
      <c r="AE3540">
        <v>0.220200000000005</v>
      </c>
      <c r="AF3540">
        <v>-0.49337283322293002</v>
      </c>
      <c r="AG3540">
        <v>-1.104066614735</v>
      </c>
      <c r="AH3540">
        <v>32.2998349918876</v>
      </c>
      <c r="AI3540">
        <v>91.957482689448796</v>
      </c>
      <c r="AJ3540">
        <v>90.875112299642396</v>
      </c>
      <c r="AK3540">
        <v>32.322464639094299</v>
      </c>
    </row>
    <row r="3541" spans="1:37" x14ac:dyDescent="0.2">
      <c r="A3541" t="str">
        <f>"20200111155617303"</f>
        <v>20200111155617303</v>
      </c>
      <c r="B3541" t="str">
        <f>"1578729377296267"</f>
        <v>1578729377296267</v>
      </c>
      <c r="C3541" t="s">
        <v>37</v>
      </c>
      <c r="D3541">
        <v>5.3368890000000002</v>
      </c>
      <c r="E3541">
        <v>0.52455010000000002</v>
      </c>
      <c r="F3541" t="s">
        <v>59</v>
      </c>
      <c r="G3541">
        <v>-329.94290000000001</v>
      </c>
      <c r="H3541" s="1">
        <v>3.7543519999999999E-6</v>
      </c>
      <c r="I3541">
        <v>214.33349999999999</v>
      </c>
      <c r="J3541">
        <v>-361.2405</v>
      </c>
      <c r="K3541">
        <v>1.1041459999999901</v>
      </c>
      <c r="L3541">
        <v>214.14259999999999</v>
      </c>
      <c r="M3541">
        <v>0.99995210000000001</v>
      </c>
      <c r="N3541">
        <v>0</v>
      </c>
      <c r="O3541">
        <v>-8.2693239999999998E-3</v>
      </c>
      <c r="P3541">
        <v>0.99699519999999997</v>
      </c>
      <c r="Q3541">
        <v>3.6726929999999998E-2</v>
      </c>
      <c r="R3541">
        <v>6.8206879999999998E-2</v>
      </c>
      <c r="S3541">
        <v>3.011841</v>
      </c>
      <c r="T3541">
        <v>-0.105074</v>
      </c>
      <c r="U3541">
        <v>1.7898560000000001E-2</v>
      </c>
      <c r="V3541">
        <v>-7.6465329999999998E-2</v>
      </c>
      <c r="W3541">
        <v>4.192394E-2</v>
      </c>
      <c r="X3541">
        <v>0.99619049999999998</v>
      </c>
      <c r="Y3541">
        <v>-1.419805E-2</v>
      </c>
      <c r="Z3541">
        <v>5.3599080000000003E-4</v>
      </c>
      <c r="AA3541">
        <v>0.99989899999999998</v>
      </c>
      <c r="AB3541">
        <v>35</v>
      </c>
      <c r="AC3541">
        <v>31.2975999999999</v>
      </c>
      <c r="AD3541">
        <v>-1.1041422456479999</v>
      </c>
      <c r="AE3541">
        <v>0.19089999999999899</v>
      </c>
      <c r="AF3541">
        <v>-0.44914802883084298</v>
      </c>
      <c r="AG3541">
        <v>-1.1041422456479999</v>
      </c>
      <c r="AH3541">
        <v>31.2560515529238</v>
      </c>
      <c r="AI3541">
        <v>92.022964172534799</v>
      </c>
      <c r="AJ3541">
        <v>90.823281061770004</v>
      </c>
      <c r="AK3541">
        <v>31.278772717762699</v>
      </c>
    </row>
    <row r="3542" spans="1:37" x14ac:dyDescent="0.2">
      <c r="A3542" t="str">
        <f>"20200111155617325"</f>
        <v>20200111155617325</v>
      </c>
      <c r="B3542" t="str">
        <f>"1578729377315787"</f>
        <v>1578729377315787</v>
      </c>
      <c r="C3542" t="s">
        <v>37</v>
      </c>
      <c r="D3542">
        <v>5.2557210000000003</v>
      </c>
      <c r="E3542">
        <v>0.52471730000000005</v>
      </c>
      <c r="F3542" t="s">
        <v>59</v>
      </c>
      <c r="G3542">
        <v>-330.35300000000001</v>
      </c>
      <c r="H3542" s="1">
        <v>-1.335387E-6</v>
      </c>
      <c r="I3542">
        <v>214.30619999999999</v>
      </c>
      <c r="J3542">
        <v>-360.89339999999999</v>
      </c>
      <c r="K3542">
        <v>1.104193</v>
      </c>
      <c r="L3542">
        <v>214.13990000000001</v>
      </c>
      <c r="M3542">
        <v>0.99995149999999999</v>
      </c>
      <c r="N3542">
        <v>0</v>
      </c>
      <c r="O3542">
        <v>-8.0754039999999996E-3</v>
      </c>
      <c r="P3542">
        <v>0.99699479999999996</v>
      </c>
      <c r="Q3542">
        <v>3.6338290000000002E-2</v>
      </c>
      <c r="R3542">
        <v>6.8417610000000004E-2</v>
      </c>
      <c r="S3542">
        <v>3.0119319999999998</v>
      </c>
      <c r="T3542">
        <v>-0.1076686</v>
      </c>
      <c r="U3542">
        <v>1.594543E-2</v>
      </c>
      <c r="V3542">
        <v>-7.6482889999999998E-2</v>
      </c>
      <c r="W3542">
        <v>4.1928699999999999E-2</v>
      </c>
      <c r="X3542">
        <v>0.99618890000000004</v>
      </c>
      <c r="Y3542">
        <v>-1.3355570000000001E-2</v>
      </c>
      <c r="Z3542">
        <v>5.2721929999999999E-4</v>
      </c>
      <c r="AA3542">
        <v>0.99991070000000004</v>
      </c>
      <c r="AB3542">
        <v>35</v>
      </c>
      <c r="AC3542">
        <v>30.540399999999899</v>
      </c>
      <c r="AD3542">
        <v>-1.1041943353870001</v>
      </c>
      <c r="AE3542">
        <v>0.16629999999997799</v>
      </c>
      <c r="AF3542">
        <v>-0.41238551153300401</v>
      </c>
      <c r="AG3542">
        <v>-1.1041943353870001</v>
      </c>
      <c r="AH3542">
        <v>30.498195171267099</v>
      </c>
      <c r="AI3542">
        <v>92.073312143382793</v>
      </c>
      <c r="AJ3542">
        <v>90.774685497479197</v>
      </c>
      <c r="AK3542">
        <v>30.5209635438517</v>
      </c>
    </row>
    <row r="3543" spans="1:37" x14ac:dyDescent="0.2">
      <c r="A3543" t="str">
        <f>"20200111155617347"</f>
        <v>20200111155617347</v>
      </c>
      <c r="B3543" t="str">
        <f>"1578729377336282"</f>
        <v>1578729377336282</v>
      </c>
      <c r="C3543" t="s">
        <v>37</v>
      </c>
      <c r="D3543">
        <v>5.219379</v>
      </c>
      <c r="E3543">
        <v>0.52488029999999997</v>
      </c>
      <c r="F3543" t="s">
        <v>59</v>
      </c>
      <c r="G3543">
        <v>-330.52420000000001</v>
      </c>
      <c r="H3543" s="1">
        <v>-1.243736E-6</v>
      </c>
      <c r="I3543">
        <v>214.2938</v>
      </c>
      <c r="J3543">
        <v>-360.54329999999999</v>
      </c>
      <c r="K3543">
        <v>1.1042259999999999</v>
      </c>
      <c r="L3543">
        <v>214.13730000000001</v>
      </c>
      <c r="M3543">
        <v>0.99995089999999998</v>
      </c>
      <c r="N3543">
        <v>0</v>
      </c>
      <c r="O3543">
        <v>-7.8817239999999997E-3</v>
      </c>
      <c r="P3543">
        <v>0.99702559999999996</v>
      </c>
      <c r="Q3543">
        <v>3.5509470000000001E-2</v>
      </c>
      <c r="R3543">
        <v>6.8401859999999995E-2</v>
      </c>
      <c r="S3543">
        <v>3.0120239999999998</v>
      </c>
      <c r="T3543">
        <v>-0.1095144</v>
      </c>
      <c r="U3543">
        <v>1.525879E-2</v>
      </c>
      <c r="V3543">
        <v>-7.6273919999999995E-2</v>
      </c>
      <c r="W3543">
        <v>4.1468459999999999E-2</v>
      </c>
      <c r="X3543">
        <v>0.9962242</v>
      </c>
      <c r="Y3543">
        <v>-1.2933750000000001E-2</v>
      </c>
      <c r="Z3543">
        <v>5.2153019999999896E-4</v>
      </c>
      <c r="AA3543">
        <v>0.99991620000000003</v>
      </c>
      <c r="AB3543">
        <v>35</v>
      </c>
      <c r="AC3543">
        <v>30.019099999999899</v>
      </c>
      <c r="AD3543">
        <v>-1.1042272437359999</v>
      </c>
      <c r="AE3543">
        <v>0.15649999999999401</v>
      </c>
      <c r="AF3543">
        <v>-0.392570505067315</v>
      </c>
      <c r="AG3543">
        <v>-1.1042272437359999</v>
      </c>
      <c r="AH3543">
        <v>29.9763748688971</v>
      </c>
      <c r="AI3543">
        <v>92.109446198940404</v>
      </c>
      <c r="AJ3543">
        <v>90.750302445343607</v>
      </c>
      <c r="AK3543">
        <v>29.999274652696201</v>
      </c>
    </row>
    <row r="3544" spans="1:37" x14ac:dyDescent="0.2">
      <c r="A3544" t="str">
        <f>"20200111155617369"</f>
        <v>20200111155617369</v>
      </c>
      <c r="B3544" t="str">
        <f>"1578729377366539"</f>
        <v>1578729377366539</v>
      </c>
      <c r="C3544" t="s">
        <v>37</v>
      </c>
      <c r="D3544">
        <v>5.2021629999999996</v>
      </c>
      <c r="E3544">
        <v>0.52566869999999999</v>
      </c>
      <c r="F3544" t="s">
        <v>59</v>
      </c>
      <c r="G3544">
        <v>-331.0641</v>
      </c>
      <c r="H3544" s="1">
        <v>-9.5564079999999999E-7</v>
      </c>
      <c r="I3544">
        <v>214.27529999999999</v>
      </c>
      <c r="J3544">
        <v>-360.19580000000002</v>
      </c>
      <c r="K3544">
        <v>1.1042449999999999</v>
      </c>
      <c r="L3544">
        <v>214.13470000000001</v>
      </c>
      <c r="M3544">
        <v>0.99995029999999996</v>
      </c>
      <c r="N3544">
        <v>0</v>
      </c>
      <c r="O3544">
        <v>-7.6911030000000003E-3</v>
      </c>
      <c r="P3544">
        <v>0.99701439999999997</v>
      </c>
      <c r="Q3544">
        <v>3.4888929999999999E-2</v>
      </c>
      <c r="R3544">
        <v>6.8885630000000003E-2</v>
      </c>
      <c r="S3544">
        <v>3.0119929999999999</v>
      </c>
      <c r="T3544">
        <v>-0.112822699999999</v>
      </c>
      <c r="U3544">
        <v>1.409912E-2</v>
      </c>
      <c r="V3544">
        <v>-7.6568410000000003E-2</v>
      </c>
      <c r="W3544">
        <v>4.1181179999999998E-2</v>
      </c>
      <c r="X3544">
        <v>0.99621360000000003</v>
      </c>
      <c r="Y3544">
        <v>-1.235792E-2</v>
      </c>
      <c r="Z3544">
        <v>5.1936199999999999E-4</v>
      </c>
      <c r="AA3544">
        <v>0.99992349999999997</v>
      </c>
      <c r="AB3544">
        <v>35</v>
      </c>
      <c r="AC3544">
        <v>29.131699999999999</v>
      </c>
      <c r="AD3544">
        <v>-1.1042459556408</v>
      </c>
      <c r="AE3544">
        <v>0.14059999999997699</v>
      </c>
      <c r="AF3544">
        <v>-0.36413207800763397</v>
      </c>
      <c r="AG3544">
        <v>-1.1042459556408</v>
      </c>
      <c r="AH3544">
        <v>29.0879639819548</v>
      </c>
      <c r="AI3544">
        <v>92.173865333306296</v>
      </c>
      <c r="AJ3544">
        <v>90.717208724497098</v>
      </c>
      <c r="AK3544">
        <v>29.111193721939301</v>
      </c>
    </row>
    <row r="3545" spans="1:37" x14ac:dyDescent="0.2">
      <c r="A3545" t="str">
        <f>"20200111155617392"</f>
        <v>20200111155617392</v>
      </c>
      <c r="B3545" t="str">
        <f>"1578729377386116"</f>
        <v>1578729377386116</v>
      </c>
      <c r="C3545" t="s">
        <v>37</v>
      </c>
      <c r="D3545">
        <v>5.4656719999999996</v>
      </c>
      <c r="E3545">
        <v>0.52651829999999999</v>
      </c>
      <c r="F3545" t="s">
        <v>59</v>
      </c>
      <c r="G3545">
        <v>-331.32740000000001</v>
      </c>
      <c r="H3545" s="1">
        <v>-8.1322359999999996E-7</v>
      </c>
      <c r="I3545">
        <v>214.2225</v>
      </c>
      <c r="J3545">
        <v>-359.83260000000001</v>
      </c>
      <c r="K3545">
        <v>1.104258</v>
      </c>
      <c r="L3545">
        <v>214.13210000000001</v>
      </c>
      <c r="M3545">
        <v>0.99994989999999995</v>
      </c>
      <c r="N3545">
        <v>0</v>
      </c>
      <c r="O3545">
        <v>-7.4926100000000002E-3</v>
      </c>
      <c r="P3545">
        <v>0.99700390000000005</v>
      </c>
      <c r="Q3545">
        <v>3.4463420000000002E-2</v>
      </c>
      <c r="R3545">
        <v>6.925046E-2</v>
      </c>
      <c r="S3545">
        <v>3.0124209999999998</v>
      </c>
      <c r="T3545">
        <v>-0.1152281</v>
      </c>
      <c r="U3545">
        <v>9.1552730000000002E-3</v>
      </c>
      <c r="V3545">
        <v>-7.6735020000000001E-2</v>
      </c>
      <c r="W3545">
        <v>4.1069699999999897E-2</v>
      </c>
      <c r="X3545">
        <v>0.99620529999999996</v>
      </c>
      <c r="Y3545">
        <v>-1.0518639999999999E-2</v>
      </c>
      <c r="Z3545">
        <v>4.8759960000000001E-4</v>
      </c>
      <c r="AA3545">
        <v>0.99994459999999996</v>
      </c>
      <c r="AB3545">
        <v>35</v>
      </c>
      <c r="AC3545">
        <v>28.505199999999999</v>
      </c>
      <c r="AD3545">
        <v>-1.1042588132236</v>
      </c>
      <c r="AE3545">
        <v>9.0399999999988198E-2</v>
      </c>
      <c r="AF3545">
        <v>-0.30352501895592299</v>
      </c>
      <c r="AG3545">
        <v>-1.1042588132236</v>
      </c>
      <c r="AH3545">
        <v>28.461011498032001</v>
      </c>
      <c r="AI3545">
        <v>92.221778314155998</v>
      </c>
      <c r="AJ3545">
        <v>90.611012834427299</v>
      </c>
      <c r="AK3545">
        <v>28.484042733692501</v>
      </c>
    </row>
    <row r="3546" spans="1:37" x14ac:dyDescent="0.2">
      <c r="A3546" t="str">
        <f>"20200111155617415"</f>
        <v>20200111155617415</v>
      </c>
      <c r="B3546" t="str">
        <f>"1578729377406611"</f>
        <v>1578729377406611</v>
      </c>
      <c r="C3546" t="s">
        <v>37</v>
      </c>
      <c r="D3546">
        <v>5.4316449999999996</v>
      </c>
      <c r="E3546">
        <v>0.52732040000000002</v>
      </c>
      <c r="F3546" t="s">
        <v>59</v>
      </c>
      <c r="G3546">
        <v>-331.6309</v>
      </c>
      <c r="H3546" s="1">
        <v>-6.4917710000000001E-7</v>
      </c>
      <c r="I3546">
        <v>214.16480000000001</v>
      </c>
      <c r="J3546">
        <v>-359.48689999999999</v>
      </c>
      <c r="K3546">
        <v>1.1042639999999999</v>
      </c>
      <c r="L3546">
        <v>214.12970000000001</v>
      </c>
      <c r="M3546">
        <v>0.99994930000000004</v>
      </c>
      <c r="N3546">
        <v>0</v>
      </c>
      <c r="O3546">
        <v>-7.3039089999999999E-3</v>
      </c>
      <c r="P3546">
        <v>0.99699969999999905</v>
      </c>
      <c r="Q3546">
        <v>3.4204980000000003E-2</v>
      </c>
      <c r="R3546">
        <v>6.9437090000000007E-2</v>
      </c>
      <c r="S3546">
        <v>3.012848</v>
      </c>
      <c r="T3546">
        <v>-0.1179702</v>
      </c>
      <c r="U3546">
        <v>3.4942630000000001E-3</v>
      </c>
      <c r="V3546">
        <v>-7.6734040000000003E-2</v>
      </c>
      <c r="W3546">
        <v>4.1078749999999997E-2</v>
      </c>
      <c r="X3546">
        <v>0.99620499999999901</v>
      </c>
      <c r="Y3546">
        <v>-8.4517629999999993E-3</v>
      </c>
      <c r="Z3546">
        <v>4.5128949999999899E-4</v>
      </c>
      <c r="AA3546">
        <v>0.99996419999999997</v>
      </c>
      <c r="AB3546">
        <v>35</v>
      </c>
      <c r="AC3546">
        <v>27.855999999999899</v>
      </c>
      <c r="AD3546">
        <v>-1.1042646491771</v>
      </c>
      <c r="AE3546">
        <v>3.5099999999999902E-2</v>
      </c>
      <c r="AF3546">
        <v>-0.238187335071499</v>
      </c>
      <c r="AG3546">
        <v>-1.1042646491771</v>
      </c>
      <c r="AH3546">
        <v>27.8112957398851</v>
      </c>
      <c r="AI3546">
        <v>92.273686572284305</v>
      </c>
      <c r="AJ3546">
        <v>90.490692541156704</v>
      </c>
      <c r="AK3546">
        <v>27.8342290059086</v>
      </c>
    </row>
    <row r="3547" spans="1:37" x14ac:dyDescent="0.2">
      <c r="A3547" t="str">
        <f>"20200111155617436"</f>
        <v>20200111155617436</v>
      </c>
      <c r="B3547" t="str">
        <f>"1578729377426132"</f>
        <v>1578729377426132</v>
      </c>
      <c r="C3547" t="s">
        <v>37</v>
      </c>
      <c r="D3547">
        <v>5.409313</v>
      </c>
      <c r="E3547">
        <v>0.52803869999999997</v>
      </c>
      <c r="F3547" t="s">
        <v>59</v>
      </c>
      <c r="G3547">
        <v>-331.90769999999998</v>
      </c>
      <c r="H3547" s="1">
        <v>-4.9946909999999998E-7</v>
      </c>
      <c r="I3547">
        <v>214.11</v>
      </c>
      <c r="J3547">
        <v>-359.13369999999998</v>
      </c>
      <c r="K3547">
        <v>1.1042650000000001</v>
      </c>
      <c r="L3547">
        <v>214.12729999999999</v>
      </c>
      <c r="M3547">
        <v>0.99994919999999998</v>
      </c>
      <c r="N3547">
        <v>0</v>
      </c>
      <c r="O3547">
        <v>-7.1103989999999999E-3</v>
      </c>
      <c r="P3547">
        <v>0.99698699999999996</v>
      </c>
      <c r="Q3547">
        <v>3.447364E-2</v>
      </c>
      <c r="R3547">
        <v>6.9490250000000003E-2</v>
      </c>
      <c r="S3547">
        <v>3.013306</v>
      </c>
      <c r="T3547">
        <v>-0.120652</v>
      </c>
      <c r="U3547">
        <v>-2.1514889999999999E-3</v>
      </c>
      <c r="V3547">
        <v>-7.6594659999999995E-2</v>
      </c>
      <c r="W3547">
        <v>4.1591400000000001E-2</v>
      </c>
      <c r="X3547">
        <v>0.99619449999999998</v>
      </c>
      <c r="Y3547">
        <v>-6.3857860000000001E-3</v>
      </c>
      <c r="Z3547">
        <v>4.1238129999999899E-4</v>
      </c>
      <c r="AA3547">
        <v>0.99997950000000002</v>
      </c>
      <c r="AB3547">
        <v>35</v>
      </c>
      <c r="AC3547">
        <v>27.225999999999999</v>
      </c>
      <c r="AD3547">
        <v>-1.1042654994690999</v>
      </c>
      <c r="AE3547">
        <v>-1.7299999999977399E-2</v>
      </c>
      <c r="AF3547">
        <v>-0.176003566340492</v>
      </c>
      <c r="AG3547">
        <v>-1.1042654994690999</v>
      </c>
      <c r="AH3547">
        <v>27.1807210759622</v>
      </c>
      <c r="AI3547">
        <v>92.326415585257905</v>
      </c>
      <c r="AJ3547">
        <v>90.371002688369401</v>
      </c>
      <c r="AK3547">
        <v>27.203712573065101</v>
      </c>
    </row>
    <row r="3548" spans="1:37" x14ac:dyDescent="0.2">
      <c r="A3548" t="str">
        <f>"20200111155617482"</f>
        <v>20200111155617482</v>
      </c>
      <c r="B3548" t="str">
        <f>"1578729377475909"</f>
        <v>1578729377475909</v>
      </c>
      <c r="C3548" t="s">
        <v>37</v>
      </c>
      <c r="D3548">
        <v>5.3486900000000004</v>
      </c>
      <c r="E3548">
        <v>0.52919130000000003</v>
      </c>
      <c r="F3548" t="s">
        <v>59</v>
      </c>
      <c r="G3548">
        <v>-331.73340000000002</v>
      </c>
      <c r="H3548" s="1">
        <v>-5.9004400000000001E-7</v>
      </c>
      <c r="I3548">
        <v>214.05950000000001</v>
      </c>
      <c r="J3548">
        <v>-358.4117</v>
      </c>
      <c r="K3548">
        <v>1.1042590000000001</v>
      </c>
      <c r="L3548">
        <v>214.12260000000001</v>
      </c>
      <c r="M3548">
        <v>0.99994869999999902</v>
      </c>
      <c r="N3548">
        <v>0</v>
      </c>
      <c r="O3548">
        <v>-6.7141340000000001E-3</v>
      </c>
      <c r="P3548">
        <v>0.99699839999999995</v>
      </c>
      <c r="Q3548">
        <v>3.5264030000000002E-2</v>
      </c>
      <c r="R3548">
        <v>6.8927820000000001E-2</v>
      </c>
      <c r="S3548">
        <v>3.0137939999999999</v>
      </c>
      <c r="T3548">
        <v>-0.121459199999999</v>
      </c>
      <c r="U3548">
        <v>-7.4615480000000001E-3</v>
      </c>
      <c r="V3548">
        <v>-7.5637880000000005E-2</v>
      </c>
      <c r="W3548">
        <v>4.2792429999999999E-2</v>
      </c>
      <c r="X3548">
        <v>0.99621669999999996</v>
      </c>
      <c r="Y3548">
        <v>-4.2296879999999997E-3</v>
      </c>
      <c r="Z3548">
        <v>3.5567839999999998E-4</v>
      </c>
      <c r="AA3548">
        <v>0.99999099999999996</v>
      </c>
      <c r="AB3548">
        <v>35</v>
      </c>
      <c r="AC3548">
        <v>26.678299999999901</v>
      </c>
      <c r="AD3548">
        <v>-1.104259590044</v>
      </c>
      <c r="AE3548">
        <v>-6.3099999999991496E-2</v>
      </c>
      <c r="AF3548">
        <v>-0.115829808276149</v>
      </c>
      <c r="AG3548">
        <v>-1.104259590044</v>
      </c>
      <c r="AH3548">
        <v>26.632493885895801</v>
      </c>
      <c r="AI3548">
        <v>92.374264960792104</v>
      </c>
      <c r="AJ3548">
        <v>90.249188729392301</v>
      </c>
      <c r="AK3548">
        <v>26.655628605774201</v>
      </c>
    </row>
    <row r="3549" spans="1:37" x14ac:dyDescent="0.2">
      <c r="A3549" t="str">
        <f>"20200111155617505"</f>
        <v>20200111155617505</v>
      </c>
      <c r="B3549" t="str">
        <f>"1578729377496404"</f>
        <v>1578729377496404</v>
      </c>
      <c r="C3549" t="s">
        <v>37</v>
      </c>
      <c r="D3549">
        <v>5.3545350000000003</v>
      </c>
      <c r="E3549">
        <v>0.52987669999999998</v>
      </c>
      <c r="F3549" t="s">
        <v>59</v>
      </c>
      <c r="G3549">
        <v>-330.93110000000001</v>
      </c>
      <c r="H3549" s="1">
        <v>-1.0124719999999999E-6</v>
      </c>
      <c r="I3549">
        <v>213.95609999999999</v>
      </c>
      <c r="J3549">
        <v>-358.05810000000002</v>
      </c>
      <c r="K3549">
        <v>1.104252</v>
      </c>
      <c r="L3549">
        <v>214.12039999999999</v>
      </c>
      <c r="M3549">
        <v>0.99994869999999902</v>
      </c>
      <c r="N3549">
        <v>0</v>
      </c>
      <c r="O3549">
        <v>-6.5199419999999999E-3</v>
      </c>
      <c r="P3549">
        <v>0.99701219999999902</v>
      </c>
      <c r="Q3549">
        <v>3.5537529999999998E-2</v>
      </c>
      <c r="R3549">
        <v>6.8582690000000002E-2</v>
      </c>
      <c r="S3549">
        <v>3.0145869999999899</v>
      </c>
      <c r="T3549">
        <v>-0.121135799999999</v>
      </c>
      <c r="U3549">
        <v>-1.826477E-2</v>
      </c>
      <c r="V3549">
        <v>-7.5099680000000002E-2</v>
      </c>
      <c r="W3549">
        <v>4.3231190000000003E-2</v>
      </c>
      <c r="X3549">
        <v>0.99623850000000003</v>
      </c>
      <c r="Y3549">
        <v>-4.5583249999999999E-4</v>
      </c>
      <c r="Z3549">
        <v>2.7104400000000002E-4</v>
      </c>
      <c r="AA3549">
        <v>0.99999989999999905</v>
      </c>
      <c r="AB3549">
        <v>35</v>
      </c>
      <c r="AC3549">
        <v>27.126999999999999</v>
      </c>
      <c r="AD3549">
        <v>-1.104253012472</v>
      </c>
      <c r="AE3549">
        <v>-0.164299999999997</v>
      </c>
      <c r="AF3549">
        <v>-1.2554470511202899E-2</v>
      </c>
      <c r="AG3549">
        <v>-1.104253012472</v>
      </c>
      <c r="AH3549">
        <v>27.082619233100601</v>
      </c>
      <c r="AI3549">
        <v>92.334855562026902</v>
      </c>
      <c r="AJ3549">
        <v>90.026560138685099</v>
      </c>
      <c r="AK3549">
        <v>27.105124918645799</v>
      </c>
    </row>
    <row r="3550" spans="1:37" x14ac:dyDescent="0.2">
      <c r="A3550" t="str">
        <f>"20200111155617526"</f>
        <v>20200111155617526</v>
      </c>
      <c r="B3550" t="str">
        <f>"1578729377515924"</f>
        <v>1578729377515924</v>
      </c>
      <c r="C3550" t="s">
        <v>37</v>
      </c>
      <c r="D3550">
        <v>5.36076</v>
      </c>
      <c r="E3550">
        <v>0.53049799999999903</v>
      </c>
      <c r="F3550" t="s">
        <v>59</v>
      </c>
      <c r="G3550">
        <v>-330.7448</v>
      </c>
      <c r="H3550" s="1">
        <v>-1.1090830000000001E-6</v>
      </c>
      <c r="I3550">
        <v>213.89850000000001</v>
      </c>
      <c r="J3550">
        <v>-357.71460000000002</v>
      </c>
      <c r="K3550">
        <v>1.104252</v>
      </c>
      <c r="L3550">
        <v>214.1183</v>
      </c>
      <c r="M3550">
        <v>0.99994899999999998</v>
      </c>
      <c r="N3550">
        <v>0</v>
      </c>
      <c r="O3550">
        <v>-6.33199E-3</v>
      </c>
      <c r="P3550">
        <v>0.99699889999999902</v>
      </c>
      <c r="Q3550">
        <v>3.5907340000000003E-2</v>
      </c>
      <c r="R3550">
        <v>6.8589460000000005E-2</v>
      </c>
      <c r="S3550">
        <v>3.0149840000000001</v>
      </c>
      <c r="T3550">
        <v>-0.12189319999999999</v>
      </c>
      <c r="U3550">
        <v>-2.4490359999999999E-2</v>
      </c>
      <c r="V3550">
        <v>-7.4919379999999994E-2</v>
      </c>
      <c r="W3550">
        <v>4.3741870000000002E-2</v>
      </c>
      <c r="X3550">
        <v>0.99622980000000005</v>
      </c>
      <c r="Y3550">
        <v>1.7941789999999999E-3</v>
      </c>
      <c r="Z3550">
        <v>2.196399E-4</v>
      </c>
      <c r="AA3550">
        <v>0.99999839999999995</v>
      </c>
      <c r="AB3550">
        <v>36</v>
      </c>
      <c r="AC3550">
        <v>26.969799999999999</v>
      </c>
      <c r="AD3550">
        <v>-1.1042531090829999</v>
      </c>
      <c r="AE3550">
        <v>-0.219799999999992</v>
      </c>
      <c r="AF3550">
        <v>4.8935772238021799E-2</v>
      </c>
      <c r="AG3550">
        <v>-1.1042531090829999</v>
      </c>
      <c r="AH3550">
        <v>26.925515741895399</v>
      </c>
      <c r="AI3550">
        <v>92.348460220241904</v>
      </c>
      <c r="AJ3550">
        <v>89.895867913683702</v>
      </c>
      <c r="AK3550">
        <v>26.9481941436858</v>
      </c>
    </row>
    <row r="3551" spans="1:37" x14ac:dyDescent="0.2">
      <c r="A3551" t="str">
        <f>"20200111155617548"</f>
        <v>20200111155617548</v>
      </c>
      <c r="B3551" t="str">
        <f>"1578729377536420"</f>
        <v>1578729377536420</v>
      </c>
      <c r="C3551" t="s">
        <v>37</v>
      </c>
      <c r="D3551">
        <v>5.3897949999999897</v>
      </c>
      <c r="E3551">
        <v>0.53105899999999995</v>
      </c>
      <c r="F3551" t="s">
        <v>59</v>
      </c>
      <c r="G3551">
        <v>-330.49759999999998</v>
      </c>
      <c r="H3551" s="1">
        <v>-1.238588E-6</v>
      </c>
      <c r="I3551">
        <v>213.85249999999999</v>
      </c>
      <c r="J3551">
        <v>-357.3664</v>
      </c>
      <c r="K3551">
        <v>1.1042479999999999</v>
      </c>
      <c r="L3551">
        <v>214.1163</v>
      </c>
      <c r="M3551">
        <v>0.99994899999999998</v>
      </c>
      <c r="N3551">
        <v>0</v>
      </c>
      <c r="O3551">
        <v>-6.1412509999999899E-3</v>
      </c>
      <c r="P3551">
        <v>0.99700580000000005</v>
      </c>
      <c r="Q3551">
        <v>3.5917600000000001E-2</v>
      </c>
      <c r="R3551">
        <v>6.8478029999999995E-2</v>
      </c>
      <c r="S3551">
        <v>3.0155029999999998</v>
      </c>
      <c r="T3551">
        <v>-0.122345699999999</v>
      </c>
      <c r="U3551">
        <v>-2.944946E-2</v>
      </c>
      <c r="V3551">
        <v>-7.4617749999999997E-2</v>
      </c>
      <c r="W3551">
        <v>4.3878590000000002E-2</v>
      </c>
      <c r="X3551">
        <v>0.99624639999999998</v>
      </c>
      <c r="Y3551">
        <v>3.626284E-3</v>
      </c>
      <c r="Z3551">
        <v>1.7552959999999999E-4</v>
      </c>
      <c r="AA3551">
        <v>0.99999340000000003</v>
      </c>
      <c r="AB3551">
        <v>36</v>
      </c>
      <c r="AC3551">
        <v>26.8688</v>
      </c>
      <c r="AD3551">
        <v>-1.1042492385879901</v>
      </c>
      <c r="AE3551">
        <v>-0.26380000000000298</v>
      </c>
      <c r="AF3551">
        <v>9.8615128369898594E-2</v>
      </c>
      <c r="AG3551">
        <v>-1.1042492385879901</v>
      </c>
      <c r="AH3551">
        <v>26.824610161941699</v>
      </c>
      <c r="AI3551">
        <v>92.357264151662804</v>
      </c>
      <c r="AJ3551">
        <v>89.789364871910607</v>
      </c>
      <c r="AK3551">
        <v>26.847510157640599</v>
      </c>
    </row>
    <row r="3552" spans="1:37" x14ac:dyDescent="0.2">
      <c r="A3552" t="str">
        <f>"20200111155617571"</f>
        <v>20200111155617571</v>
      </c>
      <c r="B3552" t="str">
        <f>"1578729377566677"</f>
        <v>1578729377566677</v>
      </c>
      <c r="C3552" t="s">
        <v>37</v>
      </c>
      <c r="D3552">
        <v>5.3771620000000002</v>
      </c>
      <c r="E3552">
        <v>0.53195979999999998</v>
      </c>
      <c r="F3552" t="s">
        <v>59</v>
      </c>
      <c r="G3552">
        <v>-330.41160000000002</v>
      </c>
      <c r="H3552" s="1">
        <v>-1.2826039999999999E-6</v>
      </c>
      <c r="I3552">
        <v>213.8116</v>
      </c>
      <c r="J3552">
        <v>-356.99849999999998</v>
      </c>
      <c r="K3552">
        <v>1.1042399999999899</v>
      </c>
      <c r="L3552">
        <v>214.11420000000001</v>
      </c>
      <c r="M3552">
        <v>0.99994930000000004</v>
      </c>
      <c r="N3552">
        <v>0</v>
      </c>
      <c r="O3552">
        <v>-5.9399930000000002E-3</v>
      </c>
      <c r="P3552">
        <v>0.99700489999999997</v>
      </c>
      <c r="Q3552">
        <v>3.5586760000000002E-2</v>
      </c>
      <c r="R3552">
        <v>6.8666550000000007E-2</v>
      </c>
      <c r="S3552">
        <v>3.0158079999999998</v>
      </c>
      <c r="T3552">
        <v>-0.12354759999999999</v>
      </c>
      <c r="U3552">
        <v>-3.4088130000000001E-2</v>
      </c>
      <c r="V3552">
        <v>-7.4606110000000003E-2</v>
      </c>
      <c r="W3552">
        <v>4.3664700000000001E-2</v>
      </c>
      <c r="X3552">
        <v>0.99625659999999905</v>
      </c>
      <c r="Y3552">
        <v>5.3629039999999999E-3</v>
      </c>
      <c r="Z3552">
        <v>1.334362E-4</v>
      </c>
      <c r="AA3552">
        <v>0.99998560000000003</v>
      </c>
      <c r="AB3552">
        <v>36</v>
      </c>
      <c r="AC3552">
        <v>26.586899999999901</v>
      </c>
      <c r="AD3552">
        <v>-1.10424128260399</v>
      </c>
      <c r="AE3552">
        <v>-0.30260000000001203</v>
      </c>
      <c r="AF3552">
        <v>0.14441435602057101</v>
      </c>
      <c r="AG3552">
        <v>-1.10424128260399</v>
      </c>
      <c r="AH3552">
        <v>26.542448269287199</v>
      </c>
      <c r="AI3552">
        <v>92.382258256146898</v>
      </c>
      <c r="AJ3552">
        <v>89.688263442405599</v>
      </c>
      <c r="AK3552">
        <v>26.565800655056901</v>
      </c>
    </row>
    <row r="3553" spans="1:37" x14ac:dyDescent="0.2">
      <c r="A3553" t="str">
        <f>"20200111155617585"</f>
        <v>20200111155617585</v>
      </c>
      <c r="B3553" t="str">
        <f>"1578729377576437"</f>
        <v>1578729377576437</v>
      </c>
      <c r="C3553" t="s">
        <v>37</v>
      </c>
      <c r="D3553">
        <v>5.3789920000000002</v>
      </c>
      <c r="E3553">
        <v>0.53227170000000001</v>
      </c>
      <c r="F3553" t="s">
        <v>59</v>
      </c>
      <c r="G3553">
        <v>-330.74250000000001</v>
      </c>
      <c r="H3553" s="1">
        <v>-1.1042959999999901E-6</v>
      </c>
      <c r="I3553">
        <v>213.76079999999999</v>
      </c>
      <c r="J3553">
        <v>-356.7679</v>
      </c>
      <c r="K3553">
        <v>1.1042350000000001</v>
      </c>
      <c r="L3553">
        <v>214.1129</v>
      </c>
      <c r="M3553">
        <v>0.99994950000000005</v>
      </c>
      <c r="N3553">
        <v>0</v>
      </c>
      <c r="O3553">
        <v>-5.8138819999999898E-3</v>
      </c>
      <c r="P3553">
        <v>0.99699210000000005</v>
      </c>
      <c r="Q3553">
        <v>3.5858139999999997E-2</v>
      </c>
      <c r="R3553">
        <v>6.8711030000000006E-2</v>
      </c>
      <c r="S3553">
        <v>3.016327</v>
      </c>
      <c r="T3553">
        <v>-0.12685669999999999</v>
      </c>
      <c r="U3553">
        <v>-4.0603640000000003E-2</v>
      </c>
      <c r="V3553">
        <v>-7.4524720000000003E-2</v>
      </c>
      <c r="W3553">
        <v>4.4001499999999999E-2</v>
      </c>
      <c r="X3553">
        <v>0.99624789999999996</v>
      </c>
      <c r="Y3553">
        <v>7.6446689999999998E-3</v>
      </c>
      <c r="Z3553" s="1">
        <v>8.3721880000000001E-5</v>
      </c>
      <c r="AA3553">
        <v>0.99997080000000005</v>
      </c>
      <c r="AB3553">
        <v>36</v>
      </c>
      <c r="AC3553">
        <v>26.025399999999902</v>
      </c>
      <c r="AD3553">
        <v>-1.1042361042960001</v>
      </c>
      <c r="AE3553">
        <v>-0.35210000000000702</v>
      </c>
      <c r="AF3553">
        <v>0.20041962402543501</v>
      </c>
      <c r="AG3553">
        <v>-1.1042361042960001</v>
      </c>
      <c r="AH3553">
        <v>25.980245285696402</v>
      </c>
      <c r="AI3553">
        <v>92.4337003733405</v>
      </c>
      <c r="AJ3553">
        <v>89.558011455257102</v>
      </c>
      <c r="AK3553">
        <v>26.004473663288699</v>
      </c>
    </row>
    <row r="3554" spans="1:37" x14ac:dyDescent="0.2">
      <c r="A3554" t="str">
        <f>"20200111155617605"</f>
        <v>20200111155617605</v>
      </c>
      <c r="B3554" t="str">
        <f>"1578729377596236"</f>
        <v>1578729377596236</v>
      </c>
      <c r="C3554" t="s">
        <v>37</v>
      </c>
      <c r="D3554">
        <v>5.3502140000000002</v>
      </c>
      <c r="E3554">
        <v>0.53287499999999999</v>
      </c>
      <c r="F3554" t="s">
        <v>59</v>
      </c>
      <c r="G3554">
        <v>-330.50450000000001</v>
      </c>
      <c r="H3554" s="1">
        <v>-1.22998E-6</v>
      </c>
      <c r="I3554">
        <v>213.73949999999999</v>
      </c>
      <c r="J3554">
        <v>-356.46600000000001</v>
      </c>
      <c r="K3554">
        <v>1.1042339999999999</v>
      </c>
      <c r="L3554">
        <v>214.1113</v>
      </c>
      <c r="M3554">
        <v>0.9999498</v>
      </c>
      <c r="N3554">
        <v>0</v>
      </c>
      <c r="O3554">
        <v>-5.6488409999999999E-3</v>
      </c>
      <c r="P3554">
        <v>0.99702409999999997</v>
      </c>
      <c r="Q3554">
        <v>3.5101449999999999E-2</v>
      </c>
      <c r="R3554">
        <v>6.863611E-2</v>
      </c>
      <c r="S3554">
        <v>3.0166019999999998</v>
      </c>
      <c r="T3554">
        <v>-0.1268321</v>
      </c>
      <c r="U3554">
        <v>-4.289246E-2</v>
      </c>
      <c r="V3554">
        <v>-7.4285110000000001E-2</v>
      </c>
      <c r="W3554">
        <v>4.3322649999999997E-2</v>
      </c>
      <c r="X3554">
        <v>0.99629559999999995</v>
      </c>
      <c r="Y3554">
        <v>8.5660960000000005E-3</v>
      </c>
      <c r="Z3554" s="1">
        <v>5.7400869999999898E-5</v>
      </c>
      <c r="AA3554">
        <v>0.9999633</v>
      </c>
      <c r="AB3554">
        <v>36</v>
      </c>
      <c r="AC3554">
        <v>25.961500000000001</v>
      </c>
      <c r="AD3554">
        <v>-1.10423522998</v>
      </c>
      <c r="AE3554">
        <v>-0.37180000000000701</v>
      </c>
      <c r="AF3554">
        <v>0.224730182738826</v>
      </c>
      <c r="AG3554">
        <v>-1.10423522998</v>
      </c>
      <c r="AH3554">
        <v>25.9163103737169</v>
      </c>
      <c r="AI3554">
        <v>92.439675972879201</v>
      </c>
      <c r="AJ3554">
        <v>89.503178959539596</v>
      </c>
      <c r="AK3554">
        <v>25.940797645504102</v>
      </c>
    </row>
    <row r="3555" spans="1:37" x14ac:dyDescent="0.2">
      <c r="A3555" t="str">
        <f>"20200111155617927"</f>
        <v>20200111155617927</v>
      </c>
      <c r="B3555" t="str">
        <f>"1578729377915934"</f>
        <v>1578729377915934</v>
      </c>
      <c r="C3555" t="s">
        <v>37</v>
      </c>
      <c r="D3555">
        <v>5.1581060000000001</v>
      </c>
      <c r="E3555">
        <v>0.53296379999999999</v>
      </c>
      <c r="F3555" t="s">
        <v>59</v>
      </c>
      <c r="G3555">
        <v>-330.9923</v>
      </c>
      <c r="H3555" s="1">
        <v>-9.6905049999999997E-7</v>
      </c>
      <c r="I3555">
        <v>213.70820000000001</v>
      </c>
      <c r="J3555">
        <v>-351.22519999999997</v>
      </c>
      <c r="K3555">
        <v>1.1042799999999999</v>
      </c>
      <c r="L3555">
        <v>214.09129999999999</v>
      </c>
      <c r="M3555">
        <v>0.99995679999999998</v>
      </c>
      <c r="N3555">
        <v>0</v>
      </c>
      <c r="O3555">
        <v>-2.7890300000000001E-3</v>
      </c>
      <c r="P3555">
        <v>0.99681139999999901</v>
      </c>
      <c r="Q3555">
        <v>3.3631550000000003E-2</v>
      </c>
      <c r="R3555">
        <v>7.2362270000000006E-2</v>
      </c>
      <c r="S3555">
        <v>3.0168149999999998</v>
      </c>
      <c r="T3555">
        <v>-0.1307729</v>
      </c>
      <c r="U3555">
        <v>-4.7744750000000002E-2</v>
      </c>
      <c r="V3555">
        <v>-7.5161099999999995E-2</v>
      </c>
      <c r="W3555">
        <v>4.2447989999999998E-2</v>
      </c>
      <c r="X3555">
        <v>0.99626749999999997</v>
      </c>
      <c r="Y3555">
        <v>1.3025770000000001E-2</v>
      </c>
      <c r="Z3555">
        <v>-1.6133179999999999E-4</v>
      </c>
      <c r="AA3555">
        <v>0.99991509999999995</v>
      </c>
      <c r="AB3555">
        <v>37</v>
      </c>
      <c r="AC3555">
        <v>20.232899999999901</v>
      </c>
      <c r="AD3555">
        <v>-1.1042809690505</v>
      </c>
      <c r="AE3555">
        <v>-0.38309999999998401</v>
      </c>
      <c r="AF3555">
        <v>0.325696286519503</v>
      </c>
      <c r="AG3555">
        <v>-1.1042809690505</v>
      </c>
      <c r="AH3555">
        <v>20.1738173741862</v>
      </c>
      <c r="AI3555">
        <v>93.132740794102503</v>
      </c>
      <c r="AJ3555">
        <v>89.075068380607306</v>
      </c>
      <c r="AK3555">
        <v>20.206643016015299</v>
      </c>
    </row>
    <row r="3556" spans="1:37" x14ac:dyDescent="0.2">
      <c r="A3556" t="str">
        <f>"20200111155617951"</f>
        <v>20200111155617951</v>
      </c>
      <c r="B3556" t="str">
        <f>"1578729377946190"</f>
        <v>1578729377946190</v>
      </c>
      <c r="C3556" t="s">
        <v>37</v>
      </c>
      <c r="D3556">
        <v>5.2840800000000003</v>
      </c>
      <c r="E3556">
        <v>0.53255169999999996</v>
      </c>
      <c r="F3556" t="s">
        <v>59</v>
      </c>
      <c r="G3556">
        <v>-326.5215</v>
      </c>
      <c r="H3556" s="1">
        <v>1.9336209999999999E-6</v>
      </c>
      <c r="I3556">
        <v>213.7884</v>
      </c>
      <c r="J3556">
        <v>-350.84640000000002</v>
      </c>
      <c r="K3556">
        <v>1.104282</v>
      </c>
      <c r="L3556">
        <v>214.09039999999999</v>
      </c>
      <c r="M3556">
        <v>0.99995710000000004</v>
      </c>
      <c r="N3556">
        <v>0</v>
      </c>
      <c r="O3556">
        <v>-2.5825169999999999E-3</v>
      </c>
      <c r="P3556">
        <v>0.99681699999999995</v>
      </c>
      <c r="Q3556">
        <v>3.3614579999999998E-2</v>
      </c>
      <c r="R3556">
        <v>7.2292640000000005E-2</v>
      </c>
      <c r="S3556">
        <v>3.0168459999999899</v>
      </c>
      <c r="T3556">
        <v>-0.1348557</v>
      </c>
      <c r="U3556">
        <v>-3.6987300000000001E-2</v>
      </c>
      <c r="V3556">
        <v>-7.488554E-2</v>
      </c>
      <c r="W3556">
        <v>4.2449899999999999E-2</v>
      </c>
      <c r="X3556">
        <v>0.99628819999999996</v>
      </c>
      <c r="Y3556">
        <v>9.6697959999999996E-3</v>
      </c>
      <c r="Z3556">
        <v>-1.00625499999999E-4</v>
      </c>
      <c r="AA3556">
        <v>0.99995330000000004</v>
      </c>
      <c r="AB3556">
        <v>37</v>
      </c>
      <c r="AC3556">
        <v>24.3249</v>
      </c>
      <c r="AD3556">
        <v>-1.104280066379</v>
      </c>
      <c r="AE3556">
        <v>-0.301999999999992</v>
      </c>
      <c r="AF3556">
        <v>0.23868520962539799</v>
      </c>
      <c r="AG3556">
        <v>-1.104280066379</v>
      </c>
      <c r="AH3556">
        <v>24.2755770687031</v>
      </c>
      <c r="AI3556">
        <v>92.604426160962504</v>
      </c>
      <c r="AJ3556">
        <v>89.436667790226906</v>
      </c>
      <c r="AK3556">
        <v>24.301852750620501</v>
      </c>
    </row>
    <row r="3557" spans="1:37" x14ac:dyDescent="0.2">
      <c r="A3557" t="str">
        <f>"20200111155617973"</f>
        <v>20200111155617973</v>
      </c>
      <c r="B3557" t="str">
        <f>"1578729377965710"</f>
        <v>1578729377965710</v>
      </c>
      <c r="C3557" t="s">
        <v>37</v>
      </c>
      <c r="D3557">
        <v>5.2064300000000001</v>
      </c>
      <c r="E3557">
        <v>0.53225219999999995</v>
      </c>
      <c r="F3557" t="s">
        <v>59</v>
      </c>
      <c r="G3557">
        <v>-326.27659999999997</v>
      </c>
      <c r="H3557" s="1">
        <v>1.8033059999999999E-6</v>
      </c>
      <c r="I3557">
        <v>213.81549999999999</v>
      </c>
      <c r="J3557">
        <v>-350.47039999999998</v>
      </c>
      <c r="K3557">
        <v>1.1042799999999999</v>
      </c>
      <c r="L3557">
        <v>214.08959999999999</v>
      </c>
      <c r="M3557">
        <v>0.9999574</v>
      </c>
      <c r="N3557">
        <v>0</v>
      </c>
      <c r="O3557">
        <v>-2.3776660000000001E-3</v>
      </c>
      <c r="P3557">
        <v>0.996807</v>
      </c>
      <c r="Q3557">
        <v>3.3767940000000003E-2</v>
      </c>
      <c r="R3557">
        <v>7.2356879999999998E-2</v>
      </c>
      <c r="S3557">
        <v>3.016632</v>
      </c>
      <c r="T3557">
        <v>-0.13558129999999999</v>
      </c>
      <c r="U3557">
        <v>-3.3752440000000002E-2</v>
      </c>
      <c r="V3557">
        <v>-7.4745820000000004E-2</v>
      </c>
      <c r="W3557">
        <v>4.261997E-2</v>
      </c>
      <c r="X3557">
        <v>0.99629140000000005</v>
      </c>
      <c r="Y3557">
        <v>8.8039529999999998E-3</v>
      </c>
      <c r="Z3557" s="1">
        <v>-9.0929290000000003E-5</v>
      </c>
      <c r="AA3557">
        <v>0.99996130000000005</v>
      </c>
      <c r="AB3557">
        <v>37</v>
      </c>
      <c r="AC3557">
        <v>24.1938</v>
      </c>
      <c r="AD3557">
        <v>-1.1042781966939901</v>
      </c>
      <c r="AE3557">
        <v>-0.27410000000000401</v>
      </c>
      <c r="AF3557">
        <v>0.21612197541808201</v>
      </c>
      <c r="AG3557">
        <v>-1.1042781966939901</v>
      </c>
      <c r="AH3557">
        <v>24.144090768718598</v>
      </c>
      <c r="AI3557">
        <v>92.618607122729998</v>
      </c>
      <c r="AJ3557">
        <v>89.4871396709935</v>
      </c>
      <c r="AK3557">
        <v>24.1702970211802</v>
      </c>
    </row>
    <row r="3558" spans="1:37" x14ac:dyDescent="0.2">
      <c r="A3558" t="str">
        <f>"20200111155617996"</f>
        <v>20200111155617996</v>
      </c>
      <c r="B3558" t="str">
        <f>"1578729377986206"</f>
        <v>1578729377986206</v>
      </c>
      <c r="C3558" t="s">
        <v>37</v>
      </c>
      <c r="D3558">
        <v>5.2626249999999999</v>
      </c>
      <c r="E3558">
        <v>0.53200009999999998</v>
      </c>
      <c r="F3558" t="s">
        <v>59</v>
      </c>
      <c r="G3558">
        <v>-325.93079999999998</v>
      </c>
      <c r="H3558" s="1">
        <v>1.6192939999999999E-6</v>
      </c>
      <c r="I3558">
        <v>213.83750000000001</v>
      </c>
      <c r="J3558">
        <v>-350.0985</v>
      </c>
      <c r="K3558">
        <v>1.104282</v>
      </c>
      <c r="L3558">
        <v>214.0889</v>
      </c>
      <c r="M3558">
        <v>0.99995780000000001</v>
      </c>
      <c r="N3558">
        <v>0</v>
      </c>
      <c r="O3558">
        <v>-2.1756689999999999E-3</v>
      </c>
      <c r="P3558">
        <v>0.99675659999999899</v>
      </c>
      <c r="Q3558">
        <v>3.361894E-2</v>
      </c>
      <c r="R3558">
        <v>7.3118219999999998E-2</v>
      </c>
      <c r="S3558">
        <v>3.0164789999999999</v>
      </c>
      <c r="T3558">
        <v>-0.13574120000000001</v>
      </c>
      <c r="U3558">
        <v>-3.09906E-2</v>
      </c>
      <c r="V3558">
        <v>-7.5305860000000002E-2</v>
      </c>
      <c r="W3558">
        <v>4.2486099999999999E-2</v>
      </c>
      <c r="X3558">
        <v>0.996254999999999</v>
      </c>
      <c r="Y3558">
        <v>8.0915729999999995E-3</v>
      </c>
      <c r="Z3558" s="1">
        <v>-8.4106659999999894E-5</v>
      </c>
      <c r="AA3558">
        <v>0.9999673</v>
      </c>
      <c r="AB3558">
        <v>37</v>
      </c>
      <c r="AC3558">
        <v>24.1677</v>
      </c>
      <c r="AD3558">
        <v>-1.104280380706</v>
      </c>
      <c r="AE3558">
        <v>-0.25139999999998902</v>
      </c>
      <c r="AF3558">
        <v>0.19840221616475401</v>
      </c>
      <c r="AG3558">
        <v>-1.104280380706</v>
      </c>
      <c r="AH3558">
        <v>24.117842093767401</v>
      </c>
      <c r="AI3558">
        <v>92.621474589157998</v>
      </c>
      <c r="AJ3558">
        <v>89.528674531853696</v>
      </c>
      <c r="AK3558">
        <v>24.143924822996102</v>
      </c>
    </row>
    <row r="3559" spans="1:37" x14ac:dyDescent="0.2">
      <c r="A3559" t="str">
        <f>"20200111155618017"</f>
        <v>20200111155618017</v>
      </c>
      <c r="B3559" t="str">
        <f>"1578729378005726"</f>
        <v>1578729378005726</v>
      </c>
      <c r="C3559" t="s">
        <v>37</v>
      </c>
      <c r="D3559">
        <v>5.3033000000000001</v>
      </c>
      <c r="E3559">
        <v>0.53175950000000005</v>
      </c>
      <c r="F3559" t="s">
        <v>59</v>
      </c>
      <c r="G3559">
        <v>-325.75689999999997</v>
      </c>
      <c r="H3559" s="1">
        <v>1.5267429999999901E-6</v>
      </c>
      <c r="I3559">
        <v>213.87360000000001</v>
      </c>
      <c r="J3559">
        <v>-349.74990000000003</v>
      </c>
      <c r="K3559">
        <v>1.104282</v>
      </c>
      <c r="L3559">
        <v>214.0883</v>
      </c>
      <c r="M3559">
        <v>0.99995800000000001</v>
      </c>
      <c r="N3559">
        <v>0</v>
      </c>
      <c r="O3559">
        <v>-1.9860629999999902E-3</v>
      </c>
      <c r="P3559">
        <v>0.99665579999999998</v>
      </c>
      <c r="Q3559">
        <v>3.444477E-2</v>
      </c>
      <c r="R3559">
        <v>7.410137E-2</v>
      </c>
      <c r="S3559">
        <v>3.0162659999999999</v>
      </c>
      <c r="T3559">
        <v>-0.13683589999999901</v>
      </c>
      <c r="U3559">
        <v>-2.6687619999999999E-2</v>
      </c>
      <c r="V3559">
        <v>-7.6099780000000006E-2</v>
      </c>
      <c r="W3559">
        <v>4.3323609999999999E-2</v>
      </c>
      <c r="X3559">
        <v>0.99615849999999995</v>
      </c>
      <c r="Y3559">
        <v>6.856465E-3</v>
      </c>
      <c r="Z3559" s="1">
        <v>-6.5387209999999895E-5</v>
      </c>
      <c r="AA3559">
        <v>0.99997649999999905</v>
      </c>
      <c r="AB3559">
        <v>37</v>
      </c>
      <c r="AC3559">
        <v>23.992999999999999</v>
      </c>
      <c r="AD3559">
        <v>-1.104280473257</v>
      </c>
      <c r="AE3559">
        <v>-0.21469999999999301</v>
      </c>
      <c r="AF3559">
        <v>0.16669298024471299</v>
      </c>
      <c r="AG3559">
        <v>-1.104280473257</v>
      </c>
      <c r="AH3559">
        <v>23.942665156485202</v>
      </c>
      <c r="AI3559">
        <v>92.640653140294106</v>
      </c>
      <c r="AJ3559">
        <v>89.601103307861493</v>
      </c>
      <c r="AK3559">
        <v>23.968697017335899</v>
      </c>
    </row>
    <row r="3560" spans="1:37" x14ac:dyDescent="0.2">
      <c r="A3560" t="str">
        <f>"20200111155618039"</f>
        <v>20200111155618039</v>
      </c>
      <c r="B3560" t="str">
        <f>"1578729378035981"</f>
        <v>1578729378035981</v>
      </c>
      <c r="C3560" t="s">
        <v>37</v>
      </c>
      <c r="D3560">
        <v>5.2821730000000002</v>
      </c>
      <c r="E3560">
        <v>0.53137789999999996</v>
      </c>
      <c r="F3560" t="s">
        <v>59</v>
      </c>
      <c r="G3560">
        <v>-325.0865</v>
      </c>
      <c r="H3560" s="1">
        <v>1.1699639999999899E-6</v>
      </c>
      <c r="I3560">
        <v>213.90870000000001</v>
      </c>
      <c r="J3560">
        <v>-349.38299999999998</v>
      </c>
      <c r="K3560">
        <v>1.10429</v>
      </c>
      <c r="L3560">
        <v>214.08779999999999</v>
      </c>
      <c r="M3560">
        <v>0.99995820000000002</v>
      </c>
      <c r="N3560">
        <v>0</v>
      </c>
      <c r="O3560">
        <v>-1.7867999999999901E-3</v>
      </c>
      <c r="P3560">
        <v>0.99659730000000002</v>
      </c>
      <c r="Q3560">
        <v>3.453966E-2</v>
      </c>
      <c r="R3560">
        <v>7.4839439999999993E-2</v>
      </c>
      <c r="S3560">
        <v>3.0163880000000001</v>
      </c>
      <c r="T3560">
        <v>-0.1350557</v>
      </c>
      <c r="U3560">
        <v>-2.1972660000000001E-2</v>
      </c>
      <c r="V3560">
        <v>-7.6639479999999996E-2</v>
      </c>
      <c r="W3560">
        <v>4.3431749999999998E-2</v>
      </c>
      <c r="X3560">
        <v>0.99611249999999996</v>
      </c>
      <c r="Y3560">
        <v>5.4936849999999999E-3</v>
      </c>
      <c r="Z3560" s="1">
        <v>-4.2959769999999999E-5</v>
      </c>
      <c r="AA3560">
        <v>0.99998489999999995</v>
      </c>
      <c r="AB3560">
        <v>37</v>
      </c>
      <c r="AC3560">
        <v>24.296500000000002</v>
      </c>
      <c r="AD3560">
        <v>-1.1042888300360001</v>
      </c>
      <c r="AE3560">
        <v>-0.179099999999976</v>
      </c>
      <c r="AF3560">
        <v>0.13540528407258801</v>
      </c>
      <c r="AG3560">
        <v>-1.1042888300360001</v>
      </c>
      <c r="AH3560">
        <v>24.2466963300533</v>
      </c>
      <c r="AI3560">
        <v>92.607629991989398</v>
      </c>
      <c r="AJ3560">
        <v>89.680035970786506</v>
      </c>
      <c r="AK3560">
        <v>24.2722077968387</v>
      </c>
    </row>
    <row r="3561" spans="1:37" x14ac:dyDescent="0.2">
      <c r="A3561" t="str">
        <f>"20200111155618062"</f>
        <v>20200111155618062</v>
      </c>
      <c r="B3561" t="str">
        <f>"1578729378056478"</f>
        <v>1578729378056478</v>
      </c>
      <c r="C3561" t="s">
        <v>37</v>
      </c>
      <c r="D3561">
        <v>5.3364379999999896</v>
      </c>
      <c r="E3561">
        <v>0.53113129999999997</v>
      </c>
      <c r="F3561" t="s">
        <v>59</v>
      </c>
      <c r="G3561">
        <v>-324.837999999999</v>
      </c>
      <c r="H3561" s="1">
        <v>1.0377259999999999E-6</v>
      </c>
      <c r="I3561">
        <v>213.95269999999999</v>
      </c>
      <c r="J3561">
        <v>-348.99900000000002</v>
      </c>
      <c r="K3561">
        <v>1.1042940000000001</v>
      </c>
      <c r="L3561">
        <v>214.0873</v>
      </c>
      <c r="M3561">
        <v>0.99995859999999903</v>
      </c>
      <c r="N3561">
        <v>0</v>
      </c>
      <c r="O3561">
        <v>-1.578119E-3</v>
      </c>
      <c r="P3561">
        <v>0.99653950000000002</v>
      </c>
      <c r="Q3561">
        <v>3.4658609999999999E-2</v>
      </c>
      <c r="R3561">
        <v>7.5551549999999995E-2</v>
      </c>
      <c r="S3561">
        <v>3.0161739999999999</v>
      </c>
      <c r="T3561">
        <v>-0.1356986</v>
      </c>
      <c r="U3561">
        <v>-1.6601560000000001E-2</v>
      </c>
      <c r="V3561">
        <v>-7.7143929999999999E-2</v>
      </c>
      <c r="W3561">
        <v>4.3563240000000003E-2</v>
      </c>
      <c r="X3561">
        <v>0.99606779999999995</v>
      </c>
      <c r="Y3561">
        <v>3.9235579999999997E-3</v>
      </c>
      <c r="Z3561" s="1">
        <v>-1.7249359999999998E-5</v>
      </c>
      <c r="AA3561">
        <v>0.99999229999999995</v>
      </c>
      <c r="AB3561">
        <v>37</v>
      </c>
      <c r="AC3561">
        <v>24.161000000000001</v>
      </c>
      <c r="AD3561">
        <v>-1.1042929622740001</v>
      </c>
      <c r="AE3561">
        <v>-0.13460000000000599</v>
      </c>
      <c r="AF3561">
        <v>9.6268269761265401E-2</v>
      </c>
      <c r="AG3561">
        <v>-1.1042929622740001</v>
      </c>
      <c r="AH3561">
        <v>24.110816361142899</v>
      </c>
      <c r="AI3561">
        <v>92.622334967881201</v>
      </c>
      <c r="AJ3561">
        <v>89.771233948894405</v>
      </c>
      <c r="AK3561">
        <v>24.136283809382299</v>
      </c>
    </row>
    <row r="3562" spans="1:37" x14ac:dyDescent="0.2">
      <c r="A3562" t="str">
        <f>"20200111155618084"</f>
        <v>20200111155618084</v>
      </c>
      <c r="B3562" t="str">
        <f>"1578729378075998"</f>
        <v>1578729378075998</v>
      </c>
      <c r="C3562" t="s">
        <v>37</v>
      </c>
      <c r="D3562">
        <v>5.3796660000000003</v>
      </c>
      <c r="E3562">
        <v>0.53089459999999999</v>
      </c>
      <c r="F3562" t="s">
        <v>59</v>
      </c>
      <c r="G3562">
        <v>-324.47570000000002</v>
      </c>
      <c r="H3562" s="1">
        <v>8.4497119999999999E-7</v>
      </c>
      <c r="I3562">
        <v>213.98660000000001</v>
      </c>
      <c r="J3562">
        <v>-348.63099999999997</v>
      </c>
      <c r="K3562">
        <v>1.1042989999999999</v>
      </c>
      <c r="L3562">
        <v>214.08690000000001</v>
      </c>
      <c r="M3562">
        <v>0.99995869999999998</v>
      </c>
      <c r="N3562">
        <v>0</v>
      </c>
      <c r="O3562">
        <v>-1.3782550000000001E-3</v>
      </c>
      <c r="P3562">
        <v>0.99654310000000002</v>
      </c>
      <c r="Q3562">
        <v>3.4822529999999997E-2</v>
      </c>
      <c r="R3562">
        <v>7.5427809999999998E-2</v>
      </c>
      <c r="S3562">
        <v>3.0161129999999998</v>
      </c>
      <c r="T3562">
        <v>-0.13581689999999999</v>
      </c>
      <c r="U3562">
        <v>-1.237488E-2</v>
      </c>
      <c r="V3562">
        <v>-7.6821299999999995E-2</v>
      </c>
      <c r="W3562">
        <v>4.3739010000000002E-2</v>
      </c>
      <c r="X3562">
        <v>0.996085</v>
      </c>
      <c r="Y3562">
        <v>2.723222E-3</v>
      </c>
      <c r="Z3562" s="1">
        <v>7.5155549999999997E-7</v>
      </c>
      <c r="AA3562">
        <v>0.99999629999999995</v>
      </c>
      <c r="AB3562">
        <v>37</v>
      </c>
      <c r="AC3562">
        <v>24.155299999999901</v>
      </c>
      <c r="AD3562">
        <v>-1.1042981550288</v>
      </c>
      <c r="AE3562">
        <v>-0.100300000000004</v>
      </c>
      <c r="AF3562">
        <v>6.6866648946921001E-2</v>
      </c>
      <c r="AG3562">
        <v>-1.1042981550288</v>
      </c>
      <c r="AH3562">
        <v>24.1050364643908</v>
      </c>
      <c r="AI3562">
        <v>92.622985989906596</v>
      </c>
      <c r="AJ3562">
        <v>89.841063631922097</v>
      </c>
      <c r="AK3562">
        <v>24.130410864996701</v>
      </c>
    </row>
    <row r="3563" spans="1:37" x14ac:dyDescent="0.2">
      <c r="A3563" t="str">
        <f>"20200111155618106"</f>
        <v>20200111155618106</v>
      </c>
      <c r="B3563" t="str">
        <f>"1578729378096025"</f>
        <v>1578729378096025</v>
      </c>
      <c r="C3563" t="s">
        <v>37</v>
      </c>
      <c r="D3563">
        <v>5.3158890000000003</v>
      </c>
      <c r="E3563">
        <v>0.53069809999999995</v>
      </c>
      <c r="F3563" t="s">
        <v>59</v>
      </c>
      <c r="G3563">
        <v>-324.1232</v>
      </c>
      <c r="H3563" s="1">
        <v>6.5735019999999897E-7</v>
      </c>
      <c r="I3563">
        <v>213.9984</v>
      </c>
      <c r="J3563">
        <v>-348.26729999999998</v>
      </c>
      <c r="K3563">
        <v>1.1043019999999999</v>
      </c>
      <c r="L3563">
        <v>214.0865</v>
      </c>
      <c r="M3563">
        <v>0.99995889999999998</v>
      </c>
      <c r="N3563">
        <v>0</v>
      </c>
      <c r="O3563">
        <v>-1.1807739999999899E-3</v>
      </c>
      <c r="P3563">
        <v>0.99649560000000004</v>
      </c>
      <c r="Q3563">
        <v>3.5797460000000003E-2</v>
      </c>
      <c r="R3563">
        <v>7.5598609999999997E-2</v>
      </c>
      <c r="S3563">
        <v>3.0159910000000001</v>
      </c>
      <c r="T3563">
        <v>-0.13589760000000001</v>
      </c>
      <c r="U3563">
        <v>-1.089478E-2</v>
      </c>
      <c r="V3563">
        <v>-7.6795630000000004E-2</v>
      </c>
      <c r="W3563">
        <v>4.4725099999999997E-2</v>
      </c>
      <c r="X3563">
        <v>0.99604319999999902</v>
      </c>
      <c r="Y3563">
        <v>2.4302289999999999E-3</v>
      </c>
      <c r="Z3563" s="1">
        <v>-1.544453E-6</v>
      </c>
      <c r="AA3563">
        <v>0.99999699999999903</v>
      </c>
      <c r="AB3563">
        <v>37</v>
      </c>
      <c r="AC3563">
        <v>24.144099999999899</v>
      </c>
      <c r="AD3563">
        <v>-1.1043013426498001</v>
      </c>
      <c r="AE3563">
        <v>-8.8099999999997097E-2</v>
      </c>
      <c r="AF3563">
        <v>5.9465663095624101E-2</v>
      </c>
      <c r="AG3563">
        <v>-1.1043013426498001</v>
      </c>
      <c r="AH3563">
        <v>24.093784660503299</v>
      </c>
      <c r="AI3563">
        <v>92.624218878388902</v>
      </c>
      <c r="AJ3563">
        <v>89.858589065553303</v>
      </c>
      <c r="AK3563">
        <v>24.1191516618468</v>
      </c>
    </row>
    <row r="3564" spans="1:37" x14ac:dyDescent="0.2">
      <c r="A3564" t="str">
        <f>"20200111155618130"</f>
        <v>20200111155618130</v>
      </c>
      <c r="B3564" t="str">
        <f>"1578729378126282"</f>
        <v>1578729378126282</v>
      </c>
      <c r="C3564" t="s">
        <v>37</v>
      </c>
      <c r="D3564">
        <v>5.2762019999999996</v>
      </c>
      <c r="E3564">
        <v>0.53038219999999903</v>
      </c>
      <c r="F3564" t="s">
        <v>59</v>
      </c>
      <c r="G3564">
        <v>-323.36970000000002</v>
      </c>
      <c r="H3564" s="1">
        <v>2.5639409999999998E-7</v>
      </c>
      <c r="I3564">
        <v>214.01410000000001</v>
      </c>
      <c r="J3564">
        <v>-347.87889999999999</v>
      </c>
      <c r="K3564">
        <v>1.104303</v>
      </c>
      <c r="L3564">
        <v>214.08629999999999</v>
      </c>
      <c r="M3564">
        <v>0.99995889999999998</v>
      </c>
      <c r="N3564">
        <v>0</v>
      </c>
      <c r="O3564">
        <v>-9.6970420000000001E-4</v>
      </c>
      <c r="P3564">
        <v>0.99651239999999996</v>
      </c>
      <c r="Q3564">
        <v>3.6078499999999999E-2</v>
      </c>
      <c r="R3564">
        <v>7.5242299999999998E-2</v>
      </c>
      <c r="S3564">
        <v>3.0160520000000002</v>
      </c>
      <c r="T3564">
        <v>-0.133773</v>
      </c>
      <c r="U3564">
        <v>-8.7738039999999996E-3</v>
      </c>
      <c r="V3564">
        <v>-7.6228950000000004E-2</v>
      </c>
      <c r="W3564">
        <v>4.5019009999999998E-2</v>
      </c>
      <c r="X3564">
        <v>0.99607349999999995</v>
      </c>
      <c r="Y3564">
        <v>1.93833E-3</v>
      </c>
      <c r="Z3564" s="1">
        <v>2.56222799999999E-8</v>
      </c>
      <c r="AA3564">
        <v>0.9999981</v>
      </c>
      <c r="AB3564">
        <v>37</v>
      </c>
      <c r="AC3564">
        <v>24.5091999999999</v>
      </c>
      <c r="AD3564">
        <v>-1.1043027436059001</v>
      </c>
      <c r="AE3564">
        <v>-7.2199999999980904E-2</v>
      </c>
      <c r="AF3564">
        <v>4.8334203647130397E-2</v>
      </c>
      <c r="AG3564">
        <v>-1.1043027436059001</v>
      </c>
      <c r="AH3564">
        <v>24.459603412687301</v>
      </c>
      <c r="AI3564">
        <v>92.585030701709002</v>
      </c>
      <c r="AJ3564">
        <v>89.886778938165307</v>
      </c>
      <c r="AK3564">
        <v>24.484566972906102</v>
      </c>
    </row>
    <row r="3565" spans="1:37" x14ac:dyDescent="0.2">
      <c r="A3565" t="str">
        <f>"20200111155618151"</f>
        <v>20200111155618151</v>
      </c>
      <c r="B3565" t="str">
        <f>"1578729378145801"</f>
        <v>1578729378145801</v>
      </c>
      <c r="C3565" t="s">
        <v>37</v>
      </c>
      <c r="D3565">
        <v>5.3109950000000001</v>
      </c>
      <c r="E3565">
        <v>0.53018889999999996</v>
      </c>
      <c r="F3565" t="s">
        <v>59</v>
      </c>
      <c r="G3565">
        <v>-322.98230000000001</v>
      </c>
      <c r="H3565" s="1">
        <v>5.0235260000000003E-8</v>
      </c>
      <c r="I3565">
        <v>214.0256</v>
      </c>
      <c r="J3565">
        <v>-347.51819999999998</v>
      </c>
      <c r="K3565">
        <v>1.1043049999999901</v>
      </c>
      <c r="L3565">
        <v>214.08609999999999</v>
      </c>
      <c r="M3565">
        <v>0.99995909999999999</v>
      </c>
      <c r="N3565">
        <v>0</v>
      </c>
      <c r="O3565">
        <v>-7.7400649999999902E-4</v>
      </c>
      <c r="P3565">
        <v>0.99650260000000002</v>
      </c>
      <c r="Q3565">
        <v>3.6096910000000003E-2</v>
      </c>
      <c r="R3565">
        <v>7.5363970000000002E-2</v>
      </c>
      <c r="S3565">
        <v>3.0158999999999998</v>
      </c>
      <c r="T3565">
        <v>-0.1337718</v>
      </c>
      <c r="U3565">
        <v>-7.3547359999999997E-3</v>
      </c>
      <c r="V3565">
        <v>-7.6155710000000001E-2</v>
      </c>
      <c r="W3565">
        <v>4.50476E-2</v>
      </c>
      <c r="X3565">
        <v>0.99607780000000001</v>
      </c>
      <c r="Y3565">
        <v>1.6637360000000001E-3</v>
      </c>
      <c r="Z3565" s="1">
        <v>-2.5638220000000001E-6</v>
      </c>
      <c r="AA3565">
        <v>0.99999859999999896</v>
      </c>
      <c r="AB3565">
        <v>37</v>
      </c>
      <c r="AC3565">
        <v>24.535899999999899</v>
      </c>
      <c r="AD3565">
        <v>-1.1043049497647399</v>
      </c>
      <c r="AE3565">
        <v>-6.0499999999990402E-2</v>
      </c>
      <c r="AF3565">
        <v>4.1424352128715397E-2</v>
      </c>
      <c r="AG3565">
        <v>-1.1043049497647399</v>
      </c>
      <c r="AH3565">
        <v>24.486337928915201</v>
      </c>
      <c r="AI3565">
        <v>92.582218648809103</v>
      </c>
      <c r="AJ3565">
        <v>89.903070916986394</v>
      </c>
      <c r="AK3565">
        <v>24.511261709019699</v>
      </c>
    </row>
    <row r="3566" spans="1:37" x14ac:dyDescent="0.2">
      <c r="A3566" t="str">
        <f>"20200111155618174"</f>
        <v>20200111155618174</v>
      </c>
      <c r="B3566" t="str">
        <f>"1578729378166297"</f>
        <v>1578729378166297</v>
      </c>
      <c r="C3566" t="s">
        <v>37</v>
      </c>
      <c r="D3566">
        <v>5.3275110000000003</v>
      </c>
      <c r="E3566">
        <v>0.53001719999999997</v>
      </c>
      <c r="F3566" t="s">
        <v>59</v>
      </c>
      <c r="G3566">
        <v>-322.66140000000001</v>
      </c>
      <c r="H3566" s="1">
        <v>-1.205217E-7</v>
      </c>
      <c r="I3566">
        <v>214.0419</v>
      </c>
      <c r="J3566">
        <v>-347.14170000000001</v>
      </c>
      <c r="K3566">
        <v>1.104309</v>
      </c>
      <c r="L3566">
        <v>214.08599999999899</v>
      </c>
      <c r="M3566">
        <v>0.99995919999999905</v>
      </c>
      <c r="N3566">
        <v>0</v>
      </c>
      <c r="O3566">
        <v>-5.6984530000000002E-4</v>
      </c>
      <c r="P3566">
        <v>0.99651460000000003</v>
      </c>
      <c r="Q3566">
        <v>3.5991750000000003E-2</v>
      </c>
      <c r="R3566">
        <v>7.5257649999999995E-2</v>
      </c>
      <c r="S3566">
        <v>3.0158390000000002</v>
      </c>
      <c r="T3566">
        <v>-0.13398350000000001</v>
      </c>
      <c r="U3566">
        <v>-5.3558349999999998E-3</v>
      </c>
      <c r="V3566">
        <v>-7.5846339999999998E-2</v>
      </c>
      <c r="W3566">
        <v>4.4953760000000002E-2</v>
      </c>
      <c r="X3566">
        <v>0.99610569999999898</v>
      </c>
      <c r="Y3566">
        <v>1.2054050000000001E-3</v>
      </c>
      <c r="Z3566" s="1">
        <v>-1.4579849999999899E-6</v>
      </c>
      <c r="AA3566">
        <v>0.99999930000000004</v>
      </c>
      <c r="AB3566">
        <v>37</v>
      </c>
      <c r="AC3566">
        <v>24.4803</v>
      </c>
      <c r="AD3566">
        <v>-1.1043091205216999</v>
      </c>
      <c r="AE3566">
        <v>-4.4099999999985998E-2</v>
      </c>
      <c r="AF3566">
        <v>3.0088215041051299E-2</v>
      </c>
      <c r="AG3566">
        <v>-1.1043091205216999</v>
      </c>
      <c r="AH3566">
        <v>24.430606928912599</v>
      </c>
      <c r="AI3566">
        <v>92.588112694833498</v>
      </c>
      <c r="AJ3566">
        <v>89.929435774217893</v>
      </c>
      <c r="AK3566">
        <v>24.455571120899702</v>
      </c>
    </row>
    <row r="3567" spans="1:37" x14ac:dyDescent="0.2">
      <c r="A3567" t="str">
        <f>"20200111155618196"</f>
        <v>20200111155618196</v>
      </c>
      <c r="B3567" t="str">
        <f>"1578729378185818"</f>
        <v>1578729378185818</v>
      </c>
      <c r="C3567" t="s">
        <v>37</v>
      </c>
      <c r="D3567">
        <v>5.3668990000000001</v>
      </c>
      <c r="E3567">
        <v>0.52979560000000003</v>
      </c>
      <c r="F3567" t="s">
        <v>59</v>
      </c>
      <c r="G3567">
        <v>-322.40960000000001</v>
      </c>
      <c r="H3567" s="1">
        <v>-2.5452910000000001E-7</v>
      </c>
      <c r="I3567">
        <v>214.0504</v>
      </c>
      <c r="J3567">
        <v>-346.77710000000002</v>
      </c>
      <c r="K3567">
        <v>1.104301</v>
      </c>
      <c r="L3567">
        <v>214.08590000000001</v>
      </c>
      <c r="M3567">
        <v>0.99995919999999905</v>
      </c>
      <c r="N3567">
        <v>0</v>
      </c>
      <c r="O3567">
        <v>-3.7223779999999998E-4</v>
      </c>
      <c r="P3567">
        <v>0.99652499999999999</v>
      </c>
      <c r="Q3567">
        <v>3.5701820000000002E-2</v>
      </c>
      <c r="R3567">
        <v>7.5255680000000005E-2</v>
      </c>
      <c r="S3567">
        <v>3.015717</v>
      </c>
      <c r="T3567">
        <v>-0.134654</v>
      </c>
      <c r="U3567">
        <v>-4.333496E-3</v>
      </c>
      <c r="V3567">
        <v>-7.5646850000000002E-2</v>
      </c>
      <c r="W3567">
        <v>4.4674129999999999E-2</v>
      </c>
      <c r="X3567">
        <v>0.99613339999999995</v>
      </c>
      <c r="Y3567">
        <v>1.0640269999999999E-3</v>
      </c>
      <c r="Z3567" s="1">
        <v>-7.1298760000000003E-6</v>
      </c>
      <c r="AA3567">
        <v>0.99999950000000004</v>
      </c>
      <c r="AB3567">
        <v>37</v>
      </c>
      <c r="AC3567">
        <v>24.3675</v>
      </c>
      <c r="AD3567">
        <v>-1.1043012545291</v>
      </c>
      <c r="AE3567">
        <v>-3.5500000000013097E-2</v>
      </c>
      <c r="AF3567">
        <v>2.6374955336987801E-2</v>
      </c>
      <c r="AG3567">
        <v>-1.1043012545291</v>
      </c>
      <c r="AH3567">
        <v>24.317568781189099</v>
      </c>
      <c r="AI3567">
        <v>92.600108790532005</v>
      </c>
      <c r="AJ3567">
        <v>89.937856738611899</v>
      </c>
      <c r="AK3567">
        <v>24.342644234488699</v>
      </c>
    </row>
    <row r="3568" spans="1:37" x14ac:dyDescent="0.2">
      <c r="A3568" t="str">
        <f>"20200111155618218"</f>
        <v>20200111155618218</v>
      </c>
      <c r="B3568" t="str">
        <f>"1578729378206313"</f>
        <v>1578729378206313</v>
      </c>
      <c r="C3568" t="s">
        <v>37</v>
      </c>
      <c r="D3568">
        <v>5.4792110000000003</v>
      </c>
      <c r="E3568">
        <v>0.52957569999999998</v>
      </c>
      <c r="F3568" t="s">
        <v>59</v>
      </c>
      <c r="G3568">
        <v>-322.2824</v>
      </c>
      <c r="H3568" s="1">
        <v>-3.2220649999999998E-7</v>
      </c>
      <c r="I3568">
        <v>214.06559999999999</v>
      </c>
      <c r="J3568">
        <v>-346.40649999999999</v>
      </c>
      <c r="K3568">
        <v>1.104303</v>
      </c>
      <c r="L3568">
        <v>214.08599999999899</v>
      </c>
      <c r="M3568">
        <v>0.99995919999999905</v>
      </c>
      <c r="N3568">
        <v>0</v>
      </c>
      <c r="O3568">
        <v>-1.7164979999999901E-4</v>
      </c>
      <c r="P3568">
        <v>0.99653239999999998</v>
      </c>
      <c r="Q3568">
        <v>3.543429E-2</v>
      </c>
      <c r="R3568">
        <v>7.5283859999999994E-2</v>
      </c>
      <c r="S3568">
        <v>3.015533</v>
      </c>
      <c r="T3568">
        <v>-0.1359503</v>
      </c>
      <c r="U3568">
        <v>-2.5024410000000002E-3</v>
      </c>
      <c r="V3568">
        <v>-7.5474810000000003E-2</v>
      </c>
      <c r="W3568">
        <v>4.4416900000000002E-2</v>
      </c>
      <c r="X3568">
        <v>0.99615789999999904</v>
      </c>
      <c r="Y3568">
        <v>6.576997E-4</v>
      </c>
      <c r="Z3568" s="1">
        <v>-7.0831869999999996E-6</v>
      </c>
      <c r="AA3568">
        <v>0.99999979999999999</v>
      </c>
      <c r="AB3568">
        <v>37</v>
      </c>
      <c r="AC3568">
        <v>24.124099999999999</v>
      </c>
      <c r="AD3568">
        <v>-1.1043033222065</v>
      </c>
      <c r="AE3568">
        <v>-2.0399999999994999E-2</v>
      </c>
      <c r="AF3568">
        <v>1.6224935565899799E-2</v>
      </c>
      <c r="AG3568">
        <v>-1.1043033222065</v>
      </c>
      <c r="AH3568">
        <v>24.073658358553001</v>
      </c>
      <c r="AI3568">
        <v>92.626421827438193</v>
      </c>
      <c r="AJ3568">
        <v>89.961384340668204</v>
      </c>
      <c r="AK3568">
        <v>24.098978730234599</v>
      </c>
    </row>
    <row r="3569" spans="1:37" x14ac:dyDescent="0.2">
      <c r="A3569" t="str">
        <f>"20200111155618241"</f>
        <v>20200111155618241</v>
      </c>
      <c r="B3569" t="str">
        <f>"1578729378236570"</f>
        <v>1578729378236570</v>
      </c>
      <c r="C3569" t="s">
        <v>37</v>
      </c>
      <c r="D3569">
        <v>5.3210860000000002</v>
      </c>
      <c r="E3569">
        <v>0.52930369999999904</v>
      </c>
      <c r="F3569" t="s">
        <v>59</v>
      </c>
      <c r="G3569">
        <v>-322.13650000000001</v>
      </c>
      <c r="H3569" s="1">
        <v>-3.998604E-7</v>
      </c>
      <c r="I3569">
        <v>214.07980000000001</v>
      </c>
      <c r="J3569">
        <v>-346.01920000000001</v>
      </c>
      <c r="K3569">
        <v>1.104304</v>
      </c>
      <c r="L3569">
        <v>214.08609999999999</v>
      </c>
      <c r="M3569">
        <v>0.99995909999999999</v>
      </c>
      <c r="N3569">
        <v>0</v>
      </c>
      <c r="O3569" s="1">
        <v>3.7996709999999901E-5</v>
      </c>
      <c r="P3569">
        <v>0.99650179999999999</v>
      </c>
      <c r="Q3569">
        <v>3.5567330000000001E-2</v>
      </c>
      <c r="R3569">
        <v>7.5627479999999997E-2</v>
      </c>
      <c r="S3569">
        <v>3.0153810000000001</v>
      </c>
      <c r="T3569">
        <v>-0.13720189999999999</v>
      </c>
      <c r="U3569">
        <v>-7.6293949999999998E-4</v>
      </c>
      <c r="V3569">
        <v>-7.5609709999999997E-2</v>
      </c>
      <c r="W3569">
        <v>4.4560280000000001E-2</v>
      </c>
      <c r="X3569">
        <v>0.99614130000000001</v>
      </c>
      <c r="Y3569">
        <v>2.906742E-4</v>
      </c>
      <c r="Z3569" s="1">
        <v>-8.3375729999999906E-6</v>
      </c>
      <c r="AA3569">
        <v>0.99999989999999905</v>
      </c>
      <c r="AB3569">
        <v>37</v>
      </c>
      <c r="AC3569">
        <v>23.8827</v>
      </c>
      <c r="AD3569">
        <v>-1.1043043998604001</v>
      </c>
      <c r="AE3569">
        <v>-6.2999999999817603E-3</v>
      </c>
      <c r="AF3569">
        <v>7.19212426862026E-3</v>
      </c>
      <c r="AG3569">
        <v>-1.1043043998604001</v>
      </c>
      <c r="AH3569">
        <v>23.831747112872801</v>
      </c>
      <c r="AI3569">
        <v>92.653047269876396</v>
      </c>
      <c r="AJ3569">
        <v>89.982708848333104</v>
      </c>
      <c r="AK3569">
        <v>23.8573198491809</v>
      </c>
    </row>
    <row r="3570" spans="1:37" x14ac:dyDescent="0.2">
      <c r="A3570" t="str">
        <f>"20200111155618262"</f>
        <v>20200111155618262</v>
      </c>
      <c r="B3570" t="str">
        <f>"1578729378256089"</f>
        <v>1578729378256089</v>
      </c>
      <c r="C3570" t="s">
        <v>37</v>
      </c>
      <c r="D3570">
        <v>5.3192309999999896</v>
      </c>
      <c r="E3570">
        <v>0.52915610000000002</v>
      </c>
      <c r="F3570" t="s">
        <v>59</v>
      </c>
      <c r="G3570">
        <v>-321.82819999999998</v>
      </c>
      <c r="H3570" s="1">
        <v>-5.6389759999999999E-7</v>
      </c>
      <c r="I3570">
        <v>214.107</v>
      </c>
      <c r="J3570">
        <v>-345.64640000000003</v>
      </c>
      <c r="K3570">
        <v>1.104306</v>
      </c>
      <c r="L3570">
        <v>214.08629999999999</v>
      </c>
      <c r="M3570">
        <v>0.99995900000000004</v>
      </c>
      <c r="N3570">
        <v>0</v>
      </c>
      <c r="O3570">
        <v>2.398968E-4</v>
      </c>
      <c r="P3570">
        <v>0.99650319999999903</v>
      </c>
      <c r="Q3570">
        <v>3.5269269999999998E-2</v>
      </c>
      <c r="R3570">
        <v>7.5746540000000001E-2</v>
      </c>
      <c r="S3570">
        <v>3.0152589999999999</v>
      </c>
      <c r="T3570">
        <v>-0.13764470000000001</v>
      </c>
      <c r="U3570">
        <v>2.6092529999999902E-3</v>
      </c>
      <c r="V3570">
        <v>-7.5528029999999996E-2</v>
      </c>
      <c r="W3570">
        <v>4.4271600000000001E-2</v>
      </c>
      <c r="X3570">
        <v>0.99616039999999995</v>
      </c>
      <c r="Y3570">
        <v>-6.2504170000000003E-4</v>
      </c>
      <c r="Z3570" s="1">
        <v>3.3130699999999899E-6</v>
      </c>
      <c r="AA3570">
        <v>0.99999979999999999</v>
      </c>
      <c r="AB3570">
        <v>38</v>
      </c>
      <c r="AC3570">
        <v>23.818200000000001</v>
      </c>
      <c r="AD3570">
        <v>-1.1043065638976</v>
      </c>
      <c r="AE3570">
        <v>2.0700000000004999E-2</v>
      </c>
      <c r="AF3570">
        <v>-1.49537105754415E-2</v>
      </c>
      <c r="AG3570">
        <v>-1.1043065638976</v>
      </c>
      <c r="AH3570">
        <v>23.7671140863016</v>
      </c>
      <c r="AI3570">
        <v>92.660256499265401</v>
      </c>
      <c r="AJ3570">
        <v>90.036049155478594</v>
      </c>
      <c r="AK3570">
        <v>23.792760003660899</v>
      </c>
    </row>
    <row r="3571" spans="1:37" x14ac:dyDescent="0.2">
      <c r="A3571" t="str">
        <f>"20200111155618285"</f>
        <v>20200111155618285</v>
      </c>
      <c r="B3571" t="str">
        <f>"1578729378276585"</f>
        <v>1578729378276585</v>
      </c>
      <c r="C3571" t="s">
        <v>37</v>
      </c>
      <c r="D3571">
        <v>5.2540589999999998</v>
      </c>
      <c r="E3571">
        <v>0.52904779999999996</v>
      </c>
      <c r="F3571" t="s">
        <v>59</v>
      </c>
      <c r="G3571">
        <v>-321.67009999999999</v>
      </c>
      <c r="H3571" s="1">
        <v>-6.480592E-7</v>
      </c>
      <c r="I3571">
        <v>214.12039999999999</v>
      </c>
      <c r="J3571">
        <v>-345.27010000000001</v>
      </c>
      <c r="K3571">
        <v>1.104304</v>
      </c>
      <c r="L3571">
        <v>214.0865</v>
      </c>
      <c r="M3571">
        <v>0.99995879999999904</v>
      </c>
      <c r="N3571">
        <v>0</v>
      </c>
      <c r="O3571">
        <v>4.4346570000000001E-4</v>
      </c>
      <c r="P3571">
        <v>0.99650910000000004</v>
      </c>
      <c r="Q3571">
        <v>3.4674530000000002E-2</v>
      </c>
      <c r="R3571">
        <v>7.5944479999999995E-2</v>
      </c>
      <c r="S3571">
        <v>3.0151059999999998</v>
      </c>
      <c r="T3571">
        <v>-0.13887070000000001</v>
      </c>
      <c r="U3571">
        <v>4.2877200000000001E-3</v>
      </c>
      <c r="V3571">
        <v>-7.5522389999999995E-2</v>
      </c>
      <c r="W3571">
        <v>4.36871E-2</v>
      </c>
      <c r="X3571">
        <v>0.99618660000000003</v>
      </c>
      <c r="Y3571">
        <v>-9.7802749999999997E-4</v>
      </c>
      <c r="Z3571" s="1">
        <v>2.095912E-6</v>
      </c>
      <c r="AA3571">
        <v>0.99999950000000004</v>
      </c>
      <c r="AB3571">
        <v>38</v>
      </c>
      <c r="AC3571">
        <v>23.6</v>
      </c>
      <c r="AD3571">
        <v>-1.1043046480592</v>
      </c>
      <c r="AE3571">
        <v>3.3899999999988398E-2</v>
      </c>
      <c r="AF3571">
        <v>-2.3382578873726901E-2</v>
      </c>
      <c r="AG3571">
        <v>-1.1043046480592</v>
      </c>
      <c r="AH3571">
        <v>23.5484524330274</v>
      </c>
      <c r="AI3571">
        <v>92.684917170063699</v>
      </c>
      <c r="AJ3571">
        <v>90.056892173576998</v>
      </c>
      <c r="AK3571">
        <v>23.5743429917204</v>
      </c>
    </row>
    <row r="3572" spans="1:37" x14ac:dyDescent="0.2">
      <c r="A3572" t="str">
        <f>"20200111155618308"</f>
        <v>20200111155618308</v>
      </c>
      <c r="B3572" t="str">
        <f>"1578729378296105"</f>
        <v>1578729378296105</v>
      </c>
      <c r="C3572" t="s">
        <v>37</v>
      </c>
      <c r="D3572">
        <v>5.1925970000000001</v>
      </c>
      <c r="E3572">
        <v>0.52899319999999905</v>
      </c>
      <c r="F3572" t="s">
        <v>59</v>
      </c>
      <c r="G3572">
        <v>-321.63409999999999</v>
      </c>
      <c r="H3572" s="1">
        <v>-6.6719219999999896E-7</v>
      </c>
      <c r="I3572">
        <v>214.12960000000001</v>
      </c>
      <c r="J3572">
        <v>-344.89830000000001</v>
      </c>
      <c r="K3572">
        <v>1.104303</v>
      </c>
      <c r="L3572">
        <v>214.08690000000001</v>
      </c>
      <c r="M3572">
        <v>0.99995849999999897</v>
      </c>
      <c r="N3572">
        <v>0</v>
      </c>
      <c r="O3572">
        <v>6.4453209999999999E-4</v>
      </c>
      <c r="P3572">
        <v>0.99649449999999995</v>
      </c>
      <c r="Q3572">
        <v>3.4358779999999998E-2</v>
      </c>
      <c r="R3572">
        <v>7.6278299999999993E-2</v>
      </c>
      <c r="S3572">
        <v>3.0149840000000001</v>
      </c>
      <c r="T3572">
        <v>-0.14086379999999901</v>
      </c>
      <c r="U3572">
        <v>5.493164E-3</v>
      </c>
      <c r="V3572">
        <v>-7.5655920000000002E-2</v>
      </c>
      <c r="W3572">
        <v>4.3380299999999997E-2</v>
      </c>
      <c r="X3572">
        <v>0.99618989999999996</v>
      </c>
      <c r="Y3572">
        <v>-1.1768130000000001E-3</v>
      </c>
      <c r="Z3572" s="1">
        <v>-2.6220549999999899E-6</v>
      </c>
      <c r="AA3572">
        <v>0.99999930000000004</v>
      </c>
      <c r="AB3572">
        <v>38</v>
      </c>
      <c r="AC3572">
        <v>23.264199999999999</v>
      </c>
      <c r="AD3572">
        <v>-1.1043036671922</v>
      </c>
      <c r="AE3572">
        <v>4.2699999999996401E-2</v>
      </c>
      <c r="AF3572">
        <v>-2.7642564100694801E-2</v>
      </c>
      <c r="AG3572">
        <v>-1.1043036671922</v>
      </c>
      <c r="AH3572">
        <v>23.211921639066102</v>
      </c>
      <c r="AI3572">
        <v>92.723782395684395</v>
      </c>
      <c r="AJ3572">
        <v>90.068232244352998</v>
      </c>
      <c r="AK3572">
        <v>23.238191773003098</v>
      </c>
    </row>
    <row r="3573" spans="1:37" x14ac:dyDescent="0.2">
      <c r="A3573" t="str">
        <f>"20200111155618330"</f>
        <v>20200111155618330</v>
      </c>
      <c r="B3573" t="str">
        <f>"1578729378326361"</f>
        <v>1578729378326361</v>
      </c>
      <c r="C3573" t="s">
        <v>37</v>
      </c>
      <c r="D3573">
        <v>5.1911579999999997</v>
      </c>
      <c r="E3573">
        <v>0.52893900000000005</v>
      </c>
      <c r="F3573" t="s">
        <v>59</v>
      </c>
      <c r="G3573">
        <v>-321.42140000000001</v>
      </c>
      <c r="H3573" s="1">
        <v>-7.8036709999999995E-7</v>
      </c>
      <c r="I3573">
        <v>214.14060000000001</v>
      </c>
      <c r="J3573">
        <v>-344.5258</v>
      </c>
      <c r="K3573">
        <v>1.104304</v>
      </c>
      <c r="L3573">
        <v>214.0873</v>
      </c>
      <c r="M3573">
        <v>0.99995829999999997</v>
      </c>
      <c r="N3573">
        <v>0</v>
      </c>
      <c r="O3573">
        <v>8.4583719999999996E-4</v>
      </c>
      <c r="P3573">
        <v>0.99646840000000003</v>
      </c>
      <c r="Q3573">
        <v>3.4113579999999998E-2</v>
      </c>
      <c r="R3573">
        <v>7.6727500000000004E-2</v>
      </c>
      <c r="S3573">
        <v>3.014923</v>
      </c>
      <c r="T3573">
        <v>-0.1418162</v>
      </c>
      <c r="U3573">
        <v>6.8969729999999998E-3</v>
      </c>
      <c r="V3573">
        <v>-7.5904650000000004E-2</v>
      </c>
      <c r="W3573">
        <v>4.3144009999999997E-2</v>
      </c>
      <c r="X3573">
        <v>0.99618119999999999</v>
      </c>
      <c r="Y3573">
        <v>-1.441077E-3</v>
      </c>
      <c r="Z3573" s="1">
        <v>-5.8921939999999902E-6</v>
      </c>
      <c r="AA3573">
        <v>0.99999899999999997</v>
      </c>
      <c r="AB3573">
        <v>38</v>
      </c>
      <c r="AC3573">
        <v>23.104399999999998</v>
      </c>
      <c r="AD3573">
        <v>-1.1043047803671</v>
      </c>
      <c r="AE3573">
        <v>5.3300000000007203E-2</v>
      </c>
      <c r="AF3573">
        <v>-3.3679671629807201E-2</v>
      </c>
      <c r="AG3573">
        <v>-1.1043047803671</v>
      </c>
      <c r="AH3573">
        <v>23.0517756392411</v>
      </c>
      <c r="AI3573">
        <v>92.742678125512796</v>
      </c>
      <c r="AJ3573">
        <v>90.083711627984499</v>
      </c>
      <c r="AK3573">
        <v>23.078236143391301</v>
      </c>
    </row>
    <row r="3574" spans="1:37" x14ac:dyDescent="0.2">
      <c r="A3574" t="str">
        <f>"20200111155618344"</f>
        <v>20200111155618344</v>
      </c>
      <c r="B3574" t="str">
        <f>"1578729378336122"</f>
        <v>1578729378336122</v>
      </c>
      <c r="C3574" t="s">
        <v>37</v>
      </c>
      <c r="D3574">
        <v>5.0433240000000001</v>
      </c>
      <c r="E3574">
        <v>0.52891759999999999</v>
      </c>
      <c r="F3574" t="s">
        <v>59</v>
      </c>
      <c r="G3574">
        <v>-321.15929999999997</v>
      </c>
      <c r="H3574" s="1">
        <v>-9.1986929999999999E-7</v>
      </c>
      <c r="I3574">
        <v>214.15549999999999</v>
      </c>
      <c r="J3574">
        <v>-344.27370000000002</v>
      </c>
      <c r="K3574">
        <v>1.104306</v>
      </c>
      <c r="L3574">
        <v>214.08760000000001</v>
      </c>
      <c r="M3574">
        <v>0.99995800000000001</v>
      </c>
      <c r="N3574">
        <v>0</v>
      </c>
      <c r="O3574">
        <v>9.8200749999999997E-4</v>
      </c>
      <c r="P3574">
        <v>0.9964769</v>
      </c>
      <c r="Q3574">
        <v>3.3782199999999901E-2</v>
      </c>
      <c r="R3574">
        <v>7.6761889999999999E-2</v>
      </c>
      <c r="S3574">
        <v>3.0148320000000002</v>
      </c>
      <c r="T3574">
        <v>-0.14248169999999999</v>
      </c>
      <c r="U3574">
        <v>8.8043210000000004E-3</v>
      </c>
      <c r="V3574">
        <v>-7.5803579999999995E-2</v>
      </c>
      <c r="W3574">
        <v>4.2819580000000003E-2</v>
      </c>
      <c r="X3574">
        <v>0.9962029</v>
      </c>
      <c r="Y3574">
        <v>-1.937212E-3</v>
      </c>
      <c r="Z3574" s="1">
        <v>-6.3490370000000003E-7</v>
      </c>
      <c r="AA3574">
        <v>0.99999819999999995</v>
      </c>
      <c r="AB3574">
        <v>38</v>
      </c>
      <c r="AC3574">
        <v>23.1144</v>
      </c>
      <c r="AD3574">
        <v>-1.1043069198693001</v>
      </c>
      <c r="AE3574">
        <v>6.7899999999980296E-2</v>
      </c>
      <c r="AF3574">
        <v>-4.5097575498556197E-2</v>
      </c>
      <c r="AG3574">
        <v>-1.1043069198693001</v>
      </c>
      <c r="AH3574">
        <v>23.0618169616146</v>
      </c>
      <c r="AI3574">
        <v>92.741488752199203</v>
      </c>
      <c r="AJ3574">
        <v>90.112042232102695</v>
      </c>
      <c r="AK3574">
        <v>23.0882855391128</v>
      </c>
    </row>
    <row r="3575" spans="1:37" x14ac:dyDescent="0.2">
      <c r="A3575" t="str">
        <f>"20200111155618364"</f>
        <v>20200111155618364</v>
      </c>
      <c r="B3575" t="str">
        <f>"1578729378356617"</f>
        <v>1578729378356617</v>
      </c>
      <c r="C3575" t="s">
        <v>37</v>
      </c>
      <c r="D3575">
        <v>5.0878009999999998</v>
      </c>
      <c r="E3575">
        <v>0.52902569999999904</v>
      </c>
      <c r="F3575" t="s">
        <v>59</v>
      </c>
      <c r="G3575">
        <v>-320.98169999999999</v>
      </c>
      <c r="H3575" s="1">
        <v>-1.014386E-6</v>
      </c>
      <c r="I3575">
        <v>214.15710000000001</v>
      </c>
      <c r="J3575">
        <v>-343.95260000000002</v>
      </c>
      <c r="K3575">
        <v>1.104303</v>
      </c>
      <c r="L3575">
        <v>214.0881</v>
      </c>
      <c r="M3575">
        <v>0.99995789999999996</v>
      </c>
      <c r="N3575">
        <v>0</v>
      </c>
      <c r="O3575">
        <v>1.1553639999999899E-3</v>
      </c>
      <c r="P3575">
        <v>0.99645519999999999</v>
      </c>
      <c r="Q3575">
        <v>3.3636159999999998E-2</v>
      </c>
      <c r="R3575">
        <v>7.7107410000000001E-2</v>
      </c>
      <c r="S3575">
        <v>3.0147710000000001</v>
      </c>
      <c r="T3575">
        <v>-0.14293420000000001</v>
      </c>
      <c r="U3575">
        <v>8.9874269999999992E-3</v>
      </c>
      <c r="V3575">
        <v>-7.5975520000000005E-2</v>
      </c>
      <c r="W3575">
        <v>4.2681429999999999E-2</v>
      </c>
      <c r="X3575">
        <v>0.99619579999999996</v>
      </c>
      <c r="Y3575">
        <v>-1.8249570000000001E-3</v>
      </c>
      <c r="Z3575" s="1">
        <v>-1.1511269999999901E-5</v>
      </c>
      <c r="AA3575">
        <v>0.99999830000000001</v>
      </c>
      <c r="AB3575">
        <v>38</v>
      </c>
      <c r="AC3575">
        <v>22.9709</v>
      </c>
      <c r="AD3575">
        <v>-1.1043040143859999</v>
      </c>
      <c r="AE3575">
        <v>6.9000000000016798E-2</v>
      </c>
      <c r="AF3575">
        <v>-4.2361202715611099E-2</v>
      </c>
      <c r="AG3575">
        <v>-1.1043040143859999</v>
      </c>
      <c r="AH3575">
        <v>22.917998771537899</v>
      </c>
      <c r="AI3575">
        <v>92.758659342167604</v>
      </c>
      <c r="AJ3575">
        <v>90.105904332695403</v>
      </c>
      <c r="AK3575">
        <v>22.9446279010991</v>
      </c>
    </row>
    <row r="3576" spans="1:37" x14ac:dyDescent="0.2">
      <c r="A3576" t="str">
        <f>"20200111155618384"</f>
        <v>20200111155618384</v>
      </c>
      <c r="B3576" t="str">
        <f>"1578729378376138"</f>
        <v>1578729378376138</v>
      </c>
      <c r="C3576" t="s">
        <v>37</v>
      </c>
      <c r="D3576">
        <v>5.0820249999999998</v>
      </c>
      <c r="E3576">
        <v>0.52911189999999997</v>
      </c>
      <c r="F3576" t="s">
        <v>59</v>
      </c>
      <c r="G3576">
        <v>-320.7722</v>
      </c>
      <c r="H3576" s="1">
        <v>-1.1258389999999999E-6</v>
      </c>
      <c r="I3576">
        <v>214.15819999999999</v>
      </c>
      <c r="J3576">
        <v>-343.58789999999999</v>
      </c>
      <c r="K3576">
        <v>1.104306</v>
      </c>
      <c r="L3576">
        <v>214.08869999999999</v>
      </c>
      <c r="M3576">
        <v>0.999957599999999</v>
      </c>
      <c r="N3576">
        <v>0</v>
      </c>
      <c r="O3576">
        <v>1.3522600000000001E-3</v>
      </c>
      <c r="P3576">
        <v>0.99645910000000004</v>
      </c>
      <c r="Q3576">
        <v>3.3244570000000001E-2</v>
      </c>
      <c r="R3576">
        <v>7.7229350000000002E-2</v>
      </c>
      <c r="S3576">
        <v>3.0147710000000001</v>
      </c>
      <c r="T3576">
        <v>-0.14362279999999999</v>
      </c>
      <c r="U3576">
        <v>9.1247559999999995E-3</v>
      </c>
      <c r="V3576">
        <v>-7.5901699999999905E-2</v>
      </c>
      <c r="W3576">
        <v>4.2298870000000002E-2</v>
      </c>
      <c r="X3576">
        <v>0.99621769999999998</v>
      </c>
      <c r="Y3576">
        <v>-1.673992E-3</v>
      </c>
      <c r="Z3576" s="1">
        <v>-2.4535689999999999E-5</v>
      </c>
      <c r="AA3576">
        <v>0.99999859999999896</v>
      </c>
      <c r="AB3576">
        <v>38</v>
      </c>
      <c r="AC3576">
        <v>22.8157</v>
      </c>
      <c r="AD3576">
        <v>-1.104307125839</v>
      </c>
      <c r="AE3576">
        <v>6.9500000000005002E-2</v>
      </c>
      <c r="AF3576">
        <v>-3.8555575600524597E-2</v>
      </c>
      <c r="AG3576">
        <v>-1.104307125839</v>
      </c>
      <c r="AH3576">
        <v>22.762448585719302</v>
      </c>
      <c r="AI3576">
        <v>92.777490156434496</v>
      </c>
      <c r="AJ3576">
        <v>90.097048858239205</v>
      </c>
      <c r="AK3576">
        <v>22.7892528701163</v>
      </c>
    </row>
    <row r="3577" spans="1:37" x14ac:dyDescent="0.2">
      <c r="A3577" t="str">
        <f>"20200111155618408"</f>
        <v>20200111155618408</v>
      </c>
      <c r="B3577" t="str">
        <f>"1578729378396633"</f>
        <v>1578729378396633</v>
      </c>
      <c r="C3577" t="s">
        <v>37</v>
      </c>
      <c r="D3577">
        <v>5.027711</v>
      </c>
      <c r="E3577">
        <v>0.52923619999999905</v>
      </c>
      <c r="F3577" t="s">
        <v>59</v>
      </c>
      <c r="G3577">
        <v>-320.64010000000002</v>
      </c>
      <c r="H3577" s="1">
        <v>-1.1961779999999999E-6</v>
      </c>
      <c r="I3577">
        <v>214.1558</v>
      </c>
      <c r="J3577">
        <v>-343.20139999999998</v>
      </c>
      <c r="K3577">
        <v>1.1043019999999999</v>
      </c>
      <c r="L3577">
        <v>214.08940000000001</v>
      </c>
      <c r="M3577">
        <v>0.99995710000000004</v>
      </c>
      <c r="N3577">
        <v>0</v>
      </c>
      <c r="O3577">
        <v>1.5609560000000001E-3</v>
      </c>
      <c r="P3577">
        <v>0.99645010000000001</v>
      </c>
      <c r="Q3577">
        <v>3.3374969999999997E-2</v>
      </c>
      <c r="R3577">
        <v>7.7287140000000004E-2</v>
      </c>
      <c r="S3577">
        <v>3.0148320000000002</v>
      </c>
      <c r="T3577">
        <v>-0.14508119999999999</v>
      </c>
      <c r="U3577">
        <v>8.8195800000000005E-3</v>
      </c>
      <c r="V3577">
        <v>-7.5751620000000006E-2</v>
      </c>
      <c r="W3577">
        <v>4.2438459999999997E-2</v>
      </c>
      <c r="X3577">
        <v>0.99622319999999998</v>
      </c>
      <c r="Y3577">
        <v>-1.364594E-3</v>
      </c>
      <c r="Z3577" s="1">
        <v>-4.2261769999999899E-5</v>
      </c>
      <c r="AA3577">
        <v>0.99999899999999997</v>
      </c>
      <c r="AB3577">
        <v>38</v>
      </c>
      <c r="AC3577">
        <v>22.5612999999999</v>
      </c>
      <c r="AD3577">
        <v>-1.1043031961780001</v>
      </c>
      <c r="AE3577">
        <v>6.6399999999987303E-2</v>
      </c>
      <c r="AF3577">
        <v>-3.1106730033000098E-2</v>
      </c>
      <c r="AG3577">
        <v>-1.1043031961780001</v>
      </c>
      <c r="AH3577">
        <v>22.507453539219</v>
      </c>
      <c r="AI3577">
        <v>92.808898594378206</v>
      </c>
      <c r="AJ3577">
        <v>90.079186355198203</v>
      </c>
      <c r="AK3577">
        <v>22.534549429661201</v>
      </c>
    </row>
    <row r="3578" spans="1:37" x14ac:dyDescent="0.2">
      <c r="A3578" t="str">
        <f>"20200111155618431"</f>
        <v>20200111155618431</v>
      </c>
      <c r="B3578" t="str">
        <f>"1578729378425913"</f>
        <v>1578729378425913</v>
      </c>
      <c r="C3578" t="s">
        <v>37</v>
      </c>
      <c r="D3578">
        <v>5.1529339999999904</v>
      </c>
      <c r="E3578">
        <v>0.52937719999999999</v>
      </c>
      <c r="F3578" t="s">
        <v>59</v>
      </c>
      <c r="G3578">
        <v>-320.226</v>
      </c>
      <c r="H3578" s="1">
        <v>-1.4165149999999999E-6</v>
      </c>
      <c r="I3578">
        <v>214.15020000000001</v>
      </c>
      <c r="J3578">
        <v>-342.80709999999999</v>
      </c>
      <c r="K3578">
        <v>1.1043000000000001</v>
      </c>
      <c r="L3578">
        <v>214.09020000000001</v>
      </c>
      <c r="M3578">
        <v>0.99995669999999903</v>
      </c>
      <c r="N3578">
        <v>0</v>
      </c>
      <c r="O3578">
        <v>1.773466E-3</v>
      </c>
      <c r="P3578">
        <v>0.99642260000000005</v>
      </c>
      <c r="Q3578">
        <v>3.3277969999999997E-2</v>
      </c>
      <c r="R3578">
        <v>7.7680689999999997E-2</v>
      </c>
      <c r="S3578">
        <v>3.0148929999999998</v>
      </c>
      <c r="T3578">
        <v>-0.14490989999999901</v>
      </c>
      <c r="U3578">
        <v>7.9803469999999901E-3</v>
      </c>
      <c r="V3578">
        <v>-7.5933360000000005E-2</v>
      </c>
      <c r="W3578">
        <v>4.2350800000000001E-2</v>
      </c>
      <c r="X3578">
        <v>0.99621309999999996</v>
      </c>
      <c r="Y3578">
        <v>-8.7446639999999999E-4</v>
      </c>
      <c r="Z3578" s="1">
        <v>-6.4191909999999897E-5</v>
      </c>
      <c r="AA3578">
        <v>0.99999959999999899</v>
      </c>
      <c r="AB3578">
        <v>38</v>
      </c>
      <c r="AC3578">
        <v>22.5810999999999</v>
      </c>
      <c r="AD3578">
        <v>-1.104301416515</v>
      </c>
      <c r="AE3578">
        <v>6.0000000000002197E-2</v>
      </c>
      <c r="AF3578">
        <v>-1.9903820167759601E-2</v>
      </c>
      <c r="AG3578">
        <v>-1.104301416515</v>
      </c>
      <c r="AH3578">
        <v>22.527295430196201</v>
      </c>
      <c r="AI3578">
        <v>92.806425559082896</v>
      </c>
      <c r="AJ3578">
        <v>90.050623236090701</v>
      </c>
      <c r="AK3578">
        <v>22.554354727633299</v>
      </c>
    </row>
    <row r="3579" spans="1:37" x14ac:dyDescent="0.2">
      <c r="A3579" t="str">
        <f>"20200111155618454"</f>
        <v>20200111155618454</v>
      </c>
      <c r="B3579" t="str">
        <f>"1578729378446409"</f>
        <v>1578729378446409</v>
      </c>
      <c r="C3579" t="s">
        <v>37</v>
      </c>
      <c r="D3579">
        <v>5.0719050000000001</v>
      </c>
      <c r="E3579">
        <v>0.52948329999999999</v>
      </c>
      <c r="F3579" t="s">
        <v>61</v>
      </c>
      <c r="G3579">
        <v>-319.86189999999999</v>
      </c>
      <c r="H3579" s="1">
        <v>5.2789999999999998E-6</v>
      </c>
      <c r="I3579">
        <v>214.1514</v>
      </c>
      <c r="J3579">
        <v>-342.41730000000001</v>
      </c>
      <c r="K3579">
        <v>1.1043000000000001</v>
      </c>
      <c r="L3579">
        <v>214.09110000000001</v>
      </c>
      <c r="M3579">
        <v>0.99995630000000002</v>
      </c>
      <c r="N3579">
        <v>0</v>
      </c>
      <c r="O3579">
        <v>1.9836519999999998E-3</v>
      </c>
      <c r="P3579">
        <v>0.99637419999999999</v>
      </c>
      <c r="Q3579">
        <v>3.3407159999999998E-2</v>
      </c>
      <c r="R3579">
        <v>7.8247330000000004E-2</v>
      </c>
      <c r="S3579">
        <v>3.0149840000000001</v>
      </c>
      <c r="T3579">
        <v>-0.1451036</v>
      </c>
      <c r="U3579">
        <v>8.0413819999999997E-3</v>
      </c>
      <c r="V3579">
        <v>-7.62906E-2</v>
      </c>
      <c r="W3579">
        <v>4.2488959999999999E-2</v>
      </c>
      <c r="X3579">
        <v>0.99617990000000001</v>
      </c>
      <c r="Y3579">
        <v>-6.8490009999999896E-4</v>
      </c>
      <c r="Z3579" s="1">
        <v>-7.8944969999999995E-5</v>
      </c>
      <c r="AA3579">
        <v>0.99999979999999999</v>
      </c>
      <c r="AB3579">
        <v>38</v>
      </c>
      <c r="AC3579">
        <v>22.555399999999999</v>
      </c>
      <c r="AD3579">
        <v>-1.104294721</v>
      </c>
      <c r="AE3579">
        <v>6.0299999999983797E-2</v>
      </c>
      <c r="AF3579">
        <v>-1.55187514996841E-2</v>
      </c>
      <c r="AG3579">
        <v>-1.104294721</v>
      </c>
      <c r="AH3579">
        <v>22.501539324137301</v>
      </c>
      <c r="AI3579">
        <v>92.809616174667497</v>
      </c>
      <c r="AJ3579">
        <v>90.0395154664958</v>
      </c>
      <c r="AK3579">
        <v>22.5286257818398</v>
      </c>
    </row>
    <row r="3580" spans="1:37" x14ac:dyDescent="0.2">
      <c r="A3580" t="str">
        <f>"20200111155618475"</f>
        <v>20200111155618475</v>
      </c>
      <c r="B3580" t="str">
        <f>"1578729378465928"</f>
        <v>1578729378465928</v>
      </c>
      <c r="C3580" t="s">
        <v>37</v>
      </c>
      <c r="D3580">
        <v>4.9683339999999996</v>
      </c>
      <c r="E3580">
        <v>0.52966119999999905</v>
      </c>
      <c r="F3580" t="s">
        <v>61</v>
      </c>
      <c r="G3580">
        <v>-319.4033</v>
      </c>
      <c r="H3580" s="1">
        <v>5.0755979999999997E-6</v>
      </c>
      <c r="I3580">
        <v>214.1583</v>
      </c>
      <c r="J3580">
        <v>-342.05239999999998</v>
      </c>
      <c r="K3580">
        <v>1.104303</v>
      </c>
      <c r="L3580">
        <v>214.09200000000001</v>
      </c>
      <c r="M3580">
        <v>0.999955699999999</v>
      </c>
      <c r="N3580">
        <v>0</v>
      </c>
      <c r="O3580">
        <v>2.1804760000000002E-3</v>
      </c>
      <c r="P3580">
        <v>0.99632569999999998</v>
      </c>
      <c r="Q3580">
        <v>3.3857930000000001E-2</v>
      </c>
      <c r="R3580">
        <v>7.8671019999999994E-2</v>
      </c>
      <c r="S3580">
        <v>3.0150759999999899</v>
      </c>
      <c r="T3580">
        <v>-0.1446742</v>
      </c>
      <c r="U3580">
        <v>8.8043210000000004E-3</v>
      </c>
      <c r="V3580">
        <v>-7.6518509999999998E-2</v>
      </c>
      <c r="W3580">
        <v>4.2951059999999999E-2</v>
      </c>
      <c r="X3580">
        <v>0.99614259999999999</v>
      </c>
      <c r="Y3580">
        <v>-7.4117849999999995E-4</v>
      </c>
      <c r="Z3580" s="1">
        <v>-8.6799019999999995E-5</v>
      </c>
      <c r="AA3580">
        <v>0.99999969999999905</v>
      </c>
      <c r="AB3580">
        <v>38</v>
      </c>
      <c r="AC3580">
        <v>22.649099999999901</v>
      </c>
      <c r="AD3580">
        <v>-1.1042979244019999</v>
      </c>
      <c r="AE3580">
        <v>6.6299999999983997E-2</v>
      </c>
      <c r="AF3580">
        <v>-1.68718450742492E-2</v>
      </c>
      <c r="AG3580">
        <v>-1.1042979244019999</v>
      </c>
      <c r="AH3580">
        <v>22.595476613005001</v>
      </c>
      <c r="AI3580">
        <v>92.797962207644005</v>
      </c>
      <c r="AJ3580">
        <v>90.042782250281803</v>
      </c>
      <c r="AK3580">
        <v>22.622451722433901</v>
      </c>
    </row>
    <row r="3581" spans="1:37" x14ac:dyDescent="0.2">
      <c r="A3581" t="str">
        <f>"20200111155618498"</f>
        <v>20200111155618498</v>
      </c>
      <c r="B3581" t="str">
        <f>"1578729378486426"</f>
        <v>1578729378486426</v>
      </c>
      <c r="C3581" t="s">
        <v>37</v>
      </c>
      <c r="D3581">
        <v>4.9953110000000001</v>
      </c>
      <c r="E3581">
        <v>0.52980569999999905</v>
      </c>
      <c r="F3581" t="s">
        <v>61</v>
      </c>
      <c r="G3581">
        <v>-318.82900000000001</v>
      </c>
      <c r="H3581" s="1">
        <v>4.8209449999999996E-6</v>
      </c>
      <c r="I3581">
        <v>214.1591</v>
      </c>
      <c r="J3581">
        <v>-341.67880000000002</v>
      </c>
      <c r="K3581">
        <v>1.104306</v>
      </c>
      <c r="L3581">
        <v>214.09299999999999</v>
      </c>
      <c r="M3581">
        <v>0.99995509999999999</v>
      </c>
      <c r="N3581">
        <v>0</v>
      </c>
      <c r="O3581">
        <v>2.3816060000000001E-3</v>
      </c>
      <c r="P3581">
        <v>0.99635030000000002</v>
      </c>
      <c r="Q3581">
        <v>3.3342450000000003E-2</v>
      </c>
      <c r="R3581">
        <v>7.8578869999999995E-2</v>
      </c>
      <c r="S3581">
        <v>3.0152589999999999</v>
      </c>
      <c r="T3581">
        <v>-0.14337910000000001</v>
      </c>
      <c r="U3581">
        <v>8.7127690000000004E-3</v>
      </c>
      <c r="V3581">
        <v>-7.6225619999999994E-2</v>
      </c>
      <c r="W3581">
        <v>4.2457990000000001E-2</v>
      </c>
      <c r="X3581">
        <v>0.99618619999999902</v>
      </c>
      <c r="Y3581">
        <v>-5.0995710000000004E-4</v>
      </c>
      <c r="Z3581">
        <v>-1.010709E-4</v>
      </c>
      <c r="AA3581">
        <v>0.99999989999999905</v>
      </c>
      <c r="AB3581">
        <v>38</v>
      </c>
      <c r="AC3581">
        <v>22.849799999999998</v>
      </c>
      <c r="AD3581">
        <v>-1.1043011790549999</v>
      </c>
      <c r="AE3581">
        <v>6.6100000000005807E-2</v>
      </c>
      <c r="AF3581">
        <v>-1.1651089768758701E-2</v>
      </c>
      <c r="AG3581">
        <v>-1.1043011790549999</v>
      </c>
      <c r="AH3581">
        <v>22.796647771152902</v>
      </c>
      <c r="AI3581">
        <v>92.773318617096606</v>
      </c>
      <c r="AJ3581">
        <v>90.029283174397094</v>
      </c>
      <c r="AK3581">
        <v>22.823382011524199</v>
      </c>
    </row>
    <row r="3582" spans="1:37" x14ac:dyDescent="0.2">
      <c r="A3582" t="str">
        <f>"20200111155618521"</f>
        <v>20200111155618521</v>
      </c>
      <c r="B3582" t="str">
        <f>"1578729378515705"</f>
        <v>1578729378515705</v>
      </c>
      <c r="C3582" t="s">
        <v>37</v>
      </c>
      <c r="D3582">
        <v>4.9834230000000002</v>
      </c>
      <c r="E3582">
        <v>0.52997709999999998</v>
      </c>
      <c r="F3582" t="s">
        <v>61</v>
      </c>
      <c r="G3582">
        <v>-318.71800000000002</v>
      </c>
      <c r="H3582" s="1">
        <v>4.7717030000000003E-6</v>
      </c>
      <c r="I3582">
        <v>214.14830000000001</v>
      </c>
      <c r="J3582">
        <v>-341.29059999999998</v>
      </c>
      <c r="K3582">
        <v>1.104317</v>
      </c>
      <c r="L3582">
        <v>214.0941</v>
      </c>
      <c r="M3582">
        <v>0.99995400000000001</v>
      </c>
      <c r="N3582">
        <v>0</v>
      </c>
      <c r="O3582">
        <v>2.59048E-3</v>
      </c>
      <c r="P3582">
        <v>0.99632980000000004</v>
      </c>
      <c r="Q3582">
        <v>3.272808E-2</v>
      </c>
      <c r="R3582">
        <v>7.9095639999999995E-2</v>
      </c>
      <c r="S3582">
        <v>3.0152890000000001</v>
      </c>
      <c r="T3582">
        <v>-0.14502039999999999</v>
      </c>
      <c r="U3582">
        <v>7.2631839999999998E-3</v>
      </c>
      <c r="V3582">
        <v>-7.6534320000000003E-2</v>
      </c>
      <c r="W3582">
        <v>4.1893920000000001E-2</v>
      </c>
      <c r="X3582">
        <v>0.99618639999999903</v>
      </c>
      <c r="Y3582">
        <v>1.786123E-4</v>
      </c>
      <c r="Z3582">
        <v>-1.2881479999999999E-4</v>
      </c>
      <c r="AA3582">
        <v>1</v>
      </c>
      <c r="AB3582">
        <v>38</v>
      </c>
      <c r="AC3582">
        <v>22.572599999999898</v>
      </c>
      <c r="AD3582">
        <v>-1.1043122282969999</v>
      </c>
      <c r="AE3582">
        <v>5.4200000000008602E-2</v>
      </c>
      <c r="AF3582">
        <v>4.2663333113455697E-3</v>
      </c>
      <c r="AG3582">
        <v>-1.1043122282969999</v>
      </c>
      <c r="AH3582">
        <v>22.518767899088498</v>
      </c>
      <c r="AI3582">
        <v>92.807515098613095</v>
      </c>
      <c r="AJ3582">
        <v>89.989144926094198</v>
      </c>
      <c r="AK3582">
        <v>22.545829578708901</v>
      </c>
    </row>
    <row r="3583" spans="1:37" x14ac:dyDescent="0.2">
      <c r="A3583" t="str">
        <f>"20200111155618543"</f>
        <v>20200111155618543</v>
      </c>
      <c r="B3583" t="str">
        <f>"1578729378536201"</f>
        <v>1578729378536201</v>
      </c>
      <c r="C3583" t="s">
        <v>37</v>
      </c>
      <c r="D3583">
        <v>4.978485</v>
      </c>
      <c r="E3583">
        <v>0.53008429999999995</v>
      </c>
      <c r="F3583" t="s">
        <v>61</v>
      </c>
      <c r="G3583">
        <v>-318.5539</v>
      </c>
      <c r="H3583" s="1">
        <v>4.6989279999999999E-6</v>
      </c>
      <c r="I3583">
        <v>214.14869999999999</v>
      </c>
      <c r="J3583">
        <v>-340.90359999999998</v>
      </c>
      <c r="K3583">
        <v>1.104336</v>
      </c>
      <c r="L3583">
        <v>214.09530000000001</v>
      </c>
      <c r="M3583">
        <v>0.99995270000000003</v>
      </c>
      <c r="N3583">
        <v>0</v>
      </c>
      <c r="O3583">
        <v>2.7981459999999901E-3</v>
      </c>
      <c r="P3583">
        <v>0.99631979999999998</v>
      </c>
      <c r="Q3583">
        <v>3.242627E-2</v>
      </c>
      <c r="R3583">
        <v>7.9344659999999997E-2</v>
      </c>
      <c r="S3583">
        <v>3.0153500000000002</v>
      </c>
      <c r="T3583">
        <v>-0.146453799999999</v>
      </c>
      <c r="U3583">
        <v>7.2479249999999997E-3</v>
      </c>
      <c r="V3583">
        <v>-7.6576309999999995E-2</v>
      </c>
      <c r="W3583">
        <v>4.16862E-2</v>
      </c>
      <c r="X3583">
        <v>0.99619190000000002</v>
      </c>
      <c r="Y3583">
        <v>3.9084079999999999E-4</v>
      </c>
      <c r="Z3583">
        <v>-1.4531559999999999E-4</v>
      </c>
      <c r="AA3583">
        <v>0.99999989999999905</v>
      </c>
      <c r="AB3583">
        <v>38</v>
      </c>
      <c r="AC3583">
        <v>22.349699999999899</v>
      </c>
      <c r="AD3583">
        <v>-1.1043313010719999</v>
      </c>
      <c r="AE3583">
        <v>5.3399999999982101E-2</v>
      </c>
      <c r="AF3583">
        <v>9.1183837062763003E-3</v>
      </c>
      <c r="AG3583">
        <v>-1.1043313010719999</v>
      </c>
      <c r="AH3583">
        <v>22.295328361970501</v>
      </c>
      <c r="AI3583">
        <v>92.835654495213006</v>
      </c>
      <c r="AJ3583">
        <v>89.976567069803096</v>
      </c>
      <c r="AK3583">
        <v>22.3226633163593</v>
      </c>
    </row>
    <row r="3584" spans="1:37" x14ac:dyDescent="0.2">
      <c r="A3584" t="str">
        <f>"20200111155618565"</f>
        <v>20200111155618565</v>
      </c>
      <c r="B3584" t="str">
        <f>"1578729378556697"</f>
        <v>1578729378556697</v>
      </c>
      <c r="C3584" t="s">
        <v>37</v>
      </c>
      <c r="D3584">
        <v>4.9756369999999999</v>
      </c>
      <c r="E3584">
        <v>0.5302114</v>
      </c>
      <c r="F3584" t="s">
        <v>61</v>
      </c>
      <c r="G3584">
        <v>-318.24029999999999</v>
      </c>
      <c r="H3584" s="1">
        <v>4.5598680000000001E-6</v>
      </c>
      <c r="I3584">
        <v>214.14830000000001</v>
      </c>
      <c r="J3584">
        <v>-340.5222</v>
      </c>
      <c r="K3584">
        <v>1.1043639999999999</v>
      </c>
      <c r="L3584">
        <v>214.09649999999999</v>
      </c>
      <c r="M3584">
        <v>0.99995089999999998</v>
      </c>
      <c r="N3584">
        <v>0</v>
      </c>
      <c r="O3584">
        <v>3.0026190000000002E-3</v>
      </c>
      <c r="P3584">
        <v>0.99628629999999996</v>
      </c>
      <c r="Q3584">
        <v>3.2544120000000003E-2</v>
      </c>
      <c r="R3584">
        <v>7.9715560000000005E-2</v>
      </c>
      <c r="S3584">
        <v>3.0152890000000001</v>
      </c>
      <c r="T3584">
        <v>-0.1469279</v>
      </c>
      <c r="U3584">
        <v>7.0495610000000002E-3</v>
      </c>
      <c r="V3584">
        <v>-7.6743660000000005E-2</v>
      </c>
      <c r="W3584">
        <v>4.193156E-2</v>
      </c>
      <c r="X3584">
        <v>0.99616870000000002</v>
      </c>
      <c r="Y3584">
        <v>6.6047729999999904E-4</v>
      </c>
      <c r="Z3584">
        <v>-1.6231199999999999E-4</v>
      </c>
      <c r="AA3584">
        <v>0.99999979999999999</v>
      </c>
      <c r="AB3584">
        <v>38</v>
      </c>
      <c r="AC3584">
        <v>22.2819</v>
      </c>
      <c r="AD3584">
        <v>-1.1043594401319901</v>
      </c>
      <c r="AE3584">
        <v>5.1800000000014203E-2</v>
      </c>
      <c r="AF3584">
        <v>1.50702534877072E-2</v>
      </c>
      <c r="AG3584">
        <v>-1.1043594401319901</v>
      </c>
      <c r="AH3584">
        <v>22.2273539293965</v>
      </c>
      <c r="AI3584">
        <v>92.844384055030005</v>
      </c>
      <c r="AJ3584">
        <v>89.9611531902775</v>
      </c>
      <c r="AK3584">
        <v>22.254777006031901</v>
      </c>
    </row>
    <row r="3585" spans="1:37" x14ac:dyDescent="0.2">
      <c r="A3585" t="str">
        <f>"20200111155618586"</f>
        <v>20200111155618586</v>
      </c>
      <c r="B3585" t="str">
        <f>"1578729378576217"</f>
        <v>1578729378576217</v>
      </c>
      <c r="C3585" t="s">
        <v>37</v>
      </c>
      <c r="D3585">
        <v>5.0152989999999997</v>
      </c>
      <c r="E3585">
        <v>0.53032239999999997</v>
      </c>
      <c r="F3585" t="s">
        <v>61</v>
      </c>
      <c r="G3585">
        <v>-317.8109</v>
      </c>
      <c r="H3585" s="1">
        <v>4.3694650000000004E-6</v>
      </c>
      <c r="I3585">
        <v>214.14940000000001</v>
      </c>
      <c r="J3585">
        <v>-340.15839999999997</v>
      </c>
      <c r="K3585">
        <v>1.104403</v>
      </c>
      <c r="L3585">
        <v>214.09780000000001</v>
      </c>
      <c r="M3585">
        <v>0.99994839999999996</v>
      </c>
      <c r="N3585">
        <v>0</v>
      </c>
      <c r="O3585">
        <v>3.1996329999999999E-3</v>
      </c>
      <c r="P3585">
        <v>0.99623430000000002</v>
      </c>
      <c r="Q3585">
        <v>3.2839710000000001E-2</v>
      </c>
      <c r="R3585">
        <v>8.0243889999999998E-2</v>
      </c>
      <c r="S3585">
        <v>3.0153810000000001</v>
      </c>
      <c r="T3585">
        <v>-0.14662639999999999</v>
      </c>
      <c r="U3585">
        <v>7.019043E-3</v>
      </c>
      <c r="V3585">
        <v>-7.7076519999999996E-2</v>
      </c>
      <c r="W3585">
        <v>4.2409870000000002E-2</v>
      </c>
      <c r="X3585">
        <v>0.99612279999999997</v>
      </c>
      <c r="Y3585">
        <v>8.6723859999999998E-4</v>
      </c>
      <c r="Z3585">
        <v>-1.7657339999999999E-4</v>
      </c>
      <c r="AA3585">
        <v>0.99999959999999899</v>
      </c>
      <c r="AB3585">
        <v>38</v>
      </c>
      <c r="AC3585">
        <v>22.347499999999901</v>
      </c>
      <c r="AD3585">
        <v>-1.104398630535</v>
      </c>
      <c r="AE3585">
        <v>5.1600000000007598E-2</v>
      </c>
      <c r="AF3585">
        <v>1.9858885821691898E-2</v>
      </c>
      <c r="AG3585">
        <v>-1.104398630535</v>
      </c>
      <c r="AH3585">
        <v>22.2931051940202</v>
      </c>
      <c r="AI3585">
        <v>92.836108551717004</v>
      </c>
      <c r="AJ3585">
        <v>89.948960450662099</v>
      </c>
      <c r="AK3585">
        <v>22.320453174210499</v>
      </c>
    </row>
    <row r="3586" spans="1:37" x14ac:dyDescent="0.2">
      <c r="A3586" t="str">
        <f>"20200111155618610"</f>
        <v>20200111155618610</v>
      </c>
      <c r="B3586" t="str">
        <f>"1578729378606474"</f>
        <v>1578729378606474</v>
      </c>
      <c r="C3586" t="s">
        <v>37</v>
      </c>
      <c r="D3586">
        <v>4.988073</v>
      </c>
      <c r="E3586">
        <v>0.53049460000000004</v>
      </c>
      <c r="F3586" t="s">
        <v>61</v>
      </c>
      <c r="G3586">
        <v>-317.3331</v>
      </c>
      <c r="H3586" s="1">
        <v>4.1575819999999997E-6</v>
      </c>
      <c r="I3586">
        <v>214.15889999999999</v>
      </c>
      <c r="J3586">
        <v>-339.75240000000002</v>
      </c>
      <c r="K3586">
        <v>1.104484</v>
      </c>
      <c r="L3586">
        <v>214.0993</v>
      </c>
      <c r="M3586">
        <v>0.99994439999999996</v>
      </c>
      <c r="N3586">
        <v>0</v>
      </c>
      <c r="O3586">
        <v>3.4154009999999898E-3</v>
      </c>
      <c r="P3586">
        <v>0.99620529999999996</v>
      </c>
      <c r="Q3586">
        <v>3.2441770000000002E-2</v>
      </c>
      <c r="R3586">
        <v>8.0763000000000001E-2</v>
      </c>
      <c r="S3586">
        <v>3.015533</v>
      </c>
      <c r="T3586">
        <v>-0.14590600000000001</v>
      </c>
      <c r="U3586">
        <v>8.0718990000000004E-3</v>
      </c>
      <c r="V3586">
        <v>-7.7381210000000006E-2</v>
      </c>
      <c r="W3586">
        <v>4.2340320000000001E-2</v>
      </c>
      <c r="X3586">
        <v>0.99610219999999905</v>
      </c>
      <c r="Y3586">
        <v>7.3395579999999995E-4</v>
      </c>
      <c r="Z3586">
        <v>-1.82910099999999E-4</v>
      </c>
      <c r="AA3586">
        <v>0.99999969999999905</v>
      </c>
      <c r="AB3586">
        <v>38</v>
      </c>
      <c r="AC3586">
        <v>22.4193</v>
      </c>
      <c r="AD3586">
        <v>-1.104479842418</v>
      </c>
      <c r="AE3586">
        <v>5.9599999999989002E-2</v>
      </c>
      <c r="AF3586">
        <v>1.69339596088019E-2</v>
      </c>
      <c r="AG3586">
        <v>-1.104479842418</v>
      </c>
      <c r="AH3586">
        <v>22.365092883309799</v>
      </c>
      <c r="AI3586">
        <v>92.827202510248497</v>
      </c>
      <c r="AJ3586">
        <v>89.956617920807105</v>
      </c>
      <c r="AK3586">
        <v>22.3923545470406</v>
      </c>
    </row>
    <row r="3587" spans="1:37" x14ac:dyDescent="0.2">
      <c r="A3587" t="str">
        <f>"20200111155618625"</f>
        <v>20200111155618625</v>
      </c>
      <c r="B3587" t="str">
        <f>"1578729378616234"</f>
        <v>1578729378616234</v>
      </c>
      <c r="C3587" t="s">
        <v>37</v>
      </c>
      <c r="D3587">
        <v>4.9996700000000001</v>
      </c>
      <c r="E3587">
        <v>0.53056369999999997</v>
      </c>
      <c r="F3587" t="s">
        <v>61</v>
      </c>
      <c r="G3587">
        <v>-317.05790000000002</v>
      </c>
      <c r="H3587" s="1">
        <v>4.0355309999999902E-6</v>
      </c>
      <c r="I3587">
        <v>214.16030000000001</v>
      </c>
      <c r="J3587">
        <v>-339.50850000000003</v>
      </c>
      <c r="K3587">
        <v>1.104538</v>
      </c>
      <c r="L3587">
        <v>214.1003</v>
      </c>
      <c r="M3587">
        <v>0.99994139999999998</v>
      </c>
      <c r="N3587">
        <v>0</v>
      </c>
      <c r="O3587">
        <v>3.5396859999999998E-3</v>
      </c>
      <c r="P3587">
        <v>0.99617800000000001</v>
      </c>
      <c r="Q3587">
        <v>3.2359159999999998E-2</v>
      </c>
      <c r="R3587">
        <v>8.1130800000000003E-2</v>
      </c>
      <c r="S3587">
        <v>3.015533</v>
      </c>
      <c r="T3587">
        <v>-0.146758</v>
      </c>
      <c r="U3587">
        <v>8.1024169999999902E-3</v>
      </c>
      <c r="V3587">
        <v>-7.7625239999999998E-2</v>
      </c>
      <c r="W3587">
        <v>4.251754E-2</v>
      </c>
      <c r="X3587">
        <v>0.99607559999999995</v>
      </c>
      <c r="Y3587">
        <v>8.4779889999999996E-4</v>
      </c>
      <c r="Z3587">
        <v>-1.9279130000000001E-4</v>
      </c>
      <c r="AA3587">
        <v>0.99999959999999899</v>
      </c>
      <c r="AB3587">
        <v>38</v>
      </c>
      <c r="AC3587">
        <v>22.450600000000001</v>
      </c>
      <c r="AD3587">
        <v>-1.104533964469</v>
      </c>
      <c r="AE3587">
        <v>6.0000000000002197E-2</v>
      </c>
      <c r="AF3587">
        <v>1.9425590611296902E-2</v>
      </c>
      <c r="AG3587">
        <v>-1.104533964469</v>
      </c>
      <c r="AH3587">
        <v>22.396461837077801</v>
      </c>
      <c r="AI3587">
        <v>92.823386951819501</v>
      </c>
      <c r="AJ3587">
        <v>89.9503044683767</v>
      </c>
      <c r="AK3587">
        <v>22.423690049853899</v>
      </c>
    </row>
    <row r="3588" spans="1:37" x14ac:dyDescent="0.2">
      <c r="A3588" t="str">
        <f>"20200111155618643"</f>
        <v>20200111155618643</v>
      </c>
      <c r="B3588" t="str">
        <f>"1578729378636729"</f>
        <v>1578729378636729</v>
      </c>
      <c r="C3588" t="s">
        <v>37</v>
      </c>
      <c r="D3588">
        <v>5.006545</v>
      </c>
      <c r="E3588">
        <v>0.53072319999999995</v>
      </c>
      <c r="F3588" t="s">
        <v>61</v>
      </c>
      <c r="G3588">
        <v>-316.84539999999998</v>
      </c>
      <c r="H3588" s="1">
        <v>3.9413109999999999E-6</v>
      </c>
      <c r="I3588">
        <v>214.16489999999999</v>
      </c>
      <c r="J3588">
        <v>-339.17989999999998</v>
      </c>
      <c r="K3588">
        <v>1.1046100000000001</v>
      </c>
      <c r="L3588">
        <v>214.10159999999999</v>
      </c>
      <c r="M3588">
        <v>0.99993670000000001</v>
      </c>
      <c r="N3588">
        <v>0</v>
      </c>
      <c r="O3588">
        <v>3.7083369999999999E-3</v>
      </c>
      <c r="P3588">
        <v>0.99618739999999995</v>
      </c>
      <c r="Q3588">
        <v>3.1639439999999998E-2</v>
      </c>
      <c r="R3588">
        <v>8.1299839999999998E-2</v>
      </c>
      <c r="S3588">
        <v>3.015625</v>
      </c>
      <c r="T3588">
        <v>-0.14697299999999999</v>
      </c>
      <c r="U3588">
        <v>8.6059569999999991E-3</v>
      </c>
      <c r="V3588">
        <v>-7.7625840000000002E-2</v>
      </c>
      <c r="W3588">
        <v>4.2192159999999999E-2</v>
      </c>
      <c r="X3588">
        <v>0.99608940000000001</v>
      </c>
      <c r="Y3588">
        <v>8.4936359999999999E-4</v>
      </c>
      <c r="Z3588">
        <v>-2.0132139999999999E-4</v>
      </c>
      <c r="AA3588">
        <v>0.99999959999999899</v>
      </c>
      <c r="AB3588">
        <v>38</v>
      </c>
      <c r="AC3588">
        <v>22.334499999999899</v>
      </c>
      <c r="AD3588">
        <v>-1.1046060586890001</v>
      </c>
      <c r="AE3588">
        <v>6.3299999999998094E-2</v>
      </c>
      <c r="AF3588">
        <v>1.9481309961898001E-2</v>
      </c>
      <c r="AG3588">
        <v>-1.1046060586890001</v>
      </c>
      <c r="AH3588">
        <v>22.280083773660401</v>
      </c>
      <c r="AI3588">
        <v>92.838295542918402</v>
      </c>
      <c r="AJ3588">
        <v>89.949901599694002</v>
      </c>
      <c r="AK3588">
        <v>22.307457654956</v>
      </c>
    </row>
    <row r="3589" spans="1:37" x14ac:dyDescent="0.2">
      <c r="A3589" t="str">
        <f>"20200111155618665"</f>
        <v>20200111155618665</v>
      </c>
      <c r="B3589" t="str">
        <f>"1578729378656249"</f>
        <v>1578729378656249</v>
      </c>
      <c r="C3589" t="s">
        <v>37</v>
      </c>
      <c r="D3589">
        <v>5.040324</v>
      </c>
      <c r="E3589">
        <v>0.53085649999999995</v>
      </c>
      <c r="F3589" t="s">
        <v>61</v>
      </c>
      <c r="G3589">
        <v>-316.83429999999998</v>
      </c>
      <c r="H3589" s="1">
        <v>3.9363559999999998E-6</v>
      </c>
      <c r="I3589">
        <v>214.15969999999999</v>
      </c>
      <c r="J3589">
        <v>-338.8159</v>
      </c>
      <c r="K3589">
        <v>1.1046799999999899</v>
      </c>
      <c r="L3589">
        <v>214.10310000000001</v>
      </c>
      <c r="M3589">
        <v>0.99993109999999996</v>
      </c>
      <c r="N3589">
        <v>0</v>
      </c>
      <c r="O3589">
        <v>3.9011739999999999E-3</v>
      </c>
      <c r="P3589">
        <v>0.99623419999999896</v>
      </c>
      <c r="Q3589">
        <v>3.0313150000000001E-2</v>
      </c>
      <c r="R3589">
        <v>8.1232159999999998E-2</v>
      </c>
      <c r="S3589">
        <v>3.0155939999999899</v>
      </c>
      <c r="T3589">
        <v>-0.1490688</v>
      </c>
      <c r="U3589">
        <v>7.8430180000000002E-3</v>
      </c>
      <c r="V3589">
        <v>-7.7365089999999997E-2</v>
      </c>
      <c r="W3589">
        <v>4.1308400000000002E-2</v>
      </c>
      <c r="X3589">
        <v>0.99614669999999905</v>
      </c>
      <c r="Y3589">
        <v>1.294265E-3</v>
      </c>
      <c r="Z3589">
        <v>-2.2470849999999901E-4</v>
      </c>
      <c r="AA3589">
        <v>0.99999919999999998</v>
      </c>
      <c r="AB3589">
        <v>38</v>
      </c>
      <c r="AC3589">
        <v>21.9816</v>
      </c>
      <c r="AD3589">
        <v>-1.1046760636439901</v>
      </c>
      <c r="AE3589">
        <v>5.6599999999974601E-2</v>
      </c>
      <c r="AF3589">
        <v>2.9086275771987299E-2</v>
      </c>
      <c r="AG3589">
        <v>-1.1046760636439901</v>
      </c>
      <c r="AH3589">
        <v>21.926278579746899</v>
      </c>
      <c r="AI3589">
        <v>92.884198963669306</v>
      </c>
      <c r="AJ3589">
        <v>89.923994404254003</v>
      </c>
      <c r="AK3589">
        <v>21.954107760819898</v>
      </c>
    </row>
    <row r="3590" spans="1:37" x14ac:dyDescent="0.2">
      <c r="A3590" t="str">
        <f>"20200111155618686"</f>
        <v>20200111155618686</v>
      </c>
      <c r="B3590" t="str">
        <f>"1578729378676746"</f>
        <v>1578729378676746</v>
      </c>
      <c r="C3590" t="s">
        <v>37</v>
      </c>
      <c r="D3590">
        <v>5.0435349999999897</v>
      </c>
      <c r="E3590">
        <v>0.53093809999999997</v>
      </c>
      <c r="F3590" t="s">
        <v>61</v>
      </c>
      <c r="G3590">
        <v>-317.05270000000002</v>
      </c>
      <c r="H3590" s="1">
        <v>4.0332410000000003E-6</v>
      </c>
      <c r="I3590">
        <v>214.14949999999999</v>
      </c>
      <c r="J3590">
        <v>-338.4461</v>
      </c>
      <c r="K3590">
        <v>1.104732</v>
      </c>
      <c r="L3590">
        <v>214.10480000000001</v>
      </c>
      <c r="M3590">
        <v>0.99992549999999902</v>
      </c>
      <c r="N3590">
        <v>0</v>
      </c>
      <c r="O3590">
        <v>4.1005059999999899E-3</v>
      </c>
      <c r="P3590">
        <v>0.9962609</v>
      </c>
      <c r="Q3590">
        <v>3.0687490000000001E-2</v>
      </c>
      <c r="R3590">
        <v>8.076324E-2</v>
      </c>
      <c r="S3590">
        <v>3.0154719999999999</v>
      </c>
      <c r="T3590">
        <v>-0.15306249999999999</v>
      </c>
      <c r="U3590">
        <v>6.4239500000000003E-3</v>
      </c>
      <c r="V3590">
        <v>-7.6697009999999996E-2</v>
      </c>
      <c r="W3590">
        <v>4.2107819999999997E-2</v>
      </c>
      <c r="X3590">
        <v>0.99616489999999902</v>
      </c>
      <c r="Y3590">
        <v>1.9626550000000002E-3</v>
      </c>
      <c r="Z3590">
        <v>-2.5779589999999999E-4</v>
      </c>
      <c r="AA3590">
        <v>0.99999799999999905</v>
      </c>
      <c r="AB3590">
        <v>38</v>
      </c>
      <c r="AC3590">
        <v>21.3933999999999</v>
      </c>
      <c r="AD3590">
        <v>-1.104727966759</v>
      </c>
      <c r="AE3590">
        <v>4.4699999999977501E-2</v>
      </c>
      <c r="AF3590">
        <v>4.2915502970865903E-2</v>
      </c>
      <c r="AG3590">
        <v>-1.104727966759</v>
      </c>
      <c r="AH3590">
        <v>21.3365086296741</v>
      </c>
      <c r="AI3590">
        <v>92.963917515341606</v>
      </c>
      <c r="AJ3590">
        <v>89.884757439807501</v>
      </c>
      <c r="AK3590">
        <v>21.365132017497402</v>
      </c>
    </row>
    <row r="3591" spans="1:37" x14ac:dyDescent="0.2">
      <c r="A3591" t="str">
        <f>"20200111155618710"</f>
        <v>20200111155618710</v>
      </c>
      <c r="B3591" t="str">
        <f>"1578729378706026"</f>
        <v>1578729378706026</v>
      </c>
      <c r="C3591" t="s">
        <v>37</v>
      </c>
      <c r="D3591">
        <v>5.0623889999999996</v>
      </c>
      <c r="E3591">
        <v>0.53111119999999901</v>
      </c>
      <c r="F3591" t="s">
        <v>61</v>
      </c>
      <c r="G3591">
        <v>-316.52870000000001</v>
      </c>
      <c r="H3591" s="1">
        <v>3.8008530000000001E-6</v>
      </c>
      <c r="I3591">
        <v>214.13509999999999</v>
      </c>
      <c r="J3591">
        <v>-338.0462</v>
      </c>
      <c r="K3591">
        <v>1.1047819999999999</v>
      </c>
      <c r="L3591">
        <v>214.10659999999999</v>
      </c>
      <c r="M3591">
        <v>0.99991980000000003</v>
      </c>
      <c r="N3591">
        <v>0</v>
      </c>
      <c r="O3591">
        <v>4.3154539999999998E-3</v>
      </c>
      <c r="P3591">
        <v>0.99628099999999997</v>
      </c>
      <c r="Q3591">
        <v>3.0558189999999999E-2</v>
      </c>
      <c r="R3591">
        <v>8.0566230000000003E-2</v>
      </c>
      <c r="S3591">
        <v>3.0155939999999899</v>
      </c>
      <c r="T3591">
        <v>-0.1519983</v>
      </c>
      <c r="U3591">
        <v>4.1809079999999997E-3</v>
      </c>
      <c r="V3591">
        <v>-7.6286119999999999E-2</v>
      </c>
      <c r="W3591">
        <v>4.2400819999999999E-2</v>
      </c>
      <c r="X3591">
        <v>0.99618399999999996</v>
      </c>
      <c r="Y3591">
        <v>2.9201549999999998E-3</v>
      </c>
      <c r="Z3591">
        <v>-2.909403E-4</v>
      </c>
      <c r="AA3591">
        <v>0.99999570000000004</v>
      </c>
      <c r="AB3591">
        <v>38</v>
      </c>
      <c r="AC3591">
        <v>21.517499999999899</v>
      </c>
      <c r="AD3591">
        <v>-1.104778199147</v>
      </c>
      <c r="AE3591">
        <v>2.8500000000008099E-2</v>
      </c>
      <c r="AF3591">
        <v>6.4195402776514601E-2</v>
      </c>
      <c r="AG3591">
        <v>-1.104778199147</v>
      </c>
      <c r="AH3591">
        <v>21.460849152340302</v>
      </c>
      <c r="AI3591">
        <v>92.946901978326807</v>
      </c>
      <c r="AJ3591">
        <v>89.828612808054999</v>
      </c>
      <c r="AK3591">
        <v>21.4893625372777</v>
      </c>
    </row>
    <row r="3592" spans="1:37" x14ac:dyDescent="0.2">
      <c r="A3592" t="str">
        <f>"20200111155618732"</f>
        <v>20200111155618732</v>
      </c>
      <c r="B3592" t="str">
        <f>"1578729378726522"</f>
        <v>1578729378726522</v>
      </c>
      <c r="C3592" t="s">
        <v>37</v>
      </c>
      <c r="D3592">
        <v>5.0438299999999998</v>
      </c>
      <c r="E3592">
        <v>0.53120849999999997</v>
      </c>
      <c r="F3592" t="s">
        <v>61</v>
      </c>
      <c r="G3592">
        <v>-316.22980000000001</v>
      </c>
      <c r="H3592" s="1">
        <v>3.6682999999999899E-6</v>
      </c>
      <c r="I3592">
        <v>214.12549999999999</v>
      </c>
      <c r="J3592">
        <v>-337.6696</v>
      </c>
      <c r="K3592">
        <v>1.1048169999999999</v>
      </c>
      <c r="L3592">
        <v>214.10839999999999</v>
      </c>
      <c r="M3592">
        <v>0.99991450000000004</v>
      </c>
      <c r="N3592">
        <v>0</v>
      </c>
      <c r="O3592">
        <v>4.5144850000000004E-3</v>
      </c>
      <c r="P3592">
        <v>0.99630680000000005</v>
      </c>
      <c r="Q3592">
        <v>3.064484E-2</v>
      </c>
      <c r="R3592">
        <v>8.0212270000000002E-2</v>
      </c>
      <c r="S3592">
        <v>3.0156860000000001</v>
      </c>
      <c r="T3592">
        <v>-0.15271379999999901</v>
      </c>
      <c r="U3592">
        <v>2.6092529999999902E-3</v>
      </c>
      <c r="V3592">
        <v>-7.5733179999999997E-2</v>
      </c>
      <c r="W3592">
        <v>4.2850069999999997E-2</v>
      </c>
      <c r="X3592">
        <v>0.99620699999999995</v>
      </c>
      <c r="Y3592">
        <v>3.6391570000000001E-3</v>
      </c>
      <c r="Z3592">
        <v>-3.2056700000000001E-4</v>
      </c>
      <c r="AA3592">
        <v>0.99999329999999997</v>
      </c>
      <c r="AB3592">
        <v>38</v>
      </c>
      <c r="AC3592">
        <v>21.439799999999899</v>
      </c>
      <c r="AD3592">
        <v>-1.1048133317</v>
      </c>
      <c r="AE3592">
        <v>1.7099999999999199E-2</v>
      </c>
      <c r="AF3592">
        <v>7.9486049222629196E-2</v>
      </c>
      <c r="AG3592">
        <v>-1.1048133317</v>
      </c>
      <c r="AH3592">
        <v>21.382877797169002</v>
      </c>
      <c r="AI3592">
        <v>92.957715329134601</v>
      </c>
      <c r="AJ3592">
        <v>89.787016779636701</v>
      </c>
      <c r="AK3592">
        <v>21.411548132225001</v>
      </c>
    </row>
    <row r="3593" spans="1:37" x14ac:dyDescent="0.2">
      <c r="A3593" t="str">
        <f>"20200111155618754"</f>
        <v>20200111155618754</v>
      </c>
      <c r="B3593" t="str">
        <f>"1578729378746041"</f>
        <v>1578729378746041</v>
      </c>
      <c r="C3593" t="s">
        <v>37</v>
      </c>
      <c r="D3593">
        <v>5.0927790000000002</v>
      </c>
      <c r="E3593">
        <v>0.53135829999999995</v>
      </c>
      <c r="F3593" t="s">
        <v>61</v>
      </c>
      <c r="G3593">
        <v>-315.81040000000002</v>
      </c>
      <c r="H3593" s="1">
        <v>3.4823140000000001E-6</v>
      </c>
      <c r="I3593">
        <v>214.1129</v>
      </c>
      <c r="J3593">
        <v>-337.2928</v>
      </c>
      <c r="K3593">
        <v>1.104843</v>
      </c>
      <c r="L3593">
        <v>214.1103</v>
      </c>
      <c r="M3593">
        <v>0.99990949999999901</v>
      </c>
      <c r="N3593">
        <v>0</v>
      </c>
      <c r="O3593">
        <v>4.7108089999999998E-3</v>
      </c>
      <c r="P3593">
        <v>0.99630980000000002</v>
      </c>
      <c r="Q3593">
        <v>3.057145E-2</v>
      </c>
      <c r="R3593">
        <v>8.0202499999999996E-2</v>
      </c>
      <c r="S3593">
        <v>3.0157470000000002</v>
      </c>
      <c r="T3593">
        <v>-0.15242229999999901</v>
      </c>
      <c r="U3593">
        <v>6.256104E-4</v>
      </c>
      <c r="V3593">
        <v>-7.5528090000000006E-2</v>
      </c>
      <c r="W3593">
        <v>4.3103990000000002E-2</v>
      </c>
      <c r="X3593">
        <v>0.99621159999999997</v>
      </c>
      <c r="Y3593">
        <v>4.4919900000000004E-3</v>
      </c>
      <c r="Z3593">
        <v>-3.5140570000000002E-4</v>
      </c>
      <c r="AA3593">
        <v>0.99998989999999999</v>
      </c>
      <c r="AB3593">
        <v>38</v>
      </c>
      <c r="AC3593">
        <v>21.482399999999899</v>
      </c>
      <c r="AD3593">
        <v>-1.104839517686</v>
      </c>
      <c r="AE3593">
        <v>2.6000000000010398E-3</v>
      </c>
      <c r="AF3593">
        <v>9.83474151391215E-2</v>
      </c>
      <c r="AG3593">
        <v>-1.104839517686</v>
      </c>
      <c r="AH3593">
        <v>21.4255024612361</v>
      </c>
      <c r="AI3593">
        <v>92.951900716659694</v>
      </c>
      <c r="AJ3593">
        <v>89.737002562785804</v>
      </c>
      <c r="AK3593">
        <v>21.454195354064002</v>
      </c>
    </row>
    <row r="3594" spans="1:37" x14ac:dyDescent="0.2">
      <c r="A3594" t="str">
        <f>"20200111155618776"</f>
        <v>20200111155618776</v>
      </c>
      <c r="B3594" t="str">
        <f>"1578729378766537"</f>
        <v>1578729378766537</v>
      </c>
      <c r="C3594" t="s">
        <v>37</v>
      </c>
      <c r="D3594">
        <v>5.1203940000000001</v>
      </c>
      <c r="E3594">
        <v>0.5314989</v>
      </c>
      <c r="F3594" t="s">
        <v>61</v>
      </c>
      <c r="G3594">
        <v>-315.46019999999999</v>
      </c>
      <c r="H3594" s="1">
        <v>3.3270389999999899E-6</v>
      </c>
      <c r="I3594">
        <v>214.10720000000001</v>
      </c>
      <c r="J3594">
        <v>-336.92219999999998</v>
      </c>
      <c r="K3594">
        <v>1.10486</v>
      </c>
      <c r="L3594">
        <v>214.1122</v>
      </c>
      <c r="M3594">
        <v>0.99990489999999999</v>
      </c>
      <c r="N3594">
        <v>0</v>
      </c>
      <c r="O3594">
        <v>4.9032670000000002E-3</v>
      </c>
      <c r="P3594">
        <v>0.99627299999999996</v>
      </c>
      <c r="Q3594">
        <v>3.075932E-2</v>
      </c>
      <c r="R3594">
        <v>8.0587149999999996E-2</v>
      </c>
      <c r="S3594">
        <v>3.0158079999999998</v>
      </c>
      <c r="T3594">
        <v>-0.1526151</v>
      </c>
      <c r="U3594">
        <v>-4.2724609999999998E-4</v>
      </c>
      <c r="V3594">
        <v>-7.5721289999999997E-2</v>
      </c>
      <c r="W3594">
        <v>4.3579430000000002E-2</v>
      </c>
      <c r="X3594">
        <v>0.99617619999999896</v>
      </c>
      <c r="Y3594">
        <v>5.0326269999999996E-3</v>
      </c>
      <c r="Z3594">
        <v>-3.7524809999999999E-4</v>
      </c>
      <c r="AA3594">
        <v>0.99998719999999996</v>
      </c>
      <c r="AB3594">
        <v>38</v>
      </c>
      <c r="AC3594">
        <v>21.4619999999999</v>
      </c>
      <c r="AD3594">
        <v>-1.1048566729610001</v>
      </c>
      <c r="AE3594">
        <v>-4.9999999999954499E-3</v>
      </c>
      <c r="AF3594">
        <v>0.10995121168767399</v>
      </c>
      <c r="AG3594">
        <v>-1.1048566729610001</v>
      </c>
      <c r="AH3594">
        <v>21.4049908717089</v>
      </c>
      <c r="AI3594">
        <v>92.954762359352699</v>
      </c>
      <c r="AJ3594">
        <v>89.705690835710598</v>
      </c>
      <c r="AK3594">
        <v>21.433768491674101</v>
      </c>
    </row>
    <row r="3595" spans="1:37" x14ac:dyDescent="0.2">
      <c r="A3595" t="str">
        <f>"20200111155618799"</f>
        <v>20200111155618799</v>
      </c>
      <c r="B3595" t="str">
        <f>"1578729378786057"</f>
        <v>1578729378786057</v>
      </c>
      <c r="C3595" t="s">
        <v>37</v>
      </c>
      <c r="D3595">
        <v>5.0407060000000001</v>
      </c>
      <c r="E3595">
        <v>0.53175079999999997</v>
      </c>
      <c r="F3595" t="s">
        <v>61</v>
      </c>
      <c r="G3595">
        <v>-314.95229999999998</v>
      </c>
      <c r="H3595" s="1">
        <v>3.1017759999999999E-6</v>
      </c>
      <c r="I3595">
        <v>214.10820000000001</v>
      </c>
      <c r="J3595">
        <v>-336.54349999999999</v>
      </c>
      <c r="K3595">
        <v>1.1048739999999999</v>
      </c>
      <c r="L3595">
        <v>214.11429999999999</v>
      </c>
      <c r="M3595">
        <v>0.99990049999999997</v>
      </c>
      <c r="N3595">
        <v>0</v>
      </c>
      <c r="O3595">
        <v>5.100673E-3</v>
      </c>
      <c r="P3595">
        <v>0.99627849999999996</v>
      </c>
      <c r="Q3595">
        <v>3.0908209999999998E-2</v>
      </c>
      <c r="R3595">
        <v>8.0461679999999994E-2</v>
      </c>
      <c r="S3595">
        <v>3.01593</v>
      </c>
      <c r="T3595">
        <v>-0.15166940000000001</v>
      </c>
      <c r="U3595">
        <v>-5.4931640000000002E-4</v>
      </c>
      <c r="V3595">
        <v>-7.5398820000000005E-2</v>
      </c>
      <c r="W3595">
        <v>4.398958E-2</v>
      </c>
      <c r="X3595">
        <v>0.99618269999999998</v>
      </c>
      <c r="Y3595">
        <v>5.2701429999999997E-3</v>
      </c>
      <c r="Z3595">
        <v>-3.8880179999999998E-4</v>
      </c>
      <c r="AA3595">
        <v>0.99998609999999899</v>
      </c>
      <c r="AB3595">
        <v>38</v>
      </c>
      <c r="AC3595">
        <v>21.591200000000001</v>
      </c>
      <c r="AD3595">
        <v>-1.1048708982240001</v>
      </c>
      <c r="AE3595">
        <v>-6.0999999999751201E-3</v>
      </c>
      <c r="AF3595">
        <v>0.115935508549018</v>
      </c>
      <c r="AG3595">
        <v>-1.1048708982240001</v>
      </c>
      <c r="AH3595">
        <v>21.534497689163999</v>
      </c>
      <c r="AI3595">
        <v>92.937057790508604</v>
      </c>
      <c r="AJ3595">
        <v>89.691539071155503</v>
      </c>
      <c r="AK3595">
        <v>21.5631345464544</v>
      </c>
    </row>
    <row r="3596" spans="1:37" x14ac:dyDescent="0.2">
      <c r="A3596" t="str">
        <f>"20200111155618822"</f>
        <v>20200111155618822</v>
      </c>
      <c r="B3596" t="str">
        <f>"1578729378816314"</f>
        <v>1578729378816314</v>
      </c>
      <c r="C3596" t="s">
        <v>37</v>
      </c>
      <c r="D3596">
        <v>5.0093420000000002</v>
      </c>
      <c r="E3596">
        <v>0.53216479999999999</v>
      </c>
      <c r="F3596" t="s">
        <v>61</v>
      </c>
      <c r="G3596">
        <v>-314.44850000000002</v>
      </c>
      <c r="H3596" s="1">
        <v>2.878367E-6</v>
      </c>
      <c r="I3596">
        <v>214.09370000000001</v>
      </c>
      <c r="J3596">
        <v>-336.15219999999999</v>
      </c>
      <c r="K3596">
        <v>1.1048789999999999</v>
      </c>
      <c r="L3596">
        <v>214.1165</v>
      </c>
      <c r="M3596">
        <v>0.99989619999999901</v>
      </c>
      <c r="N3596">
        <v>0</v>
      </c>
      <c r="O3596">
        <v>5.3061339999999997E-3</v>
      </c>
      <c r="P3596">
        <v>0.99626250000000005</v>
      </c>
      <c r="Q3596">
        <v>3.0594489999999998E-2</v>
      </c>
      <c r="R3596">
        <v>8.0776269999999997E-2</v>
      </c>
      <c r="S3596">
        <v>3.0161129999999998</v>
      </c>
      <c r="T3596">
        <v>-0.15082200000000001</v>
      </c>
      <c r="U3596">
        <v>-2.8076170000000001E-3</v>
      </c>
      <c r="V3596">
        <v>-7.5508329999999999E-2</v>
      </c>
      <c r="W3596">
        <v>4.391051E-2</v>
      </c>
      <c r="X3596">
        <v>0.99617789999999995</v>
      </c>
      <c r="Y3596">
        <v>6.2230619999999997E-3</v>
      </c>
      <c r="Z3596">
        <v>-4.206891E-4</v>
      </c>
      <c r="AA3596">
        <v>0.9999806</v>
      </c>
      <c r="AB3596">
        <v>38</v>
      </c>
      <c r="AC3596">
        <v>21.703699999999898</v>
      </c>
      <c r="AD3596">
        <v>-1.1048761216330001</v>
      </c>
      <c r="AE3596">
        <v>-2.2799999999989402E-2</v>
      </c>
      <c r="AF3596">
        <v>0.13761611425402501</v>
      </c>
      <c r="AG3596">
        <v>-1.1048761216330001</v>
      </c>
      <c r="AH3596">
        <v>21.6471737430467</v>
      </c>
      <c r="AI3596">
        <v>92.9217937430886</v>
      </c>
      <c r="AJ3596">
        <v>89.6357623209487</v>
      </c>
      <c r="AK3596">
        <v>21.675788809192301</v>
      </c>
    </row>
    <row r="3597" spans="1:37" x14ac:dyDescent="0.2">
      <c r="A3597" t="str">
        <f>"20200111155618843"</f>
        <v>20200111155618843</v>
      </c>
      <c r="B3597" t="str">
        <f>"1578729378836809"</f>
        <v>1578729378836809</v>
      </c>
      <c r="C3597" t="s">
        <v>37</v>
      </c>
      <c r="D3597">
        <v>5.0466110000000004</v>
      </c>
      <c r="E3597">
        <v>0.53245290000000001</v>
      </c>
      <c r="F3597" t="s">
        <v>61</v>
      </c>
      <c r="G3597">
        <v>-314.07569999999998</v>
      </c>
      <c r="H3597" s="1">
        <v>2.7130340000000002E-6</v>
      </c>
      <c r="I3597">
        <v>214.07929999999999</v>
      </c>
      <c r="J3597">
        <v>-335.79</v>
      </c>
      <c r="K3597">
        <v>1.1048830000000001</v>
      </c>
      <c r="L3597">
        <v>214.11859999999999</v>
      </c>
      <c r="M3597">
        <v>0.99989259999999902</v>
      </c>
      <c r="N3597">
        <v>0</v>
      </c>
      <c r="O3597">
        <v>5.49701599999999E-3</v>
      </c>
      <c r="P3597">
        <v>0.99624899999999905</v>
      </c>
      <c r="Q3597">
        <v>3.0274490000000001E-2</v>
      </c>
      <c r="R3597">
        <v>8.1064739999999996E-2</v>
      </c>
      <c r="S3597">
        <v>3.0162960000000001</v>
      </c>
      <c r="T3597">
        <v>-0.15095810000000001</v>
      </c>
      <c r="U3597">
        <v>-5.0811770000000001E-3</v>
      </c>
      <c r="V3597">
        <v>-7.5606610000000005E-2</v>
      </c>
      <c r="W3597">
        <v>4.3781889999999997E-2</v>
      </c>
      <c r="X3597">
        <v>0.99617610000000001</v>
      </c>
      <c r="Y3597">
        <v>7.1662119999999999E-3</v>
      </c>
      <c r="Z3597">
        <v>-4.54177399999999E-4</v>
      </c>
      <c r="AA3597">
        <v>0.99997420000000004</v>
      </c>
      <c r="AB3597">
        <v>38</v>
      </c>
      <c r="AC3597">
        <v>21.714300000000001</v>
      </c>
      <c r="AD3597">
        <v>-1.1048802869659999</v>
      </c>
      <c r="AE3597">
        <v>-3.9299999999997198E-2</v>
      </c>
      <c r="AF3597">
        <v>0.158264525874655</v>
      </c>
      <c r="AG3597">
        <v>-1.1048802869659999</v>
      </c>
      <c r="AH3597">
        <v>21.6576833839468</v>
      </c>
      <c r="AI3597">
        <v>92.920370426483899</v>
      </c>
      <c r="AJ3597">
        <v>89.581315886166706</v>
      </c>
      <c r="AK3597">
        <v>21.686425654495501</v>
      </c>
    </row>
    <row r="3598" spans="1:37" x14ac:dyDescent="0.2">
      <c r="A3598" t="str">
        <f>"20200111155618866"</f>
        <v>20200111155618866</v>
      </c>
      <c r="B3598" t="str">
        <f>"1578729378856329"</f>
        <v>1578729378856329</v>
      </c>
      <c r="C3598" t="s">
        <v>37</v>
      </c>
      <c r="D3598">
        <v>5.093343</v>
      </c>
      <c r="E3598">
        <v>0.53271789999999997</v>
      </c>
      <c r="F3598" t="s">
        <v>61</v>
      </c>
      <c r="G3598">
        <v>-313.75510000000003</v>
      </c>
      <c r="H3598" s="1">
        <v>2.5708699999999998E-6</v>
      </c>
      <c r="I3598">
        <v>214.07069999999999</v>
      </c>
      <c r="J3598">
        <v>-335.41660000000002</v>
      </c>
      <c r="K3598">
        <v>1.1048819999999999</v>
      </c>
      <c r="L3598">
        <v>214.12090000000001</v>
      </c>
      <c r="M3598">
        <v>0.99988909999999998</v>
      </c>
      <c r="N3598">
        <v>0</v>
      </c>
      <c r="O3598">
        <v>5.6942069999999997E-3</v>
      </c>
      <c r="P3598">
        <v>0.99626890000000001</v>
      </c>
      <c r="Q3598">
        <v>2.9813940000000001E-2</v>
      </c>
      <c r="R3598">
        <v>8.0989630000000007E-2</v>
      </c>
      <c r="S3598">
        <v>3.0164179999999998</v>
      </c>
      <c r="T3598">
        <v>-0.15124979999999999</v>
      </c>
      <c r="U3598">
        <v>-6.5612789999999997E-3</v>
      </c>
      <c r="V3598">
        <v>-7.5334899999999996E-2</v>
      </c>
      <c r="W3598">
        <v>4.3493669999999998E-2</v>
      </c>
      <c r="X3598">
        <v>0.99620929999999996</v>
      </c>
      <c r="Y3598">
        <v>7.8528599999999997E-3</v>
      </c>
      <c r="Z3598">
        <v>-4.821224E-4</v>
      </c>
      <c r="AA3598">
        <v>0.99996909999999894</v>
      </c>
      <c r="AB3598">
        <v>38</v>
      </c>
      <c r="AC3598">
        <v>21.661499999999901</v>
      </c>
      <c r="AD3598">
        <v>-1.1048794291299999</v>
      </c>
      <c r="AE3598">
        <v>-5.0200000000018001E-2</v>
      </c>
      <c r="AF3598">
        <v>0.17310556944623401</v>
      </c>
      <c r="AG3598">
        <v>-1.1048794291299999</v>
      </c>
      <c r="AH3598">
        <v>21.604654931159601</v>
      </c>
      <c r="AI3598">
        <v>92.927507951224499</v>
      </c>
      <c r="AJ3598">
        <v>89.540931973544602</v>
      </c>
      <c r="AK3598">
        <v>21.633581275081799</v>
      </c>
    </row>
    <row r="3599" spans="1:37" x14ac:dyDescent="0.2">
      <c r="A3599" t="str">
        <f>"20200111155618888"</f>
        <v>20200111155618888</v>
      </c>
      <c r="B3599" t="str">
        <f>"1578729378876826"</f>
        <v>1578729378876826</v>
      </c>
      <c r="C3599" t="s">
        <v>37</v>
      </c>
      <c r="D3599">
        <v>5.0746519999999897</v>
      </c>
      <c r="E3599">
        <v>0.53297249999999996</v>
      </c>
      <c r="F3599" t="s">
        <v>61</v>
      </c>
      <c r="G3599">
        <v>-313.5283</v>
      </c>
      <c r="H3599" s="1">
        <v>2.4702999999999999E-6</v>
      </c>
      <c r="I3599">
        <v>214.05719999999999</v>
      </c>
      <c r="J3599">
        <v>-335.04539999999997</v>
      </c>
      <c r="K3599">
        <v>1.1048910000000001</v>
      </c>
      <c r="L3599">
        <v>214.1232</v>
      </c>
      <c r="M3599">
        <v>0.99988600000000005</v>
      </c>
      <c r="N3599">
        <v>0</v>
      </c>
      <c r="O3599">
        <v>5.8898739999999998E-3</v>
      </c>
      <c r="P3599">
        <v>0.99627730000000003</v>
      </c>
      <c r="Q3599">
        <v>2.973042E-2</v>
      </c>
      <c r="R3599">
        <v>8.0918669999999998E-2</v>
      </c>
      <c r="S3599">
        <v>3.0165709999999999</v>
      </c>
      <c r="T3599">
        <v>-0.15227089999999999</v>
      </c>
      <c r="U3599">
        <v>-8.7738039999999996E-3</v>
      </c>
      <c r="V3599">
        <v>-7.5068670000000004E-2</v>
      </c>
      <c r="W3599">
        <v>4.3559889999999997E-2</v>
      </c>
      <c r="X3599">
        <v>0.99622649999999902</v>
      </c>
      <c r="Y3599">
        <v>8.7802119999999904E-3</v>
      </c>
      <c r="Z3599">
        <v>-5.1861120000000005E-4</v>
      </c>
      <c r="AA3599">
        <v>0.99996130000000005</v>
      </c>
      <c r="AB3599">
        <v>38</v>
      </c>
      <c r="AC3599">
        <v>21.5170999999999</v>
      </c>
      <c r="AD3599">
        <v>-1.1048885297</v>
      </c>
      <c r="AE3599">
        <v>-6.6000000000002501E-2</v>
      </c>
      <c r="AF3599">
        <v>0.192237235771444</v>
      </c>
      <c r="AG3599">
        <v>-1.1048885297</v>
      </c>
      <c r="AH3599">
        <v>21.459754394591801</v>
      </c>
      <c r="AI3599">
        <v>92.947240962311497</v>
      </c>
      <c r="AJ3599">
        <v>89.4867561172818</v>
      </c>
      <c r="AK3599">
        <v>21.4890388918183</v>
      </c>
    </row>
    <row r="3600" spans="1:37" x14ac:dyDescent="0.2">
      <c r="A3600" t="str">
        <f>"20200111155618910"</f>
        <v>20200111155618910</v>
      </c>
      <c r="B3600" t="str">
        <f>"1578729378906106"</f>
        <v>1578729378906106</v>
      </c>
      <c r="C3600" t="s">
        <v>37</v>
      </c>
      <c r="D3600">
        <v>5.0808650000000002</v>
      </c>
      <c r="E3600">
        <v>0.53334559999999998</v>
      </c>
      <c r="F3600" t="s">
        <v>61</v>
      </c>
      <c r="G3600">
        <v>-313.12529999999998</v>
      </c>
      <c r="H3600" s="1">
        <v>2.291583E-6</v>
      </c>
      <c r="I3600">
        <v>214.0428</v>
      </c>
      <c r="J3600">
        <v>-334.65699999999998</v>
      </c>
      <c r="K3600">
        <v>1.104894</v>
      </c>
      <c r="L3600">
        <v>214.12569999999999</v>
      </c>
      <c r="M3600">
        <v>0.99988279999999996</v>
      </c>
      <c r="N3600">
        <v>0</v>
      </c>
      <c r="O3600">
        <v>6.0945069999999999E-3</v>
      </c>
      <c r="P3600">
        <v>0.99628909999999904</v>
      </c>
      <c r="Q3600">
        <v>2.9593359999999999E-2</v>
      </c>
      <c r="R3600">
        <v>8.0824350000000003E-2</v>
      </c>
      <c r="S3600">
        <v>3.0166629999999999</v>
      </c>
      <c r="T3600">
        <v>-0.15205539999999901</v>
      </c>
      <c r="U3600">
        <v>-1.106262E-2</v>
      </c>
      <c r="V3600">
        <v>-7.4770349999999999E-2</v>
      </c>
      <c r="W3600">
        <v>4.3558939999999997E-2</v>
      </c>
      <c r="X3600">
        <v>0.99624899999999905</v>
      </c>
      <c r="Y3600">
        <v>9.7420419999999994E-3</v>
      </c>
      <c r="Z3600">
        <v>-5.5239679999999998E-4</v>
      </c>
      <c r="AA3600">
        <v>0.99995239999999996</v>
      </c>
      <c r="AB3600">
        <v>38</v>
      </c>
      <c r="AC3600">
        <v>21.531700000000001</v>
      </c>
      <c r="AD3600">
        <v>-1.104891708417</v>
      </c>
      <c r="AE3600">
        <v>-8.2899999999995005E-2</v>
      </c>
      <c r="AF3600">
        <v>0.21357412633960701</v>
      </c>
      <c r="AG3600">
        <v>-1.104891708417</v>
      </c>
      <c r="AH3600">
        <v>21.474249738323198</v>
      </c>
      <c r="AI3600">
        <v>92.945236065421298</v>
      </c>
      <c r="AJ3600">
        <v>89.430178341247597</v>
      </c>
      <c r="AK3600">
        <v>21.5037159909316</v>
      </c>
    </row>
    <row r="3601" spans="1:37" x14ac:dyDescent="0.2">
      <c r="A3601" t="str">
        <f>"20200111155618933"</f>
        <v>20200111155618933</v>
      </c>
      <c r="B3601" t="str">
        <f>"1578729378926601"</f>
        <v>1578729378926601</v>
      </c>
      <c r="C3601" t="s">
        <v>37</v>
      </c>
      <c r="D3601">
        <v>5.0685190000000002</v>
      </c>
      <c r="E3601">
        <v>0.53358249999999996</v>
      </c>
      <c r="F3601" t="s">
        <v>61</v>
      </c>
      <c r="G3601">
        <v>-312.70830000000001</v>
      </c>
      <c r="H3601" s="1">
        <v>2.1066639999999999E-6</v>
      </c>
      <c r="I3601">
        <v>214.0204</v>
      </c>
      <c r="J3601">
        <v>-334.2765</v>
      </c>
      <c r="K3601">
        <v>1.1049020000000001</v>
      </c>
      <c r="L3601">
        <v>214.12819999999999</v>
      </c>
      <c r="M3601">
        <v>0.99987990000000004</v>
      </c>
      <c r="N3601">
        <v>0</v>
      </c>
      <c r="O3601">
        <v>6.2948659999999997E-3</v>
      </c>
      <c r="P3601">
        <v>0.99628280000000002</v>
      </c>
      <c r="Q3601">
        <v>2.9834679999999999E-2</v>
      </c>
      <c r="R3601">
        <v>8.0812309999999998E-2</v>
      </c>
      <c r="S3601">
        <v>3.0168459999999899</v>
      </c>
      <c r="T3601">
        <v>-0.1518669</v>
      </c>
      <c r="U3601">
        <v>-1.446533E-2</v>
      </c>
      <c r="V3601">
        <v>-7.4558730000000004E-2</v>
      </c>
      <c r="W3601">
        <v>4.391432E-2</v>
      </c>
      <c r="X3601">
        <v>0.9962493</v>
      </c>
      <c r="Y3601">
        <v>1.1068140000000001E-2</v>
      </c>
      <c r="Z3601">
        <v>-5.951156E-4</v>
      </c>
      <c r="AA3601">
        <v>0.99993849999999995</v>
      </c>
      <c r="AB3601">
        <v>38</v>
      </c>
      <c r="AC3601">
        <v>21.568199999999901</v>
      </c>
      <c r="AD3601">
        <v>-1.1048998933359999</v>
      </c>
      <c r="AE3601">
        <v>-0.107799999999997</v>
      </c>
      <c r="AF3601">
        <v>0.24294286382572899</v>
      </c>
      <c r="AG3601">
        <v>-1.1048998933359999</v>
      </c>
      <c r="AH3601">
        <v>21.510644362828302</v>
      </c>
      <c r="AI3601">
        <v>92.940241382137501</v>
      </c>
      <c r="AJ3601">
        <v>89.352924592730901</v>
      </c>
      <c r="AK3601">
        <v>21.540372464594402</v>
      </c>
    </row>
    <row r="3602" spans="1:37" x14ac:dyDescent="0.2">
      <c r="A3602" t="str">
        <f>"20200111155618955"</f>
        <v>20200111155618955</v>
      </c>
      <c r="B3602" t="str">
        <f>"1578729378946122"</f>
        <v>1578729378946122</v>
      </c>
      <c r="C3602" t="s">
        <v>37</v>
      </c>
      <c r="D3602">
        <v>5.1904329999999996</v>
      </c>
      <c r="E3602">
        <v>0.53358249999999996</v>
      </c>
      <c r="F3602" t="s">
        <v>61</v>
      </c>
      <c r="G3602">
        <v>-312.17989999999998</v>
      </c>
      <c r="H3602" s="1">
        <v>1.872322E-6</v>
      </c>
      <c r="I3602">
        <v>214.00880000000001</v>
      </c>
      <c r="J3602">
        <v>-333.91950000000003</v>
      </c>
      <c r="K3602">
        <v>1.104903</v>
      </c>
      <c r="L3602">
        <v>214.13059999999999</v>
      </c>
      <c r="M3602">
        <v>0.99987739999999903</v>
      </c>
      <c r="N3602">
        <v>0</v>
      </c>
      <c r="O3602">
        <v>6.48255599999999E-3</v>
      </c>
      <c r="P3602">
        <v>0.99628109999999903</v>
      </c>
      <c r="Q3602">
        <v>2.9837849999999999E-2</v>
      </c>
      <c r="R3602">
        <v>8.0831940000000005E-2</v>
      </c>
      <c r="S3602">
        <v>3.0170590000000002</v>
      </c>
      <c r="T3602">
        <v>-0.15086250000000001</v>
      </c>
      <c r="U3602">
        <v>-1.6296390000000001E-2</v>
      </c>
      <c r="V3602">
        <v>-7.4391199999999894E-2</v>
      </c>
      <c r="W3602">
        <v>4.4010550000000002E-2</v>
      </c>
      <c r="X3602">
        <v>0.99625750000000002</v>
      </c>
      <c r="Y3602">
        <v>1.1861419999999999E-2</v>
      </c>
      <c r="Z3602">
        <v>-6.2034310000000001E-4</v>
      </c>
      <c r="AA3602">
        <v>0.99992950000000003</v>
      </c>
      <c r="AB3602">
        <v>38</v>
      </c>
      <c r="AC3602">
        <v>21.739599999999999</v>
      </c>
      <c r="AD3602">
        <v>-1.1049011276780001</v>
      </c>
      <c r="AE3602">
        <v>-0.12179999999997899</v>
      </c>
      <c r="AF3602">
        <v>0.26206301475728999</v>
      </c>
      <c r="AG3602">
        <v>-1.1049011276780001</v>
      </c>
      <c r="AH3602">
        <v>21.682347221870799</v>
      </c>
      <c r="AI3602">
        <v>92.916974218454001</v>
      </c>
      <c r="AJ3602">
        <v>89.307530062435305</v>
      </c>
      <c r="AK3602">
        <v>21.712062651333198</v>
      </c>
    </row>
    <row r="3603" spans="1:37" x14ac:dyDescent="0.2">
      <c r="A3603" t="str">
        <f>"20200111155618977"</f>
        <v>20200111155618977</v>
      </c>
      <c r="B3603" t="str">
        <f>"1578729378966617"</f>
        <v>1578729378966617</v>
      </c>
      <c r="C3603" t="s">
        <v>37</v>
      </c>
      <c r="D3603">
        <v>5.1763879999999904</v>
      </c>
      <c r="E3603">
        <v>0.60916499999999996</v>
      </c>
      <c r="F3603" t="s">
        <v>61</v>
      </c>
      <c r="G3603">
        <v>-311.81580000000002</v>
      </c>
      <c r="H3603" s="1">
        <v>1.7108959999999899E-6</v>
      </c>
      <c r="I3603">
        <v>214.01079999999999</v>
      </c>
      <c r="J3603">
        <v>-333.54410000000001</v>
      </c>
      <c r="K3603">
        <v>1.1049100000000001</v>
      </c>
      <c r="L3603">
        <v>214.13319999999999</v>
      </c>
      <c r="M3603">
        <v>0.99987490000000001</v>
      </c>
      <c r="N3603">
        <v>0</v>
      </c>
      <c r="O3603">
        <v>6.6803729999999999E-3</v>
      </c>
      <c r="P3603">
        <v>0.99627529999999997</v>
      </c>
      <c r="Q3603">
        <v>2.952722E-2</v>
      </c>
      <c r="R3603">
        <v>8.1017229999999996E-2</v>
      </c>
      <c r="S3603">
        <v>3.017029</v>
      </c>
      <c r="T3603">
        <v>-0.15081269999999999</v>
      </c>
      <c r="U3603">
        <v>-1.6357420000000001E-2</v>
      </c>
      <c r="V3603">
        <v>-7.4379109999999998E-2</v>
      </c>
      <c r="W3603">
        <v>4.378427E-2</v>
      </c>
      <c r="X3603">
        <v>0.99626840000000005</v>
      </c>
      <c r="Y3603">
        <v>1.2079039999999999E-2</v>
      </c>
      <c r="Z3603">
        <v>-6.3546399999999997E-4</v>
      </c>
      <c r="AA3603">
        <v>0.99992689999999995</v>
      </c>
      <c r="AB3603">
        <v>38</v>
      </c>
      <c r="AC3603">
        <v>21.728299999999901</v>
      </c>
      <c r="AD3603">
        <v>-1.1049082891040001</v>
      </c>
      <c r="AE3603">
        <v>-0.122399999999998</v>
      </c>
      <c r="AF3603">
        <v>0.26687526404044998</v>
      </c>
      <c r="AG3603">
        <v>-1.1049082891040001</v>
      </c>
      <c r="AH3603">
        <v>21.670961521859301</v>
      </c>
      <c r="AI3603">
        <v>92.918514883486495</v>
      </c>
      <c r="AJ3603">
        <v>89.294445086906094</v>
      </c>
      <c r="AK3603">
        <v>21.700751554169599</v>
      </c>
    </row>
    <row r="3604" spans="1:37" x14ac:dyDescent="0.2">
      <c r="A3604" t="str">
        <f>"20200111155619000"</f>
        <v>20200111155619000</v>
      </c>
      <c r="B3604" t="str">
        <f>"1578729378996874"</f>
        <v>1578729378996874</v>
      </c>
      <c r="C3604" t="s">
        <v>37</v>
      </c>
      <c r="D3604">
        <v>5.0962550000000002</v>
      </c>
      <c r="E3604">
        <v>0.60076319999999905</v>
      </c>
      <c r="F3604" t="s">
        <v>61</v>
      </c>
      <c r="G3604">
        <v>-301.97710000000001</v>
      </c>
      <c r="H3604" s="1">
        <v>2.705699E-6</v>
      </c>
      <c r="I3604">
        <v>207.7646</v>
      </c>
      <c r="J3604">
        <v>-333.16329999999999</v>
      </c>
      <c r="K3604">
        <v>1.104922</v>
      </c>
      <c r="L3604">
        <v>214.136</v>
      </c>
      <c r="M3604">
        <v>0.9998726</v>
      </c>
      <c r="N3604">
        <v>0</v>
      </c>
      <c r="O3604">
        <v>6.8806529999999996E-3</v>
      </c>
      <c r="P3604">
        <v>0.9962493</v>
      </c>
      <c r="Q3604">
        <v>2.929296E-2</v>
      </c>
      <c r="R3604">
        <v>8.1422410000000001E-2</v>
      </c>
      <c r="S3604">
        <v>3.0646360000000001</v>
      </c>
      <c r="T3604">
        <v>-0.1072683</v>
      </c>
      <c r="U3604">
        <v>-0.61828609999999995</v>
      </c>
      <c r="V3604">
        <v>-7.458439E-2</v>
      </c>
      <c r="W3604">
        <v>4.362278E-2</v>
      </c>
      <c r="X3604">
        <v>0.99626009999999998</v>
      </c>
      <c r="Y3604">
        <v>0.20438049999999999</v>
      </c>
      <c r="Z3604">
        <v>-3.7785609999999902E-3</v>
      </c>
      <c r="AA3604">
        <v>0.97888419999999898</v>
      </c>
      <c r="AB3604">
        <v>37</v>
      </c>
      <c r="AC3604">
        <v>31.1861999999999</v>
      </c>
      <c r="AD3604">
        <v>-1.104919294301</v>
      </c>
      <c r="AE3604">
        <v>-6.3713999999999897</v>
      </c>
      <c r="AF3604">
        <v>6.5779266044548299</v>
      </c>
      <c r="AG3604">
        <v>-1.104919294301</v>
      </c>
      <c r="AH3604">
        <v>31.104138034559199</v>
      </c>
      <c r="AI3604">
        <v>91.990487449980506</v>
      </c>
      <c r="AJ3604">
        <v>78.058987556532401</v>
      </c>
      <c r="AK3604">
        <v>31.811277370351299</v>
      </c>
    </row>
    <row r="3605" spans="1:37" x14ac:dyDescent="0.2">
      <c r="A3605" t="str">
        <f>"20200111155619023"</f>
        <v>20200111155619023</v>
      </c>
      <c r="B3605" t="str">
        <f>"1578729379016394"</f>
        <v>1578729379016394</v>
      </c>
      <c r="C3605" t="s">
        <v>37</v>
      </c>
      <c r="D3605">
        <v>5.0905209999999999</v>
      </c>
      <c r="E3605">
        <v>0.59912180000000004</v>
      </c>
      <c r="F3605" t="s">
        <v>61</v>
      </c>
      <c r="G3605">
        <v>-311.3304</v>
      </c>
      <c r="H3605" s="1">
        <v>1.495633E-6</v>
      </c>
      <c r="I3605">
        <v>210.22130000000001</v>
      </c>
      <c r="J3605">
        <v>-332.78199999999998</v>
      </c>
      <c r="K3605">
        <v>1.104922</v>
      </c>
      <c r="L3605">
        <v>214.1388</v>
      </c>
      <c r="M3605">
        <v>0.99987019999999904</v>
      </c>
      <c r="N3605">
        <v>0</v>
      </c>
      <c r="O3605">
        <v>7.0817800000000002E-3</v>
      </c>
      <c r="P3605">
        <v>0.99621539999999997</v>
      </c>
      <c r="Q3605">
        <v>2.9588449999999999E-2</v>
      </c>
      <c r="R3605">
        <v>8.172857E-2</v>
      </c>
      <c r="S3605">
        <v>3.0606990000000001</v>
      </c>
      <c r="T3605">
        <v>-0.154895899999999</v>
      </c>
      <c r="U3605">
        <v>-0.54878229999999995</v>
      </c>
      <c r="V3605">
        <v>-7.4690580000000006E-2</v>
      </c>
      <c r="W3605">
        <v>4.3979589999999999E-2</v>
      </c>
      <c r="X3605">
        <v>0.99623649999999997</v>
      </c>
      <c r="Y3605">
        <v>0.1832162</v>
      </c>
      <c r="Z3605">
        <v>-4.9519859999999898E-3</v>
      </c>
      <c r="AA3605">
        <v>0.98306019999999905</v>
      </c>
      <c r="AB3605">
        <v>37</v>
      </c>
      <c r="AC3605">
        <v>21.4515999999999</v>
      </c>
      <c r="AD3605">
        <v>-1.1049205043670001</v>
      </c>
      <c r="AE3605">
        <v>-3.91749999999998</v>
      </c>
      <c r="AF3605">
        <v>4.0589122759025402</v>
      </c>
      <c r="AG3605">
        <v>-1.1049205043670001</v>
      </c>
      <c r="AH3605">
        <v>21.368454611384799</v>
      </c>
      <c r="AI3605">
        <v>92.908108640042798</v>
      </c>
      <c r="AJ3605">
        <v>79.244864362561799</v>
      </c>
      <c r="AK3605">
        <v>21.778578251650298</v>
      </c>
    </row>
    <row r="3606" spans="1:37" x14ac:dyDescent="0.2">
      <c r="A3606" t="str">
        <f>"20200111155619045"</f>
        <v>20200111155619045</v>
      </c>
      <c r="B3606" t="str">
        <f>"1578729379035914"</f>
        <v>1578729379035914</v>
      </c>
      <c r="C3606" t="s">
        <v>37</v>
      </c>
      <c r="D3606">
        <v>5.1827670000000001</v>
      </c>
      <c r="E3606">
        <v>0.59827079999999999</v>
      </c>
      <c r="F3606" t="s">
        <v>61</v>
      </c>
      <c r="G3606">
        <v>-312.4588</v>
      </c>
      <c r="H3606" s="1">
        <v>1.99600599999999E-6</v>
      </c>
      <c r="I3606">
        <v>210.59110000000001</v>
      </c>
      <c r="J3606">
        <v>-332.41210000000001</v>
      </c>
      <c r="K3606">
        <v>1.104932</v>
      </c>
      <c r="L3606">
        <v>214.14160000000001</v>
      </c>
      <c r="M3606">
        <v>0.99986799999999998</v>
      </c>
      <c r="N3606">
        <v>0</v>
      </c>
      <c r="O3606">
        <v>7.2768989999999999E-3</v>
      </c>
      <c r="P3606">
        <v>0.99614939999999996</v>
      </c>
      <c r="Q3606">
        <v>2.9911030000000002E-2</v>
      </c>
      <c r="R3606">
        <v>8.2412650000000004E-2</v>
      </c>
      <c r="S3606">
        <v>3.0602419999999899</v>
      </c>
      <c r="T3606">
        <v>-0.16637750000000001</v>
      </c>
      <c r="U3606">
        <v>-0.53421019999999997</v>
      </c>
      <c r="V3606">
        <v>-7.5180529999999995E-2</v>
      </c>
      <c r="W3606">
        <v>4.4352589999999997E-2</v>
      </c>
      <c r="X3606">
        <v>0.99618309999999999</v>
      </c>
      <c r="Y3606">
        <v>0.1788621</v>
      </c>
      <c r="Z3606">
        <v>-5.2146459999999999E-3</v>
      </c>
      <c r="AA3606">
        <v>0.98386030000000002</v>
      </c>
      <c r="AB3606">
        <v>37</v>
      </c>
      <c r="AC3606">
        <v>19.953299999999999</v>
      </c>
      <c r="AD3606">
        <v>-1.104930003994</v>
      </c>
      <c r="AE3606">
        <v>-3.5504999999999902</v>
      </c>
      <c r="AF3606">
        <v>3.6846672655710799</v>
      </c>
      <c r="AG3606">
        <v>-1.104930003994</v>
      </c>
      <c r="AH3606">
        <v>19.867877624178298</v>
      </c>
      <c r="AI3606">
        <v>93.1298999065489</v>
      </c>
      <c r="AJ3606">
        <v>79.493381820026002</v>
      </c>
      <c r="AK3606">
        <v>20.236852632289999</v>
      </c>
    </row>
    <row r="3607" spans="1:37" x14ac:dyDescent="0.2">
      <c r="A3607" t="str">
        <f>"20200111155619066"</f>
        <v>20200111155619066</v>
      </c>
      <c r="B3607" t="str">
        <f>"1578729379056409"</f>
        <v>1578729379056409</v>
      </c>
      <c r="C3607" t="s">
        <v>37</v>
      </c>
      <c r="D3607">
        <v>5.126544</v>
      </c>
      <c r="E3607">
        <v>0.59793699999999905</v>
      </c>
      <c r="F3607" t="s">
        <v>61</v>
      </c>
      <c r="G3607">
        <v>-312.78370000000001</v>
      </c>
      <c r="H3607" s="1">
        <v>2.140089E-6</v>
      </c>
      <c r="I3607">
        <v>210.77330000000001</v>
      </c>
      <c r="J3607">
        <v>-332.0591</v>
      </c>
      <c r="K3607">
        <v>1.104949</v>
      </c>
      <c r="L3607">
        <v>214.14429999999999</v>
      </c>
      <c r="M3607">
        <v>0.99986600000000003</v>
      </c>
      <c r="N3607">
        <v>0</v>
      </c>
      <c r="O3607">
        <v>7.4630259999999898E-3</v>
      </c>
      <c r="P3607">
        <v>0.9960928</v>
      </c>
      <c r="Q3607">
        <v>3.0596169999999999E-2</v>
      </c>
      <c r="R3607">
        <v>8.2842789999999999E-2</v>
      </c>
      <c r="S3607">
        <v>3.060181</v>
      </c>
      <c r="T3607">
        <v>-0.1722648</v>
      </c>
      <c r="U3607">
        <v>-0.52513120000000002</v>
      </c>
      <c r="V3607">
        <v>-7.5426030000000005E-2</v>
      </c>
      <c r="W3607">
        <v>4.5079029999999999E-2</v>
      </c>
      <c r="X3607">
        <v>0.99613189999999996</v>
      </c>
      <c r="Y3607">
        <v>0.1761983</v>
      </c>
      <c r="Z3607">
        <v>-5.3363669999999998E-3</v>
      </c>
      <c r="AA3607">
        <v>0.98434029999999995</v>
      </c>
      <c r="AB3607">
        <v>37</v>
      </c>
      <c r="AC3607">
        <v>19.275399999999902</v>
      </c>
      <c r="AD3607">
        <v>-1.1049468599109999</v>
      </c>
      <c r="AE3607">
        <v>-3.37099999999998</v>
      </c>
      <c r="AF3607">
        <v>3.5036028009146598</v>
      </c>
      <c r="AG3607">
        <v>-1.1049468599109999</v>
      </c>
      <c r="AH3607">
        <v>19.188519164784299</v>
      </c>
      <c r="AI3607">
        <v>93.242181732421599</v>
      </c>
      <c r="AJ3607">
        <v>79.652436078740394</v>
      </c>
      <c r="AK3607">
        <v>19.537026587664201</v>
      </c>
    </row>
    <row r="3608" spans="1:37" x14ac:dyDescent="0.2">
      <c r="A3608" t="str">
        <f>"20200111155619089"</f>
        <v>20200111155619089</v>
      </c>
      <c r="B3608" t="str">
        <f>"1578729379086666"</f>
        <v>1578729379086666</v>
      </c>
      <c r="C3608" t="s">
        <v>37</v>
      </c>
      <c r="D3608">
        <v>5.2117239999999896</v>
      </c>
      <c r="E3608">
        <v>0.59738100000000005</v>
      </c>
      <c r="F3608" t="s">
        <v>61</v>
      </c>
      <c r="G3608">
        <v>-312.82089999999999</v>
      </c>
      <c r="H3608" s="1">
        <v>2.156613E-6</v>
      </c>
      <c r="I3608">
        <v>210.869</v>
      </c>
      <c r="J3608">
        <v>-331.6748</v>
      </c>
      <c r="K3608">
        <v>1.104957</v>
      </c>
      <c r="L3608">
        <v>214.1474</v>
      </c>
      <c r="M3608">
        <v>0.99986399999999998</v>
      </c>
      <c r="N3608">
        <v>0</v>
      </c>
      <c r="O3608">
        <v>7.6658019999999898E-3</v>
      </c>
      <c r="P3608">
        <v>0.99608019999999997</v>
      </c>
      <c r="Q3608">
        <v>3.0786310000000001E-2</v>
      </c>
      <c r="R3608">
        <v>8.2925789999999999E-2</v>
      </c>
      <c r="S3608">
        <v>3.0604550000000001</v>
      </c>
      <c r="T3608">
        <v>-0.17577809999999999</v>
      </c>
      <c r="U3608">
        <v>-0.52105709999999905</v>
      </c>
      <c r="V3608">
        <v>-7.5306960000000006E-2</v>
      </c>
      <c r="W3608">
        <v>4.5308170000000002E-2</v>
      </c>
      <c r="X3608">
        <v>0.99613050000000003</v>
      </c>
      <c r="Y3608">
        <v>0.1750997</v>
      </c>
      <c r="Z3608">
        <v>-5.4254109999999998E-3</v>
      </c>
      <c r="AA3608">
        <v>0.98453579999999996</v>
      </c>
      <c r="AB3608">
        <v>37</v>
      </c>
      <c r="AC3608">
        <v>18.853899999999999</v>
      </c>
      <c r="AD3608">
        <v>-1.104954843387</v>
      </c>
      <c r="AE3608">
        <v>-3.2783999999999698</v>
      </c>
      <c r="AF3608">
        <v>3.4114758734370798</v>
      </c>
      <c r="AG3608">
        <v>-1.104954843387</v>
      </c>
      <c r="AH3608">
        <v>18.765649227333199</v>
      </c>
      <c r="AI3608">
        <v>93.315568271005603</v>
      </c>
      <c r="AJ3608">
        <v>79.696514111440607</v>
      </c>
      <c r="AK3608">
        <v>19.105200437689199</v>
      </c>
    </row>
    <row r="3609" spans="1:37" x14ac:dyDescent="0.2">
      <c r="A3609" t="str">
        <f>"20200111155619112"</f>
        <v>20200111155619112</v>
      </c>
      <c r="B3609" t="str">
        <f>"1578729379106186"</f>
        <v>1578729379106186</v>
      </c>
      <c r="C3609" t="s">
        <v>37</v>
      </c>
      <c r="D3609">
        <v>5.1870039999999999</v>
      </c>
      <c r="E3609">
        <v>0.59709579999999995</v>
      </c>
      <c r="F3609" t="s">
        <v>61</v>
      </c>
      <c r="G3609">
        <v>-313.16800000000001</v>
      </c>
      <c r="H3609" s="1">
        <v>2.3105140000000001E-6</v>
      </c>
      <c r="I3609">
        <v>211.02860000000001</v>
      </c>
      <c r="J3609">
        <v>-331.29820000000001</v>
      </c>
      <c r="K3609">
        <v>1.1049659999999999</v>
      </c>
      <c r="L3609">
        <v>214.15049999999999</v>
      </c>
      <c r="M3609">
        <v>0.99986200000000003</v>
      </c>
      <c r="N3609">
        <v>0</v>
      </c>
      <c r="O3609">
        <v>7.8645139999999995E-3</v>
      </c>
      <c r="P3609">
        <v>0.99609230000000004</v>
      </c>
      <c r="Q3609">
        <v>3.0181880000000001E-2</v>
      </c>
      <c r="R3609">
        <v>8.3002339999999994E-2</v>
      </c>
      <c r="S3609">
        <v>3.0603639999999999</v>
      </c>
      <c r="T3609">
        <v>-0.18271950000000001</v>
      </c>
      <c r="U3609">
        <v>-0.51573179999999996</v>
      </c>
      <c r="V3609">
        <v>-7.5185399999999999E-2</v>
      </c>
      <c r="W3609">
        <v>4.4737010000000001E-2</v>
      </c>
      <c r="X3609">
        <v>0.99616550000000004</v>
      </c>
      <c r="Y3609">
        <v>0.1736132</v>
      </c>
      <c r="Z3609">
        <v>-5.6080169999999999E-3</v>
      </c>
      <c r="AA3609">
        <v>0.98479799999999995</v>
      </c>
      <c r="AB3609">
        <v>37</v>
      </c>
      <c r="AC3609">
        <v>18.130199999999999</v>
      </c>
      <c r="AD3609">
        <v>-1.104963689486</v>
      </c>
      <c r="AE3609">
        <v>-3.1218999999999801</v>
      </c>
      <c r="AF3609">
        <v>3.25267005021206</v>
      </c>
      <c r="AG3609">
        <v>-1.104963689486</v>
      </c>
      <c r="AH3609">
        <v>18.040005818308</v>
      </c>
      <c r="AI3609">
        <v>93.449544992010203</v>
      </c>
      <c r="AJ3609">
        <v>79.779202514900604</v>
      </c>
      <c r="AK3609">
        <v>18.364166660516201</v>
      </c>
    </row>
    <row r="3610" spans="1:37" x14ac:dyDescent="0.2">
      <c r="A3610" t="str">
        <f>"20200111155619135"</f>
        <v>20200111155619135</v>
      </c>
      <c r="B3610" t="str">
        <f>"1578729379126681"</f>
        <v>1578729379126681</v>
      </c>
      <c r="C3610" t="s">
        <v>37</v>
      </c>
      <c r="D3610">
        <v>5.1634250000000002</v>
      </c>
      <c r="E3610">
        <v>0.59701680000000001</v>
      </c>
      <c r="F3610" t="s">
        <v>61</v>
      </c>
      <c r="G3610">
        <v>-313.22750000000002</v>
      </c>
      <c r="H3610" s="1">
        <v>2.33689699999999E-6</v>
      </c>
      <c r="I3610">
        <v>211.11949999999999</v>
      </c>
      <c r="J3610">
        <v>-330.91739999999999</v>
      </c>
      <c r="K3610">
        <v>1.1049629999999999</v>
      </c>
      <c r="L3610">
        <v>214.15369999999999</v>
      </c>
      <c r="M3610">
        <v>0.99985999999999997</v>
      </c>
      <c r="N3610">
        <v>0</v>
      </c>
      <c r="O3610">
        <v>8.0656389999999994E-3</v>
      </c>
      <c r="P3610">
        <v>0.99613259999999904</v>
      </c>
      <c r="Q3610">
        <v>2.9954930000000001E-2</v>
      </c>
      <c r="R3610">
        <v>8.2600679999999996E-2</v>
      </c>
      <c r="S3610">
        <v>3.0602109999999998</v>
      </c>
      <c r="T3610">
        <v>-0.18712200000000001</v>
      </c>
      <c r="U3610">
        <v>-0.51329040000000004</v>
      </c>
      <c r="V3610">
        <v>-7.4582809999999999E-2</v>
      </c>
      <c r="W3610">
        <v>4.4538849999999998E-2</v>
      </c>
      <c r="X3610">
        <v>0.99621970000000004</v>
      </c>
      <c r="Y3610">
        <v>0.17304049999999899</v>
      </c>
      <c r="Z3610">
        <v>-5.7383869999999898E-3</v>
      </c>
      <c r="AA3610">
        <v>0.98489799999999905</v>
      </c>
      <c r="AB3610">
        <v>37</v>
      </c>
      <c r="AC3610">
        <v>17.689899999999898</v>
      </c>
      <c r="AD3610">
        <v>-1.104960663103</v>
      </c>
      <c r="AE3610">
        <v>-3.03419999999999</v>
      </c>
      <c r="AF3610">
        <v>3.1648020561958701</v>
      </c>
      <c r="AG3610">
        <v>-1.104960663103</v>
      </c>
      <c r="AH3610">
        <v>17.598150359108399</v>
      </c>
      <c r="AI3610">
        <v>93.536216308949506</v>
      </c>
      <c r="AJ3610">
        <v>79.805061646207406</v>
      </c>
      <c r="AK3610">
        <v>17.914569662252401</v>
      </c>
    </row>
    <row r="3611" spans="1:37" x14ac:dyDescent="0.2">
      <c r="A3611" t="str">
        <f>"20200111155619155"</f>
        <v>20200111155619155</v>
      </c>
      <c r="B3611" t="str">
        <f>"1578729379146202"</f>
        <v>1578729379146202</v>
      </c>
      <c r="C3611" t="s">
        <v>37</v>
      </c>
      <c r="D3611">
        <v>5.1457540000000002</v>
      </c>
      <c r="E3611">
        <v>0.59712469999999995</v>
      </c>
      <c r="F3611" t="s">
        <v>61</v>
      </c>
      <c r="G3611">
        <v>-313.15859999999998</v>
      </c>
      <c r="H3611" s="1">
        <v>2.3063639999999999E-6</v>
      </c>
      <c r="I3611">
        <v>211.17070000000001</v>
      </c>
      <c r="J3611">
        <v>-330.5788</v>
      </c>
      <c r="K3611">
        <v>1.104968</v>
      </c>
      <c r="L3611">
        <v>214.1566</v>
      </c>
      <c r="M3611">
        <v>0.99985809999999997</v>
      </c>
      <c r="N3611">
        <v>0</v>
      </c>
      <c r="O3611">
        <v>8.2447609999999998E-3</v>
      </c>
      <c r="P3611">
        <v>0.99615540000000002</v>
      </c>
      <c r="Q3611">
        <v>2.9722419999999999E-2</v>
      </c>
      <c r="R3611">
        <v>8.2408490000000001E-2</v>
      </c>
      <c r="S3611">
        <v>3.060028</v>
      </c>
      <c r="T3611">
        <v>-0.19039639999999999</v>
      </c>
      <c r="U3611">
        <v>-0.51400760000000001</v>
      </c>
      <c r="V3611">
        <v>-7.4211540000000006E-2</v>
      </c>
      <c r="W3611">
        <v>4.4327810000000002E-2</v>
      </c>
      <c r="X3611">
        <v>0.99625680000000005</v>
      </c>
      <c r="Y3611">
        <v>0.17343829999999999</v>
      </c>
      <c r="Z3611">
        <v>-5.8621860000000001E-3</v>
      </c>
      <c r="AA3611">
        <v>0.98482729999999996</v>
      </c>
      <c r="AB3611">
        <v>37</v>
      </c>
      <c r="AC3611">
        <v>17.420200000000001</v>
      </c>
      <c r="AD3611">
        <v>-1.1049656936359999</v>
      </c>
      <c r="AE3611">
        <v>-2.98589999999998</v>
      </c>
      <c r="AF3611">
        <v>3.1172554245917201</v>
      </c>
      <c r="AG3611">
        <v>-1.1049656936359999</v>
      </c>
      <c r="AH3611">
        <v>17.327262602066298</v>
      </c>
      <c r="AI3611">
        <v>93.591330773451205</v>
      </c>
      <c r="AJ3611">
        <v>79.801317072469999</v>
      </c>
      <c r="AK3611">
        <v>17.640075392333902</v>
      </c>
    </row>
    <row r="3612" spans="1:37" x14ac:dyDescent="0.2">
      <c r="A3612" t="str">
        <f>"20200111155619179"</f>
        <v>20200111155619179</v>
      </c>
      <c r="B3612" t="str">
        <f>"1578729379166697"</f>
        <v>1578729379166697</v>
      </c>
      <c r="C3612" t="s">
        <v>37</v>
      </c>
      <c r="D3612">
        <v>5.1503649999999999</v>
      </c>
      <c r="E3612">
        <v>0.59738230000000003</v>
      </c>
      <c r="F3612" t="s">
        <v>61</v>
      </c>
      <c r="G3612">
        <v>-312.99540000000002</v>
      </c>
      <c r="H3612" s="1">
        <v>2.2339840000000001E-6</v>
      </c>
      <c r="I3612">
        <v>211.1952</v>
      </c>
      <c r="J3612">
        <v>-330.19229999999999</v>
      </c>
      <c r="K3612">
        <v>1.104973</v>
      </c>
      <c r="L3612">
        <v>214.16</v>
      </c>
      <c r="M3612">
        <v>0.99985619999999997</v>
      </c>
      <c r="N3612">
        <v>0</v>
      </c>
      <c r="O3612">
        <v>8.4487480000000007E-3</v>
      </c>
      <c r="P3612">
        <v>0.99612299999999998</v>
      </c>
      <c r="Q3612">
        <v>3.008839E-2</v>
      </c>
      <c r="R3612">
        <v>8.2668569999999997E-2</v>
      </c>
      <c r="S3612">
        <v>3.0599369999999899</v>
      </c>
      <c r="T3612">
        <v>-0.19229109999999999</v>
      </c>
      <c r="U3612">
        <v>-0.51535029999999904</v>
      </c>
      <c r="V3612">
        <v>-7.4268219999999996E-2</v>
      </c>
      <c r="W3612">
        <v>4.4713669999999997E-2</v>
      </c>
      <c r="X3612">
        <v>0.99623539999999899</v>
      </c>
      <c r="Y3612">
        <v>0.17405589999999899</v>
      </c>
      <c r="Z3612">
        <v>-5.9523459999999999E-3</v>
      </c>
      <c r="AA3612">
        <v>0.98471779999999998</v>
      </c>
      <c r="AB3612">
        <v>37</v>
      </c>
      <c r="AC3612">
        <v>17.1968999999999</v>
      </c>
      <c r="AD3612">
        <v>-1.104970766016</v>
      </c>
      <c r="AE3612">
        <v>-2.9647999999999901</v>
      </c>
      <c r="AF3612">
        <v>3.0975826514998501</v>
      </c>
      <c r="AG3612">
        <v>-1.104970766016</v>
      </c>
      <c r="AH3612">
        <v>17.102662876531902</v>
      </c>
      <c r="AI3612">
        <v>93.637615574945301</v>
      </c>
      <c r="AJ3612">
        <v>79.734048596815299</v>
      </c>
      <c r="AK3612">
        <v>17.416000004160701</v>
      </c>
    </row>
    <row r="3613" spans="1:37" x14ac:dyDescent="0.2">
      <c r="A3613" t="str">
        <f>"20200111155619201"</f>
        <v>20200111155619201</v>
      </c>
      <c r="B3613" t="str">
        <f>"1578729379195977"</f>
        <v>1578729379195977</v>
      </c>
      <c r="C3613" t="s">
        <v>37</v>
      </c>
      <c r="D3613">
        <v>5.2078870000000004</v>
      </c>
      <c r="E3613">
        <v>0.60679729999999998</v>
      </c>
      <c r="F3613" t="s">
        <v>61</v>
      </c>
      <c r="G3613">
        <v>-312.6191</v>
      </c>
      <c r="H3613" s="1">
        <v>2.0671219999999998E-6</v>
      </c>
      <c r="I3613">
        <v>211.19390000000001</v>
      </c>
      <c r="J3613">
        <v>-329.81849999999997</v>
      </c>
      <c r="K3613">
        <v>1.104981</v>
      </c>
      <c r="L3613">
        <v>214.16329999999999</v>
      </c>
      <c r="M3613">
        <v>0.99985440000000003</v>
      </c>
      <c r="N3613">
        <v>0</v>
      </c>
      <c r="O3613">
        <v>8.6463859999999903E-3</v>
      </c>
      <c r="P3613">
        <v>0.9960968</v>
      </c>
      <c r="Q3613">
        <v>3.0115860000000001E-2</v>
      </c>
      <c r="R3613">
        <v>8.2972030000000002E-2</v>
      </c>
      <c r="S3613">
        <v>3.0603940000000001</v>
      </c>
      <c r="T3613">
        <v>-0.19243199999999999</v>
      </c>
      <c r="U3613">
        <v>-0.51655580000000001</v>
      </c>
      <c r="V3613">
        <v>-7.4374949999999995E-2</v>
      </c>
      <c r="W3613">
        <v>4.4756539999999997E-2</v>
      </c>
      <c r="X3613">
        <v>0.99622549999999899</v>
      </c>
      <c r="Y3613">
        <v>0.1746017</v>
      </c>
      <c r="Z3613">
        <v>-5.9849859999999899E-3</v>
      </c>
      <c r="AA3613">
        <v>0.98462090000000002</v>
      </c>
      <c r="AB3613">
        <v>37</v>
      </c>
      <c r="AC3613">
        <v>17.199399999999901</v>
      </c>
      <c r="AD3613">
        <v>-1.104978932878</v>
      </c>
      <c r="AE3613">
        <v>-2.9693999999999701</v>
      </c>
      <c r="AF3613">
        <v>3.10557065209434</v>
      </c>
      <c r="AG3613">
        <v>-1.104978932878</v>
      </c>
      <c r="AH3613">
        <v>17.104524947405199</v>
      </c>
      <c r="AI3613">
        <v>93.636962586863106</v>
      </c>
      <c r="AJ3613">
        <v>79.709236482366805</v>
      </c>
      <c r="AK3613">
        <v>17.419251453310501</v>
      </c>
    </row>
    <row r="3614" spans="1:37" x14ac:dyDescent="0.2">
      <c r="A3614" t="str">
        <f>"20200111155619224"</f>
        <v>20200111155619224</v>
      </c>
      <c r="B3614" t="str">
        <f>"1578729379216473"</f>
        <v>1578729379216473</v>
      </c>
      <c r="C3614" t="s">
        <v>37</v>
      </c>
      <c r="D3614">
        <v>5.2039599999999897</v>
      </c>
      <c r="E3614">
        <v>0.60579300000000003</v>
      </c>
      <c r="F3614" t="s">
        <v>71</v>
      </c>
      <c r="G3614">
        <v>-250.63140000000001</v>
      </c>
      <c r="H3614">
        <v>3.17326</v>
      </c>
      <c r="I3614">
        <v>198.63640000000001</v>
      </c>
      <c r="J3614">
        <v>-329.4486</v>
      </c>
      <c r="K3614">
        <v>1.1049819999999999</v>
      </c>
      <c r="L3614">
        <v>214.16669999999999</v>
      </c>
      <c r="M3614">
        <v>0.99985230000000003</v>
      </c>
      <c r="N3614">
        <v>0</v>
      </c>
      <c r="O3614">
        <v>8.8421360000000004E-3</v>
      </c>
      <c r="P3614">
        <v>0.99607749999999995</v>
      </c>
      <c r="Q3614">
        <v>3.0022790000000001E-2</v>
      </c>
      <c r="R3614">
        <v>8.323614E-2</v>
      </c>
      <c r="S3614">
        <v>3.059326</v>
      </c>
      <c r="T3614">
        <v>7.991028E-2</v>
      </c>
      <c r="U3614">
        <v>-0.59986879999999998</v>
      </c>
      <c r="V3614">
        <v>-7.4444120000000003E-2</v>
      </c>
      <c r="W3614">
        <v>4.467604E-2</v>
      </c>
      <c r="X3614">
        <v>0.99622389999999905</v>
      </c>
      <c r="Y3614">
        <v>0.2010161</v>
      </c>
      <c r="Z3614">
        <v>2.8289159999999999E-3</v>
      </c>
      <c r="AA3614">
        <v>0.97958389999999995</v>
      </c>
      <c r="AB3614">
        <v>37</v>
      </c>
      <c r="AC3614">
        <v>78.8171999999999</v>
      </c>
      <c r="AD3614">
        <v>2.0682779999999998</v>
      </c>
      <c r="AE3614">
        <v>-15.530299999999899</v>
      </c>
      <c r="AF3614">
        <v>16.2159316732102</v>
      </c>
      <c r="AG3614">
        <v>2.0682779999999998</v>
      </c>
      <c r="AH3614">
        <v>78.624663722875397</v>
      </c>
      <c r="AI3614">
        <v>88.524188271155495</v>
      </c>
      <c r="AJ3614">
        <v>78.346442659272796</v>
      </c>
      <c r="AK3614">
        <v>80.306114085110295</v>
      </c>
    </row>
    <row r="3615" spans="1:37" x14ac:dyDescent="0.2">
      <c r="A3615" t="str">
        <f>"20200111155619246"</f>
        <v>20200111155619246</v>
      </c>
      <c r="B3615" t="str">
        <f>"1578729379235993"</f>
        <v>1578729379235993</v>
      </c>
      <c r="C3615" t="s">
        <v>37</v>
      </c>
      <c r="D3615">
        <v>5.1878380000000002</v>
      </c>
      <c r="E3615">
        <v>0.60103289999999998</v>
      </c>
      <c r="F3615" t="s">
        <v>47</v>
      </c>
      <c r="G3615">
        <v>-285.6028</v>
      </c>
      <c r="H3615">
        <v>1.84949599999999</v>
      </c>
      <c r="I3615">
        <v>205.70959999999999</v>
      </c>
      <c r="J3615">
        <v>-329.0772</v>
      </c>
      <c r="K3615">
        <v>1.1049850000000001</v>
      </c>
      <c r="L3615">
        <v>214.17019999999999</v>
      </c>
      <c r="M3615">
        <v>0.99985049999999998</v>
      </c>
      <c r="N3615">
        <v>0</v>
      </c>
      <c r="O3615">
        <v>9.0385580000000004E-3</v>
      </c>
      <c r="P3615">
        <v>0.99605719999999998</v>
      </c>
      <c r="Q3615">
        <v>2.9977190000000001E-2</v>
      </c>
      <c r="R3615">
        <v>8.3495680000000003E-2</v>
      </c>
      <c r="S3615">
        <v>3.0595400000000001</v>
      </c>
      <c r="T3615">
        <v>5.1951770000000001E-2</v>
      </c>
      <c r="U3615">
        <v>-0.59013369999999998</v>
      </c>
      <c r="V3615">
        <v>-7.4507870000000004E-2</v>
      </c>
      <c r="W3615">
        <v>4.4641260000000002E-2</v>
      </c>
      <c r="X3615">
        <v>0.99622069999999996</v>
      </c>
      <c r="Y3615">
        <v>0.19823160000000001</v>
      </c>
      <c r="Z3615">
        <v>1.8196379999999999E-3</v>
      </c>
      <c r="AA3615">
        <v>0.98015350000000001</v>
      </c>
      <c r="AB3615">
        <v>37</v>
      </c>
      <c r="AC3615">
        <v>43.474400000000003</v>
      </c>
      <c r="AD3615">
        <v>0.74451099999999903</v>
      </c>
      <c r="AE3615">
        <v>-8.4605999999999995</v>
      </c>
      <c r="AF3615">
        <v>8.8507419236364697</v>
      </c>
      <c r="AG3615">
        <v>0.74451099999999903</v>
      </c>
      <c r="AH3615">
        <v>43.383884698972203</v>
      </c>
      <c r="AI3615">
        <v>89.036681887478593</v>
      </c>
      <c r="AJ3615">
        <v>78.469325116935195</v>
      </c>
      <c r="AK3615">
        <v>44.283759786197599</v>
      </c>
    </row>
    <row r="3616" spans="1:37" x14ac:dyDescent="0.2">
      <c r="A3616" t="str">
        <f>"20200111155619268"</f>
        <v>20200111155619268</v>
      </c>
      <c r="B3616" t="str">
        <f>"1578729379256489"</f>
        <v>1578729379256489</v>
      </c>
      <c r="C3616" t="s">
        <v>37</v>
      </c>
      <c r="D3616">
        <v>5.1927050000000001</v>
      </c>
      <c r="E3616">
        <v>0.59749940000000001</v>
      </c>
      <c r="F3616" t="s">
        <v>61</v>
      </c>
      <c r="G3616">
        <v>-312.80340000000001</v>
      </c>
      <c r="H3616" s="1">
        <v>2.1488589999999998E-6</v>
      </c>
      <c r="I3616">
        <v>211.2895</v>
      </c>
      <c r="J3616">
        <v>-328.7235</v>
      </c>
      <c r="K3616">
        <v>1.1049959999999901</v>
      </c>
      <c r="L3616">
        <v>214.17359999999999</v>
      </c>
      <c r="M3616">
        <v>0.99984869999999904</v>
      </c>
      <c r="N3616">
        <v>0</v>
      </c>
      <c r="O3616">
        <v>9.2259379999999995E-3</v>
      </c>
      <c r="P3616">
        <v>0.99605750000000004</v>
      </c>
      <c r="Q3616">
        <v>2.975359E-2</v>
      </c>
      <c r="R3616">
        <v>8.3573040000000001E-2</v>
      </c>
      <c r="S3616">
        <v>3.0636290000000002</v>
      </c>
      <c r="T3616">
        <v>-0.20801900000000001</v>
      </c>
      <c r="U3616">
        <v>-0.54231260000000003</v>
      </c>
      <c r="V3616">
        <v>-7.439838E-2</v>
      </c>
      <c r="W3616">
        <v>4.4425949999999999E-2</v>
      </c>
      <c r="X3616">
        <v>0.99623850000000003</v>
      </c>
      <c r="Y3616">
        <v>0.1829556</v>
      </c>
      <c r="Z3616">
        <v>-6.7775600000000002E-3</v>
      </c>
      <c r="AA3616">
        <v>0.98309780000000002</v>
      </c>
      <c r="AB3616">
        <v>37</v>
      </c>
      <c r="AC3616">
        <v>15.9200999999999</v>
      </c>
      <c r="AD3616">
        <v>-1.10499385114099</v>
      </c>
      <c r="AE3616">
        <v>-2.8840999999999801</v>
      </c>
      <c r="AF3616">
        <v>3.0167992363871101</v>
      </c>
      <c r="AG3616">
        <v>-1.10499385114099</v>
      </c>
      <c r="AH3616">
        <v>15.819023259649899</v>
      </c>
      <c r="AI3616">
        <v>93.925232659850906</v>
      </c>
      <c r="AJ3616">
        <v>79.202938578850905</v>
      </c>
      <c r="AK3616">
        <v>16.141982094311398</v>
      </c>
    </row>
    <row r="3617" spans="1:37" x14ac:dyDescent="0.2">
      <c r="A3617" t="str">
        <f>"20200111155619291"</f>
        <v>20200111155619291</v>
      </c>
      <c r="B3617" t="str">
        <f>"1578729379286745"</f>
        <v>1578729379286745</v>
      </c>
      <c r="C3617" t="s">
        <v>37</v>
      </c>
      <c r="D3617">
        <v>5.1928900000000002</v>
      </c>
      <c r="E3617">
        <v>0.59379309999999996</v>
      </c>
      <c r="F3617" t="s">
        <v>61</v>
      </c>
      <c r="G3617">
        <v>-311.87020000000001</v>
      </c>
      <c r="H3617" s="1">
        <v>1.735026E-6</v>
      </c>
      <c r="I3617">
        <v>211.3425</v>
      </c>
      <c r="J3617">
        <v>-328.34190000000001</v>
      </c>
      <c r="K3617">
        <v>1.105</v>
      </c>
      <c r="L3617">
        <v>214.1773</v>
      </c>
      <c r="M3617">
        <v>0.99984680000000004</v>
      </c>
      <c r="N3617">
        <v>0</v>
      </c>
      <c r="O3617">
        <v>9.4282229999999995E-3</v>
      </c>
      <c r="P3617">
        <v>0.99602349999999995</v>
      </c>
      <c r="Q3617">
        <v>3.0040399999999998E-2</v>
      </c>
      <c r="R3617">
        <v>8.3876549999999994E-2</v>
      </c>
      <c r="S3617">
        <v>3.06100499999999</v>
      </c>
      <c r="T3617">
        <v>-0.2006966</v>
      </c>
      <c r="U3617">
        <v>-0.51420589999999999</v>
      </c>
      <c r="V3617">
        <v>-7.4500960000000005E-2</v>
      </c>
      <c r="W3617">
        <v>4.4719870000000002E-2</v>
      </c>
      <c r="X3617">
        <v>0.99621769999999998</v>
      </c>
      <c r="Y3617">
        <v>0.174572</v>
      </c>
      <c r="Z3617">
        <v>-6.2905790000000001E-3</v>
      </c>
      <c r="AA3617">
        <v>0.98462430000000001</v>
      </c>
      <c r="AB3617">
        <v>37</v>
      </c>
      <c r="AC3617">
        <v>16.471699999999998</v>
      </c>
      <c r="AD3617">
        <v>-1.104998264974</v>
      </c>
      <c r="AE3617">
        <v>-2.8348</v>
      </c>
      <c r="AF3617">
        <v>2.9769776846404601</v>
      </c>
      <c r="AG3617">
        <v>-1.104998264974</v>
      </c>
      <c r="AH3617">
        <v>16.372674537454401</v>
      </c>
      <c r="AI3617">
        <v>93.798958974155795</v>
      </c>
      <c r="AJ3617">
        <v>79.694720716162607</v>
      </c>
      <c r="AK3617">
        <v>16.677766301571999</v>
      </c>
    </row>
    <row r="3618" spans="1:37" x14ac:dyDescent="0.2">
      <c r="A3618" t="str">
        <f>"20200111155619312"</f>
        <v>20200111155619312</v>
      </c>
      <c r="B3618" t="str">
        <f>"1578729379306772"</f>
        <v>1578729379306772</v>
      </c>
      <c r="C3618" t="s">
        <v>37</v>
      </c>
      <c r="D3618">
        <v>5.1820199999999996</v>
      </c>
      <c r="E3618">
        <v>0.59216440000000004</v>
      </c>
      <c r="F3618" t="s">
        <v>61</v>
      </c>
      <c r="G3618">
        <v>-310.78550000000001</v>
      </c>
      <c r="H3618" s="1">
        <v>1.2539819999999999E-6</v>
      </c>
      <c r="I3618">
        <v>211.39859999999999</v>
      </c>
      <c r="J3618">
        <v>-327.9819</v>
      </c>
      <c r="K3618">
        <v>1.1050059999999999</v>
      </c>
      <c r="L3618">
        <v>214.18090000000001</v>
      </c>
      <c r="M3618">
        <v>0.99984470000000003</v>
      </c>
      <c r="N3618">
        <v>0</v>
      </c>
      <c r="O3618">
        <v>9.6192559999999996E-3</v>
      </c>
      <c r="P3618">
        <v>0.99601360000000005</v>
      </c>
      <c r="Q3618">
        <v>3.085363E-2</v>
      </c>
      <c r="R3618">
        <v>8.3695619999999998E-2</v>
      </c>
      <c r="S3618">
        <v>3.0585629999999999</v>
      </c>
      <c r="T3618">
        <v>-0.1925055</v>
      </c>
      <c r="U3618">
        <v>-0.48408509999999999</v>
      </c>
      <c r="V3618">
        <v>-7.412958E-2</v>
      </c>
      <c r="W3618">
        <v>4.5538710000000003E-2</v>
      </c>
      <c r="X3618">
        <v>0.99620830000000005</v>
      </c>
      <c r="Y3618">
        <v>0.16548279999999899</v>
      </c>
      <c r="Z3618">
        <v>-5.7717769999999996E-3</v>
      </c>
      <c r="AA3618">
        <v>0.98619579999999996</v>
      </c>
      <c r="AB3618">
        <v>37</v>
      </c>
      <c r="AC3618">
        <v>17.196399999999901</v>
      </c>
      <c r="AD3618">
        <v>-1.1050047460179999</v>
      </c>
      <c r="AE3618">
        <v>-2.7823000000000202</v>
      </c>
      <c r="AF3618">
        <v>2.9357929703090599</v>
      </c>
      <c r="AG3618">
        <v>-1.1050047460179999</v>
      </c>
      <c r="AH3618">
        <v>17.100031451388801</v>
      </c>
      <c r="AI3618">
        <v>93.6441458771274</v>
      </c>
      <c r="AJ3618">
        <v>80.2582336221259</v>
      </c>
      <c r="AK3618">
        <v>17.385367165858899</v>
      </c>
    </row>
    <row r="3619" spans="1:37" x14ac:dyDescent="0.2">
      <c r="A3619" t="str">
        <f>"20200111155619336"</f>
        <v>20200111155619336</v>
      </c>
      <c r="B3619" t="str">
        <f>"1578729379326293"</f>
        <v>1578729379326293</v>
      </c>
      <c r="C3619" t="s">
        <v>37</v>
      </c>
      <c r="D3619">
        <v>5.1871289999999997</v>
      </c>
      <c r="E3619">
        <v>0.59204999999999997</v>
      </c>
      <c r="F3619" t="s">
        <v>61</v>
      </c>
      <c r="G3619">
        <v>-310.24119999999999</v>
      </c>
      <c r="H3619" s="1">
        <v>1.012598E-6</v>
      </c>
      <c r="I3619">
        <v>211.44479999999999</v>
      </c>
      <c r="J3619">
        <v>-327.61470000000003</v>
      </c>
      <c r="K3619">
        <v>1.1050059999999999</v>
      </c>
      <c r="L3619">
        <v>214.18459999999999</v>
      </c>
      <c r="M3619">
        <v>0.99984269999999997</v>
      </c>
      <c r="N3619">
        <v>0</v>
      </c>
      <c r="O3619">
        <v>9.8141749999999996E-3</v>
      </c>
      <c r="P3619">
        <v>0.99603639999999904</v>
      </c>
      <c r="Q3619">
        <v>3.0935379999999998E-2</v>
      </c>
      <c r="R3619">
        <v>8.3394769999999993E-2</v>
      </c>
      <c r="S3619">
        <v>3.0575559999999999</v>
      </c>
      <c r="T3619">
        <v>-0.19044359999999999</v>
      </c>
      <c r="U3619">
        <v>-0.47155760000000002</v>
      </c>
      <c r="V3619">
        <v>-7.36343E-2</v>
      </c>
      <c r="W3619">
        <v>4.5625409999999998E-2</v>
      </c>
      <c r="X3619">
        <v>0.99624109999999999</v>
      </c>
      <c r="Y3619">
        <v>0.1617931</v>
      </c>
      <c r="Z3619">
        <v>-5.611652E-3</v>
      </c>
      <c r="AA3619">
        <v>0.98680879999999904</v>
      </c>
      <c r="AB3619">
        <v>37</v>
      </c>
      <c r="AC3619">
        <v>17.3735</v>
      </c>
      <c r="AD3619">
        <v>-1.105004987402</v>
      </c>
      <c r="AE3619">
        <v>-2.7397999999999998</v>
      </c>
      <c r="AF3619">
        <v>2.8987513493775898</v>
      </c>
      <c r="AG3619">
        <v>-1.105004987402</v>
      </c>
      <c r="AH3619">
        <v>17.2775738468413</v>
      </c>
      <c r="AI3619">
        <v>93.609119264366797</v>
      </c>
      <c r="AJ3619">
        <v>80.475881755366899</v>
      </c>
      <c r="AK3619">
        <v>17.553870041696101</v>
      </c>
    </row>
    <row r="3620" spans="1:37" x14ac:dyDescent="0.2">
      <c r="A3620" t="str">
        <f>"20200111155619357"</f>
        <v>20200111155619357</v>
      </c>
      <c r="B3620" t="str">
        <f>"1578729379346789"</f>
        <v>1578729379346789</v>
      </c>
      <c r="C3620" t="s">
        <v>37</v>
      </c>
      <c r="D3620">
        <v>5.202178</v>
      </c>
      <c r="E3620">
        <v>0.59169389999999999</v>
      </c>
      <c r="F3620" t="s">
        <v>61</v>
      </c>
      <c r="G3620">
        <v>-309.49040000000002</v>
      </c>
      <c r="H3620" s="1">
        <v>9.6981490000000007E-7</v>
      </c>
      <c r="I3620">
        <v>211.38839999999999</v>
      </c>
      <c r="J3620">
        <v>-327.26499999999999</v>
      </c>
      <c r="K3620">
        <v>1.105011</v>
      </c>
      <c r="L3620">
        <v>214.18819999999999</v>
      </c>
      <c r="M3620">
        <v>0.99984089999999903</v>
      </c>
      <c r="N3620">
        <v>0</v>
      </c>
      <c r="O3620">
        <v>9.99945E-3</v>
      </c>
      <c r="P3620">
        <v>0.99605319999999997</v>
      </c>
      <c r="Q3620">
        <v>3.1133879999999999E-2</v>
      </c>
      <c r="R3620">
        <v>8.3118810000000001E-2</v>
      </c>
      <c r="S3620">
        <v>3.05722</v>
      </c>
      <c r="T3620">
        <v>-0.18639349999999999</v>
      </c>
      <c r="U3620">
        <v>-0.47166439999999998</v>
      </c>
      <c r="V3620">
        <v>-7.3173790000000002E-2</v>
      </c>
      <c r="W3620">
        <v>4.5826899999999997E-2</v>
      </c>
      <c r="X3620">
        <v>0.99626579999999998</v>
      </c>
      <c r="Y3620">
        <v>0.16203879999999901</v>
      </c>
      <c r="Z3620">
        <v>-5.5117769999999998E-3</v>
      </c>
      <c r="AA3620">
        <v>0.98676900000000001</v>
      </c>
      <c r="AB3620">
        <v>37</v>
      </c>
      <c r="AC3620">
        <v>17.7745999999999</v>
      </c>
      <c r="AD3620">
        <v>-1.1050100301851</v>
      </c>
      <c r="AE3620">
        <v>-2.7997999999999998</v>
      </c>
      <c r="AF3620">
        <v>2.9662291284880302</v>
      </c>
      <c r="AG3620">
        <v>-1.1050100301851</v>
      </c>
      <c r="AH3620">
        <v>17.6790390354032</v>
      </c>
      <c r="AI3620">
        <v>93.527382857109302</v>
      </c>
      <c r="AJ3620">
        <v>80.475497796203697</v>
      </c>
      <c r="AK3620">
        <v>17.960177716960601</v>
      </c>
    </row>
    <row r="3621" spans="1:37" x14ac:dyDescent="0.2">
      <c r="A3621" t="str">
        <f>"20200111155619379"</f>
        <v>20200111155619379</v>
      </c>
      <c r="B3621" t="str">
        <f>"1578729379376069"</f>
        <v>1578729379376069</v>
      </c>
      <c r="C3621" t="s">
        <v>37</v>
      </c>
      <c r="D3621">
        <v>5.1087809999999996</v>
      </c>
      <c r="E3621">
        <v>0.55949490000000002</v>
      </c>
      <c r="F3621" t="s">
        <v>61</v>
      </c>
      <c r="G3621">
        <v>-309.12130000000002</v>
      </c>
      <c r="H3621" s="1">
        <v>1.0352869999999999E-6</v>
      </c>
      <c r="I3621">
        <v>211.3999</v>
      </c>
      <c r="J3621">
        <v>-326.8897</v>
      </c>
      <c r="K3621">
        <v>1.1050149999999901</v>
      </c>
      <c r="L3621">
        <v>214.19220000000001</v>
      </c>
      <c r="M3621">
        <v>0.99983889999999997</v>
      </c>
      <c r="N3621">
        <v>0</v>
      </c>
      <c r="O3621">
        <v>1.0198550000000001E-2</v>
      </c>
      <c r="P3621">
        <v>0.99608050000000004</v>
      </c>
      <c r="Q3621">
        <v>3.1054930000000001E-2</v>
      </c>
      <c r="R3621">
        <v>8.2823770000000005E-2</v>
      </c>
      <c r="S3621">
        <v>3.0569459999999999</v>
      </c>
      <c r="T3621">
        <v>-0.1861777</v>
      </c>
      <c r="U3621">
        <v>-0.46978760000000003</v>
      </c>
      <c r="V3621">
        <v>-7.2679960000000002E-2</v>
      </c>
      <c r="W3621">
        <v>4.5751630000000001E-2</v>
      </c>
      <c r="X3621">
        <v>0.99630540000000001</v>
      </c>
      <c r="Y3621">
        <v>0.16165779999999999</v>
      </c>
      <c r="Z3621">
        <v>-5.5066739999999996E-3</v>
      </c>
      <c r="AA3621">
        <v>0.98683149999999997</v>
      </c>
      <c r="AB3621">
        <v>37</v>
      </c>
      <c r="AC3621">
        <v>17.7683999999999</v>
      </c>
      <c r="AD3621">
        <v>-1.105013964713</v>
      </c>
      <c r="AE3621">
        <v>-2.7923000000000102</v>
      </c>
      <c r="AF3621">
        <v>2.9622059915627199</v>
      </c>
      <c r="AG3621">
        <v>-1.105013964713</v>
      </c>
      <c r="AH3621">
        <v>17.672293531553901</v>
      </c>
      <c r="AI3621">
        <v>93.528832322764799</v>
      </c>
      <c r="AJ3621">
        <v>80.484615527276205</v>
      </c>
      <c r="AK3621">
        <v>17.952873833012401</v>
      </c>
    </row>
    <row r="3622" spans="1:37" x14ac:dyDescent="0.2">
      <c r="A3622" t="str">
        <f>"20200111155619402"</f>
        <v>20200111155619402</v>
      </c>
      <c r="B3622" t="str">
        <f>"1578729379396096"</f>
        <v>1578729379396096</v>
      </c>
      <c r="C3622" t="s">
        <v>37</v>
      </c>
      <c r="D3622">
        <v>5.0457549999999998</v>
      </c>
      <c r="E3622">
        <v>0.55454459999999905</v>
      </c>
      <c r="F3622" t="s">
        <v>59</v>
      </c>
      <c r="G3622">
        <v>-213.4419</v>
      </c>
      <c r="H3622">
        <v>8.0000829999999995E-2</v>
      </c>
      <c r="I3622">
        <v>205.9486</v>
      </c>
      <c r="J3622">
        <v>-326.51769999999999</v>
      </c>
      <c r="K3622">
        <v>1.105016</v>
      </c>
      <c r="L3622">
        <v>214.1962</v>
      </c>
      <c r="M3622">
        <v>0.99983670000000002</v>
      </c>
      <c r="N3622">
        <v>0</v>
      </c>
      <c r="O3622">
        <v>1.0396239999999999E-2</v>
      </c>
      <c r="P3622">
        <v>0.99609709999999996</v>
      </c>
      <c r="Q3622">
        <v>3.114633E-2</v>
      </c>
      <c r="R3622">
        <v>8.2586530000000005E-2</v>
      </c>
      <c r="S3622">
        <v>3.0310060000000001</v>
      </c>
      <c r="T3622">
        <v>-2.7385469999999999E-2</v>
      </c>
      <c r="U3622">
        <v>-0.22024539999999901</v>
      </c>
      <c r="V3622">
        <v>-7.2244959999999997E-2</v>
      </c>
      <c r="W3622">
        <v>4.584452E-2</v>
      </c>
      <c r="X3622">
        <v>0.99633280000000002</v>
      </c>
      <c r="Y3622">
        <v>8.2835370000000005E-2</v>
      </c>
      <c r="Z3622">
        <v>-4.6753659999999999E-4</v>
      </c>
      <c r="AA3622">
        <v>0.99656309999999904</v>
      </c>
      <c r="AB3622">
        <v>37</v>
      </c>
      <c r="AC3622">
        <v>113.0758</v>
      </c>
      <c r="AD3622">
        <v>-1.0250151700000001</v>
      </c>
      <c r="AE3622">
        <v>-8.2476000000000003</v>
      </c>
      <c r="AF3622">
        <v>9.4220756551069496</v>
      </c>
      <c r="AG3622">
        <v>-1.0250151700000001</v>
      </c>
      <c r="AH3622">
        <v>112.97470020830001</v>
      </c>
      <c r="AI3622">
        <v>90.518029803051206</v>
      </c>
      <c r="AJ3622">
        <v>85.232572177981197</v>
      </c>
      <c r="AK3622">
        <v>113.371553102639</v>
      </c>
    </row>
    <row r="3623" spans="1:37" x14ac:dyDescent="0.2">
      <c r="A3623" t="str">
        <f>"20200111155619424"</f>
        <v>20200111155619424</v>
      </c>
      <c r="B3623" t="str">
        <f>"1578729379416591"</f>
        <v>1578729379416591</v>
      </c>
      <c r="C3623" t="s">
        <v>37</v>
      </c>
      <c r="D3623">
        <v>5.0808949999999999</v>
      </c>
      <c r="E3623">
        <v>0.55210059999999905</v>
      </c>
      <c r="F3623" t="s">
        <v>59</v>
      </c>
      <c r="G3623">
        <v>-265.39510000000001</v>
      </c>
      <c r="H3623" s="1">
        <v>1.511911E-6</v>
      </c>
      <c r="I3623">
        <v>210.55080000000001</v>
      </c>
      <c r="J3623">
        <v>-326.15699999999998</v>
      </c>
      <c r="K3623">
        <v>1.105027</v>
      </c>
      <c r="L3623">
        <v>214.20009999999999</v>
      </c>
      <c r="M3623">
        <v>0.99983480000000002</v>
      </c>
      <c r="N3623">
        <v>0</v>
      </c>
      <c r="O3623">
        <v>1.0587549999999999E-2</v>
      </c>
      <c r="P3623">
        <v>0.99610019999999999</v>
      </c>
      <c r="Q3623">
        <v>3.120146E-2</v>
      </c>
      <c r="R3623">
        <v>8.2528809999999994E-2</v>
      </c>
      <c r="S3623">
        <v>3.0284119999999999</v>
      </c>
      <c r="T3623">
        <v>-5.4749609999999997E-2</v>
      </c>
      <c r="U3623">
        <v>-0.18061830000000001</v>
      </c>
      <c r="V3623">
        <v>-7.1996290000000004E-2</v>
      </c>
      <c r="W3623">
        <v>4.5900719999999999E-2</v>
      </c>
      <c r="X3623">
        <v>0.99634809999999996</v>
      </c>
      <c r="Y3623">
        <v>7.0088919999999999E-2</v>
      </c>
      <c r="Z3623">
        <v>-8.2419920000000003E-4</v>
      </c>
      <c r="AA3623">
        <v>0.99754039999999999</v>
      </c>
      <c r="AB3623">
        <v>37</v>
      </c>
      <c r="AC3623">
        <v>60.761899999999898</v>
      </c>
      <c r="AD3623">
        <v>-1.105025488089</v>
      </c>
      <c r="AE3623">
        <v>-3.6492999999999798</v>
      </c>
      <c r="AF3623">
        <v>4.2910711775737802</v>
      </c>
      <c r="AG3623">
        <v>-1.105025488089</v>
      </c>
      <c r="AH3623">
        <v>60.699848717055701</v>
      </c>
      <c r="AI3623">
        <v>91.0403442912868</v>
      </c>
      <c r="AJ3623">
        <v>85.956300855342405</v>
      </c>
      <c r="AK3623">
        <v>60.861367117850499</v>
      </c>
    </row>
    <row r="3624" spans="1:37" x14ac:dyDescent="0.2">
      <c r="A3624" t="str">
        <f>"20200111155619861"</f>
        <v>20200111155619861</v>
      </c>
      <c r="B3624" t="str">
        <f>"1578729379856423"</f>
        <v>1578729379856423</v>
      </c>
      <c r="C3624" t="s">
        <v>37</v>
      </c>
      <c r="D3624">
        <v>5.0909870000000002</v>
      </c>
      <c r="E3624">
        <v>0.5509484</v>
      </c>
      <c r="F3624" t="s">
        <v>59</v>
      </c>
      <c r="G3624">
        <v>-276.47300000000001</v>
      </c>
      <c r="H3624" s="1">
        <v>2.0413499999999999E-6</v>
      </c>
      <c r="I3624">
        <v>211.56099999999901</v>
      </c>
      <c r="J3624">
        <v>-319.14370000000002</v>
      </c>
      <c r="K3624">
        <v>1.1048830000000001</v>
      </c>
      <c r="L3624">
        <v>214.2884</v>
      </c>
      <c r="M3624">
        <v>0.99980380000000002</v>
      </c>
      <c r="N3624">
        <v>0</v>
      </c>
      <c r="O3624">
        <v>1.3238949999999999E-2</v>
      </c>
      <c r="P3624">
        <v>0.99583820000000001</v>
      </c>
      <c r="Q3624">
        <v>2.9351080000000002E-2</v>
      </c>
      <c r="R3624">
        <v>8.6284399999999997E-2</v>
      </c>
      <c r="S3624">
        <v>3.0271910000000002</v>
      </c>
      <c r="T3624">
        <v>-6.7327979999999996E-2</v>
      </c>
      <c r="U3624">
        <v>-0.1607971</v>
      </c>
      <c r="V3624">
        <v>-7.3093240000000004E-2</v>
      </c>
      <c r="W3624">
        <v>4.4029140000000001E-2</v>
      </c>
      <c r="X3624">
        <v>0.99635269999999998</v>
      </c>
      <c r="Y3624">
        <v>6.6240320000000005E-2</v>
      </c>
      <c r="Z3624">
        <v>-1.0302739999999901E-3</v>
      </c>
      <c r="AA3624">
        <v>0.997803199999999</v>
      </c>
      <c r="AB3624">
        <v>36</v>
      </c>
      <c r="AC3624">
        <v>42.670699999999997</v>
      </c>
      <c r="AD3624">
        <v>-1.1048809586499999</v>
      </c>
      <c r="AE3624">
        <v>-2.72740000000001</v>
      </c>
      <c r="AF3624">
        <v>3.2899407236079599</v>
      </c>
      <c r="AG3624">
        <v>-1.1048809586499999</v>
      </c>
      <c r="AH3624">
        <v>42.602400855605303</v>
      </c>
      <c r="AI3624">
        <v>91.481208346038201</v>
      </c>
      <c r="AJ3624">
        <v>85.584137566020303</v>
      </c>
      <c r="AK3624">
        <v>42.743526183029402</v>
      </c>
    </row>
    <row r="3625" spans="1:37" x14ac:dyDescent="0.2">
      <c r="A3625" t="str">
        <f>"20200111155619882"</f>
        <v>20200111155619882</v>
      </c>
      <c r="B3625" t="str">
        <f>"1578729379875942"</f>
        <v>1578729379875942</v>
      </c>
      <c r="C3625" t="s">
        <v>37</v>
      </c>
      <c r="D3625">
        <v>5.062773</v>
      </c>
      <c r="E3625">
        <v>0.54925749999999995</v>
      </c>
      <c r="F3625" t="s">
        <v>59</v>
      </c>
      <c r="G3625">
        <v>-270.0926</v>
      </c>
      <c r="H3625" s="1">
        <v>-1.3739080000000001E-6</v>
      </c>
      <c r="I3625">
        <v>212.01750000000001</v>
      </c>
      <c r="J3625">
        <v>-318.78739999999999</v>
      </c>
      <c r="K3625">
        <v>1.1048799999999901</v>
      </c>
      <c r="L3625">
        <v>214.29310000000001</v>
      </c>
      <c r="M3625">
        <v>0.99980409999999997</v>
      </c>
      <c r="N3625">
        <v>0</v>
      </c>
      <c r="O3625">
        <v>1.323671E-2</v>
      </c>
      <c r="P3625">
        <v>0.99586299999999905</v>
      </c>
      <c r="Q3625">
        <v>3.010237E-2</v>
      </c>
      <c r="R3625">
        <v>8.5738369999999994E-2</v>
      </c>
      <c r="S3625">
        <v>3.026672</v>
      </c>
      <c r="T3625">
        <v>-6.8176269999999997E-2</v>
      </c>
      <c r="U3625">
        <v>-0.14012149999999901</v>
      </c>
      <c r="V3625">
        <v>-7.2548249999999995E-2</v>
      </c>
      <c r="W3625">
        <v>4.4777980000000002E-2</v>
      </c>
      <c r="X3625">
        <v>0.996359199999999</v>
      </c>
      <c r="Y3625">
        <v>5.944754E-2</v>
      </c>
      <c r="Z3625">
        <v>-9.6709960000000001E-4</v>
      </c>
      <c r="AA3625">
        <v>0.99823090000000003</v>
      </c>
      <c r="AB3625">
        <v>36</v>
      </c>
      <c r="AC3625">
        <v>48.694800000000001</v>
      </c>
      <c r="AD3625">
        <v>-1.1048813739079999</v>
      </c>
      <c r="AE3625">
        <v>-2.2755999999999901</v>
      </c>
      <c r="AF3625">
        <v>2.91853006050939</v>
      </c>
      <c r="AG3625">
        <v>-1.1048813739079999</v>
      </c>
      <c r="AH3625">
        <v>48.6354237059222</v>
      </c>
      <c r="AI3625">
        <v>91.2990641909782</v>
      </c>
      <c r="AJ3625">
        <v>86.565894656928606</v>
      </c>
      <c r="AK3625">
        <v>48.735439052285997</v>
      </c>
    </row>
    <row r="3626" spans="1:37" x14ac:dyDescent="0.2">
      <c r="A3626" t="str">
        <f>"20200111155619904"</f>
        <v>20200111155619904</v>
      </c>
      <c r="B3626" t="str">
        <f>"1578729379895968"</f>
        <v>1578729379895968</v>
      </c>
      <c r="C3626" t="s">
        <v>37</v>
      </c>
      <c r="D3626">
        <v>5.0667650000000002</v>
      </c>
      <c r="E3626">
        <v>0.54820449999999998</v>
      </c>
      <c r="F3626" t="s">
        <v>59</v>
      </c>
      <c r="G3626">
        <v>-260.23160000000001</v>
      </c>
      <c r="H3626" s="1">
        <v>-1.290472E-6</v>
      </c>
      <c r="I3626">
        <v>211.8004</v>
      </c>
      <c r="J3626">
        <v>-318.43979999999999</v>
      </c>
      <c r="K3626">
        <v>1.1048799999999901</v>
      </c>
      <c r="L3626">
        <v>214.29769999999999</v>
      </c>
      <c r="M3626">
        <v>0.99980419999999903</v>
      </c>
      <c r="N3626">
        <v>0</v>
      </c>
      <c r="O3626">
        <v>1.32336E-2</v>
      </c>
      <c r="P3626">
        <v>0.99585369999999995</v>
      </c>
      <c r="Q3626">
        <v>3.1534810000000003E-2</v>
      </c>
      <c r="R3626">
        <v>8.5330279999999994E-2</v>
      </c>
      <c r="S3626">
        <v>3.02526899999999</v>
      </c>
      <c r="T3626">
        <v>-5.7083370000000001E-2</v>
      </c>
      <c r="U3626">
        <v>-0.12878419999999999</v>
      </c>
      <c r="V3626">
        <v>-7.2143029999999997E-2</v>
      </c>
      <c r="W3626">
        <v>4.620701E-2</v>
      </c>
      <c r="X3626">
        <v>0.99632339999999997</v>
      </c>
      <c r="Y3626">
        <v>5.5738070000000001E-2</v>
      </c>
      <c r="Z3626">
        <v>-7.7517919999999896E-4</v>
      </c>
      <c r="AA3626">
        <v>0.99844519999999903</v>
      </c>
      <c r="AB3626">
        <v>36</v>
      </c>
      <c r="AC3626">
        <v>58.208199999999898</v>
      </c>
      <c r="AD3626">
        <v>-1.10488129047199</v>
      </c>
      <c r="AE3626">
        <v>-2.4972999999999899</v>
      </c>
      <c r="AF3626">
        <v>3.2662939982925998</v>
      </c>
      <c r="AG3626">
        <v>-1.10488129047199</v>
      </c>
      <c r="AH3626">
        <v>58.149137303809297</v>
      </c>
      <c r="AI3626">
        <v>91.086823008534594</v>
      </c>
      <c r="AJ3626">
        <v>86.785018385163099</v>
      </c>
      <c r="AK3626">
        <v>58.251279885738001</v>
      </c>
    </row>
    <row r="3627" spans="1:37" x14ac:dyDescent="0.2">
      <c r="A3627" t="str">
        <f>"20200111155619926"</f>
        <v>20200111155619926</v>
      </c>
      <c r="B3627" t="str">
        <f>"1578729379916464"</f>
        <v>1578729379916464</v>
      </c>
      <c r="C3627" t="s">
        <v>37</v>
      </c>
      <c r="D3627">
        <v>5.0667679999999997</v>
      </c>
      <c r="E3627">
        <v>0.54733019999999999</v>
      </c>
      <c r="F3627" t="s">
        <v>59</v>
      </c>
      <c r="G3627">
        <v>-245.80439999999999</v>
      </c>
      <c r="H3627" s="1">
        <v>1.693784E-6</v>
      </c>
      <c r="I3627">
        <v>211.37260000000001</v>
      </c>
      <c r="J3627">
        <v>-318.09429999999998</v>
      </c>
      <c r="K3627">
        <v>1.1048819999999999</v>
      </c>
      <c r="L3627">
        <v>214.3023</v>
      </c>
      <c r="M3627">
        <v>0.99980419999999903</v>
      </c>
      <c r="N3627">
        <v>0</v>
      </c>
      <c r="O3627">
        <v>1.3231349999999999E-2</v>
      </c>
      <c r="P3627">
        <v>0.99590290000000004</v>
      </c>
      <c r="Q3627">
        <v>3.2396499999999898E-2</v>
      </c>
      <c r="R3627">
        <v>8.4426370000000001E-2</v>
      </c>
      <c r="S3627">
        <v>3.024384</v>
      </c>
      <c r="T3627">
        <v>-4.600477E-2</v>
      </c>
      <c r="U3627">
        <v>-0.12179569999999899</v>
      </c>
      <c r="V3627">
        <v>-7.1239869999999997E-2</v>
      </c>
      <c r="W3627">
        <v>4.7066289999999997E-2</v>
      </c>
      <c r="X3627">
        <v>0.99634809999999996</v>
      </c>
      <c r="Y3627">
        <v>5.3449459999999997E-2</v>
      </c>
      <c r="Z3627">
        <v>-6.0753290000000002E-4</v>
      </c>
      <c r="AA3627">
        <v>0.99857039999999997</v>
      </c>
      <c r="AB3627">
        <v>36</v>
      </c>
      <c r="AC3627">
        <v>72.289899999999903</v>
      </c>
      <c r="AD3627">
        <v>-1.104880306216</v>
      </c>
      <c r="AE3627">
        <v>-2.9296999999999902</v>
      </c>
      <c r="AF3627">
        <v>3.8851339221193402</v>
      </c>
      <c r="AG3627">
        <v>-1.104880306216</v>
      </c>
      <c r="AH3627">
        <v>72.227957546716993</v>
      </c>
      <c r="AI3627">
        <v>90.875127599082305</v>
      </c>
      <c r="AJ3627">
        <v>86.921033522029106</v>
      </c>
      <c r="AK3627">
        <v>72.340810594395606</v>
      </c>
    </row>
    <row r="3628" spans="1:37" x14ac:dyDescent="0.2">
      <c r="A3628" t="str">
        <f>"20200111155619949"</f>
        <v>20200111155619949</v>
      </c>
      <c r="B3628" t="str">
        <f>"1578729379946721"</f>
        <v>1578729379946721</v>
      </c>
      <c r="C3628" t="s">
        <v>37</v>
      </c>
      <c r="D3628">
        <v>5.0948190000000002</v>
      </c>
      <c r="E3628">
        <v>0.54683549999999903</v>
      </c>
      <c r="F3628" t="s">
        <v>59</v>
      </c>
      <c r="G3628">
        <v>-237.60429999999999</v>
      </c>
      <c r="H3628" s="1">
        <v>2.6603199999999999E-6</v>
      </c>
      <c r="I3628">
        <v>211.17339999999999</v>
      </c>
      <c r="J3628">
        <v>-317.7319</v>
      </c>
      <c r="K3628">
        <v>1.104884</v>
      </c>
      <c r="L3628">
        <v>214.30709999999999</v>
      </c>
      <c r="M3628">
        <v>0.99980419999999903</v>
      </c>
      <c r="N3628">
        <v>0</v>
      </c>
      <c r="O3628">
        <v>1.323001E-2</v>
      </c>
      <c r="P3628">
        <v>0.9958745</v>
      </c>
      <c r="Q3628">
        <v>3.3120709999999998E-2</v>
      </c>
      <c r="R3628">
        <v>8.4481070000000005E-2</v>
      </c>
      <c r="S3628">
        <v>3.0236209999999999</v>
      </c>
      <c r="T3628">
        <v>-4.1504979999999997E-2</v>
      </c>
      <c r="U3628">
        <v>-0.1175385</v>
      </c>
      <c r="V3628">
        <v>-7.1295849999999994E-2</v>
      </c>
      <c r="W3628">
        <v>4.7786460000000003E-2</v>
      </c>
      <c r="X3628">
        <v>0.99630989999999997</v>
      </c>
      <c r="Y3628">
        <v>5.2055990000000003E-2</v>
      </c>
      <c r="Z3628">
        <v>-5.3868989999999995E-4</v>
      </c>
      <c r="AA3628">
        <v>0.99864399999999998</v>
      </c>
      <c r="AB3628">
        <v>35</v>
      </c>
      <c r="AC3628">
        <v>80.127600000000001</v>
      </c>
      <c r="AD3628">
        <v>-1.1048813396799999</v>
      </c>
      <c r="AE3628">
        <v>-3.1337000000000002</v>
      </c>
      <c r="AF3628">
        <v>4.1928334195649803</v>
      </c>
      <c r="AG3628">
        <v>-1.1048813396799999</v>
      </c>
      <c r="AH3628">
        <v>80.063922430230406</v>
      </c>
      <c r="AI3628">
        <v>90.789549227366507</v>
      </c>
      <c r="AJ3628">
        <v>87.002240168351506</v>
      </c>
      <c r="AK3628">
        <v>80.181246496752294</v>
      </c>
    </row>
    <row r="3629" spans="1:37" x14ac:dyDescent="0.2">
      <c r="A3629" t="str">
        <f>"20200111155619972"</f>
        <v>20200111155619972</v>
      </c>
      <c r="B3629" t="str">
        <f>"1578729379966241"</f>
        <v>1578729379966241</v>
      </c>
      <c r="C3629" t="s">
        <v>37</v>
      </c>
      <c r="D3629">
        <v>5.0614889999999999</v>
      </c>
      <c r="E3629">
        <v>0.5467225</v>
      </c>
      <c r="F3629" t="s">
        <v>59</v>
      </c>
      <c r="G3629">
        <v>-222.33619999999999</v>
      </c>
      <c r="H3629" s="1">
        <v>-1.233094E-7</v>
      </c>
      <c r="I3629">
        <v>210.72149999999999</v>
      </c>
      <c r="J3629">
        <v>-317.3698</v>
      </c>
      <c r="K3629">
        <v>1.1048830000000001</v>
      </c>
      <c r="L3629">
        <v>214.31180000000001</v>
      </c>
      <c r="M3629">
        <v>0.99980440000000004</v>
      </c>
      <c r="N3629">
        <v>0</v>
      </c>
      <c r="O3629">
        <v>1.322952E-2</v>
      </c>
      <c r="P3629">
        <v>0.99590889999999999</v>
      </c>
      <c r="Q3629">
        <v>3.3200670000000002E-2</v>
      </c>
      <c r="R3629">
        <v>8.4044800000000003E-2</v>
      </c>
      <c r="S3629">
        <v>3.0232239999999999</v>
      </c>
      <c r="T3629">
        <v>-3.5015339999999999E-2</v>
      </c>
      <c r="U3629">
        <v>-0.113632199999999</v>
      </c>
      <c r="V3629">
        <v>-7.0859480000000002E-2</v>
      </c>
      <c r="W3629">
        <v>4.7863139999999998E-2</v>
      </c>
      <c r="X3629">
        <v>0.99633729999999998</v>
      </c>
      <c r="Y3629">
        <v>5.0773949999999998E-2</v>
      </c>
      <c r="Z3629">
        <v>-4.4711080000000002E-4</v>
      </c>
      <c r="AA3629">
        <v>0.99871010000000005</v>
      </c>
      <c r="AB3629">
        <v>35</v>
      </c>
      <c r="AC3629">
        <v>95.033600000000007</v>
      </c>
      <c r="AD3629">
        <v>-1.1048831233094001</v>
      </c>
      <c r="AE3629">
        <v>-3.5903000000000098</v>
      </c>
      <c r="AF3629">
        <v>4.8467163426482598</v>
      </c>
      <c r="AG3629">
        <v>-1.1048831233094001</v>
      </c>
      <c r="AH3629">
        <v>94.964960298774898</v>
      </c>
      <c r="AI3629">
        <v>90.665719311439204</v>
      </c>
      <c r="AJ3629">
        <v>87.078336525707797</v>
      </c>
      <c r="AK3629">
        <v>95.094979418317195</v>
      </c>
    </row>
    <row r="3630" spans="1:37" x14ac:dyDescent="0.2">
      <c r="A3630" t="str">
        <f>"20200111155619994"</f>
        <v>20200111155619994</v>
      </c>
      <c r="B3630" t="str">
        <f>"1578729379986737"</f>
        <v>1578729379986737</v>
      </c>
      <c r="C3630" t="s">
        <v>37</v>
      </c>
      <c r="D3630">
        <v>5.1449639999999999</v>
      </c>
      <c r="E3630">
        <v>0.546674199999999</v>
      </c>
      <c r="F3630" t="s">
        <v>59</v>
      </c>
      <c r="G3630">
        <v>-215.63339999999999</v>
      </c>
      <c r="H3630" s="1">
        <v>1.6423439999999899E-6</v>
      </c>
      <c r="I3630">
        <v>210.46870000000001</v>
      </c>
      <c r="J3630">
        <v>-317.02109999999999</v>
      </c>
      <c r="K3630">
        <v>1.1048799999999901</v>
      </c>
      <c r="L3630">
        <v>214.31649999999999</v>
      </c>
      <c r="M3630">
        <v>0.99980440000000004</v>
      </c>
      <c r="N3630">
        <v>0</v>
      </c>
      <c r="O3630">
        <v>1.322951E-2</v>
      </c>
      <c r="P3630">
        <v>0.99593290000000001</v>
      </c>
      <c r="Q3630">
        <v>3.3079079999999997E-2</v>
      </c>
      <c r="R3630">
        <v>8.3806749999999999E-2</v>
      </c>
      <c r="S3630">
        <v>3.0230410000000001</v>
      </c>
      <c r="T3630">
        <v>-3.2830949999999998E-2</v>
      </c>
      <c r="U3630">
        <v>-0.1141968</v>
      </c>
      <c r="V3630">
        <v>-7.06209E-2</v>
      </c>
      <c r="W3630">
        <v>4.7738820000000001E-2</v>
      </c>
      <c r="X3630">
        <v>0.99636019999999903</v>
      </c>
      <c r="Y3630">
        <v>5.0962979999999998E-2</v>
      </c>
      <c r="Z3630">
        <v>-4.2026990000000001E-4</v>
      </c>
      <c r="AA3630">
        <v>0.99870040000000004</v>
      </c>
      <c r="AB3630">
        <v>35</v>
      </c>
      <c r="AC3630">
        <v>101.3877</v>
      </c>
      <c r="AD3630">
        <v>-1.104878357656</v>
      </c>
      <c r="AE3630">
        <v>-3.8477999999999701</v>
      </c>
      <c r="AF3630">
        <v>5.1883025027740999</v>
      </c>
      <c r="AG3630">
        <v>-1.104878357656</v>
      </c>
      <c r="AH3630">
        <v>101.31590060362799</v>
      </c>
      <c r="AI3630">
        <v>90.623984242690995</v>
      </c>
      <c r="AJ3630">
        <v>87.068491786763602</v>
      </c>
      <c r="AK3630">
        <v>101.454674383045</v>
      </c>
    </row>
    <row r="3631" spans="1:37" x14ac:dyDescent="0.2">
      <c r="A3631" t="str">
        <f>"20200111155620016"</f>
        <v>20200111155620016</v>
      </c>
      <c r="B3631" t="str">
        <f>"1578729380006257"</f>
        <v>1578729380006257</v>
      </c>
      <c r="C3631" t="s">
        <v>37</v>
      </c>
      <c r="D3631">
        <v>5.0592160000000002</v>
      </c>
      <c r="E3631">
        <v>0.5463964</v>
      </c>
      <c r="F3631" t="s">
        <v>59</v>
      </c>
      <c r="G3631">
        <v>-215.41239999999999</v>
      </c>
      <c r="H3631" s="1">
        <v>1.524561E-6</v>
      </c>
      <c r="I3631">
        <v>210.47239999999999</v>
      </c>
      <c r="J3631">
        <v>-316.67899999999997</v>
      </c>
      <c r="K3631">
        <v>1.1048799999999901</v>
      </c>
      <c r="L3631">
        <v>214.321</v>
      </c>
      <c r="M3631">
        <v>0.99980440000000004</v>
      </c>
      <c r="N3631">
        <v>0</v>
      </c>
      <c r="O3631">
        <v>1.3229640000000001E-2</v>
      </c>
      <c r="P3631">
        <v>0.99589869999999903</v>
      </c>
      <c r="Q3631">
        <v>3.3685710000000001E-2</v>
      </c>
      <c r="R3631">
        <v>8.3973060000000002E-2</v>
      </c>
      <c r="S3631">
        <v>3.0229490000000001</v>
      </c>
      <c r="T3631">
        <v>-3.2871129999999998E-2</v>
      </c>
      <c r="U3631">
        <v>-0.1143646</v>
      </c>
      <c r="V3631">
        <v>-7.0787520000000007E-2</v>
      </c>
      <c r="W3631">
        <v>4.8340849999999998E-2</v>
      </c>
      <c r="X3631">
        <v>0.99631939999999997</v>
      </c>
      <c r="Y3631">
        <v>5.1019589999999997E-2</v>
      </c>
      <c r="Z3631">
        <v>-4.2110550000000002E-4</v>
      </c>
      <c r="AA3631">
        <v>0.99869759999999996</v>
      </c>
      <c r="AB3631">
        <v>35</v>
      </c>
      <c r="AC3631">
        <v>101.2666</v>
      </c>
      <c r="AD3631">
        <v>-1.10487847543899</v>
      </c>
      <c r="AE3631">
        <v>-3.8485999999999998</v>
      </c>
      <c r="AF3631">
        <v>5.1875119470081499</v>
      </c>
      <c r="AG3631">
        <v>-1.10487847543899</v>
      </c>
      <c r="AH3631">
        <v>101.19478563488801</v>
      </c>
      <c r="AI3631">
        <v>90.624729358482497</v>
      </c>
      <c r="AJ3631">
        <v>87.065435776196495</v>
      </c>
      <c r="AK3631">
        <v>101.333684805877</v>
      </c>
    </row>
    <row r="3632" spans="1:37" x14ac:dyDescent="0.2">
      <c r="A3632" t="str">
        <f>"20200111155620039"</f>
        <v>20200111155620039</v>
      </c>
      <c r="B3632" t="str">
        <f>"1578729380036512"</f>
        <v>1578729380036512</v>
      </c>
      <c r="C3632" t="s">
        <v>37</v>
      </c>
      <c r="D3632">
        <v>5.0664769999999999</v>
      </c>
      <c r="E3632">
        <v>0.54606909999999997</v>
      </c>
      <c r="F3632" t="s">
        <v>56</v>
      </c>
      <c r="G3632">
        <v>-208.18860000000001</v>
      </c>
      <c r="H3632" s="1">
        <v>6.2250699999999902E-6</v>
      </c>
      <c r="I3632">
        <v>210.30670000000001</v>
      </c>
      <c r="J3632">
        <v>-316.31909999999999</v>
      </c>
      <c r="K3632">
        <v>1.1048849999999999</v>
      </c>
      <c r="L3632">
        <v>214.32570000000001</v>
      </c>
      <c r="M3632">
        <v>0.99980449999999998</v>
      </c>
      <c r="N3632">
        <v>0</v>
      </c>
      <c r="O3632">
        <v>1.323001E-2</v>
      </c>
      <c r="P3632">
        <v>0.99586419999999998</v>
      </c>
      <c r="Q3632">
        <v>3.4310489999999999E-2</v>
      </c>
      <c r="R3632">
        <v>8.4127779999999999E-2</v>
      </c>
      <c r="S3632">
        <v>3.0227970000000002</v>
      </c>
      <c r="T3632">
        <v>-3.0784369999999998E-2</v>
      </c>
      <c r="U3632">
        <v>-0.1118469</v>
      </c>
      <c r="V3632">
        <v>-7.0942140000000001E-2</v>
      </c>
      <c r="W3632">
        <v>4.8961909999999997E-2</v>
      </c>
      <c r="X3632">
        <v>0.996278</v>
      </c>
      <c r="Y3632">
        <v>5.0191699999999999E-2</v>
      </c>
      <c r="Z3632">
        <v>-3.9018940000000002E-4</v>
      </c>
      <c r="AA3632">
        <v>0.9987395</v>
      </c>
      <c r="AB3632">
        <v>35</v>
      </c>
      <c r="AC3632">
        <v>108.130499999999</v>
      </c>
      <c r="AD3632">
        <v>-1.10487877493</v>
      </c>
      <c r="AE3632">
        <v>-4.0190000000000001</v>
      </c>
      <c r="AF3632">
        <v>5.4488021385755099</v>
      </c>
      <c r="AG3632">
        <v>-1.10487877493</v>
      </c>
      <c r="AH3632">
        <v>108.056590794264</v>
      </c>
      <c r="AI3632">
        <v>90.585085668685807</v>
      </c>
      <c r="AJ3632">
        <v>87.1132796322497</v>
      </c>
      <c r="AK3632">
        <v>108.199524102149</v>
      </c>
    </row>
    <row r="3633" spans="1:37" x14ac:dyDescent="0.2">
      <c r="A3633" t="str">
        <f>"20200111155620061"</f>
        <v>20200111155620061</v>
      </c>
      <c r="B3633" t="str">
        <f>"1578729380056033"</f>
        <v>1578729380056033</v>
      </c>
      <c r="C3633" t="s">
        <v>37</v>
      </c>
      <c r="D3633">
        <v>5.1067970000000003</v>
      </c>
      <c r="E3633">
        <v>0.54579290000000003</v>
      </c>
      <c r="F3633" t="s">
        <v>56</v>
      </c>
      <c r="G3633">
        <v>-206.5907</v>
      </c>
      <c r="H3633" s="1">
        <v>5.50993799999999E-6</v>
      </c>
      <c r="I3633">
        <v>210.38120000000001</v>
      </c>
      <c r="J3633">
        <v>-315.957999999999</v>
      </c>
      <c r="K3633">
        <v>1.1048849999999999</v>
      </c>
      <c r="L3633">
        <v>214.3306</v>
      </c>
      <c r="M3633">
        <v>0.99980460000000004</v>
      </c>
      <c r="N3633">
        <v>0</v>
      </c>
      <c r="O3633">
        <v>1.3230199999999999E-2</v>
      </c>
      <c r="P3633">
        <v>0.99585009999999996</v>
      </c>
      <c r="Q3633">
        <v>3.4262290000000001E-2</v>
      </c>
      <c r="R3633">
        <v>8.4313089999999993E-2</v>
      </c>
      <c r="S3633">
        <v>3.0226439999999899</v>
      </c>
      <c r="T3633">
        <v>-3.043568E-2</v>
      </c>
      <c r="U3633">
        <v>-0.1086578</v>
      </c>
      <c r="V3633">
        <v>-7.1127609999999994E-2</v>
      </c>
      <c r="W3633">
        <v>4.8909519999999998E-2</v>
      </c>
      <c r="X3633">
        <v>0.99626740000000003</v>
      </c>
      <c r="Y3633">
        <v>4.9141530000000003E-2</v>
      </c>
      <c r="Z3633">
        <v>-3.8051330000000001E-4</v>
      </c>
      <c r="AA3633">
        <v>0.99879180000000001</v>
      </c>
      <c r="AB3633">
        <v>35</v>
      </c>
      <c r="AC3633">
        <v>109.36729999999901</v>
      </c>
      <c r="AD3633">
        <v>-1.104879490062</v>
      </c>
      <c r="AE3633">
        <v>-3.94939999999999</v>
      </c>
      <c r="AF3633">
        <v>5.3956116528210201</v>
      </c>
      <c r="AG3633">
        <v>-1.104879490062</v>
      </c>
      <c r="AH3633">
        <v>109.29432876595401</v>
      </c>
      <c r="AI3633">
        <v>90.5784909617811</v>
      </c>
      <c r="AJ3633">
        <v>87.173732630075605</v>
      </c>
      <c r="AK3633">
        <v>109.433010029863</v>
      </c>
    </row>
    <row r="3634" spans="1:37" x14ac:dyDescent="0.2">
      <c r="A3634" t="str">
        <f>"20200111155620084"</f>
        <v>20200111155620084</v>
      </c>
      <c r="B3634" t="str">
        <f>"1578729380076529"</f>
        <v>1578729380076529</v>
      </c>
      <c r="C3634" t="s">
        <v>37</v>
      </c>
      <c r="D3634">
        <v>5.1129470000000001</v>
      </c>
      <c r="E3634">
        <v>0.54554919999999996</v>
      </c>
      <c r="F3634" t="s">
        <v>56</v>
      </c>
      <c r="G3634">
        <v>-207.74199999999999</v>
      </c>
      <c r="H3634" s="1">
        <v>6.0067599999999902E-6</v>
      </c>
      <c r="I3634">
        <v>210.53809999999999</v>
      </c>
      <c r="J3634">
        <v>-315.60750000000002</v>
      </c>
      <c r="K3634">
        <v>1.104881</v>
      </c>
      <c r="L3634">
        <v>214.33519999999999</v>
      </c>
      <c r="M3634">
        <v>0.99980460000000004</v>
      </c>
      <c r="N3634">
        <v>0</v>
      </c>
      <c r="O3634">
        <v>1.3230520000000001E-2</v>
      </c>
      <c r="P3634">
        <v>0.99584079999999997</v>
      </c>
      <c r="Q3634">
        <v>3.4420760000000002E-2</v>
      </c>
      <c r="R3634">
        <v>8.4357790000000002E-2</v>
      </c>
      <c r="S3634">
        <v>3.0225520000000001</v>
      </c>
      <c r="T3634">
        <v>-3.086007E-2</v>
      </c>
      <c r="U3634">
        <v>-0.10592650000000001</v>
      </c>
      <c r="V3634">
        <v>-7.1171709999999999E-2</v>
      </c>
      <c r="W3634">
        <v>4.9064299999999998E-2</v>
      </c>
      <c r="X3634">
        <v>0.99625659999999905</v>
      </c>
      <c r="Y3634">
        <v>4.8241449999999998E-2</v>
      </c>
      <c r="Z3634">
        <v>-3.8124639999999999E-4</v>
      </c>
      <c r="AA3634">
        <v>0.99883559999999905</v>
      </c>
      <c r="AB3634">
        <v>35</v>
      </c>
      <c r="AC3634">
        <v>107.8655</v>
      </c>
      <c r="AD3634">
        <v>-1.1048749932399999</v>
      </c>
      <c r="AE3634">
        <v>-3.7970999999999999</v>
      </c>
      <c r="AF3634">
        <v>5.22349081023021</v>
      </c>
      <c r="AG3634">
        <v>-1.1048749932399999</v>
      </c>
      <c r="AH3634">
        <v>107.79451789692401</v>
      </c>
      <c r="AI3634">
        <v>90.586562953595603</v>
      </c>
      <c r="AJ3634">
        <v>87.225739701995295</v>
      </c>
      <c r="AK3634">
        <v>107.926658864367</v>
      </c>
    </row>
    <row r="3635" spans="1:37" x14ac:dyDescent="0.2">
      <c r="A3635" t="str">
        <f>"20200111155620105"</f>
        <v>20200111155620105</v>
      </c>
      <c r="B3635" t="str">
        <f>"1578729380096048"</f>
        <v>1578729380096048</v>
      </c>
      <c r="C3635" t="s">
        <v>37</v>
      </c>
      <c r="D3635">
        <v>5.1477930000000001</v>
      </c>
      <c r="E3635">
        <v>0.54540109999999997</v>
      </c>
      <c r="F3635" t="s">
        <v>56</v>
      </c>
      <c r="G3635">
        <v>-205.87599999999901</v>
      </c>
      <c r="H3635" s="1">
        <v>5.1759939999999902E-6</v>
      </c>
      <c r="I3635">
        <v>210.57579999999999</v>
      </c>
      <c r="J3635">
        <v>-315.2654</v>
      </c>
      <c r="K3635">
        <v>1.1048819999999999</v>
      </c>
      <c r="L3635">
        <v>214.33969999999999</v>
      </c>
      <c r="M3635">
        <v>0.99980469999999899</v>
      </c>
      <c r="N3635">
        <v>0</v>
      </c>
      <c r="O3635">
        <v>1.323043E-2</v>
      </c>
      <c r="P3635">
        <v>0.99583719999999998</v>
      </c>
      <c r="Q3635">
        <v>3.433398E-2</v>
      </c>
      <c r="R3635">
        <v>8.4437689999999996E-2</v>
      </c>
      <c r="S3635">
        <v>3.0223390000000001</v>
      </c>
      <c r="T3635">
        <v>-3.0431630000000001E-2</v>
      </c>
      <c r="U3635">
        <v>-0.1035461</v>
      </c>
      <c r="V3635">
        <v>-7.1252319999999994E-2</v>
      </c>
      <c r="W3635">
        <v>4.8974299999999998E-2</v>
      </c>
      <c r="X3635">
        <v>0.99625529999999995</v>
      </c>
      <c r="Y3635">
        <v>4.7458210000000001E-2</v>
      </c>
      <c r="Z3635">
        <v>-3.7204229999999999E-4</v>
      </c>
      <c r="AA3635">
        <v>0.99887320000000002</v>
      </c>
      <c r="AB3635">
        <v>35</v>
      </c>
      <c r="AC3635">
        <v>109.38939999999999</v>
      </c>
      <c r="AD3635">
        <v>-1.1048768240059901</v>
      </c>
      <c r="AE3635">
        <v>-3.7639</v>
      </c>
      <c r="AF3635">
        <v>5.2104643374703201</v>
      </c>
      <c r="AG3635">
        <v>-1.1048768240059901</v>
      </c>
      <c r="AH3635">
        <v>109.31888082344</v>
      </c>
      <c r="AI3635">
        <v>90.578407371146895</v>
      </c>
      <c r="AJ3635">
        <v>87.271177196417796</v>
      </c>
      <c r="AK3635">
        <v>109.448560501716</v>
      </c>
    </row>
    <row r="3636" spans="1:37" x14ac:dyDescent="0.2">
      <c r="A3636" t="str">
        <f>"20200111155620129"</f>
        <v>20200111155620129</v>
      </c>
      <c r="B3636" t="str">
        <f>"1578729380126305"</f>
        <v>1578729380126305</v>
      </c>
      <c r="C3636" t="s">
        <v>37</v>
      </c>
      <c r="D3636">
        <v>5.1124130000000001</v>
      </c>
      <c r="E3636">
        <v>0.54504600000000003</v>
      </c>
      <c r="F3636" t="s">
        <v>56</v>
      </c>
      <c r="G3636">
        <v>-206.6908</v>
      </c>
      <c r="H3636" s="1">
        <v>5.5291679999999902E-6</v>
      </c>
      <c r="I3636">
        <v>210.66919999999999</v>
      </c>
      <c r="J3636">
        <v>-314.90679999999998</v>
      </c>
      <c r="K3636">
        <v>1.1048770000000001</v>
      </c>
      <c r="L3636">
        <v>214.34450000000001</v>
      </c>
      <c r="M3636">
        <v>0.99980480000000005</v>
      </c>
      <c r="N3636">
        <v>0</v>
      </c>
      <c r="O3636">
        <v>1.3230459999999999E-2</v>
      </c>
      <c r="P3636">
        <v>0.99586799999999998</v>
      </c>
      <c r="Q3636">
        <v>3.4081239999999999E-2</v>
      </c>
      <c r="R3636">
        <v>8.417587E-2</v>
      </c>
      <c r="S3636">
        <v>3.022278</v>
      </c>
      <c r="T3636">
        <v>-3.0755279999999999E-2</v>
      </c>
      <c r="U3636">
        <v>-0.1021729</v>
      </c>
      <c r="V3636">
        <v>-7.0989559999999993E-2</v>
      </c>
      <c r="W3636">
        <v>4.8718060000000001E-2</v>
      </c>
      <c r="X3636">
        <v>0.99628660000000002</v>
      </c>
      <c r="Y3636">
        <v>4.7005520000000002E-2</v>
      </c>
      <c r="Z3636">
        <v>-3.7370699999999998E-4</v>
      </c>
      <c r="AA3636">
        <v>0.99889459999999997</v>
      </c>
      <c r="AB3636">
        <v>35</v>
      </c>
      <c r="AC3636">
        <v>108.215999999999</v>
      </c>
      <c r="AD3636">
        <v>-1.104871470832</v>
      </c>
      <c r="AE3636">
        <v>-3.67530000000002</v>
      </c>
      <c r="AF3636">
        <v>5.1063481889616797</v>
      </c>
      <c r="AG3636">
        <v>-1.104871470832</v>
      </c>
      <c r="AH3636">
        <v>108.146634684541</v>
      </c>
      <c r="AI3636">
        <v>90.584686047280201</v>
      </c>
      <c r="AJ3636">
        <v>87.296679017282401</v>
      </c>
      <c r="AK3636">
        <v>108.272758006738</v>
      </c>
    </row>
    <row r="3637" spans="1:37" x14ac:dyDescent="0.2">
      <c r="A3637" t="str">
        <f>"20200111155620150"</f>
        <v>20200111155620150</v>
      </c>
      <c r="B3637" t="str">
        <f>"1578729380145825"</f>
        <v>1578729380145825</v>
      </c>
      <c r="C3637" t="s">
        <v>37</v>
      </c>
      <c r="D3637">
        <v>5.1032960000000003</v>
      </c>
      <c r="E3637">
        <v>0.54490969999999905</v>
      </c>
      <c r="F3637" t="s">
        <v>56</v>
      </c>
      <c r="G3637">
        <v>-209.26339999999999</v>
      </c>
      <c r="H3637" s="1">
        <v>6.6546190000000001E-6</v>
      </c>
      <c r="I3637">
        <v>210.84520000000001</v>
      </c>
      <c r="J3637">
        <v>-314.56180000000001</v>
      </c>
      <c r="K3637">
        <v>1.104876</v>
      </c>
      <c r="L3637">
        <v>214.34899999999999</v>
      </c>
      <c r="M3637">
        <v>0.9998049</v>
      </c>
      <c r="N3637">
        <v>0</v>
      </c>
      <c r="O3637">
        <v>1.323066E-2</v>
      </c>
      <c r="P3637">
        <v>0.99594169999999904</v>
      </c>
      <c r="Q3637">
        <v>3.3196009999999998E-2</v>
      </c>
      <c r="R3637">
        <v>8.3656419999999995E-2</v>
      </c>
      <c r="S3637">
        <v>3.02200299999999</v>
      </c>
      <c r="T3637">
        <v>-3.1605599999999998E-2</v>
      </c>
      <c r="U3637">
        <v>-0.1000977</v>
      </c>
      <c r="V3637">
        <v>-7.0469080000000003E-2</v>
      </c>
      <c r="W3637">
        <v>4.7821700000000002E-2</v>
      </c>
      <c r="X3637">
        <v>0.996367</v>
      </c>
      <c r="Y3637">
        <v>4.632348E-2</v>
      </c>
      <c r="Z3637">
        <v>-3.8051440000000001E-4</v>
      </c>
      <c r="AA3637">
        <v>0.99892639999999999</v>
      </c>
      <c r="AB3637">
        <v>35</v>
      </c>
      <c r="AC3637">
        <v>105.2984</v>
      </c>
      <c r="AD3637">
        <v>-1.1048693453809999</v>
      </c>
      <c r="AE3637">
        <v>-3.5038000000000098</v>
      </c>
      <c r="AF3637">
        <v>4.8962719740412997</v>
      </c>
      <c r="AG3637">
        <v>-1.1048693453809999</v>
      </c>
      <c r="AH3637">
        <v>105.23124587265499</v>
      </c>
      <c r="AI3637">
        <v>90.6009015482649</v>
      </c>
      <c r="AJ3637">
        <v>87.336023782685999</v>
      </c>
      <c r="AK3637">
        <v>105.350886676028</v>
      </c>
    </row>
    <row r="3638" spans="1:37" x14ac:dyDescent="0.2">
      <c r="A3638" t="str">
        <f>"20200111155620173"</f>
        <v>20200111155620173</v>
      </c>
      <c r="B3638" t="str">
        <f>"1578729380166320"</f>
        <v>1578729380166320</v>
      </c>
      <c r="C3638" t="s">
        <v>37</v>
      </c>
      <c r="D3638">
        <v>5.243309</v>
      </c>
      <c r="E3638">
        <v>0.52626819999999996</v>
      </c>
      <c r="F3638" t="s">
        <v>59</v>
      </c>
      <c r="G3638">
        <v>-213.07509999999999</v>
      </c>
      <c r="H3638" s="1">
        <v>2.5913189999999998E-7</v>
      </c>
      <c r="I3638">
        <v>210.96780000000001</v>
      </c>
      <c r="J3638">
        <v>-314.20370000000003</v>
      </c>
      <c r="K3638">
        <v>1.104867</v>
      </c>
      <c r="L3638">
        <v>214.3537</v>
      </c>
      <c r="M3638">
        <v>0.99980559999999996</v>
      </c>
      <c r="N3638">
        <v>0</v>
      </c>
      <c r="O3638">
        <v>1.323069E-2</v>
      </c>
      <c r="P3638">
        <v>0.99599150000000003</v>
      </c>
      <c r="Q3638">
        <v>3.256655E-2</v>
      </c>
      <c r="R3638">
        <v>8.3310599999999999E-2</v>
      </c>
      <c r="S3638">
        <v>3.0217900000000002</v>
      </c>
      <c r="T3638">
        <v>-3.2897950000000002E-2</v>
      </c>
      <c r="U3638">
        <v>-0.1006775</v>
      </c>
      <c r="V3638">
        <v>-7.0122580000000004E-2</v>
      </c>
      <c r="W3638">
        <v>4.7149169999999997E-2</v>
      </c>
      <c r="X3638">
        <v>0.99642350000000002</v>
      </c>
      <c r="Y3638">
        <v>4.6517019999999999E-2</v>
      </c>
      <c r="Z3638">
        <v>-3.9715280000000001E-4</v>
      </c>
      <c r="AA3638">
        <v>0.99891739999999996</v>
      </c>
      <c r="AB3638">
        <v>35</v>
      </c>
      <c r="AC3638">
        <v>101.12860000000001</v>
      </c>
      <c r="AD3638">
        <v>-1.1048667408681001</v>
      </c>
      <c r="AE3638">
        <v>-3.3858999999999901</v>
      </c>
      <c r="AF3638">
        <v>4.7231845783795103</v>
      </c>
      <c r="AG3638">
        <v>-1.1048667408681001</v>
      </c>
      <c r="AH3638">
        <v>101.062894079636</v>
      </c>
      <c r="AI3638">
        <v>90.6256763933267</v>
      </c>
      <c r="AJ3638">
        <v>87.3242229320619</v>
      </c>
      <c r="AK3638">
        <v>101.179235828446</v>
      </c>
    </row>
    <row r="3639" spans="1:37" x14ac:dyDescent="0.2">
      <c r="A3639" t="str">
        <f>"20200111155620195"</f>
        <v>20200111155620195</v>
      </c>
      <c r="B3639" t="str">
        <f>"1578729380185840"</f>
        <v>1578729380185840</v>
      </c>
      <c r="C3639" t="s">
        <v>37</v>
      </c>
      <c r="D3639">
        <v>5.2229739999999998</v>
      </c>
      <c r="E3639">
        <v>0.51797289999999996</v>
      </c>
      <c r="F3639" t="s">
        <v>59</v>
      </c>
      <c r="G3639">
        <v>-275.6062</v>
      </c>
      <c r="H3639" s="1">
        <v>1.4307079999999999E-6</v>
      </c>
      <c r="I3639">
        <v>214.97909999999999</v>
      </c>
      <c r="J3639">
        <v>-313.85840000000002</v>
      </c>
      <c r="K3639">
        <v>1.1048450000000001</v>
      </c>
      <c r="L3639">
        <v>214.35830000000001</v>
      </c>
      <c r="M3639">
        <v>0.99980689999999905</v>
      </c>
      <c r="N3639">
        <v>0</v>
      </c>
      <c r="O3639">
        <v>1.3230840000000001E-2</v>
      </c>
      <c r="P3639">
        <v>0.99600999999999995</v>
      </c>
      <c r="Q3639">
        <v>3.2532789999999999E-2</v>
      </c>
      <c r="R3639">
        <v>8.3104059999999993E-2</v>
      </c>
      <c r="S3639">
        <v>3.0108029999999899</v>
      </c>
      <c r="T3639">
        <v>-8.6185339999999999E-2</v>
      </c>
      <c r="U3639">
        <v>4.8782350000000002E-2</v>
      </c>
      <c r="V3639">
        <v>-6.9915840000000007E-2</v>
      </c>
      <c r="W3639">
        <v>4.7023420000000003E-2</v>
      </c>
      <c r="X3639">
        <v>0.996444</v>
      </c>
      <c r="Y3639">
        <v>-2.9725939999999998E-3</v>
      </c>
      <c r="Z3639">
        <v>-3.3612259999999999E-4</v>
      </c>
      <c r="AA3639">
        <v>0.99999550000000004</v>
      </c>
      <c r="AB3639">
        <v>35</v>
      </c>
      <c r="AC3639">
        <v>38.252200000000002</v>
      </c>
      <c r="AD3639">
        <v>-1.104843569292</v>
      </c>
      <c r="AE3639">
        <v>0.62079999999997404</v>
      </c>
      <c r="AF3639">
        <v>-0.114487996211803</v>
      </c>
      <c r="AG3639">
        <v>-1.104843569292</v>
      </c>
      <c r="AH3639">
        <v>38.225185181486196</v>
      </c>
      <c r="AI3639">
        <v>91.655583100994903</v>
      </c>
      <c r="AJ3639">
        <v>90.171605692479702</v>
      </c>
      <c r="AK3639">
        <v>38.241320178215503</v>
      </c>
    </row>
    <row r="3640" spans="1:37" x14ac:dyDescent="0.2">
      <c r="A3640" t="str">
        <f>"20200111155620216"</f>
        <v>20200111155620216</v>
      </c>
      <c r="B3640" t="str">
        <f>"1578729380206666"</f>
        <v>1578729380206666</v>
      </c>
      <c r="C3640" t="s">
        <v>37</v>
      </c>
      <c r="D3640">
        <v>5.1613480000000003</v>
      </c>
      <c r="E3640">
        <v>0.51444079999999903</v>
      </c>
      <c r="F3640" t="s">
        <v>61</v>
      </c>
      <c r="G3640">
        <v>-282.66739999999999</v>
      </c>
      <c r="H3640" s="1">
        <v>5.796888E-6</v>
      </c>
      <c r="I3640">
        <v>215.5488</v>
      </c>
      <c r="J3640">
        <v>-313.52749999999997</v>
      </c>
      <c r="K3640">
        <v>1.1048169999999999</v>
      </c>
      <c r="L3640">
        <v>214.36269999999999</v>
      </c>
      <c r="M3640">
        <v>0.99980899999999995</v>
      </c>
      <c r="N3640">
        <v>0</v>
      </c>
      <c r="O3640">
        <v>1.3230860000000001E-2</v>
      </c>
      <c r="P3640">
        <v>0.99601189999999995</v>
      </c>
      <c r="Q3640">
        <v>3.2495669999999997E-2</v>
      </c>
      <c r="R3640">
        <v>8.3094280000000006E-2</v>
      </c>
      <c r="S3640">
        <v>3.00589</v>
      </c>
      <c r="T3640">
        <v>-0.1064737</v>
      </c>
      <c r="U3640">
        <v>0.11473079999999999</v>
      </c>
      <c r="V3640">
        <v>-6.9905499999999995E-2</v>
      </c>
      <c r="W3640">
        <v>4.6844799999999999E-2</v>
      </c>
      <c r="X3640">
        <v>0.99645309999999898</v>
      </c>
      <c r="Y3640">
        <v>-2.4907640000000002E-2</v>
      </c>
      <c r="Z3640" s="1">
        <v>-2.75141499999999E-5</v>
      </c>
      <c r="AA3640">
        <v>0.99968979999999996</v>
      </c>
      <c r="AB3640">
        <v>35</v>
      </c>
      <c r="AC3640">
        <v>30.8600999999999</v>
      </c>
      <c r="AD3640">
        <v>-1.1048112031119901</v>
      </c>
      <c r="AE3640">
        <v>1.1861000000000099</v>
      </c>
      <c r="AF3640">
        <v>-0.77665428888562904</v>
      </c>
      <c r="AG3640">
        <v>-1.1048112031119901</v>
      </c>
      <c r="AH3640">
        <v>30.833632224336601</v>
      </c>
      <c r="AI3640">
        <v>92.051458071730707</v>
      </c>
      <c r="AJ3640">
        <v>91.442892136831404</v>
      </c>
      <c r="AK3640">
        <v>30.8631928974403</v>
      </c>
    </row>
    <row r="3641" spans="1:37" x14ac:dyDescent="0.2">
      <c r="A3641" t="str">
        <f>"20200111155620240"</f>
        <v>20200111155620240</v>
      </c>
      <c r="B3641" t="str">
        <f>"1578729380235947"</f>
        <v>1578729380235947</v>
      </c>
      <c r="C3641" t="s">
        <v>37</v>
      </c>
      <c r="D3641">
        <v>5.1869309999999897</v>
      </c>
      <c r="E3641">
        <v>0.51274070000000005</v>
      </c>
      <c r="F3641" t="s">
        <v>61</v>
      </c>
      <c r="G3641">
        <v>-284.33659999999998</v>
      </c>
      <c r="H3641" s="1">
        <v>5.0322389999999999E-6</v>
      </c>
      <c r="I3641">
        <v>215.7534</v>
      </c>
      <c r="J3641">
        <v>-313.16140000000001</v>
      </c>
      <c r="K3641">
        <v>1.1047719999999901</v>
      </c>
      <c r="L3641">
        <v>214.36750000000001</v>
      </c>
      <c r="M3641">
        <v>0.99981180000000003</v>
      </c>
      <c r="N3641">
        <v>0</v>
      </c>
      <c r="O3641">
        <v>1.323118E-2</v>
      </c>
      <c r="P3641">
        <v>0.99597659999999999</v>
      </c>
      <c r="Q3641">
        <v>3.2772959999999997E-2</v>
      </c>
      <c r="R3641">
        <v>8.3405899999999894E-2</v>
      </c>
      <c r="S3641">
        <v>3.003784</v>
      </c>
      <c r="T3641">
        <v>-0.11368689999999999</v>
      </c>
      <c r="U3641">
        <v>0.14311219999999999</v>
      </c>
      <c r="V3641">
        <v>-7.0217420000000003E-2</v>
      </c>
      <c r="W3641">
        <v>4.6922449999999997E-2</v>
      </c>
      <c r="X3641">
        <v>0.99642749999999902</v>
      </c>
      <c r="Y3641">
        <v>-3.43532E-2</v>
      </c>
      <c r="Z3641">
        <v>1.4918780000000001E-4</v>
      </c>
      <c r="AA3641">
        <v>0.99940969999999996</v>
      </c>
      <c r="AB3641">
        <v>35</v>
      </c>
      <c r="AC3641">
        <v>28.8248</v>
      </c>
      <c r="AD3641">
        <v>-1.1047669677609999</v>
      </c>
      <c r="AE3641">
        <v>1.3858999999999899</v>
      </c>
      <c r="AF3641">
        <v>-1.00288435475905</v>
      </c>
      <c r="AG3641">
        <v>-1.1047669677609999</v>
      </c>
      <c r="AH3641">
        <v>28.7984092003218</v>
      </c>
      <c r="AI3641">
        <v>92.195578569683704</v>
      </c>
      <c r="AJ3641">
        <v>91.994479246423694</v>
      </c>
      <c r="AK3641">
        <v>28.837036247701601</v>
      </c>
    </row>
    <row r="3642" spans="1:37" x14ac:dyDescent="0.2">
      <c r="A3642" t="str">
        <f>"20200111155620264"</f>
        <v>20200111155620264</v>
      </c>
      <c r="B3642" t="str">
        <f>"1578729380256442"</f>
        <v>1578729380256442</v>
      </c>
      <c r="C3642" t="s">
        <v>37</v>
      </c>
      <c r="D3642">
        <v>5.1775390000000003</v>
      </c>
      <c r="E3642">
        <v>0.51227440000000002</v>
      </c>
      <c r="F3642" t="s">
        <v>61</v>
      </c>
      <c r="G3642">
        <v>-284.78910000000002</v>
      </c>
      <c r="H3642" s="1">
        <v>4.8193050000000001E-6</v>
      </c>
      <c r="I3642">
        <v>215.85640000000001</v>
      </c>
      <c r="J3642">
        <v>-312.79219999999998</v>
      </c>
      <c r="K3642">
        <v>1.104735</v>
      </c>
      <c r="L3642">
        <v>214.3724</v>
      </c>
      <c r="M3642">
        <v>0.99981500000000001</v>
      </c>
      <c r="N3642">
        <v>0</v>
      </c>
      <c r="O3642">
        <v>1.3231410000000001E-2</v>
      </c>
      <c r="P3642">
        <v>0.99587879999999995</v>
      </c>
      <c r="Q3642">
        <v>3.3491859999999998E-2</v>
      </c>
      <c r="R3642">
        <v>8.4285739999999998E-2</v>
      </c>
      <c r="S3642">
        <v>3.0028079999999999</v>
      </c>
      <c r="T3642">
        <v>-0.11692419999999901</v>
      </c>
      <c r="U3642">
        <v>0.15757750000000001</v>
      </c>
      <c r="V3642">
        <v>-7.1098049999999996E-2</v>
      </c>
      <c r="W3642">
        <v>4.7416850000000003E-2</v>
      </c>
      <c r="X3642">
        <v>0.99634159999999905</v>
      </c>
      <c r="Y3642">
        <v>-3.916592E-2</v>
      </c>
      <c r="Z3642">
        <v>2.4706069999999998E-4</v>
      </c>
      <c r="AA3642">
        <v>0.99923269999999997</v>
      </c>
      <c r="AB3642">
        <v>35</v>
      </c>
      <c r="AC3642">
        <v>28.0030999999999</v>
      </c>
      <c r="AD3642">
        <v>-1.1047301806950001</v>
      </c>
      <c r="AE3642">
        <v>1.484</v>
      </c>
      <c r="AF3642">
        <v>-1.1115883103453501</v>
      </c>
      <c r="AG3642">
        <v>-1.1047301806950001</v>
      </c>
      <c r="AH3642">
        <v>27.9768663354448</v>
      </c>
      <c r="AI3642">
        <v>92.259498383282306</v>
      </c>
      <c r="AJ3642">
        <v>92.2753025660178</v>
      </c>
      <c r="AK3642">
        <v>28.020726387714902</v>
      </c>
    </row>
    <row r="3643" spans="1:37" x14ac:dyDescent="0.2">
      <c r="A3643" t="str">
        <f>"20200111155620284"</f>
        <v>20200111155620284</v>
      </c>
      <c r="B3643" t="str">
        <f>"1578729380275962"</f>
        <v>1578729380275962</v>
      </c>
      <c r="C3643" t="s">
        <v>37</v>
      </c>
      <c r="D3643">
        <v>5.438612</v>
      </c>
      <c r="E3643">
        <v>0.51106229999999997</v>
      </c>
      <c r="F3643" t="s">
        <v>61</v>
      </c>
      <c r="G3643">
        <v>-284.17439999999999</v>
      </c>
      <c r="H3643" s="1">
        <v>5.0824279999999997E-6</v>
      </c>
      <c r="I3643">
        <v>215.9359</v>
      </c>
      <c r="J3643">
        <v>-312.4624</v>
      </c>
      <c r="K3643">
        <v>1.104706</v>
      </c>
      <c r="L3643">
        <v>214.3768</v>
      </c>
      <c r="M3643">
        <v>0.99981769999999903</v>
      </c>
      <c r="N3643">
        <v>0</v>
      </c>
      <c r="O3643">
        <v>1.323184E-2</v>
      </c>
      <c r="P3643">
        <v>0.99583239999999995</v>
      </c>
      <c r="Q3643">
        <v>3.3389019999999998E-2</v>
      </c>
      <c r="R3643">
        <v>8.4869200000000006E-2</v>
      </c>
      <c r="S3643">
        <v>3.0024109999999999</v>
      </c>
      <c r="T3643">
        <v>-0.11590159999999999</v>
      </c>
      <c r="U3643">
        <v>0.16403199999999901</v>
      </c>
      <c r="V3643">
        <v>-7.1682019999999999E-2</v>
      </c>
      <c r="W3643">
        <v>4.710868E-2</v>
      </c>
      <c r="X3643">
        <v>0.99631449999999999</v>
      </c>
      <c r="Y3643">
        <v>-4.1313059999999999E-2</v>
      </c>
      <c r="Z3643">
        <v>2.8630289999999998E-4</v>
      </c>
      <c r="AA3643">
        <v>0.99914619999999998</v>
      </c>
      <c r="AB3643">
        <v>35</v>
      </c>
      <c r="AC3643">
        <v>28.288</v>
      </c>
      <c r="AD3643">
        <v>-1.104700917572</v>
      </c>
      <c r="AE3643">
        <v>1.5590999999999999</v>
      </c>
      <c r="AF3643">
        <v>-1.1828273146220301</v>
      </c>
      <c r="AG3643">
        <v>-1.104700917572</v>
      </c>
      <c r="AH3643">
        <v>28.263182469545999</v>
      </c>
      <c r="AI3643">
        <v>92.236380325804106</v>
      </c>
      <c r="AJ3643">
        <v>92.396456539061006</v>
      </c>
      <c r="AK3643">
        <v>28.309484768895999</v>
      </c>
    </row>
    <row r="3644" spans="1:37" x14ac:dyDescent="0.2">
      <c r="A3644" t="str">
        <f>"20200111155620307"</f>
        <v>20200111155620307</v>
      </c>
      <c r="B3644" t="str">
        <f>"1578729380296458"</f>
        <v>1578729380296458</v>
      </c>
      <c r="C3644" t="s">
        <v>37</v>
      </c>
      <c r="D3644">
        <v>5.2083750000000002</v>
      </c>
      <c r="E3644">
        <v>0.51071690000000003</v>
      </c>
      <c r="F3644" t="s">
        <v>61</v>
      </c>
      <c r="G3644">
        <v>-284.16329999999999</v>
      </c>
      <c r="H3644" s="1">
        <v>5.0758440000000001E-6</v>
      </c>
      <c r="I3644">
        <v>216.0324</v>
      </c>
      <c r="J3644">
        <v>-312.12540000000001</v>
      </c>
      <c r="K3644">
        <v>1.104671</v>
      </c>
      <c r="L3644">
        <v>214.38120000000001</v>
      </c>
      <c r="M3644">
        <v>0.99982090000000001</v>
      </c>
      <c r="N3644">
        <v>0</v>
      </c>
      <c r="O3644">
        <v>1.3231440000000001E-2</v>
      </c>
      <c r="P3644">
        <v>0.99582109999999902</v>
      </c>
      <c r="Q3644">
        <v>3.3420560000000002E-2</v>
      </c>
      <c r="R3644">
        <v>8.499118E-2</v>
      </c>
      <c r="S3644">
        <v>3.0014949999999998</v>
      </c>
      <c r="T3644">
        <v>-0.1171682</v>
      </c>
      <c r="U3644">
        <v>0.17559810000000001</v>
      </c>
      <c r="V3644">
        <v>-7.1804759999999995E-2</v>
      </c>
      <c r="W3644">
        <v>4.69153E-2</v>
      </c>
      <c r="X3644">
        <v>0.996314699999999</v>
      </c>
      <c r="Y3644">
        <v>-4.5164280000000001E-2</v>
      </c>
      <c r="Z3644">
        <v>3.6458330000000002E-4</v>
      </c>
      <c r="AA3644">
        <v>0.99897950000000002</v>
      </c>
      <c r="AB3644">
        <v>35</v>
      </c>
      <c r="AC3644">
        <v>27.9621</v>
      </c>
      <c r="AD3644">
        <v>-1.104665924156</v>
      </c>
      <c r="AE3644">
        <v>1.65119999999998</v>
      </c>
      <c r="AF3644">
        <v>-1.2790534092519199</v>
      </c>
      <c r="AG3644">
        <v>-1.104665924156</v>
      </c>
      <c r="AH3644">
        <v>27.9380498339283</v>
      </c>
      <c r="AI3644">
        <v>92.261919502011096</v>
      </c>
      <c r="AJ3644">
        <v>92.6212719294126</v>
      </c>
      <c r="AK3644">
        <v>27.989120974956901</v>
      </c>
    </row>
    <row r="3645" spans="1:37" x14ac:dyDescent="0.2">
      <c r="A3645" t="str">
        <f>"20200111155620328"</f>
        <v>20200111155620328</v>
      </c>
      <c r="B3645" t="str">
        <f>"1578729380326714"</f>
        <v>1578729380326714</v>
      </c>
      <c r="C3645" t="s">
        <v>37</v>
      </c>
      <c r="D3645">
        <v>5.2103010000000003</v>
      </c>
      <c r="E3645">
        <v>0.510328</v>
      </c>
      <c r="F3645" t="s">
        <v>61</v>
      </c>
      <c r="G3645">
        <v>-284.1112</v>
      </c>
      <c r="H3645" s="1">
        <v>5.0969670000000002E-6</v>
      </c>
      <c r="I3645">
        <v>216.04920000000001</v>
      </c>
      <c r="J3645">
        <v>-311.77679999999998</v>
      </c>
      <c r="K3645">
        <v>1.104635</v>
      </c>
      <c r="L3645">
        <v>214.38579999999999</v>
      </c>
      <c r="M3645">
        <v>0.9998245</v>
      </c>
      <c r="N3645">
        <v>0</v>
      </c>
      <c r="O3645">
        <v>1.3227589999999999E-2</v>
      </c>
      <c r="P3645">
        <v>0.99581350000000002</v>
      </c>
      <c r="Q3645">
        <v>3.3095599999999899E-2</v>
      </c>
      <c r="R3645">
        <v>8.5208320000000004E-2</v>
      </c>
      <c r="S3645">
        <v>3.0012819999999998</v>
      </c>
      <c r="T3645">
        <v>-0.11834749999999999</v>
      </c>
      <c r="U3645">
        <v>0.17869570000000001</v>
      </c>
      <c r="V3645">
        <v>-7.2025240000000004E-2</v>
      </c>
      <c r="W3645">
        <v>4.6338480000000001E-2</v>
      </c>
      <c r="X3645">
        <v>0.99632579999999904</v>
      </c>
      <c r="Y3645">
        <v>-4.619844E-2</v>
      </c>
      <c r="Z3645">
        <v>3.8878289999999999E-4</v>
      </c>
      <c r="AA3645">
        <v>0.99893220000000005</v>
      </c>
      <c r="AB3645">
        <v>35</v>
      </c>
      <c r="AC3645">
        <v>27.665599999999898</v>
      </c>
      <c r="AD3645">
        <v>-1.104629903033</v>
      </c>
      <c r="AE3645">
        <v>1.66340000000002</v>
      </c>
      <c r="AF3645">
        <v>-1.2952155791626101</v>
      </c>
      <c r="AG3645">
        <v>-1.104629903033</v>
      </c>
      <c r="AH3645">
        <v>27.641275796733801</v>
      </c>
      <c r="AI3645">
        <v>92.285991185277496</v>
      </c>
      <c r="AJ3645">
        <v>92.682804668003897</v>
      </c>
      <c r="AK3645">
        <v>27.693644005263799</v>
      </c>
    </row>
    <row r="3646" spans="1:37" x14ac:dyDescent="0.2">
      <c r="A3646" t="str">
        <f>"20200111155620352"</f>
        <v>20200111155620352</v>
      </c>
      <c r="B3646" t="str">
        <f>"1578729380346234"</f>
        <v>1578729380346234</v>
      </c>
      <c r="C3646" t="s">
        <v>37</v>
      </c>
      <c r="D3646">
        <v>5.2170370000000004</v>
      </c>
      <c r="E3646">
        <v>0.51009749999999998</v>
      </c>
      <c r="F3646" t="s">
        <v>61</v>
      </c>
      <c r="G3646">
        <v>-284.47250000000003</v>
      </c>
      <c r="H3646" s="1">
        <v>4.9368610000000001E-6</v>
      </c>
      <c r="I3646">
        <v>216.04810000000001</v>
      </c>
      <c r="J3646">
        <v>-311.41149999999999</v>
      </c>
      <c r="K3646">
        <v>1.104589</v>
      </c>
      <c r="L3646">
        <v>214.39070000000001</v>
      </c>
      <c r="M3646">
        <v>0.99982819999999994</v>
      </c>
      <c r="N3646">
        <v>0</v>
      </c>
      <c r="O3646">
        <v>1.3217380000000001E-2</v>
      </c>
      <c r="P3646">
        <v>0.995839899999999</v>
      </c>
      <c r="Q3646">
        <v>3.3254980000000003E-2</v>
      </c>
      <c r="R3646">
        <v>8.4836469999999997E-2</v>
      </c>
      <c r="S3646">
        <v>3.001007</v>
      </c>
      <c r="T3646">
        <v>-0.1214098</v>
      </c>
      <c r="U3646">
        <v>0.18269349999999901</v>
      </c>
      <c r="V3646">
        <v>-7.1663160000000004E-2</v>
      </c>
      <c r="W3646">
        <v>4.6216060000000003E-2</v>
      </c>
      <c r="X3646">
        <v>0.99635759999999995</v>
      </c>
      <c r="Y3646">
        <v>-4.753756E-2</v>
      </c>
      <c r="Z3646">
        <v>4.2632260000000002E-4</v>
      </c>
      <c r="AA3646">
        <v>0.99886939999999902</v>
      </c>
      <c r="AB3646">
        <v>35</v>
      </c>
      <c r="AC3646">
        <v>26.938999999999901</v>
      </c>
      <c r="AD3646">
        <v>-1.104584063139</v>
      </c>
      <c r="AE3646">
        <v>1.65739999999999</v>
      </c>
      <c r="AF3646">
        <v>-1.2989864309617001</v>
      </c>
      <c r="AG3646">
        <v>-1.104584063139</v>
      </c>
      <c r="AH3646">
        <v>26.913476831882399</v>
      </c>
      <c r="AI3646">
        <v>92.347487183718798</v>
      </c>
      <c r="AJ3646">
        <v>92.763252336314594</v>
      </c>
      <c r="AK3646">
        <v>26.9674378998197</v>
      </c>
    </row>
    <row r="3647" spans="1:37" x14ac:dyDescent="0.2">
      <c r="A3647" t="str">
        <f>"20200111155620374"</f>
        <v>20200111155620374</v>
      </c>
      <c r="B3647" t="str">
        <f>"1578729380366730"</f>
        <v>1578729380366730</v>
      </c>
      <c r="C3647" t="s">
        <v>37</v>
      </c>
      <c r="D3647">
        <v>5.2807690000000003</v>
      </c>
      <c r="E3647">
        <v>0.50987850000000001</v>
      </c>
      <c r="F3647" t="s">
        <v>61</v>
      </c>
      <c r="G3647">
        <v>-284.35559999999998</v>
      </c>
      <c r="H3647" s="1">
        <v>4.9895049999999998E-6</v>
      </c>
      <c r="I3647">
        <v>216.04130000000001</v>
      </c>
      <c r="J3647">
        <v>-311.05650000000003</v>
      </c>
      <c r="K3647">
        <v>1.1045399999999901</v>
      </c>
      <c r="L3647">
        <v>214.3954</v>
      </c>
      <c r="M3647">
        <v>0.99983199999999905</v>
      </c>
      <c r="N3647">
        <v>0</v>
      </c>
      <c r="O3647">
        <v>1.320021E-2</v>
      </c>
      <c r="P3647">
        <v>0.99587870000000001</v>
      </c>
      <c r="Q3647">
        <v>3.3012130000000001E-2</v>
      </c>
      <c r="R3647">
        <v>8.4473950000000006E-2</v>
      </c>
      <c r="S3647">
        <v>3.0010379999999999</v>
      </c>
      <c r="T3647">
        <v>-0.12252059999999999</v>
      </c>
      <c r="U3647">
        <v>0.18309020000000001</v>
      </c>
      <c r="V3647">
        <v>-7.1316640000000001E-2</v>
      </c>
      <c r="W3647">
        <v>4.5687800000000001E-2</v>
      </c>
      <c r="X3647">
        <v>0.99640689999999998</v>
      </c>
      <c r="Y3647">
        <v>-4.768505E-2</v>
      </c>
      <c r="Z3647">
        <v>4.339225E-4</v>
      </c>
      <c r="AA3647">
        <v>0.99886229999999998</v>
      </c>
      <c r="AB3647">
        <v>35</v>
      </c>
      <c r="AC3647">
        <v>26.700900000000001</v>
      </c>
      <c r="AD3647">
        <v>-1.10453501049499</v>
      </c>
      <c r="AE3647">
        <v>1.6459000000000099</v>
      </c>
      <c r="AF3647">
        <v>-1.29106963586106</v>
      </c>
      <c r="AG3647">
        <v>-1.10453501049499</v>
      </c>
      <c r="AH3647">
        <v>26.674827400539002</v>
      </c>
      <c r="AI3647">
        <v>92.368344976281307</v>
      </c>
      <c r="AJ3647">
        <v>92.770970491422602</v>
      </c>
      <c r="AK3647">
        <v>26.7288846614032</v>
      </c>
    </row>
    <row r="3648" spans="1:37" x14ac:dyDescent="0.2">
      <c r="A3648" t="str">
        <f>"20200111155620396"</f>
        <v>20200111155620396</v>
      </c>
      <c r="B3648" t="str">
        <f>"1578729380386250"</f>
        <v>1578729380386250</v>
      </c>
      <c r="C3648" t="s">
        <v>37</v>
      </c>
      <c r="D3648">
        <v>5.2542919999999897</v>
      </c>
      <c r="E3648">
        <v>0.51002729999999996</v>
      </c>
      <c r="F3648" t="s">
        <v>61</v>
      </c>
      <c r="G3648">
        <v>-284.27600000000001</v>
      </c>
      <c r="H3648" s="1">
        <v>5.0253519999999997E-6</v>
      </c>
      <c r="I3648">
        <v>216.0368</v>
      </c>
      <c r="J3648">
        <v>-310.72719999999998</v>
      </c>
      <c r="K3648">
        <v>1.1044969999999901</v>
      </c>
      <c r="L3648">
        <v>214.3997</v>
      </c>
      <c r="M3648">
        <v>0.9998359</v>
      </c>
      <c r="N3648">
        <v>0</v>
      </c>
      <c r="O3648">
        <v>1.31764E-2</v>
      </c>
      <c r="P3648">
        <v>0.99587060000000005</v>
      </c>
      <c r="Q3648">
        <v>3.3225690000000002E-2</v>
      </c>
      <c r="R3648">
        <v>8.4487119999999999E-2</v>
      </c>
      <c r="S3648">
        <v>3.0008849999999998</v>
      </c>
      <c r="T3648">
        <v>-0.12376860000000001</v>
      </c>
      <c r="U3648">
        <v>0.18392939999999999</v>
      </c>
      <c r="V3648">
        <v>-7.135292E-2</v>
      </c>
      <c r="W3648">
        <v>4.5633029999999998E-2</v>
      </c>
      <c r="X3648">
        <v>0.99640669999999898</v>
      </c>
      <c r="Y3648">
        <v>-4.7989410000000003E-2</v>
      </c>
      <c r="Z3648">
        <v>4.4560800000000001E-4</v>
      </c>
      <c r="AA3648">
        <v>0.99884769999999901</v>
      </c>
      <c r="AB3648">
        <v>35</v>
      </c>
      <c r="AC3648">
        <v>26.451199999999901</v>
      </c>
      <c r="AD3648">
        <v>-1.10449197464799</v>
      </c>
      <c r="AE3648">
        <v>1.6371</v>
      </c>
      <c r="AF3648">
        <v>-1.28616539238286</v>
      </c>
      <c r="AG3648">
        <v>-1.10449197464799</v>
      </c>
      <c r="AH3648">
        <v>26.424579338828</v>
      </c>
      <c r="AI3648">
        <v>92.390623372295295</v>
      </c>
      <c r="AJ3648">
        <v>92.786562340855298</v>
      </c>
      <c r="AK3648">
        <v>26.478907023754601</v>
      </c>
    </row>
    <row r="3649" spans="1:37" x14ac:dyDescent="0.2">
      <c r="A3649" t="str">
        <f>"20200111155620418"</f>
        <v>20200111155620418</v>
      </c>
      <c r="B3649" t="str">
        <f>"1578729380406747"</f>
        <v>1578729380406747</v>
      </c>
      <c r="C3649" t="s">
        <v>37</v>
      </c>
      <c r="D3649">
        <v>5.2152989999999999</v>
      </c>
      <c r="E3649">
        <v>0.50982170000000004</v>
      </c>
      <c r="F3649" t="s">
        <v>61</v>
      </c>
      <c r="G3649">
        <v>-282.20599999999899</v>
      </c>
      <c r="H3649" s="1">
        <v>5.9315959999999898E-6</v>
      </c>
      <c r="I3649">
        <v>216.13509999999999</v>
      </c>
      <c r="J3649">
        <v>-310.37009999999998</v>
      </c>
      <c r="K3649">
        <v>1.1044559999999899</v>
      </c>
      <c r="L3649">
        <v>214.40430000000001</v>
      </c>
      <c r="M3649">
        <v>0.999839699999999</v>
      </c>
      <c r="N3649">
        <v>0</v>
      </c>
      <c r="O3649">
        <v>1.3143439999999999E-2</v>
      </c>
      <c r="P3649">
        <v>0.99583880000000002</v>
      </c>
      <c r="Q3649">
        <v>3.3534559999999998E-2</v>
      </c>
      <c r="R3649">
        <v>8.4737179999999995E-2</v>
      </c>
      <c r="S3649">
        <v>3.0008240000000002</v>
      </c>
      <c r="T3649">
        <v>-0.11620759999999999</v>
      </c>
      <c r="U3649">
        <v>0.18258669999999999</v>
      </c>
      <c r="V3649">
        <v>-7.1636000000000005E-2</v>
      </c>
      <c r="W3649">
        <v>4.5660180000000002E-2</v>
      </c>
      <c r="X3649">
        <v>0.99638519999999897</v>
      </c>
      <c r="Y3649">
        <v>-4.758209E-2</v>
      </c>
      <c r="Z3649">
        <v>4.1182019999999998E-4</v>
      </c>
      <c r="AA3649">
        <v>0.99886730000000001</v>
      </c>
      <c r="AB3649">
        <v>35</v>
      </c>
      <c r="AC3649">
        <v>28.164100000000001</v>
      </c>
      <c r="AD3649">
        <v>-1.104450068404</v>
      </c>
      <c r="AE3649">
        <v>1.7307999999999799</v>
      </c>
      <c r="AF3649">
        <v>-1.3583689086258699</v>
      </c>
      <c r="AG3649">
        <v>-1.104450068404</v>
      </c>
      <c r="AH3649">
        <v>28.1413042755044</v>
      </c>
      <c r="AI3649">
        <v>92.2448991139957</v>
      </c>
      <c r="AJ3649">
        <v>92.763498211937801</v>
      </c>
      <c r="AK3649">
        <v>28.1957085807759</v>
      </c>
    </row>
    <row r="3650" spans="1:37" x14ac:dyDescent="0.2">
      <c r="A3650" t="str">
        <f>"20200111155620441"</f>
        <v>20200111155620441</v>
      </c>
      <c r="B3650" t="str">
        <f>"1578729380436027"</f>
        <v>1578729380436027</v>
      </c>
      <c r="C3650" t="s">
        <v>37</v>
      </c>
      <c r="D3650">
        <v>5.2257930000000004</v>
      </c>
      <c r="E3650">
        <v>0.50949549999999999</v>
      </c>
      <c r="F3650" t="s">
        <v>61</v>
      </c>
      <c r="G3650">
        <v>-281.80599999999998</v>
      </c>
      <c r="H3650" s="1">
        <v>6.1056240000000003E-6</v>
      </c>
      <c r="I3650">
        <v>216.16299999999899</v>
      </c>
      <c r="J3650">
        <v>-310.00700000000001</v>
      </c>
      <c r="K3650">
        <v>1.104422</v>
      </c>
      <c r="L3650">
        <v>214.4091</v>
      </c>
      <c r="M3650">
        <v>0.9998435</v>
      </c>
      <c r="N3650">
        <v>0</v>
      </c>
      <c r="O3650">
        <v>1.310162E-2</v>
      </c>
      <c r="P3650">
        <v>0.99580659999999899</v>
      </c>
      <c r="Q3650">
        <v>3.3947720000000001E-2</v>
      </c>
      <c r="R3650">
        <v>8.4951890000000002E-2</v>
      </c>
      <c r="S3650">
        <v>3.000702</v>
      </c>
      <c r="T3650">
        <v>-0.11602410000000001</v>
      </c>
      <c r="U3650">
        <v>0.18475339999999901</v>
      </c>
      <c r="V3650">
        <v>-7.1891609999999995E-2</v>
      </c>
      <c r="W3650">
        <v>4.5804980000000002E-2</v>
      </c>
      <c r="X3650">
        <v>0.99636009999999997</v>
      </c>
      <c r="Y3650">
        <v>-4.8344419999999999E-2</v>
      </c>
      <c r="Z3650">
        <v>4.2751330000000002E-4</v>
      </c>
      <c r="AA3650">
        <v>0.99883060000000001</v>
      </c>
      <c r="AB3650">
        <v>35</v>
      </c>
      <c r="AC3650">
        <v>28.201000000000001</v>
      </c>
      <c r="AD3650">
        <v>-1.1044158943760001</v>
      </c>
      <c r="AE3650">
        <v>1.75389999999998</v>
      </c>
      <c r="AF3650">
        <v>-1.3821329557275599</v>
      </c>
      <c r="AG3650">
        <v>-1.1044158943760001</v>
      </c>
      <c r="AH3650">
        <v>28.178509272923101</v>
      </c>
      <c r="AI3650">
        <v>92.241784071342295</v>
      </c>
      <c r="AJ3650">
        <v>92.808060917187504</v>
      </c>
      <c r="AK3650">
        <v>28.233993887143701</v>
      </c>
    </row>
    <row r="3651" spans="1:37" x14ac:dyDescent="0.2">
      <c r="A3651" t="str">
        <f>"20200111155620464"</f>
        <v>20200111155620464</v>
      </c>
      <c r="B3651" t="str">
        <f>"1578729380456522"</f>
        <v>1578729380456522</v>
      </c>
      <c r="C3651" t="s">
        <v>37</v>
      </c>
      <c r="D3651">
        <v>5.4745569999999999</v>
      </c>
      <c r="E3651">
        <v>0.50938309999999998</v>
      </c>
      <c r="F3651" t="s">
        <v>61</v>
      </c>
      <c r="G3651">
        <v>-281.59710000000001</v>
      </c>
      <c r="H3651" s="1">
        <v>6.1949050000000001E-6</v>
      </c>
      <c r="I3651">
        <v>216.19120000000001</v>
      </c>
      <c r="J3651">
        <v>-309.64370000000002</v>
      </c>
      <c r="K3651">
        <v>1.1044</v>
      </c>
      <c r="L3651">
        <v>214.41380000000001</v>
      </c>
      <c r="M3651">
        <v>0.99984709999999999</v>
      </c>
      <c r="N3651">
        <v>0</v>
      </c>
      <c r="O3651">
        <v>1.305399E-2</v>
      </c>
      <c r="P3651">
        <v>0.99579319999999905</v>
      </c>
      <c r="Q3651">
        <v>3.4044150000000002E-2</v>
      </c>
      <c r="R3651">
        <v>8.5072040000000002E-2</v>
      </c>
      <c r="S3651">
        <v>3.0005489999999999</v>
      </c>
      <c r="T3651">
        <v>-0.11664429999999899</v>
      </c>
      <c r="U3651">
        <v>0.1882172</v>
      </c>
      <c r="V3651">
        <v>-7.2058860000000002E-2</v>
      </c>
      <c r="W3651">
        <v>4.5654939999999998E-2</v>
      </c>
      <c r="X3651">
        <v>0.99635490000000004</v>
      </c>
      <c r="Y3651">
        <v>-4.9542490000000002E-2</v>
      </c>
      <c r="Z3651">
        <v>4.5491019999999898E-4</v>
      </c>
      <c r="AA3651">
        <v>0.99877190000000005</v>
      </c>
      <c r="AB3651">
        <v>35</v>
      </c>
      <c r="AC3651">
        <v>28.046600000000002</v>
      </c>
      <c r="AD3651">
        <v>-1.104393805095</v>
      </c>
      <c r="AE3651">
        <v>1.7774000000000001</v>
      </c>
      <c r="AF3651">
        <v>-1.40892783040717</v>
      </c>
      <c r="AG3651">
        <v>-1.104393805095</v>
      </c>
      <c r="AH3651">
        <v>28.024134466565101</v>
      </c>
      <c r="AI3651">
        <v>92.253938710713498</v>
      </c>
      <c r="AJ3651">
        <v>92.878151566656399</v>
      </c>
      <c r="AK3651">
        <v>28.0812548848543</v>
      </c>
    </row>
    <row r="3652" spans="1:37" x14ac:dyDescent="0.2">
      <c r="A3652" t="str">
        <f>"20200111155620485"</f>
        <v>20200111155620485</v>
      </c>
      <c r="B3652" t="str">
        <f>"1578729380476042"</f>
        <v>1578729380476042</v>
      </c>
      <c r="C3652" t="s">
        <v>37</v>
      </c>
      <c r="D3652">
        <v>5.1872150000000001</v>
      </c>
      <c r="E3652">
        <v>0.50920299999999996</v>
      </c>
      <c r="F3652" t="s">
        <v>61</v>
      </c>
      <c r="G3652">
        <v>-281.0539</v>
      </c>
      <c r="H3652" s="1">
        <v>6.4325429999999898E-6</v>
      </c>
      <c r="I3652">
        <v>216.21870000000001</v>
      </c>
      <c r="J3652">
        <v>-309.3039</v>
      </c>
      <c r="K3652">
        <v>1.104385</v>
      </c>
      <c r="L3652">
        <v>214.41820000000001</v>
      </c>
      <c r="M3652">
        <v>0.99985020000000002</v>
      </c>
      <c r="N3652">
        <v>0</v>
      </c>
      <c r="O3652">
        <v>1.3005589999999999E-2</v>
      </c>
      <c r="P3652">
        <v>0.99578690000000003</v>
      </c>
      <c r="Q3652">
        <v>3.4923280000000001E-2</v>
      </c>
      <c r="R3652">
        <v>8.4787879999999996E-2</v>
      </c>
      <c r="S3652">
        <v>3.0004270000000002</v>
      </c>
      <c r="T3652">
        <v>-0.1159032</v>
      </c>
      <c r="U3652">
        <v>0.1894226</v>
      </c>
      <c r="V3652">
        <v>-7.1822440000000001E-2</v>
      </c>
      <c r="W3652">
        <v>4.6325619999999998E-2</v>
      </c>
      <c r="X3652">
        <v>0.99634100000000003</v>
      </c>
      <c r="Y3652">
        <v>-4.9993040000000002E-2</v>
      </c>
      <c r="Z3652">
        <v>4.625931E-4</v>
      </c>
      <c r="AA3652">
        <v>0.99874940000000001</v>
      </c>
      <c r="AB3652">
        <v>35</v>
      </c>
      <c r="AC3652">
        <v>28.25</v>
      </c>
      <c r="AD3652">
        <v>-1.1043785674569999</v>
      </c>
      <c r="AE3652">
        <v>1.80049999999999</v>
      </c>
      <c r="AF3652">
        <v>-1.4307381170000399</v>
      </c>
      <c r="AG3652">
        <v>-1.1043785674569999</v>
      </c>
      <c r="AH3652">
        <v>28.228063033186402</v>
      </c>
      <c r="AI3652">
        <v>92.237595221937596</v>
      </c>
      <c r="AJ3652">
        <v>92.901551070613706</v>
      </c>
      <c r="AK3652">
        <v>28.285865837644799</v>
      </c>
    </row>
    <row r="3653" spans="1:37" x14ac:dyDescent="0.2">
      <c r="A3653" t="str">
        <f>"20200111155620508"</f>
        <v>20200111155620508</v>
      </c>
      <c r="B3653" t="str">
        <f>"1578729380496538"</f>
        <v>1578729380496538</v>
      </c>
      <c r="C3653" t="s">
        <v>37</v>
      </c>
      <c r="D3653">
        <v>5.2229900000000002</v>
      </c>
      <c r="E3653">
        <v>0.50911090000000003</v>
      </c>
      <c r="F3653" t="s">
        <v>61</v>
      </c>
      <c r="G3653">
        <v>-280.2056</v>
      </c>
      <c r="H3653" s="1">
        <v>6.8036399999999896E-6</v>
      </c>
      <c r="I3653">
        <v>216.26130000000001</v>
      </c>
      <c r="J3653">
        <v>-308.95749999999998</v>
      </c>
      <c r="K3653">
        <v>1.1043769999999999</v>
      </c>
      <c r="L3653">
        <v>214.42269999999999</v>
      </c>
      <c r="M3653">
        <v>0.99985290000000004</v>
      </c>
      <c r="N3653">
        <v>0</v>
      </c>
      <c r="O3653">
        <v>1.2954399999999901E-2</v>
      </c>
      <c r="P3653">
        <v>0.99577280000000001</v>
      </c>
      <c r="Q3653">
        <v>3.576704E-2</v>
      </c>
      <c r="R3653">
        <v>8.4602289999999997E-2</v>
      </c>
      <c r="S3653">
        <v>3.0004879999999998</v>
      </c>
      <c r="T3653">
        <v>-0.1138787</v>
      </c>
      <c r="U3653">
        <v>0.1900482</v>
      </c>
      <c r="V3653">
        <v>-7.1688160000000001E-2</v>
      </c>
      <c r="W3653">
        <v>4.6978649999999997E-2</v>
      </c>
      <c r="X3653">
        <v>0.99632009999999904</v>
      </c>
      <c r="Y3653">
        <v>-5.0251070000000002E-2</v>
      </c>
      <c r="Z3653">
        <v>4.6133769999999902E-4</v>
      </c>
      <c r="AA3653">
        <v>0.99873650000000003</v>
      </c>
      <c r="AB3653">
        <v>35</v>
      </c>
      <c r="AC3653">
        <v>28.7518999999999</v>
      </c>
      <c r="AD3653">
        <v>-1.1043701963599999</v>
      </c>
      <c r="AE3653">
        <v>1.83860000000001</v>
      </c>
      <c r="AF3653">
        <v>-1.46380771276473</v>
      </c>
      <c r="AG3653">
        <v>-1.1043701963599999</v>
      </c>
      <c r="AH3653">
        <v>28.731090636536699</v>
      </c>
      <c r="AI3653">
        <v>92.198411909656997</v>
      </c>
      <c r="AJ3653">
        <v>92.916615632505696</v>
      </c>
      <c r="AK3653">
        <v>28.789545597585299</v>
      </c>
    </row>
    <row r="3654" spans="1:37" x14ac:dyDescent="0.2">
      <c r="A3654" t="str">
        <f>"20200111155620530"</f>
        <v>20200111155620530</v>
      </c>
      <c r="B3654" t="str">
        <f>"1578729380526793"</f>
        <v>1578729380526793</v>
      </c>
      <c r="C3654" t="s">
        <v>37</v>
      </c>
      <c r="D3654">
        <v>5.1282589999999999</v>
      </c>
      <c r="E3654">
        <v>0.50903080000000001</v>
      </c>
      <c r="F3654" t="s">
        <v>59</v>
      </c>
      <c r="G3654">
        <v>-279.49099999999999</v>
      </c>
      <c r="H3654" s="1">
        <v>3.4406269999999998E-6</v>
      </c>
      <c r="I3654">
        <v>216.29140000000001</v>
      </c>
      <c r="J3654">
        <v>-308.60539999999997</v>
      </c>
      <c r="K3654">
        <v>1.104363</v>
      </c>
      <c r="L3654">
        <v>214.4272</v>
      </c>
      <c r="M3654">
        <v>0.99985569999999901</v>
      </c>
      <c r="N3654">
        <v>0</v>
      </c>
      <c r="O3654">
        <v>1.2900760000000001E-2</v>
      </c>
      <c r="P3654">
        <v>0.99578829999999996</v>
      </c>
      <c r="Q3654">
        <v>3.628141E-2</v>
      </c>
      <c r="R3654">
        <v>8.4199289999999996E-2</v>
      </c>
      <c r="S3654">
        <v>3.00061</v>
      </c>
      <c r="T3654">
        <v>-0.1124598</v>
      </c>
      <c r="U3654">
        <v>0.1902924</v>
      </c>
      <c r="V3654">
        <v>-7.1337800000000007E-2</v>
      </c>
      <c r="W3654">
        <v>4.7321589999999997E-2</v>
      </c>
      <c r="X3654">
        <v>0.99632909999999997</v>
      </c>
      <c r="Y3654">
        <v>-5.0383589999999999E-2</v>
      </c>
      <c r="Z3654">
        <v>4.6006209999999999E-4</v>
      </c>
      <c r="AA3654">
        <v>0.9987298</v>
      </c>
      <c r="AB3654">
        <v>35</v>
      </c>
      <c r="AC3654">
        <v>29.1143999999999</v>
      </c>
      <c r="AD3654">
        <v>-1.104359559373</v>
      </c>
      <c r="AE3654">
        <v>1.8642000000000101</v>
      </c>
      <c r="AF3654">
        <v>-1.48629424457566</v>
      </c>
      <c r="AG3654">
        <v>-1.104359559373</v>
      </c>
      <c r="AH3654">
        <v>29.094337442797698</v>
      </c>
      <c r="AI3654">
        <v>92.170954877833594</v>
      </c>
      <c r="AJ3654">
        <v>92.924432413801696</v>
      </c>
      <c r="AK3654">
        <v>29.153201399729902</v>
      </c>
    </row>
    <row r="3655" spans="1:37" x14ac:dyDescent="0.2">
      <c r="A3655" t="str">
        <f>"20200111155620553"</f>
        <v>20200111155620553</v>
      </c>
      <c r="B3655" t="str">
        <f>"1578729380546314"</f>
        <v>1578729380546314</v>
      </c>
      <c r="C3655" t="s">
        <v>37</v>
      </c>
      <c r="D3655">
        <v>5.132695</v>
      </c>
      <c r="E3655">
        <v>0.50909329999999997</v>
      </c>
      <c r="F3655" t="s">
        <v>59</v>
      </c>
      <c r="G3655">
        <v>-279.0308</v>
      </c>
      <c r="H3655" s="1">
        <v>3.1953889999999998E-6</v>
      </c>
      <c r="I3655">
        <v>216.29949999999999</v>
      </c>
      <c r="J3655">
        <v>-308.24059999999997</v>
      </c>
      <c r="K3655">
        <v>1.104352</v>
      </c>
      <c r="L3655">
        <v>214.43180000000001</v>
      </c>
      <c r="M3655">
        <v>0.99985800000000002</v>
      </c>
      <c r="N3655">
        <v>0</v>
      </c>
      <c r="O3655">
        <v>1.2844990000000001E-2</v>
      </c>
      <c r="P3655">
        <v>0.9957935</v>
      </c>
      <c r="Q3655">
        <v>3.6759069999999998E-2</v>
      </c>
      <c r="R3655">
        <v>8.3930270000000001E-2</v>
      </c>
      <c r="S3655">
        <v>3.000702</v>
      </c>
      <c r="T3655">
        <v>-0.1120507</v>
      </c>
      <c r="U3655">
        <v>0.1899719</v>
      </c>
      <c r="V3655">
        <v>-7.1124359999999998E-2</v>
      </c>
      <c r="W3655">
        <v>4.7643079999999997E-2</v>
      </c>
      <c r="X3655">
        <v>0.99632900000000002</v>
      </c>
      <c r="Y3655">
        <v>-5.0331359999999999E-2</v>
      </c>
      <c r="Z3655">
        <v>4.594833E-4</v>
      </c>
      <c r="AA3655">
        <v>0.99873239999999996</v>
      </c>
      <c r="AB3655">
        <v>35</v>
      </c>
      <c r="AC3655">
        <v>29.209799999999898</v>
      </c>
      <c r="AD3655">
        <v>-1.1043488046109999</v>
      </c>
      <c r="AE3655">
        <v>1.8676999999999799</v>
      </c>
      <c r="AF3655">
        <v>-1.49020255323839</v>
      </c>
      <c r="AG3655">
        <v>-1.1043488046109999</v>
      </c>
      <c r="AH3655">
        <v>29.189827711055901</v>
      </c>
      <c r="AI3655">
        <v>92.163842283356402</v>
      </c>
      <c r="AJ3655">
        <v>92.922533688817097</v>
      </c>
      <c r="AK3655">
        <v>29.2486979493627</v>
      </c>
    </row>
    <row r="3656" spans="1:37" x14ac:dyDescent="0.2">
      <c r="A3656" t="str">
        <f>"20200111155620576"</f>
        <v>20200111155620576</v>
      </c>
      <c r="B3656" t="str">
        <f>"1578729380565834"</f>
        <v>1578729380565834</v>
      </c>
      <c r="C3656" t="s">
        <v>37</v>
      </c>
      <c r="D3656">
        <v>5.0405930000000003</v>
      </c>
      <c r="E3656">
        <v>0.50905879999999903</v>
      </c>
      <c r="F3656" t="s">
        <v>59</v>
      </c>
      <c r="G3656">
        <v>-278.5763</v>
      </c>
      <c r="H3656" s="1">
        <v>2.9536369999999999E-6</v>
      </c>
      <c r="I3656">
        <v>216.2962</v>
      </c>
      <c r="J3656">
        <v>-307.87630000000001</v>
      </c>
      <c r="K3656">
        <v>1.1043449999999999</v>
      </c>
      <c r="L3656">
        <v>214.43639999999999</v>
      </c>
      <c r="M3656">
        <v>0.99986019999999898</v>
      </c>
      <c r="N3656">
        <v>0</v>
      </c>
      <c r="O3656">
        <v>1.278814E-2</v>
      </c>
      <c r="P3656">
        <v>0.99580539999999995</v>
      </c>
      <c r="Q3656">
        <v>3.707556E-2</v>
      </c>
      <c r="R3656">
        <v>8.3648319999999998E-2</v>
      </c>
      <c r="S3656">
        <v>3.0008849999999998</v>
      </c>
      <c r="T3656">
        <v>-0.11171730000000001</v>
      </c>
      <c r="U3656">
        <v>0.18859860000000001</v>
      </c>
      <c r="V3656">
        <v>-7.0899039999999997E-2</v>
      </c>
      <c r="W3656">
        <v>4.7823129999999998E-2</v>
      </c>
      <c r="X3656">
        <v>0.99633640000000001</v>
      </c>
      <c r="Y3656">
        <v>-4.9929460000000002E-2</v>
      </c>
      <c r="Z3656">
        <v>4.5273839999999997E-4</v>
      </c>
      <c r="AA3656">
        <v>0.99875270000000005</v>
      </c>
      <c r="AB3656">
        <v>35</v>
      </c>
      <c r="AC3656">
        <v>29.3</v>
      </c>
      <c r="AD3656">
        <v>-1.104342046363</v>
      </c>
      <c r="AE3656">
        <v>1.8597999999999999</v>
      </c>
      <c r="AF3656">
        <v>-1.48283559528512</v>
      </c>
      <c r="AG3656">
        <v>-1.104342046363</v>
      </c>
      <c r="AH3656">
        <v>29.2799603635662</v>
      </c>
      <c r="AI3656">
        <v>92.157219108589302</v>
      </c>
      <c r="AJ3656">
        <v>92.899173971789594</v>
      </c>
      <c r="AK3656">
        <v>29.3382762215168</v>
      </c>
    </row>
    <row r="3657" spans="1:37" x14ac:dyDescent="0.2">
      <c r="A3657" t="str">
        <f>"20200111155620597"</f>
        <v>20200111155620597</v>
      </c>
      <c r="B3657" t="str">
        <f>"1578729380586330"</f>
        <v>1578729380586330</v>
      </c>
      <c r="C3657" t="s">
        <v>37</v>
      </c>
      <c r="D3657">
        <v>4.988842</v>
      </c>
      <c r="E3657">
        <v>0.50908129999999996</v>
      </c>
      <c r="F3657" t="s">
        <v>59</v>
      </c>
      <c r="G3657">
        <v>-278.17849999999999</v>
      </c>
      <c r="H3657" s="1">
        <v>2.7419329999999998E-6</v>
      </c>
      <c r="I3657">
        <v>216.29689999999999</v>
      </c>
      <c r="J3657">
        <v>-307.55169999999998</v>
      </c>
      <c r="K3657">
        <v>1.104336</v>
      </c>
      <c r="L3657">
        <v>214.44059999999999</v>
      </c>
      <c r="M3657">
        <v>0.99986209999999898</v>
      </c>
      <c r="N3657">
        <v>0</v>
      </c>
      <c r="O3657">
        <v>1.2735710000000001E-2</v>
      </c>
      <c r="P3657">
        <v>0.99580930000000001</v>
      </c>
      <c r="Q3657">
        <v>3.6977200000000002E-2</v>
      </c>
      <c r="R3657">
        <v>8.3647639999999995E-2</v>
      </c>
      <c r="S3657">
        <v>3.0009769999999998</v>
      </c>
      <c r="T3657">
        <v>-0.1115941</v>
      </c>
      <c r="U3657">
        <v>0.18800349999999999</v>
      </c>
      <c r="V3657">
        <v>-7.0950079999999999E-2</v>
      </c>
      <c r="W3657">
        <v>4.7619750000000002E-2</v>
      </c>
      <c r="X3657">
        <v>0.99634249999999902</v>
      </c>
      <c r="Y3657">
        <v>-4.978279E-2</v>
      </c>
      <c r="Z3657">
        <v>4.5145189999999999E-4</v>
      </c>
      <c r="AA3657">
        <v>0.99875999999999998</v>
      </c>
      <c r="AB3657">
        <v>35</v>
      </c>
      <c r="AC3657">
        <v>29.373200000000001</v>
      </c>
      <c r="AD3657">
        <v>-1.104333258067</v>
      </c>
      <c r="AE3657">
        <v>1.8563000000000001</v>
      </c>
      <c r="AF3657">
        <v>-1.4799560230020199</v>
      </c>
      <c r="AG3657">
        <v>-1.104333258067</v>
      </c>
      <c r="AH3657">
        <v>29.353134338927301</v>
      </c>
      <c r="AI3657">
        <v>92.151853673572404</v>
      </c>
      <c r="AJ3657">
        <v>92.886352455611998</v>
      </c>
      <c r="AK3657">
        <v>29.411159740717601</v>
      </c>
    </row>
    <row r="3658" spans="1:37" x14ac:dyDescent="0.2">
      <c r="A3658" t="str">
        <f>"20200111155620620"</f>
        <v>20200111155620620</v>
      </c>
      <c r="B3658" t="str">
        <f>"1578729380616701"</f>
        <v>1578729380616701</v>
      </c>
      <c r="C3658" t="s">
        <v>37</v>
      </c>
      <c r="D3658">
        <v>5.287344</v>
      </c>
      <c r="E3658">
        <v>0.50907040000000003</v>
      </c>
      <c r="F3658" t="s">
        <v>59</v>
      </c>
      <c r="G3658">
        <v>-278.16520000000003</v>
      </c>
      <c r="H3658" s="1">
        <v>2.7356529999999899E-6</v>
      </c>
      <c r="I3658">
        <v>216.2792</v>
      </c>
      <c r="J3658">
        <v>-307.18419999999998</v>
      </c>
      <c r="K3658">
        <v>1.1043259999999999</v>
      </c>
      <c r="L3658">
        <v>214.4452</v>
      </c>
      <c r="M3658">
        <v>0.99986390000000003</v>
      </c>
      <c r="N3658">
        <v>0</v>
      </c>
      <c r="O3658">
        <v>1.267545E-2</v>
      </c>
      <c r="P3658">
        <v>0.99580679999999999</v>
      </c>
      <c r="Q3658">
        <v>3.6995460000000001E-2</v>
      </c>
      <c r="R3658">
        <v>8.3668069999999997E-2</v>
      </c>
      <c r="S3658">
        <v>3.001099</v>
      </c>
      <c r="T3658">
        <v>-0.11278009999999999</v>
      </c>
      <c r="U3658">
        <v>0.18777469999999999</v>
      </c>
      <c r="V3658">
        <v>-7.1030659999999995E-2</v>
      </c>
      <c r="W3658">
        <v>4.75345E-2</v>
      </c>
      <c r="X3658">
        <v>0.99634089999999997</v>
      </c>
      <c r="Y3658">
        <v>-4.9764009999999997E-2</v>
      </c>
      <c r="Z3658">
        <v>4.5813819999999998E-4</v>
      </c>
      <c r="AA3658">
        <v>0.99876089999999995</v>
      </c>
      <c r="AB3658">
        <v>36</v>
      </c>
      <c r="AC3658">
        <v>29.018999999999899</v>
      </c>
      <c r="AD3658">
        <v>-1.104323264347</v>
      </c>
      <c r="AE3658">
        <v>1.8340000000000001</v>
      </c>
      <c r="AF3658">
        <v>-1.4638916825792401</v>
      </c>
      <c r="AG3658">
        <v>-1.104323264347</v>
      </c>
      <c r="AH3658">
        <v>28.998088653303199</v>
      </c>
      <c r="AI3658">
        <v>92.178148604207905</v>
      </c>
      <c r="AJ3658">
        <v>92.889972303859395</v>
      </c>
      <c r="AK3658">
        <v>29.056008918558199</v>
      </c>
    </row>
    <row r="3659" spans="1:37" x14ac:dyDescent="0.2">
      <c r="A3659" t="str">
        <f>"20200111155620642"</f>
        <v>20200111155620642</v>
      </c>
      <c r="B3659" t="str">
        <f>"1578729380636221"</f>
        <v>1578729380636221</v>
      </c>
      <c r="C3659" t="s">
        <v>37</v>
      </c>
      <c r="D3659">
        <v>4.9603080000000004</v>
      </c>
      <c r="E3659">
        <v>0.50908310000000001</v>
      </c>
      <c r="F3659" t="s">
        <v>59</v>
      </c>
      <c r="G3659">
        <v>-277.93560000000002</v>
      </c>
      <c r="H3659" s="1">
        <v>2.613551E-6</v>
      </c>
      <c r="I3659">
        <v>216.27719999999999</v>
      </c>
      <c r="J3659">
        <v>-306.82560000000001</v>
      </c>
      <c r="K3659">
        <v>1.104317</v>
      </c>
      <c r="L3659">
        <v>214.44970000000001</v>
      </c>
      <c r="M3659">
        <v>0.99986569999999997</v>
      </c>
      <c r="N3659">
        <v>0</v>
      </c>
      <c r="O3659">
        <v>1.26147999999999E-2</v>
      </c>
      <c r="P3659">
        <v>0.99580650000000004</v>
      </c>
      <c r="Q3659">
        <v>3.7064920000000001E-2</v>
      </c>
      <c r="R3659">
        <v>8.364133E-2</v>
      </c>
      <c r="S3659">
        <v>3.001007</v>
      </c>
      <c r="T3659">
        <v>-0.11330750000000001</v>
      </c>
      <c r="U3659">
        <v>0.187973</v>
      </c>
      <c r="V3659">
        <v>-7.1063970000000004E-2</v>
      </c>
      <c r="W3659">
        <v>4.751735E-2</v>
      </c>
      <c r="X3659">
        <v>0.99633930000000004</v>
      </c>
      <c r="Y3659">
        <v>-4.9891900000000003E-2</v>
      </c>
      <c r="Z3659">
        <v>4.6499040000000001E-4</v>
      </c>
      <c r="AA3659">
        <v>0.99875449999999999</v>
      </c>
      <c r="AB3659">
        <v>36</v>
      </c>
      <c r="AC3659">
        <v>28.889999999999901</v>
      </c>
      <c r="AD3659">
        <v>-1.1043143864489999</v>
      </c>
      <c r="AE3659">
        <v>1.8274999999999799</v>
      </c>
      <c r="AF3659">
        <v>-1.4607671812735299</v>
      </c>
      <c r="AG3659">
        <v>-1.1043143864489999</v>
      </c>
      <c r="AH3659">
        <v>28.868742767117801</v>
      </c>
      <c r="AI3659">
        <v>92.187867727824894</v>
      </c>
      <c r="AJ3659">
        <v>92.896713349546104</v>
      </c>
      <c r="AK3659">
        <v>28.9267637314654</v>
      </c>
    </row>
    <row r="3660" spans="1:37" x14ac:dyDescent="0.2">
      <c r="A3660" t="str">
        <f>"20200111155620664"</f>
        <v>20200111155620664</v>
      </c>
      <c r="B3660" t="str">
        <f>"1578729380656716"</f>
        <v>1578729380656716</v>
      </c>
      <c r="C3660" t="s">
        <v>37</v>
      </c>
      <c r="D3660">
        <v>4.9584849999999996</v>
      </c>
      <c r="E3660">
        <v>0.50914020000000004</v>
      </c>
      <c r="F3660" t="s">
        <v>59</v>
      </c>
      <c r="G3660">
        <v>-277.71339999999998</v>
      </c>
      <c r="H3660" s="1">
        <v>2.4955239999999999E-6</v>
      </c>
      <c r="I3660">
        <v>216.27189999999999</v>
      </c>
      <c r="J3660">
        <v>-306.47239999999999</v>
      </c>
      <c r="K3660">
        <v>1.104311</v>
      </c>
      <c r="L3660">
        <v>214.45410000000001</v>
      </c>
      <c r="M3660">
        <v>0.99986710000000001</v>
      </c>
      <c r="N3660">
        <v>0</v>
      </c>
      <c r="O3660">
        <v>1.2553470000000001E-2</v>
      </c>
      <c r="P3660">
        <v>0.99579379999999995</v>
      </c>
      <c r="Q3660">
        <v>3.7152640000000001E-2</v>
      </c>
      <c r="R3660">
        <v>8.375312E-2</v>
      </c>
      <c r="S3660">
        <v>3.001099</v>
      </c>
      <c r="T3660">
        <v>-0.11384080000000001</v>
      </c>
      <c r="U3660">
        <v>0.18785099999999999</v>
      </c>
      <c r="V3660">
        <v>-7.1236369999999993E-2</v>
      </c>
      <c r="W3660">
        <v>4.7534489999999999E-2</v>
      </c>
      <c r="X3660">
        <v>0.99632609999999999</v>
      </c>
      <c r="Y3660">
        <v>-4.9910490000000002E-2</v>
      </c>
      <c r="Z3660">
        <v>4.6983890000000002E-4</v>
      </c>
      <c r="AA3660">
        <v>0.99875360000000002</v>
      </c>
      <c r="AB3660">
        <v>36</v>
      </c>
      <c r="AC3660">
        <v>28.759</v>
      </c>
      <c r="AD3660">
        <v>-1.1043085044759999</v>
      </c>
      <c r="AE3660">
        <v>1.8177999999999701</v>
      </c>
      <c r="AF3660">
        <v>-1.45447593624105</v>
      </c>
      <c r="AG3660">
        <v>-1.1043085044759999</v>
      </c>
      <c r="AH3660">
        <v>28.737351050171501</v>
      </c>
      <c r="AI3660">
        <v>92.197848144598396</v>
      </c>
      <c r="AJ3660">
        <v>92.897423737922296</v>
      </c>
      <c r="AK3660">
        <v>28.795318072613</v>
      </c>
    </row>
    <row r="3661" spans="1:37" x14ac:dyDescent="0.2">
      <c r="A3661" t="str">
        <f>"20200111155620685"</f>
        <v>20200111155620685</v>
      </c>
      <c r="B3661" t="str">
        <f>"1578729380676236"</f>
        <v>1578729380676236</v>
      </c>
      <c r="C3661" t="s">
        <v>37</v>
      </c>
      <c r="D3661">
        <v>4.9770669999999999</v>
      </c>
      <c r="E3661">
        <v>0.50932230000000001</v>
      </c>
      <c r="F3661" t="s">
        <v>59</v>
      </c>
      <c r="G3661">
        <v>-277.49579999999997</v>
      </c>
      <c r="H3661" s="1">
        <v>2.3799159999999999E-6</v>
      </c>
      <c r="I3661">
        <v>216.268</v>
      </c>
      <c r="J3661">
        <v>-306.12889999999999</v>
      </c>
      <c r="K3661">
        <v>1.1043080000000001</v>
      </c>
      <c r="L3661">
        <v>214.45830000000001</v>
      </c>
      <c r="M3661">
        <v>0.99986830000000004</v>
      </c>
      <c r="N3661">
        <v>0</v>
      </c>
      <c r="O3661">
        <v>1.24931E-2</v>
      </c>
      <c r="P3661">
        <v>0.99577519999999997</v>
      </c>
      <c r="Q3661">
        <v>3.6900950000000002E-2</v>
      </c>
      <c r="R3661">
        <v>8.4084500000000006E-2</v>
      </c>
      <c r="S3661">
        <v>3.001099</v>
      </c>
      <c r="T3661">
        <v>-0.1143728</v>
      </c>
      <c r="U3661">
        <v>0.18786620000000001</v>
      </c>
      <c r="V3661">
        <v>-7.1628380000000005E-2</v>
      </c>
      <c r="W3661">
        <v>4.7234430000000001E-2</v>
      </c>
      <c r="X3661">
        <v>0.99631229999999904</v>
      </c>
      <c r="Y3661">
        <v>-4.9975529999999997E-2</v>
      </c>
      <c r="Z3661">
        <v>4.7556820000000001E-4</v>
      </c>
      <c r="AA3661">
        <v>0.99875029999999998</v>
      </c>
      <c r="AB3661">
        <v>36</v>
      </c>
      <c r="AC3661">
        <v>28.633099999999999</v>
      </c>
      <c r="AD3661">
        <v>-1.104305620084</v>
      </c>
      <c r="AE3661">
        <v>1.8096999999999901</v>
      </c>
      <c r="AF3661">
        <v>-1.44967563914479</v>
      </c>
      <c r="AG3661">
        <v>-1.104305620084</v>
      </c>
      <c r="AH3661">
        <v>28.611086974913299</v>
      </c>
      <c r="AI3661">
        <v>92.207525978828698</v>
      </c>
      <c r="AJ3661">
        <v>92.900600229297098</v>
      </c>
      <c r="AK3661">
        <v>28.669066051187201</v>
      </c>
    </row>
    <row r="3662" spans="1:37" x14ac:dyDescent="0.2">
      <c r="A3662" t="str">
        <f>"20200111155620708"</f>
        <v>20200111155620708</v>
      </c>
      <c r="B3662" t="str">
        <f>"1578729380706493"</f>
        <v>1578729380706493</v>
      </c>
      <c r="C3662" t="s">
        <v>37</v>
      </c>
      <c r="D3662">
        <v>4.9242980000000003</v>
      </c>
      <c r="E3662">
        <v>0.50956120000000005</v>
      </c>
      <c r="F3662" t="s">
        <v>59</v>
      </c>
      <c r="G3662">
        <v>-277.42059999999998</v>
      </c>
      <c r="H3662" s="1">
        <v>2.3406250000000001E-6</v>
      </c>
      <c r="I3662">
        <v>216.25129999999999</v>
      </c>
      <c r="J3662">
        <v>-305.76249999999999</v>
      </c>
      <c r="K3662">
        <v>1.104309</v>
      </c>
      <c r="L3662">
        <v>214.46279999999999</v>
      </c>
      <c r="M3662">
        <v>0.99986949999999997</v>
      </c>
      <c r="N3662">
        <v>0</v>
      </c>
      <c r="O3662">
        <v>1.242687E-2</v>
      </c>
      <c r="P3662">
        <v>0.99573049999999996</v>
      </c>
      <c r="Q3662">
        <v>3.6831929999999999E-2</v>
      </c>
      <c r="R3662">
        <v>8.4643460000000004E-2</v>
      </c>
      <c r="S3662">
        <v>3.0012209999999899</v>
      </c>
      <c r="T3662">
        <v>-0.1154463</v>
      </c>
      <c r="U3662">
        <v>0.18743899999999999</v>
      </c>
      <c r="V3662">
        <v>-7.2253429999999993E-2</v>
      </c>
      <c r="W3662">
        <v>4.7140590000000003E-2</v>
      </c>
      <c r="X3662">
        <v>0.99627169999999898</v>
      </c>
      <c r="Y3662">
        <v>-4.9897009999999999E-2</v>
      </c>
      <c r="Z3662">
        <v>4.8104650000000001E-4</v>
      </c>
      <c r="AA3662">
        <v>0.99875429999999998</v>
      </c>
      <c r="AB3662">
        <v>36</v>
      </c>
      <c r="AC3662">
        <v>28.341899999999999</v>
      </c>
      <c r="AD3662">
        <v>-1.1043066593749999</v>
      </c>
      <c r="AE3662">
        <v>1.78849999999999</v>
      </c>
      <c r="AF3662">
        <v>-1.4339736244805099</v>
      </c>
      <c r="AG3662">
        <v>-1.1043066593749999</v>
      </c>
      <c r="AH3662">
        <v>28.319115137179601</v>
      </c>
      <c r="AI3662">
        <v>92.230268549968699</v>
      </c>
      <c r="AJ3662">
        <v>92.898767256398898</v>
      </c>
      <c r="AK3662">
        <v>28.3768929889528</v>
      </c>
    </row>
    <row r="3663" spans="1:37" x14ac:dyDescent="0.2">
      <c r="A3663" t="str">
        <f>"20200111155620731"</f>
        <v>20200111155620731</v>
      </c>
      <c r="B3663" t="str">
        <f>"1578729380726013"</f>
        <v>1578729380726013</v>
      </c>
      <c r="C3663" t="s">
        <v>37</v>
      </c>
      <c r="D3663">
        <v>4.9215989999999996</v>
      </c>
      <c r="E3663">
        <v>0.50971920000000004</v>
      </c>
      <c r="F3663" t="s">
        <v>59</v>
      </c>
      <c r="G3663">
        <v>-277.37470000000002</v>
      </c>
      <c r="H3663" s="1">
        <v>2.3169849999999998E-6</v>
      </c>
      <c r="I3663">
        <v>216.23330000000001</v>
      </c>
      <c r="J3663">
        <v>-305.40010000000001</v>
      </c>
      <c r="K3663">
        <v>1.1043149999999999</v>
      </c>
      <c r="L3663">
        <v>214.46729999999999</v>
      </c>
      <c r="M3663">
        <v>0.99987039999999905</v>
      </c>
      <c r="N3663">
        <v>0</v>
      </c>
      <c r="O3663">
        <v>1.2359159999999999E-2</v>
      </c>
      <c r="P3663">
        <v>0.99568449999999997</v>
      </c>
      <c r="Q3663">
        <v>3.6761639999999998E-2</v>
      </c>
      <c r="R3663">
        <v>8.5213150000000001E-2</v>
      </c>
      <c r="S3663">
        <v>3.0012509999999999</v>
      </c>
      <c r="T3663">
        <v>-0.11675099999999999</v>
      </c>
      <c r="U3663">
        <v>0.1871796</v>
      </c>
      <c r="V3663">
        <v>-7.2891670000000006E-2</v>
      </c>
      <c r="W3663">
        <v>4.7065339999999997E-2</v>
      </c>
      <c r="X3663">
        <v>0.99622869999999997</v>
      </c>
      <c r="Y3663">
        <v>-4.9877360000000003E-2</v>
      </c>
      <c r="Z3663">
        <v>4.8872339999999996E-4</v>
      </c>
      <c r="AA3663">
        <v>0.99875519999999995</v>
      </c>
      <c r="AB3663">
        <v>36</v>
      </c>
      <c r="AC3663">
        <v>28.025399999999902</v>
      </c>
      <c r="AD3663">
        <v>-1.1043126830149901</v>
      </c>
      <c r="AE3663">
        <v>1.76600000000001</v>
      </c>
      <c r="AF3663">
        <v>-1.41728438814855</v>
      </c>
      <c r="AG3663">
        <v>-1.1043126830149901</v>
      </c>
      <c r="AH3663">
        <v>28.001781005833202</v>
      </c>
      <c r="AI3663">
        <v>92.255532236796796</v>
      </c>
      <c r="AJ3663">
        <v>92.897500606521405</v>
      </c>
      <c r="AK3663">
        <v>28.059364587199799</v>
      </c>
    </row>
    <row r="3664" spans="1:37" x14ac:dyDescent="0.2">
      <c r="A3664" t="str">
        <f>"20200111155620765"</f>
        <v>20200111155620765</v>
      </c>
      <c r="B3664" t="str">
        <f>"1578729380756268"</f>
        <v>1578729380756268</v>
      </c>
      <c r="C3664" t="s">
        <v>37</v>
      </c>
      <c r="D3664">
        <v>4.8977329999999997</v>
      </c>
      <c r="E3664">
        <v>0.50984560000000001</v>
      </c>
      <c r="F3664" t="s">
        <v>59</v>
      </c>
      <c r="G3664">
        <v>-277.15910000000002</v>
      </c>
      <c r="H3664" s="1">
        <v>2.2022939999999999E-6</v>
      </c>
      <c r="I3664">
        <v>216.2329</v>
      </c>
      <c r="J3664">
        <v>-304.87209999999999</v>
      </c>
      <c r="K3664">
        <v>1.1043099999999999</v>
      </c>
      <c r="L3664">
        <v>214.47370000000001</v>
      </c>
      <c r="M3664">
        <v>0.99987150000000002</v>
      </c>
      <c r="N3664">
        <v>0</v>
      </c>
      <c r="O3664">
        <v>1.225066E-2</v>
      </c>
      <c r="P3664">
        <v>0.99563559999999995</v>
      </c>
      <c r="Q3664">
        <v>3.6841119999999998E-2</v>
      </c>
      <c r="R3664">
        <v>8.5745539999999995E-2</v>
      </c>
      <c r="S3664">
        <v>3.0012819999999998</v>
      </c>
      <c r="T3664">
        <v>-0.1173598</v>
      </c>
      <c r="U3664">
        <v>0.18763729999999901</v>
      </c>
      <c r="V3664">
        <v>-7.3531669999999993E-2</v>
      </c>
      <c r="W3664">
        <v>4.716012E-2</v>
      </c>
      <c r="X3664">
        <v>0.99617719999999899</v>
      </c>
      <c r="Y3664">
        <v>-5.013629E-2</v>
      </c>
      <c r="Z3664">
        <v>5.0055459999999896E-4</v>
      </c>
      <c r="AA3664">
        <v>0.99874229999999997</v>
      </c>
      <c r="AB3664">
        <v>36</v>
      </c>
      <c r="AC3664">
        <v>27.712999999999901</v>
      </c>
      <c r="AD3664">
        <v>-1.1043077977060001</v>
      </c>
      <c r="AE3664">
        <v>1.7591999999999901</v>
      </c>
      <c r="AF3664">
        <v>-1.4173058263337599</v>
      </c>
      <c r="AG3664">
        <v>-1.1043077977060001</v>
      </c>
      <c r="AH3664">
        <v>27.688683249622901</v>
      </c>
      <c r="AI3664">
        <v>92.280934149162604</v>
      </c>
      <c r="AJ3664">
        <v>92.930252393050594</v>
      </c>
      <c r="AK3664">
        <v>27.746917515561702</v>
      </c>
    </row>
    <row r="3665" spans="1:37" x14ac:dyDescent="0.2">
      <c r="A3665" t="str">
        <f>"20200111155620786"</f>
        <v>20200111155620786</v>
      </c>
      <c r="B3665" t="str">
        <f>"1578729380775788"</f>
        <v>1578729380775788</v>
      </c>
      <c r="C3665" t="s">
        <v>37</v>
      </c>
      <c r="D3665">
        <v>4.9343820000000003</v>
      </c>
      <c r="E3665">
        <v>0.51005500000000004</v>
      </c>
      <c r="F3665" t="s">
        <v>59</v>
      </c>
      <c r="G3665">
        <v>-276.6284</v>
      </c>
      <c r="H3665" s="1">
        <v>1.9193500000000001E-6</v>
      </c>
      <c r="I3665">
        <v>216.2439</v>
      </c>
      <c r="J3665">
        <v>-304.5247</v>
      </c>
      <c r="K3665">
        <v>1.1043099999999999</v>
      </c>
      <c r="L3665">
        <v>214.47790000000001</v>
      </c>
      <c r="M3665">
        <v>0.99987230000000005</v>
      </c>
      <c r="N3665">
        <v>0</v>
      </c>
      <c r="O3665">
        <v>1.217157E-2</v>
      </c>
      <c r="P3665">
        <v>0.99567819999999996</v>
      </c>
      <c r="Q3665">
        <v>3.6647760000000001E-2</v>
      </c>
      <c r="R3665">
        <v>8.5334709999999994E-2</v>
      </c>
      <c r="S3665">
        <v>3.0012819999999998</v>
      </c>
      <c r="T3665">
        <v>-0.1173478</v>
      </c>
      <c r="U3665">
        <v>0.18811040000000001</v>
      </c>
      <c r="V3665">
        <v>-7.3198330000000006E-2</v>
      </c>
      <c r="W3665">
        <v>4.6985789999999999E-2</v>
      </c>
      <c r="X3665">
        <v>0.99621000000000004</v>
      </c>
      <c r="Y3665">
        <v>-5.0371840000000001E-2</v>
      </c>
      <c r="Z3665">
        <v>5.0818710000000004E-4</v>
      </c>
      <c r="AA3665">
        <v>0.99873040000000002</v>
      </c>
      <c r="AB3665">
        <v>36</v>
      </c>
      <c r="AC3665">
        <v>27.8963</v>
      </c>
      <c r="AD3665">
        <v>-1.1043080806500001</v>
      </c>
      <c r="AE3665">
        <v>1.76599999999999</v>
      </c>
      <c r="AF3665">
        <v>-1.4240864623173899</v>
      </c>
      <c r="AG3665">
        <v>-1.1043080806500001</v>
      </c>
      <c r="AH3665">
        <v>27.8722261958555</v>
      </c>
      <c r="AI3665">
        <v>92.26594096126</v>
      </c>
      <c r="AJ3665">
        <v>92.924892075255599</v>
      </c>
      <c r="AK3665">
        <v>27.930422691074298</v>
      </c>
    </row>
    <row r="3666" spans="1:37" x14ac:dyDescent="0.2">
      <c r="A3666" t="str">
        <f>"20200111155620808"</f>
        <v>20200111155620808</v>
      </c>
      <c r="B3666" t="str">
        <f>"1578729380806045"</f>
        <v>1578729380806045</v>
      </c>
      <c r="C3666" t="s">
        <v>37</v>
      </c>
      <c r="D3666">
        <v>5.0091799999999997</v>
      </c>
      <c r="E3666">
        <v>0.51014700000000002</v>
      </c>
      <c r="F3666" t="s">
        <v>59</v>
      </c>
      <c r="G3666">
        <v>-276.4633</v>
      </c>
      <c r="H3666" s="1">
        <v>1.8330569999999999E-6</v>
      </c>
      <c r="I3666">
        <v>216.208</v>
      </c>
      <c r="J3666">
        <v>-304.16289999999998</v>
      </c>
      <c r="K3666">
        <v>1.1043069999999999</v>
      </c>
      <c r="L3666">
        <v>214.48220000000001</v>
      </c>
      <c r="M3666">
        <v>0.99987309999999996</v>
      </c>
      <c r="N3666">
        <v>0</v>
      </c>
      <c r="O3666">
        <v>1.20822E-2</v>
      </c>
      <c r="P3666">
        <v>0.99570740000000002</v>
      </c>
      <c r="Q3666">
        <v>3.7199360000000001E-2</v>
      </c>
      <c r="R3666">
        <v>8.4752809999999998E-2</v>
      </c>
      <c r="S3666">
        <v>3.001465</v>
      </c>
      <c r="T3666">
        <v>-0.11811720000000001</v>
      </c>
      <c r="U3666">
        <v>0.18505859999999999</v>
      </c>
      <c r="V3666">
        <v>-7.2704679999999994E-2</v>
      </c>
      <c r="W3666">
        <v>4.7562109999999998E-2</v>
      </c>
      <c r="X3666">
        <v>0.99621879999999996</v>
      </c>
      <c r="Y3666">
        <v>-4.9445990000000002E-2</v>
      </c>
      <c r="Z3666">
        <v>4.9681910000000005E-4</v>
      </c>
      <c r="AA3666">
        <v>0.99877669999999996</v>
      </c>
      <c r="AB3666">
        <v>36</v>
      </c>
      <c r="AC3666">
        <v>27.699599999999901</v>
      </c>
      <c r="AD3666">
        <v>-1.104305166943</v>
      </c>
      <c r="AE3666">
        <v>1.72579999999999</v>
      </c>
      <c r="AF3666">
        <v>-1.388785078345</v>
      </c>
      <c r="AG3666">
        <v>-1.104305166943</v>
      </c>
      <c r="AH3666">
        <v>27.674614759016901</v>
      </c>
      <c r="AI3666">
        <v>92.282202790504101</v>
      </c>
      <c r="AJ3666">
        <v>92.872843223726207</v>
      </c>
      <c r="AK3666">
        <v>27.731435519200399</v>
      </c>
    </row>
    <row r="3667" spans="1:37" x14ac:dyDescent="0.2">
      <c r="A3667" t="str">
        <f>"20200111155620831"</f>
        <v>20200111155620831</v>
      </c>
      <c r="B3667" t="str">
        <f>"1578729380826541"</f>
        <v>1578729380826541</v>
      </c>
      <c r="C3667" t="s">
        <v>37</v>
      </c>
      <c r="D3667">
        <v>4.9368019999999904</v>
      </c>
      <c r="E3667">
        <v>0.51024429999999998</v>
      </c>
      <c r="F3667" t="s">
        <v>59</v>
      </c>
      <c r="G3667">
        <v>-275.76429999999999</v>
      </c>
      <c r="H3667" s="1">
        <v>1.4611169999999999E-6</v>
      </c>
      <c r="I3667">
        <v>216.20840000000001</v>
      </c>
      <c r="J3667">
        <v>-303.79390000000001</v>
      </c>
      <c r="K3667">
        <v>1.1042989999999999</v>
      </c>
      <c r="L3667">
        <v>214.48660000000001</v>
      </c>
      <c r="M3667">
        <v>0.99987420000000005</v>
      </c>
      <c r="N3667">
        <v>0</v>
      </c>
      <c r="O3667">
        <v>1.198074E-2</v>
      </c>
      <c r="P3667">
        <v>0.99576219999999904</v>
      </c>
      <c r="Q3667">
        <v>3.7620479999999998E-2</v>
      </c>
      <c r="R3667">
        <v>8.3921659999999995E-2</v>
      </c>
      <c r="S3667">
        <v>3.0018009999999999</v>
      </c>
      <c r="T3667">
        <v>-0.1167281</v>
      </c>
      <c r="U3667">
        <v>0.1824646</v>
      </c>
      <c r="V3667">
        <v>-7.1972969999999997E-2</v>
      </c>
      <c r="W3667">
        <v>4.8014109999999999E-2</v>
      </c>
      <c r="X3667">
        <v>0.99625019999999997</v>
      </c>
      <c r="Y3667">
        <v>-4.8681769999999999E-2</v>
      </c>
      <c r="Z3667">
        <v>4.8003839999999999E-4</v>
      </c>
      <c r="AA3667">
        <v>0.99881419999999999</v>
      </c>
      <c r="AB3667">
        <v>36</v>
      </c>
      <c r="AC3667">
        <v>28.029599999999999</v>
      </c>
      <c r="AD3667">
        <v>-1.1042975388830001</v>
      </c>
      <c r="AE3667">
        <v>1.7218</v>
      </c>
      <c r="AF3667">
        <v>-1.38370325254714</v>
      </c>
      <c r="AG3667">
        <v>-1.1042975388830001</v>
      </c>
      <c r="AH3667">
        <v>28.004912713474798</v>
      </c>
      <c r="AI3667">
        <v>92.255384781836796</v>
      </c>
      <c r="AJ3667">
        <v>92.828644261441298</v>
      </c>
      <c r="AK3667">
        <v>28.0608133138516</v>
      </c>
    </row>
    <row r="3668" spans="1:37" x14ac:dyDescent="0.2">
      <c r="A3668" t="str">
        <f>"20200111155620853"</f>
        <v>20200111155620853</v>
      </c>
      <c r="B3668" t="str">
        <f>"1578729380846060"</f>
        <v>1578729380846060</v>
      </c>
      <c r="C3668" t="s">
        <v>37</v>
      </c>
      <c r="D3668">
        <v>4.9735639999999997</v>
      </c>
      <c r="E3668">
        <v>0.51035810000000004</v>
      </c>
      <c r="F3668" t="s">
        <v>59</v>
      </c>
      <c r="G3668">
        <v>-275.31760000000003</v>
      </c>
      <c r="H3668" s="1">
        <v>1.224219E-6</v>
      </c>
      <c r="I3668">
        <v>216.18960000000001</v>
      </c>
      <c r="J3668">
        <v>-303.43509999999998</v>
      </c>
      <c r="K3668">
        <v>1.104298</v>
      </c>
      <c r="L3668">
        <v>214.49080000000001</v>
      </c>
      <c r="M3668">
        <v>0.99987499999999996</v>
      </c>
      <c r="N3668">
        <v>0</v>
      </c>
      <c r="O3668">
        <v>1.18727E-2</v>
      </c>
      <c r="P3668">
        <v>0.99579139999999999</v>
      </c>
      <c r="Q3668">
        <v>3.7815120000000001E-2</v>
      </c>
      <c r="R3668">
        <v>8.3485569999999995E-2</v>
      </c>
      <c r="S3668">
        <v>3.0020449999999999</v>
      </c>
      <c r="T3668">
        <v>-0.11641799999999999</v>
      </c>
      <c r="U3668">
        <v>0.1795349</v>
      </c>
      <c r="V3668">
        <v>-7.1642979999999995E-2</v>
      </c>
      <c r="W3668">
        <v>4.8240829999999998E-2</v>
      </c>
      <c r="X3668">
        <v>0.99626309999999996</v>
      </c>
      <c r="Y3668">
        <v>-4.7814259999999997E-2</v>
      </c>
      <c r="Z3668">
        <v>4.6612239999999999E-4</v>
      </c>
      <c r="AA3668">
        <v>0.99885610000000002</v>
      </c>
      <c r="AB3668">
        <v>36</v>
      </c>
      <c r="AC3668">
        <v>28.1174999999999</v>
      </c>
      <c r="AD3668">
        <v>-1.1042967757810001</v>
      </c>
      <c r="AE3668">
        <v>1.6988000000000001</v>
      </c>
      <c r="AF3668">
        <v>-1.36273706588383</v>
      </c>
      <c r="AG3668">
        <v>-1.1042967757810001</v>
      </c>
      <c r="AH3668">
        <v>28.092514014080098</v>
      </c>
      <c r="AI3668">
        <v>92.248456236681093</v>
      </c>
      <c r="AJ3668">
        <v>92.777178495169395</v>
      </c>
      <c r="AK3668">
        <v>28.147217754353999</v>
      </c>
    </row>
    <row r="3669" spans="1:37" x14ac:dyDescent="0.2">
      <c r="A3669" t="str">
        <f>"20200111155620875"</f>
        <v>20200111155620875</v>
      </c>
      <c r="B3669" t="str">
        <f>"1578729380866557"</f>
        <v>1578729380866557</v>
      </c>
      <c r="C3669" t="s">
        <v>37</v>
      </c>
      <c r="D3669">
        <v>4.9589819999999998</v>
      </c>
      <c r="E3669">
        <v>0.51047339999999997</v>
      </c>
      <c r="F3669" t="s">
        <v>59</v>
      </c>
      <c r="G3669">
        <v>-274.9049</v>
      </c>
      <c r="H3669" s="1">
        <v>1.0052600000000001E-6</v>
      </c>
      <c r="I3669">
        <v>216.1737</v>
      </c>
      <c r="J3669">
        <v>-303.08929999999998</v>
      </c>
      <c r="K3669">
        <v>1.1042920000000001</v>
      </c>
      <c r="L3669">
        <v>214.4948</v>
      </c>
      <c r="M3669">
        <v>0.99987610000000005</v>
      </c>
      <c r="N3669">
        <v>0</v>
      </c>
      <c r="O3669">
        <v>1.1759489999999999E-2</v>
      </c>
      <c r="P3669">
        <v>0.9958127</v>
      </c>
      <c r="Q3669">
        <v>3.8207459999999999E-2</v>
      </c>
      <c r="R3669">
        <v>8.3051120000000006E-2</v>
      </c>
      <c r="S3669">
        <v>3.0022279999999899</v>
      </c>
      <c r="T3669">
        <v>-0.1162049</v>
      </c>
      <c r="U3669">
        <v>0.17709349999999999</v>
      </c>
      <c r="V3669">
        <v>-7.1319899999999894E-2</v>
      </c>
      <c r="W3669">
        <v>4.8663770000000002E-2</v>
      </c>
      <c r="X3669">
        <v>0.99626569999999903</v>
      </c>
      <c r="Y3669">
        <v>-4.7114830000000003E-2</v>
      </c>
      <c r="Z3669">
        <v>4.5610799999999999E-4</v>
      </c>
      <c r="AA3669">
        <v>0.99888940000000004</v>
      </c>
      <c r="AB3669">
        <v>36</v>
      </c>
      <c r="AC3669">
        <v>28.184399999999901</v>
      </c>
      <c r="AD3669">
        <v>-1.1042909947399999</v>
      </c>
      <c r="AE3669">
        <v>1.6788999999999901</v>
      </c>
      <c r="AF3669">
        <v>-1.34527369379308</v>
      </c>
      <c r="AG3669">
        <v>-1.1042909947399999</v>
      </c>
      <c r="AH3669">
        <v>28.159119569769299</v>
      </c>
      <c r="AI3669">
        <v>92.243210706132302</v>
      </c>
      <c r="AJ3669">
        <v>92.735168788229799</v>
      </c>
      <c r="AK3669">
        <v>28.2128558436901</v>
      </c>
    </row>
    <row r="3670" spans="1:37" x14ac:dyDescent="0.2">
      <c r="A3670" t="str">
        <f>"20200111155620897"</f>
        <v>20200111155620897</v>
      </c>
      <c r="B3670" t="str">
        <f>"1578729380887052"</f>
        <v>1578729380887052</v>
      </c>
      <c r="C3670" t="s">
        <v>37</v>
      </c>
      <c r="D3670">
        <v>4.936077</v>
      </c>
      <c r="E3670">
        <v>0.51071800000000001</v>
      </c>
      <c r="F3670" t="s">
        <v>59</v>
      </c>
      <c r="G3670">
        <v>-274.39499999999998</v>
      </c>
      <c r="H3670" s="1">
        <v>7.3416390000000002E-7</v>
      </c>
      <c r="I3670">
        <v>216.16800000000001</v>
      </c>
      <c r="J3670">
        <v>-302.72789999999998</v>
      </c>
      <c r="K3670">
        <v>1.1042860000000001</v>
      </c>
      <c r="L3670">
        <v>214.49889999999999</v>
      </c>
      <c r="M3670">
        <v>0.99987719999999902</v>
      </c>
      <c r="N3670">
        <v>0</v>
      </c>
      <c r="O3670">
        <v>1.163425E-2</v>
      </c>
      <c r="P3670">
        <v>0.99593560000000003</v>
      </c>
      <c r="Q3670">
        <v>3.7318270000000001E-2</v>
      </c>
      <c r="R3670">
        <v>8.1973610000000002E-2</v>
      </c>
      <c r="S3670">
        <v>3.0024109999999999</v>
      </c>
      <c r="T3670">
        <v>-0.11554680000000001</v>
      </c>
      <c r="U3670">
        <v>0.17507929999999999</v>
      </c>
      <c r="V3670">
        <v>-7.0365549999999999E-2</v>
      </c>
      <c r="W3670">
        <v>4.7805979999999998E-2</v>
      </c>
      <c r="X3670">
        <v>0.99637509999999996</v>
      </c>
      <c r="Y3670">
        <v>-4.6569159999999998E-2</v>
      </c>
      <c r="Z3670">
        <v>4.4783410000000002E-4</v>
      </c>
      <c r="AA3670">
        <v>0.998915</v>
      </c>
      <c r="AB3670">
        <v>36</v>
      </c>
      <c r="AC3670">
        <v>28.332899999999899</v>
      </c>
      <c r="AD3670">
        <v>-1.1042852658361</v>
      </c>
      <c r="AE3670">
        <v>1.66910000000001</v>
      </c>
      <c r="AF3670">
        <v>-1.3373123536802201</v>
      </c>
      <c r="AG3670">
        <v>-1.1042852658361</v>
      </c>
      <c r="AH3670">
        <v>28.3075493097035</v>
      </c>
      <c r="AI3670">
        <v>92.231505046979194</v>
      </c>
      <c r="AJ3670">
        <v>92.704770604932804</v>
      </c>
      <c r="AK3670">
        <v>28.360627605907201</v>
      </c>
    </row>
    <row r="3671" spans="1:37" x14ac:dyDescent="0.2">
      <c r="A3671" t="str">
        <f>"20200111155620921"</f>
        <v>20200111155620921</v>
      </c>
      <c r="B3671" t="str">
        <f>"1578729380916332"</f>
        <v>1578729380916332</v>
      </c>
      <c r="C3671" t="s">
        <v>37</v>
      </c>
      <c r="D3671">
        <v>4.8278470000000002</v>
      </c>
      <c r="E3671">
        <v>0.55982399999999999</v>
      </c>
      <c r="F3671" t="s">
        <v>59</v>
      </c>
      <c r="G3671">
        <v>-274.640999999999</v>
      </c>
      <c r="H3671" s="1">
        <v>8.6849369999999899E-7</v>
      </c>
      <c r="I3671">
        <v>216.09030000000001</v>
      </c>
      <c r="J3671">
        <v>-302.35910000000001</v>
      </c>
      <c r="K3671">
        <v>1.104276</v>
      </c>
      <c r="L3671">
        <v>214.50309999999999</v>
      </c>
      <c r="M3671">
        <v>0.9998785</v>
      </c>
      <c r="N3671">
        <v>0</v>
      </c>
      <c r="O3671">
        <v>1.150028E-2</v>
      </c>
      <c r="P3671">
        <v>0.99601909999999905</v>
      </c>
      <c r="Q3671">
        <v>3.6915249999999997E-2</v>
      </c>
      <c r="R3671">
        <v>8.113716E-2</v>
      </c>
      <c r="S3671">
        <v>3.0026549999999999</v>
      </c>
      <c r="T3671">
        <v>-0.118054399999999</v>
      </c>
      <c r="U3671">
        <v>0.1701355</v>
      </c>
      <c r="V3671">
        <v>-6.9661710000000002E-2</v>
      </c>
      <c r="W3671">
        <v>4.7431139999999997E-2</v>
      </c>
      <c r="X3671">
        <v>0.99644239999999995</v>
      </c>
      <c r="Y3671">
        <v>-4.5058870000000001E-2</v>
      </c>
      <c r="Z3671">
        <v>4.3313439999999998E-4</v>
      </c>
      <c r="AA3671">
        <v>0.99898419999999899</v>
      </c>
      <c r="AB3671">
        <v>36</v>
      </c>
      <c r="AC3671">
        <v>27.7181</v>
      </c>
      <c r="AD3671">
        <v>-1.1042751315063</v>
      </c>
      <c r="AE3671">
        <v>1.5872000000000199</v>
      </c>
      <c r="AF3671">
        <v>-1.2663081682334001</v>
      </c>
      <c r="AG3671">
        <v>-1.1042751315063</v>
      </c>
      <c r="AH3671">
        <v>27.690714384697898</v>
      </c>
      <c r="AI3671">
        <v>92.281300729696397</v>
      </c>
      <c r="AJ3671">
        <v>92.6183362108452</v>
      </c>
      <c r="AK3671">
        <v>27.741640598167798</v>
      </c>
    </row>
    <row r="3672" spans="1:37" x14ac:dyDescent="0.2">
      <c r="A3672" t="str">
        <f>"20200111155620942"</f>
        <v>20200111155620942</v>
      </c>
      <c r="B3672" t="str">
        <f>"1578729380936828"</f>
        <v>1578729380936828</v>
      </c>
      <c r="C3672" t="s">
        <v>37</v>
      </c>
      <c r="D3672">
        <v>4.9408099999999999</v>
      </c>
      <c r="E3672">
        <v>0.56721960000000005</v>
      </c>
      <c r="F3672" t="s">
        <v>59</v>
      </c>
      <c r="G3672">
        <v>-268.67309999999998</v>
      </c>
      <c r="H3672" s="1">
        <v>3.1922519999999999E-6</v>
      </c>
      <c r="I3672">
        <v>212.01679999999999</v>
      </c>
      <c r="J3672">
        <v>-302.00130000000001</v>
      </c>
      <c r="K3672">
        <v>1.1042670000000001</v>
      </c>
      <c r="L3672">
        <v>214.50700000000001</v>
      </c>
      <c r="M3672">
        <v>0.99987979999999999</v>
      </c>
      <c r="N3672">
        <v>0</v>
      </c>
      <c r="O3672">
        <v>1.136683E-2</v>
      </c>
      <c r="P3672">
        <v>0.99604509999999902</v>
      </c>
      <c r="Q3672">
        <v>3.6639949999999998E-2</v>
      </c>
      <c r="R3672">
        <v>8.0944470000000004E-2</v>
      </c>
      <c r="S3672">
        <v>3.0339049999999999</v>
      </c>
      <c r="T3672">
        <v>-9.9455710000000003E-2</v>
      </c>
      <c r="U3672">
        <v>-0.2239227</v>
      </c>
      <c r="V3672">
        <v>-6.9601250000000003E-2</v>
      </c>
      <c r="W3672">
        <v>4.7180599999999899E-2</v>
      </c>
      <c r="X3672">
        <v>0.99645849999999903</v>
      </c>
      <c r="Y3672">
        <v>8.4886989999999996E-2</v>
      </c>
      <c r="Z3672">
        <v>-1.761166E-3</v>
      </c>
      <c r="AA3672">
        <v>0.99638899999999997</v>
      </c>
      <c r="AB3672">
        <v>36</v>
      </c>
      <c r="AC3672">
        <v>33.328200000000002</v>
      </c>
      <c r="AD3672">
        <v>-1.104263807748</v>
      </c>
      <c r="AE3672">
        <v>-2.49020000000001</v>
      </c>
      <c r="AF3672">
        <v>2.86576758436127</v>
      </c>
      <c r="AG3672">
        <v>-1.104263807748</v>
      </c>
      <c r="AH3672">
        <v>33.261427783139702</v>
      </c>
      <c r="AI3672">
        <v>91.894481050091599</v>
      </c>
      <c r="AJ3672">
        <v>85.075620539566401</v>
      </c>
      <c r="AK3672">
        <v>33.402913055266602</v>
      </c>
    </row>
    <row r="3673" spans="1:37" x14ac:dyDescent="0.2">
      <c r="A3673" t="str">
        <f>"20200111155620965"</f>
        <v>20200111155620965</v>
      </c>
      <c r="B3673" t="str">
        <f>"1578729380956349"</f>
        <v>1578729380956349</v>
      </c>
      <c r="C3673" t="s">
        <v>37</v>
      </c>
      <c r="D3673">
        <v>4.9284369999999997</v>
      </c>
      <c r="E3673">
        <v>0.56771899999999997</v>
      </c>
      <c r="F3673" t="s">
        <v>59</v>
      </c>
      <c r="G3673">
        <v>-262.62790000000001</v>
      </c>
      <c r="H3673" s="1">
        <v>2.7301500000000001E-8</v>
      </c>
      <c r="I3673">
        <v>210.82689999999999</v>
      </c>
      <c r="J3673">
        <v>-301.6456</v>
      </c>
      <c r="K3673">
        <v>1.1042540000000001</v>
      </c>
      <c r="L3673">
        <v>214.511</v>
      </c>
      <c r="M3673">
        <v>0.99988109999999997</v>
      </c>
      <c r="N3673">
        <v>0</v>
      </c>
      <c r="O3673">
        <v>1.1232199999999999E-2</v>
      </c>
      <c r="P3673">
        <v>0.9960909</v>
      </c>
      <c r="Q3673">
        <v>3.6324149999999999E-2</v>
      </c>
      <c r="R3673">
        <v>8.0521899999999993E-2</v>
      </c>
      <c r="S3673">
        <v>3.038116</v>
      </c>
      <c r="T3673">
        <v>-8.5206989999999996E-2</v>
      </c>
      <c r="U3673">
        <v>-0.283966099999999</v>
      </c>
      <c r="V3673">
        <v>-6.9311899999999996E-2</v>
      </c>
      <c r="W3673">
        <v>4.6887680000000001E-2</v>
      </c>
      <c r="X3673">
        <v>0.99649259999999995</v>
      </c>
      <c r="Y3673">
        <v>0.10419539999999999</v>
      </c>
      <c r="Z3673">
        <v>-1.771995E-3</v>
      </c>
      <c r="AA3673">
        <v>0.99455530000000003</v>
      </c>
      <c r="AB3673">
        <v>36</v>
      </c>
      <c r="AC3673">
        <v>39.017699999999898</v>
      </c>
      <c r="AD3673">
        <v>-1.1042539726984999</v>
      </c>
      <c r="AE3673">
        <v>-3.6840999999999999</v>
      </c>
      <c r="AF3673">
        <v>4.1188767096186698</v>
      </c>
      <c r="AG3673">
        <v>-1.1042539726984999</v>
      </c>
      <c r="AH3673">
        <v>38.942939130959502</v>
      </c>
      <c r="AI3673">
        <v>91.615221707921407</v>
      </c>
      <c r="AJ3673">
        <v>83.962445527381306</v>
      </c>
      <c r="AK3673">
        <v>39.175719908418699</v>
      </c>
    </row>
    <row r="3674" spans="1:37" x14ac:dyDescent="0.2">
      <c r="A3674" t="str">
        <f>"20200111155620987"</f>
        <v>20200111155620987</v>
      </c>
      <c r="B3674" t="str">
        <f>"1578729380976844"</f>
        <v>1578729380976844</v>
      </c>
      <c r="C3674" t="s">
        <v>37</v>
      </c>
      <c r="D3674">
        <v>5.0191400000000002</v>
      </c>
      <c r="E3674">
        <v>0.56832919999999998</v>
      </c>
      <c r="F3674" t="s">
        <v>59</v>
      </c>
      <c r="G3674">
        <v>-263.1046</v>
      </c>
      <c r="H3674" s="1">
        <v>2.8028740000000002E-7</v>
      </c>
      <c r="I3674">
        <v>210.8417</v>
      </c>
      <c r="J3674">
        <v>-301.28539999999998</v>
      </c>
      <c r="K3674">
        <v>1.1042459999999901</v>
      </c>
      <c r="L3674">
        <v>214.51490000000001</v>
      </c>
      <c r="M3674">
        <v>0.99988239999999995</v>
      </c>
      <c r="N3674">
        <v>0</v>
      </c>
      <c r="O3674">
        <v>1.1094969999999999E-2</v>
      </c>
      <c r="P3674">
        <v>0.99610689999999902</v>
      </c>
      <c r="Q3674">
        <v>3.5894999999999899E-2</v>
      </c>
      <c r="R3674">
        <v>8.0515690000000001E-2</v>
      </c>
      <c r="S3674">
        <v>3.03832999999999</v>
      </c>
      <c r="T3674">
        <v>-8.7052350000000001E-2</v>
      </c>
      <c r="U3674">
        <v>-0.28926089999999999</v>
      </c>
      <c r="V3674">
        <v>-6.9442450000000003E-2</v>
      </c>
      <c r="W3674">
        <v>4.6479470000000002E-2</v>
      </c>
      <c r="X3674">
        <v>0.99650260000000002</v>
      </c>
      <c r="Y3674">
        <v>0.1057676</v>
      </c>
      <c r="Z3674">
        <v>-1.828627E-3</v>
      </c>
      <c r="AA3674">
        <v>0.99438919999999997</v>
      </c>
      <c r="AB3674">
        <v>36</v>
      </c>
      <c r="AC3674">
        <v>38.180799999999898</v>
      </c>
      <c r="AD3674">
        <v>-1.1042457197126001</v>
      </c>
      <c r="AE3674">
        <v>-3.6732</v>
      </c>
      <c r="AF3674">
        <v>4.0932200719416398</v>
      </c>
      <c r="AG3674">
        <v>-1.1042457197126001</v>
      </c>
      <c r="AH3674">
        <v>38.106111681777698</v>
      </c>
      <c r="AI3674">
        <v>91.650374202181197</v>
      </c>
      <c r="AJ3674">
        <v>83.8690037850523</v>
      </c>
      <c r="AK3674">
        <v>38.341225289118803</v>
      </c>
    </row>
    <row r="3675" spans="1:37" x14ac:dyDescent="0.2">
      <c r="A3675" t="str">
        <f>"20200111155621032"</f>
        <v>20200111155621032</v>
      </c>
      <c r="B3675" t="str">
        <f>"1578729381026620"</f>
        <v>1578729381026620</v>
      </c>
      <c r="C3675" t="s">
        <v>37</v>
      </c>
      <c r="D3675">
        <v>5.0085809999999897</v>
      </c>
      <c r="E3675">
        <v>0.56949530000000004</v>
      </c>
      <c r="F3675" t="s">
        <v>59</v>
      </c>
      <c r="G3675">
        <v>-265.1977</v>
      </c>
      <c r="H3675" s="1">
        <v>1.3862280000000001E-6</v>
      </c>
      <c r="I3675">
        <v>211.02340000000001</v>
      </c>
      <c r="J3675">
        <v>-300.55680000000001</v>
      </c>
      <c r="K3675">
        <v>1.104241</v>
      </c>
      <c r="L3675">
        <v>214.52260000000001</v>
      </c>
      <c r="M3675">
        <v>0.99988500000000002</v>
      </c>
      <c r="N3675">
        <v>0</v>
      </c>
      <c r="O3675">
        <v>1.081818E-2</v>
      </c>
      <c r="P3675">
        <v>0.99599649999999995</v>
      </c>
      <c r="Q3675">
        <v>3.6767099999999997E-2</v>
      </c>
      <c r="R3675">
        <v>8.1481380000000006E-2</v>
      </c>
      <c r="S3675">
        <v>3.038818</v>
      </c>
      <c r="T3675">
        <v>-9.298468E-2</v>
      </c>
      <c r="U3675">
        <v>-0.2940063</v>
      </c>
      <c r="V3675">
        <v>-7.068431E-2</v>
      </c>
      <c r="W3675">
        <v>4.7394940000000003E-2</v>
      </c>
      <c r="X3675">
        <v>0.99637219999999904</v>
      </c>
      <c r="Y3675">
        <v>0.1070088</v>
      </c>
      <c r="Z3675">
        <v>-1.9632199999999999E-3</v>
      </c>
      <c r="AA3675">
        <v>0.99425609999999998</v>
      </c>
      <c r="AB3675">
        <v>36</v>
      </c>
      <c r="AC3675">
        <v>35.359099999999998</v>
      </c>
      <c r="AD3675">
        <v>-1.1042396137720001</v>
      </c>
      <c r="AE3675">
        <v>-3.4992000000000001</v>
      </c>
      <c r="AF3675">
        <v>3.8777927127929899</v>
      </c>
      <c r="AG3675">
        <v>-1.1042396137720001</v>
      </c>
      <c r="AH3675">
        <v>35.2850948036196</v>
      </c>
      <c r="AI3675">
        <v>91.781753817810497</v>
      </c>
      <c r="AJ3675">
        <v>83.728425553803902</v>
      </c>
      <c r="AK3675">
        <v>35.514708738048803</v>
      </c>
    </row>
    <row r="3676" spans="1:37" x14ac:dyDescent="0.2">
      <c r="A3676" t="str">
        <f>"20200111155621054"</f>
        <v>20200111155621054</v>
      </c>
      <c r="B3676" t="str">
        <f>"1578729381046141"</f>
        <v>1578729381046141</v>
      </c>
      <c r="C3676" t="s">
        <v>37</v>
      </c>
      <c r="D3676">
        <v>5.5364750000000003</v>
      </c>
      <c r="E3676">
        <v>0.57010899999999998</v>
      </c>
      <c r="F3676" t="s">
        <v>59</v>
      </c>
      <c r="G3676">
        <v>-259.59559999999999</v>
      </c>
      <c r="H3676" s="1">
        <v>3.7505689999999999E-6</v>
      </c>
      <c r="I3676">
        <v>210.4736</v>
      </c>
      <c r="J3676">
        <v>-300.2013</v>
      </c>
      <c r="K3676">
        <v>1.1042399999999899</v>
      </c>
      <c r="L3676">
        <v>214.5264</v>
      </c>
      <c r="M3676">
        <v>0.99988619999999995</v>
      </c>
      <c r="N3676">
        <v>0</v>
      </c>
      <c r="O3676">
        <v>1.0683750000000001E-2</v>
      </c>
      <c r="P3676">
        <v>0.99595619999999996</v>
      </c>
      <c r="Q3676">
        <v>3.6786430000000002E-2</v>
      </c>
      <c r="R3676">
        <v>8.1963259999999996E-2</v>
      </c>
      <c r="S3676">
        <v>3.0397029999999998</v>
      </c>
      <c r="T3676">
        <v>-8.1944580000000003E-2</v>
      </c>
      <c r="U3676">
        <v>-0.30047610000000002</v>
      </c>
      <c r="V3676">
        <v>-7.1300370000000002E-2</v>
      </c>
      <c r="W3676">
        <v>4.7437809999999997E-2</v>
      </c>
      <c r="X3676">
        <v>0.99632619999999905</v>
      </c>
      <c r="Y3676">
        <v>0.10895489999999999</v>
      </c>
      <c r="Z3676">
        <v>-1.752085E-3</v>
      </c>
      <c r="AA3676">
        <v>0.99404509999999902</v>
      </c>
      <c r="AB3676">
        <v>36</v>
      </c>
      <c r="AC3676">
        <v>40.605699999999999</v>
      </c>
      <c r="AD3676">
        <v>-1.1042362494309901</v>
      </c>
      <c r="AE3676">
        <v>-4.0527999999999897</v>
      </c>
      <c r="AF3676">
        <v>4.4831317605401901</v>
      </c>
      <c r="AG3676">
        <v>-1.1042362494309901</v>
      </c>
      <c r="AH3676">
        <v>40.530403284912801</v>
      </c>
      <c r="AI3676">
        <v>91.551161179459996</v>
      </c>
      <c r="AJ3676">
        <v>83.688082047598101</v>
      </c>
      <c r="AK3676">
        <v>40.792540966635002</v>
      </c>
    </row>
    <row r="3677" spans="1:37" x14ac:dyDescent="0.2">
      <c r="A3677" t="str">
        <f>"20200111155621076"</f>
        <v>20200111155621076</v>
      </c>
      <c r="B3677" t="str">
        <f>"1578729381066636"</f>
        <v>1578729381066636</v>
      </c>
      <c r="C3677" t="s">
        <v>37</v>
      </c>
      <c r="D3677">
        <v>5.4523760000000001</v>
      </c>
      <c r="E3677">
        <v>0.57065449999999995</v>
      </c>
      <c r="F3677" t="s">
        <v>59</v>
      </c>
      <c r="G3677">
        <v>-254.017</v>
      </c>
      <c r="H3677" s="1">
        <v>8.0677819999999996E-7</v>
      </c>
      <c r="I3677">
        <v>209.9057</v>
      </c>
      <c r="J3677">
        <v>-299.84589999999997</v>
      </c>
      <c r="K3677">
        <v>1.104239</v>
      </c>
      <c r="L3677">
        <v>214.5301</v>
      </c>
      <c r="M3677">
        <v>0.99988729999999904</v>
      </c>
      <c r="N3677">
        <v>0</v>
      </c>
      <c r="O3677">
        <v>1.054978E-2</v>
      </c>
      <c r="P3677">
        <v>0.99591770000000002</v>
      </c>
      <c r="Q3677">
        <v>3.7181480000000003E-2</v>
      </c>
      <c r="R3677">
        <v>8.2253010000000001E-2</v>
      </c>
      <c r="S3677">
        <v>3.0398860000000001</v>
      </c>
      <c r="T3677">
        <v>-7.2681899999999994E-2</v>
      </c>
      <c r="U3677">
        <v>-0.30413820000000003</v>
      </c>
      <c r="V3677">
        <v>-7.1724120000000002E-2</v>
      </c>
      <c r="W3677">
        <v>4.7857429999999999E-2</v>
      </c>
      <c r="X3677">
        <v>0.99627569999999999</v>
      </c>
      <c r="Y3677">
        <v>0.1100105</v>
      </c>
      <c r="Z3677">
        <v>-1.5633019999999999E-3</v>
      </c>
      <c r="AA3677">
        <v>0.99392919999999996</v>
      </c>
      <c r="AB3677">
        <v>36</v>
      </c>
      <c r="AC3677">
        <v>45.828899999999898</v>
      </c>
      <c r="AD3677">
        <v>-1.1042381932217999</v>
      </c>
      <c r="AE3677">
        <v>-4.6243999999999996</v>
      </c>
      <c r="AF3677">
        <v>5.1047212929727896</v>
      </c>
      <c r="AG3677">
        <v>-1.1042381932217999</v>
      </c>
      <c r="AH3677">
        <v>45.751266515828704</v>
      </c>
      <c r="AI3677">
        <v>91.374081222745502</v>
      </c>
      <c r="AJ3677">
        <v>83.633525495493203</v>
      </c>
      <c r="AK3677">
        <v>46.048408325029897</v>
      </c>
    </row>
    <row r="3678" spans="1:37" x14ac:dyDescent="0.2">
      <c r="A3678" t="str">
        <f>"20200111155621099"</f>
        <v>20200111155621099</v>
      </c>
      <c r="B3678" t="str">
        <f>"1578729381096892"</f>
        <v>1578729381096892</v>
      </c>
      <c r="C3678" t="s">
        <v>37</v>
      </c>
      <c r="D3678">
        <v>5.0166329999999997</v>
      </c>
      <c r="E3678">
        <v>0.5713184</v>
      </c>
      <c r="F3678" t="s">
        <v>59</v>
      </c>
      <c r="G3678">
        <v>-247.60740000000001</v>
      </c>
      <c r="H3678">
        <v>8.0000929999999998E-2</v>
      </c>
      <c r="I3678">
        <v>209.23429999999999</v>
      </c>
      <c r="J3678">
        <v>-299.47859999999997</v>
      </c>
      <c r="K3678">
        <v>1.1042459999999901</v>
      </c>
      <c r="L3678">
        <v>214.53380000000001</v>
      </c>
      <c r="M3678">
        <v>0.99988849999999996</v>
      </c>
      <c r="N3678">
        <v>0</v>
      </c>
      <c r="O3678">
        <v>1.0410890000000001E-2</v>
      </c>
      <c r="P3678">
        <v>0.99590239999999997</v>
      </c>
      <c r="Q3678">
        <v>3.7941740000000002E-2</v>
      </c>
      <c r="R3678">
        <v>8.2093159999999998E-2</v>
      </c>
      <c r="S3678">
        <v>3.0399780000000001</v>
      </c>
      <c r="T3678">
        <v>-5.960464E-2</v>
      </c>
      <c r="U3678">
        <v>-0.30818179999999901</v>
      </c>
      <c r="V3678">
        <v>-7.1702370000000001E-2</v>
      </c>
      <c r="W3678">
        <v>4.8650430000000001E-2</v>
      </c>
      <c r="X3678">
        <v>0.99623890000000004</v>
      </c>
      <c r="Y3678">
        <v>0.1111891</v>
      </c>
      <c r="Z3678">
        <v>-1.290769E-3</v>
      </c>
      <c r="AA3678">
        <v>0.99379839999999997</v>
      </c>
      <c r="AB3678">
        <v>36</v>
      </c>
      <c r="AC3678">
        <v>51.871199999999902</v>
      </c>
      <c r="AD3678">
        <v>-1.0242450700000001</v>
      </c>
      <c r="AE3678">
        <v>-5.2995000000000196</v>
      </c>
      <c r="AF3678">
        <v>5.8370167126362897</v>
      </c>
      <c r="AG3678">
        <v>-1.0242450700000001</v>
      </c>
      <c r="AH3678">
        <v>51.793227196909903</v>
      </c>
      <c r="AI3678">
        <v>91.125789102759796</v>
      </c>
      <c r="AJ3678">
        <v>83.569984963852207</v>
      </c>
      <c r="AK3678">
        <v>52.131163669514798</v>
      </c>
    </row>
    <row r="3679" spans="1:37" x14ac:dyDescent="0.2">
      <c r="A3679" t="str">
        <f>"20200111155621122"</f>
        <v>20200111155621122</v>
      </c>
      <c r="B3679" t="str">
        <f>"1578729381116413"</f>
        <v>1578729381116413</v>
      </c>
      <c r="C3679" t="s">
        <v>37</v>
      </c>
      <c r="D3679">
        <v>5.0502890000000003</v>
      </c>
      <c r="E3679">
        <v>0.57134130000000005</v>
      </c>
      <c r="F3679" t="s">
        <v>59</v>
      </c>
      <c r="G3679">
        <v>-250.34710000000001</v>
      </c>
      <c r="H3679">
        <v>8.0001589999999997E-2</v>
      </c>
      <c r="I3679">
        <v>209.46180000000001</v>
      </c>
      <c r="J3679">
        <v>-299.10449999999997</v>
      </c>
      <c r="K3679">
        <v>1.1042540000000001</v>
      </c>
      <c r="L3679">
        <v>214.53749999999999</v>
      </c>
      <c r="M3679">
        <v>0.99988949999999999</v>
      </c>
      <c r="N3679">
        <v>0</v>
      </c>
      <c r="O3679">
        <v>1.026878E-2</v>
      </c>
      <c r="P3679">
        <v>0.9959074</v>
      </c>
      <c r="Q3679">
        <v>3.8885419999999997E-2</v>
      </c>
      <c r="R3679">
        <v>8.1588339999999995E-2</v>
      </c>
      <c r="S3679">
        <v>3.0405880000000001</v>
      </c>
      <c r="T3679">
        <v>-6.3387159999999998E-2</v>
      </c>
      <c r="U3679">
        <v>-0.31388850000000001</v>
      </c>
      <c r="V3679">
        <v>-7.133834E-2</v>
      </c>
      <c r="W3679">
        <v>4.963629E-2</v>
      </c>
      <c r="X3679">
        <v>0.9962164</v>
      </c>
      <c r="Y3679">
        <v>0.11287029999999899</v>
      </c>
      <c r="Z3679">
        <v>-1.38678E-3</v>
      </c>
      <c r="AA3679">
        <v>0.99360879999999996</v>
      </c>
      <c r="AB3679">
        <v>36</v>
      </c>
      <c r="AC3679">
        <v>48.757399999999897</v>
      </c>
      <c r="AD3679">
        <v>-1.0242524099999999</v>
      </c>
      <c r="AE3679">
        <v>-5.0756999999999799</v>
      </c>
      <c r="AF3679">
        <v>5.5737069905553298</v>
      </c>
      <c r="AG3679">
        <v>-1.0242524099999999</v>
      </c>
      <c r="AH3679">
        <v>48.681451938455503</v>
      </c>
      <c r="AI3679">
        <v>91.197498087647602</v>
      </c>
      <c r="AJ3679">
        <v>83.468450055921593</v>
      </c>
      <c r="AK3679">
        <v>49.010193485152797</v>
      </c>
    </row>
    <row r="3680" spans="1:37" x14ac:dyDescent="0.2">
      <c r="A3680" t="str">
        <f>"20200111155621144"</f>
        <v>20200111155621144</v>
      </c>
      <c r="B3680" t="str">
        <f>"1578729381136908"</f>
        <v>1578729381136908</v>
      </c>
      <c r="C3680" t="s">
        <v>37</v>
      </c>
      <c r="D3680">
        <v>4.9955299999999996</v>
      </c>
      <c r="E3680">
        <v>0.57187119999999902</v>
      </c>
      <c r="F3680" t="s">
        <v>59</v>
      </c>
      <c r="G3680">
        <v>-251.3484</v>
      </c>
      <c r="H3680">
        <v>7.8995739999999995E-2</v>
      </c>
      <c r="I3680">
        <v>209.5873</v>
      </c>
      <c r="J3680">
        <v>-298.74369999999999</v>
      </c>
      <c r="K3680">
        <v>1.1042590000000001</v>
      </c>
      <c r="L3680">
        <v>214.5411</v>
      </c>
      <c r="M3680">
        <v>0.99989039999999996</v>
      </c>
      <c r="N3680">
        <v>0</v>
      </c>
      <c r="O3680">
        <v>1.0131309999999999E-2</v>
      </c>
      <c r="P3680">
        <v>0.99592739999999902</v>
      </c>
      <c r="Q3680">
        <v>3.9525289999999998E-2</v>
      </c>
      <c r="R3680">
        <v>8.1036990000000003E-2</v>
      </c>
      <c r="S3680">
        <v>3.04068</v>
      </c>
      <c r="T3680">
        <v>-6.5279249999999997E-2</v>
      </c>
      <c r="U3680">
        <v>-0.31518550000000001</v>
      </c>
      <c r="V3680">
        <v>-7.0923570000000005E-2</v>
      </c>
      <c r="W3680">
        <v>5.0321129999999999E-2</v>
      </c>
      <c r="X3680">
        <v>0.99621159999999997</v>
      </c>
      <c r="Y3680">
        <v>0.1131484</v>
      </c>
      <c r="Z3680">
        <v>-1.428124E-3</v>
      </c>
      <c r="AA3680">
        <v>0.99357709999999999</v>
      </c>
      <c r="AB3680">
        <v>36</v>
      </c>
      <c r="AC3680">
        <v>47.395299999999899</v>
      </c>
      <c r="AD3680">
        <v>-1.02526326</v>
      </c>
      <c r="AE3680">
        <v>-4.9538000000000002</v>
      </c>
      <c r="AF3680">
        <v>5.4312361004735497</v>
      </c>
      <c r="AG3680">
        <v>-1.02526326</v>
      </c>
      <c r="AH3680">
        <v>47.320771340703601</v>
      </c>
      <c r="AI3680">
        <v>91.233097138967295</v>
      </c>
      <c r="AJ3680">
        <v>83.452533698415493</v>
      </c>
      <c r="AK3680">
        <v>47.642469400845997</v>
      </c>
    </row>
    <row r="3681" spans="1:37" x14ac:dyDescent="0.2">
      <c r="A3681" t="str">
        <f>"20200111155621166"</f>
        <v>20200111155621166</v>
      </c>
      <c r="B3681" t="str">
        <f>"1578729381156428"</f>
        <v>1578729381156428</v>
      </c>
      <c r="C3681" t="s">
        <v>37</v>
      </c>
      <c r="D3681">
        <v>4.9774529999999997</v>
      </c>
      <c r="E3681">
        <v>0.57231849999999995</v>
      </c>
      <c r="F3681" t="s">
        <v>59</v>
      </c>
      <c r="G3681">
        <v>-251.54929999999999</v>
      </c>
      <c r="H3681">
        <v>8.0001230000000007E-2</v>
      </c>
      <c r="I3681">
        <v>209.56129999999999</v>
      </c>
      <c r="J3681">
        <v>-298.39830000000001</v>
      </c>
      <c r="K3681">
        <v>1.104268</v>
      </c>
      <c r="L3681">
        <v>214.5445</v>
      </c>
      <c r="M3681">
        <v>0.99989119999999998</v>
      </c>
      <c r="N3681">
        <v>0</v>
      </c>
      <c r="O3681">
        <v>9.9998410000000006E-3</v>
      </c>
      <c r="P3681">
        <v>0.99596149999999894</v>
      </c>
      <c r="Q3681">
        <v>3.9268600000000001E-2</v>
      </c>
      <c r="R3681">
        <v>8.073959E-2</v>
      </c>
      <c r="S3681">
        <v>3.0410159999999999</v>
      </c>
      <c r="T3681">
        <v>-6.5998909999999994E-2</v>
      </c>
      <c r="U3681">
        <v>-0.32087709999999903</v>
      </c>
      <c r="V3681">
        <v>-7.0756620000000006E-2</v>
      </c>
      <c r="W3681">
        <v>5.0111580000000003E-2</v>
      </c>
      <c r="X3681">
        <v>0.99623410000000001</v>
      </c>
      <c r="Y3681">
        <v>0.1148448</v>
      </c>
      <c r="Z3681">
        <v>-1.459077E-3</v>
      </c>
      <c r="AA3681">
        <v>0.9933824</v>
      </c>
      <c r="AB3681">
        <v>36</v>
      </c>
      <c r="AC3681">
        <v>46.848999999999997</v>
      </c>
      <c r="AD3681">
        <v>-1.0242667700000001</v>
      </c>
      <c r="AE3681">
        <v>-4.9832000000000098</v>
      </c>
      <c r="AF3681">
        <v>5.4488854958155803</v>
      </c>
      <c r="AG3681">
        <v>-1.0242667700000001</v>
      </c>
      <c r="AH3681">
        <v>46.7747150918835</v>
      </c>
      <c r="AI3681">
        <v>91.246031807684304</v>
      </c>
      <c r="AJ3681">
        <v>83.3554419206136</v>
      </c>
      <c r="AK3681">
        <v>47.102159690289199</v>
      </c>
    </row>
    <row r="3682" spans="1:37" x14ac:dyDescent="0.2">
      <c r="A3682" t="str">
        <f>"20200111155621189"</f>
        <v>20200111155621189</v>
      </c>
      <c r="B3682" t="str">
        <f>"1578729381176924"</f>
        <v>1578729381176924</v>
      </c>
      <c r="C3682" t="s">
        <v>37</v>
      </c>
      <c r="D3682">
        <v>4.9158470000000003</v>
      </c>
      <c r="E3682">
        <v>0.572299</v>
      </c>
      <c r="F3682" t="s">
        <v>59</v>
      </c>
      <c r="G3682">
        <v>-252.26349999999999</v>
      </c>
      <c r="H3682">
        <v>5.4896359999999998E-2</v>
      </c>
      <c r="I3682">
        <v>209.6114</v>
      </c>
      <c r="J3682">
        <v>-298.0256</v>
      </c>
      <c r="K3682">
        <v>1.1042700000000001</v>
      </c>
      <c r="L3682">
        <v>214.54810000000001</v>
      </c>
      <c r="M3682">
        <v>0.99989209999999995</v>
      </c>
      <c r="N3682">
        <v>0</v>
      </c>
      <c r="O3682">
        <v>9.8576029999999995E-3</v>
      </c>
      <c r="P3682">
        <v>0.99597559999999996</v>
      </c>
      <c r="Q3682">
        <v>3.8592229999999998E-2</v>
      </c>
      <c r="R3682">
        <v>8.0892820000000004E-2</v>
      </c>
      <c r="S3682">
        <v>3.0412599999999999</v>
      </c>
      <c r="T3682">
        <v>-6.9175840000000002E-2</v>
      </c>
      <c r="U3682">
        <v>-0.32519530000000002</v>
      </c>
      <c r="V3682">
        <v>-7.1051929999999999E-2</v>
      </c>
      <c r="W3682">
        <v>4.9490560000000003E-2</v>
      </c>
      <c r="X3682">
        <v>0.99624409999999897</v>
      </c>
      <c r="Y3682">
        <v>0.1160867</v>
      </c>
      <c r="Z3682">
        <v>-1.539913E-3</v>
      </c>
      <c r="AA3682">
        <v>0.99323790000000001</v>
      </c>
      <c r="AB3682">
        <v>36</v>
      </c>
      <c r="AC3682">
        <v>45.762099999999997</v>
      </c>
      <c r="AD3682">
        <v>-1.04937364</v>
      </c>
      <c r="AE3682">
        <v>-4.9367000000000001</v>
      </c>
      <c r="AF3682">
        <v>5.3847925484954002</v>
      </c>
      <c r="AG3682">
        <v>-1.04937364</v>
      </c>
      <c r="AH3682">
        <v>45.687461719656</v>
      </c>
      <c r="AI3682">
        <v>91.306726623886703</v>
      </c>
      <c r="AJ3682">
        <v>83.278044927743693</v>
      </c>
      <c r="AK3682">
        <v>46.015664009244702</v>
      </c>
    </row>
    <row r="3683" spans="1:37" x14ac:dyDescent="0.2">
      <c r="A3683" t="str">
        <f>"20200111155621212"</f>
        <v>20200111155621212</v>
      </c>
      <c r="B3683" t="str">
        <f>"1578729381206205"</f>
        <v>1578729381206205</v>
      </c>
      <c r="C3683" t="s">
        <v>37</v>
      </c>
      <c r="D3683">
        <v>4.9486460000000001</v>
      </c>
      <c r="E3683">
        <v>0.57247329999999996</v>
      </c>
      <c r="F3683" t="s">
        <v>59</v>
      </c>
      <c r="G3683">
        <v>-252.78870000000001</v>
      </c>
      <c r="H3683" s="1">
        <v>1.6112789999999999E-7</v>
      </c>
      <c r="I3683">
        <v>209.7227</v>
      </c>
      <c r="J3683">
        <v>-297.64819999999997</v>
      </c>
      <c r="K3683">
        <v>1.1042749999999999</v>
      </c>
      <c r="L3683">
        <v>214.55170000000001</v>
      </c>
      <c r="M3683">
        <v>0.99989269999999997</v>
      </c>
      <c r="N3683">
        <v>0</v>
      </c>
      <c r="O3683">
        <v>9.7134839999999997E-3</v>
      </c>
      <c r="P3683">
        <v>0.99599969999999904</v>
      </c>
      <c r="Q3683">
        <v>3.8094860000000001E-2</v>
      </c>
      <c r="R3683">
        <v>8.0828880000000006E-2</v>
      </c>
      <c r="S3683">
        <v>3.0413509999999899</v>
      </c>
      <c r="T3683">
        <v>-7.4241879999999996E-2</v>
      </c>
      <c r="U3683">
        <v>-0.32441709999999901</v>
      </c>
      <c r="V3683">
        <v>-7.1131369999999999E-2</v>
      </c>
      <c r="W3683">
        <v>4.9054309999999997E-2</v>
      </c>
      <c r="X3683">
        <v>0.99626000000000003</v>
      </c>
      <c r="Y3683">
        <v>0.1156843</v>
      </c>
      <c r="Z3683">
        <v>-1.6442239999999999E-3</v>
      </c>
      <c r="AA3683">
        <v>0.99328459999999996</v>
      </c>
      <c r="AB3683">
        <v>36</v>
      </c>
      <c r="AC3683">
        <v>44.859499999999898</v>
      </c>
      <c r="AD3683">
        <v>-1.1042748388721</v>
      </c>
      <c r="AE3683">
        <v>-4.8289999999999997</v>
      </c>
      <c r="AF3683">
        <v>5.2613887078647403</v>
      </c>
      <c r="AG3683">
        <v>-1.1042748388721</v>
      </c>
      <c r="AH3683">
        <v>44.783647840536098</v>
      </c>
      <c r="AI3683">
        <v>91.402868093726696</v>
      </c>
      <c r="AJ3683">
        <v>83.299344805174798</v>
      </c>
      <c r="AK3683">
        <v>45.1051742925372</v>
      </c>
    </row>
    <row r="3684" spans="1:37" x14ac:dyDescent="0.2">
      <c r="A3684" t="str">
        <f>"20200111155621233"</f>
        <v>20200111155621233</v>
      </c>
      <c r="B3684" t="str">
        <f>"1578729381226700"</f>
        <v>1578729381226700</v>
      </c>
      <c r="C3684" t="s">
        <v>37</v>
      </c>
      <c r="D3684">
        <v>4.7925199999999997</v>
      </c>
      <c r="E3684">
        <v>0.57251730000000001</v>
      </c>
      <c r="F3684" t="s">
        <v>59</v>
      </c>
      <c r="G3684">
        <v>-255.1113</v>
      </c>
      <c r="H3684" s="1">
        <v>1.3852539999999899E-6</v>
      </c>
      <c r="I3684">
        <v>209.99379999999999</v>
      </c>
      <c r="J3684">
        <v>-297.30200000000002</v>
      </c>
      <c r="K3684">
        <v>1.1042780000000001</v>
      </c>
      <c r="L3684">
        <v>214.5549</v>
      </c>
      <c r="M3684">
        <v>0.99989319999999904</v>
      </c>
      <c r="N3684">
        <v>0</v>
      </c>
      <c r="O3684">
        <v>9.5809080000000008E-3</v>
      </c>
      <c r="P3684">
        <v>0.99603220000000003</v>
      </c>
      <c r="Q3684">
        <v>3.7102900000000001E-2</v>
      </c>
      <c r="R3684">
        <v>8.0891210000000005E-2</v>
      </c>
      <c r="S3684">
        <v>3.0414729999999999</v>
      </c>
      <c r="T3684">
        <v>-7.8957799999999995E-2</v>
      </c>
      <c r="U3684">
        <v>-0.3258972</v>
      </c>
      <c r="V3684">
        <v>-7.1326029999999999E-2</v>
      </c>
      <c r="W3684">
        <v>4.8126999999999899E-2</v>
      </c>
      <c r="X3684">
        <v>0.99629129999999999</v>
      </c>
      <c r="Y3684">
        <v>0.1160214</v>
      </c>
      <c r="Z3684">
        <v>-1.74944799999999E-3</v>
      </c>
      <c r="AA3684">
        <v>0.99324519999999905</v>
      </c>
      <c r="AB3684">
        <v>36</v>
      </c>
      <c r="AC3684">
        <v>42.1907</v>
      </c>
      <c r="AD3684">
        <v>-1.1042766147459999</v>
      </c>
      <c r="AE3684">
        <v>-4.5610999999999997</v>
      </c>
      <c r="AF3684">
        <v>4.9617806612806197</v>
      </c>
      <c r="AG3684">
        <v>-1.1042766147459999</v>
      </c>
      <c r="AH3684">
        <v>42.116542517228098</v>
      </c>
      <c r="AI3684">
        <v>91.491614251025197</v>
      </c>
      <c r="AJ3684">
        <v>83.280913666430706</v>
      </c>
      <c r="AK3684">
        <v>42.422185796797599</v>
      </c>
    </row>
    <row r="3685" spans="1:37" x14ac:dyDescent="0.2">
      <c r="A3685" t="str">
        <f>"20200111155621255"</f>
        <v>20200111155621255</v>
      </c>
      <c r="B3685" t="str">
        <f>"1578729381246220"</f>
        <v>1578729381246220</v>
      </c>
      <c r="C3685" t="s">
        <v>37</v>
      </c>
      <c r="D3685">
        <v>4.8095720000000002</v>
      </c>
      <c r="E3685">
        <v>0.57256750000000001</v>
      </c>
      <c r="F3685" t="s">
        <v>59</v>
      </c>
      <c r="G3685">
        <v>-257.13589999999999</v>
      </c>
      <c r="H3685" s="1">
        <v>2.4514380000000001E-6</v>
      </c>
      <c r="I3685">
        <v>210.24969999999999</v>
      </c>
      <c r="J3685">
        <v>-296.94889999999998</v>
      </c>
      <c r="K3685">
        <v>1.1042879999999999</v>
      </c>
      <c r="L3685">
        <v>214.5582</v>
      </c>
      <c r="M3685">
        <v>0.99989380000000005</v>
      </c>
      <c r="N3685">
        <v>0</v>
      </c>
      <c r="O3685">
        <v>9.4455979999999995E-3</v>
      </c>
      <c r="P3685">
        <v>0.99601139999999999</v>
      </c>
      <c r="Q3685">
        <v>3.6821329999999999E-2</v>
      </c>
      <c r="R3685">
        <v>8.1274669999999993E-2</v>
      </c>
      <c r="S3685">
        <v>3.041534</v>
      </c>
      <c r="T3685">
        <v>-8.3619949999999998E-2</v>
      </c>
      <c r="U3685">
        <v>-0.32600400000000002</v>
      </c>
      <c r="V3685">
        <v>-7.1844110000000003E-2</v>
      </c>
      <c r="W3685">
        <v>4.7917910000000001E-2</v>
      </c>
      <c r="X3685">
        <v>0.99626419999999904</v>
      </c>
      <c r="Y3685">
        <v>0.1159144</v>
      </c>
      <c r="Z3685">
        <v>-1.8474920000000001E-3</v>
      </c>
      <c r="AA3685">
        <v>0.99325750000000002</v>
      </c>
      <c r="AB3685">
        <v>36</v>
      </c>
      <c r="AC3685">
        <v>39.812999999999903</v>
      </c>
      <c r="AD3685">
        <v>-1.104285548562</v>
      </c>
      <c r="AE3685">
        <v>-4.3085000000000004</v>
      </c>
      <c r="AF3685">
        <v>4.6808291064320597</v>
      </c>
      <c r="AG3685">
        <v>-1.104285548562</v>
      </c>
      <c r="AH3685">
        <v>39.740305309043997</v>
      </c>
      <c r="AI3685">
        <v>91.580777484841605</v>
      </c>
      <c r="AJ3685">
        <v>83.282343243017806</v>
      </c>
      <c r="AK3685">
        <v>40.030256978346003</v>
      </c>
    </row>
    <row r="3686" spans="1:37" x14ac:dyDescent="0.2">
      <c r="A3686" t="str">
        <f>"20200111155621301"</f>
        <v>20200111155621301</v>
      </c>
      <c r="B3686" t="str">
        <f>"1578729381296972"</f>
        <v>1578729381296972</v>
      </c>
      <c r="C3686" t="s">
        <v>37</v>
      </c>
      <c r="D3686">
        <v>4.8299469999999998</v>
      </c>
      <c r="E3686">
        <v>0.54473800000000006</v>
      </c>
      <c r="F3686" t="s">
        <v>59</v>
      </c>
      <c r="G3686">
        <v>-255.476</v>
      </c>
      <c r="H3686" s="1">
        <v>1.5737690000000001E-6</v>
      </c>
      <c r="I3686">
        <v>210.12029999999999</v>
      </c>
      <c r="J3686">
        <v>-296.2063</v>
      </c>
      <c r="K3686">
        <v>1.1043080000000001</v>
      </c>
      <c r="L3686">
        <v>214.56479999999999</v>
      </c>
      <c r="M3686">
        <v>0.99989430000000001</v>
      </c>
      <c r="N3686">
        <v>0</v>
      </c>
      <c r="O3686">
        <v>9.1600669999999992E-3</v>
      </c>
      <c r="P3686">
        <v>0.99599899999999997</v>
      </c>
      <c r="Q3686">
        <v>3.643126E-2</v>
      </c>
      <c r="R3686">
        <v>8.1601800000000002E-2</v>
      </c>
      <c r="S3686">
        <v>3.041595</v>
      </c>
      <c r="T3686">
        <v>-8.0987450000000002E-2</v>
      </c>
      <c r="U3686">
        <v>-0.32546999999999998</v>
      </c>
      <c r="V3686">
        <v>-7.2456199999999998E-2</v>
      </c>
      <c r="W3686">
        <v>4.7711669999999998E-2</v>
      </c>
      <c r="X3686">
        <v>0.99622980000000005</v>
      </c>
      <c r="Y3686">
        <v>0.1154594</v>
      </c>
      <c r="Z3686">
        <v>-1.7757109999999999E-3</v>
      </c>
      <c r="AA3686">
        <v>0.99331059999999904</v>
      </c>
      <c r="AB3686">
        <v>36</v>
      </c>
      <c r="AC3686">
        <v>40.7303</v>
      </c>
      <c r="AD3686">
        <v>-1.1043064262310001</v>
      </c>
      <c r="AE3686">
        <v>-4.4444999999999997</v>
      </c>
      <c r="AF3686">
        <v>4.8139325092565599</v>
      </c>
      <c r="AG3686">
        <v>-1.1043064262310001</v>
      </c>
      <c r="AH3686">
        <v>40.658340372976703</v>
      </c>
      <c r="AI3686">
        <v>91.545020932358298</v>
      </c>
      <c r="AJ3686">
        <v>83.247636345836696</v>
      </c>
      <c r="AK3686">
        <v>40.957222571501497</v>
      </c>
    </row>
    <row r="3687" spans="1:37" x14ac:dyDescent="0.2">
      <c r="A3687" t="str">
        <f>"20200111155621323"</f>
        <v>20200111155621323</v>
      </c>
      <c r="B3687" t="str">
        <f>"1578729381316492"</f>
        <v>1578729381316492</v>
      </c>
      <c r="C3687" t="s">
        <v>37</v>
      </c>
      <c r="D3687">
        <v>4.8197650000000003</v>
      </c>
      <c r="E3687">
        <v>0.5447729</v>
      </c>
      <c r="F3687" t="s">
        <v>59</v>
      </c>
      <c r="G3687">
        <v>-262.20499999999998</v>
      </c>
      <c r="H3687" s="1">
        <v>-3.10771E-7</v>
      </c>
      <c r="I3687">
        <v>213.4128</v>
      </c>
      <c r="J3687">
        <v>-295.83879999999999</v>
      </c>
      <c r="K3687">
        <v>1.1043229999999999</v>
      </c>
      <c r="L3687">
        <v>214.56799999999899</v>
      </c>
      <c r="M3687">
        <v>0.99989439999999996</v>
      </c>
      <c r="N3687">
        <v>0</v>
      </c>
      <c r="O3687">
        <v>9.0161229999999992E-3</v>
      </c>
      <c r="P3687">
        <v>0.99601969999999995</v>
      </c>
      <c r="Q3687">
        <v>3.6221459999999997E-2</v>
      </c>
      <c r="R3687">
        <v>8.1441219999999995E-2</v>
      </c>
      <c r="S3687">
        <v>3.0240480000000001</v>
      </c>
      <c r="T3687">
        <v>-9.8216300000000006E-2</v>
      </c>
      <c r="U3687">
        <v>-0.10246279999999899</v>
      </c>
      <c r="V3687">
        <v>-7.2438520000000006E-2</v>
      </c>
      <c r="W3687">
        <v>4.760785E-2</v>
      </c>
      <c r="X3687">
        <v>0.99623600000000001</v>
      </c>
      <c r="Y3687">
        <v>4.284607E-2</v>
      </c>
      <c r="Z3687">
        <v>-9.8809929999999998E-4</v>
      </c>
      <c r="AA3687">
        <v>0.9990812</v>
      </c>
      <c r="AB3687">
        <v>36</v>
      </c>
      <c r="AC3687">
        <v>33.633800000000001</v>
      </c>
      <c r="AD3687">
        <v>-1.104323310771</v>
      </c>
      <c r="AE3687">
        <v>-1.15519999999997</v>
      </c>
      <c r="AF3687">
        <v>1.45685050159548</v>
      </c>
      <c r="AG3687">
        <v>-1.104323310771</v>
      </c>
      <c r="AH3687">
        <v>33.585851932162498</v>
      </c>
      <c r="AI3687">
        <v>91.881473773118501</v>
      </c>
      <c r="AJ3687">
        <v>87.516243081316901</v>
      </c>
      <c r="AK3687">
        <v>33.635567385846997</v>
      </c>
    </row>
    <row r="3688" spans="1:37" x14ac:dyDescent="0.2">
      <c r="A3688" t="str">
        <f>"20200111155621344"</f>
        <v>20200111155621344</v>
      </c>
      <c r="B3688" t="str">
        <f>"1578729381336012"</f>
        <v>1578729381336012</v>
      </c>
      <c r="C3688" t="s">
        <v>37</v>
      </c>
      <c r="D3688">
        <v>4.7488789999999996</v>
      </c>
      <c r="E3688">
        <v>0.54476269999999904</v>
      </c>
      <c r="F3688" t="s">
        <v>59</v>
      </c>
      <c r="G3688">
        <v>-260.79820000000001</v>
      </c>
      <c r="H3688" s="1">
        <v>-1.057538E-6</v>
      </c>
      <c r="I3688">
        <v>213.369</v>
      </c>
      <c r="J3688">
        <v>-295.49099999999999</v>
      </c>
      <c r="K3688">
        <v>1.104333</v>
      </c>
      <c r="L3688">
        <v>214.571</v>
      </c>
      <c r="M3688">
        <v>0.99989439999999996</v>
      </c>
      <c r="N3688">
        <v>0</v>
      </c>
      <c r="O3688">
        <v>8.8778329999999999E-3</v>
      </c>
      <c r="P3688">
        <v>0.99601759999999995</v>
      </c>
      <c r="Q3688">
        <v>3.635145E-2</v>
      </c>
      <c r="R3688">
        <v>8.1411689999999995E-2</v>
      </c>
      <c r="S3688">
        <v>3.0239259999999999</v>
      </c>
      <c r="T3688">
        <v>-9.530044E-2</v>
      </c>
      <c r="U3688">
        <v>-0.1034698</v>
      </c>
      <c r="V3688">
        <v>-7.2546490000000005E-2</v>
      </c>
      <c r="W3688">
        <v>4.7841229999999998E-2</v>
      </c>
      <c r="X3688">
        <v>0.99621700000000002</v>
      </c>
      <c r="Y3688">
        <v>4.3043190000000002E-2</v>
      </c>
      <c r="Z3688">
        <v>-9.5756070000000001E-4</v>
      </c>
      <c r="AA3688">
        <v>0.99907269999999904</v>
      </c>
      <c r="AB3688">
        <v>36</v>
      </c>
      <c r="AC3688">
        <v>34.692799999999899</v>
      </c>
      <c r="AD3688">
        <v>-1.1043340575380001</v>
      </c>
      <c r="AE3688">
        <v>-1.20199999999996</v>
      </c>
      <c r="AF3688">
        <v>1.50844327903661</v>
      </c>
      <c r="AG3688">
        <v>-1.1043340575380001</v>
      </c>
      <c r="AH3688">
        <v>34.645697641178998</v>
      </c>
      <c r="AI3688">
        <v>91.823962056835896</v>
      </c>
      <c r="AJ3688">
        <v>87.506966543287604</v>
      </c>
      <c r="AK3688">
        <v>34.696099490875099</v>
      </c>
    </row>
    <row r="3689" spans="1:37" x14ac:dyDescent="0.2">
      <c r="A3689" t="str">
        <f>"20200111155621367"</f>
        <v>20200111155621367</v>
      </c>
      <c r="B3689" t="str">
        <f>"1578729381356508"</f>
        <v>1578729381356508</v>
      </c>
      <c r="C3689" t="s">
        <v>37</v>
      </c>
      <c r="D3689">
        <v>4.8041019999999897</v>
      </c>
      <c r="E3689">
        <v>0.54475549999999995</v>
      </c>
      <c r="F3689" t="s">
        <v>59</v>
      </c>
      <c r="G3689">
        <v>-261.60250000000002</v>
      </c>
      <c r="H3689" s="1">
        <v>-6.3144309999999996E-7</v>
      </c>
      <c r="I3689">
        <v>213.41409999999999</v>
      </c>
      <c r="J3689">
        <v>-295.13670000000002</v>
      </c>
      <c r="K3689">
        <v>1.104349</v>
      </c>
      <c r="L3689">
        <v>214.57400000000001</v>
      </c>
      <c r="M3689">
        <v>0.99989430000000001</v>
      </c>
      <c r="N3689">
        <v>0</v>
      </c>
      <c r="O3689">
        <v>8.7369860000000004E-3</v>
      </c>
      <c r="P3689">
        <v>0.99603189999999997</v>
      </c>
      <c r="Q3689">
        <v>3.6510189999999998E-2</v>
      </c>
      <c r="R3689">
        <v>8.1163639999999995E-2</v>
      </c>
      <c r="S3689">
        <v>3.02401699999999</v>
      </c>
      <c r="T3689">
        <v>-9.8544480000000004E-2</v>
      </c>
      <c r="U3689">
        <v>-0.103241</v>
      </c>
      <c r="V3689">
        <v>-7.243819E-2</v>
      </c>
      <c r="W3689">
        <v>4.8112240000000001E-2</v>
      </c>
      <c r="X3689">
        <v>0.99621179999999998</v>
      </c>
      <c r="Y3689">
        <v>4.2824309999999997E-2</v>
      </c>
      <c r="Z3689">
        <v>-9.8195880000000006E-4</v>
      </c>
      <c r="AA3689">
        <v>0.99908209999999997</v>
      </c>
      <c r="AB3689">
        <v>36</v>
      </c>
      <c r="AC3689">
        <v>33.534199999999998</v>
      </c>
      <c r="AD3689">
        <v>-1.1043496314431001</v>
      </c>
      <c r="AE3689">
        <v>-1.1599000000000199</v>
      </c>
      <c r="AF3689">
        <v>1.45129127263613</v>
      </c>
      <c r="AG3689">
        <v>-1.1043496314431001</v>
      </c>
      <c r="AH3689">
        <v>33.486511801285097</v>
      </c>
      <c r="AI3689">
        <v>91.887099260659895</v>
      </c>
      <c r="AJ3689">
        <v>87.5183781063796</v>
      </c>
      <c r="AK3689">
        <v>33.536134349148</v>
      </c>
    </row>
    <row r="3690" spans="1:37" x14ac:dyDescent="0.2">
      <c r="A3690" t="str">
        <f>"20200111155621389"</f>
        <v>20200111155621389</v>
      </c>
      <c r="B3690" t="str">
        <f>"1578729381386764"</f>
        <v>1578729381386764</v>
      </c>
      <c r="C3690" t="s">
        <v>37</v>
      </c>
      <c r="D3690">
        <v>4.8270770000000001</v>
      </c>
      <c r="E3690">
        <v>0.5447786</v>
      </c>
      <c r="F3690" t="s">
        <v>59</v>
      </c>
      <c r="G3690">
        <v>-260.10109999999997</v>
      </c>
      <c r="H3690" s="1">
        <v>-1.4284280000000001E-6</v>
      </c>
      <c r="I3690">
        <v>213.3683</v>
      </c>
      <c r="J3690">
        <v>-294.76690000000002</v>
      </c>
      <c r="K3690">
        <v>1.104365</v>
      </c>
      <c r="L3690">
        <v>214.5771</v>
      </c>
      <c r="M3690">
        <v>0.99989419999999996</v>
      </c>
      <c r="N3690">
        <v>0</v>
      </c>
      <c r="O3690">
        <v>8.5980550000000003E-3</v>
      </c>
      <c r="P3690">
        <v>0.99605940000000004</v>
      </c>
      <c r="Q3690">
        <v>3.6395169999999998E-2</v>
      </c>
      <c r="R3690">
        <v>8.087925E-2</v>
      </c>
      <c r="S3690">
        <v>3.0239259999999999</v>
      </c>
      <c r="T3690">
        <v>-9.5316769999999995E-2</v>
      </c>
      <c r="U3690">
        <v>-0.104064899999999</v>
      </c>
      <c r="V3690">
        <v>-7.2291839999999996E-2</v>
      </c>
      <c r="W3690">
        <v>4.8120330000000003E-2</v>
      </c>
      <c r="X3690">
        <v>0.99622199999999905</v>
      </c>
      <c r="Y3690">
        <v>4.2960209999999999E-2</v>
      </c>
      <c r="Z3690">
        <v>-9.4760030000000004E-4</v>
      </c>
      <c r="AA3690">
        <v>0.99907630000000003</v>
      </c>
      <c r="AB3690">
        <v>36</v>
      </c>
      <c r="AC3690">
        <v>34.665799999999997</v>
      </c>
      <c r="AD3690">
        <v>-1.1043664284279999</v>
      </c>
      <c r="AE3690">
        <v>-1.2087999999999901</v>
      </c>
      <c r="AF3690">
        <v>1.5053084001057799</v>
      </c>
      <c r="AG3690">
        <v>-1.1043664284279999</v>
      </c>
      <c r="AH3690">
        <v>34.619032152367602</v>
      </c>
      <c r="AI3690">
        <v>91.825424009987898</v>
      </c>
      <c r="AJ3690">
        <v>87.510227226194999</v>
      </c>
      <c r="AK3690">
        <v>34.669337544209398</v>
      </c>
    </row>
    <row r="3691" spans="1:37" x14ac:dyDescent="0.2">
      <c r="A3691" t="str">
        <f>"20200111155621412"</f>
        <v>20200111155621412</v>
      </c>
      <c r="B3691" t="str">
        <f>"1578729381406284"</f>
        <v>1578729381406284</v>
      </c>
      <c r="C3691" t="s">
        <v>37</v>
      </c>
      <c r="D3691">
        <v>4.7438199999999897</v>
      </c>
      <c r="E3691">
        <v>0.54539609999999905</v>
      </c>
      <c r="F3691" t="s">
        <v>59</v>
      </c>
      <c r="G3691">
        <v>-259.09440000000001</v>
      </c>
      <c r="H3691" s="1">
        <v>3.3587970000000001E-6</v>
      </c>
      <c r="I3691">
        <v>213.33519999999999</v>
      </c>
      <c r="J3691">
        <v>-294.39949999999999</v>
      </c>
      <c r="K3691">
        <v>1.1043829999999999</v>
      </c>
      <c r="L3691">
        <v>214.58009999999999</v>
      </c>
      <c r="M3691">
        <v>0.99989380000000005</v>
      </c>
      <c r="N3691">
        <v>0</v>
      </c>
      <c r="O3691">
        <v>8.4680829999999995E-3</v>
      </c>
      <c r="P3691">
        <v>0.99606260000000002</v>
      </c>
      <c r="Q3691">
        <v>3.7035039999999998E-2</v>
      </c>
      <c r="R3691">
        <v>8.0547590000000002E-2</v>
      </c>
      <c r="S3691">
        <v>3.0238339999999999</v>
      </c>
      <c r="T3691">
        <v>-9.3612790000000001E-2</v>
      </c>
      <c r="U3691">
        <v>-0.1052704</v>
      </c>
      <c r="V3691">
        <v>-7.2089650000000005E-2</v>
      </c>
      <c r="W3691">
        <v>4.8882370000000001E-2</v>
      </c>
      <c r="X3691">
        <v>0.99619950000000002</v>
      </c>
      <c r="Y3691">
        <v>4.3230039999999997E-2</v>
      </c>
      <c r="Z3691">
        <v>-9.3084310000000003E-4</v>
      </c>
      <c r="AA3691">
        <v>0.99906469999999903</v>
      </c>
      <c r="AB3691">
        <v>36</v>
      </c>
      <c r="AC3691">
        <v>35.305099999999896</v>
      </c>
      <c r="AD3691">
        <v>-1.10437964120299</v>
      </c>
      <c r="AE3691">
        <v>-1.2448999999999999</v>
      </c>
      <c r="AF3691">
        <v>1.5423356017315</v>
      </c>
      <c r="AG3691">
        <v>-1.10437964120299</v>
      </c>
      <c r="AH3691">
        <v>35.258833295107202</v>
      </c>
      <c r="AI3691">
        <v>91.792323031634993</v>
      </c>
      <c r="AJ3691">
        <v>87.495293720865206</v>
      </c>
      <c r="AK3691">
        <v>35.309825528207199</v>
      </c>
    </row>
    <row r="3692" spans="1:37" x14ac:dyDescent="0.2">
      <c r="A3692" t="str">
        <f>"20200111155621434"</f>
        <v>20200111155621434</v>
      </c>
      <c r="B3692" t="str">
        <f>"1578729381426780"</f>
        <v>1578729381426780</v>
      </c>
      <c r="C3692" t="s">
        <v>37</v>
      </c>
      <c r="D3692">
        <v>4.9003290000000002</v>
      </c>
      <c r="E3692">
        <v>0.54544090000000001</v>
      </c>
      <c r="F3692" t="s">
        <v>59</v>
      </c>
      <c r="G3692">
        <v>-257.11360000000002</v>
      </c>
      <c r="H3692" s="1">
        <v>2.3103250000000002E-6</v>
      </c>
      <c r="I3692">
        <v>213.2071</v>
      </c>
      <c r="J3692">
        <v>-294.03620000000001</v>
      </c>
      <c r="K3692">
        <v>1.1044069999999999</v>
      </c>
      <c r="L3692">
        <v>214.583</v>
      </c>
      <c r="M3692">
        <v>0.99989349999999999</v>
      </c>
      <c r="N3692">
        <v>0</v>
      </c>
      <c r="O3692">
        <v>8.3373079999999999E-3</v>
      </c>
      <c r="P3692">
        <v>0.99605999999999995</v>
      </c>
      <c r="Q3692">
        <v>3.7471949999999997E-2</v>
      </c>
      <c r="R3692">
        <v>8.0376920000000004E-2</v>
      </c>
      <c r="S3692">
        <v>3.0242</v>
      </c>
      <c r="T3692">
        <v>-8.9574580000000001E-2</v>
      </c>
      <c r="U3692">
        <v>-0.1113586</v>
      </c>
      <c r="V3692">
        <v>-7.2049680000000005E-2</v>
      </c>
      <c r="W3692">
        <v>4.943579E-2</v>
      </c>
      <c r="X3692">
        <v>0.99617520000000004</v>
      </c>
      <c r="Y3692">
        <v>4.5105140000000002E-2</v>
      </c>
      <c r="Z3692">
        <v>-9.1445009999999995E-4</v>
      </c>
      <c r="AA3692">
        <v>0.99898180000000003</v>
      </c>
      <c r="AB3692">
        <v>36</v>
      </c>
      <c r="AC3692">
        <v>36.922599999999903</v>
      </c>
      <c r="AD3692">
        <v>-1.1044046896749999</v>
      </c>
      <c r="AE3692">
        <v>-1.3758999999999999</v>
      </c>
      <c r="AF3692">
        <v>1.6822063830254399</v>
      </c>
      <c r="AG3692">
        <v>-1.1044046896749999</v>
      </c>
      <c r="AH3692">
        <v>36.876896821304499</v>
      </c>
      <c r="AI3692">
        <v>91.713624231866802</v>
      </c>
      <c r="AJ3692">
        <v>87.388159981106696</v>
      </c>
      <c r="AK3692">
        <v>36.931762037612103</v>
      </c>
    </row>
    <row r="3693" spans="1:37" x14ac:dyDescent="0.2">
      <c r="A3693" t="str">
        <f>"20200111155621458"</f>
        <v>20200111155621458</v>
      </c>
      <c r="B3693" t="str">
        <f>"1578729381446300"</f>
        <v>1578729381446300</v>
      </c>
      <c r="C3693" t="s">
        <v>37</v>
      </c>
      <c r="D3693">
        <v>4.7442000000000002</v>
      </c>
      <c r="E3693">
        <v>0.54564000000000001</v>
      </c>
      <c r="F3693" t="s">
        <v>59</v>
      </c>
      <c r="G3693">
        <v>-255.91249999999999</v>
      </c>
      <c r="H3693" s="1">
        <v>1.6728829999999899E-6</v>
      </c>
      <c r="I3693">
        <v>213.16759999999999</v>
      </c>
      <c r="J3693">
        <v>-293.6696</v>
      </c>
      <c r="K3693">
        <v>1.1044240000000001</v>
      </c>
      <c r="L3693">
        <v>214.58590000000001</v>
      </c>
      <c r="M3693">
        <v>0.99989329999999998</v>
      </c>
      <c r="N3693">
        <v>0</v>
      </c>
      <c r="O3693">
        <v>8.1998699999999997E-3</v>
      </c>
      <c r="P3693">
        <v>0.99602710000000005</v>
      </c>
      <c r="Q3693">
        <v>3.7563819999999998E-2</v>
      </c>
      <c r="R3693">
        <v>8.0740160000000005E-2</v>
      </c>
      <c r="S3693">
        <v>3.0242309999999999</v>
      </c>
      <c r="T3693">
        <v>-8.7608930000000002E-2</v>
      </c>
      <c r="U3693">
        <v>-0.11227419999999901</v>
      </c>
      <c r="V3693">
        <v>-7.2550569999999995E-2</v>
      </c>
      <c r="W3693">
        <v>4.9636300000000001E-2</v>
      </c>
      <c r="X3693">
        <v>0.99612889999999998</v>
      </c>
      <c r="Y3693">
        <v>4.5270480000000002E-2</v>
      </c>
      <c r="Z3693">
        <v>-8.9279189999999997E-4</v>
      </c>
      <c r="AA3693">
        <v>0.99897440000000004</v>
      </c>
      <c r="AB3693">
        <v>36</v>
      </c>
      <c r="AC3693">
        <v>37.757100000000001</v>
      </c>
      <c r="AD3693">
        <v>-1.1044223271169999</v>
      </c>
      <c r="AE3693">
        <v>-1.4183000000000101</v>
      </c>
      <c r="AF3693">
        <v>1.7264032117872401</v>
      </c>
      <c r="AG3693">
        <v>-1.1044223271169999</v>
      </c>
      <c r="AH3693">
        <v>37.711978638030601</v>
      </c>
      <c r="AI3693">
        <v>91.675714558260097</v>
      </c>
      <c r="AJ3693">
        <v>87.378906929117903</v>
      </c>
      <c r="AK3693">
        <v>37.767625680224903</v>
      </c>
    </row>
    <row r="3694" spans="1:37" x14ac:dyDescent="0.2">
      <c r="A3694" t="str">
        <f>"20200111155621479"</f>
        <v>20200111155621479</v>
      </c>
      <c r="B3694" t="str">
        <f>"1578729381476556"</f>
        <v>1578729381476556</v>
      </c>
      <c r="C3694" t="s">
        <v>37</v>
      </c>
      <c r="D3694">
        <v>4.7792120000000002</v>
      </c>
      <c r="E3694">
        <v>0.54591899999999904</v>
      </c>
      <c r="F3694" t="s">
        <v>59</v>
      </c>
      <c r="G3694">
        <v>-255.45410000000001</v>
      </c>
      <c r="H3694" s="1">
        <v>1.429323E-6</v>
      </c>
      <c r="I3694">
        <v>213.1593</v>
      </c>
      <c r="J3694">
        <v>-293.31380000000001</v>
      </c>
      <c r="K3694">
        <v>1.104436</v>
      </c>
      <c r="L3694">
        <v>214.58860000000001</v>
      </c>
      <c r="M3694">
        <v>0.99989340000000004</v>
      </c>
      <c r="N3694">
        <v>0</v>
      </c>
      <c r="O3694">
        <v>8.0658750000000001E-3</v>
      </c>
      <c r="P3694">
        <v>0.99596269999999998</v>
      </c>
      <c r="Q3694">
        <v>3.8183929999999998E-2</v>
      </c>
      <c r="R3694">
        <v>8.1244849999999993E-2</v>
      </c>
      <c r="S3694">
        <v>3.0244450000000001</v>
      </c>
      <c r="T3694">
        <v>-8.7406040000000004E-2</v>
      </c>
      <c r="U3694">
        <v>-0.11289979999999999</v>
      </c>
      <c r="V3694">
        <v>-7.3190119999999997E-2</v>
      </c>
      <c r="W3694">
        <v>5.035208E-2</v>
      </c>
      <c r="X3694">
        <v>0.99604609999999905</v>
      </c>
      <c r="Y3694">
        <v>4.5340489999999997E-2</v>
      </c>
      <c r="Z3694">
        <v>-8.8779949999999897E-4</v>
      </c>
      <c r="AA3694">
        <v>0.99897119999999995</v>
      </c>
      <c r="AB3694">
        <v>36</v>
      </c>
      <c r="AC3694">
        <v>37.859699999999997</v>
      </c>
      <c r="AD3694">
        <v>-1.104434570677</v>
      </c>
      <c r="AE3694">
        <v>-1.42930000000001</v>
      </c>
      <c r="AF3694">
        <v>1.7331749066398701</v>
      </c>
      <c r="AG3694">
        <v>-1.104434570677</v>
      </c>
      <c r="AH3694">
        <v>37.814804534585797</v>
      </c>
      <c r="AI3694">
        <v>91.671174895740606</v>
      </c>
      <c r="AJ3694">
        <v>87.375785467595094</v>
      </c>
      <c r="AK3694">
        <v>37.870610147802601</v>
      </c>
    </row>
    <row r="3695" spans="1:37" x14ac:dyDescent="0.2">
      <c r="A3695" t="str">
        <f>"20200111155621501"</f>
        <v>20200111155621501</v>
      </c>
      <c r="B3695" t="str">
        <f>"1578729381497052"</f>
        <v>1578729381497052</v>
      </c>
      <c r="C3695" t="s">
        <v>37</v>
      </c>
      <c r="D3695">
        <v>4.7439220000000004</v>
      </c>
      <c r="E3695">
        <v>0.54612830000000001</v>
      </c>
      <c r="F3695" t="s">
        <v>59</v>
      </c>
      <c r="G3695">
        <v>-254.8049</v>
      </c>
      <c r="H3695" s="1">
        <v>1.0845130000000001E-6</v>
      </c>
      <c r="I3695">
        <v>213.14330000000001</v>
      </c>
      <c r="J3695">
        <v>-292.94589999999999</v>
      </c>
      <c r="K3695">
        <v>1.104444</v>
      </c>
      <c r="L3695">
        <v>214.59139999999999</v>
      </c>
      <c r="M3695">
        <v>0.99989340000000004</v>
      </c>
      <c r="N3695">
        <v>0</v>
      </c>
      <c r="O3695">
        <v>7.9330029999999992E-3</v>
      </c>
      <c r="P3695">
        <v>0.99591879999999999</v>
      </c>
      <c r="Q3695">
        <v>3.80828E-2</v>
      </c>
      <c r="R3695">
        <v>8.1828750000000006E-2</v>
      </c>
      <c r="S3695">
        <v>3.02475</v>
      </c>
      <c r="T3695">
        <v>-8.6749789999999993E-2</v>
      </c>
      <c r="U3695">
        <v>-0.113525399999999</v>
      </c>
      <c r="V3695">
        <v>-7.3906379999999994E-2</v>
      </c>
      <c r="W3695">
        <v>5.0339700000000001E-2</v>
      </c>
      <c r="X3695">
        <v>0.99599389999999999</v>
      </c>
      <c r="Y3695">
        <v>4.5410689999999997E-2</v>
      </c>
      <c r="Z3695">
        <v>-8.782417E-4</v>
      </c>
      <c r="AA3695">
        <v>0.99896799999999997</v>
      </c>
      <c r="AB3695">
        <v>36</v>
      </c>
      <c r="AC3695">
        <v>38.140999999999899</v>
      </c>
      <c r="AD3695">
        <v>-1.1044429154869999</v>
      </c>
      <c r="AE3695">
        <v>-1.44809999999998</v>
      </c>
      <c r="AF3695">
        <v>1.7491852494251301</v>
      </c>
      <c r="AG3695">
        <v>-1.1044429154869999</v>
      </c>
      <c r="AH3695">
        <v>38.096413188380403</v>
      </c>
      <c r="AI3695">
        <v>91.658834844339296</v>
      </c>
      <c r="AJ3695">
        <v>87.371127995685796</v>
      </c>
      <c r="AK3695">
        <v>38.152537805632001</v>
      </c>
    </row>
    <row r="3696" spans="1:37" x14ac:dyDescent="0.2">
      <c r="A3696" t="str">
        <f>"20200111155621524"</f>
        <v>20200111155621524</v>
      </c>
      <c r="B3696" t="str">
        <f>"1578729381516572"</f>
        <v>1578729381516572</v>
      </c>
      <c r="C3696" t="s">
        <v>37</v>
      </c>
      <c r="D3696">
        <v>4.768993</v>
      </c>
      <c r="E3696">
        <v>0.54618900000000004</v>
      </c>
      <c r="F3696" t="s">
        <v>59</v>
      </c>
      <c r="G3696">
        <v>-254.8562</v>
      </c>
      <c r="H3696" s="1">
        <v>1.110893E-6</v>
      </c>
      <c r="I3696">
        <v>213.16460000000001</v>
      </c>
      <c r="J3696">
        <v>-292.57909999999998</v>
      </c>
      <c r="K3696">
        <v>1.1044399999999901</v>
      </c>
      <c r="L3696">
        <v>214.5942</v>
      </c>
      <c r="M3696">
        <v>0.99989319999999904</v>
      </c>
      <c r="N3696">
        <v>0</v>
      </c>
      <c r="O3696">
        <v>7.806543E-3</v>
      </c>
      <c r="P3696">
        <v>0.99595529999999999</v>
      </c>
      <c r="Q3696">
        <v>3.7479310000000002E-2</v>
      </c>
      <c r="R3696">
        <v>8.1659319999999994E-2</v>
      </c>
      <c r="S3696">
        <v>3.0249630000000001</v>
      </c>
      <c r="T3696">
        <v>-8.7711449999999996E-2</v>
      </c>
      <c r="U3696">
        <v>-0.113311799999999</v>
      </c>
      <c r="V3696">
        <v>-7.3863189999999995E-2</v>
      </c>
      <c r="W3696">
        <v>4.9816310000000003E-2</v>
      </c>
      <c r="X3696">
        <v>0.9960234</v>
      </c>
      <c r="Y3696">
        <v>4.521091E-2</v>
      </c>
      <c r="Z3696">
        <v>-8.8135209999999999E-4</v>
      </c>
      <c r="AA3696">
        <v>0.99897709999999995</v>
      </c>
      <c r="AB3696">
        <v>36</v>
      </c>
      <c r="AC3696">
        <v>37.722899999999903</v>
      </c>
      <c r="AD3696">
        <v>-1.1044388891069901</v>
      </c>
      <c r="AE3696">
        <v>-1.42959999999999</v>
      </c>
      <c r="AF3696">
        <v>1.72258989477812</v>
      </c>
      <c r="AG3696">
        <v>-1.1044388891069901</v>
      </c>
      <c r="AH3696">
        <v>37.678338375924902</v>
      </c>
      <c r="AI3696">
        <v>91.6772395828052</v>
      </c>
      <c r="AJ3696">
        <v>87.3823566331439</v>
      </c>
      <c r="AK3696">
        <v>37.7338612386283</v>
      </c>
    </row>
    <row r="3697" spans="1:37" x14ac:dyDescent="0.2">
      <c r="A3697" t="str">
        <f>"20200111155621545"</f>
        <v>20200111155621545</v>
      </c>
      <c r="B3697" t="str">
        <f>"1578729381536092"</f>
        <v>1578729381536092</v>
      </c>
      <c r="C3697" t="s">
        <v>37</v>
      </c>
      <c r="D3697">
        <v>4.8083989999999996</v>
      </c>
      <c r="E3697">
        <v>0.5462709</v>
      </c>
      <c r="F3697" t="s">
        <v>59</v>
      </c>
      <c r="G3697">
        <v>-255.66319999999999</v>
      </c>
      <c r="H3697" s="1">
        <v>1.5387270000000001E-6</v>
      </c>
      <c r="I3697">
        <v>213.202</v>
      </c>
      <c r="J3697">
        <v>-292.2355</v>
      </c>
      <c r="K3697">
        <v>1.1044399999999901</v>
      </c>
      <c r="L3697">
        <v>214.5967</v>
      </c>
      <c r="M3697">
        <v>0.99989329999999998</v>
      </c>
      <c r="N3697">
        <v>0</v>
      </c>
      <c r="O3697">
        <v>7.6894149999999998E-3</v>
      </c>
      <c r="P3697">
        <v>0.99602199999999996</v>
      </c>
      <c r="Q3697">
        <v>3.6231060000000002E-2</v>
      </c>
      <c r="R3697">
        <v>8.1409159999999994E-2</v>
      </c>
      <c r="S3697">
        <v>3.0249329999999999</v>
      </c>
      <c r="T3697">
        <v>-9.0499040000000003E-2</v>
      </c>
      <c r="U3697">
        <v>-0.1140747</v>
      </c>
      <c r="V3697">
        <v>-7.3729760000000005E-2</v>
      </c>
      <c r="W3697">
        <v>4.8634719999999999E-2</v>
      </c>
      <c r="X3697">
        <v>0.99609169999999903</v>
      </c>
      <c r="Y3697">
        <v>4.5344429999999998E-2</v>
      </c>
      <c r="Z3697">
        <v>-9.0784909999999999E-4</v>
      </c>
      <c r="AA3697">
        <v>0.99897099999999905</v>
      </c>
      <c r="AB3697">
        <v>36</v>
      </c>
      <c r="AC3697">
        <v>36.572299999999998</v>
      </c>
      <c r="AD3697">
        <v>-1.1044384612729901</v>
      </c>
      <c r="AE3697">
        <v>-1.3947000000000001</v>
      </c>
      <c r="AF3697">
        <v>1.6743752907956999</v>
      </c>
      <c r="AG3697">
        <v>-1.1044384612729901</v>
      </c>
      <c r="AH3697">
        <v>36.527230150294898</v>
      </c>
      <c r="AI3697">
        <v>91.730053767944298</v>
      </c>
      <c r="AJ3697">
        <v>87.375450360679196</v>
      </c>
      <c r="AK3697">
        <v>36.582261540011203</v>
      </c>
    </row>
    <row r="3698" spans="1:37" x14ac:dyDescent="0.2">
      <c r="A3698" t="str">
        <f>"20200111155621568"</f>
        <v>20200111155621568</v>
      </c>
      <c r="B3698" t="str">
        <f>"1578729381556589"</f>
        <v>1578729381556589</v>
      </c>
      <c r="C3698" t="s">
        <v>37</v>
      </c>
      <c r="D3698">
        <v>4.8285999999999998</v>
      </c>
      <c r="E3698">
        <v>0.546274699999999</v>
      </c>
      <c r="F3698" t="s">
        <v>59</v>
      </c>
      <c r="G3698">
        <v>-256.76749999999998</v>
      </c>
      <c r="H3698" s="1">
        <v>2.1246559999999998E-6</v>
      </c>
      <c r="I3698">
        <v>213.2407</v>
      </c>
      <c r="J3698">
        <v>-291.87150000000003</v>
      </c>
      <c r="K3698">
        <v>1.104436</v>
      </c>
      <c r="L3698">
        <v>214.5993</v>
      </c>
      <c r="M3698">
        <v>0.99989349999999999</v>
      </c>
      <c r="N3698">
        <v>0</v>
      </c>
      <c r="O3698">
        <v>7.5630990000000002E-3</v>
      </c>
      <c r="P3698">
        <v>0.99614919999999996</v>
      </c>
      <c r="Q3698">
        <v>3.4994549999999999E-2</v>
      </c>
      <c r="R3698">
        <v>8.0386330000000006E-2</v>
      </c>
      <c r="S3698">
        <v>3.024902</v>
      </c>
      <c r="T3698">
        <v>-9.4192269999999995E-2</v>
      </c>
      <c r="U3698">
        <v>-0.1156464</v>
      </c>
      <c r="V3698">
        <v>-7.2832350000000004E-2</v>
      </c>
      <c r="W3698">
        <v>4.7460670000000003E-2</v>
      </c>
      <c r="X3698">
        <v>0.9962143</v>
      </c>
      <c r="Y3698">
        <v>4.5734799999999999E-2</v>
      </c>
      <c r="Z3698">
        <v>-9.4702359999999995E-4</v>
      </c>
      <c r="AA3698">
        <v>0.99895319999999899</v>
      </c>
      <c r="AB3698">
        <v>36</v>
      </c>
      <c r="AC3698">
        <v>35.103999999999999</v>
      </c>
      <c r="AD3698">
        <v>-1.1044338753439999</v>
      </c>
      <c r="AE3698">
        <v>-1.35859999999999</v>
      </c>
      <c r="AF3698">
        <v>1.62247325580793</v>
      </c>
      <c r="AG3698">
        <v>-1.1044338753439999</v>
      </c>
      <c r="AH3698">
        <v>35.058069742936098</v>
      </c>
      <c r="AI3698">
        <v>91.802463422289904</v>
      </c>
      <c r="AJ3698">
        <v>87.350265206308507</v>
      </c>
      <c r="AK3698">
        <v>35.112966946007198</v>
      </c>
    </row>
    <row r="3699" spans="1:37" x14ac:dyDescent="0.2">
      <c r="A3699" t="str">
        <f>"20200111155621591"</f>
        <v>20200111155621591</v>
      </c>
      <c r="B3699" t="str">
        <f>"1578729381586844"</f>
        <v>1578729381586844</v>
      </c>
      <c r="C3699" t="s">
        <v>37</v>
      </c>
      <c r="D3699">
        <v>4.9387379999999999</v>
      </c>
      <c r="E3699">
        <v>0.54649999999999999</v>
      </c>
      <c r="F3699" t="s">
        <v>59</v>
      </c>
      <c r="G3699">
        <v>-257.68799999999999</v>
      </c>
      <c r="H3699" s="1">
        <v>2.613827E-6</v>
      </c>
      <c r="I3699">
        <v>213.2569</v>
      </c>
      <c r="J3699">
        <v>-291.49759999999998</v>
      </c>
      <c r="K3699">
        <v>1.1044449999999999</v>
      </c>
      <c r="L3699">
        <v>214.6019</v>
      </c>
      <c r="M3699">
        <v>0.99989380000000005</v>
      </c>
      <c r="N3699">
        <v>0</v>
      </c>
      <c r="O3699">
        <v>7.430458E-3</v>
      </c>
      <c r="P3699">
        <v>0.9962472</v>
      </c>
      <c r="Q3699">
        <v>3.4725810000000003E-2</v>
      </c>
      <c r="R3699">
        <v>7.928441E-2</v>
      </c>
      <c r="S3699">
        <v>3.024597</v>
      </c>
      <c r="T3699">
        <v>-9.7721699999999995E-2</v>
      </c>
      <c r="U3699">
        <v>-0.118774399999999</v>
      </c>
      <c r="V3699">
        <v>-7.1862560000000006E-2</v>
      </c>
      <c r="W3699">
        <v>4.724776E-2</v>
      </c>
      <c r="X3699">
        <v>0.99629489999999998</v>
      </c>
      <c r="Y3699">
        <v>4.6635320000000001E-2</v>
      </c>
      <c r="Z3699">
        <v>-9.9282539999999897E-4</v>
      </c>
      <c r="AA3699">
        <v>0.99891149999999995</v>
      </c>
      <c r="AB3699">
        <v>36</v>
      </c>
      <c r="AC3699">
        <v>33.809599999999897</v>
      </c>
      <c r="AD3699">
        <v>-1.1044423861729999</v>
      </c>
      <c r="AE3699">
        <v>-1.34499999999999</v>
      </c>
      <c r="AF3699">
        <v>1.59450461089225</v>
      </c>
      <c r="AG3699">
        <v>-1.1044423861729999</v>
      </c>
      <c r="AH3699">
        <v>33.7627004172911</v>
      </c>
      <c r="AI3699">
        <v>91.871501807677504</v>
      </c>
      <c r="AJ3699">
        <v>87.296112183181506</v>
      </c>
      <c r="AK3699">
        <v>33.818370413227797</v>
      </c>
    </row>
    <row r="3700" spans="1:37" x14ac:dyDescent="0.2">
      <c r="A3700" t="str">
        <f>"20200111155621613"</f>
        <v>20200111155621613</v>
      </c>
      <c r="B3700" t="str">
        <f>"1578729381606364"</f>
        <v>1578729381606364</v>
      </c>
      <c r="C3700" t="s">
        <v>37</v>
      </c>
      <c r="D3700">
        <v>4.8563769999999904</v>
      </c>
      <c r="E3700">
        <v>0.54640710000000003</v>
      </c>
      <c r="F3700" t="s">
        <v>59</v>
      </c>
      <c r="G3700">
        <v>-257.38529999999997</v>
      </c>
      <c r="H3700" s="1">
        <v>2.4550129999999999E-6</v>
      </c>
      <c r="I3700">
        <v>213.20419999999999</v>
      </c>
      <c r="J3700">
        <v>-291.13690000000003</v>
      </c>
      <c r="K3700">
        <v>1.104449</v>
      </c>
      <c r="L3700">
        <v>214.6044</v>
      </c>
      <c r="M3700">
        <v>0.99989409999999901</v>
      </c>
      <c r="N3700">
        <v>0</v>
      </c>
      <c r="O3700">
        <v>7.3020369999999999E-3</v>
      </c>
      <c r="P3700">
        <v>0.996229699999999</v>
      </c>
      <c r="Q3700">
        <v>3.5132490000000002E-2</v>
      </c>
      <c r="R3700">
        <v>7.9323690000000002E-2</v>
      </c>
      <c r="S3700">
        <v>3.0245359999999999</v>
      </c>
      <c r="T3700">
        <v>-9.792447E-2</v>
      </c>
      <c r="U3700">
        <v>-0.1239319</v>
      </c>
      <c r="V3700">
        <v>-7.2029659999999995E-2</v>
      </c>
      <c r="W3700">
        <v>4.7699770000000002E-2</v>
      </c>
      <c r="X3700">
        <v>0.99626119999999996</v>
      </c>
      <c r="Y3700">
        <v>4.82075E-2</v>
      </c>
      <c r="Z3700">
        <v>-1.016149E-3</v>
      </c>
      <c r="AA3700">
        <v>0.99883679999999997</v>
      </c>
      <c r="AB3700">
        <v>36</v>
      </c>
      <c r="AC3700">
        <v>33.751600000000003</v>
      </c>
      <c r="AD3700">
        <v>-1.104446544987</v>
      </c>
      <c r="AE3700">
        <v>-1.4002000000000101</v>
      </c>
      <c r="AF3700">
        <v>1.6448793470026899</v>
      </c>
      <c r="AG3700">
        <v>-1.104446544987</v>
      </c>
      <c r="AH3700">
        <v>33.704446832955597</v>
      </c>
      <c r="AI3700">
        <v>91.874599741724793</v>
      </c>
      <c r="AJ3700">
        <v>87.206008760958099</v>
      </c>
      <c r="AK3700">
        <v>33.762629733959699</v>
      </c>
    </row>
    <row r="3701" spans="1:37" x14ac:dyDescent="0.2">
      <c r="A3701" t="str">
        <f>"20200111155621635"</f>
        <v>20200111155621635</v>
      </c>
      <c r="B3701" t="str">
        <f>"1578729381626860"</f>
        <v>1578729381626860</v>
      </c>
      <c r="C3701" t="s">
        <v>37</v>
      </c>
      <c r="D3701">
        <v>4.898307</v>
      </c>
      <c r="E3701">
        <v>0.54640710000000003</v>
      </c>
      <c r="F3701" t="s">
        <v>59</v>
      </c>
      <c r="G3701">
        <v>-256.70650000000001</v>
      </c>
      <c r="H3701" s="1">
        <v>2.0937829999999999E-6</v>
      </c>
      <c r="I3701">
        <v>213.20400000000001</v>
      </c>
      <c r="J3701">
        <v>-290.78379999999999</v>
      </c>
      <c r="K3701">
        <v>1.1044579999999999</v>
      </c>
      <c r="L3701">
        <v>214.60679999999999</v>
      </c>
      <c r="M3701">
        <v>0.99989459999999997</v>
      </c>
      <c r="N3701">
        <v>0</v>
      </c>
      <c r="O3701">
        <v>7.1776380000000001E-3</v>
      </c>
      <c r="P3701">
        <v>0.99619780000000002</v>
      </c>
      <c r="Q3701">
        <v>3.5876859999999997E-2</v>
      </c>
      <c r="R3701">
        <v>7.9391219999999998E-2</v>
      </c>
      <c r="S3701">
        <v>3.0245669999999998</v>
      </c>
      <c r="T3701">
        <v>-9.702086E-2</v>
      </c>
      <c r="U3701">
        <v>-0.1230164</v>
      </c>
      <c r="V3701">
        <v>-7.2221220000000003E-2</v>
      </c>
      <c r="W3701">
        <v>4.848326E-2</v>
      </c>
      <c r="X3701">
        <v>0.99620959999999903</v>
      </c>
      <c r="Y3701">
        <v>4.7781799999999999E-2</v>
      </c>
      <c r="Z3701">
        <v>-9.9596179999999991E-4</v>
      </c>
      <c r="AA3701">
        <v>0.99885729999999995</v>
      </c>
      <c r="AB3701">
        <v>36</v>
      </c>
      <c r="AC3701">
        <v>34.077299999999902</v>
      </c>
      <c r="AD3701">
        <v>-1.1044559062169901</v>
      </c>
      <c r="AE3701">
        <v>-1.4027999999999801</v>
      </c>
      <c r="AF3701">
        <v>1.6456521475782699</v>
      </c>
      <c r="AG3701">
        <v>-1.1044559062169901</v>
      </c>
      <c r="AH3701">
        <v>34.030666149656298</v>
      </c>
      <c r="AI3701">
        <v>91.856698144154805</v>
      </c>
      <c r="AJ3701">
        <v>87.231452146809204</v>
      </c>
      <c r="AK3701">
        <v>34.088329856843501</v>
      </c>
    </row>
    <row r="3702" spans="1:37" x14ac:dyDescent="0.2">
      <c r="A3702" t="str">
        <f>"20200111155621657"</f>
        <v>20200111155621657</v>
      </c>
      <c r="B3702" t="str">
        <f>"1578729381646380"</f>
        <v>1578729381646380</v>
      </c>
      <c r="C3702" t="s">
        <v>37</v>
      </c>
      <c r="D3702">
        <v>5.0153780000000001</v>
      </c>
      <c r="E3702">
        <v>0.52962670000000001</v>
      </c>
      <c r="F3702" t="s">
        <v>59</v>
      </c>
      <c r="G3702">
        <v>-255.55189999999999</v>
      </c>
      <c r="H3702" s="1">
        <v>1.4804779999999899E-6</v>
      </c>
      <c r="I3702">
        <v>213.17920000000001</v>
      </c>
      <c r="J3702">
        <v>-290.43150000000003</v>
      </c>
      <c r="K3702">
        <v>1.1044670000000001</v>
      </c>
      <c r="L3702">
        <v>214.60919999999999</v>
      </c>
      <c r="M3702">
        <v>0.99989509999999904</v>
      </c>
      <c r="N3702">
        <v>0</v>
      </c>
      <c r="O3702">
        <v>7.0548190000000004E-3</v>
      </c>
      <c r="P3702">
        <v>0.99615140000000002</v>
      </c>
      <c r="Q3702">
        <v>3.658372E-2</v>
      </c>
      <c r="R3702">
        <v>7.9651730000000004E-2</v>
      </c>
      <c r="S3702">
        <v>3.0246279999999999</v>
      </c>
      <c r="T3702">
        <v>-9.4816570000000003E-2</v>
      </c>
      <c r="U3702">
        <v>-0.1225586</v>
      </c>
      <c r="V3702">
        <v>-7.2604310000000005E-2</v>
      </c>
      <c r="W3702">
        <v>4.9223379999999997E-2</v>
      </c>
      <c r="X3702">
        <v>0.99614539999999996</v>
      </c>
      <c r="Y3702">
        <v>4.7508830000000002E-2</v>
      </c>
      <c r="Z3702">
        <v>-9.6520459999999998E-4</v>
      </c>
      <c r="AA3702">
        <v>0.99887039999999905</v>
      </c>
      <c r="AB3702">
        <v>36</v>
      </c>
      <c r="AC3702">
        <v>34.879600000000003</v>
      </c>
      <c r="AD3702">
        <v>-1.1044655195219999</v>
      </c>
      <c r="AE3702">
        <v>-1.42999999999997</v>
      </c>
      <c r="AF3702">
        <v>1.6743773194206399</v>
      </c>
      <c r="AG3702">
        <v>-1.1044655195219999</v>
      </c>
      <c r="AH3702">
        <v>34.833774226683197</v>
      </c>
      <c r="AI3702">
        <v>91.813961170063095</v>
      </c>
      <c r="AJ3702">
        <v>87.248045254462198</v>
      </c>
      <c r="AK3702">
        <v>34.891477617996301</v>
      </c>
    </row>
    <row r="3703" spans="1:37" x14ac:dyDescent="0.2">
      <c r="A3703" t="str">
        <f>"20200111155621680"</f>
        <v>20200111155621680</v>
      </c>
      <c r="B3703" t="str">
        <f>"1578729381676636"</f>
        <v>1578729381676636</v>
      </c>
      <c r="C3703" t="s">
        <v>37</v>
      </c>
      <c r="D3703">
        <v>4.9026059999999996</v>
      </c>
      <c r="E3703">
        <v>0.52995249999999905</v>
      </c>
      <c r="F3703" t="s">
        <v>59</v>
      </c>
      <c r="G3703">
        <v>-246.67599999999999</v>
      </c>
      <c r="H3703" s="1">
        <v>2.0092760000000002E-6</v>
      </c>
      <c r="I3703">
        <v>214.7663</v>
      </c>
      <c r="J3703">
        <v>-290.06150000000002</v>
      </c>
      <c r="K3703">
        <v>1.104473</v>
      </c>
      <c r="L3703">
        <v>214.61160000000001</v>
      </c>
      <c r="M3703">
        <v>0.9998956</v>
      </c>
      <c r="N3703">
        <v>0</v>
      </c>
      <c r="O3703">
        <v>6.9259469999999896E-3</v>
      </c>
      <c r="P3703">
        <v>0.99611740000000004</v>
      </c>
      <c r="Q3703">
        <v>3.7159350000000001E-2</v>
      </c>
      <c r="R3703">
        <v>7.981096E-2</v>
      </c>
      <c r="S3703">
        <v>3.01355</v>
      </c>
      <c r="T3703">
        <v>-7.6067090000000004E-2</v>
      </c>
      <c r="U3703">
        <v>1.081848E-2</v>
      </c>
      <c r="V3703">
        <v>-7.2892330000000005E-2</v>
      </c>
      <c r="W3703">
        <v>4.9829169999999999E-2</v>
      </c>
      <c r="X3703">
        <v>0.99609419999999904</v>
      </c>
      <c r="Y3703">
        <v>3.3333550000000001E-3</v>
      </c>
      <c r="Z3703">
        <v>-2.168696E-4</v>
      </c>
      <c r="AA3703">
        <v>0.99999439999999995</v>
      </c>
      <c r="AB3703">
        <v>36</v>
      </c>
      <c r="AC3703">
        <v>43.3855</v>
      </c>
      <c r="AD3703">
        <v>-1.104470990724</v>
      </c>
      <c r="AE3703">
        <v>0.15469999999999101</v>
      </c>
      <c r="AF3703">
        <v>0.14571911517195801</v>
      </c>
      <c r="AG3703">
        <v>-1.104470990724</v>
      </c>
      <c r="AH3703">
        <v>43.3574326443103</v>
      </c>
      <c r="AI3703">
        <v>91.459207401259405</v>
      </c>
      <c r="AJ3703">
        <v>89.807436502832402</v>
      </c>
      <c r="AK3703">
        <v>43.371742595101999</v>
      </c>
    </row>
    <row r="3704" spans="1:37" x14ac:dyDescent="0.2">
      <c r="A3704" t="str">
        <f>"20200111155621702"</f>
        <v>20200111155621702</v>
      </c>
      <c r="B3704" t="str">
        <f>"1578729381696156"</f>
        <v>1578729381696156</v>
      </c>
      <c r="C3704" t="s">
        <v>37</v>
      </c>
      <c r="D3704">
        <v>4.9332599999999998</v>
      </c>
      <c r="E3704">
        <v>0.52977589999999997</v>
      </c>
      <c r="F3704" t="s">
        <v>59</v>
      </c>
      <c r="G3704">
        <v>-244.55670000000001</v>
      </c>
      <c r="H3704" s="1">
        <v>8.8255350000000002E-7</v>
      </c>
      <c r="I3704">
        <v>214.74250000000001</v>
      </c>
      <c r="J3704">
        <v>-289.70499999999998</v>
      </c>
      <c r="K3704">
        <v>1.1044780000000001</v>
      </c>
      <c r="L3704">
        <v>214.6139</v>
      </c>
      <c r="M3704">
        <v>0.99989619999999901</v>
      </c>
      <c r="N3704">
        <v>0</v>
      </c>
      <c r="O3704">
        <v>6.8012840000000003E-3</v>
      </c>
      <c r="P3704">
        <v>0.99611489999999903</v>
      </c>
      <c r="Q3704">
        <v>3.7478190000000002E-2</v>
      </c>
      <c r="R3704">
        <v>7.9690339999999998E-2</v>
      </c>
      <c r="S3704">
        <v>3.0137330000000002</v>
      </c>
      <c r="T3704">
        <v>-7.3148009999999999E-2</v>
      </c>
      <c r="U3704">
        <v>8.6669920000000001E-3</v>
      </c>
      <c r="V3704">
        <v>-7.289582E-2</v>
      </c>
      <c r="W3704">
        <v>5.0173009999999997E-2</v>
      </c>
      <c r="X3704">
        <v>0.99607679999999998</v>
      </c>
      <c r="Y3704">
        <v>3.9228919999999999E-3</v>
      </c>
      <c r="Z3704">
        <v>-2.1266540000000001E-4</v>
      </c>
      <c r="AA3704">
        <v>0.99999229999999995</v>
      </c>
      <c r="AB3704">
        <v>36</v>
      </c>
      <c r="AC3704">
        <v>45.1482999999999</v>
      </c>
      <c r="AD3704">
        <v>-1.1044771174465</v>
      </c>
      <c r="AE3704">
        <v>0.12860000000000499</v>
      </c>
      <c r="AF3704">
        <v>0.17838740231087899</v>
      </c>
      <c r="AG3704">
        <v>-1.1044771174465</v>
      </c>
      <c r="AH3704">
        <v>45.1211276202379</v>
      </c>
      <c r="AI3704">
        <v>91.402197862757703</v>
      </c>
      <c r="AJ3704">
        <v>89.773481015247</v>
      </c>
      <c r="AK3704">
        <v>45.134995840146701</v>
      </c>
    </row>
    <row r="3705" spans="1:37" x14ac:dyDescent="0.2">
      <c r="A3705" t="str">
        <f>"20200111155621724"</f>
        <v>20200111155621724</v>
      </c>
      <c r="B3705" t="str">
        <f>"1578729381716652"</f>
        <v>1578729381716652</v>
      </c>
      <c r="C3705" t="s">
        <v>37</v>
      </c>
      <c r="D3705">
        <v>4.9294729999999998</v>
      </c>
      <c r="E3705">
        <v>0.52966239999999998</v>
      </c>
      <c r="F3705" t="s">
        <v>59</v>
      </c>
      <c r="G3705">
        <v>-244.80950000000001</v>
      </c>
      <c r="H3705" s="1">
        <v>1.016311E-6</v>
      </c>
      <c r="I3705">
        <v>214.76009999999999</v>
      </c>
      <c r="J3705">
        <v>-289.34370000000001</v>
      </c>
      <c r="K3705">
        <v>1.1044780000000001</v>
      </c>
      <c r="L3705">
        <v>214.61619999999999</v>
      </c>
      <c r="M3705">
        <v>0.99989669999999897</v>
      </c>
      <c r="N3705">
        <v>0</v>
      </c>
      <c r="O3705">
        <v>6.6751479999999997E-3</v>
      </c>
      <c r="P3705">
        <v>0.99613269999999998</v>
      </c>
      <c r="Q3705">
        <v>3.7442719999999999E-2</v>
      </c>
      <c r="R3705">
        <v>7.9486260000000003E-2</v>
      </c>
      <c r="S3705">
        <v>3.0136720000000001</v>
      </c>
      <c r="T3705">
        <v>-7.41396E-2</v>
      </c>
      <c r="U3705">
        <v>9.8114009999999904E-3</v>
      </c>
      <c r="V3705">
        <v>-7.2817499999999993E-2</v>
      </c>
      <c r="W3705">
        <v>5.0159210000000003E-2</v>
      </c>
      <c r="X3705">
        <v>0.9960831</v>
      </c>
      <c r="Y3705">
        <v>3.4170590000000001E-3</v>
      </c>
      <c r="Z3705">
        <v>-2.0622770000000001E-4</v>
      </c>
      <c r="AA3705">
        <v>0.99999419999999895</v>
      </c>
      <c r="AB3705">
        <v>36</v>
      </c>
      <c r="AC3705">
        <v>44.534199999999998</v>
      </c>
      <c r="AD3705">
        <v>-1.104476983689</v>
      </c>
      <c r="AE3705">
        <v>0.143900000000002</v>
      </c>
      <c r="AF3705">
        <v>0.153305376366104</v>
      </c>
      <c r="AG3705">
        <v>-1.104476983689</v>
      </c>
      <c r="AH3705">
        <v>44.506793689856899</v>
      </c>
      <c r="AI3705">
        <v>91.421547225018401</v>
      </c>
      <c r="AJ3705">
        <v>89.802643246678002</v>
      </c>
      <c r="AK3705">
        <v>44.520759837377</v>
      </c>
    </row>
    <row r="3706" spans="1:37" x14ac:dyDescent="0.2">
      <c r="A3706" t="str">
        <f>"20200111155621746"</f>
        <v>20200111155621746</v>
      </c>
      <c r="B3706" t="str">
        <f>"1578729381736172"</f>
        <v>1578729381736172</v>
      </c>
      <c r="C3706" t="s">
        <v>37</v>
      </c>
      <c r="D3706">
        <v>4.9507589999999997</v>
      </c>
      <c r="E3706">
        <v>0.52969569999999999</v>
      </c>
      <c r="F3706" t="s">
        <v>59</v>
      </c>
      <c r="G3706">
        <v>-245.6977</v>
      </c>
      <c r="H3706" s="1">
        <v>1.4888489999999999E-6</v>
      </c>
      <c r="I3706">
        <v>214.76310000000001</v>
      </c>
      <c r="J3706">
        <v>-288.9837</v>
      </c>
      <c r="K3706">
        <v>1.104484</v>
      </c>
      <c r="L3706">
        <v>214.61840000000001</v>
      </c>
      <c r="M3706">
        <v>0.99989719999999904</v>
      </c>
      <c r="N3706">
        <v>0</v>
      </c>
      <c r="O3706">
        <v>6.5493299999999999E-3</v>
      </c>
      <c r="P3706">
        <v>0.99614349999999996</v>
      </c>
      <c r="Q3706">
        <v>3.7756539999999998E-2</v>
      </c>
      <c r="R3706">
        <v>7.9201229999999997E-2</v>
      </c>
      <c r="S3706">
        <v>3.013763</v>
      </c>
      <c r="T3706">
        <v>-7.6264380000000007E-2</v>
      </c>
      <c r="U3706">
        <v>1.0147089999999999E-2</v>
      </c>
      <c r="V3706">
        <v>-7.2657650000000004E-2</v>
      </c>
      <c r="W3706">
        <v>5.0491609999999999E-2</v>
      </c>
      <c r="X3706">
        <v>0.99607800000000002</v>
      </c>
      <c r="Y3706">
        <v>3.1798849999999999E-3</v>
      </c>
      <c r="Z3706">
        <v>-2.059459E-4</v>
      </c>
      <c r="AA3706">
        <v>0.99999490000000002</v>
      </c>
      <c r="AB3706">
        <v>36</v>
      </c>
      <c r="AC3706">
        <v>43.286000000000001</v>
      </c>
      <c r="AD3706">
        <v>-1.1044825111509999</v>
      </c>
      <c r="AE3706">
        <v>0.1447</v>
      </c>
      <c r="AF3706">
        <v>0.13873014574048401</v>
      </c>
      <c r="AG3706">
        <v>-1.1044825111509999</v>
      </c>
      <c r="AH3706">
        <v>43.257855995952802</v>
      </c>
      <c r="AI3706">
        <v>91.462580927854603</v>
      </c>
      <c r="AJ3706">
        <v>89.816250149059996</v>
      </c>
      <c r="AK3706">
        <v>43.272176199462898</v>
      </c>
    </row>
    <row r="3707" spans="1:37" x14ac:dyDescent="0.2">
      <c r="A3707" t="str">
        <f>"20200111155621770"</f>
        <v>20200111155621770</v>
      </c>
      <c r="B3707" t="str">
        <f>"1578729381766428"</f>
        <v>1578729381766428</v>
      </c>
      <c r="C3707" t="s">
        <v>37</v>
      </c>
      <c r="D3707">
        <v>4.9967559999999898</v>
      </c>
      <c r="E3707">
        <v>0.52955600000000003</v>
      </c>
      <c r="F3707" t="s">
        <v>59</v>
      </c>
      <c r="G3707">
        <v>-246.19829999999999</v>
      </c>
      <c r="H3707" s="1">
        <v>1.7557749999999999E-6</v>
      </c>
      <c r="I3707">
        <v>214.75069999999999</v>
      </c>
      <c r="J3707">
        <v>-288.61369999999999</v>
      </c>
      <c r="K3707">
        <v>1.104492</v>
      </c>
      <c r="L3707">
        <v>214.6207</v>
      </c>
      <c r="M3707">
        <v>0.99989799999999995</v>
      </c>
      <c r="N3707">
        <v>0</v>
      </c>
      <c r="O3707">
        <v>6.4207229999999997E-3</v>
      </c>
      <c r="P3707">
        <v>0.99617919999999904</v>
      </c>
      <c r="Q3707">
        <v>3.785616E-2</v>
      </c>
      <c r="R3707">
        <v>7.8702699999999903E-2</v>
      </c>
      <c r="S3707">
        <v>3.0138240000000001</v>
      </c>
      <c r="T3707">
        <v>-7.7800389999999997E-2</v>
      </c>
      <c r="U3707">
        <v>9.3231200000000007E-3</v>
      </c>
      <c r="V3707">
        <v>-7.2286749999999997E-2</v>
      </c>
      <c r="W3707">
        <v>5.0608300000000002E-2</v>
      </c>
      <c r="X3707">
        <v>0.99609910000000002</v>
      </c>
      <c r="Y3707">
        <v>3.3245950000000001E-3</v>
      </c>
      <c r="Z3707">
        <v>-2.0863619999999901E-4</v>
      </c>
      <c r="AA3707">
        <v>0.99999450000000001</v>
      </c>
      <c r="AB3707">
        <v>36</v>
      </c>
      <c r="AC3707">
        <v>42.415399999999998</v>
      </c>
      <c r="AD3707">
        <v>-1.104490244225</v>
      </c>
      <c r="AE3707">
        <v>0.12999999999999501</v>
      </c>
      <c r="AF3707">
        <v>0.14226591472467601</v>
      </c>
      <c r="AG3707">
        <v>-1.104490244225</v>
      </c>
      <c r="AH3707">
        <v>42.386619344405801</v>
      </c>
      <c r="AI3707">
        <v>91.492639829790704</v>
      </c>
      <c r="AJ3707">
        <v>89.807693890200099</v>
      </c>
      <c r="AK3707">
        <v>42.401245709738802</v>
      </c>
    </row>
    <row r="3708" spans="1:37" x14ac:dyDescent="0.2">
      <c r="A3708" t="str">
        <f>"20200111155621802"</f>
        <v>20200111155621802</v>
      </c>
      <c r="B3708" t="str">
        <f>"1578729381796684"</f>
        <v>1578729381796684</v>
      </c>
      <c r="C3708" t="s">
        <v>37</v>
      </c>
      <c r="D3708">
        <v>5.0958740000000002</v>
      </c>
      <c r="E3708">
        <v>0.52982929999999995</v>
      </c>
      <c r="F3708" t="s">
        <v>59</v>
      </c>
      <c r="G3708">
        <v>-247.52879999999999</v>
      </c>
      <c r="H3708" s="1">
        <v>2.4641039999999999E-6</v>
      </c>
      <c r="I3708">
        <v>214.74379999999999</v>
      </c>
      <c r="J3708">
        <v>-288.08409999999998</v>
      </c>
      <c r="K3708">
        <v>1.1044929999999999</v>
      </c>
      <c r="L3708">
        <v>214.62379999999999</v>
      </c>
      <c r="M3708">
        <v>0.99989879999999998</v>
      </c>
      <c r="N3708">
        <v>0</v>
      </c>
      <c r="O3708">
        <v>6.2360740000000003E-3</v>
      </c>
      <c r="P3708">
        <v>0.99622369999999905</v>
      </c>
      <c r="Q3708">
        <v>3.709026E-2</v>
      </c>
      <c r="R3708">
        <v>7.8503970000000006E-2</v>
      </c>
      <c r="S3708">
        <v>3.0138849999999899</v>
      </c>
      <c r="T3708">
        <v>-8.1022620000000004E-2</v>
      </c>
      <c r="U3708">
        <v>9.0332030000000001E-3</v>
      </c>
      <c r="V3708">
        <v>-7.2272359999999994E-2</v>
      </c>
      <c r="W3708">
        <v>4.9862030000000002E-2</v>
      </c>
      <c r="X3708">
        <v>0.99613779999999996</v>
      </c>
      <c r="Y3708">
        <v>3.23601099999999E-3</v>
      </c>
      <c r="Z3708">
        <v>-2.1111599999999999E-4</v>
      </c>
      <c r="AA3708">
        <v>0.99999479999999996</v>
      </c>
      <c r="AB3708">
        <v>36</v>
      </c>
      <c r="AC3708">
        <v>40.555299999999903</v>
      </c>
      <c r="AD3708">
        <v>-1.104490535896</v>
      </c>
      <c r="AE3708">
        <v>0.12000000000000401</v>
      </c>
      <c r="AF3708">
        <v>0.13283034383394399</v>
      </c>
      <c r="AG3708">
        <v>-1.104490535896</v>
      </c>
      <c r="AH3708">
        <v>40.525202370838699</v>
      </c>
      <c r="AI3708">
        <v>91.561167889852797</v>
      </c>
      <c r="AJ3708">
        <v>89.812201040510601</v>
      </c>
      <c r="AK3708">
        <v>40.5404683056518</v>
      </c>
    </row>
    <row r="3709" spans="1:37" x14ac:dyDescent="0.2">
      <c r="A3709" t="str">
        <f>"20200111155621824"</f>
        <v>20200111155621824</v>
      </c>
      <c r="B3709" t="str">
        <f>"1578729381816204"</f>
        <v>1578729381816204</v>
      </c>
      <c r="C3709" t="s">
        <v>37</v>
      </c>
      <c r="D3709">
        <v>5.0348030000000001</v>
      </c>
      <c r="E3709">
        <v>0.52969140000000003</v>
      </c>
      <c r="F3709" t="s">
        <v>59</v>
      </c>
      <c r="G3709">
        <v>-248.4136</v>
      </c>
      <c r="H3709" s="1">
        <v>2.9364360000000001E-6</v>
      </c>
      <c r="I3709">
        <v>214.70930000000001</v>
      </c>
      <c r="J3709">
        <v>-287.72620000000001</v>
      </c>
      <c r="K3709">
        <v>1.104498</v>
      </c>
      <c r="L3709">
        <v>214.6258</v>
      </c>
      <c r="M3709">
        <v>0.99989939999999999</v>
      </c>
      <c r="N3709">
        <v>0</v>
      </c>
      <c r="O3709">
        <v>6.110491E-3</v>
      </c>
      <c r="P3709">
        <v>0.99623589999999995</v>
      </c>
      <c r="Q3709">
        <v>3.7181430000000001E-2</v>
      </c>
      <c r="R3709">
        <v>7.8305940000000004E-2</v>
      </c>
      <c r="S3709">
        <v>3.0139770000000001</v>
      </c>
      <c r="T3709">
        <v>-8.3913920000000003E-2</v>
      </c>
      <c r="U3709">
        <v>6.5002439999999996E-3</v>
      </c>
      <c r="V3709">
        <v>-7.2199310000000003E-2</v>
      </c>
      <c r="W3709">
        <v>4.996395E-2</v>
      </c>
      <c r="X3709">
        <v>0.99613799999999997</v>
      </c>
      <c r="Y3709">
        <v>3.9504249999999996E-3</v>
      </c>
      <c r="Z3709">
        <v>-2.2508789999999999E-4</v>
      </c>
      <c r="AA3709">
        <v>0.999992199999999</v>
      </c>
      <c r="AB3709">
        <v>36</v>
      </c>
      <c r="AC3709">
        <v>39.312600000000003</v>
      </c>
      <c r="AD3709">
        <v>-1.1044950635640001</v>
      </c>
      <c r="AE3709">
        <v>8.3500000000015007E-2</v>
      </c>
      <c r="AF3709">
        <v>0.15661690681356899</v>
      </c>
      <c r="AG3709">
        <v>-1.1044950635640001</v>
      </c>
      <c r="AH3709">
        <v>39.281370001343703</v>
      </c>
      <c r="AI3709">
        <v>91.610578599795701</v>
      </c>
      <c r="AJ3709">
        <v>89.771559896926505</v>
      </c>
      <c r="AK3709">
        <v>39.297206864908297</v>
      </c>
    </row>
    <row r="3710" spans="1:37" x14ac:dyDescent="0.2">
      <c r="A3710" t="str">
        <f>"20200111155621847"</f>
        <v>20200111155621847</v>
      </c>
      <c r="B3710" t="str">
        <f>"1578729381836700"</f>
        <v>1578729381836700</v>
      </c>
      <c r="C3710" t="s">
        <v>37</v>
      </c>
      <c r="D3710">
        <v>5.08744</v>
      </c>
      <c r="E3710">
        <v>0.52976190000000001</v>
      </c>
      <c r="F3710" t="s">
        <v>59</v>
      </c>
      <c r="G3710">
        <v>-248.31010000000001</v>
      </c>
      <c r="H3710" s="1">
        <v>2.880984E-6</v>
      </c>
      <c r="I3710">
        <v>214.7184</v>
      </c>
      <c r="J3710">
        <v>-287.36739999999998</v>
      </c>
      <c r="K3710">
        <v>1.1045020000000001</v>
      </c>
      <c r="L3710">
        <v>214.62780000000001</v>
      </c>
      <c r="M3710">
        <v>0.99990000000000001</v>
      </c>
      <c r="N3710">
        <v>0</v>
      </c>
      <c r="O3710">
        <v>5.9848540000000004E-3</v>
      </c>
      <c r="P3710">
        <v>0.99620140000000001</v>
      </c>
      <c r="Q3710">
        <v>3.7045019999999998E-2</v>
      </c>
      <c r="R3710">
        <v>7.8805570000000005E-2</v>
      </c>
      <c r="S3710">
        <v>3.0138849999999899</v>
      </c>
      <c r="T3710">
        <v>-8.4453340000000002E-2</v>
      </c>
      <c r="U3710">
        <v>7.0800780000000001E-3</v>
      </c>
      <c r="V3710">
        <v>-7.2824390000000003E-2</v>
      </c>
      <c r="W3710">
        <v>4.9836320000000003E-2</v>
      </c>
      <c r="X3710">
        <v>0.99609890000000001</v>
      </c>
      <c r="Y3710">
        <v>3.6324500000000002E-3</v>
      </c>
      <c r="Z3710">
        <v>-2.1856689999999999E-4</v>
      </c>
      <c r="AA3710">
        <v>0.99999340000000003</v>
      </c>
      <c r="AB3710">
        <v>36</v>
      </c>
      <c r="AC3710">
        <v>39.057299999999898</v>
      </c>
      <c r="AD3710">
        <v>-1.1044991190160001</v>
      </c>
      <c r="AE3710">
        <v>9.0599999999994907E-2</v>
      </c>
      <c r="AF3710">
        <v>0.14305864790675399</v>
      </c>
      <c r="AG3710">
        <v>-1.1044991190160001</v>
      </c>
      <c r="AH3710">
        <v>39.025933849594502</v>
      </c>
      <c r="AI3710">
        <v>91.621122642211901</v>
      </c>
      <c r="AJ3710">
        <v>89.789969919353297</v>
      </c>
      <c r="AK3710">
        <v>39.041822407689601</v>
      </c>
    </row>
    <row r="3711" spans="1:37" x14ac:dyDescent="0.2">
      <c r="A3711" t="str">
        <f>"20200111155621869"</f>
        <v>20200111155621869</v>
      </c>
      <c r="B3711" t="str">
        <f>"1578729381865980"</f>
        <v>1578729381865980</v>
      </c>
      <c r="C3711" t="s">
        <v>37</v>
      </c>
      <c r="D3711">
        <v>5.1136980000000003</v>
      </c>
      <c r="E3711">
        <v>0.52971259999999998</v>
      </c>
      <c r="F3711" t="s">
        <v>59</v>
      </c>
      <c r="G3711">
        <v>-248.25470000000001</v>
      </c>
      <c r="H3711" s="1">
        <v>2.8509679999999999E-6</v>
      </c>
      <c r="I3711">
        <v>214.72980000000001</v>
      </c>
      <c r="J3711">
        <v>-287.00259999999997</v>
      </c>
      <c r="K3711">
        <v>1.1045020000000001</v>
      </c>
      <c r="L3711">
        <v>214.62979999999999</v>
      </c>
      <c r="M3711">
        <v>0.99990059999999903</v>
      </c>
      <c r="N3711">
        <v>0</v>
      </c>
      <c r="O3711">
        <v>5.85790599999999E-3</v>
      </c>
      <c r="P3711">
        <v>0.99618079999999998</v>
      </c>
      <c r="Q3711">
        <v>3.72095E-2</v>
      </c>
      <c r="R3711">
        <v>7.8990320000000003E-2</v>
      </c>
      <c r="S3711">
        <v>3.013916</v>
      </c>
      <c r="T3711">
        <v>-8.5109589999999999E-2</v>
      </c>
      <c r="U3711">
        <v>7.8582759999999904E-3</v>
      </c>
      <c r="V3711">
        <v>-7.3136279999999998E-2</v>
      </c>
      <c r="W3711">
        <v>5.0008240000000002E-2</v>
      </c>
      <c r="X3711">
        <v>0.99606740000000005</v>
      </c>
      <c r="Y3711">
        <v>3.2474609999999901E-3</v>
      </c>
      <c r="Z3711">
        <v>-2.1124309999999999E-4</v>
      </c>
      <c r="AA3711">
        <v>0.99999470000000001</v>
      </c>
      <c r="AB3711">
        <v>36</v>
      </c>
      <c r="AC3711">
        <v>38.747899999999902</v>
      </c>
      <c r="AD3711">
        <v>-1.104499149032</v>
      </c>
      <c r="AE3711">
        <v>0.100000000000022</v>
      </c>
      <c r="AF3711">
        <v>0.12689883341114699</v>
      </c>
      <c r="AG3711">
        <v>-1.104499149032</v>
      </c>
      <c r="AH3711">
        <v>38.716363268576799</v>
      </c>
      <c r="AI3711">
        <v>91.634080155047897</v>
      </c>
      <c r="AJ3711">
        <v>89.812204945679696</v>
      </c>
      <c r="AK3711">
        <v>38.732322502382097</v>
      </c>
    </row>
    <row r="3712" spans="1:37" x14ac:dyDescent="0.2">
      <c r="A3712" t="str">
        <f>"20200111155621892"</f>
        <v>20200111155621892</v>
      </c>
      <c r="B3712" t="str">
        <f>"1578729381886476"</f>
        <v>1578729381886476</v>
      </c>
      <c r="C3712" t="s">
        <v>37</v>
      </c>
      <c r="D3712">
        <v>5.0712630000000001</v>
      </c>
      <c r="E3712">
        <v>0.52966740000000001</v>
      </c>
      <c r="F3712" t="s">
        <v>59</v>
      </c>
      <c r="G3712">
        <v>-248.14240000000001</v>
      </c>
      <c r="H3712" s="1">
        <v>2.7905950000000001E-6</v>
      </c>
      <c r="I3712">
        <v>214.74449999999999</v>
      </c>
      <c r="J3712">
        <v>-286.64179999999999</v>
      </c>
      <c r="K3712">
        <v>1.104498</v>
      </c>
      <c r="L3712">
        <v>214.6318</v>
      </c>
      <c r="M3712">
        <v>0.99990129999999999</v>
      </c>
      <c r="N3712">
        <v>0</v>
      </c>
      <c r="O3712">
        <v>5.7329919999999897E-3</v>
      </c>
      <c r="P3712">
        <v>0.99614269999999905</v>
      </c>
      <c r="Q3712">
        <v>3.7011540000000002E-2</v>
      </c>
      <c r="R3712">
        <v>7.9561170000000001E-2</v>
      </c>
      <c r="S3712">
        <v>3.014008</v>
      </c>
      <c r="T3712">
        <v>-8.5665350000000001E-2</v>
      </c>
      <c r="U3712">
        <v>8.8958739999999998E-3</v>
      </c>
      <c r="V3712">
        <v>-7.3831830000000001E-2</v>
      </c>
      <c r="W3712">
        <v>4.981679E-2</v>
      </c>
      <c r="X3712">
        <v>0.99602570000000001</v>
      </c>
      <c r="Y3712">
        <v>2.778553E-3</v>
      </c>
      <c r="Z3712">
        <v>-2.0240309999999999E-4</v>
      </c>
      <c r="AA3712">
        <v>0.99999609999999906</v>
      </c>
      <c r="AB3712">
        <v>36</v>
      </c>
      <c r="AC3712">
        <v>38.499399999999902</v>
      </c>
      <c r="AD3712">
        <v>-1.104495209405</v>
      </c>
      <c r="AE3712">
        <v>0.112699999999989</v>
      </c>
      <c r="AF3712">
        <v>0.107947918879905</v>
      </c>
      <c r="AG3712">
        <v>-1.104495209405</v>
      </c>
      <c r="AH3712">
        <v>38.467753226942101</v>
      </c>
      <c r="AI3712">
        <v>91.644631628664797</v>
      </c>
      <c r="AJ3712">
        <v>89.839217437844795</v>
      </c>
      <c r="AK3712">
        <v>38.483757622530902</v>
      </c>
    </row>
    <row r="3713" spans="1:37" x14ac:dyDescent="0.2">
      <c r="A3713" t="str">
        <f>"20200111155621913"</f>
        <v>20200111155621913</v>
      </c>
      <c r="B3713" t="str">
        <f>"1578729381905996"</f>
        <v>1578729381905996</v>
      </c>
      <c r="C3713" t="s">
        <v>37</v>
      </c>
      <c r="D3713">
        <v>5.1125360000000004</v>
      </c>
      <c r="E3713">
        <v>0.52973139999999996</v>
      </c>
      <c r="F3713" t="s">
        <v>59</v>
      </c>
      <c r="G3713">
        <v>-248.5078</v>
      </c>
      <c r="H3713" s="1">
        <v>2.983909E-6</v>
      </c>
      <c r="I3713">
        <v>214.7706</v>
      </c>
      <c r="J3713">
        <v>-286.28879999999998</v>
      </c>
      <c r="K3713">
        <v>1.1044989999999999</v>
      </c>
      <c r="L3713">
        <v>214.6336</v>
      </c>
      <c r="M3713">
        <v>0.99990199999999996</v>
      </c>
      <c r="N3713">
        <v>0</v>
      </c>
      <c r="O3713">
        <v>5.6100589999999997E-3</v>
      </c>
      <c r="P3713">
        <v>0.99612000000000001</v>
      </c>
      <c r="Q3713">
        <v>3.6880879999999998E-2</v>
      </c>
      <c r="R3713">
        <v>7.9906519999999995E-2</v>
      </c>
      <c r="S3713">
        <v>3.0139770000000001</v>
      </c>
      <c r="T3713">
        <v>-8.7295529999999996E-2</v>
      </c>
      <c r="U3713">
        <v>1.0971069999999999E-2</v>
      </c>
      <c r="V3713">
        <v>-7.4299660000000003E-2</v>
      </c>
      <c r="W3713">
        <v>4.9691060000000002E-2</v>
      </c>
      <c r="X3713">
        <v>0.99599720000000003</v>
      </c>
      <c r="Y3713">
        <v>1.967323E-3</v>
      </c>
      <c r="Z3713">
        <v>-1.9094939999999999E-4</v>
      </c>
      <c r="AA3713">
        <v>0.99999799999999905</v>
      </c>
      <c r="AB3713">
        <v>36</v>
      </c>
      <c r="AC3713">
        <v>37.780999999999899</v>
      </c>
      <c r="AD3713">
        <v>-1.10449601609099</v>
      </c>
      <c r="AE3713">
        <v>0.13700000000000001</v>
      </c>
      <c r="AF3713">
        <v>7.4909213240037201E-2</v>
      </c>
      <c r="AG3713">
        <v>-1.10449601609099</v>
      </c>
      <c r="AH3713">
        <v>37.748912830062601</v>
      </c>
      <c r="AI3713">
        <v>91.675936645831399</v>
      </c>
      <c r="AJ3713">
        <v>89.886301993626205</v>
      </c>
      <c r="AK3713">
        <v>37.765141899527599</v>
      </c>
    </row>
    <row r="3714" spans="1:37" x14ac:dyDescent="0.2">
      <c r="A3714" t="str">
        <f>"20200111155621936"</f>
        <v>20200111155621936</v>
      </c>
      <c r="B3714" t="str">
        <f>"1578729381926492"</f>
        <v>1578729381926492</v>
      </c>
      <c r="C3714" t="s">
        <v>37</v>
      </c>
      <c r="D3714">
        <v>5.1543739999999998</v>
      </c>
      <c r="E3714">
        <v>0.52971950000000001</v>
      </c>
      <c r="F3714" t="s">
        <v>59</v>
      </c>
      <c r="G3714">
        <v>-248.42939999999999</v>
      </c>
      <c r="H3714" s="1">
        <v>2.9418700000000002E-6</v>
      </c>
      <c r="I3714">
        <v>214.7782</v>
      </c>
      <c r="J3714">
        <v>-285.92680000000001</v>
      </c>
      <c r="K3714">
        <v>1.1045</v>
      </c>
      <c r="L3714">
        <v>214.63550000000001</v>
      </c>
      <c r="M3714">
        <v>0.99990259999999997</v>
      </c>
      <c r="N3714">
        <v>0</v>
      </c>
      <c r="O3714">
        <v>5.4839729999999996E-3</v>
      </c>
      <c r="P3714">
        <v>0.99612489999999998</v>
      </c>
      <c r="Q3714">
        <v>3.6876039999999999E-2</v>
      </c>
      <c r="R3714">
        <v>7.9846780000000006E-2</v>
      </c>
      <c r="S3714">
        <v>3.014008</v>
      </c>
      <c r="T3714">
        <v>-8.7929729999999998E-2</v>
      </c>
      <c r="U3714">
        <v>1.1505130000000001E-2</v>
      </c>
      <c r="V3714">
        <v>-7.4365669999999995E-2</v>
      </c>
      <c r="W3714">
        <v>4.969105E-2</v>
      </c>
      <c r="X3714">
        <v>0.99599219999999899</v>
      </c>
      <c r="Y3714">
        <v>1.66421E-3</v>
      </c>
      <c r="Z3714">
        <v>-1.842356E-4</v>
      </c>
      <c r="AA3714">
        <v>0.99999859999999896</v>
      </c>
      <c r="AB3714">
        <v>36</v>
      </c>
      <c r="AC3714">
        <v>37.497399999999999</v>
      </c>
      <c r="AD3714">
        <v>-1.10449705813</v>
      </c>
      <c r="AE3714">
        <v>0.14269999999999</v>
      </c>
      <c r="AF3714">
        <v>6.2899241625775398E-2</v>
      </c>
      <c r="AG3714">
        <v>-1.10449705813</v>
      </c>
      <c r="AH3714">
        <v>37.465113876273797</v>
      </c>
      <c r="AI3714">
        <v>91.688627112086905</v>
      </c>
      <c r="AJ3714">
        <v>89.903807640738407</v>
      </c>
      <c r="AK3714">
        <v>37.481443779931702</v>
      </c>
    </row>
    <row r="3715" spans="1:37" x14ac:dyDescent="0.2">
      <c r="A3715" t="str">
        <f>"20200111155621958"</f>
        <v>20200111155621958</v>
      </c>
      <c r="B3715" t="str">
        <f>"1578729381956749"</f>
        <v>1578729381956749</v>
      </c>
      <c r="C3715" t="s">
        <v>37</v>
      </c>
      <c r="D3715">
        <v>5.1186769999999999</v>
      </c>
      <c r="E3715">
        <v>0.52961190000000002</v>
      </c>
      <c r="F3715" t="s">
        <v>59</v>
      </c>
      <c r="G3715">
        <v>-247.94589999999999</v>
      </c>
      <c r="H3715" s="1">
        <v>2.684458E-6</v>
      </c>
      <c r="I3715">
        <v>214.78030000000001</v>
      </c>
      <c r="J3715">
        <v>-285.56670000000003</v>
      </c>
      <c r="K3715">
        <v>1.1045049999999901</v>
      </c>
      <c r="L3715">
        <v>214.63730000000001</v>
      </c>
      <c r="M3715">
        <v>0.99990319999999899</v>
      </c>
      <c r="N3715">
        <v>0</v>
      </c>
      <c r="O3715">
        <v>5.3588430000000003E-3</v>
      </c>
      <c r="P3715">
        <v>0.99612639999999997</v>
      </c>
      <c r="Q3715">
        <v>3.7115820000000001E-2</v>
      </c>
      <c r="R3715">
        <v>7.971752E-2</v>
      </c>
      <c r="S3715">
        <v>3.0139770000000001</v>
      </c>
      <c r="T3715">
        <v>-8.7647439999999993E-2</v>
      </c>
      <c r="U3715">
        <v>1.1489869999999999E-2</v>
      </c>
      <c r="V3715">
        <v>-7.4360960000000004E-2</v>
      </c>
      <c r="W3715">
        <v>4.9934899999999997E-2</v>
      </c>
      <c r="X3715">
        <v>0.99598039999999999</v>
      </c>
      <c r="Y3715">
        <v>1.544215E-3</v>
      </c>
      <c r="Z3715">
        <v>-1.782636E-4</v>
      </c>
      <c r="AA3715">
        <v>0.99999879999999997</v>
      </c>
      <c r="AB3715">
        <v>36</v>
      </c>
      <c r="AC3715">
        <v>37.620800000000003</v>
      </c>
      <c r="AD3715">
        <v>-1.104502315542</v>
      </c>
      <c r="AE3715">
        <v>0.14299999999999999</v>
      </c>
      <c r="AF3715">
        <v>5.8572151020660101E-2</v>
      </c>
      <c r="AG3715">
        <v>-1.104502315542</v>
      </c>
      <c r="AH3715">
        <v>37.588627416478097</v>
      </c>
      <c r="AI3715">
        <v>91.683089936251804</v>
      </c>
      <c r="AJ3715">
        <v>89.910719423268404</v>
      </c>
      <c r="AK3715">
        <v>37.6048968502338</v>
      </c>
    </row>
    <row r="3716" spans="1:37" x14ac:dyDescent="0.2">
      <c r="A3716" t="str">
        <f>"20200111155621981"</f>
        <v>20200111155621981</v>
      </c>
      <c r="B3716" t="str">
        <f>"1578729381976268"</f>
        <v>1578729381976268</v>
      </c>
      <c r="C3716" t="s">
        <v>37</v>
      </c>
      <c r="D3716">
        <v>5.1008610000000001</v>
      </c>
      <c r="E3716">
        <v>0.52955730000000001</v>
      </c>
      <c r="F3716" t="s">
        <v>59</v>
      </c>
      <c r="G3716">
        <v>-247.60640000000001</v>
      </c>
      <c r="H3716" s="1">
        <v>2.503368E-6</v>
      </c>
      <c r="I3716">
        <v>214.7903</v>
      </c>
      <c r="J3716">
        <v>-285.20260000000002</v>
      </c>
      <c r="K3716">
        <v>1.104508</v>
      </c>
      <c r="L3716">
        <v>214.63910000000001</v>
      </c>
      <c r="M3716">
        <v>0.99990400000000002</v>
      </c>
      <c r="N3716">
        <v>0</v>
      </c>
      <c r="O3716">
        <v>5.2324140000000003E-3</v>
      </c>
      <c r="P3716">
        <v>0.99615599999999904</v>
      </c>
      <c r="Q3716">
        <v>3.700237E-2</v>
      </c>
      <c r="R3716">
        <v>7.9399810000000001E-2</v>
      </c>
      <c r="S3716">
        <v>3.014008</v>
      </c>
      <c r="T3716">
        <v>-8.769631E-2</v>
      </c>
      <c r="U3716">
        <v>1.21459999999999E-2</v>
      </c>
      <c r="V3716">
        <v>-7.4169490000000005E-2</v>
      </c>
      <c r="W3716">
        <v>4.982441E-2</v>
      </c>
      <c r="X3716">
        <v>0.9960002</v>
      </c>
      <c r="Y3716">
        <v>1.200319E-3</v>
      </c>
      <c r="Z3716">
        <v>-1.69680999999999E-4</v>
      </c>
      <c r="AA3716">
        <v>0.99999930000000004</v>
      </c>
      <c r="AB3716">
        <v>36</v>
      </c>
      <c r="AC3716">
        <v>37.596200000000003</v>
      </c>
      <c r="AD3716">
        <v>-1.104505496632</v>
      </c>
      <c r="AE3716">
        <v>0.15119999999998801</v>
      </c>
      <c r="AF3716">
        <v>4.5497879189931201E-2</v>
      </c>
      <c r="AG3716">
        <v>-1.104505496632</v>
      </c>
      <c r="AH3716">
        <v>37.564056437389603</v>
      </c>
      <c r="AI3716">
        <v>91.6841958830328</v>
      </c>
      <c r="AJ3716">
        <v>89.930602937306205</v>
      </c>
      <c r="AK3716">
        <v>37.5803184989229</v>
      </c>
    </row>
    <row r="3717" spans="1:37" x14ac:dyDescent="0.2">
      <c r="A3717" t="str">
        <f>"20200111155622003"</f>
        <v>20200111155622003</v>
      </c>
      <c r="B3717" t="str">
        <f>"1578729381996764"</f>
        <v>1578729381996764</v>
      </c>
      <c r="C3717" t="s">
        <v>37</v>
      </c>
      <c r="D3717">
        <v>5.071879</v>
      </c>
      <c r="E3717">
        <v>0.52947909999999998</v>
      </c>
      <c r="F3717" t="s">
        <v>59</v>
      </c>
      <c r="G3717">
        <v>-247.69479999999999</v>
      </c>
      <c r="H3717" s="1">
        <v>2.5508089999999998E-6</v>
      </c>
      <c r="I3717">
        <v>214.7809</v>
      </c>
      <c r="J3717">
        <v>-284.84379999999999</v>
      </c>
      <c r="K3717">
        <v>1.1045039999999999</v>
      </c>
      <c r="L3717">
        <v>214.64080000000001</v>
      </c>
      <c r="M3717">
        <v>0.99990460000000003</v>
      </c>
      <c r="N3717">
        <v>0</v>
      </c>
      <c r="O3717">
        <v>5.1095100000000003E-3</v>
      </c>
      <c r="P3717">
        <v>0.99613980000000002</v>
      </c>
      <c r="Q3717">
        <v>3.7180610000000003E-2</v>
      </c>
      <c r="R3717">
        <v>7.952062E-2</v>
      </c>
      <c r="S3717">
        <v>3.0139770000000001</v>
      </c>
      <c r="T3717">
        <v>-8.8753579999999999E-2</v>
      </c>
      <c r="U3717">
        <v>1.139832E-2</v>
      </c>
      <c r="V3717">
        <v>-7.4412469999999994E-2</v>
      </c>
      <c r="W3717">
        <v>5.0004430000000002E-2</v>
      </c>
      <c r="X3717">
        <v>0.99597309999999994</v>
      </c>
      <c r="Y3717">
        <v>1.325363E-3</v>
      </c>
      <c r="Z3717">
        <v>-1.699498E-4</v>
      </c>
      <c r="AA3717">
        <v>0.99999910000000003</v>
      </c>
      <c r="AB3717">
        <v>36</v>
      </c>
      <c r="AC3717">
        <v>37.149000000000001</v>
      </c>
      <c r="AD3717">
        <v>-1.1045014491909999</v>
      </c>
      <c r="AE3717">
        <v>0.14009999999998901</v>
      </c>
      <c r="AF3717">
        <v>4.9686726583008697E-2</v>
      </c>
      <c r="AG3717">
        <v>-1.1045014491909999</v>
      </c>
      <c r="AH3717">
        <v>37.1164214952775</v>
      </c>
      <c r="AI3717">
        <v>91.704489350021802</v>
      </c>
      <c r="AJ3717">
        <v>89.923299770942606</v>
      </c>
      <c r="AK3717">
        <v>37.132884843991903</v>
      </c>
    </row>
    <row r="3718" spans="1:37" x14ac:dyDescent="0.2">
      <c r="A3718" t="str">
        <f>"20200111155622026"</f>
        <v>20200111155622026</v>
      </c>
      <c r="B3718" t="str">
        <f>"1578729382016285"</f>
        <v>1578729382016285</v>
      </c>
      <c r="C3718" t="s">
        <v>37</v>
      </c>
      <c r="D3718">
        <v>5.0724169999999997</v>
      </c>
      <c r="E3718">
        <v>0.52937670000000003</v>
      </c>
      <c r="F3718" t="s">
        <v>59</v>
      </c>
      <c r="G3718">
        <v>-247.07299999999901</v>
      </c>
      <c r="H3718" s="1">
        <v>2.2192529999999998E-6</v>
      </c>
      <c r="I3718">
        <v>214.79570000000001</v>
      </c>
      <c r="J3718">
        <v>-284.49209999999999</v>
      </c>
      <c r="K3718">
        <v>1.1045100000000001</v>
      </c>
      <c r="L3718">
        <v>214.64240000000001</v>
      </c>
      <c r="M3718">
        <v>0.99990509999999999</v>
      </c>
      <c r="N3718">
        <v>0</v>
      </c>
      <c r="O3718">
        <v>4.994872E-3</v>
      </c>
      <c r="P3718">
        <v>0.996183499999999</v>
      </c>
      <c r="Q3718">
        <v>3.620955E-2</v>
      </c>
      <c r="R3718">
        <v>7.9419110000000001E-2</v>
      </c>
      <c r="S3718">
        <v>3.013916</v>
      </c>
      <c r="T3718">
        <v>-8.8133569999999994E-2</v>
      </c>
      <c r="U3718">
        <v>1.235962E-2</v>
      </c>
      <c r="V3718">
        <v>-7.4425539999999998E-2</v>
      </c>
      <c r="W3718">
        <v>4.903573E-2</v>
      </c>
      <c r="X3718">
        <v>0.99602029999999997</v>
      </c>
      <c r="Y3718">
        <v>8.9196019999999998E-4</v>
      </c>
      <c r="Z3718">
        <v>-1.5907909999999999E-4</v>
      </c>
      <c r="AA3718">
        <v>0.99999959999999899</v>
      </c>
      <c r="AB3718">
        <v>36</v>
      </c>
      <c r="AC3718">
        <v>37.4191</v>
      </c>
      <c r="AD3718">
        <v>-1.1045077807470001</v>
      </c>
      <c r="AE3718">
        <v>0.15330000000000099</v>
      </c>
      <c r="AF3718">
        <v>3.3591667420195002E-2</v>
      </c>
      <c r="AG3718">
        <v>-1.1045077807470001</v>
      </c>
      <c r="AH3718">
        <v>37.386825585247401</v>
      </c>
      <c r="AI3718">
        <v>91.6921791751342</v>
      </c>
      <c r="AJ3718">
        <v>89.948520361866997</v>
      </c>
      <c r="AK3718">
        <v>37.4031521823971</v>
      </c>
    </row>
    <row r="3719" spans="1:37" x14ac:dyDescent="0.2">
      <c r="A3719" t="str">
        <f>"20200111155622048"</f>
        <v>20200111155622048</v>
      </c>
      <c r="B3719" t="str">
        <f>"1578729382036780"</f>
        <v>1578729382036780</v>
      </c>
      <c r="C3719" t="s">
        <v>37</v>
      </c>
      <c r="D3719">
        <v>5.059151</v>
      </c>
      <c r="E3719">
        <v>0.52941590000000005</v>
      </c>
      <c r="F3719" t="s">
        <v>59</v>
      </c>
      <c r="G3719">
        <v>-247.84370000000001</v>
      </c>
      <c r="H3719" s="1">
        <v>2.6293759999999999E-6</v>
      </c>
      <c r="I3719">
        <v>214.79660000000001</v>
      </c>
      <c r="J3719">
        <v>-284.13510000000002</v>
      </c>
      <c r="K3719">
        <v>1.1045180000000001</v>
      </c>
      <c r="L3719">
        <v>214.64400000000001</v>
      </c>
      <c r="M3719">
        <v>0.99990559999999995</v>
      </c>
      <c r="N3719">
        <v>0</v>
      </c>
      <c r="O3719">
        <v>4.8873659999999998E-3</v>
      </c>
      <c r="P3719">
        <v>0.99626800000000004</v>
      </c>
      <c r="Q3719">
        <v>3.5197890000000003E-2</v>
      </c>
      <c r="R3719">
        <v>7.881349E-2</v>
      </c>
      <c r="S3719">
        <v>3.013763</v>
      </c>
      <c r="T3719">
        <v>-9.0828779999999998E-2</v>
      </c>
      <c r="U3719">
        <v>1.268005E-2</v>
      </c>
      <c r="V3719">
        <v>-7.3928579999999994E-2</v>
      </c>
      <c r="W3719">
        <v>4.8025079999999998E-2</v>
      </c>
      <c r="X3719">
        <v>0.99610650000000001</v>
      </c>
      <c r="Y3719">
        <v>6.7790399999999903E-4</v>
      </c>
      <c r="Z3719">
        <v>-1.574856E-4</v>
      </c>
      <c r="AA3719">
        <v>0.99999979999999999</v>
      </c>
      <c r="AB3719">
        <v>36</v>
      </c>
      <c r="AC3719">
        <v>36.291400000000003</v>
      </c>
      <c r="AD3719">
        <v>-1.1045153706240001</v>
      </c>
      <c r="AE3719">
        <v>0.15260000000000601</v>
      </c>
      <c r="AF3719">
        <v>2.4762867009642298E-2</v>
      </c>
      <c r="AG3719">
        <v>-1.1045153706240001</v>
      </c>
      <c r="AH3719">
        <v>36.258128259467</v>
      </c>
      <c r="AI3719">
        <v>91.744836072383094</v>
      </c>
      <c r="AJ3719">
        <v>89.960869255645207</v>
      </c>
      <c r="AK3719">
        <v>36.274955992853897</v>
      </c>
    </row>
    <row r="3720" spans="1:37" x14ac:dyDescent="0.2">
      <c r="A3720" t="str">
        <f>"20200111155622070"</f>
        <v>20200111155622070</v>
      </c>
      <c r="B3720" t="str">
        <f>"1578729382066061"</f>
        <v>1578729382066061</v>
      </c>
      <c r="C3720" t="s">
        <v>37</v>
      </c>
      <c r="D3720">
        <v>5.0087719999999996</v>
      </c>
      <c r="E3720">
        <v>0.52931649999999997</v>
      </c>
      <c r="F3720" t="s">
        <v>59</v>
      </c>
      <c r="G3720">
        <v>-248.92670000000001</v>
      </c>
      <c r="H3720" s="1">
        <v>3.2070479999999898E-6</v>
      </c>
      <c r="I3720">
        <v>214.76580000000001</v>
      </c>
      <c r="J3720">
        <v>-283.7647</v>
      </c>
      <c r="K3720">
        <v>1.104541</v>
      </c>
      <c r="L3720">
        <v>214.64570000000001</v>
      </c>
      <c r="M3720">
        <v>0.99990599999999996</v>
      </c>
      <c r="N3720">
        <v>0</v>
      </c>
      <c r="O3720">
        <v>4.7902459999999997E-3</v>
      </c>
      <c r="P3720">
        <v>0.99632379999999998</v>
      </c>
      <c r="Q3720">
        <v>3.4967400000000003E-2</v>
      </c>
      <c r="R3720">
        <v>7.8207239999999997E-2</v>
      </c>
      <c r="S3720">
        <v>3.013763</v>
      </c>
      <c r="T3720">
        <v>-9.4544169999999997E-2</v>
      </c>
      <c r="U3720">
        <v>1.042175E-2</v>
      </c>
      <c r="V3720">
        <v>-7.3420700000000005E-2</v>
      </c>
      <c r="W3720">
        <v>4.7793120000000001E-2</v>
      </c>
      <c r="X3720">
        <v>0.99615520000000002</v>
      </c>
      <c r="Y3720">
        <v>1.329609E-3</v>
      </c>
      <c r="Z3720">
        <v>-1.7109840000000001E-4</v>
      </c>
      <c r="AA3720">
        <v>0.99999910000000003</v>
      </c>
      <c r="AB3720">
        <v>36</v>
      </c>
      <c r="AC3720">
        <v>34.837999999999901</v>
      </c>
      <c r="AD3720">
        <v>-1.1045377929519999</v>
      </c>
      <c r="AE3720">
        <v>0.12010000000000701</v>
      </c>
      <c r="AF3720">
        <v>4.6750748030119499E-2</v>
      </c>
      <c r="AG3720">
        <v>-1.1045377929519999</v>
      </c>
      <c r="AH3720">
        <v>34.803191649608898</v>
      </c>
      <c r="AI3720">
        <v>91.817766109436704</v>
      </c>
      <c r="AJ3720">
        <v>89.923035250127299</v>
      </c>
      <c r="AK3720">
        <v>34.8207458043033</v>
      </c>
    </row>
    <row r="3721" spans="1:37" x14ac:dyDescent="0.2">
      <c r="A3721" t="str">
        <f>"20200111155622093"</f>
        <v>20200111155622093</v>
      </c>
      <c r="B3721" t="str">
        <f>"1578729382086555"</f>
        <v>1578729382086555</v>
      </c>
      <c r="C3721" t="s">
        <v>37</v>
      </c>
      <c r="D3721">
        <v>5.0079570000000002</v>
      </c>
      <c r="E3721">
        <v>0.52925999999999995</v>
      </c>
      <c r="F3721" t="s">
        <v>59</v>
      </c>
      <c r="G3721">
        <v>-249.02449999999999</v>
      </c>
      <c r="H3721" s="1">
        <v>3.2595610000000001E-6</v>
      </c>
      <c r="I3721">
        <v>214.75489999999999</v>
      </c>
      <c r="J3721">
        <v>-283.40219999999999</v>
      </c>
      <c r="K3721">
        <v>1.104562</v>
      </c>
      <c r="L3721">
        <v>214.6473</v>
      </c>
      <c r="M3721">
        <v>0.99990639999999997</v>
      </c>
      <c r="N3721">
        <v>0</v>
      </c>
      <c r="O3721">
        <v>4.7193069999999998E-3</v>
      </c>
      <c r="P3721">
        <v>0.99634149999999999</v>
      </c>
      <c r="Q3721">
        <v>3.4883690000000002E-2</v>
      </c>
      <c r="R3721">
        <v>7.8018889999999994E-2</v>
      </c>
      <c r="S3721">
        <v>3.0136720000000001</v>
      </c>
      <c r="T3721">
        <v>-9.5817330000000006E-2</v>
      </c>
      <c r="U3721">
        <v>9.4757079999999994E-3</v>
      </c>
      <c r="V3721">
        <v>-7.3305549999999997E-2</v>
      </c>
      <c r="W3721">
        <v>4.7706440000000003E-2</v>
      </c>
      <c r="X3721">
        <v>0.99616779999999905</v>
      </c>
      <c r="Y3721">
        <v>1.5723039999999901E-3</v>
      </c>
      <c r="Z3721">
        <v>-1.7500879999999999E-4</v>
      </c>
      <c r="AA3721">
        <v>0.99999869999999902</v>
      </c>
      <c r="AB3721">
        <v>36</v>
      </c>
      <c r="AC3721">
        <v>34.377699999999997</v>
      </c>
      <c r="AD3721">
        <v>-1.104558740439</v>
      </c>
      <c r="AE3721">
        <v>0.10759999999999</v>
      </c>
      <c r="AF3721">
        <v>5.4597136093622697E-2</v>
      </c>
      <c r="AG3721">
        <v>-1.104558740439</v>
      </c>
      <c r="AH3721">
        <v>34.342372187713998</v>
      </c>
      <c r="AI3721">
        <v>91.842175162195304</v>
      </c>
      <c r="AJ3721">
        <v>89.908911859112393</v>
      </c>
      <c r="AK3721">
        <v>34.360174014952598</v>
      </c>
    </row>
    <row r="3722" spans="1:37" x14ac:dyDescent="0.2">
      <c r="A3722" t="str">
        <f>"20200111155622115"</f>
        <v>20200111155622115</v>
      </c>
      <c r="B3722" t="str">
        <f>"1578729382106076"</f>
        <v>1578729382106076</v>
      </c>
      <c r="C3722" t="s">
        <v>37</v>
      </c>
      <c r="D3722">
        <v>5.0089300000000003</v>
      </c>
      <c r="E3722">
        <v>0.52927299999999999</v>
      </c>
      <c r="F3722" t="s">
        <v>59</v>
      </c>
      <c r="G3722">
        <v>-249.0488</v>
      </c>
      <c r="H3722" s="1">
        <v>3.2725259999999999E-6</v>
      </c>
      <c r="I3722">
        <v>214.75380000000001</v>
      </c>
      <c r="J3722">
        <v>-283.04259999999999</v>
      </c>
      <c r="K3722">
        <v>1.1045940000000001</v>
      </c>
      <c r="L3722">
        <v>214.6489</v>
      </c>
      <c r="M3722">
        <v>0.99990639999999997</v>
      </c>
      <c r="N3722">
        <v>0</v>
      </c>
      <c r="O3722">
        <v>4.6762640000000003E-3</v>
      </c>
      <c r="P3722">
        <v>0.99637260000000005</v>
      </c>
      <c r="Q3722">
        <v>3.5836760000000002E-2</v>
      </c>
      <c r="R3722">
        <v>7.7185379999999998E-2</v>
      </c>
      <c r="S3722">
        <v>3.0136720000000001</v>
      </c>
      <c r="T3722">
        <v>-9.6898200000000004E-2</v>
      </c>
      <c r="U3722">
        <v>9.3383790000000008E-3</v>
      </c>
      <c r="V3722">
        <v>-7.2517029999999996E-2</v>
      </c>
      <c r="W3722">
        <v>4.8656619999999998E-2</v>
      </c>
      <c r="X3722">
        <v>0.99617960000000005</v>
      </c>
      <c r="Y3722">
        <v>1.574775E-3</v>
      </c>
      <c r="Z3722">
        <v>-1.7563799999999999E-4</v>
      </c>
      <c r="AA3722">
        <v>0.99999869999999902</v>
      </c>
      <c r="AB3722">
        <v>36</v>
      </c>
      <c r="AC3722">
        <v>33.993799999999901</v>
      </c>
      <c r="AD3722">
        <v>-1.1045907274739999</v>
      </c>
      <c r="AE3722">
        <v>0.104900000000014</v>
      </c>
      <c r="AF3722">
        <v>5.4021234274755699E-2</v>
      </c>
      <c r="AG3722">
        <v>-1.1045907274739999</v>
      </c>
      <c r="AH3722">
        <v>33.958064463963602</v>
      </c>
      <c r="AI3722">
        <v>91.863062592741301</v>
      </c>
      <c r="AJ3722">
        <v>89.908852693288594</v>
      </c>
      <c r="AK3722">
        <v>33.976067769941899</v>
      </c>
    </row>
    <row r="3723" spans="1:37" x14ac:dyDescent="0.2">
      <c r="A3723" t="str">
        <f>"20200111155622137"</f>
        <v>20200111155622137</v>
      </c>
      <c r="B3723" t="str">
        <f>"1578729382126573"</f>
        <v>1578729382126573</v>
      </c>
      <c r="C3723" t="s">
        <v>37</v>
      </c>
      <c r="D3723">
        <v>4.9902870000000004</v>
      </c>
      <c r="E3723">
        <v>0.52929199999999998</v>
      </c>
      <c r="F3723" t="s">
        <v>59</v>
      </c>
      <c r="G3723">
        <v>-247.52359999999999</v>
      </c>
      <c r="H3723" s="1">
        <v>2.462151E-6</v>
      </c>
      <c r="I3723">
        <v>214.7252</v>
      </c>
      <c r="J3723">
        <v>-282.6977</v>
      </c>
      <c r="K3723">
        <v>1.1046309999999999</v>
      </c>
      <c r="L3723">
        <v>214.65049999999999</v>
      </c>
      <c r="M3723">
        <v>0.99990659999999898</v>
      </c>
      <c r="N3723">
        <v>0</v>
      </c>
      <c r="O3723">
        <v>4.666351E-3</v>
      </c>
      <c r="P3723">
        <v>0.99641179999999996</v>
      </c>
      <c r="Q3723">
        <v>3.745325E-2</v>
      </c>
      <c r="R3723">
        <v>7.5902720000000007E-2</v>
      </c>
      <c r="S3723">
        <v>3.0137939999999999</v>
      </c>
      <c r="T3723">
        <v>-9.3724849999999998E-2</v>
      </c>
      <c r="U3723">
        <v>6.4697269999999998E-3</v>
      </c>
      <c r="V3723">
        <v>-7.1246770000000001E-2</v>
      </c>
      <c r="W3723">
        <v>5.0269699999999903E-2</v>
      </c>
      <c r="X3723">
        <v>0.99619120000000005</v>
      </c>
      <c r="Y3723">
        <v>2.5165750000000001E-3</v>
      </c>
      <c r="Z3723">
        <v>-1.842147E-4</v>
      </c>
      <c r="AA3723">
        <v>0.99999680000000002</v>
      </c>
      <c r="AB3723">
        <v>36</v>
      </c>
      <c r="AC3723">
        <v>35.174100000000003</v>
      </c>
      <c r="AD3723">
        <v>-1.1046285378489999</v>
      </c>
      <c r="AE3723">
        <v>7.4700000000007094E-2</v>
      </c>
      <c r="AF3723">
        <v>8.9360922562335895E-2</v>
      </c>
      <c r="AG3723">
        <v>-1.1046285378489999</v>
      </c>
      <c r="AH3723">
        <v>35.139409537291698</v>
      </c>
      <c r="AI3723">
        <v>91.800528638276305</v>
      </c>
      <c r="AJ3723">
        <v>89.854294857353295</v>
      </c>
      <c r="AK3723">
        <v>35.156881150218901</v>
      </c>
    </row>
    <row r="3724" spans="1:37" x14ac:dyDescent="0.2">
      <c r="A3724" t="str">
        <f>"20200111155622160"</f>
        <v>20200111155622160</v>
      </c>
      <c r="B3724" t="str">
        <f>"1578729382156829"</f>
        <v>1578729382156829</v>
      </c>
      <c r="C3724" t="s">
        <v>37</v>
      </c>
      <c r="D3724">
        <v>4.776484</v>
      </c>
      <c r="E3724">
        <v>0.55814079999999999</v>
      </c>
      <c r="F3724" t="s">
        <v>59</v>
      </c>
      <c r="G3724">
        <v>-245.18049999999999</v>
      </c>
      <c r="H3724" s="1">
        <v>1.21707E-6</v>
      </c>
      <c r="I3724">
        <v>214.6832</v>
      </c>
      <c r="J3724">
        <v>-282.32990000000001</v>
      </c>
      <c r="K3724">
        <v>1.1046719999999901</v>
      </c>
      <c r="L3724">
        <v>214.6523</v>
      </c>
      <c r="M3724">
        <v>0.99990619999999997</v>
      </c>
      <c r="N3724">
        <v>0</v>
      </c>
      <c r="O3724">
        <v>4.7090600000000002E-3</v>
      </c>
      <c r="P3724">
        <v>0.99640329999999999</v>
      </c>
      <c r="Q3724">
        <v>3.8514260000000002E-2</v>
      </c>
      <c r="R3724">
        <v>7.5478699999999996E-2</v>
      </c>
      <c r="S3724">
        <v>3.0139469999999999</v>
      </c>
      <c r="T3724">
        <v>-8.8740349999999996E-2</v>
      </c>
      <c r="U3724">
        <v>2.6245119999999999E-3</v>
      </c>
      <c r="V3724">
        <v>-7.0784079999999999E-2</v>
      </c>
      <c r="W3724">
        <v>5.1325000000000003E-2</v>
      </c>
      <c r="X3724">
        <v>0.99617029999999995</v>
      </c>
      <c r="Y3724">
        <v>3.834966E-3</v>
      </c>
      <c r="Z3724">
        <v>-1.950756E-4</v>
      </c>
      <c r="AA3724">
        <v>0.99999259999999901</v>
      </c>
      <c r="AB3724">
        <v>36</v>
      </c>
      <c r="AC3724">
        <v>37.1494</v>
      </c>
      <c r="AD3724">
        <v>-1.10467078293</v>
      </c>
      <c r="AE3724">
        <v>3.0900000000002498E-2</v>
      </c>
      <c r="AF3724">
        <v>0.14392630390195099</v>
      </c>
      <c r="AG3724">
        <v>-1.10467078293</v>
      </c>
      <c r="AH3724">
        <v>37.116314452612002</v>
      </c>
      <c r="AI3724">
        <v>91.704744146106293</v>
      </c>
      <c r="AJ3724">
        <v>89.777824696122494</v>
      </c>
      <c r="AK3724">
        <v>37.133028571135803</v>
      </c>
    </row>
    <row r="3725" spans="1:37" x14ac:dyDescent="0.2">
      <c r="A3725" t="str">
        <f>"20200111155622182"</f>
        <v>20200111155622182</v>
      </c>
      <c r="B3725" t="str">
        <f>"1578729382176348"</f>
        <v>1578729382176348</v>
      </c>
      <c r="C3725" t="s">
        <v>37</v>
      </c>
      <c r="D3725">
        <v>4.8202530000000001</v>
      </c>
      <c r="E3725">
        <v>0.56085580000000002</v>
      </c>
      <c r="F3725" t="s">
        <v>59</v>
      </c>
      <c r="G3725">
        <v>-247.28460000000001</v>
      </c>
      <c r="H3725" s="1">
        <v>2.453412E-6</v>
      </c>
      <c r="I3725">
        <v>212.0154</v>
      </c>
      <c r="J3725">
        <v>-281.9742</v>
      </c>
      <c r="K3725">
        <v>1.1047119999999999</v>
      </c>
      <c r="L3725">
        <v>214.654</v>
      </c>
      <c r="M3725">
        <v>0.99990579999999996</v>
      </c>
      <c r="N3725">
        <v>0</v>
      </c>
      <c r="O3725">
        <v>4.8162459999999997E-3</v>
      </c>
      <c r="P3725">
        <v>0.996444</v>
      </c>
      <c r="Q3725">
        <v>3.8459739999999999E-2</v>
      </c>
      <c r="R3725">
        <v>7.4969519999999998E-2</v>
      </c>
      <c r="S3725">
        <v>3.0318299999999998</v>
      </c>
      <c r="T3725">
        <v>-9.5566869999999998E-2</v>
      </c>
      <c r="U3725">
        <v>-0.22811889999999899</v>
      </c>
      <c r="V3725">
        <v>-7.0173910000000006E-2</v>
      </c>
      <c r="W3725">
        <v>5.1262620000000002E-2</v>
      </c>
      <c r="X3725">
        <v>0.99621669999999996</v>
      </c>
      <c r="Y3725">
        <v>7.9789659999999998E-2</v>
      </c>
      <c r="Z3725">
        <v>-1.4070279999999901E-3</v>
      </c>
      <c r="AA3725">
        <v>0.99681070000000005</v>
      </c>
      <c r="AB3725">
        <v>36</v>
      </c>
      <c r="AC3725">
        <v>34.689599999999899</v>
      </c>
      <c r="AD3725">
        <v>-1.1047095465879999</v>
      </c>
      <c r="AE3725">
        <v>-2.6386000000000198</v>
      </c>
      <c r="AF3725">
        <v>2.8028307306353399</v>
      </c>
      <c r="AG3725">
        <v>-1.1047095465879999</v>
      </c>
      <c r="AH3725">
        <v>34.641559119819497</v>
      </c>
      <c r="AI3725">
        <v>91.820581911911603</v>
      </c>
      <c r="AJ3725">
        <v>85.374304188967997</v>
      </c>
      <c r="AK3725">
        <v>34.772314584146699</v>
      </c>
    </row>
    <row r="3726" spans="1:37" x14ac:dyDescent="0.2">
      <c r="A3726" t="str">
        <f>"20200111155622204"</f>
        <v>20200111155622204</v>
      </c>
      <c r="B3726" t="str">
        <f>"1578729382196844"</f>
        <v>1578729382196844</v>
      </c>
      <c r="C3726" t="s">
        <v>37</v>
      </c>
      <c r="D3726">
        <v>4.829777</v>
      </c>
      <c r="E3726">
        <v>0.56089549999999999</v>
      </c>
      <c r="F3726" t="s">
        <v>59</v>
      </c>
      <c r="G3726">
        <v>-248.14230000000001</v>
      </c>
      <c r="H3726" s="1">
        <v>2.9172370000000002E-6</v>
      </c>
      <c r="I3726">
        <v>211.8466</v>
      </c>
      <c r="J3726">
        <v>-281.61720000000003</v>
      </c>
      <c r="K3726">
        <v>1.1047480000000001</v>
      </c>
      <c r="L3726">
        <v>214.6559</v>
      </c>
      <c r="M3726">
        <v>0.99990499999999904</v>
      </c>
      <c r="N3726">
        <v>0</v>
      </c>
      <c r="O3726">
        <v>4.9814100000000004E-3</v>
      </c>
      <c r="P3726">
        <v>0.99681059999999999</v>
      </c>
      <c r="Q3726">
        <v>3.1815799999999998E-2</v>
      </c>
      <c r="R3726">
        <v>7.3190130000000006E-2</v>
      </c>
      <c r="S3726">
        <v>3.0335079999999999</v>
      </c>
      <c r="T3726">
        <v>-9.9052790000000002E-2</v>
      </c>
      <c r="U3726">
        <v>-0.25172420000000001</v>
      </c>
      <c r="V3726">
        <v>-6.823369E-2</v>
      </c>
      <c r="W3726">
        <v>4.4616500000000003E-2</v>
      </c>
      <c r="X3726">
        <v>0.99667119999999998</v>
      </c>
      <c r="Y3726">
        <v>8.7611709999999995E-2</v>
      </c>
      <c r="Z3726">
        <v>-1.589912E-3</v>
      </c>
      <c r="AA3726">
        <v>0.99615339999999997</v>
      </c>
      <c r="AB3726">
        <v>36</v>
      </c>
      <c r="AC3726">
        <v>33.474899999999998</v>
      </c>
      <c r="AD3726">
        <v>-1.1047450827630001</v>
      </c>
      <c r="AE3726">
        <v>-2.8092999999999999</v>
      </c>
      <c r="AF3726">
        <v>2.97281593135058</v>
      </c>
      <c r="AG3726">
        <v>-1.1047450827630001</v>
      </c>
      <c r="AH3726">
        <v>33.424339824872597</v>
      </c>
      <c r="AI3726">
        <v>91.885619362689894</v>
      </c>
      <c r="AJ3726">
        <v>84.917392867876302</v>
      </c>
      <c r="AK3726">
        <v>33.574463346241998</v>
      </c>
    </row>
    <row r="3727" spans="1:37" x14ac:dyDescent="0.2">
      <c r="A3727" t="str">
        <f>"20200111155622227"</f>
        <v>20200111155622227</v>
      </c>
      <c r="B3727" t="str">
        <f>"1578729382215988"</f>
        <v>1578729382215988</v>
      </c>
      <c r="C3727" t="s">
        <v>37</v>
      </c>
      <c r="D3727">
        <v>4.8138110000000003</v>
      </c>
      <c r="E3727">
        <v>0.56187419999999899</v>
      </c>
      <c r="F3727" t="s">
        <v>59</v>
      </c>
      <c r="G3727">
        <v>-251.21950000000001</v>
      </c>
      <c r="H3727" s="1">
        <v>-7.7638459999999897E-7</v>
      </c>
      <c r="I3727">
        <v>212.06700000000001</v>
      </c>
      <c r="J3727">
        <v>-281.26049999999998</v>
      </c>
      <c r="K3727">
        <v>1.104784</v>
      </c>
      <c r="L3727">
        <v>214.65790000000001</v>
      </c>
      <c r="M3727">
        <v>0.99990369999999995</v>
      </c>
      <c r="N3727">
        <v>0</v>
      </c>
      <c r="O3727">
        <v>5.2176619999999996E-3</v>
      </c>
      <c r="P3727">
        <v>0.99702930000000001</v>
      </c>
      <c r="Q3727">
        <v>2.6644540000000001E-2</v>
      </c>
      <c r="R3727">
        <v>7.2268529999999997E-2</v>
      </c>
      <c r="S3727">
        <v>3.0320429999999998</v>
      </c>
      <c r="T3727">
        <v>-0.1101943</v>
      </c>
      <c r="U3727">
        <v>-0.25822449999999902</v>
      </c>
      <c r="V3727">
        <v>-6.7079600000000003E-2</v>
      </c>
      <c r="W3727">
        <v>3.9447870000000003E-2</v>
      </c>
      <c r="X3727">
        <v>0.99696749999999901</v>
      </c>
      <c r="Y3727">
        <v>8.9993690000000001E-2</v>
      </c>
      <c r="Z3727">
        <v>-1.8210889999999999E-3</v>
      </c>
      <c r="AA3727">
        <v>0.99594069999999901</v>
      </c>
      <c r="AB3727">
        <v>36</v>
      </c>
      <c r="AC3727">
        <v>30.040999999999901</v>
      </c>
      <c r="AD3727">
        <v>-1.1047847763845999</v>
      </c>
      <c r="AE3727">
        <v>-2.5909</v>
      </c>
      <c r="AF3727">
        <v>2.7439377881509701</v>
      </c>
      <c r="AG3727">
        <v>-1.1047847763845999</v>
      </c>
      <c r="AH3727">
        <v>29.986814724631099</v>
      </c>
      <c r="AI3727">
        <v>92.101186453749307</v>
      </c>
      <c r="AJ3727">
        <v>84.771720488674106</v>
      </c>
      <c r="AK3727">
        <v>30.1323547257218</v>
      </c>
    </row>
    <row r="3728" spans="1:37" x14ac:dyDescent="0.2">
      <c r="A3728" t="str">
        <f>"20200111155622249"</f>
        <v>20200111155622249</v>
      </c>
      <c r="B3728" t="str">
        <f>"1578729382236484"</f>
        <v>1578729382236484</v>
      </c>
      <c r="C3728" t="s">
        <v>37</v>
      </c>
      <c r="D3728">
        <v>4.7759619999999998</v>
      </c>
      <c r="E3728">
        <v>0.56268609999999997</v>
      </c>
      <c r="F3728" t="s">
        <v>59</v>
      </c>
      <c r="G3728">
        <v>-255.15260000000001</v>
      </c>
      <c r="H3728" s="1">
        <v>1.304394E-6</v>
      </c>
      <c r="I3728">
        <v>212.34610000000001</v>
      </c>
      <c r="J3728">
        <v>-280.9015</v>
      </c>
      <c r="K3728">
        <v>1.1048530000000001</v>
      </c>
      <c r="L3728">
        <v>214.6601</v>
      </c>
      <c r="M3728">
        <v>0.9999017</v>
      </c>
      <c r="N3728">
        <v>0</v>
      </c>
      <c r="O3728">
        <v>5.5444309999999998E-3</v>
      </c>
      <c r="P3728">
        <v>0.99699319999999902</v>
      </c>
      <c r="Q3728">
        <v>2.7655180000000001E-2</v>
      </c>
      <c r="R3728">
        <v>7.2383929999999999E-2</v>
      </c>
      <c r="S3728">
        <v>3.0318299999999998</v>
      </c>
      <c r="T3728">
        <v>-0.12829489999999999</v>
      </c>
      <c r="U3728">
        <v>-0.26846310000000001</v>
      </c>
      <c r="V3728">
        <v>-6.6876720000000001E-2</v>
      </c>
      <c r="W3728">
        <v>4.0467959999999997E-2</v>
      </c>
      <c r="X3728">
        <v>0.9969403</v>
      </c>
      <c r="Y3728">
        <v>9.3636949999999997E-2</v>
      </c>
      <c r="Z3728">
        <v>-2.2105129999999999E-3</v>
      </c>
      <c r="AA3728">
        <v>0.99560400000000004</v>
      </c>
      <c r="AB3728">
        <v>36</v>
      </c>
      <c r="AC3728">
        <v>25.7488999999999</v>
      </c>
      <c r="AD3728">
        <v>-1.1048516956059999</v>
      </c>
      <c r="AE3728">
        <v>-2.3139999999999898</v>
      </c>
      <c r="AF3728">
        <v>2.4522604440343398</v>
      </c>
      <c r="AG3728">
        <v>-1.1048516956059999</v>
      </c>
      <c r="AH3728">
        <v>25.688755197564099</v>
      </c>
      <c r="AI3728">
        <v>92.451594099662699</v>
      </c>
      <c r="AJ3728">
        <v>84.547042069839804</v>
      </c>
      <c r="AK3728">
        <v>25.829177728976099</v>
      </c>
    </row>
    <row r="3729" spans="1:37" x14ac:dyDescent="0.2">
      <c r="A3729" t="str">
        <f>"20200111155622272"</f>
        <v>20200111155622272</v>
      </c>
      <c r="B3729" t="str">
        <f>"1578729382266740"</f>
        <v>1578729382266740</v>
      </c>
      <c r="C3729" t="s">
        <v>37</v>
      </c>
      <c r="D3729">
        <v>4.721857</v>
      </c>
      <c r="E3729">
        <v>0.56415579999999999</v>
      </c>
      <c r="F3729" t="s">
        <v>59</v>
      </c>
      <c r="G3729">
        <v>-253.97559999999999</v>
      </c>
      <c r="H3729" s="1">
        <v>6.8350179999999996E-7</v>
      </c>
      <c r="I3729">
        <v>212.2217</v>
      </c>
      <c r="J3729">
        <v>-280.54149999999998</v>
      </c>
      <c r="K3729">
        <v>1.1049389999999999</v>
      </c>
      <c r="L3729">
        <v>214.66249999999999</v>
      </c>
      <c r="M3729">
        <v>0.99989889999999904</v>
      </c>
      <c r="N3729">
        <v>0</v>
      </c>
      <c r="O3729">
        <v>5.9692030000000002E-3</v>
      </c>
      <c r="P3729">
        <v>0.9970639</v>
      </c>
      <c r="Q3729">
        <v>2.71656999999999E-2</v>
      </c>
      <c r="R3729">
        <v>7.1595329999999999E-2</v>
      </c>
      <c r="S3729">
        <v>3.0324399999999998</v>
      </c>
      <c r="T3729">
        <v>-0.12443019999999901</v>
      </c>
      <c r="U3729">
        <v>-0.27461239999999998</v>
      </c>
      <c r="V3729">
        <v>-6.567141E-2</v>
      </c>
      <c r="W3729">
        <v>3.9994839999999997E-2</v>
      </c>
      <c r="X3729">
        <v>0.99703940000000002</v>
      </c>
      <c r="Y3729">
        <v>9.6047770000000005E-2</v>
      </c>
      <c r="Z3729">
        <v>-2.2100890000000002E-3</v>
      </c>
      <c r="AA3729">
        <v>0.99537430000000005</v>
      </c>
      <c r="AB3729">
        <v>36</v>
      </c>
      <c r="AC3729">
        <v>26.565899999999999</v>
      </c>
      <c r="AD3729">
        <v>-1.1049383164981901</v>
      </c>
      <c r="AE3729">
        <v>-2.4407999999999901</v>
      </c>
      <c r="AF3729">
        <v>2.5948955698377199</v>
      </c>
      <c r="AG3729">
        <v>-1.1049383164981901</v>
      </c>
      <c r="AH3729">
        <v>26.505387298059699</v>
      </c>
      <c r="AI3729">
        <v>92.375779674106298</v>
      </c>
      <c r="AJ3729">
        <v>84.408522435089196</v>
      </c>
      <c r="AK3729">
        <v>26.655016929684599</v>
      </c>
    </row>
    <row r="3730" spans="1:37" x14ac:dyDescent="0.2">
      <c r="A3730" t="str">
        <f>"20200111155622294"</f>
        <v>20200111155622294</v>
      </c>
      <c r="B3730" t="str">
        <f>"1578729382286260"</f>
        <v>1578729382286260</v>
      </c>
      <c r="C3730" t="s">
        <v>37</v>
      </c>
      <c r="D3730">
        <v>4.8172920000000001</v>
      </c>
      <c r="E3730">
        <v>0.56469179999999997</v>
      </c>
      <c r="F3730" t="s">
        <v>59</v>
      </c>
      <c r="G3730">
        <v>-252.40700000000001</v>
      </c>
      <c r="H3730" s="1">
        <v>-1.4077179999999899E-7</v>
      </c>
      <c r="I3730">
        <v>211.9828</v>
      </c>
      <c r="J3730">
        <v>-280.18579999999997</v>
      </c>
      <c r="K3730">
        <v>1.105032</v>
      </c>
      <c r="L3730">
        <v>214.6651</v>
      </c>
      <c r="M3730">
        <v>0.99989530000000004</v>
      </c>
      <c r="N3730">
        <v>0</v>
      </c>
      <c r="O3730">
        <v>6.4816140000000001E-3</v>
      </c>
      <c r="P3730">
        <v>0.99707139999999905</v>
      </c>
      <c r="Q3730">
        <v>2.6763439999999999E-2</v>
      </c>
      <c r="R3730">
        <v>7.1640780000000001E-2</v>
      </c>
      <c r="S3730">
        <v>3.0327449999999998</v>
      </c>
      <c r="T3730">
        <v>-0.119106399999999</v>
      </c>
      <c r="U3730">
        <v>-0.28884890000000002</v>
      </c>
      <c r="V3730">
        <v>-6.5213149999999998E-2</v>
      </c>
      <c r="W3730">
        <v>3.9607959999999998E-2</v>
      </c>
      <c r="X3730">
        <v>0.997085</v>
      </c>
      <c r="Y3730">
        <v>0.101183</v>
      </c>
      <c r="Z3730">
        <v>-2.2355819999999998E-3</v>
      </c>
      <c r="AA3730">
        <v>0.99486529999999995</v>
      </c>
      <c r="AB3730">
        <v>36</v>
      </c>
      <c r="AC3730">
        <v>27.778799999999901</v>
      </c>
      <c r="AD3730">
        <v>-1.1050321407718</v>
      </c>
      <c r="AE3730">
        <v>-2.6822999999999899</v>
      </c>
      <c r="AF3730">
        <v>2.8578296524721201</v>
      </c>
      <c r="AG3730">
        <v>-1.1050321407718</v>
      </c>
      <c r="AH3730">
        <v>27.717373823772299</v>
      </c>
      <c r="AI3730">
        <v>92.271023689581696</v>
      </c>
      <c r="AJ3730">
        <v>84.113258572457298</v>
      </c>
      <c r="AK3730">
        <v>27.8862169905032</v>
      </c>
    </row>
    <row r="3731" spans="1:37" x14ac:dyDescent="0.2">
      <c r="A3731" t="str">
        <f>"20200111155622316"</f>
        <v>20200111155622316</v>
      </c>
      <c r="B3731" t="str">
        <f>"1578729382306757"</f>
        <v>1578729382306757</v>
      </c>
      <c r="C3731" t="s">
        <v>37</v>
      </c>
      <c r="D3731">
        <v>4.7724029999999997</v>
      </c>
      <c r="E3731">
        <v>0.56506749999999994</v>
      </c>
      <c r="F3731" t="s">
        <v>59</v>
      </c>
      <c r="G3731">
        <v>-251.6155</v>
      </c>
      <c r="H3731" s="1">
        <v>-5.5850219999999997E-7</v>
      </c>
      <c r="I3731">
        <v>211.90369999999999</v>
      </c>
      <c r="J3731">
        <v>-279.827</v>
      </c>
      <c r="K3731">
        <v>1.1051150000000001</v>
      </c>
      <c r="L3731">
        <v>214.66800000000001</v>
      </c>
      <c r="M3731">
        <v>0.99989099999999997</v>
      </c>
      <c r="N3731">
        <v>0</v>
      </c>
      <c r="O3731">
        <v>7.0762569999999999E-3</v>
      </c>
      <c r="P3731">
        <v>0.99701450000000003</v>
      </c>
      <c r="Q3731">
        <v>2.6951139999999998E-2</v>
      </c>
      <c r="R3731">
        <v>7.2359809999999997E-2</v>
      </c>
      <c r="S3731">
        <v>3.0329899999999999</v>
      </c>
      <c r="T3731">
        <v>-0.11730930000000001</v>
      </c>
      <c r="U3731">
        <v>-0.29315190000000002</v>
      </c>
      <c r="V3731">
        <v>-6.5346710000000002E-2</v>
      </c>
      <c r="W3731">
        <v>3.9809499999999998E-2</v>
      </c>
      <c r="X3731">
        <v>0.99706819999999896</v>
      </c>
      <c r="Y3731">
        <v>0.10316599999999999</v>
      </c>
      <c r="Z3731">
        <v>-2.2627400000000001E-3</v>
      </c>
      <c r="AA3731">
        <v>0.99466160000000003</v>
      </c>
      <c r="AB3731">
        <v>36</v>
      </c>
      <c r="AC3731">
        <v>28.211500000000001</v>
      </c>
      <c r="AD3731">
        <v>-1.1051155585021999</v>
      </c>
      <c r="AE3731">
        <v>-2.76430000000002</v>
      </c>
      <c r="AF3731">
        <v>2.9593814200935</v>
      </c>
      <c r="AG3731">
        <v>-1.1051155585021999</v>
      </c>
      <c r="AH3731">
        <v>28.148448357609801</v>
      </c>
      <c r="AI3731">
        <v>92.2359819005015</v>
      </c>
      <c r="AJ3731">
        <v>83.998268047009006</v>
      </c>
      <c r="AK3731">
        <v>28.325154257801699</v>
      </c>
    </row>
    <row r="3732" spans="1:37" x14ac:dyDescent="0.2">
      <c r="A3732" t="str">
        <f>"20200111155622338"</f>
        <v>20200111155622338</v>
      </c>
      <c r="B3732" t="str">
        <f>"1578729382326276"</f>
        <v>1578729382326276</v>
      </c>
      <c r="C3732" t="s">
        <v>37</v>
      </c>
      <c r="D3732">
        <v>4.7831400000000004</v>
      </c>
      <c r="E3732">
        <v>0.56518380000000001</v>
      </c>
      <c r="F3732" t="s">
        <v>59</v>
      </c>
      <c r="G3732">
        <v>-249.83949999999999</v>
      </c>
      <c r="H3732" s="1">
        <v>3.8243729999999996E-6</v>
      </c>
      <c r="I3732">
        <v>211.75530000000001</v>
      </c>
      <c r="J3732">
        <v>-279.47910000000002</v>
      </c>
      <c r="K3732">
        <v>1.1051789999999999</v>
      </c>
      <c r="L3732">
        <v>214.6711</v>
      </c>
      <c r="M3732">
        <v>0.99988600000000005</v>
      </c>
      <c r="N3732">
        <v>0</v>
      </c>
      <c r="O3732">
        <v>7.7103240000000002E-3</v>
      </c>
      <c r="P3732">
        <v>0.99688639999999995</v>
      </c>
      <c r="Q3732">
        <v>2.7530530000000001E-2</v>
      </c>
      <c r="R3732">
        <v>7.388952E-2</v>
      </c>
      <c r="S3732">
        <v>3.0333860000000001</v>
      </c>
      <c r="T3732">
        <v>-0.1117876</v>
      </c>
      <c r="U3732">
        <v>-0.29463200000000001</v>
      </c>
      <c r="V3732">
        <v>-6.6251299999999999E-2</v>
      </c>
      <c r="W3732">
        <v>4.04003E-2</v>
      </c>
      <c r="X3732">
        <v>0.99698469999999995</v>
      </c>
      <c r="Y3732">
        <v>0.1042714</v>
      </c>
      <c r="Z3732">
        <v>-2.1995999999999999E-3</v>
      </c>
      <c r="AA3732">
        <v>0.9945465</v>
      </c>
      <c r="AB3732">
        <v>36</v>
      </c>
      <c r="AC3732">
        <v>29.639600000000002</v>
      </c>
      <c r="AD3732">
        <v>-1.1051751756270001</v>
      </c>
      <c r="AE3732">
        <v>-2.9157999999999902</v>
      </c>
      <c r="AF3732">
        <v>3.1399397871998902</v>
      </c>
      <c r="AG3732">
        <v>-1.1051751756270001</v>
      </c>
      <c r="AH3732">
        <v>29.575509598500599</v>
      </c>
      <c r="AI3732">
        <v>92.128079663881707</v>
      </c>
      <c r="AJ3732">
        <v>83.939786457872202</v>
      </c>
      <c r="AK3732">
        <v>29.762247933364598</v>
      </c>
    </row>
    <row r="3733" spans="1:37" x14ac:dyDescent="0.2">
      <c r="A3733" t="str">
        <f>"20200111155622361"</f>
        <v>20200111155622361</v>
      </c>
      <c r="B3733" t="str">
        <f>"1578729382356533"</f>
        <v>1578729382356533</v>
      </c>
      <c r="C3733" t="s">
        <v>37</v>
      </c>
      <c r="D3733">
        <v>4.8217169999999996</v>
      </c>
      <c r="E3733">
        <v>0.56582049999999995</v>
      </c>
      <c r="F3733" t="s">
        <v>59</v>
      </c>
      <c r="G3733">
        <v>-248.4308</v>
      </c>
      <c r="H3733" s="1">
        <v>3.0776419999999999E-6</v>
      </c>
      <c r="I3733">
        <v>211.68889999999999</v>
      </c>
      <c r="J3733">
        <v>-279.11219999999997</v>
      </c>
      <c r="K3733">
        <v>1.1052169999999999</v>
      </c>
      <c r="L3733">
        <v>214.6747</v>
      </c>
      <c r="M3733">
        <v>0.99987999999999899</v>
      </c>
      <c r="N3733">
        <v>0</v>
      </c>
      <c r="O3733">
        <v>8.4171869999999996E-3</v>
      </c>
      <c r="P3733">
        <v>0.99677939999999998</v>
      </c>
      <c r="Q3733">
        <v>2.6658310000000001E-2</v>
      </c>
      <c r="R3733">
        <v>7.5632169999999999E-2</v>
      </c>
      <c r="S3733">
        <v>3.0339659999999999</v>
      </c>
      <c r="T3733">
        <v>-0.10799539999999901</v>
      </c>
      <c r="U3733">
        <v>-0.29141240000000002</v>
      </c>
      <c r="V3733">
        <v>-6.7292790000000005E-2</v>
      </c>
      <c r="W3733">
        <v>3.9536010000000003E-2</v>
      </c>
      <c r="X3733">
        <v>0.99694959999999899</v>
      </c>
      <c r="Y3733">
        <v>0.1039154</v>
      </c>
      <c r="Z3733">
        <v>-2.1435159999999998E-3</v>
      </c>
      <c r="AA3733">
        <v>0.99458380000000002</v>
      </c>
      <c r="AB3733">
        <v>36</v>
      </c>
      <c r="AC3733">
        <v>30.681399999999901</v>
      </c>
      <c r="AD3733">
        <v>-1.105213922358</v>
      </c>
      <c r="AE3733">
        <v>-2.98580000000001</v>
      </c>
      <c r="AF3733">
        <v>3.2398025912035</v>
      </c>
      <c r="AG3733">
        <v>-1.105213922358</v>
      </c>
      <c r="AH3733">
        <v>30.615824234118399</v>
      </c>
      <c r="AI3733">
        <v>92.0559778743728</v>
      </c>
      <c r="AJ3733">
        <v>83.959374056187201</v>
      </c>
      <c r="AK3733">
        <v>30.8065985168531</v>
      </c>
    </row>
    <row r="3734" spans="1:37" x14ac:dyDescent="0.2">
      <c r="A3734" t="str">
        <f>"20200111155622383"</f>
        <v>20200111155622383</v>
      </c>
      <c r="B3734" t="str">
        <f>"1578729382376052"</f>
        <v>1578729382376052</v>
      </c>
      <c r="C3734" t="s">
        <v>37</v>
      </c>
      <c r="D3734">
        <v>4.8321949999999996</v>
      </c>
      <c r="E3734">
        <v>0.56634739999999995</v>
      </c>
      <c r="F3734" t="s">
        <v>59</v>
      </c>
      <c r="G3734">
        <v>-247.35140000000001</v>
      </c>
      <c r="H3734" s="1">
        <v>2.5059250000000001E-6</v>
      </c>
      <c r="I3734">
        <v>211.62729999999999</v>
      </c>
      <c r="J3734">
        <v>-278.75619999999998</v>
      </c>
      <c r="K3734">
        <v>1.105221</v>
      </c>
      <c r="L3734">
        <v>214.67840000000001</v>
      </c>
      <c r="M3734">
        <v>0.99987389999999998</v>
      </c>
      <c r="N3734">
        <v>0</v>
      </c>
      <c r="O3734">
        <v>9.1118290000000001E-3</v>
      </c>
      <c r="P3734">
        <v>0.99668659999999998</v>
      </c>
      <c r="Q3734">
        <v>2.236701E-2</v>
      </c>
      <c r="R3734">
        <v>7.8203880000000003E-2</v>
      </c>
      <c r="S3734">
        <v>3.034637</v>
      </c>
      <c r="T3734">
        <v>-0.1055994</v>
      </c>
      <c r="U3734">
        <v>-0.29116819999999999</v>
      </c>
      <c r="V3734">
        <v>-6.9168250000000001E-2</v>
      </c>
      <c r="W3734">
        <v>3.5244150000000002E-2</v>
      </c>
      <c r="X3734">
        <v>0.99698229999999999</v>
      </c>
      <c r="Y3734">
        <v>0.1045085</v>
      </c>
      <c r="Z3734">
        <v>-2.1299439999999999E-3</v>
      </c>
      <c r="AA3734">
        <v>0.99452169999999895</v>
      </c>
      <c r="AB3734">
        <v>36</v>
      </c>
      <c r="AC3734">
        <v>31.404799999999899</v>
      </c>
      <c r="AD3734">
        <v>-1.1052184940750001</v>
      </c>
      <c r="AE3734">
        <v>-3.0511000000000101</v>
      </c>
      <c r="AF3734">
        <v>3.3330632130277298</v>
      </c>
      <c r="AG3734">
        <v>-1.1052184940750001</v>
      </c>
      <c r="AH3734">
        <v>31.337243606359301</v>
      </c>
      <c r="AI3734">
        <v>92.008580751725205</v>
      </c>
      <c r="AJ3734">
        <v>83.928784008074402</v>
      </c>
      <c r="AK3734">
        <v>31.533373672126999</v>
      </c>
    </row>
    <row r="3735" spans="1:37" x14ac:dyDescent="0.2">
      <c r="A3735" t="str">
        <f>"20200111155622406"</f>
        <v>20200111155622406</v>
      </c>
      <c r="B3735" t="str">
        <f>"1578729382396548"</f>
        <v>1578729382396548</v>
      </c>
      <c r="C3735" t="s">
        <v>37</v>
      </c>
      <c r="D3735">
        <v>4.7225400000000004</v>
      </c>
      <c r="E3735">
        <v>0.5663781</v>
      </c>
      <c r="F3735" t="s">
        <v>59</v>
      </c>
      <c r="G3735">
        <v>-249.86089999999999</v>
      </c>
      <c r="H3735" s="1">
        <v>3.8276310000000002E-6</v>
      </c>
      <c r="I3735">
        <v>211.94159999999999</v>
      </c>
      <c r="J3735">
        <v>-278.40690000000001</v>
      </c>
      <c r="K3735">
        <v>1.1052169999999999</v>
      </c>
      <c r="L3735">
        <v>214.6823</v>
      </c>
      <c r="M3735">
        <v>0.99986749999999902</v>
      </c>
      <c r="N3735">
        <v>0</v>
      </c>
      <c r="O3735">
        <v>9.7860889999999996E-3</v>
      </c>
      <c r="P3735">
        <v>0.99660190000000004</v>
      </c>
      <c r="Q3735">
        <v>1.941849E-2</v>
      </c>
      <c r="R3735">
        <v>8.0047859999999998E-2</v>
      </c>
      <c r="S3735">
        <v>3.0351560000000002</v>
      </c>
      <c r="T3735">
        <v>-0.1160921</v>
      </c>
      <c r="U3735">
        <v>-0.2874756</v>
      </c>
      <c r="V3735">
        <v>-7.0337090000000005E-2</v>
      </c>
      <c r="W3735">
        <v>3.2291819999999999E-2</v>
      </c>
      <c r="X3735">
        <v>0.99700049999999996</v>
      </c>
      <c r="Y3735">
        <v>0.1039496</v>
      </c>
      <c r="Z3735">
        <v>-2.3562399999999999E-3</v>
      </c>
      <c r="AA3735">
        <v>0.99457980000000001</v>
      </c>
      <c r="AB3735">
        <v>36</v>
      </c>
      <c r="AC3735">
        <v>28.545999999999999</v>
      </c>
      <c r="AD3735">
        <v>-1.105213172369</v>
      </c>
      <c r="AE3735">
        <v>-2.7406999999999999</v>
      </c>
      <c r="AF3735">
        <v>3.0154671759197802</v>
      </c>
      <c r="AG3735">
        <v>-1.105213172369</v>
      </c>
      <c r="AH3735">
        <v>28.475514921146701</v>
      </c>
      <c r="AI3735">
        <v>92.210344721794897</v>
      </c>
      <c r="AJ3735">
        <v>83.955086738741898</v>
      </c>
      <c r="AK3735">
        <v>28.656055005353998</v>
      </c>
    </row>
    <row r="3736" spans="1:37" x14ac:dyDescent="0.2">
      <c r="A3736" t="str">
        <f>"20200111155622428"</f>
        <v>20200111155622428</v>
      </c>
      <c r="B3736" t="str">
        <f>"1578729382416068"</f>
        <v>1578729382416068</v>
      </c>
      <c r="C3736" t="s">
        <v>37</v>
      </c>
      <c r="D3736">
        <v>4.7095029999999998</v>
      </c>
      <c r="E3736">
        <v>0.56667809999999996</v>
      </c>
      <c r="F3736" t="s">
        <v>59</v>
      </c>
      <c r="G3736">
        <v>-251.745</v>
      </c>
      <c r="H3736" s="1">
        <v>-5.0284759999999996E-7</v>
      </c>
      <c r="I3736">
        <v>212.20650000000001</v>
      </c>
      <c r="J3736">
        <v>-278.04239999999999</v>
      </c>
      <c r="K3736">
        <v>1.1052010000000001</v>
      </c>
      <c r="L3736">
        <v>214.6865</v>
      </c>
      <c r="M3736">
        <v>0.99986079999999999</v>
      </c>
      <c r="N3736">
        <v>0</v>
      </c>
      <c r="O3736">
        <v>1.045988E-2</v>
      </c>
      <c r="P3736">
        <v>0.99654789999999904</v>
      </c>
      <c r="Q3736">
        <v>1.788124E-2</v>
      </c>
      <c r="R3736">
        <v>8.1072030000000003E-2</v>
      </c>
      <c r="S3736">
        <v>3.035339</v>
      </c>
      <c r="T3736">
        <v>-0.1258243</v>
      </c>
      <c r="U3736">
        <v>-0.28186040000000001</v>
      </c>
      <c r="V3736">
        <v>-7.0687120000000006E-2</v>
      </c>
      <c r="W3736">
        <v>3.074764E-2</v>
      </c>
      <c r="X3736">
        <v>0.99702449999999998</v>
      </c>
      <c r="Y3736">
        <v>0.1027762</v>
      </c>
      <c r="Z3736">
        <v>-2.5572820000000001E-3</v>
      </c>
      <c r="AA3736">
        <v>0.99470119999999895</v>
      </c>
      <c r="AB3736">
        <v>36</v>
      </c>
      <c r="AC3736">
        <v>26.2973999999999</v>
      </c>
      <c r="AD3736">
        <v>-1.1052015028476001</v>
      </c>
      <c r="AE3736">
        <v>-2.47999999999998</v>
      </c>
      <c r="AF3736">
        <v>2.7501405233175502</v>
      </c>
      <c r="AG3736">
        <v>-1.1052015028476001</v>
      </c>
      <c r="AH3736">
        <v>26.224107868209501</v>
      </c>
      <c r="AI3736">
        <v>92.400126450034804</v>
      </c>
      <c r="AJ3736">
        <v>84.013234762748695</v>
      </c>
      <c r="AK3736">
        <v>26.391070018916899</v>
      </c>
    </row>
    <row r="3737" spans="1:37" x14ac:dyDescent="0.2">
      <c r="A3737" t="str">
        <f>"20200111155622451"</f>
        <v>20200111155622451</v>
      </c>
      <c r="B3737" t="str">
        <f>"1578729382446325"</f>
        <v>1578729382446325</v>
      </c>
      <c r="C3737" t="s">
        <v>37</v>
      </c>
      <c r="D3737">
        <v>4.9132470000000001</v>
      </c>
      <c r="E3737">
        <v>0.56681569999999903</v>
      </c>
      <c r="F3737" t="s">
        <v>59</v>
      </c>
      <c r="G3737">
        <v>-252.22799999999901</v>
      </c>
      <c r="H3737" s="1">
        <v>-2.4974789999999998E-7</v>
      </c>
      <c r="I3737">
        <v>212.29689999999999</v>
      </c>
      <c r="J3737">
        <v>-277.67720000000003</v>
      </c>
      <c r="K3737">
        <v>1.1051660000000001</v>
      </c>
      <c r="L3737">
        <v>214.69099999999901</v>
      </c>
      <c r="M3737">
        <v>0.99985429999999997</v>
      </c>
      <c r="N3737">
        <v>0</v>
      </c>
      <c r="O3737">
        <v>1.108526E-2</v>
      </c>
      <c r="P3737">
        <v>0.99654569999999998</v>
      </c>
      <c r="Q3737">
        <v>1.7285689999999999E-2</v>
      </c>
      <c r="R3737">
        <v>8.1230629999999998E-2</v>
      </c>
      <c r="S3737">
        <v>3.03555299999999</v>
      </c>
      <c r="T3737">
        <v>-0.12996269999999999</v>
      </c>
      <c r="U3737">
        <v>-0.28100589999999998</v>
      </c>
      <c r="V3737">
        <v>-7.0219180000000006E-2</v>
      </c>
      <c r="W3737">
        <v>3.0137099999999899E-2</v>
      </c>
      <c r="X3737">
        <v>0.99707619999999897</v>
      </c>
      <c r="Y3737">
        <v>0.10310699999999901</v>
      </c>
      <c r="Z3737">
        <v>-2.6749409999999901E-3</v>
      </c>
      <c r="AA3737">
        <v>0.99466669999999902</v>
      </c>
      <c r="AB3737">
        <v>36</v>
      </c>
      <c r="AC3737">
        <v>25.449200000000001</v>
      </c>
      <c r="AD3737">
        <v>-1.1051662497479</v>
      </c>
      <c r="AE3737">
        <v>-2.3940999999999799</v>
      </c>
      <c r="AF3737">
        <v>2.6710945493546698</v>
      </c>
      <c r="AG3737">
        <v>-1.1051662497479</v>
      </c>
      <c r="AH3737">
        <v>25.3736634508371</v>
      </c>
      <c r="AI3737">
        <v>92.480290286065795</v>
      </c>
      <c r="AJ3737">
        <v>83.990586219919194</v>
      </c>
      <c r="AK3737">
        <v>25.537794255720701</v>
      </c>
    </row>
    <row r="3738" spans="1:37" x14ac:dyDescent="0.2">
      <c r="A3738" t="str">
        <f>"20200111155622474"</f>
        <v>20200111155622474</v>
      </c>
      <c r="B3738" t="str">
        <f>"1578729382466821"</f>
        <v>1578729382466821</v>
      </c>
      <c r="C3738" t="s">
        <v>37</v>
      </c>
      <c r="D3738">
        <v>4.8300769999999904</v>
      </c>
      <c r="E3738">
        <v>0.56640089999999998</v>
      </c>
      <c r="F3738" t="s">
        <v>59</v>
      </c>
      <c r="G3738">
        <v>-251.99209999999999</v>
      </c>
      <c r="H3738" s="1">
        <v>-3.7587489999999998E-7</v>
      </c>
      <c r="I3738">
        <v>212.31</v>
      </c>
      <c r="J3738">
        <v>-277.31760000000003</v>
      </c>
      <c r="K3738">
        <v>1.105119</v>
      </c>
      <c r="L3738">
        <v>214.69560000000001</v>
      </c>
      <c r="M3738">
        <v>0.99984859999999898</v>
      </c>
      <c r="N3738">
        <v>0</v>
      </c>
      <c r="O3738">
        <v>1.1636290000000001E-2</v>
      </c>
      <c r="P3738">
        <v>0.99654529999999997</v>
      </c>
      <c r="Q3738">
        <v>1.7851220000000001E-2</v>
      </c>
      <c r="R3738">
        <v>8.1109799999999996E-2</v>
      </c>
      <c r="S3738">
        <v>3.0356450000000001</v>
      </c>
      <c r="T3738">
        <v>-0.13061610000000001</v>
      </c>
      <c r="U3738">
        <v>-0.2814026</v>
      </c>
      <c r="V3738">
        <v>-6.9546220000000006E-2</v>
      </c>
      <c r="W3738">
        <v>3.0670900000000001E-2</v>
      </c>
      <c r="X3738">
        <v>0.99710710000000002</v>
      </c>
      <c r="Y3738">
        <v>0.1037791</v>
      </c>
      <c r="Z3738">
        <v>-2.726357E-3</v>
      </c>
      <c r="AA3738">
        <v>0.99459660000000005</v>
      </c>
      <c r="AB3738">
        <v>36</v>
      </c>
      <c r="AC3738">
        <v>25.325500000000002</v>
      </c>
      <c r="AD3738">
        <v>-1.1051193758748901</v>
      </c>
      <c r="AE3738">
        <v>-2.3856000000000099</v>
      </c>
      <c r="AF3738">
        <v>2.6751089644741599</v>
      </c>
      <c r="AG3738">
        <v>-1.1051193758748901</v>
      </c>
      <c r="AH3738">
        <v>25.2483692506508</v>
      </c>
      <c r="AI3738">
        <v>92.492300415722596</v>
      </c>
      <c r="AJ3738">
        <v>83.951975661010806</v>
      </c>
      <c r="AK3738">
        <v>25.4137294906504</v>
      </c>
    </row>
    <row r="3739" spans="1:37" x14ac:dyDescent="0.2">
      <c r="A3739" t="str">
        <f>"20200111155622495"</f>
        <v>20200111155622495</v>
      </c>
      <c r="B3739" t="str">
        <f>"1578729382486341"</f>
        <v>1578729382486341</v>
      </c>
      <c r="C3739" t="s">
        <v>37</v>
      </c>
      <c r="D3739">
        <v>4.7910830000000004</v>
      </c>
      <c r="E3739">
        <v>0.56608599999999998</v>
      </c>
      <c r="F3739" t="s">
        <v>59</v>
      </c>
      <c r="G3739">
        <v>-250.8647</v>
      </c>
      <c r="H3739" s="1">
        <v>-9.7396659999999903E-7</v>
      </c>
      <c r="I3739">
        <v>212.26750000000001</v>
      </c>
      <c r="J3739">
        <v>-276.97989999999999</v>
      </c>
      <c r="K3739">
        <v>1.1050629999999999</v>
      </c>
      <c r="L3739">
        <v>214.69990000000001</v>
      </c>
      <c r="M3739">
        <v>0.99984430000000002</v>
      </c>
      <c r="N3739">
        <v>0</v>
      </c>
      <c r="O3739">
        <v>1.208565E-2</v>
      </c>
      <c r="P3739">
        <v>0.99648680000000001</v>
      </c>
      <c r="Q3739">
        <v>2.1329250000000001E-2</v>
      </c>
      <c r="R3739">
        <v>8.0990859999999998E-2</v>
      </c>
      <c r="S3739">
        <v>3.0353699999999999</v>
      </c>
      <c r="T3739">
        <v>-0.12680830000000001</v>
      </c>
      <c r="U3739">
        <v>-0.27861019999999997</v>
      </c>
      <c r="V3739">
        <v>-6.8980390000000003E-2</v>
      </c>
      <c r="W3739">
        <v>3.408183E-2</v>
      </c>
      <c r="X3739">
        <v>0.99703569999999997</v>
      </c>
      <c r="Y3739">
        <v>0.103333199999999</v>
      </c>
      <c r="Z3739">
        <v>-2.656734E-3</v>
      </c>
      <c r="AA3739">
        <v>0.99464330000000001</v>
      </c>
      <c r="AB3739">
        <v>36</v>
      </c>
      <c r="AC3739">
        <v>26.115199999999898</v>
      </c>
      <c r="AD3739">
        <v>-1.1050639739665999</v>
      </c>
      <c r="AE3739">
        <v>-2.4323999999999999</v>
      </c>
      <c r="AF3739">
        <v>2.7429983279530799</v>
      </c>
      <c r="AG3739">
        <v>-1.1050639739665999</v>
      </c>
      <c r="AH3739">
        <v>26.037671864575</v>
      </c>
      <c r="AI3739">
        <v>92.416871564083095</v>
      </c>
      <c r="AJ3739">
        <v>83.986226149903203</v>
      </c>
      <c r="AK3739">
        <v>26.205067493540099</v>
      </c>
    </row>
    <row r="3740" spans="1:37" x14ac:dyDescent="0.2">
      <c r="A3740" t="str">
        <f>"20200111155622517"</f>
        <v>20200111155622517</v>
      </c>
      <c r="B3740" t="str">
        <f>"1578729382506837"</f>
        <v>1578729382506837</v>
      </c>
      <c r="C3740" t="s">
        <v>37</v>
      </c>
      <c r="D3740">
        <v>4.7644339999999996</v>
      </c>
      <c r="E3740">
        <v>0.56587790000000004</v>
      </c>
      <c r="F3740" t="s">
        <v>59</v>
      </c>
      <c r="G3740">
        <v>-247.77709999999999</v>
      </c>
      <c r="H3740" s="1">
        <v>2.7144659999999999E-6</v>
      </c>
      <c r="I3740">
        <v>212.0393</v>
      </c>
      <c r="J3740">
        <v>-276.62459999999999</v>
      </c>
      <c r="K3740">
        <v>1.104973</v>
      </c>
      <c r="L3740">
        <v>214.7047</v>
      </c>
      <c r="M3740">
        <v>0.99984110000000004</v>
      </c>
      <c r="N3740">
        <v>0</v>
      </c>
      <c r="O3740">
        <v>1.249338E-2</v>
      </c>
      <c r="P3740">
        <v>0.99642310000000001</v>
      </c>
      <c r="Q3740">
        <v>2.2004800000000001E-2</v>
      </c>
      <c r="R3740">
        <v>8.1588010000000002E-2</v>
      </c>
      <c r="S3740">
        <v>3.03555299999999</v>
      </c>
      <c r="T3740">
        <v>-0.1148684</v>
      </c>
      <c r="U3740">
        <v>-0.27656560000000002</v>
      </c>
      <c r="V3740">
        <v>-6.9167380000000001E-2</v>
      </c>
      <c r="W3740">
        <v>3.461463E-2</v>
      </c>
      <c r="X3740">
        <v>0.99700440000000001</v>
      </c>
      <c r="Y3740">
        <v>0.103086699999999</v>
      </c>
      <c r="Z3740">
        <v>-2.417443E-3</v>
      </c>
      <c r="AA3740">
        <v>0.99466939999999904</v>
      </c>
      <c r="AB3740">
        <v>36</v>
      </c>
      <c r="AC3740">
        <v>28.8475</v>
      </c>
      <c r="AD3740">
        <v>-1.104970285534</v>
      </c>
      <c r="AE3740">
        <v>-2.6654</v>
      </c>
      <c r="AF3740">
        <v>3.0212286852057502</v>
      </c>
      <c r="AG3740">
        <v>-1.104970285534</v>
      </c>
      <c r="AH3740">
        <v>28.7700919409208</v>
      </c>
      <c r="AI3740">
        <v>92.187456258289501</v>
      </c>
      <c r="AJ3740">
        <v>84.005180138217696</v>
      </c>
      <c r="AK3740">
        <v>28.949386390548199</v>
      </c>
    </row>
    <row r="3741" spans="1:37" x14ac:dyDescent="0.2">
      <c r="A3741" t="str">
        <f>"20200111155622540"</f>
        <v>20200111155622540</v>
      </c>
      <c r="B3741" t="str">
        <f>"1578729382536117"</f>
        <v>1578729382536117</v>
      </c>
      <c r="C3741" t="s">
        <v>37</v>
      </c>
      <c r="D3741">
        <v>4.946758</v>
      </c>
      <c r="E3741">
        <v>0.56545059999999903</v>
      </c>
      <c r="F3741" t="s">
        <v>59</v>
      </c>
      <c r="G3741">
        <v>-246.27029999999999</v>
      </c>
      <c r="H3741" s="1">
        <v>1.9154770000000001E-6</v>
      </c>
      <c r="I3741">
        <v>211.97309999999999</v>
      </c>
      <c r="J3741">
        <v>-276.26029999999997</v>
      </c>
      <c r="K3741">
        <v>1.1048549999999999</v>
      </c>
      <c r="L3741">
        <v>214.70959999999999</v>
      </c>
      <c r="M3741">
        <v>0.99983979999999995</v>
      </c>
      <c r="N3741">
        <v>0</v>
      </c>
      <c r="O3741">
        <v>1.285065E-2</v>
      </c>
      <c r="P3741">
        <v>0.99644480000000002</v>
      </c>
      <c r="Q3741">
        <v>2.0301050000000001E-2</v>
      </c>
      <c r="R3741">
        <v>8.1767660000000006E-2</v>
      </c>
      <c r="S3741">
        <v>3.03555299999999</v>
      </c>
      <c r="T3741">
        <v>-0.110501399999999</v>
      </c>
      <c r="U3741">
        <v>-0.27316279999999998</v>
      </c>
      <c r="V3741">
        <v>-6.8983649999999994E-2</v>
      </c>
      <c r="W3741">
        <v>3.2672140000000002E-2</v>
      </c>
      <c r="X3741">
        <v>0.99708269999999899</v>
      </c>
      <c r="Y3741">
        <v>0.102342499999999</v>
      </c>
      <c r="Z3741">
        <v>-2.32518E-3</v>
      </c>
      <c r="AA3741">
        <v>0.99474649999999998</v>
      </c>
      <c r="AB3741">
        <v>36</v>
      </c>
      <c r="AC3741">
        <v>29.989999999999899</v>
      </c>
      <c r="AD3741">
        <v>-1.104853084523</v>
      </c>
      <c r="AE3741">
        <v>-2.7364999999999999</v>
      </c>
      <c r="AF3741">
        <v>3.11749866322437</v>
      </c>
      <c r="AG3741">
        <v>-1.104853084523</v>
      </c>
      <c r="AH3741">
        <v>29.912092105514301</v>
      </c>
      <c r="AI3741">
        <v>92.103967960002706</v>
      </c>
      <c r="AJ3741">
        <v>84.049999492298596</v>
      </c>
      <c r="AK3741">
        <v>30.094397358683899</v>
      </c>
    </row>
    <row r="3742" spans="1:37" x14ac:dyDescent="0.2">
      <c r="A3742" t="str">
        <f>"20200111155622562"</f>
        <v>20200111155622562</v>
      </c>
      <c r="B3742" t="str">
        <f>"1578729382556612"</f>
        <v>1578729382556612</v>
      </c>
      <c r="C3742" t="s">
        <v>37</v>
      </c>
      <c r="D3742">
        <v>4.887626</v>
      </c>
      <c r="E3742">
        <v>0.56514640000000005</v>
      </c>
      <c r="F3742" t="s">
        <v>59</v>
      </c>
      <c r="G3742">
        <v>-246.69229999999999</v>
      </c>
      <c r="H3742" s="1">
        <v>2.135041E-6</v>
      </c>
      <c r="I3742">
        <v>212.0882</v>
      </c>
      <c r="J3742">
        <v>-275.89870000000002</v>
      </c>
      <c r="K3742">
        <v>1.1047419999999999</v>
      </c>
      <c r="L3742">
        <v>214.71449999999999</v>
      </c>
      <c r="M3742">
        <v>0.999839699999999</v>
      </c>
      <c r="N3742">
        <v>0</v>
      </c>
      <c r="O3742">
        <v>1.3157250000000001E-2</v>
      </c>
      <c r="P3742">
        <v>0.99654560000000003</v>
      </c>
      <c r="Q3742">
        <v>1.955579E-2</v>
      </c>
      <c r="R3742">
        <v>8.0712300000000001E-2</v>
      </c>
      <c r="S3742">
        <v>3.0350950000000001</v>
      </c>
      <c r="T3742">
        <v>-0.11341079999999901</v>
      </c>
      <c r="U3742">
        <v>-0.26907350000000002</v>
      </c>
      <c r="V3742">
        <v>-6.7617079999999996E-2</v>
      </c>
      <c r="W3742">
        <v>3.1609819999999997E-2</v>
      </c>
      <c r="X3742">
        <v>0.9972105</v>
      </c>
      <c r="Y3742">
        <v>0.1013276</v>
      </c>
      <c r="Z3742">
        <v>-2.3793719999999998E-3</v>
      </c>
      <c r="AA3742">
        <v>0.99485029999999997</v>
      </c>
      <c r="AB3742">
        <v>36</v>
      </c>
      <c r="AC3742">
        <v>29.206399999999999</v>
      </c>
      <c r="AD3742">
        <v>-1.1047398649589999</v>
      </c>
      <c r="AE3742">
        <v>-2.6262999999999801</v>
      </c>
      <c r="AF3742">
        <v>3.0061103793984998</v>
      </c>
      <c r="AG3742">
        <v>-1.1047398649589999</v>
      </c>
      <c r="AH3742">
        <v>29.1279734850173</v>
      </c>
      <c r="AI3742">
        <v>92.160557708273899</v>
      </c>
      <c r="AJ3742">
        <v>84.1077323099273</v>
      </c>
      <c r="AK3742">
        <v>29.3035149619671</v>
      </c>
    </row>
    <row r="3743" spans="1:37" x14ac:dyDescent="0.2">
      <c r="A3743" t="str">
        <f>"20200111155622583"</f>
        <v>20200111155622583</v>
      </c>
      <c r="B3743" t="str">
        <f>"1578729382576132"</f>
        <v>1578729382576132</v>
      </c>
      <c r="C3743" t="s">
        <v>37</v>
      </c>
      <c r="D3743">
        <v>4.9373589999999998</v>
      </c>
      <c r="E3743">
        <v>0.56476150000000003</v>
      </c>
      <c r="F3743" t="s">
        <v>59</v>
      </c>
      <c r="G3743">
        <v>-246.82980000000001</v>
      </c>
      <c r="H3743" s="1">
        <v>2.20637499999999E-6</v>
      </c>
      <c r="I3743">
        <v>212.1293</v>
      </c>
      <c r="J3743">
        <v>-275.54640000000001</v>
      </c>
      <c r="K3743">
        <v>1.104649</v>
      </c>
      <c r="L3743">
        <v>214.71940000000001</v>
      </c>
      <c r="M3743">
        <v>0.99984059999999897</v>
      </c>
      <c r="N3743">
        <v>0</v>
      </c>
      <c r="O3743">
        <v>1.3421519999999999E-2</v>
      </c>
      <c r="P3743">
        <v>0.99664989999999998</v>
      </c>
      <c r="Q3743">
        <v>2.122052E-2</v>
      </c>
      <c r="R3743">
        <v>7.8986710000000002E-2</v>
      </c>
      <c r="S3743">
        <v>3.0345149999999999</v>
      </c>
      <c r="T3743">
        <v>-0.1153241</v>
      </c>
      <c r="U3743">
        <v>-0.26986690000000002</v>
      </c>
      <c r="V3743">
        <v>-6.5624619999999995E-2</v>
      </c>
      <c r="W3743">
        <v>3.2932830000000003E-2</v>
      </c>
      <c r="X3743">
        <v>0.99730079999999999</v>
      </c>
      <c r="Y3743">
        <v>0.10186199999999999</v>
      </c>
      <c r="Z3743">
        <v>-2.440069E-3</v>
      </c>
      <c r="AA3743">
        <v>0.9947956</v>
      </c>
      <c r="AB3743">
        <v>36</v>
      </c>
      <c r="AC3743">
        <v>28.7166</v>
      </c>
      <c r="AD3743">
        <v>-1.104646793625</v>
      </c>
      <c r="AE3743">
        <v>-2.5901000000000001</v>
      </c>
      <c r="AF3743">
        <v>2.97095309473508</v>
      </c>
      <c r="AG3743">
        <v>-1.104646793625</v>
      </c>
      <c r="AH3743">
        <v>28.637214335030599</v>
      </c>
      <c r="AI3743">
        <v>92.197240910147897</v>
      </c>
      <c r="AJ3743">
        <v>84.077067478352504</v>
      </c>
      <c r="AK3743">
        <v>28.812095579812699</v>
      </c>
    </row>
    <row r="3744" spans="1:37" x14ac:dyDescent="0.2">
      <c r="A3744" t="str">
        <f>"20200111155622607"</f>
        <v>20200111155622607</v>
      </c>
      <c r="B3744" t="str">
        <f>"1578729382596628"</f>
        <v>1578729382596628</v>
      </c>
      <c r="C3744" t="s">
        <v>37</v>
      </c>
      <c r="D3744">
        <v>4.9117319999999998</v>
      </c>
      <c r="E3744">
        <v>0.56457880000000005</v>
      </c>
      <c r="F3744" t="s">
        <v>59</v>
      </c>
      <c r="G3744">
        <v>-245.11340000000001</v>
      </c>
      <c r="H3744" s="1">
        <v>1.298939E-6</v>
      </c>
      <c r="I3744">
        <v>211.99359999999999</v>
      </c>
      <c r="J3744">
        <v>-275.19619999999998</v>
      </c>
      <c r="K3744">
        <v>1.1045639999999901</v>
      </c>
      <c r="L3744">
        <v>214.7243</v>
      </c>
      <c r="M3744">
        <v>0.999841599999999</v>
      </c>
      <c r="N3744">
        <v>0</v>
      </c>
      <c r="O3744">
        <v>1.366038E-2</v>
      </c>
      <c r="P3744">
        <v>0.99678989999999901</v>
      </c>
      <c r="Q3744">
        <v>2.1197150000000001E-2</v>
      </c>
      <c r="R3744">
        <v>7.720602E-2</v>
      </c>
      <c r="S3744">
        <v>3.0339969999999998</v>
      </c>
      <c r="T3744">
        <v>-0.110127</v>
      </c>
      <c r="U3744">
        <v>-0.27174379999999998</v>
      </c>
      <c r="V3744">
        <v>-6.3602309999999995E-2</v>
      </c>
      <c r="W3744">
        <v>3.2546319999999997E-2</v>
      </c>
      <c r="X3744">
        <v>0.99744449999999996</v>
      </c>
      <c r="Y3744">
        <v>0.10273160000000001</v>
      </c>
      <c r="Z3744">
        <v>-2.3549090000000001E-3</v>
      </c>
      <c r="AA3744">
        <v>0.99470630000000004</v>
      </c>
      <c r="AB3744">
        <v>36</v>
      </c>
      <c r="AC3744">
        <v>30.082799999999899</v>
      </c>
      <c r="AD3744">
        <v>-1.104562701061</v>
      </c>
      <c r="AE3744">
        <v>-2.7307000000000099</v>
      </c>
      <c r="AF3744">
        <v>3.1372194644923499</v>
      </c>
      <c r="AG3744">
        <v>-1.104562701061</v>
      </c>
      <c r="AH3744">
        <v>30.0025698955526</v>
      </c>
      <c r="AI3744">
        <v>92.097003735930002</v>
      </c>
      <c r="AJ3744">
        <v>84.030558636014007</v>
      </c>
      <c r="AK3744">
        <v>30.186361242562501</v>
      </c>
    </row>
    <row r="3745" spans="1:37" x14ac:dyDescent="0.2">
      <c r="A3745" t="str">
        <f>"20200111155622629"</f>
        <v>20200111155622629</v>
      </c>
      <c r="B3745" t="str">
        <f>"1578729382626596"</f>
        <v>1578729382626596</v>
      </c>
      <c r="C3745" t="s">
        <v>37</v>
      </c>
      <c r="D3745">
        <v>4.9947989999999898</v>
      </c>
      <c r="E3745">
        <v>0.56416180000000005</v>
      </c>
      <c r="F3745" t="s">
        <v>59</v>
      </c>
      <c r="G3745">
        <v>-244.70349999999999</v>
      </c>
      <c r="H3745" s="1">
        <v>1.0825399999999901E-6</v>
      </c>
      <c r="I3745">
        <v>211.95480000000001</v>
      </c>
      <c r="J3745">
        <v>-274.82279999999997</v>
      </c>
      <c r="K3745">
        <v>1.104484</v>
      </c>
      <c r="L3745">
        <v>214.7296</v>
      </c>
      <c r="M3745">
        <v>0.99984280000000003</v>
      </c>
      <c r="N3745">
        <v>0</v>
      </c>
      <c r="O3745">
        <v>1.389906E-2</v>
      </c>
      <c r="P3745">
        <v>0.99689490000000003</v>
      </c>
      <c r="Q3745">
        <v>2.030728E-2</v>
      </c>
      <c r="R3745">
        <v>7.6080819999999993E-2</v>
      </c>
      <c r="S3745">
        <v>3.033325</v>
      </c>
      <c r="T3745">
        <v>-0.1098788</v>
      </c>
      <c r="U3745">
        <v>-0.2754974</v>
      </c>
      <c r="V3745">
        <v>-6.2235520000000003E-2</v>
      </c>
      <c r="W3745">
        <v>3.1255230000000002E-2</v>
      </c>
      <c r="X3745">
        <v>0.99757199999999902</v>
      </c>
      <c r="Y3745">
        <v>0.1042086</v>
      </c>
      <c r="Z3745">
        <v>-2.385308E-3</v>
      </c>
      <c r="AA3745">
        <v>0.99455260000000001</v>
      </c>
      <c r="AB3745">
        <v>36</v>
      </c>
      <c r="AC3745">
        <v>30.1192999999999</v>
      </c>
      <c r="AD3745">
        <v>-1.1044829174599999</v>
      </c>
      <c r="AE3745">
        <v>-2.7747999999999902</v>
      </c>
      <c r="AF3745">
        <v>3.1889351585174102</v>
      </c>
      <c r="AG3745">
        <v>-1.1044829174599999</v>
      </c>
      <c r="AH3745">
        <v>30.037768661103001</v>
      </c>
      <c r="AI3745">
        <v>92.094048784980799</v>
      </c>
      <c r="AJ3745">
        <v>83.939939682011797</v>
      </c>
      <c r="AK3745">
        <v>30.226755302184401</v>
      </c>
    </row>
    <row r="3746" spans="1:37" x14ac:dyDescent="0.2">
      <c r="A3746" t="str">
        <f>"20200111155622651"</f>
        <v>20200111155622651</v>
      </c>
      <c r="B3746" t="str">
        <f>"1578729382646116"</f>
        <v>1578729382646116</v>
      </c>
      <c r="C3746" t="s">
        <v>37</v>
      </c>
      <c r="D3746">
        <v>4.9837899999999999</v>
      </c>
      <c r="E3746">
        <v>0.56385459999999998</v>
      </c>
      <c r="F3746" t="s">
        <v>59</v>
      </c>
      <c r="G3746">
        <v>-244.88290000000001</v>
      </c>
      <c r="H3746" s="1">
        <v>1.175614E-6</v>
      </c>
      <c r="I3746">
        <v>212.0094</v>
      </c>
      <c r="J3746">
        <v>-274.4563</v>
      </c>
      <c r="K3746">
        <v>1.1044209999999901</v>
      </c>
      <c r="L3746">
        <v>214.73490000000001</v>
      </c>
      <c r="M3746">
        <v>0.99984379999999995</v>
      </c>
      <c r="N3746">
        <v>0</v>
      </c>
      <c r="O3746">
        <v>1.4125779999999999E-2</v>
      </c>
      <c r="P3746">
        <v>0.99698880000000001</v>
      </c>
      <c r="Q3746">
        <v>2.0150419999999999E-2</v>
      </c>
      <c r="R3746">
        <v>7.4881660000000003E-2</v>
      </c>
      <c r="S3746">
        <v>3.032654</v>
      </c>
      <c r="T3746">
        <v>-0.1118748</v>
      </c>
      <c r="U3746">
        <v>-0.275528</v>
      </c>
      <c r="V3746">
        <v>-6.0808000000000001E-2</v>
      </c>
      <c r="W3746">
        <v>3.0714749999999999E-2</v>
      </c>
      <c r="X3746">
        <v>0.99767680000000003</v>
      </c>
      <c r="Y3746">
        <v>0.1044607</v>
      </c>
      <c r="Z3746">
        <v>-2.4421260000000002E-3</v>
      </c>
      <c r="AA3746">
        <v>0.99452600000000002</v>
      </c>
      <c r="AB3746">
        <v>36</v>
      </c>
      <c r="AC3746">
        <v>29.5733999999999</v>
      </c>
      <c r="AD3746">
        <v>-1.1044198243859999</v>
      </c>
      <c r="AE3746">
        <v>-2.72550000000001</v>
      </c>
      <c r="AF3746">
        <v>3.1386584784639502</v>
      </c>
      <c r="AG3746">
        <v>-1.1044198243859999</v>
      </c>
      <c r="AH3746">
        <v>29.491163515963301</v>
      </c>
      <c r="AI3746">
        <v>92.132644895208799</v>
      </c>
      <c r="AJ3746">
        <v>83.925044949584006</v>
      </c>
      <c r="AK3746">
        <v>29.678268913772801</v>
      </c>
    </row>
    <row r="3747" spans="1:37" x14ac:dyDescent="0.2">
      <c r="A3747" t="str">
        <f>"20200111155622673"</f>
        <v>20200111155622673</v>
      </c>
      <c r="B3747" t="str">
        <f>"1578729382666612"</f>
        <v>1578729382666612</v>
      </c>
      <c r="C3747" t="s">
        <v>37</v>
      </c>
      <c r="D3747">
        <v>5.2612059999999996</v>
      </c>
      <c r="E3747">
        <v>0.56366799999999995</v>
      </c>
      <c r="F3747" t="s">
        <v>59</v>
      </c>
      <c r="G3747">
        <v>-244.36099999999999</v>
      </c>
      <c r="H3747" s="1">
        <v>8.9877659999999895E-7</v>
      </c>
      <c r="I3747">
        <v>211.98859999999999</v>
      </c>
      <c r="J3747">
        <v>-274.10789999999997</v>
      </c>
      <c r="K3747">
        <v>1.1043829999999999</v>
      </c>
      <c r="L3747">
        <v>214.74</v>
      </c>
      <c r="M3747">
        <v>0.99984430000000002</v>
      </c>
      <c r="N3747">
        <v>0</v>
      </c>
      <c r="O3747">
        <v>1.4339650000000001E-2</v>
      </c>
      <c r="P3747">
        <v>0.99702479999999905</v>
      </c>
      <c r="Q3747">
        <v>2.1339319999999998E-2</v>
      </c>
      <c r="R3747">
        <v>7.4070819999999996E-2</v>
      </c>
      <c r="S3747">
        <v>3.0321039999999999</v>
      </c>
      <c r="T3747">
        <v>-0.11127039999999901</v>
      </c>
      <c r="U3747">
        <v>-0.27668759999999998</v>
      </c>
      <c r="V3747">
        <v>-5.9783559999999999E-2</v>
      </c>
      <c r="W3747">
        <v>3.1569310000000003E-2</v>
      </c>
      <c r="X3747">
        <v>0.99771200000000004</v>
      </c>
      <c r="Y3747">
        <v>0.1050671</v>
      </c>
      <c r="Z3747">
        <v>-2.4482670000000001E-3</v>
      </c>
      <c r="AA3747">
        <v>0.99446209999999902</v>
      </c>
      <c r="AB3747">
        <v>36</v>
      </c>
      <c r="AC3747">
        <v>29.746899999999901</v>
      </c>
      <c r="AD3747">
        <v>-1.1043821012233901</v>
      </c>
      <c r="AE3747">
        <v>-2.7514000000000101</v>
      </c>
      <c r="AF3747">
        <v>3.1733629071411702</v>
      </c>
      <c r="AG3747">
        <v>-1.1043821012233901</v>
      </c>
      <c r="AH3747">
        <v>29.663845017254001</v>
      </c>
      <c r="AI3747">
        <v>92.120046191564001</v>
      </c>
      <c r="AJ3747">
        <v>83.893865387163999</v>
      </c>
      <c r="AK3747">
        <v>29.8535356896564</v>
      </c>
    </row>
    <row r="3748" spans="1:37" x14ac:dyDescent="0.2">
      <c r="A3748" t="str">
        <f>"20200111155622695"</f>
        <v>20200111155622695</v>
      </c>
      <c r="B3748" t="str">
        <f>"1578729382686132"</f>
        <v>1578729382686132</v>
      </c>
      <c r="C3748" t="s">
        <v>37</v>
      </c>
      <c r="D3748">
        <v>4.9714669999999996</v>
      </c>
      <c r="E3748">
        <v>0.55061859999999996</v>
      </c>
      <c r="F3748" t="s">
        <v>59</v>
      </c>
      <c r="G3748">
        <v>-242.93899999999999</v>
      </c>
      <c r="H3748" s="1">
        <v>1.465984E-7</v>
      </c>
      <c r="I3748">
        <v>211.8844</v>
      </c>
      <c r="J3748">
        <v>-273.74470000000002</v>
      </c>
      <c r="K3748">
        <v>1.1043479999999899</v>
      </c>
      <c r="L3748">
        <v>214.74539999999999</v>
      </c>
      <c r="M3748">
        <v>0.99984430000000002</v>
      </c>
      <c r="N3748">
        <v>0</v>
      </c>
      <c r="O3748">
        <v>1.4564179999999999E-2</v>
      </c>
      <c r="P3748">
        <v>0.99704219999999899</v>
      </c>
      <c r="Q3748">
        <v>2.2069789999999999E-2</v>
      </c>
      <c r="R3748">
        <v>7.3621359999999997E-2</v>
      </c>
      <c r="S3748">
        <v>3.0318909999999999</v>
      </c>
      <c r="T3748">
        <v>-0.107426299999999</v>
      </c>
      <c r="U3748">
        <v>-0.27777099999999999</v>
      </c>
      <c r="V3748">
        <v>-5.910957E-2</v>
      </c>
      <c r="W3748">
        <v>3.1993000000000001E-2</v>
      </c>
      <c r="X3748">
        <v>0.99773869999999898</v>
      </c>
      <c r="Y3748">
        <v>0.105654</v>
      </c>
      <c r="Z3748">
        <v>-2.3821770000000001E-3</v>
      </c>
      <c r="AA3748">
        <v>0.99440010000000001</v>
      </c>
      <c r="AB3748">
        <v>36</v>
      </c>
      <c r="AC3748">
        <v>30.805700000000002</v>
      </c>
      <c r="AD3748">
        <v>-1.10434785340159</v>
      </c>
      <c r="AE3748">
        <v>-2.86099999999999</v>
      </c>
      <c r="AF3748">
        <v>3.3051672801358301</v>
      </c>
      <c r="AG3748">
        <v>-1.10434785340159</v>
      </c>
      <c r="AH3748">
        <v>30.7216182559057</v>
      </c>
      <c r="AI3748">
        <v>92.046919197964101</v>
      </c>
      <c r="AJ3748">
        <v>83.859485422268193</v>
      </c>
      <c r="AK3748">
        <v>30.918627770206601</v>
      </c>
    </row>
    <row r="3749" spans="1:37" x14ac:dyDescent="0.2">
      <c r="A3749" t="str">
        <f>"20200111155622718"</f>
        <v>20200111155622718</v>
      </c>
      <c r="B3749" t="str">
        <f>"1578729382706377"</f>
        <v>1578729382706377</v>
      </c>
      <c r="C3749" t="s">
        <v>37</v>
      </c>
      <c r="D3749">
        <v>4.9687429999999999</v>
      </c>
      <c r="E3749">
        <v>0.55296029999999996</v>
      </c>
      <c r="F3749" t="s">
        <v>69</v>
      </c>
      <c r="G3749">
        <v>-169.39259999999999</v>
      </c>
      <c r="H3749">
        <v>0.55685229999999997</v>
      </c>
      <c r="I3749">
        <v>208.57480000000001</v>
      </c>
      <c r="J3749">
        <v>-273.3802</v>
      </c>
      <c r="K3749">
        <v>1.1043209999999899</v>
      </c>
      <c r="L3749">
        <v>214.7509</v>
      </c>
      <c r="M3749">
        <v>0.99984340000000005</v>
      </c>
      <c r="N3749">
        <v>0</v>
      </c>
      <c r="O3749">
        <v>1.479249E-2</v>
      </c>
      <c r="P3749">
        <v>0.99699230000000005</v>
      </c>
      <c r="Q3749">
        <v>2.2172029999999999E-2</v>
      </c>
      <c r="R3749">
        <v>7.4263410000000002E-2</v>
      </c>
      <c r="S3749">
        <v>3.0224609999999998</v>
      </c>
      <c r="T3749">
        <v>-1.5856740000000001E-2</v>
      </c>
      <c r="U3749">
        <v>-0.1787262</v>
      </c>
      <c r="V3749">
        <v>-5.952379E-2</v>
      </c>
      <c r="W3749">
        <v>3.1826189999999997E-2</v>
      </c>
      <c r="X3749">
        <v>0.99771939999999903</v>
      </c>
      <c r="Y3749">
        <v>7.3789279999999999E-2</v>
      </c>
      <c r="Z3749">
        <v>-2.7093780000000001E-4</v>
      </c>
      <c r="AA3749">
        <v>0.99727379999999999</v>
      </c>
      <c r="AB3749">
        <v>36</v>
      </c>
      <c r="AC3749">
        <v>103.9876</v>
      </c>
      <c r="AD3749">
        <v>-0.54746869999999903</v>
      </c>
      <c r="AE3749">
        <v>-6.1760999999999902</v>
      </c>
      <c r="AF3749">
        <v>7.7135192408859901</v>
      </c>
      <c r="AG3749">
        <v>-0.54746869999999903</v>
      </c>
      <c r="AH3749">
        <v>103.881987691657</v>
      </c>
      <c r="AI3749">
        <v>90.301122863878902</v>
      </c>
      <c r="AJ3749">
        <v>85.753426029675396</v>
      </c>
      <c r="AK3749">
        <v>104.16940754284199</v>
      </c>
    </row>
    <row r="3750" spans="1:37" x14ac:dyDescent="0.2">
      <c r="A3750" t="str">
        <f>"20200111155622741"</f>
        <v>20200111155622741</v>
      </c>
      <c r="B3750" t="str">
        <f>"1578729382736633"</f>
        <v>1578729382736633</v>
      </c>
      <c r="C3750" t="s">
        <v>37</v>
      </c>
      <c r="D3750">
        <v>5.106128</v>
      </c>
      <c r="E3750">
        <v>0.55407419999999996</v>
      </c>
      <c r="F3750" t="s">
        <v>56</v>
      </c>
      <c r="G3750">
        <v>-207.12690000000001</v>
      </c>
      <c r="H3750" s="1">
        <v>5.7375819999999998E-6</v>
      </c>
      <c r="I3750">
        <v>210.49709999999999</v>
      </c>
      <c r="J3750">
        <v>-273.01510000000002</v>
      </c>
      <c r="K3750">
        <v>1.1043069999999999</v>
      </c>
      <c r="L3750">
        <v>214.75649999999999</v>
      </c>
      <c r="M3750">
        <v>0.99984229999999996</v>
      </c>
      <c r="N3750">
        <v>0</v>
      </c>
      <c r="O3750">
        <v>1.5022560000000001E-2</v>
      </c>
      <c r="P3750">
        <v>0.99692769999999997</v>
      </c>
      <c r="Q3750">
        <v>2.1717029999999998E-2</v>
      </c>
      <c r="R3750">
        <v>7.5257000000000004E-2</v>
      </c>
      <c r="S3750">
        <v>3.0246279999999999</v>
      </c>
      <c r="T3750">
        <v>-5.0414680000000003E-2</v>
      </c>
      <c r="U3750">
        <v>-0.1941986</v>
      </c>
      <c r="V3750">
        <v>-6.0287689999999998E-2</v>
      </c>
      <c r="W3750">
        <v>3.114275E-2</v>
      </c>
      <c r="X3750">
        <v>0.99769509999999995</v>
      </c>
      <c r="Y3750">
        <v>7.9045989999999997E-2</v>
      </c>
      <c r="Z3750">
        <v>-9.082052E-4</v>
      </c>
      <c r="AA3750">
        <v>0.99687060000000005</v>
      </c>
      <c r="AB3750">
        <v>36</v>
      </c>
      <c r="AC3750">
        <v>65.888199999999998</v>
      </c>
      <c r="AD3750">
        <v>-1.104301262418</v>
      </c>
      <c r="AE3750">
        <v>-4.2593999999999896</v>
      </c>
      <c r="AF3750">
        <v>5.2473052761889596</v>
      </c>
      <c r="AG3750">
        <v>-1.104301262418</v>
      </c>
      <c r="AH3750">
        <v>65.798368029911899</v>
      </c>
      <c r="AI3750">
        <v>90.958468685496996</v>
      </c>
      <c r="AJ3750">
        <v>85.440411015460199</v>
      </c>
      <c r="AK3750">
        <v>66.016504976705903</v>
      </c>
    </row>
    <row r="3751" spans="1:37" x14ac:dyDescent="0.2">
      <c r="A3751" t="str">
        <f>"20200111155623110"</f>
        <v>20200111155623110</v>
      </c>
      <c r="B3751" t="str">
        <f>"1578729383106103"</f>
        <v>1578729383106103</v>
      </c>
      <c r="C3751" t="s">
        <v>37</v>
      </c>
      <c r="D3751">
        <v>5.2527869999999997</v>
      </c>
      <c r="E3751">
        <v>0.52217939999999996</v>
      </c>
      <c r="F3751" t="s">
        <v>59</v>
      </c>
      <c r="G3751">
        <v>-215.27180000000001</v>
      </c>
      <c r="H3751" s="1">
        <v>1.428962E-6</v>
      </c>
      <c r="I3751">
        <v>210.94799999999901</v>
      </c>
      <c r="J3751">
        <v>-266.89460000000003</v>
      </c>
      <c r="K3751">
        <v>1.1043049999999901</v>
      </c>
      <c r="L3751">
        <v>214.8631</v>
      </c>
      <c r="M3751">
        <v>0.99978120000000004</v>
      </c>
      <c r="N3751">
        <v>0</v>
      </c>
      <c r="O3751">
        <v>1.8866580000000001E-2</v>
      </c>
      <c r="P3751">
        <v>0.99645430000000002</v>
      </c>
      <c r="Q3751">
        <v>1.6755799999999901E-2</v>
      </c>
      <c r="R3751">
        <v>8.24521E-2</v>
      </c>
      <c r="S3751">
        <v>3.025604</v>
      </c>
      <c r="T3751">
        <v>-5.7862879999999998E-2</v>
      </c>
      <c r="U3751">
        <v>-0.19955439999999999</v>
      </c>
      <c r="V3751">
        <v>-6.3651079999999999E-2</v>
      </c>
      <c r="W3751">
        <v>2.5739990000000001E-2</v>
      </c>
      <c r="X3751">
        <v>0.99764019999999998</v>
      </c>
      <c r="Y3751">
        <v>8.4608139999999998E-2</v>
      </c>
      <c r="Z3751">
        <v>-1.168531E-3</v>
      </c>
      <c r="AA3751">
        <v>0.99641360000000001</v>
      </c>
      <c r="AB3751">
        <v>38</v>
      </c>
      <c r="AC3751">
        <v>51.622799999999998</v>
      </c>
      <c r="AD3751">
        <v>-1.10430357103799</v>
      </c>
      <c r="AE3751">
        <v>-3.9151000000000198</v>
      </c>
      <c r="AF3751">
        <v>4.8861653605421802</v>
      </c>
      <c r="AG3751">
        <v>-1.10430357103799</v>
      </c>
      <c r="AH3751">
        <v>51.5163038922922</v>
      </c>
      <c r="AI3751">
        <v>91.222519479454803</v>
      </c>
      <c r="AJ3751">
        <v>84.581877142605506</v>
      </c>
      <c r="AK3751">
        <v>51.759285785553203</v>
      </c>
    </row>
    <row r="3752" spans="1:37" x14ac:dyDescent="0.2">
      <c r="A3752" t="str">
        <f>"20200111155623132"</f>
        <v>20200111155623132</v>
      </c>
      <c r="B3752" t="str">
        <f>"1578729383126600"</f>
        <v>1578729383126600</v>
      </c>
      <c r="C3752" t="s">
        <v>37</v>
      </c>
      <c r="D3752">
        <v>5.1847769999999898</v>
      </c>
      <c r="E3752">
        <v>0.52253519999999998</v>
      </c>
      <c r="F3752" t="s">
        <v>59</v>
      </c>
      <c r="G3752">
        <v>-228.1687</v>
      </c>
      <c r="H3752" s="1">
        <v>2.7564499999999899E-6</v>
      </c>
      <c r="I3752">
        <v>215.84530000000001</v>
      </c>
      <c r="J3752">
        <v>-266.51260000000002</v>
      </c>
      <c r="K3752">
        <v>1.1043190000000001</v>
      </c>
      <c r="L3752">
        <v>214.87049999999999</v>
      </c>
      <c r="M3752">
        <v>0.99977559999999999</v>
      </c>
      <c r="N3752">
        <v>0</v>
      </c>
      <c r="O3752">
        <v>1.9104759999999998E-2</v>
      </c>
      <c r="P3752">
        <v>0.99633839999999996</v>
      </c>
      <c r="Q3752">
        <v>1.7046059999999998E-2</v>
      </c>
      <c r="R3752">
        <v>8.3782399999999896E-2</v>
      </c>
      <c r="S3752">
        <v>3.005798</v>
      </c>
      <c r="T3752">
        <v>-8.5712910000000003E-2</v>
      </c>
      <c r="U3752">
        <v>7.6232910000000001E-2</v>
      </c>
      <c r="V3752">
        <v>-6.4745960000000005E-2</v>
      </c>
      <c r="W3752">
        <v>2.6136590000000001E-2</v>
      </c>
      <c r="X3752">
        <v>0.99755939999999999</v>
      </c>
      <c r="Y3752">
        <v>-6.2549700000000003E-3</v>
      </c>
      <c r="Z3752">
        <v>-4.5540499999999998E-4</v>
      </c>
      <c r="AA3752">
        <v>0.99998029999999904</v>
      </c>
      <c r="AB3752">
        <v>38</v>
      </c>
      <c r="AC3752">
        <v>38.343899999999998</v>
      </c>
      <c r="AD3752">
        <v>-1.10431624355</v>
      </c>
      <c r="AE3752">
        <v>0.97480000000001599</v>
      </c>
      <c r="AF3752">
        <v>-0.24183991804153099</v>
      </c>
      <c r="AG3752">
        <v>-1.10431624355</v>
      </c>
      <c r="AH3752">
        <v>38.323757856866003</v>
      </c>
      <c r="AI3752">
        <v>91.650513966626093</v>
      </c>
      <c r="AJ3752">
        <v>90.361556994205898</v>
      </c>
      <c r="AK3752">
        <v>38.3404279733994</v>
      </c>
    </row>
    <row r="3753" spans="1:37" x14ac:dyDescent="0.2">
      <c r="A3753" t="str">
        <f>"20200111155623153"</f>
        <v>20200111155623153</v>
      </c>
      <c r="B3753" t="str">
        <f>"1578729383146119"</f>
        <v>1578729383146119</v>
      </c>
      <c r="C3753" t="s">
        <v>37</v>
      </c>
      <c r="D3753">
        <v>5.2170350000000001</v>
      </c>
      <c r="E3753">
        <v>0.51948439999999996</v>
      </c>
      <c r="F3753" t="s">
        <v>59</v>
      </c>
      <c r="G3753">
        <v>-230.4299</v>
      </c>
      <c r="H3753" s="1">
        <v>-1.3598619999999999E-6</v>
      </c>
      <c r="I3753">
        <v>215.80240000000001</v>
      </c>
      <c r="J3753">
        <v>-266.14859999999999</v>
      </c>
      <c r="K3753">
        <v>1.104328</v>
      </c>
      <c r="L3753">
        <v>214.8777</v>
      </c>
      <c r="M3753">
        <v>0.9997703</v>
      </c>
      <c r="N3753">
        <v>0</v>
      </c>
      <c r="O3753">
        <v>1.9331299999999999E-2</v>
      </c>
      <c r="P3753">
        <v>0.99628069999999902</v>
      </c>
      <c r="Q3753">
        <v>1.7361479999999999E-2</v>
      </c>
      <c r="R3753">
        <v>8.4401229999999994E-2</v>
      </c>
      <c r="S3753">
        <v>3.0061040000000001</v>
      </c>
      <c r="T3753">
        <v>-9.2002630000000002E-2</v>
      </c>
      <c r="U3753">
        <v>7.7636720000000006E-2</v>
      </c>
      <c r="V3753">
        <v>-6.5140020000000007E-2</v>
      </c>
      <c r="W3753">
        <v>2.656416E-2</v>
      </c>
      <c r="X3753">
        <v>0.99752249999999998</v>
      </c>
      <c r="Y3753">
        <v>-6.4932509999999898E-3</v>
      </c>
      <c r="Z3753">
        <v>-4.9203959999999998E-4</v>
      </c>
      <c r="AA3753">
        <v>0.99997879999999995</v>
      </c>
      <c r="AB3753">
        <v>38</v>
      </c>
      <c r="AC3753">
        <v>35.718699999999899</v>
      </c>
      <c r="AD3753">
        <v>-1.1043293598620001</v>
      </c>
      <c r="AE3753">
        <v>0.92470000000000097</v>
      </c>
      <c r="AF3753">
        <v>-0.23378539008250299</v>
      </c>
      <c r="AG3753">
        <v>-1.1043293598620001</v>
      </c>
      <c r="AH3753">
        <v>35.695802945793901</v>
      </c>
      <c r="AI3753">
        <v>91.771969688122098</v>
      </c>
      <c r="AJ3753">
        <v>90.375246486725501</v>
      </c>
      <c r="AK3753">
        <v>35.713646507863302</v>
      </c>
    </row>
    <row r="3754" spans="1:37" x14ac:dyDescent="0.2">
      <c r="A3754" t="str">
        <f>"20200111155623176"</f>
        <v>20200111155623176</v>
      </c>
      <c r="B3754" t="str">
        <f>"1578729383166616"</f>
        <v>1578729383166616</v>
      </c>
      <c r="C3754" t="s">
        <v>37</v>
      </c>
      <c r="D3754">
        <v>5.2280470000000001</v>
      </c>
      <c r="E3754">
        <v>0.51796869999999995</v>
      </c>
      <c r="F3754" t="s">
        <v>59</v>
      </c>
      <c r="G3754">
        <v>-236.01140000000001</v>
      </c>
      <c r="H3754" s="1">
        <v>1.6048679999999901E-6</v>
      </c>
      <c r="I3754">
        <v>215.9271</v>
      </c>
      <c r="J3754">
        <v>-265.77280000000002</v>
      </c>
      <c r="K3754">
        <v>1.1043449999999999</v>
      </c>
      <c r="L3754">
        <v>214.8852</v>
      </c>
      <c r="M3754">
        <v>0.9997644</v>
      </c>
      <c r="N3754">
        <v>0</v>
      </c>
      <c r="O3754">
        <v>1.9565249999999999E-2</v>
      </c>
      <c r="P3754">
        <v>0.99626239999999999</v>
      </c>
      <c r="Q3754">
        <v>1.673243E-2</v>
      </c>
      <c r="R3754">
        <v>8.4743460000000007E-2</v>
      </c>
      <c r="S3754">
        <v>3.00430299999999</v>
      </c>
      <c r="T3754">
        <v>-0.11008759999999999</v>
      </c>
      <c r="U3754">
        <v>0.10461429999999999</v>
      </c>
      <c r="V3754">
        <v>-6.5248840000000002E-2</v>
      </c>
      <c r="W3754">
        <v>2.6067949999999999E-2</v>
      </c>
      <c r="X3754">
        <v>0.99752850000000004</v>
      </c>
      <c r="Y3754">
        <v>-1.524236E-2</v>
      </c>
      <c r="Z3754">
        <v>-4.373275E-4</v>
      </c>
      <c r="AA3754">
        <v>0.99988369999999904</v>
      </c>
      <c r="AB3754">
        <v>38</v>
      </c>
      <c r="AC3754">
        <v>29.761399999999998</v>
      </c>
      <c r="AD3754">
        <v>-1.1043433951320001</v>
      </c>
      <c r="AE3754">
        <v>1.0418999999999901</v>
      </c>
      <c r="AF3754">
        <v>-0.45875470485123399</v>
      </c>
      <c r="AG3754">
        <v>-1.1043433951320001</v>
      </c>
      <c r="AH3754">
        <v>29.735196372840601</v>
      </c>
      <c r="AI3754">
        <v>92.1266928381268</v>
      </c>
      <c r="AJ3754">
        <v>90.883889345489706</v>
      </c>
      <c r="AK3754">
        <v>29.759232744561601</v>
      </c>
    </row>
    <row r="3755" spans="1:37" x14ac:dyDescent="0.2">
      <c r="A3755" t="str">
        <f>"20200111155623198"</f>
        <v>20200111155623198</v>
      </c>
      <c r="B3755" t="str">
        <f>"1578729383186136"</f>
        <v>1578729383186136</v>
      </c>
      <c r="C3755" t="s">
        <v>37</v>
      </c>
      <c r="D3755">
        <v>5.1913260000000001</v>
      </c>
      <c r="E3755">
        <v>0.51742159999999904</v>
      </c>
      <c r="F3755" t="s">
        <v>59</v>
      </c>
      <c r="G3755">
        <v>-238.9468</v>
      </c>
      <c r="H3755" s="1">
        <v>3.1664560000000001E-6</v>
      </c>
      <c r="I3755">
        <v>215.93819999999999</v>
      </c>
      <c r="J3755">
        <v>-265.392</v>
      </c>
      <c r="K3755">
        <v>1.1043609999999999</v>
      </c>
      <c r="L3755">
        <v>214.89279999999999</v>
      </c>
      <c r="M3755">
        <v>0.99975829999999999</v>
      </c>
      <c r="N3755">
        <v>0</v>
      </c>
      <c r="O3755">
        <v>1.9802E-2</v>
      </c>
      <c r="P3755">
        <v>0.9962974</v>
      </c>
      <c r="Q3755">
        <v>1.5710419999999999E-2</v>
      </c>
      <c r="R3755">
        <v>8.4528430000000002E-2</v>
      </c>
      <c r="S3755">
        <v>3.0033259999999999</v>
      </c>
      <c r="T3755">
        <v>-0.12363730000000001</v>
      </c>
      <c r="U3755">
        <v>0.11788940000000001</v>
      </c>
      <c r="V3755">
        <v>-6.4796480000000004E-2</v>
      </c>
      <c r="W3755">
        <v>2.5216590000000001E-2</v>
      </c>
      <c r="X3755">
        <v>0.99757980000000002</v>
      </c>
      <c r="Y3755">
        <v>-1.9427699999999999E-2</v>
      </c>
      <c r="Z3755">
        <v>-4.1487940000000002E-4</v>
      </c>
      <c r="AA3755">
        <v>0.99981119999999901</v>
      </c>
      <c r="AB3755">
        <v>38</v>
      </c>
      <c r="AC3755">
        <v>26.4452</v>
      </c>
      <c r="AD3755">
        <v>-1.1043578335440001</v>
      </c>
      <c r="AE3755">
        <v>1.0454000000000001</v>
      </c>
      <c r="AF3755">
        <v>-0.52059680201762704</v>
      </c>
      <c r="AG3755">
        <v>-1.1043578335440001</v>
      </c>
      <c r="AH3755">
        <v>26.414722915163299</v>
      </c>
      <c r="AI3755">
        <v>92.3935874996439</v>
      </c>
      <c r="AJ3755">
        <v>91.129072546628095</v>
      </c>
      <c r="AK3755">
        <v>26.442923702564201</v>
      </c>
    </row>
    <row r="3756" spans="1:37" x14ac:dyDescent="0.2">
      <c r="A3756" t="str">
        <f>"20200111155623220"</f>
        <v>20200111155623220</v>
      </c>
      <c r="B3756" t="str">
        <f>"1578729383216900"</f>
        <v>1578729383216900</v>
      </c>
      <c r="C3756" t="s">
        <v>37</v>
      </c>
      <c r="D3756">
        <v>5.2421360000000004</v>
      </c>
      <c r="E3756">
        <v>0.51696030000000004</v>
      </c>
      <c r="F3756" t="s">
        <v>59</v>
      </c>
      <c r="G3756">
        <v>-240.52029999999999</v>
      </c>
      <c r="H3756" s="1">
        <v>-1.3160749999999999E-6</v>
      </c>
      <c r="I3756">
        <v>215.90110000000001</v>
      </c>
      <c r="J3756">
        <v>-265.02190000000002</v>
      </c>
      <c r="K3756">
        <v>1.1043959999999999</v>
      </c>
      <c r="L3756">
        <v>214.90039999999999</v>
      </c>
      <c r="M3756">
        <v>0.99975139999999996</v>
      </c>
      <c r="N3756">
        <v>0</v>
      </c>
      <c r="O3756">
        <v>2.0034420000000001E-2</v>
      </c>
      <c r="P3756">
        <v>0.99628570000000005</v>
      </c>
      <c r="Q3756">
        <v>1.46132E-2</v>
      </c>
      <c r="R3756">
        <v>8.4862389999999996E-2</v>
      </c>
      <c r="S3756">
        <v>3.0029599999999999</v>
      </c>
      <c r="T3756">
        <v>-0.1333385</v>
      </c>
      <c r="U3756">
        <v>0.1217346</v>
      </c>
      <c r="V3756">
        <v>-6.4898250000000005E-2</v>
      </c>
      <c r="W3756">
        <v>2.4349490000000001E-2</v>
      </c>
      <c r="X3756">
        <v>0.9975948</v>
      </c>
      <c r="Y3756">
        <v>-2.0477430000000001E-2</v>
      </c>
      <c r="Z3756">
        <v>-4.344676E-4</v>
      </c>
      <c r="AA3756">
        <v>0.99979019999999996</v>
      </c>
      <c r="AB3756">
        <v>38</v>
      </c>
      <c r="AC3756">
        <v>24.5016</v>
      </c>
      <c r="AD3756">
        <v>-1.104397316075</v>
      </c>
      <c r="AE3756">
        <v>1.0007000000000199</v>
      </c>
      <c r="AF3756">
        <v>-0.50856873754321996</v>
      </c>
      <c r="AG3756">
        <v>-1.104397316075</v>
      </c>
      <c r="AH3756">
        <v>24.467103952362901</v>
      </c>
      <c r="AI3756">
        <v>92.583908000626195</v>
      </c>
      <c r="AJ3756">
        <v>91.190768098959794</v>
      </c>
      <c r="AK3756">
        <v>24.497296001973201</v>
      </c>
    </row>
    <row r="3757" spans="1:37" x14ac:dyDescent="0.2">
      <c r="A3757" t="str">
        <f>"20200111155623243"</f>
        <v>20200111155623243</v>
      </c>
      <c r="B3757" t="str">
        <f>"1578729383236420"</f>
        <v>1578729383236420</v>
      </c>
      <c r="C3757" t="s">
        <v>37</v>
      </c>
      <c r="D3757">
        <v>5.2414180000000004</v>
      </c>
      <c r="E3757">
        <v>0.51702409999999999</v>
      </c>
      <c r="F3757" t="s">
        <v>59</v>
      </c>
      <c r="G3757">
        <v>-241.8561</v>
      </c>
      <c r="H3757" s="1">
        <v>-6.0415600000000003E-7</v>
      </c>
      <c r="I3757">
        <v>215.87719999999999</v>
      </c>
      <c r="J3757">
        <v>-264.635999999999</v>
      </c>
      <c r="K3757">
        <v>1.104447</v>
      </c>
      <c r="L3757">
        <v>214.9083</v>
      </c>
      <c r="M3757">
        <v>0.99974339999999995</v>
      </c>
      <c r="N3757">
        <v>0</v>
      </c>
      <c r="O3757">
        <v>2.026973E-2</v>
      </c>
      <c r="P3757">
        <v>0.99629009999999996</v>
      </c>
      <c r="Q3757">
        <v>1.356767E-2</v>
      </c>
      <c r="R3757">
        <v>8.4982199999999994E-2</v>
      </c>
      <c r="S3757">
        <v>3.0025019999999998</v>
      </c>
      <c r="T3757">
        <v>-0.14313999999999999</v>
      </c>
      <c r="U3757">
        <v>0.1266022</v>
      </c>
      <c r="V3757">
        <v>-6.4782350000000002E-2</v>
      </c>
      <c r="W3757">
        <v>2.3621570000000001E-2</v>
      </c>
      <c r="X3757">
        <v>0.99761979999999995</v>
      </c>
      <c r="Y3757">
        <v>-2.186488E-2</v>
      </c>
      <c r="Z3757">
        <v>-4.4458870000000001E-4</v>
      </c>
      <c r="AA3757">
        <v>0.99976080000000001</v>
      </c>
      <c r="AB3757">
        <v>38</v>
      </c>
      <c r="AC3757">
        <v>22.779899999999898</v>
      </c>
      <c r="AD3757">
        <v>-1.1044476041560001</v>
      </c>
      <c r="AE3757">
        <v>0.96889999999998999</v>
      </c>
      <c r="AF3757">
        <v>-0.50574819469532495</v>
      </c>
      <c r="AG3757">
        <v>-1.1044476041560001</v>
      </c>
      <c r="AH3757">
        <v>22.741499084681202</v>
      </c>
      <c r="AI3757">
        <v>92.779715624605899</v>
      </c>
      <c r="AJ3757">
        <v>91.273990832390098</v>
      </c>
      <c r="AK3757">
        <v>22.7739185553413</v>
      </c>
    </row>
    <row r="3758" spans="1:37" x14ac:dyDescent="0.2">
      <c r="A3758" t="str">
        <f>"20200111155623264"</f>
        <v>20200111155623264</v>
      </c>
      <c r="B3758" t="str">
        <f>"1578729383256916"</f>
        <v>1578729383256916</v>
      </c>
      <c r="C3758" t="s">
        <v>37</v>
      </c>
      <c r="D3758">
        <v>5.3445289999999996</v>
      </c>
      <c r="E3758">
        <v>0.51703589999999999</v>
      </c>
      <c r="F3758" t="s">
        <v>59</v>
      </c>
      <c r="G3758">
        <v>-242.68620000000001</v>
      </c>
      <c r="H3758" s="1">
        <v>-1.6051220000000001E-7</v>
      </c>
      <c r="I3758">
        <v>215.833</v>
      </c>
      <c r="J3758">
        <v>-264.27589999999998</v>
      </c>
      <c r="K3758">
        <v>1.104495</v>
      </c>
      <c r="L3758">
        <v>214.91589999999999</v>
      </c>
      <c r="M3758">
        <v>0.9997355</v>
      </c>
      <c r="N3758">
        <v>0</v>
      </c>
      <c r="O3758">
        <v>2.04843E-2</v>
      </c>
      <c r="P3758">
        <v>0.99628030000000001</v>
      </c>
      <c r="Q3758">
        <v>1.2047230000000001E-2</v>
      </c>
      <c r="R3758">
        <v>8.5326559999999996E-2</v>
      </c>
      <c r="S3758">
        <v>3.0024410000000001</v>
      </c>
      <c r="T3758">
        <v>-0.1510735</v>
      </c>
      <c r="U3758">
        <v>0.12648010000000001</v>
      </c>
      <c r="V3758">
        <v>-6.4912079999999997E-2</v>
      </c>
      <c r="W3758">
        <v>2.243933E-2</v>
      </c>
      <c r="X3758">
        <v>0.99763860000000004</v>
      </c>
      <c r="Y3758">
        <v>-2.1610899999999999E-2</v>
      </c>
      <c r="Z3758">
        <v>-4.8637769999999999E-4</v>
      </c>
      <c r="AA3758">
        <v>0.9997663</v>
      </c>
      <c r="AB3758">
        <v>38</v>
      </c>
      <c r="AC3758">
        <v>21.589699999999901</v>
      </c>
      <c r="AD3758">
        <v>-1.1044951605122</v>
      </c>
      <c r="AE3758">
        <v>0.91710000000000402</v>
      </c>
      <c r="AF3758">
        <v>-0.47339674509588597</v>
      </c>
      <c r="AG3758">
        <v>-1.1044951605122</v>
      </c>
      <c r="AH3758">
        <v>21.547663971815801</v>
      </c>
      <c r="AI3758">
        <v>92.933605625241</v>
      </c>
      <c r="AJ3758">
        <v>91.258571365691694</v>
      </c>
      <c r="AK3758">
        <v>21.581145397780698</v>
      </c>
    </row>
    <row r="3759" spans="1:37" x14ac:dyDescent="0.2">
      <c r="A3759" t="str">
        <f>"20200111155623287"</f>
        <v>20200111155623287</v>
      </c>
      <c r="B3759" t="str">
        <f>"1578729383276436"</f>
        <v>1578729383276436</v>
      </c>
      <c r="C3759" t="s">
        <v>37</v>
      </c>
      <c r="D3759">
        <v>5.2798379999999998</v>
      </c>
      <c r="E3759">
        <v>0.51705489999999998</v>
      </c>
      <c r="F3759" t="s">
        <v>59</v>
      </c>
      <c r="G3759">
        <v>-243.2285</v>
      </c>
      <c r="H3759" s="1">
        <v>1.2910429999999999E-7</v>
      </c>
      <c r="I3759">
        <v>215.80930000000001</v>
      </c>
      <c r="J3759">
        <v>-263.897999999999</v>
      </c>
      <c r="K3759">
        <v>1.1045510000000001</v>
      </c>
      <c r="L3759">
        <v>214.9238</v>
      </c>
      <c r="M3759">
        <v>0.99972669999999997</v>
      </c>
      <c r="N3759">
        <v>0</v>
      </c>
      <c r="O3759">
        <v>2.0711960000000001E-2</v>
      </c>
      <c r="P3759">
        <v>0.99626979999999998</v>
      </c>
      <c r="Q3759">
        <v>1.144702E-2</v>
      </c>
      <c r="R3759">
        <v>8.5531029999999994E-2</v>
      </c>
      <c r="S3759">
        <v>3.0022279999999899</v>
      </c>
      <c r="T3759">
        <v>-0.1575462</v>
      </c>
      <c r="U3759">
        <v>0.12744140000000001</v>
      </c>
      <c r="V3759">
        <v>-6.4889069999999993E-2</v>
      </c>
      <c r="W3759">
        <v>2.2241489999999999E-2</v>
      </c>
      <c r="X3759">
        <v>0.99764459999999999</v>
      </c>
      <c r="Y3759">
        <v>-2.1705749999999999E-2</v>
      </c>
      <c r="Z3759">
        <v>-5.1666799999999997E-4</v>
      </c>
      <c r="AA3759">
        <v>0.99976430000000005</v>
      </c>
      <c r="AB3759">
        <v>38</v>
      </c>
      <c r="AC3759">
        <v>20.6694999999999</v>
      </c>
      <c r="AD3759">
        <v>-1.1045508708956999</v>
      </c>
      <c r="AE3759">
        <v>0.88550000000000695</v>
      </c>
      <c r="AF3759">
        <v>-0.45587953783942903</v>
      </c>
      <c r="AG3759">
        <v>-1.1045508708956999</v>
      </c>
      <c r="AH3759">
        <v>20.6246173916213</v>
      </c>
      <c r="AI3759">
        <v>93.0647983157601</v>
      </c>
      <c r="AJ3759">
        <v>91.266240260739593</v>
      </c>
      <c r="AK3759">
        <v>20.659203792261302</v>
      </c>
    </row>
    <row r="3760" spans="1:37" x14ac:dyDescent="0.2">
      <c r="A3760" t="str">
        <f>"20200111155623311"</f>
        <v>20200111155623311</v>
      </c>
      <c r="B3760" t="str">
        <f>"1578729383307200"</f>
        <v>1578729383307200</v>
      </c>
      <c r="C3760" t="s">
        <v>37</v>
      </c>
      <c r="D3760">
        <v>5.378844</v>
      </c>
      <c r="E3760">
        <v>0.51671449999999997</v>
      </c>
      <c r="F3760" t="s">
        <v>59</v>
      </c>
      <c r="G3760">
        <v>-243.5394</v>
      </c>
      <c r="H3760" s="1">
        <v>2.9530979999999998E-7</v>
      </c>
      <c r="I3760">
        <v>215.79239999999999</v>
      </c>
      <c r="J3760">
        <v>-263.50760000000002</v>
      </c>
      <c r="K3760">
        <v>1.1046119999999999</v>
      </c>
      <c r="L3760">
        <v>214.93219999999999</v>
      </c>
      <c r="M3760">
        <v>0.99971679999999996</v>
      </c>
      <c r="N3760">
        <v>0</v>
      </c>
      <c r="O3760">
        <v>2.0952599999999998E-2</v>
      </c>
      <c r="P3760">
        <v>0.99628069999999902</v>
      </c>
      <c r="Q3760">
        <v>1.0484159999999999E-2</v>
      </c>
      <c r="R3760">
        <v>8.5530469999999997E-2</v>
      </c>
      <c r="S3760">
        <v>3.0021059999999999</v>
      </c>
      <c r="T3760">
        <v>-0.16287869999999999</v>
      </c>
      <c r="U3760">
        <v>0.12808230000000001</v>
      </c>
      <c r="V3760">
        <v>-6.4647670000000004E-2</v>
      </c>
      <c r="W3760">
        <v>2.1716619999999999E-2</v>
      </c>
      <c r="X3760">
        <v>0.9976718</v>
      </c>
      <c r="Y3760">
        <v>-2.1680060000000001E-2</v>
      </c>
      <c r="Z3760">
        <v>-5.4788679999999998E-4</v>
      </c>
      <c r="AA3760">
        <v>0.99976480000000001</v>
      </c>
      <c r="AB3760">
        <v>38</v>
      </c>
      <c r="AC3760">
        <v>19.9682</v>
      </c>
      <c r="AD3760">
        <v>-1.1046117046902</v>
      </c>
      <c r="AE3760">
        <v>0.86019999999999097</v>
      </c>
      <c r="AF3760">
        <v>-0.44025405056364098</v>
      </c>
      <c r="AG3760">
        <v>-1.1046117046902</v>
      </c>
      <c r="AH3760">
        <v>19.920992273297301</v>
      </c>
      <c r="AI3760">
        <v>93.173006639554998</v>
      </c>
      <c r="AJ3760">
        <v>91.266030988843895</v>
      </c>
      <c r="AK3760">
        <v>19.956450681420002</v>
      </c>
    </row>
    <row r="3761" spans="1:37" x14ac:dyDescent="0.2">
      <c r="A3761" t="str">
        <f>"20200111155623332"</f>
        <v>20200111155623332</v>
      </c>
      <c r="B3761" t="str">
        <f>"1578729383326719"</f>
        <v>1578729383326719</v>
      </c>
      <c r="C3761" t="s">
        <v>37</v>
      </c>
      <c r="D3761">
        <v>5.3327080000000002</v>
      </c>
      <c r="E3761">
        <v>0.48663999999999902</v>
      </c>
      <c r="F3761" t="s">
        <v>59</v>
      </c>
      <c r="G3761">
        <v>-243.57669999999999</v>
      </c>
      <c r="H3761" s="1">
        <v>3.14792299999999E-7</v>
      </c>
      <c r="I3761">
        <v>215.8</v>
      </c>
      <c r="J3761">
        <v>-263.140999999999</v>
      </c>
      <c r="K3761">
        <v>1.104662</v>
      </c>
      <c r="L3761">
        <v>214.9401</v>
      </c>
      <c r="M3761">
        <v>0.99970740000000002</v>
      </c>
      <c r="N3761">
        <v>0</v>
      </c>
      <c r="O3761">
        <v>2.118097E-2</v>
      </c>
      <c r="P3761">
        <v>0.99625259999999904</v>
      </c>
      <c r="Q3761">
        <v>1.087493E-2</v>
      </c>
      <c r="R3761">
        <v>8.5806090000000002E-2</v>
      </c>
      <c r="S3761">
        <v>3.0017399999999999</v>
      </c>
      <c r="T3761">
        <v>-0.16636199999999901</v>
      </c>
      <c r="U3761">
        <v>0.13070680000000001</v>
      </c>
      <c r="V3761">
        <v>-6.4696009999999998E-2</v>
      </c>
      <c r="W3761">
        <v>2.2505589999999999E-2</v>
      </c>
      <c r="X3761">
        <v>0.99765119999999896</v>
      </c>
      <c r="Y3761">
        <v>-2.2328580000000001E-2</v>
      </c>
      <c r="Z3761">
        <v>-5.5433480000000002E-4</v>
      </c>
      <c r="AA3761">
        <v>0.99975059999999905</v>
      </c>
      <c r="AB3761">
        <v>38</v>
      </c>
      <c r="AC3761">
        <v>19.5642999999999</v>
      </c>
      <c r="AD3761">
        <v>-1.1046616852077</v>
      </c>
      <c r="AE3761">
        <v>0.85990000000000999</v>
      </c>
      <c r="AF3761">
        <v>-0.44387554488012798</v>
      </c>
      <c r="AG3761">
        <v>-1.1046616852077</v>
      </c>
      <c r="AH3761">
        <v>19.516026271819801</v>
      </c>
      <c r="AI3761">
        <v>93.238808735184094</v>
      </c>
      <c r="AJ3761">
        <v>91.302919509714897</v>
      </c>
      <c r="AK3761">
        <v>19.552303812606599</v>
      </c>
    </row>
    <row r="3762" spans="1:37" x14ac:dyDescent="0.2">
      <c r="A3762" t="str">
        <f>"20200111155623355"</f>
        <v>20200111155623355</v>
      </c>
      <c r="B3762" t="str">
        <f>"1578729383346239"</f>
        <v>1578729383346239</v>
      </c>
      <c r="C3762" t="s">
        <v>37</v>
      </c>
      <c r="D3762">
        <v>5.4659379999999897</v>
      </c>
      <c r="E3762">
        <v>0.48512749999999999</v>
      </c>
      <c r="F3762" t="s">
        <v>59</v>
      </c>
      <c r="G3762">
        <v>-230.20590000000001</v>
      </c>
      <c r="H3762" s="1">
        <v>-1.61931E-6</v>
      </c>
      <c r="I3762">
        <v>219.0111</v>
      </c>
      <c r="J3762">
        <v>-262.76609999999999</v>
      </c>
      <c r="K3762">
        <v>1.1047020000000001</v>
      </c>
      <c r="L3762">
        <v>214.94820000000001</v>
      </c>
      <c r="M3762">
        <v>0.99969799999999998</v>
      </c>
      <c r="N3762">
        <v>0</v>
      </c>
      <c r="O3762">
        <v>2.1413399999999999E-2</v>
      </c>
      <c r="P3762">
        <v>0.99621190000000004</v>
      </c>
      <c r="Q3762">
        <v>1.077403E-2</v>
      </c>
      <c r="R3762">
        <v>8.6289829999999998E-2</v>
      </c>
      <c r="S3762">
        <v>2.980591</v>
      </c>
      <c r="T3762">
        <v>-9.9970820000000002E-2</v>
      </c>
      <c r="U3762">
        <v>0.36842350000000001</v>
      </c>
      <c r="V3762">
        <v>-6.4948220000000001E-2</v>
      </c>
      <c r="W3762">
        <v>2.2782090000000001E-2</v>
      </c>
      <c r="X3762">
        <v>0.99762859999999998</v>
      </c>
      <c r="Y3762">
        <v>-0.1013483</v>
      </c>
      <c r="Z3762">
        <v>9.7765630000000003E-4</v>
      </c>
      <c r="AA3762">
        <v>0.99485049999999997</v>
      </c>
      <c r="AB3762">
        <v>38</v>
      </c>
      <c r="AC3762">
        <v>32.560199999999902</v>
      </c>
      <c r="AD3762">
        <v>-1.1047036193099999</v>
      </c>
      <c r="AE3762">
        <v>4.0628999999999804</v>
      </c>
      <c r="AF3762">
        <v>-3.3608835599278901</v>
      </c>
      <c r="AG3762">
        <v>-1.1047036193099999</v>
      </c>
      <c r="AH3762">
        <v>32.602785854044598</v>
      </c>
      <c r="AI3762">
        <v>91.930429483324502</v>
      </c>
      <c r="AJ3762">
        <v>95.885590694406204</v>
      </c>
      <c r="AK3762">
        <v>32.794169509755903</v>
      </c>
    </row>
    <row r="3763" spans="1:37" x14ac:dyDescent="0.2">
      <c r="A3763" t="str">
        <f>"20200111155623377"</f>
        <v>20200111155623377</v>
      </c>
      <c r="B3763" t="str">
        <f>"1578729383366735"</f>
        <v>1578729383366735</v>
      </c>
      <c r="C3763" t="s">
        <v>37</v>
      </c>
      <c r="D3763">
        <v>5.2998659999999997</v>
      </c>
      <c r="E3763">
        <v>0.48507209999999901</v>
      </c>
      <c r="F3763" t="s">
        <v>59</v>
      </c>
      <c r="G3763">
        <v>-233.4032</v>
      </c>
      <c r="H3763" s="1">
        <v>9.50624299999999E-8</v>
      </c>
      <c r="I3763">
        <v>218.71469999999999</v>
      </c>
      <c r="J3763">
        <v>-262.39</v>
      </c>
      <c r="K3763">
        <v>1.1047340000000001</v>
      </c>
      <c r="L3763">
        <v>214.95650000000001</v>
      </c>
      <c r="M3763">
        <v>0.99968869999999899</v>
      </c>
      <c r="N3763">
        <v>0</v>
      </c>
      <c r="O3763">
        <v>2.164313E-2</v>
      </c>
      <c r="P3763">
        <v>0.99618719999999905</v>
      </c>
      <c r="Q3763">
        <v>1.040224E-2</v>
      </c>
      <c r="R3763">
        <v>8.6620370000000002E-2</v>
      </c>
      <c r="S3763">
        <v>2.9795229999999999</v>
      </c>
      <c r="T3763">
        <v>-0.11209669999999999</v>
      </c>
      <c r="U3763">
        <v>0.3821869</v>
      </c>
      <c r="V3763">
        <v>-6.5050060000000007E-2</v>
      </c>
      <c r="W3763">
        <v>2.2754440000000001E-2</v>
      </c>
      <c r="X3763">
        <v>0.99762249999999997</v>
      </c>
      <c r="Y3763">
        <v>-0.1056716</v>
      </c>
      <c r="Z3763">
        <v>1.168611E-3</v>
      </c>
      <c r="AA3763">
        <v>0.99440039999999996</v>
      </c>
      <c r="AB3763">
        <v>37</v>
      </c>
      <c r="AC3763">
        <v>28.986799999999899</v>
      </c>
      <c r="AD3763">
        <v>-1.10473390493757</v>
      </c>
      <c r="AE3763">
        <v>3.75819999999998</v>
      </c>
      <c r="AF3763">
        <v>-3.1254414850274701</v>
      </c>
      <c r="AG3763">
        <v>-1.10473390493757</v>
      </c>
      <c r="AH3763">
        <v>29.019900123533699</v>
      </c>
      <c r="AI3763">
        <v>92.167568794812198</v>
      </c>
      <c r="AJ3763">
        <v>96.1470579114836</v>
      </c>
      <c r="AK3763">
        <v>29.2086190131769</v>
      </c>
    </row>
    <row r="3764" spans="1:37" x14ac:dyDescent="0.2">
      <c r="A3764" t="str">
        <f>"20200111155623399"</f>
        <v>20200111155623399</v>
      </c>
      <c r="B3764" t="str">
        <f>"1578729383396991"</f>
        <v>1578729383396991</v>
      </c>
      <c r="C3764" t="s">
        <v>37</v>
      </c>
      <c r="D3764">
        <v>5.2955769999999998</v>
      </c>
      <c r="E3764">
        <v>0.48375879999999999</v>
      </c>
      <c r="F3764" t="s">
        <v>59</v>
      </c>
      <c r="G3764">
        <v>-235.14099999999999</v>
      </c>
      <c r="H3764" s="1">
        <v>1.030571E-6</v>
      </c>
      <c r="I3764">
        <v>218.4699</v>
      </c>
      <c r="J3764">
        <v>-262.02109999999999</v>
      </c>
      <c r="K3764">
        <v>1.104754</v>
      </c>
      <c r="L3764">
        <v>214.96469999999999</v>
      </c>
      <c r="M3764">
        <v>0.99967999999999901</v>
      </c>
      <c r="N3764">
        <v>0</v>
      </c>
      <c r="O3764">
        <v>2.1865840000000001E-2</v>
      </c>
      <c r="P3764">
        <v>0.99614439999999904</v>
      </c>
      <c r="Q3764">
        <v>1.000647E-2</v>
      </c>
      <c r="R3764">
        <v>8.7156510000000006E-2</v>
      </c>
      <c r="S3764">
        <v>2.9793090000000002</v>
      </c>
      <c r="T3764">
        <v>-0.1207877</v>
      </c>
      <c r="U3764">
        <v>0.38413999999999998</v>
      </c>
      <c r="V3764">
        <v>-6.5364610000000004E-2</v>
      </c>
      <c r="W3764">
        <v>2.2661000000000001E-2</v>
      </c>
      <c r="X3764">
        <v>0.99760409999999899</v>
      </c>
      <c r="Y3764">
        <v>-0.1060907</v>
      </c>
      <c r="Z3764">
        <v>1.258655E-3</v>
      </c>
      <c r="AA3764">
        <v>0.99435569999999895</v>
      </c>
      <c r="AB3764">
        <v>37</v>
      </c>
      <c r="AC3764">
        <v>26.880099999999999</v>
      </c>
      <c r="AD3764">
        <v>-1.1047529694289999</v>
      </c>
      <c r="AE3764">
        <v>3.5051999999999999</v>
      </c>
      <c r="AF3764">
        <v>-2.9117221997146099</v>
      </c>
      <c r="AG3764">
        <v>-1.1047529694289999</v>
      </c>
      <c r="AH3764">
        <v>26.905634846774401</v>
      </c>
      <c r="AI3764">
        <v>92.337626658626405</v>
      </c>
      <c r="AJ3764">
        <v>96.176500096717007</v>
      </c>
      <c r="AK3764">
        <v>27.085268907650399</v>
      </c>
    </row>
    <row r="3765" spans="1:37" x14ac:dyDescent="0.2">
      <c r="A3765" t="str">
        <f>"20200111155623422"</f>
        <v>20200111155623422</v>
      </c>
      <c r="B3765" t="str">
        <f>"1578729383416511"</f>
        <v>1578729383416511</v>
      </c>
      <c r="C3765" t="s">
        <v>37</v>
      </c>
      <c r="D3765">
        <v>5.2817660000000002</v>
      </c>
      <c r="E3765">
        <v>0.48385489999999998</v>
      </c>
      <c r="F3765" t="s">
        <v>59</v>
      </c>
      <c r="G3765">
        <v>-235.34599999999901</v>
      </c>
      <c r="H3765" s="1">
        <v>1.1377159999999999E-6</v>
      </c>
      <c r="I3765">
        <v>218.5137</v>
      </c>
      <c r="J3765">
        <v>-261.64440000000002</v>
      </c>
      <c r="K3765">
        <v>1.10477</v>
      </c>
      <c r="L3765">
        <v>214.97319999999999</v>
      </c>
      <c r="M3765">
        <v>0.99967159999999999</v>
      </c>
      <c r="N3765">
        <v>0</v>
      </c>
      <c r="O3765">
        <v>2.209268E-2</v>
      </c>
      <c r="P3765">
        <v>0.99613619999999903</v>
      </c>
      <c r="Q3765">
        <v>9.9389359999999902E-3</v>
      </c>
      <c r="R3765">
        <v>8.7259399999999904E-2</v>
      </c>
      <c r="S3765">
        <v>2.97818</v>
      </c>
      <c r="T3765">
        <v>-0.1233418</v>
      </c>
      <c r="U3765">
        <v>0.39622499999999999</v>
      </c>
      <c r="V3765">
        <v>-6.5241090000000002E-2</v>
      </c>
      <c r="W3765">
        <v>2.286885E-2</v>
      </c>
      <c r="X3765">
        <v>0.99760749999999998</v>
      </c>
      <c r="Y3765">
        <v>-0.109873</v>
      </c>
      <c r="Z3765">
        <v>1.354004E-3</v>
      </c>
      <c r="AA3765">
        <v>0.99394470000000001</v>
      </c>
      <c r="AB3765">
        <v>37</v>
      </c>
      <c r="AC3765">
        <v>26.298400000000001</v>
      </c>
      <c r="AD3765">
        <v>-1.104768862284</v>
      </c>
      <c r="AE3765">
        <v>3.5405000000000002</v>
      </c>
      <c r="AF3765">
        <v>-2.95346523845412</v>
      </c>
      <c r="AG3765">
        <v>-1.104768862284</v>
      </c>
      <c r="AH3765">
        <v>26.324576529767</v>
      </c>
      <c r="AI3765">
        <v>92.388167405183395</v>
      </c>
      <c r="AJ3765">
        <v>96.401485006532397</v>
      </c>
      <c r="AK3765">
        <v>26.512766747840399</v>
      </c>
    </row>
    <row r="3766" spans="1:37" x14ac:dyDescent="0.2">
      <c r="A3766" t="str">
        <f>"20200111155623444"</f>
        <v>20200111155623444</v>
      </c>
      <c r="B3766" t="str">
        <f>"1578729383437007"</f>
        <v>1578729383437007</v>
      </c>
      <c r="C3766" t="s">
        <v>37</v>
      </c>
      <c r="D3766">
        <v>5.4977660000000004</v>
      </c>
      <c r="E3766">
        <v>0.48385240000000002</v>
      </c>
      <c r="F3766" t="s">
        <v>59</v>
      </c>
      <c r="G3766">
        <v>-235.20249999999999</v>
      </c>
      <c r="H3766" s="1">
        <v>1.0625279999999999E-6</v>
      </c>
      <c r="I3766">
        <v>218.48750000000001</v>
      </c>
      <c r="J3766">
        <v>-261.2688</v>
      </c>
      <c r="K3766">
        <v>1.1047830000000001</v>
      </c>
      <c r="L3766">
        <v>214.98169999999999</v>
      </c>
      <c r="M3766">
        <v>0.99966330000000003</v>
      </c>
      <c r="N3766">
        <v>0</v>
      </c>
      <c r="O3766">
        <v>2.2320449999999999E-2</v>
      </c>
      <c r="P3766">
        <v>0.99614179999999997</v>
      </c>
      <c r="Q3766">
        <v>9.8459110000000006E-3</v>
      </c>
      <c r="R3766">
        <v>8.7206619999999999E-2</v>
      </c>
      <c r="S3766">
        <v>2.9782099999999998</v>
      </c>
      <c r="T3766">
        <v>-0.1244329</v>
      </c>
      <c r="U3766">
        <v>0.39582820000000002</v>
      </c>
      <c r="V3766">
        <v>-6.4960690000000001E-2</v>
      </c>
      <c r="W3766">
        <v>2.301949E-2</v>
      </c>
      <c r="X3766">
        <v>0.99762229999999996</v>
      </c>
      <c r="Y3766">
        <v>-0.10951420000000001</v>
      </c>
      <c r="Z3766">
        <v>1.349044E-3</v>
      </c>
      <c r="AA3766">
        <v>0.99398430000000004</v>
      </c>
      <c r="AB3766">
        <v>37</v>
      </c>
      <c r="AC3766">
        <v>26.066299999999998</v>
      </c>
      <c r="AD3766">
        <v>-1.104781937472</v>
      </c>
      <c r="AE3766">
        <v>3.5058000000000198</v>
      </c>
      <c r="AF3766">
        <v>-2.9179154467546198</v>
      </c>
      <c r="AG3766">
        <v>-1.104781937472</v>
      </c>
      <c r="AH3766">
        <v>26.092024798803099</v>
      </c>
      <c r="AI3766">
        <v>92.4095525715001</v>
      </c>
      <c r="AJ3766">
        <v>96.380971626382504</v>
      </c>
      <c r="AK3766">
        <v>26.277909577915999</v>
      </c>
    </row>
    <row r="3767" spans="1:37" x14ac:dyDescent="0.2">
      <c r="A3767" t="str">
        <f>"20200111155623467"</f>
        <v>20200111155623467</v>
      </c>
      <c r="B3767" t="str">
        <f>"1578729383456528"</f>
        <v>1578729383456528</v>
      </c>
      <c r="C3767" t="s">
        <v>37</v>
      </c>
      <c r="D3767">
        <v>5.2262879999999896</v>
      </c>
      <c r="E3767">
        <v>0.4838865</v>
      </c>
      <c r="F3767" t="s">
        <v>59</v>
      </c>
      <c r="G3767">
        <v>-235.11189999999999</v>
      </c>
      <c r="H3767" s="1">
        <v>1.015605E-6</v>
      </c>
      <c r="I3767">
        <v>218.45699999999999</v>
      </c>
      <c r="J3767">
        <v>-260.90449999999998</v>
      </c>
      <c r="K3767">
        <v>1.1047899999999999</v>
      </c>
      <c r="L3767">
        <v>214.99010000000001</v>
      </c>
      <c r="M3767">
        <v>0.99965550000000003</v>
      </c>
      <c r="N3767">
        <v>0</v>
      </c>
      <c r="O3767">
        <v>2.2542220000000002E-2</v>
      </c>
      <c r="P3767">
        <v>0.99617169999999899</v>
      </c>
      <c r="Q3767">
        <v>9.8497359999999996E-3</v>
      </c>
      <c r="R3767">
        <v>8.6863289999999996E-2</v>
      </c>
      <c r="S3767">
        <v>2.9782099999999998</v>
      </c>
      <c r="T3767">
        <v>-0.12578980000000001</v>
      </c>
      <c r="U3767">
        <v>0.39569090000000001</v>
      </c>
      <c r="V3767">
        <v>-6.4395709999999995E-2</v>
      </c>
      <c r="W3767">
        <v>2.3232579999999999E-2</v>
      </c>
      <c r="X3767">
        <v>0.99765400000000004</v>
      </c>
      <c r="Y3767">
        <v>-0.10924739999999999</v>
      </c>
      <c r="Z3767">
        <v>1.348822E-3</v>
      </c>
      <c r="AA3767">
        <v>0.994013699999999</v>
      </c>
      <c r="AB3767">
        <v>37</v>
      </c>
      <c r="AC3767">
        <v>25.7926</v>
      </c>
      <c r="AD3767">
        <v>-1.1047889843949901</v>
      </c>
      <c r="AE3767">
        <v>3.4668999999999799</v>
      </c>
      <c r="AF3767">
        <v>-2.8793548210129898</v>
      </c>
      <c r="AG3767">
        <v>-1.1047889843949901</v>
      </c>
      <c r="AH3767">
        <v>25.817675957935499</v>
      </c>
      <c r="AI3767">
        <v>92.435224166000097</v>
      </c>
      <c r="AJ3767">
        <v>96.3636999836895</v>
      </c>
      <c r="AK3767">
        <v>26.001223716477099</v>
      </c>
    </row>
    <row r="3768" spans="1:37" x14ac:dyDescent="0.2">
      <c r="A3768" t="str">
        <f>"20200111155623488"</f>
        <v>20200111155623488</v>
      </c>
      <c r="B3768" t="str">
        <f>"1578729383477023"</f>
        <v>1578729383477023</v>
      </c>
      <c r="C3768" t="s">
        <v>37</v>
      </c>
      <c r="D3768">
        <v>5.135046</v>
      </c>
      <c r="E3768">
        <v>0.48374979999999901</v>
      </c>
      <c r="F3768" t="s">
        <v>59</v>
      </c>
      <c r="G3768">
        <v>-235.1121</v>
      </c>
      <c r="H3768" s="1">
        <v>1.017999E-6</v>
      </c>
      <c r="I3768">
        <v>218.40530000000001</v>
      </c>
      <c r="J3768">
        <v>-260.53550000000001</v>
      </c>
      <c r="K3768">
        <v>1.104792</v>
      </c>
      <c r="L3768">
        <v>214.99860000000001</v>
      </c>
      <c r="M3768">
        <v>0.99964799999999998</v>
      </c>
      <c r="N3768">
        <v>0</v>
      </c>
      <c r="O3768">
        <v>2.2767809999999999E-2</v>
      </c>
      <c r="P3768">
        <v>0.99617009999999995</v>
      </c>
      <c r="Q3768">
        <v>9.5206930000000002E-3</v>
      </c>
      <c r="R3768">
        <v>8.6919659999999996E-2</v>
      </c>
      <c r="S3768">
        <v>2.97839399999999</v>
      </c>
      <c r="T3768">
        <v>-0.12757639999999901</v>
      </c>
      <c r="U3768">
        <v>0.39437870000000003</v>
      </c>
      <c r="V3768">
        <v>-6.4227039999999999E-2</v>
      </c>
      <c r="W3768">
        <v>2.3088609999999999E-2</v>
      </c>
      <c r="X3768">
        <v>0.99766819999999901</v>
      </c>
      <c r="Y3768">
        <v>-0.10858329999999999</v>
      </c>
      <c r="Z3768">
        <v>1.344151E-3</v>
      </c>
      <c r="AA3768">
        <v>0.99408639999999904</v>
      </c>
      <c r="AB3768">
        <v>37</v>
      </c>
      <c r="AC3768">
        <v>25.423400000000001</v>
      </c>
      <c r="AD3768">
        <v>-1.104790982001</v>
      </c>
      <c r="AE3768">
        <v>3.4066999999999998</v>
      </c>
      <c r="AF3768">
        <v>-2.8216934296907401</v>
      </c>
      <c r="AG3768">
        <v>-1.104790982001</v>
      </c>
      <c r="AH3768">
        <v>25.4471721100469</v>
      </c>
      <c r="AI3768">
        <v>92.470815262754201</v>
      </c>
      <c r="AJ3768">
        <v>96.327358063732305</v>
      </c>
      <c r="AK3768">
        <v>25.626960126464901</v>
      </c>
    </row>
    <row r="3769" spans="1:37" x14ac:dyDescent="0.2">
      <c r="A3769" t="str">
        <f>"20200111155623512"</f>
        <v>20200111155623512</v>
      </c>
      <c r="B3769" t="str">
        <f>"1578729383507279"</f>
        <v>1578729383507279</v>
      </c>
      <c r="C3769" t="s">
        <v>37</v>
      </c>
      <c r="D3769">
        <v>5.0906719999999996</v>
      </c>
      <c r="E3769">
        <v>0.48385439999999902</v>
      </c>
      <c r="F3769" t="s">
        <v>59</v>
      </c>
      <c r="G3769">
        <v>-234.9153</v>
      </c>
      <c r="H3769" s="1">
        <v>9.1326849999999998E-7</v>
      </c>
      <c r="I3769">
        <v>218.4051</v>
      </c>
      <c r="J3769">
        <v>-260.15359999999998</v>
      </c>
      <c r="K3769">
        <v>1.1047979999999999</v>
      </c>
      <c r="L3769">
        <v>215.00749999999999</v>
      </c>
      <c r="M3769">
        <v>0.99964019999999998</v>
      </c>
      <c r="N3769">
        <v>0</v>
      </c>
      <c r="O3769">
        <v>2.3002089999999999E-2</v>
      </c>
      <c r="P3769">
        <v>0.99619429999999998</v>
      </c>
      <c r="Q3769">
        <v>9.2635819999999994E-3</v>
      </c>
      <c r="R3769">
        <v>8.6666930000000003E-2</v>
      </c>
      <c r="S3769">
        <v>2.9782099999999998</v>
      </c>
      <c r="T3769">
        <v>-0.12842609999999999</v>
      </c>
      <c r="U3769">
        <v>0.39598080000000002</v>
      </c>
      <c r="V3769">
        <v>-6.3739069999999995E-2</v>
      </c>
      <c r="W3769">
        <v>2.2998520000000001E-2</v>
      </c>
      <c r="X3769">
        <v>0.99770159999999997</v>
      </c>
      <c r="Y3769">
        <v>-0.1088826</v>
      </c>
      <c r="Z3769">
        <v>1.349507E-3</v>
      </c>
      <c r="AA3769">
        <v>0.99405370000000004</v>
      </c>
      <c r="AB3769">
        <v>37</v>
      </c>
      <c r="AC3769">
        <v>25.238299999999899</v>
      </c>
      <c r="AD3769">
        <v>-1.1047970867315</v>
      </c>
      <c r="AE3769">
        <v>3.3976000000000099</v>
      </c>
      <c r="AF3769">
        <v>-2.8108216941244399</v>
      </c>
      <c r="AG3769">
        <v>-1.1047970867315</v>
      </c>
      <c r="AH3769">
        <v>25.262234172128299</v>
      </c>
      <c r="AI3769">
        <v>92.488790479512602</v>
      </c>
      <c r="AJ3769">
        <v>96.348944289904495</v>
      </c>
      <c r="AK3769">
        <v>25.442125905011501</v>
      </c>
    </row>
    <row r="3770" spans="1:37" x14ac:dyDescent="0.2">
      <c r="A3770" t="str">
        <f>"20200111155623534"</f>
        <v>20200111155623534</v>
      </c>
      <c r="B3770" t="str">
        <f>"1578729383526799"</f>
        <v>1578729383526799</v>
      </c>
      <c r="C3770" t="s">
        <v>37</v>
      </c>
      <c r="D3770">
        <v>4.9687169999999998</v>
      </c>
      <c r="E3770">
        <v>0.48440100000000003</v>
      </c>
      <c r="F3770" t="s">
        <v>59</v>
      </c>
      <c r="G3770">
        <v>-234.34049999999999</v>
      </c>
      <c r="H3770" s="1">
        <v>6.0659459999999899E-7</v>
      </c>
      <c r="I3770">
        <v>218.4237</v>
      </c>
      <c r="J3770">
        <v>-259.7867</v>
      </c>
      <c r="K3770">
        <v>1.104803</v>
      </c>
      <c r="L3770">
        <v>215.0162</v>
      </c>
      <c r="M3770">
        <v>0.99963310000000005</v>
      </c>
      <c r="N3770">
        <v>0</v>
      </c>
      <c r="O3770">
        <v>2.32266E-2</v>
      </c>
      <c r="P3770">
        <v>0.99622319999999998</v>
      </c>
      <c r="Q3770">
        <v>9.0722010000000002E-3</v>
      </c>
      <c r="R3770">
        <v>8.6354479999999997E-2</v>
      </c>
      <c r="S3770">
        <v>2.97839399999999</v>
      </c>
      <c r="T3770">
        <v>-0.12747510000000001</v>
      </c>
      <c r="U3770">
        <v>0.39416499999999999</v>
      </c>
      <c r="V3770">
        <v>-6.3202030000000006E-2</v>
      </c>
      <c r="W3770">
        <v>2.294703E-2</v>
      </c>
      <c r="X3770">
        <v>0.99773690000000004</v>
      </c>
      <c r="Y3770">
        <v>-0.1080578</v>
      </c>
      <c r="Z3770">
        <v>1.3123709999999999E-3</v>
      </c>
      <c r="AA3770">
        <v>0.99414369999999996</v>
      </c>
      <c r="AB3770">
        <v>37</v>
      </c>
      <c r="AC3770">
        <v>25.446200000000001</v>
      </c>
      <c r="AD3770">
        <v>-1.1048023934053901</v>
      </c>
      <c r="AE3770">
        <v>3.40749999999999</v>
      </c>
      <c r="AF3770">
        <v>-2.8102902418348301</v>
      </c>
      <c r="AG3770">
        <v>-1.1048023934053901</v>
      </c>
      <c r="AH3770">
        <v>25.471317341397899</v>
      </c>
      <c r="AI3770">
        <v>92.468650376631999</v>
      </c>
      <c r="AJ3770">
        <v>96.296067828663098</v>
      </c>
      <c r="AK3770">
        <v>25.649684728628198</v>
      </c>
    </row>
    <row r="3771" spans="1:37" x14ac:dyDescent="0.2">
      <c r="A3771" t="str">
        <f>"20200111155623556"</f>
        <v>20200111155623556</v>
      </c>
      <c r="B3771" t="str">
        <f>"1578729383546318"</f>
        <v>1578729383546318</v>
      </c>
      <c r="C3771" t="s">
        <v>37</v>
      </c>
      <c r="D3771">
        <v>4.8996230000000001</v>
      </c>
      <c r="E3771">
        <v>0.48515559999999902</v>
      </c>
      <c r="F3771" t="s">
        <v>59</v>
      </c>
      <c r="G3771">
        <v>-233.05340000000001</v>
      </c>
      <c r="H3771" s="1">
        <v>-8.1967969999999994E-8</v>
      </c>
      <c r="I3771">
        <v>218.50649999999999</v>
      </c>
      <c r="J3771">
        <v>-259.43110000000001</v>
      </c>
      <c r="K3771">
        <v>1.1048069999999901</v>
      </c>
      <c r="L3771">
        <v>215.0247</v>
      </c>
      <c r="M3771">
        <v>0.99962629999999997</v>
      </c>
      <c r="N3771">
        <v>0</v>
      </c>
      <c r="O3771">
        <v>2.3443869999999999E-2</v>
      </c>
      <c r="P3771">
        <v>0.99625739999999996</v>
      </c>
      <c r="Q3771">
        <v>9.2342309999999903E-3</v>
      </c>
      <c r="R3771">
        <v>8.594243E-2</v>
      </c>
      <c r="S3771">
        <v>2.97879</v>
      </c>
      <c r="T3771">
        <v>-0.12310409999999999</v>
      </c>
      <c r="U3771">
        <v>0.38891599999999998</v>
      </c>
      <c r="V3771">
        <v>-6.2572180000000005E-2</v>
      </c>
      <c r="W3771">
        <v>2.3226380000000001E-2</v>
      </c>
      <c r="X3771">
        <v>0.99777009999999899</v>
      </c>
      <c r="Y3771">
        <v>-0.106109199999999</v>
      </c>
      <c r="Z3771">
        <v>1.2183719999999999E-3</v>
      </c>
      <c r="AA3771">
        <v>0.99435370000000001</v>
      </c>
      <c r="AB3771">
        <v>37</v>
      </c>
      <c r="AC3771">
        <v>26.377700000000001</v>
      </c>
      <c r="AD3771">
        <v>-1.1048070819679601</v>
      </c>
      <c r="AE3771">
        <v>3.48179999999999</v>
      </c>
      <c r="AF3771">
        <v>-2.8574594229752601</v>
      </c>
      <c r="AG3771">
        <v>-1.1048070819679601</v>
      </c>
      <c r="AH3771">
        <v>26.406552522519299</v>
      </c>
      <c r="AI3771">
        <v>92.381876217665706</v>
      </c>
      <c r="AJ3771">
        <v>96.175959236297302</v>
      </c>
      <c r="AK3771">
        <v>26.583673357286202</v>
      </c>
    </row>
    <row r="3772" spans="1:37" x14ac:dyDescent="0.2">
      <c r="A3772" t="str">
        <f>"20200111155623578"</f>
        <v>20200111155623578</v>
      </c>
      <c r="B3772" t="str">
        <f>"1578729383566814"</f>
        <v>1578729383566814</v>
      </c>
      <c r="C3772" t="s">
        <v>37</v>
      </c>
      <c r="D3772">
        <v>4.9319649999999999</v>
      </c>
      <c r="E3772">
        <v>0.48577510000000002</v>
      </c>
      <c r="F3772" t="s">
        <v>59</v>
      </c>
      <c r="G3772">
        <v>-231.74080000000001</v>
      </c>
      <c r="H3772" s="1">
        <v>-7.832078E-7</v>
      </c>
      <c r="I3772">
        <v>218.56950000000001</v>
      </c>
      <c r="J3772">
        <v>-259.06150000000002</v>
      </c>
      <c r="K3772">
        <v>1.104816</v>
      </c>
      <c r="L3772">
        <v>215.03360000000001</v>
      </c>
      <c r="M3772">
        <v>0.9996197</v>
      </c>
      <c r="N3772">
        <v>0</v>
      </c>
      <c r="O3772">
        <v>2.366967E-2</v>
      </c>
      <c r="P3772">
        <v>0.99629100000000004</v>
      </c>
      <c r="Q3772">
        <v>1.0183350000000001E-2</v>
      </c>
      <c r="R3772">
        <v>8.544562E-2</v>
      </c>
      <c r="S3772">
        <v>2.9794619999999998</v>
      </c>
      <c r="T3772">
        <v>-0.1188767</v>
      </c>
      <c r="U3772">
        <v>0.38142399999999999</v>
      </c>
      <c r="V3772">
        <v>-6.1850290000000002E-2</v>
      </c>
      <c r="W3772">
        <v>2.4281799999999999E-2</v>
      </c>
      <c r="X3772">
        <v>0.99778999999999995</v>
      </c>
      <c r="Y3772">
        <v>-0.1034031</v>
      </c>
      <c r="Z3772">
        <v>1.1137789999999901E-3</v>
      </c>
      <c r="AA3772">
        <v>0.99463889999999999</v>
      </c>
      <c r="AB3772">
        <v>37</v>
      </c>
      <c r="AC3772">
        <v>27.320699999999999</v>
      </c>
      <c r="AD3772">
        <v>-1.1048167832078</v>
      </c>
      <c r="AE3772">
        <v>3.5358999999999901</v>
      </c>
      <c r="AF3772">
        <v>-2.88353471201345</v>
      </c>
      <c r="AG3772">
        <v>-1.1048167832078</v>
      </c>
      <c r="AH3772">
        <v>27.352753089821501</v>
      </c>
      <c r="AI3772">
        <v>92.300268275532005</v>
      </c>
      <c r="AJ3772">
        <v>96.017909220778094</v>
      </c>
      <c r="AK3772">
        <v>27.526505302209799</v>
      </c>
    </row>
    <row r="3773" spans="1:37" x14ac:dyDescent="0.2">
      <c r="A3773" t="str">
        <f>"20200111155623600"</f>
        <v>20200111155623600</v>
      </c>
      <c r="B3773" t="str">
        <f>"1578729383597071"</f>
        <v>1578729383597071</v>
      </c>
      <c r="C3773" t="s">
        <v>37</v>
      </c>
      <c r="D3773">
        <v>4.9010579999999999</v>
      </c>
      <c r="E3773">
        <v>0.48660680000000001</v>
      </c>
      <c r="F3773" t="s">
        <v>59</v>
      </c>
      <c r="G3773">
        <v>-229.50790000000001</v>
      </c>
      <c r="H3773" s="1">
        <v>3.3420899999999999E-6</v>
      </c>
      <c r="I3773">
        <v>218.75200000000001</v>
      </c>
      <c r="J3773">
        <v>-258.68880000000001</v>
      </c>
      <c r="K3773">
        <v>1.104824</v>
      </c>
      <c r="L3773">
        <v>215.04259999999999</v>
      </c>
      <c r="M3773">
        <v>0.99961299999999997</v>
      </c>
      <c r="N3773">
        <v>0</v>
      </c>
      <c r="O3773">
        <v>2.3897000000000002E-2</v>
      </c>
      <c r="P3773">
        <v>0.99631579999999997</v>
      </c>
      <c r="Q3773">
        <v>1.105897E-2</v>
      </c>
      <c r="R3773">
        <v>8.5046159999999996E-2</v>
      </c>
      <c r="S3773">
        <v>2.980194</v>
      </c>
      <c r="T3773">
        <v>-0.111409799999999</v>
      </c>
      <c r="U3773">
        <v>0.37496950000000001</v>
      </c>
      <c r="V3773">
        <v>-6.1223640000000003E-2</v>
      </c>
      <c r="W3773">
        <v>2.5249009999999999E-2</v>
      </c>
      <c r="X3773">
        <v>0.99780460000000004</v>
      </c>
      <c r="Y3773">
        <v>-0.1010351</v>
      </c>
      <c r="Z3773">
        <v>9.9122300000000006E-4</v>
      </c>
      <c r="AA3773">
        <v>0.9948823</v>
      </c>
      <c r="AB3773">
        <v>37</v>
      </c>
      <c r="AC3773">
        <v>29.180900000000001</v>
      </c>
      <c r="AD3773">
        <v>-1.1048206579099999</v>
      </c>
      <c r="AE3773">
        <v>3.7094000000000098</v>
      </c>
      <c r="AF3773">
        <v>-3.0066923517100501</v>
      </c>
      <c r="AG3773">
        <v>-1.1048206579099999</v>
      </c>
      <c r="AH3773">
        <v>29.219997825186802</v>
      </c>
      <c r="AI3773">
        <v>92.153984060581394</v>
      </c>
      <c r="AJ3773">
        <v>95.874969960274399</v>
      </c>
      <c r="AK3773">
        <v>29.395052313066198</v>
      </c>
    </row>
    <row r="3774" spans="1:37" x14ac:dyDescent="0.2">
      <c r="A3774" t="str">
        <f>"20200111155623623"</f>
        <v>20200111155623623</v>
      </c>
      <c r="B3774" t="str">
        <f>"1578729383616591"</f>
        <v>1578729383616591</v>
      </c>
      <c r="C3774" t="s">
        <v>37</v>
      </c>
      <c r="D3774">
        <v>4.8293249999999999</v>
      </c>
      <c r="E3774">
        <v>0.50252569999999996</v>
      </c>
      <c r="F3774" t="s">
        <v>59</v>
      </c>
      <c r="G3774">
        <v>-226.643</v>
      </c>
      <c r="H3774" s="1">
        <v>1.807128E-6</v>
      </c>
      <c r="I3774">
        <v>218.989</v>
      </c>
      <c r="J3774">
        <v>-258.30970000000002</v>
      </c>
      <c r="K3774">
        <v>1.1048370000000001</v>
      </c>
      <c r="L3774">
        <v>215.05189999999999</v>
      </c>
      <c r="M3774">
        <v>0.9996062</v>
      </c>
      <c r="N3774">
        <v>0</v>
      </c>
      <c r="O3774">
        <v>2.412858E-2</v>
      </c>
      <c r="P3774">
        <v>0.99635079999999998</v>
      </c>
      <c r="Q3774">
        <v>1.220009E-2</v>
      </c>
      <c r="R3774">
        <v>8.447673E-2</v>
      </c>
      <c r="S3774">
        <v>2.9809269999999999</v>
      </c>
      <c r="T3774">
        <v>-0.1027713</v>
      </c>
      <c r="U3774">
        <v>0.36709589999999998</v>
      </c>
      <c r="V3774">
        <v>-6.042285E-2</v>
      </c>
      <c r="W3774">
        <v>2.6469779999999998E-2</v>
      </c>
      <c r="X3774">
        <v>0.99782190000000004</v>
      </c>
      <c r="Y3774">
        <v>-9.8195920000000006E-2</v>
      </c>
      <c r="Z3774">
        <v>8.5764190000000001E-4</v>
      </c>
      <c r="AA3774">
        <v>0.99516669999999996</v>
      </c>
      <c r="AB3774">
        <v>37</v>
      </c>
      <c r="AC3774">
        <v>31.666699999999999</v>
      </c>
      <c r="AD3774">
        <v>-1.1048351928719999</v>
      </c>
      <c r="AE3774">
        <v>3.9371000000000098</v>
      </c>
      <c r="AF3774">
        <v>-3.16800496282471</v>
      </c>
      <c r="AG3774">
        <v>-1.1048351928719999</v>
      </c>
      <c r="AH3774">
        <v>31.714467535070799</v>
      </c>
      <c r="AI3774">
        <v>91.985330536972199</v>
      </c>
      <c r="AJ3774">
        <v>95.7044366506844</v>
      </c>
      <c r="AK3774">
        <v>31.891446616309999</v>
      </c>
    </row>
    <row r="3775" spans="1:37" x14ac:dyDescent="0.2">
      <c r="A3775" t="str">
        <f>"20200111155623644"</f>
        <v>20200111155623644</v>
      </c>
      <c r="B3775" t="str">
        <f>"1578729383637087"</f>
        <v>1578729383637087</v>
      </c>
      <c r="C3775" t="s">
        <v>37</v>
      </c>
      <c r="D3775">
        <v>4.7655139999999996</v>
      </c>
      <c r="E3775">
        <v>0.50220100000000001</v>
      </c>
      <c r="F3775" t="s">
        <v>44</v>
      </c>
      <c r="G3775">
        <v>-168.35059999999999</v>
      </c>
      <c r="H3775">
        <v>0.31930540000000002</v>
      </c>
      <c r="I3775">
        <v>222.1481</v>
      </c>
      <c r="J3775">
        <v>-257.95639999999997</v>
      </c>
      <c r="K3775">
        <v>1.1048469999999999</v>
      </c>
      <c r="L3775">
        <v>215.06059999999999</v>
      </c>
      <c r="M3775">
        <v>0.99960000000000004</v>
      </c>
      <c r="N3775">
        <v>0</v>
      </c>
      <c r="O3775">
        <v>2.4344950000000001E-2</v>
      </c>
      <c r="P3775">
        <v>0.99638519999999897</v>
      </c>
      <c r="Q3775">
        <v>1.260618E-2</v>
      </c>
      <c r="R3775">
        <v>8.4008810000000003E-2</v>
      </c>
      <c r="S3775">
        <v>2.9913020000000001</v>
      </c>
      <c r="T3775">
        <v>-2.61184E-2</v>
      </c>
      <c r="U3775">
        <v>0.2359619</v>
      </c>
      <c r="V3775">
        <v>-5.9738369999999999E-2</v>
      </c>
      <c r="W3775">
        <v>2.6939769999999998E-2</v>
      </c>
      <c r="X3775">
        <v>0.99785049999999997</v>
      </c>
      <c r="Y3775">
        <v>-5.434187E-2</v>
      </c>
      <c r="Z3775" s="1">
        <v>2.468076E-5</v>
      </c>
      <c r="AA3775">
        <v>0.99852240000000003</v>
      </c>
      <c r="AB3775">
        <v>37</v>
      </c>
      <c r="AC3775">
        <v>89.605799999999903</v>
      </c>
      <c r="AD3775">
        <v>-0.78554159999999995</v>
      </c>
      <c r="AE3775">
        <v>7.0875000000000004</v>
      </c>
      <c r="AF3775">
        <v>-4.9033497429277002</v>
      </c>
      <c r="AG3775">
        <v>-0.78554159999999995</v>
      </c>
      <c r="AH3775">
        <v>89.744945269095695</v>
      </c>
      <c r="AI3775">
        <v>90.500752948943799</v>
      </c>
      <c r="AJ3775">
        <v>93.127331508379299</v>
      </c>
      <c r="AK3775">
        <v>89.882229142694101</v>
      </c>
    </row>
    <row r="3776" spans="1:37" x14ac:dyDescent="0.2">
      <c r="A3776" t="str">
        <f>"20200111155623668"</f>
        <v>20200111155623668</v>
      </c>
      <c r="B3776" t="str">
        <f>"1578729383656607"</f>
        <v>1578729383656607</v>
      </c>
      <c r="C3776" t="s">
        <v>37</v>
      </c>
      <c r="D3776">
        <v>4.8590269999999904</v>
      </c>
      <c r="E3776">
        <v>0.50128879999999998</v>
      </c>
      <c r="F3776" t="s">
        <v>44</v>
      </c>
      <c r="G3776">
        <v>-168.35059999999999</v>
      </c>
      <c r="H3776">
        <v>0.45825290000000002</v>
      </c>
      <c r="I3776">
        <v>222.1557</v>
      </c>
      <c r="J3776">
        <v>-257.58359999999999</v>
      </c>
      <c r="K3776">
        <v>1.1048579999999999</v>
      </c>
      <c r="L3776">
        <v>215.06989999999999</v>
      </c>
      <c r="M3776">
        <v>0.99959370000000003</v>
      </c>
      <c r="N3776">
        <v>0</v>
      </c>
      <c r="O3776">
        <v>2.4572799999999999E-2</v>
      </c>
      <c r="P3776">
        <v>0.99640509999999904</v>
      </c>
      <c r="Q3776">
        <v>1.276207E-2</v>
      </c>
      <c r="R3776">
        <v>8.3751190000000003E-2</v>
      </c>
      <c r="S3776">
        <v>2.9911799999999999</v>
      </c>
      <c r="T3776">
        <v>-2.158237E-2</v>
      </c>
      <c r="U3776">
        <v>0.2368469</v>
      </c>
      <c r="V3776">
        <v>-5.9252689999999997E-2</v>
      </c>
      <c r="W3776">
        <v>2.7153799999999999E-2</v>
      </c>
      <c r="X3776">
        <v>0.99787369999999898</v>
      </c>
      <c r="Y3776">
        <v>-5.4411389999999997E-2</v>
      </c>
      <c r="Z3776" s="1">
        <v>1.90051399999999E-5</v>
      </c>
      <c r="AA3776">
        <v>0.99851859999999903</v>
      </c>
      <c r="AB3776">
        <v>37</v>
      </c>
      <c r="AC3776">
        <v>89.232999999999905</v>
      </c>
      <c r="AD3776">
        <v>-0.64660509999999904</v>
      </c>
      <c r="AE3776">
        <v>7.0857999999999999</v>
      </c>
      <c r="AF3776">
        <v>-4.8904713559616297</v>
      </c>
      <c r="AG3776">
        <v>-0.64660509999999904</v>
      </c>
      <c r="AH3776">
        <v>89.375522430301501</v>
      </c>
      <c r="AI3776">
        <v>90.4138914207022</v>
      </c>
      <c r="AJ3776">
        <v>93.132000924185306</v>
      </c>
      <c r="AK3776">
        <v>89.511556895901194</v>
      </c>
    </row>
    <row r="3777" spans="1:37" x14ac:dyDescent="0.2">
      <c r="A3777" t="str">
        <f>"20200111155623690"</f>
        <v>20200111155623690</v>
      </c>
      <c r="B3777" t="str">
        <f>"1578729383686863"</f>
        <v>1578729383686863</v>
      </c>
      <c r="C3777" t="s">
        <v>37</v>
      </c>
      <c r="D3777">
        <v>4.883769</v>
      </c>
      <c r="E3777">
        <v>0.5021023</v>
      </c>
      <c r="F3777" t="s">
        <v>44</v>
      </c>
      <c r="G3777">
        <v>-168.35059999999999</v>
      </c>
      <c r="H3777">
        <v>0.62992000000000004</v>
      </c>
      <c r="I3777">
        <v>222.32130000000001</v>
      </c>
      <c r="J3777">
        <v>-257.21089999999998</v>
      </c>
      <c r="K3777">
        <v>1.104865</v>
      </c>
      <c r="L3777">
        <v>215.07929999999999</v>
      </c>
      <c r="M3777">
        <v>0.99958719999999901</v>
      </c>
      <c r="N3777">
        <v>0</v>
      </c>
      <c r="O3777">
        <v>2.4801190000000001E-2</v>
      </c>
      <c r="P3777">
        <v>0.99634999999999996</v>
      </c>
      <c r="Q3777">
        <v>1.315991E-2</v>
      </c>
      <c r="R3777">
        <v>8.4341609999999997E-2</v>
      </c>
      <c r="S3777">
        <v>2.9906009999999998</v>
      </c>
      <c r="T3777">
        <v>-1.5915390000000001E-2</v>
      </c>
      <c r="U3777">
        <v>0.24302670000000001</v>
      </c>
      <c r="V3777">
        <v>-5.961644E-2</v>
      </c>
      <c r="W3777">
        <v>2.7600900000000001E-2</v>
      </c>
      <c r="X3777">
        <v>0.997839699999999</v>
      </c>
      <c r="Y3777">
        <v>-5.6248850000000003E-2</v>
      </c>
      <c r="Z3777" s="1">
        <v>1.768576E-5</v>
      </c>
      <c r="AA3777">
        <v>0.99841679999999999</v>
      </c>
      <c r="AB3777">
        <v>37</v>
      </c>
      <c r="AC3777">
        <v>88.860299999999995</v>
      </c>
      <c r="AD3777">
        <v>-0.47494500000000001</v>
      </c>
      <c r="AE3777">
        <v>7.2420000000000098</v>
      </c>
      <c r="AF3777">
        <v>-5.0355560235124903</v>
      </c>
      <c r="AG3777">
        <v>-0.47494500000000001</v>
      </c>
      <c r="AH3777">
        <v>89.010064202436297</v>
      </c>
      <c r="AI3777">
        <v>90.305231156070306</v>
      </c>
      <c r="AJ3777">
        <v>93.237936093998698</v>
      </c>
      <c r="AK3777">
        <v>89.153653467150605</v>
      </c>
    </row>
    <row r="3778" spans="1:37" x14ac:dyDescent="0.2">
      <c r="A3778" t="str">
        <f>"20200111155623712"</f>
        <v>20200111155623712</v>
      </c>
      <c r="B3778" t="str">
        <f>"1578729383706383"</f>
        <v>1578729383706383</v>
      </c>
      <c r="C3778" t="s">
        <v>37</v>
      </c>
      <c r="D3778">
        <v>4.633864</v>
      </c>
      <c r="E3778">
        <v>0.50172879999999997</v>
      </c>
      <c r="F3778" t="s">
        <v>44</v>
      </c>
      <c r="G3778">
        <v>-168.35059999999999</v>
      </c>
      <c r="H3778">
        <v>0.75548649999999995</v>
      </c>
      <c r="I3778">
        <v>222.1576</v>
      </c>
      <c r="J3778">
        <v>-256.84809999999999</v>
      </c>
      <c r="K3778">
        <v>1.1048750000000001</v>
      </c>
      <c r="L3778">
        <v>215.08850000000001</v>
      </c>
      <c r="M3778">
        <v>0.99958119999999995</v>
      </c>
      <c r="N3778">
        <v>0</v>
      </c>
      <c r="O3778">
        <v>2.502362E-2</v>
      </c>
      <c r="P3778">
        <v>0.99631749999999997</v>
      </c>
      <c r="Q3778">
        <v>1.358726E-2</v>
      </c>
      <c r="R3778">
        <v>8.4658319999999995E-2</v>
      </c>
      <c r="S3778">
        <v>2.9909819999999998</v>
      </c>
      <c r="T3778">
        <v>-1.175797E-2</v>
      </c>
      <c r="U3778">
        <v>0.23825070000000001</v>
      </c>
      <c r="V3778">
        <v>-5.9711769999999997E-2</v>
      </c>
      <c r="W3778">
        <v>2.8068019999999999E-2</v>
      </c>
      <c r="X3778">
        <v>0.99782099999999996</v>
      </c>
      <c r="Y3778">
        <v>-5.4432500000000002E-2</v>
      </c>
      <c r="Z3778" s="1">
        <v>8.6276050000000006E-6</v>
      </c>
      <c r="AA3778">
        <v>0.99851749999999995</v>
      </c>
      <c r="AB3778">
        <v>37</v>
      </c>
      <c r="AC3778">
        <v>88.497500000000002</v>
      </c>
      <c r="AD3778">
        <v>-0.34938849999999999</v>
      </c>
      <c r="AE3778">
        <v>7.0690999999999899</v>
      </c>
      <c r="AF3778">
        <v>-4.8520490176716704</v>
      </c>
      <c r="AG3778">
        <v>-0.34938849999999999</v>
      </c>
      <c r="AH3778">
        <v>88.645322281630101</v>
      </c>
      <c r="AI3778">
        <v>90.225488074098294</v>
      </c>
      <c r="AJ3778">
        <v>93.132988772222603</v>
      </c>
      <c r="AK3778">
        <v>88.778700229322297</v>
      </c>
    </row>
    <row r="3779" spans="1:37" x14ac:dyDescent="0.2">
      <c r="A3779" t="str">
        <f>"20200111155623734"</f>
        <v>20200111155623734</v>
      </c>
      <c r="B3779" t="str">
        <f>"1578729383726879"</f>
        <v>1578729383726879</v>
      </c>
      <c r="C3779" t="s">
        <v>37</v>
      </c>
      <c r="D3779">
        <v>4.7848439999999997</v>
      </c>
      <c r="E3779">
        <v>0.50174459999999999</v>
      </c>
      <c r="F3779" t="s">
        <v>44</v>
      </c>
      <c r="G3779">
        <v>-168.35059999999999</v>
      </c>
      <c r="H3779">
        <v>0.80426980000000003</v>
      </c>
      <c r="I3779">
        <v>222.2593</v>
      </c>
      <c r="J3779">
        <v>-256.48970000000003</v>
      </c>
      <c r="K3779">
        <v>1.1048750000000001</v>
      </c>
      <c r="L3779">
        <v>215.0977</v>
      </c>
      <c r="M3779">
        <v>0.9995752</v>
      </c>
      <c r="N3779">
        <v>0</v>
      </c>
      <c r="O3779">
        <v>2.5242879999999999E-2</v>
      </c>
      <c r="P3779">
        <v>0.99627860000000001</v>
      </c>
      <c r="Q3779">
        <v>1.404331E-2</v>
      </c>
      <c r="R3779">
        <v>8.5041459999999999E-2</v>
      </c>
      <c r="S3779">
        <v>2.990631</v>
      </c>
      <c r="T3779">
        <v>-1.0156510000000001E-2</v>
      </c>
      <c r="U3779">
        <v>0.24232480000000001</v>
      </c>
      <c r="V3779">
        <v>-5.9877470000000002E-2</v>
      </c>
      <c r="W3779">
        <v>2.8558010000000002E-2</v>
      </c>
      <c r="X3779">
        <v>0.99779709999999999</v>
      </c>
      <c r="Y3779">
        <v>-5.5574289999999998E-2</v>
      </c>
      <c r="Z3779" s="1">
        <v>8.6460199999999996E-6</v>
      </c>
      <c r="AA3779">
        <v>0.99845459999999997</v>
      </c>
      <c r="AB3779">
        <v>37</v>
      </c>
      <c r="AC3779">
        <v>88.139099999999999</v>
      </c>
      <c r="AD3779">
        <v>-0.30060520000000002</v>
      </c>
      <c r="AE3779">
        <v>7.1615999999999902</v>
      </c>
      <c r="AF3779">
        <v>-4.9341395969389898</v>
      </c>
      <c r="AG3779">
        <v>-0.30060520000000002</v>
      </c>
      <c r="AH3779">
        <v>88.290786642593602</v>
      </c>
      <c r="AI3779">
        <v>90.194771288257797</v>
      </c>
      <c r="AJ3779">
        <v>93.198653285661194</v>
      </c>
      <c r="AK3779">
        <v>88.429062547424607</v>
      </c>
    </row>
    <row r="3780" spans="1:37" x14ac:dyDescent="0.2">
      <c r="A3780" t="str">
        <f>"20200111155623757"</f>
        <v>20200111155623757</v>
      </c>
      <c r="B3780" t="str">
        <f>"1578729383746399"</f>
        <v>1578729383746399</v>
      </c>
      <c r="C3780" t="s">
        <v>37</v>
      </c>
      <c r="D3780">
        <v>4.5566339999999999</v>
      </c>
      <c r="E3780">
        <v>0.50154430000000005</v>
      </c>
      <c r="F3780" t="s">
        <v>44</v>
      </c>
      <c r="G3780">
        <v>-168.35059999999999</v>
      </c>
      <c r="H3780">
        <v>0.91381259999999997</v>
      </c>
      <c r="I3780">
        <v>222.2636</v>
      </c>
      <c r="J3780">
        <v>-256.12990000000002</v>
      </c>
      <c r="K3780">
        <v>1.1048819999999999</v>
      </c>
      <c r="L3780">
        <v>215.107</v>
      </c>
      <c r="M3780">
        <v>0.99956919999999905</v>
      </c>
      <c r="N3780">
        <v>0</v>
      </c>
      <c r="O3780">
        <v>2.5463369999999999E-2</v>
      </c>
      <c r="P3780">
        <v>0.99621360000000003</v>
      </c>
      <c r="Q3780">
        <v>1.393896E-2</v>
      </c>
      <c r="R3780">
        <v>8.5817290000000004E-2</v>
      </c>
      <c r="S3780">
        <v>2.9905089999999999</v>
      </c>
      <c r="T3780">
        <v>-6.4806940000000004E-3</v>
      </c>
      <c r="U3780">
        <v>0.2431335</v>
      </c>
      <c r="V3780">
        <v>-6.0434259999999997E-2</v>
      </c>
      <c r="W3780">
        <v>2.8482219999999999E-2</v>
      </c>
      <c r="X3780">
        <v>0.99776569999999998</v>
      </c>
      <c r="Y3780">
        <v>-5.5625679999999997E-2</v>
      </c>
      <c r="Z3780" s="1">
        <v>5.0959419999999997E-6</v>
      </c>
      <c r="AA3780">
        <v>0.99845169999999905</v>
      </c>
      <c r="AB3780">
        <v>37</v>
      </c>
      <c r="AC3780">
        <v>87.779300000000006</v>
      </c>
      <c r="AD3780">
        <v>-0.191069399999999</v>
      </c>
      <c r="AE3780">
        <v>7.1565999999999903</v>
      </c>
      <c r="AF3780">
        <v>-4.9188609564443597</v>
      </c>
      <c r="AG3780">
        <v>-0.191069399999999</v>
      </c>
      <c r="AH3780">
        <v>87.932668698416194</v>
      </c>
      <c r="AI3780">
        <v>90.124303800795502</v>
      </c>
      <c r="AJ3780">
        <v>93.201728816221006</v>
      </c>
      <c r="AK3780">
        <v>88.070346456965098</v>
      </c>
    </row>
    <row r="3781" spans="1:37" x14ac:dyDescent="0.2">
      <c r="A3781" t="str">
        <f>"20200111155623779"</f>
        <v>20200111155623779</v>
      </c>
      <c r="B3781" t="str">
        <f>"1578729383776655"</f>
        <v>1578729383776655</v>
      </c>
      <c r="C3781" t="s">
        <v>37</v>
      </c>
      <c r="D3781">
        <v>4.5981009999999998</v>
      </c>
      <c r="E3781">
        <v>0.50117219999999996</v>
      </c>
      <c r="F3781" t="s">
        <v>44</v>
      </c>
      <c r="G3781">
        <v>-168.35059999999999</v>
      </c>
      <c r="H3781">
        <v>0.88382819999999995</v>
      </c>
      <c r="I3781">
        <v>222.363</v>
      </c>
      <c r="J3781">
        <v>-255.75810000000001</v>
      </c>
      <c r="K3781">
        <v>1.1048899999999999</v>
      </c>
      <c r="L3781">
        <v>215.11670000000001</v>
      </c>
      <c r="M3781">
        <v>0.99956290000000003</v>
      </c>
      <c r="N3781">
        <v>0</v>
      </c>
      <c r="O3781">
        <v>2.5691439999999999E-2</v>
      </c>
      <c r="P3781">
        <v>0.9961679</v>
      </c>
      <c r="Q3781">
        <v>1.3538140000000001E-2</v>
      </c>
      <c r="R3781">
        <v>8.640805E-2</v>
      </c>
      <c r="S3781">
        <v>2.99021899999999</v>
      </c>
      <c r="T3781">
        <v>-7.5283049999999999E-3</v>
      </c>
      <c r="U3781">
        <v>0.24717710000000001</v>
      </c>
      <c r="V3781">
        <v>-6.0797919999999998E-2</v>
      </c>
      <c r="W3781">
        <v>2.8106630000000001E-2</v>
      </c>
      <c r="X3781">
        <v>0.99775429999999998</v>
      </c>
      <c r="Y3781">
        <v>-5.674676E-2</v>
      </c>
      <c r="Z3781" s="1">
        <v>6.7561779999999996E-6</v>
      </c>
      <c r="AA3781">
        <v>0.99838859999999996</v>
      </c>
      <c r="AB3781">
        <v>37</v>
      </c>
      <c r="AC3781">
        <v>87.407499999999999</v>
      </c>
      <c r="AD3781">
        <v>-0.2210618</v>
      </c>
      <c r="AE3781">
        <v>7.24629999999999</v>
      </c>
      <c r="AF3781">
        <v>-4.9980110661822801</v>
      </c>
      <c r="AG3781">
        <v>-0.2210618</v>
      </c>
      <c r="AH3781">
        <v>87.564273934149696</v>
      </c>
      <c r="AI3781">
        <v>90.144411628399894</v>
      </c>
      <c r="AJ3781">
        <v>93.266795336961493</v>
      </c>
      <c r="AK3781">
        <v>87.707075270766495</v>
      </c>
    </row>
    <row r="3782" spans="1:37" x14ac:dyDescent="0.2">
      <c r="A3782" t="str">
        <f>"20200111155623802"</f>
        <v>20200111155623802</v>
      </c>
      <c r="B3782" t="str">
        <f>"1578729383797151"</f>
        <v>1578729383797151</v>
      </c>
      <c r="C3782" t="s">
        <v>37</v>
      </c>
      <c r="D3782">
        <v>4.5843419999999897</v>
      </c>
      <c r="E3782">
        <v>0.50156000000000001</v>
      </c>
      <c r="F3782" t="s">
        <v>44</v>
      </c>
      <c r="G3782">
        <v>-168.35059999999999</v>
      </c>
      <c r="H3782">
        <v>0.85177139999999996</v>
      </c>
      <c r="I3782">
        <v>222.48269999999999</v>
      </c>
      <c r="J3782">
        <v>-255.38820000000001</v>
      </c>
      <c r="K3782">
        <v>1.1048979999999999</v>
      </c>
      <c r="L3782">
        <v>215.12649999999999</v>
      </c>
      <c r="M3782">
        <v>0.99955680000000002</v>
      </c>
      <c r="N3782">
        <v>0</v>
      </c>
      <c r="O3782">
        <v>2.591825E-2</v>
      </c>
      <c r="P3782">
        <v>0.99614099999999905</v>
      </c>
      <c r="Q3782">
        <v>1.345257E-2</v>
      </c>
      <c r="R3782">
        <v>8.6733240000000003E-2</v>
      </c>
      <c r="S3782">
        <v>2.989792</v>
      </c>
      <c r="T3782">
        <v>-8.6560249999999995E-3</v>
      </c>
      <c r="U3782">
        <v>0.25195309999999999</v>
      </c>
      <c r="V3782">
        <v>-6.089746E-2</v>
      </c>
      <c r="W3782">
        <v>2.8042279999999999E-2</v>
      </c>
      <c r="X3782">
        <v>0.99775000000000003</v>
      </c>
      <c r="Y3782">
        <v>-5.811566E-2</v>
      </c>
      <c r="Z3782" s="1">
        <v>9.0922839999999904E-6</v>
      </c>
      <c r="AA3782">
        <v>0.99830989999999997</v>
      </c>
      <c r="AB3782">
        <v>37</v>
      </c>
      <c r="AC3782">
        <v>87.037599999999998</v>
      </c>
      <c r="AD3782">
        <v>-0.25312659999999998</v>
      </c>
      <c r="AE3782">
        <v>7.3562000000000003</v>
      </c>
      <c r="AF3782">
        <v>-5.0975812636707696</v>
      </c>
      <c r="AG3782">
        <v>-0.25312659999999998</v>
      </c>
      <c r="AH3782">
        <v>87.198302809878399</v>
      </c>
      <c r="AI3782">
        <v>90.166039083857598</v>
      </c>
      <c r="AJ3782">
        <v>93.345682704548594</v>
      </c>
      <c r="AK3782">
        <v>87.347543873532004</v>
      </c>
    </row>
    <row r="3783" spans="1:37" x14ac:dyDescent="0.2">
      <c r="A3783" t="str">
        <f>"20200111155623824"</f>
        <v>20200111155623824</v>
      </c>
      <c r="B3783" t="str">
        <f>"1578729383816670"</f>
        <v>1578729383816670</v>
      </c>
      <c r="C3783" t="s">
        <v>37</v>
      </c>
      <c r="D3783">
        <v>4.5314709999999998</v>
      </c>
      <c r="E3783">
        <v>0.53679219999999905</v>
      </c>
      <c r="F3783" t="s">
        <v>44</v>
      </c>
      <c r="G3783">
        <v>-168.35059999999999</v>
      </c>
      <c r="H3783">
        <v>0.7960663</v>
      </c>
      <c r="I3783">
        <v>222.40209999999999</v>
      </c>
      <c r="J3783">
        <v>-255.02449999999999</v>
      </c>
      <c r="K3783">
        <v>1.104903</v>
      </c>
      <c r="L3783">
        <v>215.1362</v>
      </c>
      <c r="M3783">
        <v>0.99955059999999996</v>
      </c>
      <c r="N3783">
        <v>0</v>
      </c>
      <c r="O3783">
        <v>2.614174E-2</v>
      </c>
      <c r="P3783">
        <v>0.99610359999999998</v>
      </c>
      <c r="Q3783">
        <v>1.3693830000000001E-2</v>
      </c>
      <c r="R3783">
        <v>8.7122340000000006E-2</v>
      </c>
      <c r="S3783">
        <v>2.990005</v>
      </c>
      <c r="T3783">
        <v>-1.060736E-2</v>
      </c>
      <c r="U3783">
        <v>0.24993899999999999</v>
      </c>
      <c r="V3783">
        <v>-6.1064019999999997E-2</v>
      </c>
      <c r="W3783">
        <v>2.830015E-2</v>
      </c>
      <c r="X3783">
        <v>0.99773259999999897</v>
      </c>
      <c r="Y3783">
        <v>-5.7218600000000001E-2</v>
      </c>
      <c r="Z3783" s="1">
        <v>8.7618609999999999E-6</v>
      </c>
      <c r="AA3783">
        <v>0.99836159999999996</v>
      </c>
      <c r="AB3783">
        <v>36</v>
      </c>
      <c r="AC3783">
        <v>86.673900000000003</v>
      </c>
      <c r="AD3783">
        <v>-0.30883670000000002</v>
      </c>
      <c r="AE3783">
        <v>7.2658999999999798</v>
      </c>
      <c r="AF3783">
        <v>-4.9973029050588504</v>
      </c>
      <c r="AG3783">
        <v>-0.30883670000000002</v>
      </c>
      <c r="AH3783">
        <v>86.833141432796793</v>
      </c>
      <c r="AI3783">
        <v>90.203444604968098</v>
      </c>
      <c r="AJ3783">
        <v>93.293775602490996</v>
      </c>
      <c r="AK3783">
        <v>86.977369858603296</v>
      </c>
    </row>
    <row r="3784" spans="1:37" x14ac:dyDescent="0.2">
      <c r="A3784" t="str">
        <f>"20200111155623845"</f>
        <v>20200111155623845</v>
      </c>
      <c r="B3784" t="str">
        <f>"1578729383836191"</f>
        <v>1578729383836191</v>
      </c>
      <c r="C3784" t="s">
        <v>37</v>
      </c>
      <c r="D3784">
        <v>4.4475280000000001</v>
      </c>
      <c r="E3784">
        <v>0.56935579999999997</v>
      </c>
      <c r="F3784" t="s">
        <v>59</v>
      </c>
      <c r="G3784">
        <v>-212.6088</v>
      </c>
      <c r="H3784" s="1">
        <v>-1.5491559999999999E-7</v>
      </c>
      <c r="I3784">
        <v>214.76329999999999</v>
      </c>
      <c r="J3784">
        <v>-254.67169999999999</v>
      </c>
      <c r="K3784">
        <v>1.1049059999999999</v>
      </c>
      <c r="L3784">
        <v>215.1456</v>
      </c>
      <c r="M3784">
        <v>0.99954469999999995</v>
      </c>
      <c r="N3784">
        <v>0</v>
      </c>
      <c r="O3784">
        <v>2.635852E-2</v>
      </c>
      <c r="P3784">
        <v>0.99603799999999898</v>
      </c>
      <c r="Q3784">
        <v>1.441049E-2</v>
      </c>
      <c r="R3784">
        <v>8.7752659999999996E-2</v>
      </c>
      <c r="S3784">
        <v>3.01513699999999</v>
      </c>
      <c r="T3784">
        <v>-7.8542589999999995E-2</v>
      </c>
      <c r="U3784">
        <v>-2.650452E-2</v>
      </c>
      <c r="V3784">
        <v>-6.147996E-2</v>
      </c>
      <c r="W3784">
        <v>2.9030360000000002E-2</v>
      </c>
      <c r="X3784">
        <v>0.99768599999999996</v>
      </c>
      <c r="Y3784">
        <v>3.5126570000000003E-2</v>
      </c>
      <c r="Z3784">
        <v>-1.143956E-3</v>
      </c>
      <c r="AA3784">
        <v>0.9993822</v>
      </c>
      <c r="AB3784">
        <v>36</v>
      </c>
      <c r="AC3784">
        <v>42.0628999999999</v>
      </c>
      <c r="AD3784">
        <v>-1.1049061549155901</v>
      </c>
      <c r="AE3784">
        <v>-0.38230000000001402</v>
      </c>
      <c r="AF3784">
        <v>1.4899744789840601</v>
      </c>
      <c r="AG3784">
        <v>-1.1049061549155901</v>
      </c>
      <c r="AH3784">
        <v>42.009220120228498</v>
      </c>
      <c r="AI3784">
        <v>91.505672179777406</v>
      </c>
      <c r="AJ3784">
        <v>87.968696423930695</v>
      </c>
      <c r="AK3784">
        <v>42.050153586747001</v>
      </c>
    </row>
    <row r="3785" spans="1:37" x14ac:dyDescent="0.2">
      <c r="A3785" t="str">
        <f>"20200111155623880"</f>
        <v>20200111155623880</v>
      </c>
      <c r="B3785" t="str">
        <f>"1578729383876206"</f>
        <v>1578729383876206</v>
      </c>
      <c r="C3785" t="s">
        <v>37</v>
      </c>
      <c r="D3785">
        <v>4.6189599999999897</v>
      </c>
      <c r="E3785">
        <v>0.5608339</v>
      </c>
      <c r="F3785" t="s">
        <v>56</v>
      </c>
      <c r="G3785">
        <v>-202.57650000000001</v>
      </c>
      <c r="H3785" s="1">
        <v>3.7388359999999998E-6</v>
      </c>
      <c r="I3785">
        <v>210.27780000000001</v>
      </c>
      <c r="J3785">
        <v>-254.11940000000001</v>
      </c>
      <c r="K3785">
        <v>1.1049169999999999</v>
      </c>
      <c r="L3785">
        <v>215.16050000000001</v>
      </c>
      <c r="M3785">
        <v>0.99953559999999997</v>
      </c>
      <c r="N3785">
        <v>0</v>
      </c>
      <c r="O3785">
        <v>2.6697510000000001E-2</v>
      </c>
      <c r="P3785">
        <v>0.9959924</v>
      </c>
      <c r="Q3785">
        <v>1.445288E-2</v>
      </c>
      <c r="R3785">
        <v>8.8263629999999996E-2</v>
      </c>
      <c r="S3785">
        <v>3.0378720000000001</v>
      </c>
      <c r="T3785">
        <v>-6.4431069999999993E-2</v>
      </c>
      <c r="U3785">
        <v>-0.28385929999999998</v>
      </c>
      <c r="V3785">
        <v>-6.1653010000000001E-2</v>
      </c>
      <c r="W3785">
        <v>2.9090419999999999E-2</v>
      </c>
      <c r="X3785">
        <v>0.99767359999999905</v>
      </c>
      <c r="Y3785">
        <v>0.1195537</v>
      </c>
      <c r="Z3785">
        <v>-1.830054E-3</v>
      </c>
      <c r="AA3785">
        <v>0.99282599999999999</v>
      </c>
      <c r="AB3785">
        <v>36</v>
      </c>
      <c r="AC3785">
        <v>51.542900000000003</v>
      </c>
      <c r="AD3785">
        <v>-1.104913261164</v>
      </c>
      <c r="AE3785">
        <v>-4.8826999999999998</v>
      </c>
      <c r="AF3785">
        <v>6.25432631333367</v>
      </c>
      <c r="AG3785">
        <v>-1.104913261164</v>
      </c>
      <c r="AH3785">
        <v>51.3707572700906</v>
      </c>
      <c r="AI3785">
        <v>91.223133245900001</v>
      </c>
      <c r="AJ3785">
        <v>83.058472549260898</v>
      </c>
      <c r="AK3785">
        <v>51.761879153011101</v>
      </c>
    </row>
    <row r="3786" spans="1:37" x14ac:dyDescent="0.2">
      <c r="A3786" t="str">
        <f>"20200111155623901"</f>
        <v>20200111155623901</v>
      </c>
      <c r="B3786" t="str">
        <f>"1578729383896703"</f>
        <v>1578729383896703</v>
      </c>
      <c r="C3786" t="s">
        <v>37</v>
      </c>
      <c r="D3786">
        <v>4.6734819999999999</v>
      </c>
      <c r="E3786">
        <v>0.55869849999999999</v>
      </c>
      <c r="F3786" t="s">
        <v>59</v>
      </c>
      <c r="G3786">
        <v>-215.08250000000001</v>
      </c>
      <c r="H3786" s="1">
        <v>1.264389E-6</v>
      </c>
      <c r="I3786">
        <v>212.40799999999999</v>
      </c>
      <c r="J3786">
        <v>-253.76220000000001</v>
      </c>
      <c r="K3786">
        <v>1.104927</v>
      </c>
      <c r="L3786">
        <v>215.1703</v>
      </c>
      <c r="M3786">
        <v>0.99952949999999996</v>
      </c>
      <c r="N3786">
        <v>0</v>
      </c>
      <c r="O3786">
        <v>2.6917300000000002E-2</v>
      </c>
      <c r="P3786">
        <v>0.99596049999999903</v>
      </c>
      <c r="Q3786">
        <v>1.438642E-2</v>
      </c>
      <c r="R3786">
        <v>8.8633329999999996E-2</v>
      </c>
      <c r="S3786">
        <v>3.032257</v>
      </c>
      <c r="T3786">
        <v>-8.5826159999999999E-2</v>
      </c>
      <c r="U3786">
        <v>-0.2138062</v>
      </c>
      <c r="V3786">
        <v>-6.1803919999999998E-2</v>
      </c>
      <c r="W3786">
        <v>2.9032269999999999E-2</v>
      </c>
      <c r="X3786">
        <v>0.99766599999999905</v>
      </c>
      <c r="Y3786">
        <v>9.7114530000000004E-2</v>
      </c>
      <c r="Z3786">
        <v>-2.1333799999999998E-3</v>
      </c>
      <c r="AA3786">
        <v>0.99527089999999996</v>
      </c>
      <c r="AB3786">
        <v>36</v>
      </c>
      <c r="AC3786">
        <v>38.679699999999997</v>
      </c>
      <c r="AD3786">
        <v>-1.104925735611</v>
      </c>
      <c r="AE3786">
        <v>-2.76230000000001</v>
      </c>
      <c r="AF3786">
        <v>3.7994798641071701</v>
      </c>
      <c r="AG3786">
        <v>-1.104925735611</v>
      </c>
      <c r="AH3786">
        <v>38.560014195197503</v>
      </c>
      <c r="AI3786">
        <v>91.633438338607903</v>
      </c>
      <c r="AJ3786">
        <v>84.372571922785397</v>
      </c>
      <c r="AK3786">
        <v>38.762502535992297</v>
      </c>
    </row>
    <row r="3787" spans="1:37" x14ac:dyDescent="0.2">
      <c r="A3787" t="str">
        <f>"20200111155623924"</f>
        <v>20200111155623924</v>
      </c>
      <c r="B3787" t="str">
        <f>"1578729383916223"</f>
        <v>1578729383916223</v>
      </c>
      <c r="C3787" t="s">
        <v>37</v>
      </c>
      <c r="D3787">
        <v>4.6452109999999998</v>
      </c>
      <c r="E3787">
        <v>0.55647829999999998</v>
      </c>
      <c r="F3787" t="s">
        <v>59</v>
      </c>
      <c r="G3787">
        <v>-219.59989999999999</v>
      </c>
      <c r="H3787" s="1">
        <v>3.6438699999999898E-6</v>
      </c>
      <c r="I3787">
        <v>212.9674</v>
      </c>
      <c r="J3787">
        <v>-253.40209999999999</v>
      </c>
      <c r="K3787">
        <v>1.1049279999999999</v>
      </c>
      <c r="L3787">
        <v>215.18029999999999</v>
      </c>
      <c r="M3787">
        <v>0.99952350000000001</v>
      </c>
      <c r="N3787">
        <v>0</v>
      </c>
      <c r="O3787">
        <v>2.713836E-2</v>
      </c>
      <c r="P3787">
        <v>0.9959519</v>
      </c>
      <c r="Q3787">
        <v>1.447115E-2</v>
      </c>
      <c r="R3787">
        <v>8.8716119999999996E-2</v>
      </c>
      <c r="S3787">
        <v>3.0309599999999999</v>
      </c>
      <c r="T3787">
        <v>-9.8031279999999998E-2</v>
      </c>
      <c r="U3787">
        <v>-0.19544979999999901</v>
      </c>
      <c r="V3787">
        <v>-6.1666270000000002E-2</v>
      </c>
      <c r="W3787">
        <v>2.912474E-2</v>
      </c>
      <c r="X3787">
        <v>0.9976718</v>
      </c>
      <c r="Y3787">
        <v>9.1350429999999996E-2</v>
      </c>
      <c r="Z3787">
        <v>-2.352182E-3</v>
      </c>
      <c r="AA3787">
        <v>0.99581609999999998</v>
      </c>
      <c r="AB3787">
        <v>36</v>
      </c>
      <c r="AC3787">
        <v>33.802199999999999</v>
      </c>
      <c r="AD3787">
        <v>-1.10492435613</v>
      </c>
      <c r="AE3787">
        <v>-2.2128999999999901</v>
      </c>
      <c r="AF3787">
        <v>3.1261941855134898</v>
      </c>
      <c r="AG3787">
        <v>-1.10492435613</v>
      </c>
      <c r="AH3787">
        <v>33.6938382607714</v>
      </c>
      <c r="AI3787">
        <v>91.870204458254804</v>
      </c>
      <c r="AJ3787">
        <v>84.699137938781007</v>
      </c>
      <c r="AK3787">
        <v>33.856589973908001</v>
      </c>
    </row>
    <row r="3788" spans="1:37" x14ac:dyDescent="0.2">
      <c r="A3788" t="str">
        <f>"20200111155623946"</f>
        <v>20200111155623946</v>
      </c>
      <c r="B3788" t="str">
        <f>"1578729383936719"</f>
        <v>1578729383936719</v>
      </c>
      <c r="C3788" t="s">
        <v>37</v>
      </c>
      <c r="D3788">
        <v>4.6255959999999998</v>
      </c>
      <c r="E3788">
        <v>0.55589999999999995</v>
      </c>
      <c r="F3788" t="s">
        <v>59</v>
      </c>
      <c r="G3788">
        <v>-223.02940000000001</v>
      </c>
      <c r="H3788" s="1">
        <v>1.28225199999999E-7</v>
      </c>
      <c r="I3788">
        <v>213.40559999999999</v>
      </c>
      <c r="J3788">
        <v>-253.04640000000001</v>
      </c>
      <c r="K3788">
        <v>1.104932</v>
      </c>
      <c r="L3788">
        <v>215.1901</v>
      </c>
      <c r="M3788">
        <v>0.9995174</v>
      </c>
      <c r="N3788">
        <v>0</v>
      </c>
      <c r="O3788">
        <v>2.735711E-2</v>
      </c>
      <c r="P3788">
        <v>0.99592019999999903</v>
      </c>
      <c r="Q3788">
        <v>1.455333E-2</v>
      </c>
      <c r="R3788">
        <v>8.9060050000000002E-2</v>
      </c>
      <c r="S3788">
        <v>3.0295559999999999</v>
      </c>
      <c r="T3788">
        <v>-0.11021199999999901</v>
      </c>
      <c r="U3788">
        <v>-0.17701720000000001</v>
      </c>
      <c r="V3788">
        <v>-6.1793140000000003E-2</v>
      </c>
      <c r="W3788">
        <v>2.9212439999999999E-2</v>
      </c>
      <c r="X3788">
        <v>0.99766139999999903</v>
      </c>
      <c r="Y3788">
        <v>8.5547780000000004E-2</v>
      </c>
      <c r="Z3788">
        <v>-2.5484879999999998E-3</v>
      </c>
      <c r="AA3788">
        <v>0.99633079999999996</v>
      </c>
      <c r="AB3788">
        <v>36</v>
      </c>
      <c r="AC3788">
        <v>30.016999999999999</v>
      </c>
      <c r="AD3788">
        <v>-1.1049318717748</v>
      </c>
      <c r="AE3788">
        <v>-1.7845</v>
      </c>
      <c r="AF3788">
        <v>2.6015865492059902</v>
      </c>
      <c r="AG3788">
        <v>-1.1049318717748</v>
      </c>
      <c r="AH3788">
        <v>29.9165449918627</v>
      </c>
      <c r="AI3788">
        <v>92.107244194024602</v>
      </c>
      <c r="AJ3788">
        <v>85.029978228535398</v>
      </c>
      <c r="AK3788">
        <v>30.049771900372502</v>
      </c>
    </row>
    <row r="3789" spans="1:37" x14ac:dyDescent="0.2">
      <c r="A3789" t="str">
        <f>"20200111155623968"</f>
        <v>20200111155623968</v>
      </c>
      <c r="B3789" t="str">
        <f>"1578729383956239"</f>
        <v>1578729383956239</v>
      </c>
      <c r="C3789" t="s">
        <v>37</v>
      </c>
      <c r="D3789">
        <v>4.6861319999999997</v>
      </c>
      <c r="E3789">
        <v>0.55513880000000004</v>
      </c>
      <c r="F3789" t="s">
        <v>59</v>
      </c>
      <c r="G3789">
        <v>-224.2467</v>
      </c>
      <c r="H3789" s="1">
        <v>7.6911409999999998E-7</v>
      </c>
      <c r="I3789">
        <v>213.56290000000001</v>
      </c>
      <c r="J3789">
        <v>-252.68279999999999</v>
      </c>
      <c r="K3789">
        <v>1.104935</v>
      </c>
      <c r="L3789">
        <v>215.2003</v>
      </c>
      <c r="M3789">
        <v>0.99951119999999904</v>
      </c>
      <c r="N3789">
        <v>0</v>
      </c>
      <c r="O3789">
        <v>2.758099E-2</v>
      </c>
      <c r="P3789">
        <v>0.995897699999999</v>
      </c>
      <c r="Q3789">
        <v>1.4297310000000001E-2</v>
      </c>
      <c r="R3789">
        <v>8.9349819999999996E-2</v>
      </c>
      <c r="S3789">
        <v>3.0292970000000001</v>
      </c>
      <c r="T3789">
        <v>-0.1162218</v>
      </c>
      <c r="U3789">
        <v>-0.1711578</v>
      </c>
      <c r="V3789">
        <v>-6.1859240000000003E-2</v>
      </c>
      <c r="W3789">
        <v>2.8960779999999998E-2</v>
      </c>
      <c r="X3789">
        <v>0.99766460000000001</v>
      </c>
      <c r="Y3789">
        <v>8.3847720000000001E-2</v>
      </c>
      <c r="Z3789">
        <v>-2.6637359999999999E-3</v>
      </c>
      <c r="AA3789">
        <v>0.996475</v>
      </c>
      <c r="AB3789">
        <v>36</v>
      </c>
      <c r="AC3789">
        <v>28.4360999999999</v>
      </c>
      <c r="AD3789">
        <v>-1.1049342308859</v>
      </c>
      <c r="AE3789">
        <v>-1.63739999999998</v>
      </c>
      <c r="AF3789">
        <v>2.4175196936422099</v>
      </c>
      <c r="AG3789">
        <v>-1.1049342308859</v>
      </c>
      <c r="AH3789">
        <v>28.337469927654901</v>
      </c>
      <c r="AI3789">
        <v>92.224871481454798</v>
      </c>
      <c r="AJ3789">
        <v>85.123802624697802</v>
      </c>
      <c r="AK3789">
        <v>28.461860146948901</v>
      </c>
    </row>
    <row r="3790" spans="1:37" x14ac:dyDescent="0.2">
      <c r="A3790" t="str">
        <f>"20200111155623992"</f>
        <v>20200111155623992</v>
      </c>
      <c r="B3790" t="str">
        <f>"1578729383986495"</f>
        <v>1578729383986495</v>
      </c>
      <c r="C3790" t="s">
        <v>37</v>
      </c>
      <c r="D3790">
        <v>4.6802890000000001</v>
      </c>
      <c r="E3790">
        <v>0.55463759999999995</v>
      </c>
      <c r="F3790" t="s">
        <v>59</v>
      </c>
      <c r="G3790">
        <v>-224.7861</v>
      </c>
      <c r="H3790" s="1">
        <v>1.0507049999999899E-6</v>
      </c>
      <c r="I3790">
        <v>213.6876</v>
      </c>
      <c r="J3790">
        <v>-252.309</v>
      </c>
      <c r="K3790">
        <v>1.104935</v>
      </c>
      <c r="L3790">
        <v>215.21080000000001</v>
      </c>
      <c r="M3790">
        <v>0.99950469999999902</v>
      </c>
      <c r="N3790">
        <v>0</v>
      </c>
      <c r="O3790">
        <v>2.7811019999999999E-2</v>
      </c>
      <c r="P3790">
        <v>0.99583750000000004</v>
      </c>
      <c r="Q3790">
        <v>1.426412E-2</v>
      </c>
      <c r="R3790">
        <v>9.0023839999999994E-2</v>
      </c>
      <c r="S3790">
        <v>3.0287929999999998</v>
      </c>
      <c r="T3790">
        <v>-0.1199644</v>
      </c>
      <c r="U3790">
        <v>-0.1642303</v>
      </c>
      <c r="V3790">
        <v>-6.2305510000000001E-2</v>
      </c>
      <c r="W3790">
        <v>2.8930270000000001E-2</v>
      </c>
      <c r="X3790">
        <v>0.99763769999999996</v>
      </c>
      <c r="Y3790">
        <v>8.1810049999999995E-2</v>
      </c>
      <c r="Z3790">
        <v>-2.7188640000000001E-3</v>
      </c>
      <c r="AA3790">
        <v>0.99664430000000004</v>
      </c>
      <c r="AB3790">
        <v>36</v>
      </c>
      <c r="AC3790">
        <v>27.5229</v>
      </c>
      <c r="AD3790">
        <v>-1.1049339492950001</v>
      </c>
      <c r="AE3790">
        <v>-1.5232000000000001</v>
      </c>
      <c r="AF3790">
        <v>2.2844630182061798</v>
      </c>
      <c r="AG3790">
        <v>-1.1049339492950001</v>
      </c>
      <c r="AH3790">
        <v>27.425818233353802</v>
      </c>
      <c r="AI3790">
        <v>92.299136467660603</v>
      </c>
      <c r="AJ3790">
        <v>85.238478326845495</v>
      </c>
      <c r="AK3790">
        <v>27.542969267724501</v>
      </c>
    </row>
    <row r="3791" spans="1:37" x14ac:dyDescent="0.2">
      <c r="A3791" t="str">
        <f>"20200111155624013"</f>
        <v>20200111155624013</v>
      </c>
      <c r="B3791" t="str">
        <f>"1578729384006992"</f>
        <v>1578729384006992</v>
      </c>
      <c r="C3791" t="s">
        <v>37</v>
      </c>
      <c r="D3791">
        <v>4.6756869999999999</v>
      </c>
      <c r="E3791">
        <v>0.55481590000000003</v>
      </c>
      <c r="F3791" t="s">
        <v>59</v>
      </c>
      <c r="G3791">
        <v>-225.6225</v>
      </c>
      <c r="H3791" s="1">
        <v>1.4900699999999999E-6</v>
      </c>
      <c r="I3791">
        <v>213.8193</v>
      </c>
      <c r="J3791">
        <v>-251.95500000000001</v>
      </c>
      <c r="K3791">
        <v>1.104943</v>
      </c>
      <c r="L3791">
        <v>215.2209</v>
      </c>
      <c r="M3791">
        <v>0.99949859999999902</v>
      </c>
      <c r="N3791">
        <v>0</v>
      </c>
      <c r="O3791">
        <v>2.8029080000000001E-2</v>
      </c>
      <c r="P3791">
        <v>0.995778099999999</v>
      </c>
      <c r="Q3791">
        <v>1.493588E-2</v>
      </c>
      <c r="R3791">
        <v>9.0570629999999999E-2</v>
      </c>
      <c r="S3791">
        <v>3.0286249999999999</v>
      </c>
      <c r="T3791">
        <v>-0.12539810000000001</v>
      </c>
      <c r="U3791">
        <v>-0.1579285</v>
      </c>
      <c r="V3791">
        <v>-6.2635850000000007E-2</v>
      </c>
      <c r="W3791">
        <v>2.9603270000000001E-2</v>
      </c>
      <c r="X3791">
        <v>0.99759730000000002</v>
      </c>
      <c r="Y3791">
        <v>7.9955849999999995E-2</v>
      </c>
      <c r="Z3791">
        <v>-2.812892E-3</v>
      </c>
      <c r="AA3791">
        <v>0.99679449999999903</v>
      </c>
      <c r="AB3791">
        <v>36</v>
      </c>
      <c r="AC3791">
        <v>26.3325</v>
      </c>
      <c r="AD3791">
        <v>-1.10494150993</v>
      </c>
      <c r="AE3791">
        <v>-1.4016</v>
      </c>
      <c r="AF3791">
        <v>2.13545566423001</v>
      </c>
      <c r="AG3791">
        <v>-1.10494150993</v>
      </c>
      <c r="AH3791">
        <v>26.2367965312453</v>
      </c>
      <c r="AI3791">
        <v>92.403601540510493</v>
      </c>
      <c r="AJ3791">
        <v>85.346860022118406</v>
      </c>
      <c r="AK3791">
        <v>26.346737157686601</v>
      </c>
    </row>
    <row r="3792" spans="1:37" x14ac:dyDescent="0.2">
      <c r="A3792" t="str">
        <f>"20200111155624036"</f>
        <v>20200111155624036</v>
      </c>
      <c r="B3792" t="str">
        <f>"1578729384026511"</f>
        <v>1578729384026511</v>
      </c>
      <c r="C3792" t="s">
        <v>37</v>
      </c>
      <c r="D3792">
        <v>4.6455519999999897</v>
      </c>
      <c r="E3792">
        <v>0.55435999999999996</v>
      </c>
      <c r="F3792" t="s">
        <v>59</v>
      </c>
      <c r="G3792">
        <v>-225.4821</v>
      </c>
      <c r="H3792" s="1">
        <v>1.414316E-6</v>
      </c>
      <c r="I3792">
        <v>213.8433</v>
      </c>
      <c r="J3792">
        <v>-251.59989999999999</v>
      </c>
      <c r="K3792">
        <v>1.104946</v>
      </c>
      <c r="L3792">
        <v>215.2311</v>
      </c>
      <c r="M3792">
        <v>0.9994923</v>
      </c>
      <c r="N3792">
        <v>0</v>
      </c>
      <c r="O3792">
        <v>2.824809E-2</v>
      </c>
      <c r="P3792">
        <v>0.99572380000000005</v>
      </c>
      <c r="Q3792">
        <v>1.4782379999999999E-2</v>
      </c>
      <c r="R3792">
        <v>9.1189820000000005E-2</v>
      </c>
      <c r="S3792">
        <v>3.0289609999999998</v>
      </c>
      <c r="T3792">
        <v>-0.12642490000000001</v>
      </c>
      <c r="U3792">
        <v>-0.15762329999999999</v>
      </c>
      <c r="V3792">
        <v>-6.3037609999999994E-2</v>
      </c>
      <c r="W3792">
        <v>2.9450279999999999E-2</v>
      </c>
      <c r="X3792">
        <v>0.99757649999999998</v>
      </c>
      <c r="Y3792">
        <v>8.006655E-2</v>
      </c>
      <c r="Z3792">
        <v>-2.847039E-3</v>
      </c>
      <c r="AA3792">
        <v>0.99678549999999999</v>
      </c>
      <c r="AB3792">
        <v>36</v>
      </c>
      <c r="AC3792">
        <v>26.1177999999999</v>
      </c>
      <c r="AD3792">
        <v>-1.1049445856839999</v>
      </c>
      <c r="AE3792">
        <v>-1.3877999999999899</v>
      </c>
      <c r="AF3792">
        <v>2.1213180904238098</v>
      </c>
      <c r="AG3792">
        <v>-1.1049445856839999</v>
      </c>
      <c r="AH3792">
        <v>26.021725379948801</v>
      </c>
      <c r="AI3792">
        <v>92.423425256484805</v>
      </c>
      <c r="AJ3792">
        <v>85.339494365188301</v>
      </c>
      <c r="AK3792">
        <v>26.131419493163101</v>
      </c>
    </row>
    <row r="3793" spans="1:37" x14ac:dyDescent="0.2">
      <c r="A3793" t="str">
        <f>"20200111155624058"</f>
        <v>20200111155624058</v>
      </c>
      <c r="B3793" t="str">
        <f>"1578729384047007"</f>
        <v>1578729384047007</v>
      </c>
      <c r="C3793" t="s">
        <v>37</v>
      </c>
      <c r="D3793">
        <v>4.6981539999999997</v>
      </c>
      <c r="E3793">
        <v>0.55414890000000006</v>
      </c>
      <c r="F3793" t="s">
        <v>59</v>
      </c>
      <c r="G3793">
        <v>-226.08709999999999</v>
      </c>
      <c r="H3793" s="1">
        <v>1.7314920000000001E-6</v>
      </c>
      <c r="I3793">
        <v>213.95249999999999</v>
      </c>
      <c r="J3793">
        <v>-251.24010000000001</v>
      </c>
      <c r="K3793">
        <v>1.1049519999999999</v>
      </c>
      <c r="L3793">
        <v>215.2415</v>
      </c>
      <c r="M3793">
        <v>0.99948609999999904</v>
      </c>
      <c r="N3793">
        <v>0</v>
      </c>
      <c r="O3793">
        <v>2.846974E-2</v>
      </c>
      <c r="P3793">
        <v>0.99572559999999999</v>
      </c>
      <c r="Q3793">
        <v>1.4591460000000001E-2</v>
      </c>
      <c r="R3793">
        <v>9.1201099999999993E-2</v>
      </c>
      <c r="S3793">
        <v>3.02874799999999</v>
      </c>
      <c r="T3793">
        <v>-0.1311736</v>
      </c>
      <c r="U3793">
        <v>-0.1517944</v>
      </c>
      <c r="V3793">
        <v>-6.2827209999999994E-2</v>
      </c>
      <c r="W3793">
        <v>2.926105E-2</v>
      </c>
      <c r="X3793">
        <v>0.99759540000000002</v>
      </c>
      <c r="Y3793">
        <v>7.8371969999999999E-2</v>
      </c>
      <c r="Z3793">
        <v>-2.927158E-3</v>
      </c>
      <c r="AA3793">
        <v>0.99691989999999997</v>
      </c>
      <c r="AB3793">
        <v>36</v>
      </c>
      <c r="AC3793">
        <v>25.152999999999999</v>
      </c>
      <c r="AD3793">
        <v>-1.1049502685079999</v>
      </c>
      <c r="AE3793">
        <v>-1.2890000000000099</v>
      </c>
      <c r="AF3793">
        <v>2.0008034996599999</v>
      </c>
      <c r="AG3793">
        <v>-1.1049502685079999</v>
      </c>
      <c r="AH3793">
        <v>25.057871355386901</v>
      </c>
      <c r="AI3793">
        <v>92.516875135439804</v>
      </c>
      <c r="AJ3793">
        <v>85.434771981909194</v>
      </c>
      <c r="AK3793">
        <v>25.161896721098898</v>
      </c>
    </row>
    <row r="3794" spans="1:37" x14ac:dyDescent="0.2">
      <c r="A3794" t="str">
        <f>"20200111155624081"</f>
        <v>20200111155624081</v>
      </c>
      <c r="B3794" t="str">
        <f>"1578729384076288"</f>
        <v>1578729384076288</v>
      </c>
      <c r="C3794" t="s">
        <v>37</v>
      </c>
      <c r="D3794">
        <v>4.8765219999999996</v>
      </c>
      <c r="E3794">
        <v>0.553961699999999</v>
      </c>
      <c r="F3794" t="s">
        <v>59</v>
      </c>
      <c r="G3794">
        <v>-226.39670000000001</v>
      </c>
      <c r="H3794" s="1">
        <v>1.8936810000000001E-6</v>
      </c>
      <c r="I3794">
        <v>214.011</v>
      </c>
      <c r="J3794">
        <v>-250.87960000000001</v>
      </c>
      <c r="K3794">
        <v>1.104951</v>
      </c>
      <c r="L3794">
        <v>215.25200000000001</v>
      </c>
      <c r="M3794">
        <v>0.99947980000000003</v>
      </c>
      <c r="N3794">
        <v>0</v>
      </c>
      <c r="O3794">
        <v>2.869186E-2</v>
      </c>
      <c r="P3794">
        <v>0.99571430000000005</v>
      </c>
      <c r="Q3794">
        <v>1.39892E-2</v>
      </c>
      <c r="R3794">
        <v>9.1420290000000001E-2</v>
      </c>
      <c r="S3794">
        <v>3.0285950000000001</v>
      </c>
      <c r="T3794">
        <v>-0.1347016</v>
      </c>
      <c r="U3794">
        <v>-0.15000920000000001</v>
      </c>
      <c r="V3794">
        <v>-6.2824980000000002E-2</v>
      </c>
      <c r="W3794">
        <v>2.865906E-2</v>
      </c>
      <c r="X3794">
        <v>0.99761299999999997</v>
      </c>
      <c r="Y3794">
        <v>7.8004509999999999E-2</v>
      </c>
      <c r="Z3794">
        <v>-3.0077099999999998E-3</v>
      </c>
      <c r="AA3794">
        <v>0.99694850000000002</v>
      </c>
      <c r="AB3794">
        <v>36</v>
      </c>
      <c r="AC3794">
        <v>24.482900000000001</v>
      </c>
      <c r="AD3794">
        <v>-1.104949106319</v>
      </c>
      <c r="AE3794">
        <v>-1.2410000000000101</v>
      </c>
      <c r="AF3794">
        <v>1.93908560713996</v>
      </c>
      <c r="AG3794">
        <v>-1.104949106319</v>
      </c>
      <c r="AH3794">
        <v>24.387661154383299</v>
      </c>
      <c r="AI3794">
        <v>92.586016134410897</v>
      </c>
      <c r="AJ3794">
        <v>85.453923296705298</v>
      </c>
      <c r="AK3794">
        <v>24.489568842680502</v>
      </c>
    </row>
    <row r="3795" spans="1:37" x14ac:dyDescent="0.2">
      <c r="A3795" t="str">
        <f>"20200111155624103"</f>
        <v>20200111155624103</v>
      </c>
      <c r="B3795" t="str">
        <f>"1578729384096782"</f>
        <v>1578729384096782</v>
      </c>
      <c r="C3795" t="s">
        <v>37</v>
      </c>
      <c r="D3795">
        <v>4.8250719999999996</v>
      </c>
      <c r="E3795">
        <v>0.55384529999999998</v>
      </c>
      <c r="F3795" t="s">
        <v>59</v>
      </c>
      <c r="G3795">
        <v>-227.00530000000001</v>
      </c>
      <c r="H3795" s="1">
        <v>2.2143239999999999E-6</v>
      </c>
      <c r="I3795">
        <v>214.08459999999999</v>
      </c>
      <c r="J3795">
        <v>-250.51859999999999</v>
      </c>
      <c r="K3795">
        <v>1.1049549999999999</v>
      </c>
      <c r="L3795">
        <v>215.26259999999999</v>
      </c>
      <c r="M3795">
        <v>0.99947339999999996</v>
      </c>
      <c r="N3795">
        <v>0</v>
      </c>
      <c r="O3795">
        <v>2.891465E-2</v>
      </c>
      <c r="P3795">
        <v>0.9957395</v>
      </c>
      <c r="Q3795">
        <v>1.39776E-2</v>
      </c>
      <c r="R3795">
        <v>9.1146399999999905E-2</v>
      </c>
      <c r="S3795">
        <v>3.028473</v>
      </c>
      <c r="T3795">
        <v>-0.1401637</v>
      </c>
      <c r="U3795">
        <v>-0.14808650000000001</v>
      </c>
      <c r="V3795">
        <v>-6.2327430000000003E-2</v>
      </c>
      <c r="W3795">
        <v>2.8647619999999999E-2</v>
      </c>
      <c r="X3795">
        <v>0.99764449999999905</v>
      </c>
      <c r="Y3795">
        <v>7.7588829999999998E-2</v>
      </c>
      <c r="Z3795">
        <v>-3.1304059999999901E-3</v>
      </c>
      <c r="AA3795">
        <v>0.99698050000000005</v>
      </c>
      <c r="AB3795">
        <v>36</v>
      </c>
      <c r="AC3795">
        <v>23.513299999999902</v>
      </c>
      <c r="AD3795">
        <v>-1.104952785676</v>
      </c>
      <c r="AE3795">
        <v>-1.1779999999999899</v>
      </c>
      <c r="AF3795">
        <v>1.85337733878675</v>
      </c>
      <c r="AG3795">
        <v>-1.104952785676</v>
      </c>
      <c r="AH3795">
        <v>23.4178170769293</v>
      </c>
      <c r="AI3795">
        <v>92.693047687243904</v>
      </c>
      <c r="AJ3795">
        <v>85.474821115774503</v>
      </c>
      <c r="AK3795">
        <v>23.5170169210941</v>
      </c>
    </row>
    <row r="3796" spans="1:37" x14ac:dyDescent="0.2">
      <c r="A3796" t="str">
        <f>"20200111155624126"</f>
        <v>20200111155624126</v>
      </c>
      <c r="B3796" t="str">
        <f>"1578729384116303"</f>
        <v>1578729384116303</v>
      </c>
      <c r="C3796" t="s">
        <v>37</v>
      </c>
      <c r="D3796">
        <v>4.7306359999999996</v>
      </c>
      <c r="E3796">
        <v>0.55377880000000002</v>
      </c>
      <c r="F3796" t="s">
        <v>59</v>
      </c>
      <c r="G3796">
        <v>-227.05459999999999</v>
      </c>
      <c r="H3796" s="1">
        <v>2.2391080000000001E-6</v>
      </c>
      <c r="I3796">
        <v>214.11770000000001</v>
      </c>
      <c r="J3796">
        <v>-250.15860000000001</v>
      </c>
      <c r="K3796">
        <v>1.104956</v>
      </c>
      <c r="L3796">
        <v>215.2732</v>
      </c>
      <c r="M3796">
        <v>0.99946699999999999</v>
      </c>
      <c r="N3796">
        <v>0</v>
      </c>
      <c r="O3796">
        <v>2.913673E-2</v>
      </c>
      <c r="P3796">
        <v>0.99574889999999905</v>
      </c>
      <c r="Q3796">
        <v>1.374392E-2</v>
      </c>
      <c r="R3796">
        <v>9.1079839999999995E-2</v>
      </c>
      <c r="S3796">
        <v>3.028381</v>
      </c>
      <c r="T3796">
        <v>-0.1426106</v>
      </c>
      <c r="U3796">
        <v>-0.14776610000000001</v>
      </c>
      <c r="V3796">
        <v>-6.2039080000000003E-2</v>
      </c>
      <c r="W3796">
        <v>2.8413109999999998E-2</v>
      </c>
      <c r="X3796">
        <v>0.99766919999999903</v>
      </c>
      <c r="Y3796">
        <v>7.7702190000000004E-2</v>
      </c>
      <c r="Z3796">
        <v>-3.198214E-3</v>
      </c>
      <c r="AA3796">
        <v>0.99697150000000001</v>
      </c>
      <c r="AB3796">
        <v>36</v>
      </c>
      <c r="AC3796">
        <v>23.103999999999999</v>
      </c>
      <c r="AD3796">
        <v>-1.1049537608919999</v>
      </c>
      <c r="AE3796">
        <v>-1.15549999999998</v>
      </c>
      <c r="AF3796">
        <v>1.82409553712317</v>
      </c>
      <c r="AG3796">
        <v>-1.1049537608919999</v>
      </c>
      <c r="AH3796">
        <v>23.008023763747001</v>
      </c>
      <c r="AI3796">
        <v>92.740913660429996</v>
      </c>
      <c r="AJ3796">
        <v>85.467023658921306</v>
      </c>
      <c r="AK3796">
        <v>23.106652826738301</v>
      </c>
    </row>
    <row r="3797" spans="1:37" x14ac:dyDescent="0.2">
      <c r="A3797" t="str">
        <f>"20200111155624147"</f>
        <v>20200111155624147</v>
      </c>
      <c r="B3797" t="str">
        <f>"1578729384136799"</f>
        <v>1578729384136799</v>
      </c>
      <c r="C3797" t="s">
        <v>37</v>
      </c>
      <c r="D3797">
        <v>4.7477269999999896</v>
      </c>
      <c r="E3797">
        <v>0.55374109999999999</v>
      </c>
      <c r="F3797" t="s">
        <v>59</v>
      </c>
      <c r="G3797">
        <v>-227.29</v>
      </c>
      <c r="H3797" s="1">
        <v>2.362513E-6</v>
      </c>
      <c r="I3797">
        <v>214.16059999999999</v>
      </c>
      <c r="J3797">
        <v>-249.81049999999999</v>
      </c>
      <c r="K3797">
        <v>1.104957</v>
      </c>
      <c r="L3797">
        <v>215.28360000000001</v>
      </c>
      <c r="M3797">
        <v>0.99946080000000004</v>
      </c>
      <c r="N3797">
        <v>0</v>
      </c>
      <c r="O3797">
        <v>2.93512999999999E-2</v>
      </c>
      <c r="P3797">
        <v>0.99572129999999903</v>
      </c>
      <c r="Q3797">
        <v>1.3687059999999999E-2</v>
      </c>
      <c r="R3797">
        <v>9.1391050000000001E-2</v>
      </c>
      <c r="S3797">
        <v>3.0283199999999999</v>
      </c>
      <c r="T3797">
        <v>-0.1463207</v>
      </c>
      <c r="U3797">
        <v>-0.14733889999999999</v>
      </c>
      <c r="V3797">
        <v>-6.2136709999999998E-2</v>
      </c>
      <c r="W3797">
        <v>2.835449E-2</v>
      </c>
      <c r="X3797">
        <v>0.99766480000000002</v>
      </c>
      <c r="Y3797">
        <v>7.7770320000000004E-2</v>
      </c>
      <c r="Z3797">
        <v>-3.2933979999999999E-3</v>
      </c>
      <c r="AA3797">
        <v>0.99696589999999996</v>
      </c>
      <c r="AB3797">
        <v>36</v>
      </c>
      <c r="AC3797">
        <v>22.520499999999998</v>
      </c>
      <c r="AD3797">
        <v>-1.1049546374869901</v>
      </c>
      <c r="AE3797">
        <v>-1.12300000000001</v>
      </c>
      <c r="AF3797">
        <v>1.77932085262665</v>
      </c>
      <c r="AG3797">
        <v>-1.1049546374869901</v>
      </c>
      <c r="AH3797">
        <v>22.423982352674901</v>
      </c>
      <c r="AI3797">
        <v>92.812175827907197</v>
      </c>
      <c r="AJ3797">
        <v>85.463142303216898</v>
      </c>
      <c r="AK3797">
        <v>22.521587244254601</v>
      </c>
    </row>
    <row r="3798" spans="1:37" x14ac:dyDescent="0.2">
      <c r="A3798" t="str">
        <f>"20200111155624169"</f>
        <v>20200111155624169</v>
      </c>
      <c r="B3798" t="str">
        <f>"1578729384167055"</f>
        <v>1578729384167055</v>
      </c>
      <c r="C3798" t="s">
        <v>37</v>
      </c>
      <c r="D3798">
        <v>4.7437319999999996</v>
      </c>
      <c r="E3798">
        <v>0.55372829999999995</v>
      </c>
      <c r="F3798" t="s">
        <v>59</v>
      </c>
      <c r="G3798">
        <v>-227.31270000000001</v>
      </c>
      <c r="H3798" s="1">
        <v>2.3728329999999998E-6</v>
      </c>
      <c r="I3798">
        <v>214.20009999999999</v>
      </c>
      <c r="J3798">
        <v>-249.45480000000001</v>
      </c>
      <c r="K3798">
        <v>1.1049599999999999</v>
      </c>
      <c r="L3798">
        <v>215.29429999999999</v>
      </c>
      <c r="M3798">
        <v>0.99945430000000002</v>
      </c>
      <c r="N3798">
        <v>0</v>
      </c>
      <c r="O3798">
        <v>2.957106E-2</v>
      </c>
      <c r="P3798">
        <v>0.99571259999999995</v>
      </c>
      <c r="Q3798">
        <v>1.373893E-2</v>
      </c>
      <c r="R3798">
        <v>9.1476810000000006E-2</v>
      </c>
      <c r="S3798">
        <v>3.028305</v>
      </c>
      <c r="T3798">
        <v>-0.14873149999999999</v>
      </c>
      <c r="U3798">
        <v>-0.14584349999999999</v>
      </c>
      <c r="V3798">
        <v>-6.2003429999999998E-2</v>
      </c>
      <c r="W3798">
        <v>2.8404539999999999E-2</v>
      </c>
      <c r="X3798">
        <v>0.99767169999999905</v>
      </c>
      <c r="Y3798">
        <v>7.7494540000000001E-2</v>
      </c>
      <c r="Z3798">
        <v>-3.351667E-3</v>
      </c>
      <c r="AA3798">
        <v>0.99698719999999996</v>
      </c>
      <c r="AB3798">
        <v>36</v>
      </c>
      <c r="AC3798">
        <v>22.142099999999999</v>
      </c>
      <c r="AD3798">
        <v>-1.1049576271670001</v>
      </c>
      <c r="AE3798">
        <v>-1.0942000000000001</v>
      </c>
      <c r="AF3798">
        <v>1.7442246089437801</v>
      </c>
      <c r="AG3798">
        <v>-1.1049576271670001</v>
      </c>
      <c r="AH3798">
        <v>22.045288682115402</v>
      </c>
      <c r="AI3798">
        <v>92.860463003334004</v>
      </c>
      <c r="AJ3798">
        <v>85.476178345992395</v>
      </c>
      <c r="AK3798">
        <v>22.1417705688159</v>
      </c>
    </row>
    <row r="3799" spans="1:37" x14ac:dyDescent="0.2">
      <c r="A3799" t="str">
        <f>"20200111155624192"</f>
        <v>20200111155624192</v>
      </c>
      <c r="B3799" t="str">
        <f>"1578729384186574"</f>
        <v>1578729384186574</v>
      </c>
      <c r="C3799" t="s">
        <v>37</v>
      </c>
      <c r="D3799">
        <v>4.8361000000000001</v>
      </c>
      <c r="E3799">
        <v>0.5537415</v>
      </c>
      <c r="F3799" t="s">
        <v>59</v>
      </c>
      <c r="G3799">
        <v>-227.48099999999999</v>
      </c>
      <c r="H3799" s="1">
        <v>2.460677E-6</v>
      </c>
      <c r="I3799">
        <v>214.2396</v>
      </c>
      <c r="J3799">
        <v>-249.0942</v>
      </c>
      <c r="K3799">
        <v>1.104956</v>
      </c>
      <c r="L3799">
        <v>215.30510000000001</v>
      </c>
      <c r="M3799">
        <v>0.9994478</v>
      </c>
      <c r="N3799">
        <v>0</v>
      </c>
      <c r="O3799">
        <v>2.9793380000000001E-2</v>
      </c>
      <c r="P3799">
        <v>0.99569449999999904</v>
      </c>
      <c r="Q3799">
        <v>1.4050470000000001E-2</v>
      </c>
      <c r="R3799">
        <v>9.1627319999999998E-2</v>
      </c>
      <c r="S3799">
        <v>3.0283660000000001</v>
      </c>
      <c r="T3799">
        <v>-0.1522821</v>
      </c>
      <c r="U3799">
        <v>-0.14535519999999999</v>
      </c>
      <c r="V3799">
        <v>-6.1931979999999998E-2</v>
      </c>
      <c r="W3799">
        <v>2.8713869999999999E-2</v>
      </c>
      <c r="X3799">
        <v>0.99766730000000003</v>
      </c>
      <c r="Y3799">
        <v>7.7548409999999998E-2</v>
      </c>
      <c r="Z3799">
        <v>-3.4440439999999998E-3</v>
      </c>
      <c r="AA3799">
        <v>0.99698259999999905</v>
      </c>
      <c r="AB3799">
        <v>36</v>
      </c>
      <c r="AC3799">
        <v>21.613199999999999</v>
      </c>
      <c r="AD3799">
        <v>-1.1049535393229999</v>
      </c>
      <c r="AE3799">
        <v>-1.0655000000000101</v>
      </c>
      <c r="AF3799">
        <v>1.7045824748384599</v>
      </c>
      <c r="AG3799">
        <v>-1.1049535393229999</v>
      </c>
      <c r="AH3799">
        <v>21.515756444320498</v>
      </c>
      <c r="AI3799">
        <v>92.930706709464701</v>
      </c>
      <c r="AJ3799">
        <v>85.470212109940604</v>
      </c>
      <c r="AK3799">
        <v>21.611439080008299</v>
      </c>
    </row>
    <row r="3800" spans="1:37" x14ac:dyDescent="0.2">
      <c r="A3800" t="str">
        <f>"20200111155624213"</f>
        <v>20200111155624213</v>
      </c>
      <c r="B3800" t="str">
        <f>"1578729384206095"</f>
        <v>1578729384206095</v>
      </c>
      <c r="C3800" t="s">
        <v>37</v>
      </c>
      <c r="D3800">
        <v>4.713336</v>
      </c>
      <c r="E3800">
        <v>0.55377909999999997</v>
      </c>
      <c r="F3800" t="s">
        <v>59</v>
      </c>
      <c r="G3800">
        <v>-227.24090000000001</v>
      </c>
      <c r="H3800" s="1">
        <v>2.3319640000000001E-6</v>
      </c>
      <c r="I3800">
        <v>214.2611</v>
      </c>
      <c r="J3800">
        <v>-248.74459999999999</v>
      </c>
      <c r="K3800">
        <v>1.104962</v>
      </c>
      <c r="L3800">
        <v>215.3158</v>
      </c>
      <c r="M3800">
        <v>0.99944109999999997</v>
      </c>
      <c r="N3800">
        <v>0</v>
      </c>
      <c r="O3800">
        <v>3.0009439999999998E-2</v>
      </c>
      <c r="P3800">
        <v>0.99571659999999995</v>
      </c>
      <c r="Q3800">
        <v>1.443265E-2</v>
      </c>
      <c r="R3800">
        <v>9.1323870000000001E-2</v>
      </c>
      <c r="S3800">
        <v>3.0284419999999899</v>
      </c>
      <c r="T3800">
        <v>-0.15312479999999901</v>
      </c>
      <c r="U3800">
        <v>-0.1446838</v>
      </c>
      <c r="V3800">
        <v>-6.1412759999999997E-2</v>
      </c>
      <c r="W3800">
        <v>2.9094229999999999E-2</v>
      </c>
      <c r="X3800">
        <v>0.99768840000000003</v>
      </c>
      <c r="Y3800">
        <v>7.7540479999999995E-2</v>
      </c>
      <c r="Z3800">
        <v>-3.4737229999999902E-3</v>
      </c>
      <c r="AA3800">
        <v>0.99698319999999996</v>
      </c>
      <c r="AB3800">
        <v>36</v>
      </c>
      <c r="AC3800">
        <v>21.503699999999899</v>
      </c>
      <c r="AD3800">
        <v>-1.1049596680360001</v>
      </c>
      <c r="AE3800">
        <v>-1.05469999999999</v>
      </c>
      <c r="AF3800">
        <v>1.6951437909462299</v>
      </c>
      <c r="AG3800">
        <v>-1.1049596680360001</v>
      </c>
      <c r="AH3800">
        <v>21.405974301441201</v>
      </c>
      <c r="AI3800">
        <v>92.945734978442403</v>
      </c>
      <c r="AJ3800">
        <v>85.472183683934702</v>
      </c>
      <c r="AK3800">
        <v>21.501399585467201</v>
      </c>
    </row>
    <row r="3801" spans="1:37" x14ac:dyDescent="0.2">
      <c r="A3801" t="str">
        <f>"20200111155624237"</f>
        <v>20200111155624237</v>
      </c>
      <c r="B3801" t="str">
        <f>"1578729384226590"</f>
        <v>1578729384226590</v>
      </c>
      <c r="C3801" t="s">
        <v>37</v>
      </c>
      <c r="D3801">
        <v>4.7220050000000002</v>
      </c>
      <c r="E3801">
        <v>0.55381899999999995</v>
      </c>
      <c r="F3801" t="s">
        <v>59</v>
      </c>
      <c r="G3801">
        <v>-226.90119999999999</v>
      </c>
      <c r="H3801" s="1">
        <v>2.1511570000000001E-6</v>
      </c>
      <c r="I3801">
        <v>214.2628</v>
      </c>
      <c r="J3801">
        <v>-248.38929999999999</v>
      </c>
      <c r="K3801">
        <v>1.1049659999999999</v>
      </c>
      <c r="L3801">
        <v>215.32669999999999</v>
      </c>
      <c r="M3801">
        <v>0.99943470000000001</v>
      </c>
      <c r="N3801">
        <v>0</v>
      </c>
      <c r="O3801">
        <v>3.0228729999999999E-2</v>
      </c>
      <c r="P3801">
        <v>0.99574959999999901</v>
      </c>
      <c r="Q3801">
        <v>1.4934589999999999E-2</v>
      </c>
      <c r="R3801">
        <v>9.0883220000000001E-2</v>
      </c>
      <c r="S3801">
        <v>3.02851899999999</v>
      </c>
      <c r="T3801">
        <v>-0.15319920000000001</v>
      </c>
      <c r="U3801">
        <v>-0.14599609999999999</v>
      </c>
      <c r="V3801">
        <v>-6.0752489999999999E-2</v>
      </c>
      <c r="W3801">
        <v>2.9594700000000002E-2</v>
      </c>
      <c r="X3801">
        <v>0.99771399999999999</v>
      </c>
      <c r="Y3801">
        <v>7.818775E-2</v>
      </c>
      <c r="Z3801">
        <v>-3.5027179999999902E-3</v>
      </c>
      <c r="AA3801">
        <v>0.9969325</v>
      </c>
      <c r="AB3801">
        <v>36</v>
      </c>
      <c r="AC3801">
        <v>21.488099999999999</v>
      </c>
      <c r="AD3801">
        <v>-1.10496384884299</v>
      </c>
      <c r="AE3801">
        <v>-1.0638999999999801</v>
      </c>
      <c r="AF3801">
        <v>1.70853527916329</v>
      </c>
      <c r="AG3801">
        <v>-1.10496384884299</v>
      </c>
      <c r="AH3801">
        <v>21.3896930705166</v>
      </c>
      <c r="AI3801">
        <v>92.9478247439651</v>
      </c>
      <c r="AJ3801">
        <v>85.433105951572003</v>
      </c>
      <c r="AK3801">
        <v>21.4862515939449</v>
      </c>
    </row>
    <row r="3802" spans="1:37" x14ac:dyDescent="0.2">
      <c r="A3802" t="str">
        <f>"20200111155624259"</f>
        <v>20200111155624259</v>
      </c>
      <c r="B3802" t="str">
        <f>"1578729384256848"</f>
        <v>1578729384256848</v>
      </c>
      <c r="C3802" t="s">
        <v>37</v>
      </c>
      <c r="D3802">
        <v>4.644609</v>
      </c>
      <c r="E3802">
        <v>0.57164499999999996</v>
      </c>
      <c r="F3802" t="s">
        <v>59</v>
      </c>
      <c r="G3802">
        <v>-226.4085</v>
      </c>
      <c r="H3802" s="1">
        <v>1.889235E-6</v>
      </c>
      <c r="I3802">
        <v>214.25579999999999</v>
      </c>
      <c r="J3802">
        <v>-248.02850000000001</v>
      </c>
      <c r="K3802">
        <v>1.104968</v>
      </c>
      <c r="L3802">
        <v>215.33779999999999</v>
      </c>
      <c r="M3802">
        <v>0.99942790000000004</v>
      </c>
      <c r="N3802">
        <v>0</v>
      </c>
      <c r="O3802">
        <v>3.045136E-2</v>
      </c>
      <c r="P3802">
        <v>0.99572519999999998</v>
      </c>
      <c r="Q3802">
        <v>1.5541030000000001E-2</v>
      </c>
      <c r="R3802">
        <v>9.1050740000000005E-2</v>
      </c>
      <c r="S3802">
        <v>3.0285639999999998</v>
      </c>
      <c r="T3802">
        <v>-0.15224409999999999</v>
      </c>
      <c r="U3802">
        <v>-0.1475525</v>
      </c>
      <c r="V3802">
        <v>-6.0698580000000002E-2</v>
      </c>
      <c r="W3802">
        <v>3.0198579999999999E-2</v>
      </c>
      <c r="X3802">
        <v>0.99769920000000001</v>
      </c>
      <c r="Y3802">
        <v>7.8920740000000003E-2</v>
      </c>
      <c r="Z3802">
        <v>-3.5103959999999998E-3</v>
      </c>
      <c r="AA3802">
        <v>0.996874699999999</v>
      </c>
      <c r="AB3802">
        <v>36</v>
      </c>
      <c r="AC3802">
        <v>21.62</v>
      </c>
      <c r="AD3802">
        <v>-1.104966110765</v>
      </c>
      <c r="AE3802">
        <v>-1.0819999999999901</v>
      </c>
      <c r="AF3802">
        <v>1.73540612925891</v>
      </c>
      <c r="AG3802">
        <v>-1.104966110765</v>
      </c>
      <c r="AH3802">
        <v>21.520945612647001</v>
      </c>
      <c r="AI3802">
        <v>92.929706289305997</v>
      </c>
      <c r="AJ3802">
        <v>85.389758032669306</v>
      </c>
      <c r="AK3802">
        <v>21.6190583652923</v>
      </c>
    </row>
    <row r="3803" spans="1:37" x14ac:dyDescent="0.2">
      <c r="A3803" t="str">
        <f>"20200111155624282"</f>
        <v>20200111155624282</v>
      </c>
      <c r="B3803" t="str">
        <f>"1578729384276367"</f>
        <v>1578729384276367</v>
      </c>
      <c r="C3803" t="s">
        <v>37</v>
      </c>
      <c r="D3803">
        <v>4.6574299999999997</v>
      </c>
      <c r="E3803">
        <v>0.57133750000000005</v>
      </c>
      <c r="F3803" t="s">
        <v>59</v>
      </c>
      <c r="G3803">
        <v>-226.6242</v>
      </c>
      <c r="H3803" s="1">
        <v>2.045487E-6</v>
      </c>
      <c r="I3803">
        <v>213.30779999999999</v>
      </c>
      <c r="J3803">
        <v>-247.6705</v>
      </c>
      <c r="K3803">
        <v>1.1049690000000001</v>
      </c>
      <c r="L3803">
        <v>215.34889999999999</v>
      </c>
      <c r="M3803">
        <v>0.99942119999999901</v>
      </c>
      <c r="N3803">
        <v>0</v>
      </c>
      <c r="O3803">
        <v>3.067278E-2</v>
      </c>
      <c r="P3803">
        <v>0.99572419999999995</v>
      </c>
      <c r="Q3803">
        <v>1.5756180000000002E-2</v>
      </c>
      <c r="R3803">
        <v>9.102375E-2</v>
      </c>
      <c r="S3803">
        <v>3.0417179999999999</v>
      </c>
      <c r="T3803">
        <v>-0.15702449999999901</v>
      </c>
      <c r="U3803">
        <v>-0.28848269999999998</v>
      </c>
      <c r="V3803">
        <v>-6.0450799999999999E-2</v>
      </c>
      <c r="W3803">
        <v>3.0410670000000001E-2</v>
      </c>
      <c r="X3803">
        <v>0.99770780000000003</v>
      </c>
      <c r="Y3803">
        <v>0.12470779999999999</v>
      </c>
      <c r="Z3803">
        <v>-4.789013E-3</v>
      </c>
      <c r="AA3803">
        <v>0.99218200000000001</v>
      </c>
      <c r="AB3803">
        <v>36</v>
      </c>
      <c r="AC3803">
        <v>21.046299999999999</v>
      </c>
      <c r="AD3803">
        <v>-1.1049669545130001</v>
      </c>
      <c r="AE3803">
        <v>-2.0411000000000001</v>
      </c>
      <c r="AF3803">
        <v>2.6784436652729799</v>
      </c>
      <c r="AG3803">
        <v>-1.1049669545130001</v>
      </c>
      <c r="AH3803">
        <v>20.916664039196402</v>
      </c>
      <c r="AI3803">
        <v>92.999512533598306</v>
      </c>
      <c r="AJ3803">
        <v>82.702810366640193</v>
      </c>
      <c r="AK3803">
        <v>21.1163881136717</v>
      </c>
    </row>
    <row r="3804" spans="1:37" x14ac:dyDescent="0.2">
      <c r="A3804" t="str">
        <f>"20200111155624304"</f>
        <v>20200111155624304</v>
      </c>
      <c r="B3804" t="str">
        <f>"1578729384296863"</f>
        <v>1578729384296863</v>
      </c>
      <c r="C3804" t="s">
        <v>37</v>
      </c>
      <c r="D3804">
        <v>4.6619979999999996</v>
      </c>
      <c r="E3804">
        <v>0.5713625</v>
      </c>
      <c r="F3804" t="s">
        <v>59</v>
      </c>
      <c r="G3804">
        <v>-225.9212</v>
      </c>
      <c r="H3804" s="1">
        <v>1.6715549999999901E-6</v>
      </c>
      <c r="I3804">
        <v>213.30420000000001</v>
      </c>
      <c r="J3804">
        <v>-247.3141</v>
      </c>
      <c r="K3804">
        <v>1.104976</v>
      </c>
      <c r="L3804">
        <v>215.36009999999999</v>
      </c>
      <c r="M3804">
        <v>0.99941449999999998</v>
      </c>
      <c r="N3804">
        <v>0</v>
      </c>
      <c r="O3804">
        <v>3.0893029999999998E-2</v>
      </c>
      <c r="P3804">
        <v>0.99568440000000002</v>
      </c>
      <c r="Q3804">
        <v>1.623689E-2</v>
      </c>
      <c r="R3804">
        <v>9.1374220000000006E-2</v>
      </c>
      <c r="S3804">
        <v>3.0414729999999999</v>
      </c>
      <c r="T3804">
        <v>-0.15452170000000001</v>
      </c>
      <c r="U3804">
        <v>-0.28593439999999998</v>
      </c>
      <c r="V3804">
        <v>-6.0582660000000003E-2</v>
      </c>
      <c r="W3804">
        <v>3.0888240000000001E-2</v>
      </c>
      <c r="X3804">
        <v>0.99768509999999999</v>
      </c>
      <c r="Y3804">
        <v>0.1241168</v>
      </c>
      <c r="Z3804">
        <v>-4.7095309999999899E-3</v>
      </c>
      <c r="AA3804">
        <v>0.99225649999999999</v>
      </c>
      <c r="AB3804">
        <v>36</v>
      </c>
      <c r="AC3804">
        <v>21.392900000000001</v>
      </c>
      <c r="AD3804">
        <v>-1.104974328445</v>
      </c>
      <c r="AE3804">
        <v>-2.0558999999999799</v>
      </c>
      <c r="AF3804">
        <v>2.70872108867996</v>
      </c>
      <c r="AG3804">
        <v>-1.104974328445</v>
      </c>
      <c r="AH3804">
        <v>21.262959283036299</v>
      </c>
      <c r="AI3804">
        <v>92.951013133325702</v>
      </c>
      <c r="AJ3804">
        <v>82.740106635497</v>
      </c>
      <c r="AK3804">
        <v>21.463261068040001</v>
      </c>
    </row>
    <row r="3805" spans="1:37" x14ac:dyDescent="0.2">
      <c r="A3805" t="str">
        <f>"20200111155624326"</f>
        <v>20200111155624326</v>
      </c>
      <c r="B3805" t="str">
        <f>"1578729384316383"</f>
        <v>1578729384316383</v>
      </c>
      <c r="C3805" t="s">
        <v>37</v>
      </c>
      <c r="D3805">
        <v>4.7260029999999897</v>
      </c>
      <c r="E3805">
        <v>0.57195280000000004</v>
      </c>
      <c r="F3805" t="s">
        <v>59</v>
      </c>
      <c r="G3805">
        <v>-225.41290000000001</v>
      </c>
      <c r="H3805" s="1">
        <v>1.4009260000000001E-6</v>
      </c>
      <c r="I3805">
        <v>213.3065</v>
      </c>
      <c r="J3805">
        <v>-246.97229999999999</v>
      </c>
      <c r="K3805">
        <v>1.104978</v>
      </c>
      <c r="L3805">
        <v>215.37090000000001</v>
      </c>
      <c r="M3805">
        <v>0.99940790000000002</v>
      </c>
      <c r="N3805">
        <v>0</v>
      </c>
      <c r="O3805">
        <v>3.1104739999999999E-2</v>
      </c>
      <c r="P3805">
        <v>0.99565890000000001</v>
      </c>
      <c r="Q3805">
        <v>1.641279E-2</v>
      </c>
      <c r="R3805">
        <v>9.1619049999999994E-2</v>
      </c>
      <c r="S3805">
        <v>3.041687</v>
      </c>
      <c r="T3805">
        <v>-0.15346080000000001</v>
      </c>
      <c r="U3805">
        <v>-0.28520200000000001</v>
      </c>
      <c r="V3805">
        <v>-6.0616099999999902E-2</v>
      </c>
      <c r="W3805">
        <v>3.1061249999999999E-2</v>
      </c>
      <c r="X3805">
        <v>0.9976777</v>
      </c>
      <c r="Y3805">
        <v>0.12408619999999999</v>
      </c>
      <c r="Z3805">
        <v>-4.6868500000000002E-3</v>
      </c>
      <c r="AA3805">
        <v>0.99226039999999904</v>
      </c>
      <c r="AB3805">
        <v>35</v>
      </c>
      <c r="AC3805">
        <v>21.559399999999901</v>
      </c>
      <c r="AD3805">
        <v>-1.1049765990739999</v>
      </c>
      <c r="AE3805">
        <v>-2.0644</v>
      </c>
      <c r="AF3805">
        <v>2.7269747366409902</v>
      </c>
      <c r="AG3805">
        <v>-1.1049765990739999</v>
      </c>
      <c r="AH3805">
        <v>21.4289672970996</v>
      </c>
      <c r="AI3805">
        <v>92.928247353160302</v>
      </c>
      <c r="AJ3805">
        <v>82.747722007423505</v>
      </c>
      <c r="AK3805">
        <v>21.630025518222201</v>
      </c>
    </row>
    <row r="3806" spans="1:37" x14ac:dyDescent="0.2">
      <c r="A3806" t="str">
        <f>"20200111155624348"</f>
        <v>20200111155624348</v>
      </c>
      <c r="B3806" t="str">
        <f>"1578729384336879"</f>
        <v>1578729384336879</v>
      </c>
      <c r="C3806" t="s">
        <v>37</v>
      </c>
      <c r="D3806">
        <v>4.7942580000000001</v>
      </c>
      <c r="E3806">
        <v>0.57283629999999996</v>
      </c>
      <c r="F3806" t="s">
        <v>59</v>
      </c>
      <c r="G3806">
        <v>-225.13099999999901</v>
      </c>
      <c r="H3806" s="1">
        <v>1.2513819999999999E-6</v>
      </c>
      <c r="I3806">
        <v>213.29570000000001</v>
      </c>
      <c r="J3806">
        <v>-246.62020000000001</v>
      </c>
      <c r="K3806">
        <v>1.1049770000000001</v>
      </c>
      <c r="L3806">
        <v>215.38200000000001</v>
      </c>
      <c r="M3806">
        <v>0.99940130000000005</v>
      </c>
      <c r="N3806">
        <v>0</v>
      </c>
      <c r="O3806">
        <v>3.1322660000000002E-2</v>
      </c>
      <c r="P3806">
        <v>0.99564649999999999</v>
      </c>
      <c r="Q3806">
        <v>1.6514790000000001E-2</v>
      </c>
      <c r="R3806">
        <v>9.1736819999999997E-2</v>
      </c>
      <c r="S3806">
        <v>3.0422210000000001</v>
      </c>
      <c r="T3806">
        <v>-0.15390899999999999</v>
      </c>
      <c r="U3806">
        <v>-0.2890472</v>
      </c>
      <c r="V3806">
        <v>-6.0516960000000002E-2</v>
      </c>
      <c r="W3806">
        <v>3.1160380000000001E-2</v>
      </c>
      <c r="X3806">
        <v>0.99768069999999898</v>
      </c>
      <c r="Y3806">
        <v>0.1255262</v>
      </c>
      <c r="Z3806">
        <v>-4.7467450000000001E-3</v>
      </c>
      <c r="AA3806">
        <v>0.99207900000000004</v>
      </c>
      <c r="AB3806">
        <v>35</v>
      </c>
      <c r="AC3806">
        <v>21.4892</v>
      </c>
      <c r="AD3806">
        <v>-1.1049757486180001</v>
      </c>
      <c r="AE3806">
        <v>-2.0862999999999898</v>
      </c>
      <c r="AF3806">
        <v>2.7512412569686702</v>
      </c>
      <c r="AG3806">
        <v>-1.1049757486180001</v>
      </c>
      <c r="AH3806">
        <v>21.357355970670401</v>
      </c>
      <c r="AI3806">
        <v>92.937468968093995</v>
      </c>
      <c r="AJ3806">
        <v>82.659618489924895</v>
      </c>
      <c r="AK3806">
        <v>21.562164870833598</v>
      </c>
    </row>
    <row r="3807" spans="1:37" x14ac:dyDescent="0.2">
      <c r="A3807" t="str">
        <f>"20200111155624371"</f>
        <v>20200111155624371</v>
      </c>
      <c r="B3807" t="str">
        <f>"1578729384367135"</f>
        <v>1578729384367135</v>
      </c>
      <c r="C3807" t="s">
        <v>37</v>
      </c>
      <c r="D3807">
        <v>4.6842990000000002</v>
      </c>
      <c r="E3807">
        <v>0.57332810000000001</v>
      </c>
      <c r="F3807" t="s">
        <v>59</v>
      </c>
      <c r="G3807">
        <v>-224.99629999999999</v>
      </c>
      <c r="H3807" s="1">
        <v>1.180271E-6</v>
      </c>
      <c r="I3807">
        <v>213.2833</v>
      </c>
      <c r="J3807">
        <v>-246.26179999999999</v>
      </c>
      <c r="K3807">
        <v>1.104981</v>
      </c>
      <c r="L3807">
        <v>215.39349999999999</v>
      </c>
      <c r="M3807">
        <v>0.99939439999999902</v>
      </c>
      <c r="N3807">
        <v>0</v>
      </c>
      <c r="O3807">
        <v>3.1544629999999997E-2</v>
      </c>
      <c r="P3807">
        <v>0.9956142</v>
      </c>
      <c r="Q3807">
        <v>1.651008E-2</v>
      </c>
      <c r="R3807">
        <v>9.2086520000000005E-2</v>
      </c>
      <c r="S3807">
        <v>3.0429080000000002</v>
      </c>
      <c r="T3807">
        <v>-0.15549179999999899</v>
      </c>
      <c r="U3807">
        <v>-0.29533389999999998</v>
      </c>
      <c r="V3807">
        <v>-6.0645900000000003E-2</v>
      </c>
      <c r="W3807">
        <v>3.1152280000000001E-2</v>
      </c>
      <c r="X3807">
        <v>0.99767309999999998</v>
      </c>
      <c r="Y3807">
        <v>0.1277489</v>
      </c>
      <c r="Z3807">
        <v>-4.8619010000000001E-3</v>
      </c>
      <c r="AA3807">
        <v>0.99179459999999997</v>
      </c>
      <c r="AB3807">
        <v>35</v>
      </c>
      <c r="AC3807">
        <v>21.265499999999999</v>
      </c>
      <c r="AD3807">
        <v>-1.1049798197289999</v>
      </c>
      <c r="AE3807">
        <v>-2.1101999999999901</v>
      </c>
      <c r="AF3807">
        <v>2.7726213563465598</v>
      </c>
      <c r="AG3807">
        <v>-1.1049798197289999</v>
      </c>
      <c r="AH3807">
        <v>21.1318433381897</v>
      </c>
      <c r="AI3807">
        <v>92.967867829468503</v>
      </c>
      <c r="AJ3807">
        <v>82.525156773287193</v>
      </c>
      <c r="AK3807">
        <v>21.341584113122199</v>
      </c>
    </row>
    <row r="3808" spans="1:37" x14ac:dyDescent="0.2">
      <c r="A3808" t="str">
        <f>"20200111155624393"</f>
        <v>20200111155624393</v>
      </c>
      <c r="B3808" t="str">
        <f>"1578729384386655"</f>
        <v>1578729384386655</v>
      </c>
      <c r="C3808" t="s">
        <v>37</v>
      </c>
      <c r="D3808">
        <v>4.8632669999999996</v>
      </c>
      <c r="E3808">
        <v>0.57383260000000003</v>
      </c>
      <c r="F3808" t="s">
        <v>59</v>
      </c>
      <c r="G3808">
        <v>-224.83969999999999</v>
      </c>
      <c r="H3808" s="1">
        <v>1.096452E-6</v>
      </c>
      <c r="I3808">
        <v>213.2944</v>
      </c>
      <c r="J3808">
        <v>-245.90719999999999</v>
      </c>
      <c r="K3808">
        <v>1.104983</v>
      </c>
      <c r="L3808">
        <v>215.4049</v>
      </c>
      <c r="M3808">
        <v>0.99938739999999904</v>
      </c>
      <c r="N3808">
        <v>0</v>
      </c>
      <c r="O3808">
        <v>3.1764460000000001E-2</v>
      </c>
      <c r="P3808">
        <v>0.99557859999999998</v>
      </c>
      <c r="Q3808">
        <v>1.7056060000000001E-2</v>
      </c>
      <c r="R3808">
        <v>9.2371899999999896E-2</v>
      </c>
      <c r="S3808">
        <v>3.0433650000000001</v>
      </c>
      <c r="T3808">
        <v>-0.15698099999999901</v>
      </c>
      <c r="U3808">
        <v>-0.29821779999999998</v>
      </c>
      <c r="V3808">
        <v>-6.07129E-2</v>
      </c>
      <c r="W3808">
        <v>3.1694649999999998E-2</v>
      </c>
      <c r="X3808">
        <v>0.99765190000000004</v>
      </c>
      <c r="Y3808">
        <v>0.12887799999999999</v>
      </c>
      <c r="Z3808">
        <v>-4.947791E-3</v>
      </c>
      <c r="AA3808">
        <v>0.99164809999999903</v>
      </c>
      <c r="AB3808">
        <v>35</v>
      </c>
      <c r="AC3808">
        <v>21.0674999999999</v>
      </c>
      <c r="AD3808">
        <v>-1.104981903548</v>
      </c>
      <c r="AE3808">
        <v>-2.1105</v>
      </c>
      <c r="AF3808">
        <v>2.7711571695416701</v>
      </c>
      <c r="AG3808">
        <v>-1.104981903548</v>
      </c>
      <c r="AH3808">
        <v>20.932807380849201</v>
      </c>
      <c r="AI3808">
        <v>92.9955855692791</v>
      </c>
      <c r="AJ3808">
        <v>82.458837175383906</v>
      </c>
      <c r="AK3808">
        <v>21.144330727389001</v>
      </c>
    </row>
    <row r="3809" spans="1:37" x14ac:dyDescent="0.2">
      <c r="A3809" t="str">
        <f>"20200111155624414"</f>
        <v>20200111155624414</v>
      </c>
      <c r="B3809" t="str">
        <f>"1578729384406177"</f>
        <v>1578729384406177</v>
      </c>
      <c r="C3809" t="s">
        <v>37</v>
      </c>
      <c r="D3809">
        <v>4.8455539999999999</v>
      </c>
      <c r="E3809">
        <v>0.57434560000000001</v>
      </c>
      <c r="F3809" t="s">
        <v>59</v>
      </c>
      <c r="G3809">
        <v>-224.2902</v>
      </c>
      <c r="H3809" s="1">
        <v>8.0528730000000003E-7</v>
      </c>
      <c r="I3809">
        <v>213.26509999999999</v>
      </c>
      <c r="J3809">
        <v>-245.56630000000001</v>
      </c>
      <c r="K3809">
        <v>1.1049869999999999</v>
      </c>
      <c r="L3809">
        <v>215.416</v>
      </c>
      <c r="M3809">
        <v>0.99938069999999901</v>
      </c>
      <c r="N3809">
        <v>0</v>
      </c>
      <c r="O3809">
        <v>3.1975759999999999E-2</v>
      </c>
      <c r="P3809">
        <v>0.99557039999999997</v>
      </c>
      <c r="Q3809">
        <v>1.728727E-2</v>
      </c>
      <c r="R3809">
        <v>9.2417340000000001E-2</v>
      </c>
      <c r="S3809">
        <v>3.0439449999999999</v>
      </c>
      <c r="T3809">
        <v>-0.15559519999999999</v>
      </c>
      <c r="U3809">
        <v>-0.30131529999999901</v>
      </c>
      <c r="V3809">
        <v>-6.0547860000000002E-2</v>
      </c>
      <c r="W3809">
        <v>3.1923420000000001E-2</v>
      </c>
      <c r="X3809">
        <v>0.99765469999999901</v>
      </c>
      <c r="Y3809">
        <v>0.13007060000000001</v>
      </c>
      <c r="Z3809">
        <v>-4.9441629999999997E-3</v>
      </c>
      <c r="AA3809">
        <v>0.99149240000000005</v>
      </c>
      <c r="AB3809">
        <v>35</v>
      </c>
      <c r="AC3809">
        <v>21.2761</v>
      </c>
      <c r="AD3809">
        <v>-1.1049861947127</v>
      </c>
      <c r="AE3809">
        <v>-2.1509</v>
      </c>
      <c r="AF3809">
        <v>2.82265622945748</v>
      </c>
      <c r="AG3809">
        <v>-1.1049861947127</v>
      </c>
      <c r="AH3809">
        <v>21.139989838379801</v>
      </c>
      <c r="AI3809">
        <v>92.965851077693003</v>
      </c>
      <c r="AJ3809">
        <v>82.394729234094697</v>
      </c>
      <c r="AK3809">
        <v>21.356206429209401</v>
      </c>
    </row>
    <row r="3810" spans="1:37" x14ac:dyDescent="0.2">
      <c r="A3810" t="str">
        <f>"20200111155624438"</f>
        <v>20200111155624438</v>
      </c>
      <c r="B3810" t="str">
        <f>"1578729384426670"</f>
        <v>1578729384426670</v>
      </c>
      <c r="C3810" t="s">
        <v>37</v>
      </c>
      <c r="D3810">
        <v>4.8191280000000001</v>
      </c>
      <c r="E3810">
        <v>0.57475710000000002</v>
      </c>
      <c r="F3810" t="s">
        <v>59</v>
      </c>
      <c r="G3810">
        <v>-223.95570000000001</v>
      </c>
      <c r="H3810" s="1">
        <v>6.2792740000000003E-7</v>
      </c>
      <c r="I3810">
        <v>213.2509</v>
      </c>
      <c r="J3810">
        <v>-245.2079</v>
      </c>
      <c r="K3810">
        <v>1.104983</v>
      </c>
      <c r="L3810">
        <v>215.42769999999999</v>
      </c>
      <c r="M3810">
        <v>0.99937359999999897</v>
      </c>
      <c r="N3810">
        <v>0</v>
      </c>
      <c r="O3810">
        <v>3.2197549999999998E-2</v>
      </c>
      <c r="P3810">
        <v>0.99554589999999998</v>
      </c>
      <c r="Q3810">
        <v>1.7438080000000002E-2</v>
      </c>
      <c r="R3810">
        <v>9.2652960000000006E-2</v>
      </c>
      <c r="S3810">
        <v>3.04437299999999</v>
      </c>
      <c r="T3810">
        <v>-0.15566389999999999</v>
      </c>
      <c r="U3810">
        <v>-0.30499270000000001</v>
      </c>
      <c r="V3810">
        <v>-6.0562310000000001E-2</v>
      </c>
      <c r="W3810">
        <v>3.2070689999999999E-2</v>
      </c>
      <c r="X3810">
        <v>0.99764909999999996</v>
      </c>
      <c r="Y3810">
        <v>0.13146060000000001</v>
      </c>
      <c r="Z3810">
        <v>-4.992102E-3</v>
      </c>
      <c r="AA3810">
        <v>0.99130879999999999</v>
      </c>
      <c r="AB3810">
        <v>35</v>
      </c>
      <c r="AC3810">
        <v>21.252199999999899</v>
      </c>
      <c r="AD3810">
        <v>-1.1049823720726</v>
      </c>
      <c r="AE3810">
        <v>-2.1767999999999801</v>
      </c>
      <c r="AF3810">
        <v>2.8523827882562398</v>
      </c>
      <c r="AG3810">
        <v>-1.1049823720726</v>
      </c>
      <c r="AH3810">
        <v>21.114596090113501</v>
      </c>
      <c r="AI3810">
        <v>92.968788097489394</v>
      </c>
      <c r="AJ3810">
        <v>82.3064559820059</v>
      </c>
      <c r="AK3810">
        <v>21.335023826140102</v>
      </c>
    </row>
    <row r="3811" spans="1:37" x14ac:dyDescent="0.2">
      <c r="A3811" t="str">
        <f>"20200111155624461"</f>
        <v>20200111155624461</v>
      </c>
      <c r="B3811" t="str">
        <f>"1578729384456928"</f>
        <v>1578729384456928</v>
      </c>
      <c r="C3811" t="s">
        <v>37</v>
      </c>
      <c r="D3811">
        <v>4.870139</v>
      </c>
      <c r="E3811">
        <v>0.57527479999999998</v>
      </c>
      <c r="F3811" t="s">
        <v>59</v>
      </c>
      <c r="G3811">
        <v>-223.6867</v>
      </c>
      <c r="H3811" s="1">
        <v>4.846174E-7</v>
      </c>
      <c r="I3811">
        <v>213.25409999999999</v>
      </c>
      <c r="J3811">
        <v>-244.84049999999999</v>
      </c>
      <c r="K3811">
        <v>1.104984</v>
      </c>
      <c r="L3811">
        <v>215.43969999999999</v>
      </c>
      <c r="M3811">
        <v>0.99936630000000004</v>
      </c>
      <c r="N3811">
        <v>0</v>
      </c>
      <c r="O3811">
        <v>3.2425250000000003E-2</v>
      </c>
      <c r="P3811">
        <v>0.99558530000000001</v>
      </c>
      <c r="Q3811">
        <v>1.7389849999999998E-2</v>
      </c>
      <c r="R3811">
        <v>9.2238050000000002E-2</v>
      </c>
      <c r="S3811">
        <v>3.0447850000000001</v>
      </c>
      <c r="T3811">
        <v>-0.1563311</v>
      </c>
      <c r="U3811">
        <v>-0.30751040000000002</v>
      </c>
      <c r="V3811">
        <v>-5.9918760000000001E-2</v>
      </c>
      <c r="W3811">
        <v>3.2019690000000003E-2</v>
      </c>
      <c r="X3811">
        <v>0.99768950000000001</v>
      </c>
      <c r="Y3811">
        <v>0.13248119999999999</v>
      </c>
      <c r="Z3811">
        <v>-5.050372E-3</v>
      </c>
      <c r="AA3811">
        <v>0.99117269999999902</v>
      </c>
      <c r="AB3811">
        <v>35</v>
      </c>
      <c r="AC3811">
        <v>21.153799999999901</v>
      </c>
      <c r="AD3811">
        <v>-1.1049835153826</v>
      </c>
      <c r="AE3811">
        <v>-2.1855999999999902</v>
      </c>
      <c r="AF3811">
        <v>2.8627130857036902</v>
      </c>
      <c r="AG3811">
        <v>-1.1049835153826</v>
      </c>
      <c r="AH3811">
        <v>21.015062504290398</v>
      </c>
      <c r="AI3811">
        <v>92.982378220217001</v>
      </c>
      <c r="AJ3811">
        <v>82.242803182405297</v>
      </c>
      <c r="AK3811">
        <v>21.237913429514599</v>
      </c>
    </row>
    <row r="3812" spans="1:37" x14ac:dyDescent="0.2">
      <c r="A3812" t="str">
        <f>"20200111155624483"</f>
        <v>20200111155624483</v>
      </c>
      <c r="B3812" t="str">
        <f>"1578729384476447"</f>
        <v>1578729384476447</v>
      </c>
      <c r="C3812" t="s">
        <v>37</v>
      </c>
      <c r="D3812">
        <v>4.8262799999999997</v>
      </c>
      <c r="E3812">
        <v>0.5756173</v>
      </c>
      <c r="F3812" t="s">
        <v>59</v>
      </c>
      <c r="G3812">
        <v>-223.3142</v>
      </c>
      <c r="H3812" s="1">
        <v>2.8756729999999902E-7</v>
      </c>
      <c r="I3812">
        <v>213.22749999999999</v>
      </c>
      <c r="J3812">
        <v>-244.49719999999999</v>
      </c>
      <c r="K3812">
        <v>1.1049850000000001</v>
      </c>
      <c r="L3812">
        <v>215.4511</v>
      </c>
      <c r="M3812">
        <v>0.99935940000000001</v>
      </c>
      <c r="N3812">
        <v>0</v>
      </c>
      <c r="O3812">
        <v>3.2637979999999997E-2</v>
      </c>
      <c r="P3812">
        <v>0.99559580000000003</v>
      </c>
      <c r="Q3812">
        <v>1.7396189999999999E-2</v>
      </c>
      <c r="R3812">
        <v>9.2122090000000004E-2</v>
      </c>
      <c r="S3812">
        <v>3.045013</v>
      </c>
      <c r="T3812">
        <v>-0.1563061</v>
      </c>
      <c r="U3812">
        <v>-0.31292720000000002</v>
      </c>
      <c r="V3812">
        <v>-5.9590490000000003E-2</v>
      </c>
      <c r="W3812">
        <v>3.2023500000000003E-2</v>
      </c>
      <c r="X3812">
        <v>0.99770910000000002</v>
      </c>
      <c r="Y3812">
        <v>0.13442689999999999</v>
      </c>
      <c r="Z3812">
        <v>-5.1094130000000001E-3</v>
      </c>
      <c r="AA3812">
        <v>0.99091039999999997</v>
      </c>
      <c r="AB3812">
        <v>35</v>
      </c>
      <c r="AC3812">
        <v>21.183</v>
      </c>
      <c r="AD3812">
        <v>-1.1049847124326999</v>
      </c>
      <c r="AE3812">
        <v>-2.2235999999999998</v>
      </c>
      <c r="AF3812">
        <v>2.90603863923966</v>
      </c>
      <c r="AG3812">
        <v>-1.1049847124326999</v>
      </c>
      <c r="AH3812">
        <v>21.0424966728744</v>
      </c>
      <c r="AI3812">
        <v>92.977747209553399</v>
      </c>
      <c r="AJ3812">
        <v>82.137000017789603</v>
      </c>
      <c r="AK3812">
        <v>21.270935992931701</v>
      </c>
    </row>
    <row r="3813" spans="1:37" x14ac:dyDescent="0.2">
      <c r="A3813" t="str">
        <f>"20200111155624505"</f>
        <v>20200111155624505</v>
      </c>
      <c r="B3813" t="str">
        <f>"1578729384496943"</f>
        <v>1578729384496943</v>
      </c>
      <c r="C3813" t="s">
        <v>37</v>
      </c>
      <c r="D3813">
        <v>4.8580879999999897</v>
      </c>
      <c r="E3813">
        <v>0.57600959999999901</v>
      </c>
      <c r="F3813" t="s">
        <v>59</v>
      </c>
      <c r="G3813">
        <v>-223.03290000000001</v>
      </c>
      <c r="H3813" s="1">
        <v>1.3805649999999999E-7</v>
      </c>
      <c r="I3813">
        <v>213.22319999999999</v>
      </c>
      <c r="J3813">
        <v>-244.15870000000001</v>
      </c>
      <c r="K3813">
        <v>1.1049850000000001</v>
      </c>
      <c r="L3813">
        <v>215.4623</v>
      </c>
      <c r="M3813">
        <v>0.99935249999999998</v>
      </c>
      <c r="N3813">
        <v>0</v>
      </c>
      <c r="O3813">
        <v>3.2847910000000001E-2</v>
      </c>
      <c r="P3813">
        <v>0.99560079999999995</v>
      </c>
      <c r="Q3813">
        <v>1.7879820000000001E-2</v>
      </c>
      <c r="R3813">
        <v>9.1975029999999999E-2</v>
      </c>
      <c r="S3813">
        <v>3.045258</v>
      </c>
      <c r="T3813">
        <v>-0.1567701</v>
      </c>
      <c r="U3813">
        <v>-0.31608579999999997</v>
      </c>
      <c r="V3813">
        <v>-5.9233710000000002E-2</v>
      </c>
      <c r="W3813">
        <v>3.2503899999999898E-2</v>
      </c>
      <c r="X3813">
        <v>0.99771480000000001</v>
      </c>
      <c r="Y3813">
        <v>0.1356407</v>
      </c>
      <c r="Z3813">
        <v>-5.1658049999999999E-3</v>
      </c>
      <c r="AA3813">
        <v>0.99074470000000003</v>
      </c>
      <c r="AB3813">
        <v>35</v>
      </c>
      <c r="AC3813">
        <v>21.125800000000002</v>
      </c>
      <c r="AD3813">
        <v>-1.1049848619435001</v>
      </c>
      <c r="AE3813">
        <v>-2.2391000000000001</v>
      </c>
      <c r="AF3813">
        <v>2.9239939956015801</v>
      </c>
      <c r="AG3813">
        <v>-1.1049848619435001</v>
      </c>
      <c r="AH3813">
        <v>20.984068831719402</v>
      </c>
      <c r="AI3813">
        <v>92.985520764226806</v>
      </c>
      <c r="AJ3813">
        <v>82.067283457912595</v>
      </c>
      <c r="AK3813">
        <v>21.2156045675295</v>
      </c>
    </row>
    <row r="3814" spans="1:37" x14ac:dyDescent="0.2">
      <c r="A3814" t="str">
        <f>"20200111155624526"</f>
        <v>20200111155624526</v>
      </c>
      <c r="B3814" t="str">
        <f>"1578729384516971"</f>
        <v>1578729384516971</v>
      </c>
      <c r="C3814" t="s">
        <v>37</v>
      </c>
      <c r="D3814">
        <v>4.9409109999999998</v>
      </c>
      <c r="E3814">
        <v>0.57617019999999997</v>
      </c>
      <c r="F3814" t="s">
        <v>59</v>
      </c>
      <c r="G3814">
        <v>-222.56700000000001</v>
      </c>
      <c r="H3814" s="1">
        <v>-1.087115E-7</v>
      </c>
      <c r="I3814">
        <v>213.19730000000001</v>
      </c>
      <c r="J3814">
        <v>-243.81549999999999</v>
      </c>
      <c r="K3814">
        <v>1.1049949999999999</v>
      </c>
      <c r="L3814">
        <v>215.47389999999999</v>
      </c>
      <c r="M3814">
        <v>0.9993455</v>
      </c>
      <c r="N3814">
        <v>0</v>
      </c>
      <c r="O3814">
        <v>3.3060770000000003E-2</v>
      </c>
      <c r="P3814">
        <v>0.99563649999999904</v>
      </c>
      <c r="Q3814">
        <v>1.8029170000000001E-2</v>
      </c>
      <c r="R3814">
        <v>9.155779E-2</v>
      </c>
      <c r="S3814">
        <v>3.045547</v>
      </c>
      <c r="T3814">
        <v>-0.15586029999999901</v>
      </c>
      <c r="U3814">
        <v>-0.31948850000000001</v>
      </c>
      <c r="V3814">
        <v>-5.8603049999999997E-2</v>
      </c>
      <c r="W3814">
        <v>3.2650690000000003E-2</v>
      </c>
      <c r="X3814">
        <v>0.99774719999999995</v>
      </c>
      <c r="Y3814">
        <v>0.13693759999999999</v>
      </c>
      <c r="Z3814">
        <v>-5.1790259999999998E-3</v>
      </c>
      <c r="AA3814">
        <v>0.9905661</v>
      </c>
      <c r="AB3814">
        <v>35</v>
      </c>
      <c r="AC3814">
        <v>21.2484999999999</v>
      </c>
      <c r="AD3814">
        <v>-1.1049951087115</v>
      </c>
      <c r="AE3814">
        <v>-2.27659999999997</v>
      </c>
      <c r="AF3814">
        <v>2.9699819705808399</v>
      </c>
      <c r="AG3814">
        <v>-1.1049951087115</v>
      </c>
      <c r="AH3814">
        <v>21.105179399347399</v>
      </c>
      <c r="AI3814">
        <v>92.967885477455596</v>
      </c>
      <c r="AJ3814">
        <v>81.989770946033801</v>
      </c>
      <c r="AK3814">
        <v>21.341752612531401</v>
      </c>
    </row>
    <row r="3815" spans="1:37" x14ac:dyDescent="0.2">
      <c r="A3815" t="str">
        <f>"20200111155624550"</f>
        <v>20200111155624550</v>
      </c>
      <c r="B3815" t="str">
        <f>"1578729384546250"</f>
        <v>1578729384546250</v>
      </c>
      <c r="C3815" t="s">
        <v>37</v>
      </c>
      <c r="D3815">
        <v>4.9009210000000003</v>
      </c>
      <c r="E3815">
        <v>0.5814009</v>
      </c>
      <c r="F3815" t="s">
        <v>59</v>
      </c>
      <c r="G3815">
        <v>-222.21449999999999</v>
      </c>
      <c r="H3815" s="1">
        <v>-2.9594269999999999E-7</v>
      </c>
      <c r="I3815">
        <v>213.18889999999999</v>
      </c>
      <c r="J3815">
        <v>-243.45599999999999</v>
      </c>
      <c r="K3815">
        <v>1.104997</v>
      </c>
      <c r="L3815">
        <v>215.48599999999999</v>
      </c>
      <c r="M3815">
        <v>0.99933819999999995</v>
      </c>
      <c r="N3815">
        <v>0</v>
      </c>
      <c r="O3815">
        <v>3.3284050000000003E-2</v>
      </c>
      <c r="P3815">
        <v>0.99562759999999995</v>
      </c>
      <c r="Q3815">
        <v>1.8090269999999999E-2</v>
      </c>
      <c r="R3815">
        <v>9.1644119999999996E-2</v>
      </c>
      <c r="S3815">
        <v>3.0455779999999999</v>
      </c>
      <c r="T3815">
        <v>-0.1557963</v>
      </c>
      <c r="U3815">
        <v>-0.32215879999999902</v>
      </c>
      <c r="V3815">
        <v>-5.8466400000000002E-2</v>
      </c>
      <c r="W3815">
        <v>3.2708359999999999E-2</v>
      </c>
      <c r="X3815">
        <v>0.99775340000000001</v>
      </c>
      <c r="Y3815">
        <v>0.13801529999999901</v>
      </c>
      <c r="Z3815">
        <v>-5.2154799999999998E-3</v>
      </c>
      <c r="AA3815">
        <v>0.99041630000000003</v>
      </c>
      <c r="AB3815">
        <v>35</v>
      </c>
      <c r="AC3815">
        <v>21.241499999999998</v>
      </c>
      <c r="AD3815">
        <v>-1.1049972959426999</v>
      </c>
      <c r="AE3815">
        <v>-2.2970999999999999</v>
      </c>
      <c r="AF3815">
        <v>2.99489530475909</v>
      </c>
      <c r="AG3815">
        <v>-1.1049972959426999</v>
      </c>
      <c r="AH3815">
        <v>21.0968319445386</v>
      </c>
      <c r="AI3815">
        <v>92.968555740291706</v>
      </c>
      <c r="AJ3815">
        <v>81.920307582625796</v>
      </c>
      <c r="AK3815">
        <v>21.336980456630101</v>
      </c>
    </row>
    <row r="3816" spans="1:37" x14ac:dyDescent="0.2">
      <c r="A3816" t="str">
        <f>"20200111155624571"</f>
        <v>20200111155624571</v>
      </c>
      <c r="B3816" t="str">
        <f>"1578729384566747"</f>
        <v>1578729384566747</v>
      </c>
      <c r="C3816" t="s">
        <v>37</v>
      </c>
      <c r="D3816">
        <v>4.9265759999999998</v>
      </c>
      <c r="E3816">
        <v>0.58117319999999995</v>
      </c>
      <c r="F3816" t="s">
        <v>59</v>
      </c>
      <c r="G3816">
        <v>-222.3861</v>
      </c>
      <c r="H3816" s="1">
        <v>-1.9535599999999999E-7</v>
      </c>
      <c r="I3816">
        <v>212.97659999999999</v>
      </c>
      <c r="J3816">
        <v>-243.11109999999999</v>
      </c>
      <c r="K3816">
        <v>1.105002</v>
      </c>
      <c r="L3816">
        <v>215.49770000000001</v>
      </c>
      <c r="M3816">
        <v>0.99933119999999998</v>
      </c>
      <c r="N3816">
        <v>0</v>
      </c>
      <c r="O3816">
        <v>3.349804E-2</v>
      </c>
      <c r="P3816">
        <v>0.99559909999999996</v>
      </c>
      <c r="Q3816">
        <v>1.8799349999999999E-2</v>
      </c>
      <c r="R3816">
        <v>9.1811050000000005E-2</v>
      </c>
      <c r="S3816">
        <v>3.0495299999999999</v>
      </c>
      <c r="T3816">
        <v>-0.15993089999999999</v>
      </c>
      <c r="U3816">
        <v>-0.3631897</v>
      </c>
      <c r="V3816">
        <v>-5.8420779999999999E-2</v>
      </c>
      <c r="W3816">
        <v>3.3413690000000003E-2</v>
      </c>
      <c r="X3816">
        <v>0.99773269999999903</v>
      </c>
      <c r="Y3816">
        <v>0.15121080000000001</v>
      </c>
      <c r="Z3816">
        <v>-5.6986600000000004E-3</v>
      </c>
      <c r="AA3816">
        <v>0.98848510000000001</v>
      </c>
      <c r="AB3816">
        <v>35</v>
      </c>
      <c r="AC3816">
        <v>20.724999999999898</v>
      </c>
      <c r="AD3816">
        <v>-1.1050021953560001</v>
      </c>
      <c r="AE3816">
        <v>-2.5211000000000099</v>
      </c>
      <c r="AF3816">
        <v>3.2050281390980899</v>
      </c>
      <c r="AG3816">
        <v>-1.1050021953560001</v>
      </c>
      <c r="AH3816">
        <v>20.571279209380101</v>
      </c>
      <c r="AI3816">
        <v>93.038149193452398</v>
      </c>
      <c r="AJ3816">
        <v>81.144449105264201</v>
      </c>
      <c r="AK3816">
        <v>20.848759280456601</v>
      </c>
    </row>
    <row r="3817" spans="1:37" x14ac:dyDescent="0.2">
      <c r="A3817" t="str">
        <f>"20200111155624594"</f>
        <v>20200111155624594</v>
      </c>
      <c r="B3817" t="str">
        <f>"1578729384586266"</f>
        <v>1578729384586266</v>
      </c>
      <c r="C3817" t="s">
        <v>37</v>
      </c>
      <c r="D3817">
        <v>4.9920419999999996</v>
      </c>
      <c r="E3817">
        <v>0.57573129999999995</v>
      </c>
      <c r="F3817" t="s">
        <v>59</v>
      </c>
      <c r="G3817">
        <v>-222.0368</v>
      </c>
      <c r="H3817" s="1">
        <v>-3.8246029999999997E-7</v>
      </c>
      <c r="I3817">
        <v>213.0051</v>
      </c>
      <c r="J3817">
        <v>-242.768</v>
      </c>
      <c r="K3817">
        <v>1.105011</v>
      </c>
      <c r="L3817">
        <v>215.5094</v>
      </c>
      <c r="M3817">
        <v>0.99932410000000005</v>
      </c>
      <c r="N3817">
        <v>0</v>
      </c>
      <c r="O3817">
        <v>3.3710839999999999E-2</v>
      </c>
      <c r="P3817">
        <v>0.99559050000000004</v>
      </c>
      <c r="Q3817">
        <v>1.9094610000000001E-2</v>
      </c>
      <c r="R3817">
        <v>9.1842869999999993E-2</v>
      </c>
      <c r="S3817">
        <v>3.0495610000000002</v>
      </c>
      <c r="T3817">
        <v>-0.15990009999999999</v>
      </c>
      <c r="U3817">
        <v>-0.36068729999999999</v>
      </c>
      <c r="V3817">
        <v>-5.8240859999999998E-2</v>
      </c>
      <c r="W3817">
        <v>3.3705350000000002E-2</v>
      </c>
      <c r="X3817">
        <v>0.99773339999999999</v>
      </c>
      <c r="Y3817">
        <v>0.1506208</v>
      </c>
      <c r="Z3817">
        <v>-5.6934890000000004E-3</v>
      </c>
      <c r="AA3817">
        <v>0.98857519999999999</v>
      </c>
      <c r="AB3817">
        <v>35</v>
      </c>
      <c r="AC3817">
        <v>20.731200000000001</v>
      </c>
      <c r="AD3817">
        <v>-1.1050113824603001</v>
      </c>
      <c r="AE3817">
        <v>-2.5043000000000002</v>
      </c>
      <c r="AF3817">
        <v>3.1928768233779499</v>
      </c>
      <c r="AG3817">
        <v>-1.1050113824603001</v>
      </c>
      <c r="AH3817">
        <v>20.5773620440971</v>
      </c>
      <c r="AI3817">
        <v>93.037570966025598</v>
      </c>
      <c r="AJ3817">
        <v>81.180061228173201</v>
      </c>
      <c r="AK3817">
        <v>20.852897670551201</v>
      </c>
    </row>
    <row r="3818" spans="1:37" x14ac:dyDescent="0.2">
      <c r="A3818" t="str">
        <f>"20200111155624616"</f>
        <v>20200111155624616</v>
      </c>
      <c r="B3818" t="str">
        <f>"1578729384606763"</f>
        <v>1578729384606763</v>
      </c>
      <c r="C3818" t="s">
        <v>37</v>
      </c>
      <c r="D3818">
        <v>4.8882440000000003</v>
      </c>
      <c r="E3818">
        <v>0.5667915</v>
      </c>
      <c r="F3818" t="s">
        <v>59</v>
      </c>
      <c r="G3818">
        <v>-213.6559</v>
      </c>
      <c r="H3818" s="1">
        <v>5.0308439999999995E-7</v>
      </c>
      <c r="I3818">
        <v>212.45660000000001</v>
      </c>
      <c r="J3818">
        <v>-242.41890000000001</v>
      </c>
      <c r="K3818">
        <v>1.105016</v>
      </c>
      <c r="L3818">
        <v>215.5214</v>
      </c>
      <c r="M3818">
        <v>0.99931689999999995</v>
      </c>
      <c r="N3818">
        <v>0</v>
      </c>
      <c r="O3818">
        <v>3.3927390000000002E-2</v>
      </c>
      <c r="P3818">
        <v>0.99555360000000004</v>
      </c>
      <c r="Q3818">
        <v>1.975418E-2</v>
      </c>
      <c r="R3818">
        <v>9.2104939999999996E-2</v>
      </c>
      <c r="S3818">
        <v>3.0449679999999999</v>
      </c>
      <c r="T3818">
        <v>-0.1155779</v>
      </c>
      <c r="U3818">
        <v>-0.31930540000000002</v>
      </c>
      <c r="V3818">
        <v>-5.8287609999999997E-2</v>
      </c>
      <c r="W3818">
        <v>3.4361580000000003E-2</v>
      </c>
      <c r="X3818">
        <v>0.99770829999999999</v>
      </c>
      <c r="Y3818">
        <v>0.1378549</v>
      </c>
      <c r="Z3818">
        <v>-3.8925240000000001E-3</v>
      </c>
      <c r="AA3818">
        <v>0.99044480000000001</v>
      </c>
      <c r="AB3818">
        <v>35</v>
      </c>
      <c r="AC3818">
        <v>28.763000000000002</v>
      </c>
      <c r="AD3818">
        <v>-1.1050154969156001</v>
      </c>
      <c r="AE3818">
        <v>-3.0647999999999902</v>
      </c>
      <c r="AF3818">
        <v>4.0331076982449501</v>
      </c>
      <c r="AG3818">
        <v>-1.1050154969156001</v>
      </c>
      <c r="AH3818">
        <v>28.600706763728599</v>
      </c>
      <c r="AI3818">
        <v>92.190921818624005</v>
      </c>
      <c r="AJ3818">
        <v>81.973401469530899</v>
      </c>
      <c r="AK3818">
        <v>28.904799676504599</v>
      </c>
    </row>
    <row r="3819" spans="1:37" x14ac:dyDescent="0.2">
      <c r="A3819" t="str">
        <f>"20200111155624640"</f>
        <v>20200111155624640</v>
      </c>
      <c r="B3819" t="str">
        <f>"1578729384636550"</f>
        <v>1578729384636550</v>
      </c>
      <c r="C3819" t="s">
        <v>37</v>
      </c>
      <c r="D3819">
        <v>4.9142219999999996</v>
      </c>
      <c r="E3819">
        <v>0.55797640000000004</v>
      </c>
      <c r="F3819" t="s">
        <v>59</v>
      </c>
      <c r="G3819">
        <v>-210.7704</v>
      </c>
      <c r="H3819" s="1">
        <v>-1.05361E-6</v>
      </c>
      <c r="I3819">
        <v>212.9417</v>
      </c>
      <c r="J3819">
        <v>-242.0675</v>
      </c>
      <c r="K3819">
        <v>1.1050139999999999</v>
      </c>
      <c r="L3819">
        <v>215.53360000000001</v>
      </c>
      <c r="M3819">
        <v>0.99930940000000001</v>
      </c>
      <c r="N3819">
        <v>0</v>
      </c>
      <c r="O3819">
        <v>3.4145490000000001E-2</v>
      </c>
      <c r="P3819">
        <v>0.99546689999999904</v>
      </c>
      <c r="Q3819">
        <v>2.0906460000000002E-2</v>
      </c>
      <c r="R3819">
        <v>9.2784370000000005E-2</v>
      </c>
      <c r="S3819">
        <v>3.0384220000000002</v>
      </c>
      <c r="T3819">
        <v>-0.1060874</v>
      </c>
      <c r="U3819">
        <v>-0.24766540000000001</v>
      </c>
      <c r="V3819">
        <v>-5.8752430000000001E-2</v>
      </c>
      <c r="W3819">
        <v>3.5509110000000003E-2</v>
      </c>
      <c r="X3819">
        <v>0.99764079999999999</v>
      </c>
      <c r="Y3819">
        <v>0.1151403</v>
      </c>
      <c r="Z3819">
        <v>-3.1963759999999999E-3</v>
      </c>
      <c r="AA3819">
        <v>0.99334409999999895</v>
      </c>
      <c r="AB3819">
        <v>35</v>
      </c>
      <c r="AC3819">
        <v>31.2971</v>
      </c>
      <c r="AD3819">
        <v>-1.1050150536100001</v>
      </c>
      <c r="AE3819">
        <v>-2.5918999999999999</v>
      </c>
      <c r="AF3819">
        <v>3.6546330361038599</v>
      </c>
      <c r="AG3819">
        <v>-1.1050150536100001</v>
      </c>
      <c r="AH3819">
        <v>31.151765323931599</v>
      </c>
      <c r="AI3819">
        <v>92.0177172258567</v>
      </c>
      <c r="AJ3819">
        <v>83.308814203031503</v>
      </c>
      <c r="AK3819">
        <v>31.384867112903201</v>
      </c>
    </row>
    <row r="3820" spans="1:37" x14ac:dyDescent="0.2">
      <c r="A3820" t="str">
        <f>"20200111155624661"</f>
        <v>20200111155624661</v>
      </c>
      <c r="B3820" t="str">
        <f>"1578729384656069"</f>
        <v>1578729384656069</v>
      </c>
      <c r="C3820" t="s">
        <v>37</v>
      </c>
      <c r="D3820">
        <v>4.8129530000000003</v>
      </c>
      <c r="E3820">
        <v>0.55467929999999999</v>
      </c>
      <c r="F3820" t="s">
        <v>56</v>
      </c>
      <c r="G3820">
        <v>-207.26920000000001</v>
      </c>
      <c r="H3820" s="1">
        <v>5.5369869999999999E-6</v>
      </c>
      <c r="I3820">
        <v>213.5137</v>
      </c>
      <c r="J3820">
        <v>-241.71789999999999</v>
      </c>
      <c r="K3820">
        <v>1.10502099999999</v>
      </c>
      <c r="L3820">
        <v>215.54570000000001</v>
      </c>
      <c r="M3820">
        <v>0.99930200000000002</v>
      </c>
      <c r="N3820">
        <v>0</v>
      </c>
      <c r="O3820">
        <v>3.4362990000000003E-2</v>
      </c>
      <c r="P3820">
        <v>0.99538340000000003</v>
      </c>
      <c r="Q3820">
        <v>2.153455E-2</v>
      </c>
      <c r="R3820">
        <v>9.3533340000000006E-2</v>
      </c>
      <c r="S3820">
        <v>3.032089</v>
      </c>
      <c r="T3820">
        <v>-9.6283199999999999E-2</v>
      </c>
      <c r="U3820">
        <v>-0.17599489999999901</v>
      </c>
      <c r="V3820">
        <v>-5.9286739999999997E-2</v>
      </c>
      <c r="W3820">
        <v>3.6132400000000002E-2</v>
      </c>
      <c r="X3820">
        <v>0.9975868</v>
      </c>
      <c r="Y3820">
        <v>9.2157669999999997E-2</v>
      </c>
      <c r="Z3820">
        <v>-2.5518469999999999E-3</v>
      </c>
      <c r="AA3820">
        <v>0.99574110000000005</v>
      </c>
      <c r="AB3820">
        <v>35</v>
      </c>
      <c r="AC3820">
        <v>34.448699999999903</v>
      </c>
      <c r="AD3820">
        <v>-1.10501546301299</v>
      </c>
      <c r="AE3820">
        <v>-2.0320000000000098</v>
      </c>
      <c r="AF3820">
        <v>3.2113942268396301</v>
      </c>
      <c r="AG3820">
        <v>-1.10501546301299</v>
      </c>
      <c r="AH3820">
        <v>34.323323490937902</v>
      </c>
      <c r="AI3820">
        <v>91.835947820545499</v>
      </c>
      <c r="AJ3820">
        <v>84.654794265481101</v>
      </c>
      <c r="AK3820">
        <v>34.490935729800697</v>
      </c>
    </row>
    <row r="3821" spans="1:37" x14ac:dyDescent="0.2">
      <c r="A3821" t="str">
        <f>"20200111155624683"</f>
        <v>20200111155624683</v>
      </c>
      <c r="B3821" t="str">
        <f>"1578729384676566"</f>
        <v>1578729384676566</v>
      </c>
      <c r="C3821" t="s">
        <v>37</v>
      </c>
      <c r="D3821">
        <v>4.8845409999999996</v>
      </c>
      <c r="E3821">
        <v>0.55192439999999998</v>
      </c>
      <c r="F3821" t="s">
        <v>56</v>
      </c>
      <c r="G3821">
        <v>-206.5241</v>
      </c>
      <c r="H3821" s="1">
        <v>5.1787850000000001E-6</v>
      </c>
      <c r="I3821">
        <v>213.83150000000001</v>
      </c>
      <c r="J3821">
        <v>-241.37690000000001</v>
      </c>
      <c r="K3821">
        <v>1.105024</v>
      </c>
      <c r="L3821">
        <v>215.55770000000001</v>
      </c>
      <c r="M3821">
        <v>0.99929480000000004</v>
      </c>
      <c r="N3821">
        <v>0</v>
      </c>
      <c r="O3821">
        <v>3.4574889999999997E-2</v>
      </c>
      <c r="P3821">
        <v>0.99533959999999999</v>
      </c>
      <c r="Q3821">
        <v>2.195093E-2</v>
      </c>
      <c r="R3821">
        <v>9.390163E-2</v>
      </c>
      <c r="S3821">
        <v>3.0298159999999998</v>
      </c>
      <c r="T3821">
        <v>-9.5130439999999997E-2</v>
      </c>
      <c r="U3821">
        <v>-0.14758299999999999</v>
      </c>
      <c r="V3821">
        <v>-5.9444730000000001E-2</v>
      </c>
      <c r="W3821">
        <v>3.6545069999999999E-2</v>
      </c>
      <c r="X3821">
        <v>0.99756239999999996</v>
      </c>
      <c r="Y3821">
        <v>8.3103220000000005E-2</v>
      </c>
      <c r="Z3821">
        <v>-2.388406E-3</v>
      </c>
      <c r="AA3821">
        <v>0.99653809999999998</v>
      </c>
      <c r="AB3821">
        <v>35</v>
      </c>
      <c r="AC3821">
        <v>34.852800000000002</v>
      </c>
      <c r="AD3821">
        <v>-1.1050188212150001</v>
      </c>
      <c r="AE3821">
        <v>-1.7262</v>
      </c>
      <c r="AF3821">
        <v>2.9273931819945802</v>
      </c>
      <c r="AG3821">
        <v>-1.1050188212150001</v>
      </c>
      <c r="AH3821">
        <v>34.7374342558224</v>
      </c>
      <c r="AI3821">
        <v>91.815567904326002</v>
      </c>
      <c r="AJ3821">
        <v>85.182951542550398</v>
      </c>
      <c r="AK3821">
        <v>34.878073859013597</v>
      </c>
    </row>
    <row r="3822" spans="1:37" x14ac:dyDescent="0.2">
      <c r="A3822" t="str">
        <f>"20200111155624706"</f>
        <v>20200111155624706</v>
      </c>
      <c r="B3822" t="str">
        <f>"1578729384696086"</f>
        <v>1578729384696086</v>
      </c>
      <c r="C3822" t="s">
        <v>37</v>
      </c>
      <c r="D3822">
        <v>4.8684570000000003</v>
      </c>
      <c r="E3822">
        <v>0.54953050000000003</v>
      </c>
      <c r="F3822" t="s">
        <v>56</v>
      </c>
      <c r="G3822">
        <v>-206.6482</v>
      </c>
      <c r="H3822" s="1">
        <v>5.2074289999999996E-6</v>
      </c>
      <c r="I3822">
        <v>214.13329999999999</v>
      </c>
      <c r="J3822">
        <v>-241.03309999999999</v>
      </c>
      <c r="K3822">
        <v>1.1050199999999999</v>
      </c>
      <c r="L3822">
        <v>215.56979999999999</v>
      </c>
      <c r="M3822">
        <v>0.99928739999999905</v>
      </c>
      <c r="N3822">
        <v>0</v>
      </c>
      <c r="O3822">
        <v>3.4788699999999902E-2</v>
      </c>
      <c r="P3822">
        <v>0.99533519999999898</v>
      </c>
      <c r="Q3822">
        <v>2.2125059999999998E-2</v>
      </c>
      <c r="R3822">
        <v>9.3906719999999999E-2</v>
      </c>
      <c r="S3822">
        <v>3.027847</v>
      </c>
      <c r="T3822">
        <v>-9.6342090000000005E-2</v>
      </c>
      <c r="U3822">
        <v>-0.1241913</v>
      </c>
      <c r="V3822">
        <v>-5.9236480000000001E-2</v>
      </c>
      <c r="W3822">
        <v>3.6715659999999997E-2</v>
      </c>
      <c r="X3822">
        <v>0.99756849999999997</v>
      </c>
      <c r="Y3822">
        <v>7.5664469999999998E-2</v>
      </c>
      <c r="Z3822">
        <v>-2.3092949999999998E-3</v>
      </c>
      <c r="AA3822">
        <v>0.99713059999999998</v>
      </c>
      <c r="AB3822">
        <v>35</v>
      </c>
      <c r="AC3822">
        <v>34.384899999999902</v>
      </c>
      <c r="AD3822">
        <v>-1.1050147925710001</v>
      </c>
      <c r="AE3822">
        <v>-1.4364999999999899</v>
      </c>
      <c r="AF3822">
        <v>2.6292538681786701</v>
      </c>
      <c r="AG3822">
        <v>-1.1050147925710001</v>
      </c>
      <c r="AH3822">
        <v>34.278762527058099</v>
      </c>
      <c r="AI3822">
        <v>91.840951384435797</v>
      </c>
      <c r="AJ3822">
        <v>85.613880101535798</v>
      </c>
      <c r="AK3822">
        <v>34.397203287208903</v>
      </c>
    </row>
    <row r="3823" spans="1:37" x14ac:dyDescent="0.2">
      <c r="A3823" t="str">
        <f>"20200111155624727"</f>
        <v>20200111155624727</v>
      </c>
      <c r="B3823" t="str">
        <f>"1578729384716114"</f>
        <v>1578729384716114</v>
      </c>
      <c r="C3823" t="s">
        <v>37</v>
      </c>
      <c r="D3823">
        <v>4.8844339999999997</v>
      </c>
      <c r="E3823">
        <v>0.54760520000000001</v>
      </c>
      <c r="F3823" t="s">
        <v>56</v>
      </c>
      <c r="G3823">
        <v>-206.4171</v>
      </c>
      <c r="H3823" s="1">
        <v>5.0845009999999996E-6</v>
      </c>
      <c r="I3823">
        <v>214.36689999999999</v>
      </c>
      <c r="J3823">
        <v>-240.6902</v>
      </c>
      <c r="K3823">
        <v>1.105027</v>
      </c>
      <c r="L3823">
        <v>215.58199999999999</v>
      </c>
      <c r="M3823">
        <v>0.99927999999999995</v>
      </c>
      <c r="N3823">
        <v>0</v>
      </c>
      <c r="O3823">
        <v>3.5001860000000003E-2</v>
      </c>
      <c r="P3823">
        <v>0.99535810000000002</v>
      </c>
      <c r="Q3823">
        <v>2.2424030000000001E-2</v>
      </c>
      <c r="R3823">
        <v>9.3593999999999997E-2</v>
      </c>
      <c r="S3823">
        <v>3.0261079999999998</v>
      </c>
      <c r="T3823">
        <v>-9.6599580000000004E-2</v>
      </c>
      <c r="U3823">
        <v>-0.1051636</v>
      </c>
      <c r="V3823">
        <v>-5.8710209999999999E-2</v>
      </c>
      <c r="W3823">
        <v>3.7011580000000002E-2</v>
      </c>
      <c r="X3823">
        <v>0.997588699999999</v>
      </c>
      <c r="Y3823">
        <v>6.9641079999999994E-2</v>
      </c>
      <c r="Z3823">
        <v>-2.2277539999999898E-3</v>
      </c>
      <c r="AA3823">
        <v>0.99756959999999995</v>
      </c>
      <c r="AB3823">
        <v>35</v>
      </c>
      <c r="AC3823">
        <v>34.273099999999999</v>
      </c>
      <c r="AD3823">
        <v>-1.105021915499</v>
      </c>
      <c r="AE3823">
        <v>-1.2151000000000001</v>
      </c>
      <c r="AF3823">
        <v>2.4116023491307801</v>
      </c>
      <c r="AG3823">
        <v>-1.105021915499</v>
      </c>
      <c r="AH3823">
        <v>34.174079019535498</v>
      </c>
      <c r="AI3823">
        <v>91.847427829327302</v>
      </c>
      <c r="AJ3823">
        <v>85.963433118287995</v>
      </c>
      <c r="AK3823">
        <v>34.276881073947202</v>
      </c>
    </row>
    <row r="3824" spans="1:37" x14ac:dyDescent="0.2">
      <c r="A3824" t="str">
        <f>"20200111155624750"</f>
        <v>20200111155624750</v>
      </c>
      <c r="B3824" t="str">
        <f>"1578729384746370"</f>
        <v>1578729384746370</v>
      </c>
      <c r="C3824" t="s">
        <v>37</v>
      </c>
      <c r="D3824">
        <v>4.8812220000000002</v>
      </c>
      <c r="E3824">
        <v>0.54545440000000001</v>
      </c>
      <c r="F3824" t="s">
        <v>56</v>
      </c>
      <c r="G3824">
        <v>-206.13050000000001</v>
      </c>
      <c r="H3824" s="1">
        <v>4.9420219999999996E-6</v>
      </c>
      <c r="I3824">
        <v>214.5429</v>
      </c>
      <c r="J3824">
        <v>-240.34620000000001</v>
      </c>
      <c r="K3824">
        <v>1.1050329999999999</v>
      </c>
      <c r="L3824">
        <v>215.5943</v>
      </c>
      <c r="M3824">
        <v>0.99927250000000001</v>
      </c>
      <c r="N3824">
        <v>0</v>
      </c>
      <c r="O3824">
        <v>3.5216020000000001E-2</v>
      </c>
      <c r="P3824">
        <v>0.99530049999999903</v>
      </c>
      <c r="Q3824">
        <v>2.2785119999999999E-2</v>
      </c>
      <c r="R3824">
        <v>9.4115219999999999E-2</v>
      </c>
      <c r="S3824">
        <v>3.0247189999999899</v>
      </c>
      <c r="T3824">
        <v>-9.6713190000000004E-2</v>
      </c>
      <c r="U3824">
        <v>-9.0942380000000003E-2</v>
      </c>
      <c r="V3824">
        <v>-5.901957E-2</v>
      </c>
      <c r="W3824">
        <v>3.736896E-2</v>
      </c>
      <c r="X3824">
        <v>0.99755720000000003</v>
      </c>
      <c r="Y3824">
        <v>6.5186789999999994E-2</v>
      </c>
      <c r="Z3824">
        <v>-2.1672079999999999E-3</v>
      </c>
      <c r="AA3824">
        <v>0.9978707</v>
      </c>
      <c r="AB3824">
        <v>35</v>
      </c>
      <c r="AC3824">
        <v>34.215699999999998</v>
      </c>
      <c r="AD3824">
        <v>-1.1050280579780001</v>
      </c>
      <c r="AE3824">
        <v>-1.0513999999999999</v>
      </c>
      <c r="AF3824">
        <v>2.2534693956223202</v>
      </c>
      <c r="AG3824">
        <v>-1.1050280579780001</v>
      </c>
      <c r="AH3824">
        <v>34.121885676143997</v>
      </c>
      <c r="AI3824">
        <v>91.850831087238504</v>
      </c>
      <c r="AJ3824">
        <v>86.221572708690402</v>
      </c>
      <c r="AK3824">
        <v>34.214065724812201</v>
      </c>
    </row>
    <row r="3825" spans="1:37" x14ac:dyDescent="0.2">
      <c r="A3825" t="str">
        <f>"20200111155624773"</f>
        <v>20200111155624773</v>
      </c>
      <c r="B3825" t="str">
        <f>"1578729384766866"</f>
        <v>1578729384766866</v>
      </c>
      <c r="C3825" t="s">
        <v>37</v>
      </c>
      <c r="D3825">
        <v>4.9064300000000003</v>
      </c>
      <c r="E3825">
        <v>0.54432639999999999</v>
      </c>
      <c r="F3825" t="s">
        <v>56</v>
      </c>
      <c r="G3825">
        <v>-205.49279999999999</v>
      </c>
      <c r="H3825" s="1">
        <v>4.6403329999999997E-6</v>
      </c>
      <c r="I3825">
        <v>214.75919999999999</v>
      </c>
      <c r="J3825">
        <v>-239.99189999999999</v>
      </c>
      <c r="K3825">
        <v>1.1050359999999999</v>
      </c>
      <c r="L3825">
        <v>215.607</v>
      </c>
      <c r="M3825">
        <v>0.99926479999999995</v>
      </c>
      <c r="N3825">
        <v>0</v>
      </c>
      <c r="O3825">
        <v>3.5436389999999998E-2</v>
      </c>
      <c r="P3825">
        <v>0.99524969999999902</v>
      </c>
      <c r="Q3825">
        <v>2.324878E-2</v>
      </c>
      <c r="R3825">
        <v>9.4539689999999996E-2</v>
      </c>
      <c r="S3825">
        <v>3.023209</v>
      </c>
      <c r="T3825">
        <v>-9.5851060000000002E-2</v>
      </c>
      <c r="U3825">
        <v>-7.243347E-2</v>
      </c>
      <c r="V3825">
        <v>-5.9225470000000002E-2</v>
      </c>
      <c r="W3825">
        <v>3.782783E-2</v>
      </c>
      <c r="X3825">
        <v>0.99752770000000002</v>
      </c>
      <c r="Y3825">
        <v>5.9319650000000002E-2</v>
      </c>
      <c r="Z3825">
        <v>-2.0631289999999999E-3</v>
      </c>
      <c r="AA3825">
        <v>0.99823689999999998</v>
      </c>
      <c r="AB3825">
        <v>35</v>
      </c>
      <c r="AC3825">
        <v>34.499099999999999</v>
      </c>
      <c r="AD3825">
        <v>-1.1050313596670001</v>
      </c>
      <c r="AE3825">
        <v>-0.84780000000000599</v>
      </c>
      <c r="AF3825">
        <v>2.0678016619624402</v>
      </c>
      <c r="AG3825">
        <v>-1.1050313596670001</v>
      </c>
      <c r="AH3825">
        <v>34.412097063939399</v>
      </c>
      <c r="AI3825">
        <v>91.835924319257302</v>
      </c>
      <c r="AJ3825">
        <v>86.561266797040403</v>
      </c>
      <c r="AK3825">
        <v>34.491873279905398</v>
      </c>
    </row>
    <row r="3826" spans="1:37" x14ac:dyDescent="0.2">
      <c r="A3826" t="str">
        <f>"20200111155624795"</f>
        <v>20200111155624795</v>
      </c>
      <c r="B3826" t="str">
        <f>"1578729384786386"</f>
        <v>1578729384786386</v>
      </c>
      <c r="C3826" t="s">
        <v>37</v>
      </c>
      <c r="D3826">
        <v>4.9404199999999996</v>
      </c>
      <c r="E3826">
        <v>0.54327959999999997</v>
      </c>
      <c r="F3826" t="s">
        <v>56</v>
      </c>
      <c r="G3826">
        <v>-204.90710000000001</v>
      </c>
      <c r="H3826" s="1">
        <v>4.369591E-6</v>
      </c>
      <c r="I3826">
        <v>214.8852</v>
      </c>
      <c r="J3826">
        <v>-239.65880000000001</v>
      </c>
      <c r="K3826">
        <v>1.1050359999999999</v>
      </c>
      <c r="L3826">
        <v>215.619</v>
      </c>
      <c r="M3826">
        <v>0.99925750000000002</v>
      </c>
      <c r="N3826">
        <v>0</v>
      </c>
      <c r="O3826">
        <v>3.564353E-2</v>
      </c>
      <c r="P3826">
        <v>0.99515900000000002</v>
      </c>
      <c r="Q3826">
        <v>2.3788859999999998E-2</v>
      </c>
      <c r="R3826">
        <v>9.5356549999999998E-2</v>
      </c>
      <c r="S3826">
        <v>3.0224150000000001</v>
      </c>
      <c r="T3826">
        <v>-9.5194100000000004E-2</v>
      </c>
      <c r="U3826">
        <v>-6.2179570000000003E-2</v>
      </c>
      <c r="V3826">
        <v>-5.9838780000000001E-2</v>
      </c>
      <c r="W3826">
        <v>3.8362930000000003E-2</v>
      </c>
      <c r="X3826">
        <v>0.99747059999999999</v>
      </c>
      <c r="Y3826">
        <v>5.614968E-2</v>
      </c>
      <c r="Z3826">
        <v>-2.0062109999999999E-3</v>
      </c>
      <c r="AA3826">
        <v>0.99842039999999999</v>
      </c>
      <c r="AB3826">
        <v>35</v>
      </c>
      <c r="AC3826">
        <v>34.7517</v>
      </c>
      <c r="AD3826">
        <v>-1.105031630409</v>
      </c>
      <c r="AE3826">
        <v>-0.73380000000002998</v>
      </c>
      <c r="AF3826">
        <v>1.97014828901771</v>
      </c>
      <c r="AG3826">
        <v>-1.105031630409</v>
      </c>
      <c r="AH3826">
        <v>34.668417018690803</v>
      </c>
      <c r="AI3826">
        <v>91.822706123012907</v>
      </c>
      <c r="AJ3826">
        <v>86.7474747470864</v>
      </c>
      <c r="AK3826">
        <v>34.7419302538989</v>
      </c>
    </row>
    <row r="3827" spans="1:37" x14ac:dyDescent="0.2">
      <c r="A3827" t="str">
        <f>"20200111155624817"</f>
        <v>20200111155624817</v>
      </c>
      <c r="B3827" t="str">
        <f>"1578729384806882"</f>
        <v>1578729384806882</v>
      </c>
      <c r="C3827" t="s">
        <v>37</v>
      </c>
      <c r="D3827">
        <v>4.9396059999999897</v>
      </c>
      <c r="E3827">
        <v>0.54235610000000001</v>
      </c>
      <c r="F3827" t="s">
        <v>56</v>
      </c>
      <c r="G3827">
        <v>-204.2276</v>
      </c>
      <c r="H3827" s="1">
        <v>4.0568190000000002E-6</v>
      </c>
      <c r="I3827">
        <v>215.01609999999999</v>
      </c>
      <c r="J3827">
        <v>-239.31569999999999</v>
      </c>
      <c r="K3827">
        <v>1.105035</v>
      </c>
      <c r="L3827">
        <v>215.63149999999999</v>
      </c>
      <c r="M3827">
        <v>0.99924999999999997</v>
      </c>
      <c r="N3827">
        <v>0</v>
      </c>
      <c r="O3827">
        <v>3.585692E-2</v>
      </c>
      <c r="P3827">
        <v>0.99503850000000005</v>
      </c>
      <c r="Q3827">
        <v>2.4056040000000001E-2</v>
      </c>
      <c r="R3827">
        <v>9.6539459999999994E-2</v>
      </c>
      <c r="S3827">
        <v>3.0217900000000002</v>
      </c>
      <c r="T3827">
        <v>-9.4244120000000001E-2</v>
      </c>
      <c r="U3827">
        <v>-5.1422120000000002E-2</v>
      </c>
      <c r="V3827">
        <v>-6.0811749999999998E-2</v>
      </c>
      <c r="W3827">
        <v>3.8625E-2</v>
      </c>
      <c r="X3827">
        <v>0.99740169999999995</v>
      </c>
      <c r="Y3827">
        <v>5.2816160000000001E-2</v>
      </c>
      <c r="Z3827">
        <v>-1.9413449999999999E-3</v>
      </c>
      <c r="AA3827">
        <v>0.998602399999999</v>
      </c>
      <c r="AB3827">
        <v>35</v>
      </c>
      <c r="AC3827">
        <v>35.088099999999997</v>
      </c>
      <c r="AD3827">
        <v>-1.1050309431809999</v>
      </c>
      <c r="AE3827">
        <v>-0.61539999999999395</v>
      </c>
      <c r="AF3827">
        <v>1.8714342945366</v>
      </c>
      <c r="AG3827">
        <v>-1.1050309431809999</v>
      </c>
      <c r="AH3827">
        <v>35.008751092420397</v>
      </c>
      <c r="AI3827">
        <v>91.805331951033907</v>
      </c>
      <c r="AJ3827">
        <v>86.940098582156395</v>
      </c>
      <c r="AK3827">
        <v>35.076145922196197</v>
      </c>
    </row>
    <row r="3828" spans="1:37" x14ac:dyDescent="0.2">
      <c r="A3828" t="str">
        <f>"20200111155624841"</f>
        <v>20200111155624841</v>
      </c>
      <c r="B3828" t="str">
        <f>"1578729384836670"</f>
        <v>1578729384836670</v>
      </c>
      <c r="C3828" t="s">
        <v>37</v>
      </c>
      <c r="D3828">
        <v>4.9519640000000003</v>
      </c>
      <c r="E3828">
        <v>0.54115029999999997</v>
      </c>
      <c r="F3828" t="s">
        <v>56</v>
      </c>
      <c r="G3828">
        <v>-203.5547</v>
      </c>
      <c r="H3828" s="1">
        <v>3.7464650000000001E-6</v>
      </c>
      <c r="I3828">
        <v>215.15260000000001</v>
      </c>
      <c r="J3828">
        <v>-238.96360000000001</v>
      </c>
      <c r="K3828">
        <v>1.105032</v>
      </c>
      <c r="L3828">
        <v>215.64429999999999</v>
      </c>
      <c r="M3828">
        <v>0.99924199999999996</v>
      </c>
      <c r="N3828">
        <v>0</v>
      </c>
      <c r="O3828">
        <v>3.6076400000000002E-2</v>
      </c>
      <c r="P3828">
        <v>0.99495859999999903</v>
      </c>
      <c r="Q3828">
        <v>2.3773300000000001E-2</v>
      </c>
      <c r="R3828">
        <v>9.7429710000000003E-2</v>
      </c>
      <c r="S3828">
        <v>3.0211329999999998</v>
      </c>
      <c r="T3828">
        <v>-9.3354339999999994E-2</v>
      </c>
      <c r="U3828">
        <v>-4.0451050000000002E-2</v>
      </c>
      <c r="V3828">
        <v>-6.1485400000000003E-2</v>
      </c>
      <c r="W3828">
        <v>3.8337679999999999E-2</v>
      </c>
      <c r="X3828">
        <v>0.99737140000000002</v>
      </c>
      <c r="Y3828">
        <v>4.9415670000000002E-2</v>
      </c>
      <c r="Z3828">
        <v>-1.877732E-3</v>
      </c>
      <c r="AA3828">
        <v>0.99877660000000001</v>
      </c>
      <c r="AB3828">
        <v>34</v>
      </c>
      <c r="AC3828">
        <v>35.408900000000003</v>
      </c>
      <c r="AD3828">
        <v>-1.105028253535</v>
      </c>
      <c r="AE3828">
        <v>-0.49169999999997999</v>
      </c>
      <c r="AF3828">
        <v>1.7672213515830599</v>
      </c>
      <c r="AG3828">
        <v>-1.105028253535</v>
      </c>
      <c r="AH3828">
        <v>35.3336989899447</v>
      </c>
      <c r="AI3828">
        <v>91.789053028642002</v>
      </c>
      <c r="AJ3828">
        <v>87.136727134468401</v>
      </c>
      <c r="AK3828">
        <v>35.395118915729299</v>
      </c>
    </row>
    <row r="3829" spans="1:37" x14ac:dyDescent="0.2">
      <c r="A3829" t="str">
        <f>"20200111155624863"</f>
        <v>20200111155624863</v>
      </c>
      <c r="B3829" t="str">
        <f>"1578729384856190"</f>
        <v>1578729384856190</v>
      </c>
      <c r="C3829" t="s">
        <v>37</v>
      </c>
      <c r="D3829">
        <v>4.9407449999999997</v>
      </c>
      <c r="E3829">
        <v>0.54061990000000004</v>
      </c>
      <c r="F3829" t="s">
        <v>56</v>
      </c>
      <c r="G3829">
        <v>-203.80099999999999</v>
      </c>
      <c r="H3829" s="1">
        <v>3.8414619999999998E-6</v>
      </c>
      <c r="I3829">
        <v>215.31549999999999</v>
      </c>
      <c r="J3829">
        <v>-238.61879999999999</v>
      </c>
      <c r="K3829">
        <v>1.105037</v>
      </c>
      <c r="L3829">
        <v>215.65700000000001</v>
      </c>
      <c r="M3829">
        <v>0.99923439999999997</v>
      </c>
      <c r="N3829">
        <v>0</v>
      </c>
      <c r="O3829">
        <v>3.6291219999999999E-2</v>
      </c>
      <c r="P3829">
        <v>0.99489130000000003</v>
      </c>
      <c r="Q3829">
        <v>2.3441179999999999E-2</v>
      </c>
      <c r="R3829">
        <v>9.8194829999999997E-2</v>
      </c>
      <c r="S3829">
        <v>3.0202330000000002</v>
      </c>
      <c r="T3829">
        <v>-9.4914559999999995E-2</v>
      </c>
      <c r="U3829">
        <v>-2.8244020000000002E-2</v>
      </c>
      <c r="V3829">
        <v>-6.2037849999999999E-2</v>
      </c>
      <c r="W3829">
        <v>3.8001279999999998E-2</v>
      </c>
      <c r="X3829">
        <v>0.99735010000000002</v>
      </c>
      <c r="Y3829">
        <v>4.5598119999999999E-2</v>
      </c>
      <c r="Z3829">
        <v>-1.85646799999999E-3</v>
      </c>
      <c r="AA3829">
        <v>0.99895809999999996</v>
      </c>
      <c r="AB3829">
        <v>34</v>
      </c>
      <c r="AC3829">
        <v>34.817799999999998</v>
      </c>
      <c r="AD3829">
        <v>-1.105033158538</v>
      </c>
      <c r="AE3829">
        <v>-0.34150000000002401</v>
      </c>
      <c r="AF3829">
        <v>1.6033754939373801</v>
      </c>
      <c r="AG3829">
        <v>-1.105033158538</v>
      </c>
      <c r="AH3829">
        <v>34.747467450068903</v>
      </c>
      <c r="AI3829">
        <v>91.819562112138101</v>
      </c>
      <c r="AJ3829">
        <v>87.358036809433997</v>
      </c>
      <c r="AK3829">
        <v>34.801988527232503</v>
      </c>
    </row>
    <row r="3830" spans="1:37" x14ac:dyDescent="0.2">
      <c r="A3830" t="str">
        <f>"20200111155624884"</f>
        <v>20200111155624884</v>
      </c>
      <c r="B3830" t="str">
        <f>"1578729384876685"</f>
        <v>1578729384876685</v>
      </c>
      <c r="C3830" t="s">
        <v>37</v>
      </c>
      <c r="D3830">
        <v>5.1786120000000002</v>
      </c>
      <c r="E3830">
        <v>0.53999010000000003</v>
      </c>
      <c r="F3830" t="s">
        <v>56</v>
      </c>
      <c r="G3830">
        <v>-204.03200000000001</v>
      </c>
      <c r="H3830" s="1">
        <v>3.9359769999999997E-6</v>
      </c>
      <c r="I3830">
        <v>215.4059</v>
      </c>
      <c r="J3830">
        <v>-238.27979999999999</v>
      </c>
      <c r="K3830">
        <v>1.1050439999999999</v>
      </c>
      <c r="L3830">
        <v>215.6696</v>
      </c>
      <c r="M3830">
        <v>0.99922670000000002</v>
      </c>
      <c r="N3830">
        <v>0</v>
      </c>
      <c r="O3830">
        <v>3.6502229999999997E-2</v>
      </c>
      <c r="P3830">
        <v>0.99484259999999902</v>
      </c>
      <c r="Q3830">
        <v>2.4919739999999999E-2</v>
      </c>
      <c r="R3830">
        <v>9.8322179999999995E-2</v>
      </c>
      <c r="S3830">
        <v>3.019806</v>
      </c>
      <c r="T3830">
        <v>-9.6481440000000002E-2</v>
      </c>
      <c r="U3830">
        <v>-2.1926879999999999E-2</v>
      </c>
      <c r="V3830">
        <v>-6.1956799999999999E-2</v>
      </c>
      <c r="W3830">
        <v>3.9475499999999997E-2</v>
      </c>
      <c r="X3830">
        <v>0.99729789999999996</v>
      </c>
      <c r="Y3830">
        <v>4.3720229999999999E-2</v>
      </c>
      <c r="Z3830">
        <v>-1.864119E-3</v>
      </c>
      <c r="AA3830">
        <v>0.99904210000000004</v>
      </c>
      <c r="AB3830">
        <v>34</v>
      </c>
      <c r="AC3830">
        <v>34.247799999999899</v>
      </c>
      <c r="AD3830">
        <v>-1.105040064023</v>
      </c>
      <c r="AE3830">
        <v>-0.26369999999999999</v>
      </c>
      <c r="AF3830">
        <v>1.51220456895092</v>
      </c>
      <c r="AG3830">
        <v>-1.105040064023</v>
      </c>
      <c r="AH3830">
        <v>34.179762450333101</v>
      </c>
      <c r="AI3830">
        <v>91.849933144707407</v>
      </c>
      <c r="AJ3830">
        <v>87.466732721962998</v>
      </c>
      <c r="AK3830">
        <v>34.231039092651798</v>
      </c>
    </row>
    <row r="3831" spans="1:37" x14ac:dyDescent="0.2">
      <c r="A3831" t="str">
        <f>"20200111155624918"</f>
        <v>20200111155624918</v>
      </c>
      <c r="B3831" t="str">
        <f>"1578729384906942"</f>
        <v>1578729384906942</v>
      </c>
      <c r="C3831" t="s">
        <v>37</v>
      </c>
      <c r="D3831">
        <v>5.098706</v>
      </c>
      <c r="E3831">
        <v>0.53951000000000005</v>
      </c>
      <c r="F3831" t="s">
        <v>56</v>
      </c>
      <c r="G3831">
        <v>-202.47890000000001</v>
      </c>
      <c r="H3831" s="1">
        <v>3.241202E-6</v>
      </c>
      <c r="I3831">
        <v>215.47489999999999</v>
      </c>
      <c r="J3831">
        <v>-237.77010000000001</v>
      </c>
      <c r="K3831">
        <v>1.1050549999999999</v>
      </c>
      <c r="L3831">
        <v>215.6885</v>
      </c>
      <c r="M3831">
        <v>0.99921519999999997</v>
      </c>
      <c r="N3831">
        <v>0</v>
      </c>
      <c r="O3831">
        <v>3.6819640000000001E-2</v>
      </c>
      <c r="P3831">
        <v>0.99479789999999901</v>
      </c>
      <c r="Q3831">
        <v>2.6573449999999998E-2</v>
      </c>
      <c r="R3831">
        <v>9.8341460000000006E-2</v>
      </c>
      <c r="S3831">
        <v>3.019501</v>
      </c>
      <c r="T3831">
        <v>-9.3200679999999994E-2</v>
      </c>
      <c r="U3831">
        <v>-1.6418459999999999E-2</v>
      </c>
      <c r="V3831">
        <v>-6.1660699999999999E-2</v>
      </c>
      <c r="W3831">
        <v>4.1123060000000003E-2</v>
      </c>
      <c r="X3831">
        <v>0.99724969999999902</v>
      </c>
      <c r="Y3831">
        <v>4.2219090000000001E-2</v>
      </c>
      <c r="Z3831">
        <v>-1.787575E-3</v>
      </c>
      <c r="AA3831">
        <v>0.99910679999999996</v>
      </c>
      <c r="AB3831">
        <v>34</v>
      </c>
      <c r="AC3831">
        <v>35.291200000000003</v>
      </c>
      <c r="AD3831">
        <v>-1.105051758798</v>
      </c>
      <c r="AE3831">
        <v>-0.213600000000013</v>
      </c>
      <c r="AF3831">
        <v>1.5115210746783301</v>
      </c>
      <c r="AG3831">
        <v>-1.105051758798</v>
      </c>
      <c r="AH3831">
        <v>35.224863870513502</v>
      </c>
      <c r="AI3831">
        <v>91.7952060743863</v>
      </c>
      <c r="AJ3831">
        <v>87.542909405122401</v>
      </c>
      <c r="AK3831">
        <v>35.274592415009202</v>
      </c>
    </row>
    <row r="3832" spans="1:37" x14ac:dyDescent="0.2">
      <c r="A3832" t="str">
        <f>"20200111155624940"</f>
        <v>20200111155624940</v>
      </c>
      <c r="B3832" t="str">
        <f>"1578729384936729"</f>
        <v>1578729384936729</v>
      </c>
      <c r="C3832" t="s">
        <v>37</v>
      </c>
      <c r="D3832">
        <v>5.0326610000000001</v>
      </c>
      <c r="E3832">
        <v>0.53885879999999997</v>
      </c>
      <c r="F3832" t="s">
        <v>56</v>
      </c>
      <c r="G3832">
        <v>-200.9486</v>
      </c>
      <c r="H3832" s="1">
        <v>2.5571469999999999E-6</v>
      </c>
      <c r="I3832">
        <v>215.53700000000001</v>
      </c>
      <c r="J3832">
        <v>-237.4237</v>
      </c>
      <c r="K3832">
        <v>1.105054</v>
      </c>
      <c r="L3832">
        <v>215.70150000000001</v>
      </c>
      <c r="M3832">
        <v>0.99920730000000002</v>
      </c>
      <c r="N3832">
        <v>0</v>
      </c>
      <c r="O3832">
        <v>3.7035539999999999E-2</v>
      </c>
      <c r="P3832">
        <v>0.99475899999999995</v>
      </c>
      <c r="Q3832">
        <v>2.6542219999999998E-2</v>
      </c>
      <c r="R3832">
        <v>9.8741889999999999E-2</v>
      </c>
      <c r="S3832">
        <v>3.0193479999999999</v>
      </c>
      <c r="T3832">
        <v>-9.0613840000000001E-2</v>
      </c>
      <c r="U3832">
        <v>-1.242065E-2</v>
      </c>
      <c r="V3832">
        <v>-6.1846730000000003E-2</v>
      </c>
      <c r="W3832">
        <v>4.1087329999999998E-2</v>
      </c>
      <c r="X3832">
        <v>0.9972396</v>
      </c>
      <c r="Y3832">
        <v>4.1114829999999998E-2</v>
      </c>
      <c r="Z3832">
        <v>-1.72797799999999E-3</v>
      </c>
      <c r="AA3832">
        <v>0.99915299999999996</v>
      </c>
      <c r="AB3832">
        <v>34</v>
      </c>
      <c r="AC3832">
        <v>36.475099999999998</v>
      </c>
      <c r="AD3832">
        <v>-1.1050514428530001</v>
      </c>
      <c r="AE3832">
        <v>-0.164500000000003</v>
      </c>
      <c r="AF3832">
        <v>1.5140165188985999</v>
      </c>
      <c r="AG3832">
        <v>-1.1050514428530001</v>
      </c>
      <c r="AH3832">
        <v>36.410559116114101</v>
      </c>
      <c r="AI3832">
        <v>91.736879087956595</v>
      </c>
      <c r="AJ3832">
        <v>87.618910168407993</v>
      </c>
      <c r="AK3832">
        <v>36.458773976354301</v>
      </c>
    </row>
    <row r="3833" spans="1:37" x14ac:dyDescent="0.2">
      <c r="A3833" t="str">
        <f>"20200111155624962"</f>
        <v>20200111155624962</v>
      </c>
      <c r="B3833" t="str">
        <f>"1578729384956249"</f>
        <v>1578729384956249</v>
      </c>
      <c r="C3833" t="s">
        <v>37</v>
      </c>
      <c r="D3833">
        <v>5.1141690000000004</v>
      </c>
      <c r="E3833">
        <v>0.53900619999999999</v>
      </c>
      <c r="F3833" t="s">
        <v>56</v>
      </c>
      <c r="G3833">
        <v>-201.328</v>
      </c>
      <c r="H3833" s="1">
        <v>2.7173790000000001E-6</v>
      </c>
      <c r="I3833">
        <v>215.62909999999999</v>
      </c>
      <c r="J3833">
        <v>-237.08930000000001</v>
      </c>
      <c r="K3833">
        <v>1.1050549999999999</v>
      </c>
      <c r="L3833">
        <v>215.7141</v>
      </c>
      <c r="M3833">
        <v>0.99919950000000002</v>
      </c>
      <c r="N3833">
        <v>0</v>
      </c>
      <c r="O3833">
        <v>3.7244289999999999E-2</v>
      </c>
      <c r="P3833">
        <v>0.99471939999999903</v>
      </c>
      <c r="Q3833">
        <v>2.646196E-2</v>
      </c>
      <c r="R3833">
        <v>9.9160880000000007E-2</v>
      </c>
      <c r="S3833">
        <v>3.0188899999999999</v>
      </c>
      <c r="T3833">
        <v>-9.2421890000000007E-2</v>
      </c>
      <c r="U3833">
        <v>-6.0577390000000004E-3</v>
      </c>
      <c r="V3833">
        <v>-6.2058540000000002E-2</v>
      </c>
      <c r="W3833">
        <v>4.100347E-2</v>
      </c>
      <c r="X3833">
        <v>0.9972299</v>
      </c>
      <c r="Y3833">
        <v>3.9217580000000002E-2</v>
      </c>
      <c r="Z3833">
        <v>-1.7400549999999999E-3</v>
      </c>
      <c r="AA3833">
        <v>0.99922919999999904</v>
      </c>
      <c r="AB3833">
        <v>34</v>
      </c>
      <c r="AC3833">
        <v>35.761299999999999</v>
      </c>
      <c r="AD3833">
        <v>-1.1050522826209901</v>
      </c>
      <c r="AE3833">
        <v>-8.5000000000007903E-2</v>
      </c>
      <c r="AF3833">
        <v>1.41563553589844</v>
      </c>
      <c r="AG3833">
        <v>-1.1050522826209901</v>
      </c>
      <c r="AH3833">
        <v>35.699229560405399</v>
      </c>
      <c r="AI3833">
        <v>91.771605367537802</v>
      </c>
      <c r="AJ3833">
        <v>87.729153597856296</v>
      </c>
      <c r="AK3833">
        <v>35.744372364392497</v>
      </c>
    </row>
    <row r="3834" spans="1:37" x14ac:dyDescent="0.2">
      <c r="A3834" t="str">
        <f>"20200111155624984"</f>
        <v>20200111155624984</v>
      </c>
      <c r="B3834" t="str">
        <f>"1578729384976745"</f>
        <v>1578729384976745</v>
      </c>
      <c r="C3834" t="s">
        <v>37</v>
      </c>
      <c r="D3834">
        <v>5.20465</v>
      </c>
      <c r="E3834">
        <v>0.53892659999999903</v>
      </c>
      <c r="F3834" t="s">
        <v>56</v>
      </c>
      <c r="G3834">
        <v>-201.8192</v>
      </c>
      <c r="H3834" s="1">
        <v>2.9337360000000001E-6</v>
      </c>
      <c r="I3834">
        <v>215.6455</v>
      </c>
      <c r="J3834">
        <v>-236.75110000000001</v>
      </c>
      <c r="K3834">
        <v>1.105051</v>
      </c>
      <c r="L3834">
        <v>215.7269</v>
      </c>
      <c r="M3834">
        <v>0.99919169999999902</v>
      </c>
      <c r="N3834">
        <v>0</v>
      </c>
      <c r="O3834">
        <v>3.7455349999999998E-2</v>
      </c>
      <c r="P3834">
        <v>0.99470369999999997</v>
      </c>
      <c r="Q3834">
        <v>2.649994E-2</v>
      </c>
      <c r="R3834">
        <v>9.9310049999999997E-2</v>
      </c>
      <c r="S3834">
        <v>3.019028</v>
      </c>
      <c r="T3834">
        <v>-9.4589350000000003E-2</v>
      </c>
      <c r="U3834">
        <v>-5.8746340000000001E-3</v>
      </c>
      <c r="V3834">
        <v>-6.1997570000000002E-2</v>
      </c>
      <c r="W3834">
        <v>4.1037780000000003E-2</v>
      </c>
      <c r="X3834">
        <v>0.99723229999999996</v>
      </c>
      <c r="Y3834">
        <v>3.9366079999999998E-2</v>
      </c>
      <c r="Z3834">
        <v>-1.7896959999999999E-3</v>
      </c>
      <c r="AA3834">
        <v>0.99922319999999998</v>
      </c>
      <c r="AB3834">
        <v>34</v>
      </c>
      <c r="AC3834">
        <v>34.931899999999999</v>
      </c>
      <c r="AD3834">
        <v>-1.1050480662640001</v>
      </c>
      <c r="AE3834">
        <v>-8.1400000000002096E-2</v>
      </c>
      <c r="AF3834">
        <v>1.3884793155575501</v>
      </c>
      <c r="AG3834">
        <v>-1.1050480662640001</v>
      </c>
      <c r="AH3834">
        <v>34.869439162019198</v>
      </c>
      <c r="AI3834">
        <v>91.8137177770178</v>
      </c>
      <c r="AJ3834">
        <v>87.719722481804098</v>
      </c>
      <c r="AK3834">
        <v>34.914564203384302</v>
      </c>
    </row>
    <row r="3835" spans="1:37" x14ac:dyDescent="0.2">
      <c r="A3835" t="str">
        <f>"20200111155625007"</f>
        <v>20200111155625007</v>
      </c>
      <c r="B3835" t="str">
        <f>"1578729384996266"</f>
        <v>1578729384996266</v>
      </c>
      <c r="C3835" t="s">
        <v>37</v>
      </c>
      <c r="D3835">
        <v>5.1037929999999996</v>
      </c>
      <c r="E3835">
        <v>0.5391184</v>
      </c>
      <c r="F3835" t="s">
        <v>56</v>
      </c>
      <c r="G3835">
        <v>-202.1301</v>
      </c>
      <c r="H3835" s="1">
        <v>3.0692390000000002E-6</v>
      </c>
      <c r="I3835">
        <v>215.67250000000001</v>
      </c>
      <c r="J3835">
        <v>-236.4136</v>
      </c>
      <c r="K3835">
        <v>1.1050530000000001</v>
      </c>
      <c r="L3835">
        <v>215.7398</v>
      </c>
      <c r="M3835">
        <v>0.99918379999999996</v>
      </c>
      <c r="N3835">
        <v>0</v>
      </c>
      <c r="O3835">
        <v>3.7666060000000001E-2</v>
      </c>
      <c r="P3835">
        <v>0.99471189999999998</v>
      </c>
      <c r="Q3835">
        <v>2.6858719999999999E-2</v>
      </c>
      <c r="R3835">
        <v>9.913023E-2</v>
      </c>
      <c r="S3835">
        <v>3.019028</v>
      </c>
      <c r="T3835">
        <v>-9.6362349999999999E-2</v>
      </c>
      <c r="U3835">
        <v>-4.745483E-3</v>
      </c>
      <c r="V3835">
        <v>-6.1607229999999999E-2</v>
      </c>
      <c r="W3835">
        <v>4.139367E-2</v>
      </c>
      <c r="X3835">
        <v>0.99724169999999901</v>
      </c>
      <c r="Y3835">
        <v>3.9201630000000001E-2</v>
      </c>
      <c r="Z3835">
        <v>-1.827321E-3</v>
      </c>
      <c r="AA3835">
        <v>0.999229699999999</v>
      </c>
      <c r="AB3835">
        <v>34</v>
      </c>
      <c r="AC3835">
        <v>34.283499999999997</v>
      </c>
      <c r="AD3835">
        <v>-1.105049930761</v>
      </c>
      <c r="AE3835">
        <v>-6.7299999999988799E-2</v>
      </c>
      <c r="AF3835">
        <v>1.3573039878840001</v>
      </c>
      <c r="AG3835">
        <v>-1.105049930761</v>
      </c>
      <c r="AH3835">
        <v>34.2210776792746</v>
      </c>
      <c r="AI3835">
        <v>91.848071929876397</v>
      </c>
      <c r="AJ3835">
        <v>87.728679109092695</v>
      </c>
      <c r="AK3835">
        <v>34.265807549158197</v>
      </c>
    </row>
    <row r="3836" spans="1:37" x14ac:dyDescent="0.2">
      <c r="A3836" t="str">
        <f>"20200111155625029"</f>
        <v>20200111155625029</v>
      </c>
      <c r="B3836" t="str">
        <f>"1578729385027029"</f>
        <v>1578729385027029</v>
      </c>
      <c r="C3836" t="s">
        <v>37</v>
      </c>
      <c r="D3836">
        <v>5.1169089999999997</v>
      </c>
      <c r="E3836">
        <v>0.53927860000000005</v>
      </c>
      <c r="F3836" t="s">
        <v>56</v>
      </c>
      <c r="G3836">
        <v>-202.01339999999999</v>
      </c>
      <c r="H3836" s="1">
        <v>3.0182900000000001E-6</v>
      </c>
      <c r="I3836">
        <v>215.66329999999999</v>
      </c>
      <c r="J3836">
        <v>-236.06880000000001</v>
      </c>
      <c r="K3836">
        <v>1.105048</v>
      </c>
      <c r="L3836">
        <v>215.75309999999999</v>
      </c>
      <c r="M3836">
        <v>0.99917579999999995</v>
      </c>
      <c r="N3836">
        <v>0</v>
      </c>
      <c r="O3836">
        <v>3.7881249999999998E-2</v>
      </c>
      <c r="P3836">
        <v>0.99470569999999903</v>
      </c>
      <c r="Q3836">
        <v>2.722041E-2</v>
      </c>
      <c r="R3836">
        <v>9.909453E-2</v>
      </c>
      <c r="S3836">
        <v>3.0192410000000001</v>
      </c>
      <c r="T3836">
        <v>-9.6988080000000004E-2</v>
      </c>
      <c r="U3836">
        <v>-6.7138669999999897E-3</v>
      </c>
      <c r="V3836">
        <v>-6.1357139999999998E-2</v>
      </c>
      <c r="W3836">
        <v>4.1751469999999999E-2</v>
      </c>
      <c r="X3836">
        <v>0.99724230000000003</v>
      </c>
      <c r="Y3836">
        <v>4.0067070000000003E-2</v>
      </c>
      <c r="Z3836">
        <v>-1.8598569999999999E-3</v>
      </c>
      <c r="AA3836">
        <v>0.99919530000000001</v>
      </c>
      <c r="AB3836">
        <v>34</v>
      </c>
      <c r="AC3836">
        <v>34.055399999999999</v>
      </c>
      <c r="AD3836">
        <v>-1.1050449817100001</v>
      </c>
      <c r="AE3836">
        <v>-8.9799999999996702E-2</v>
      </c>
      <c r="AF3836">
        <v>1.3784824968073</v>
      </c>
      <c r="AG3836">
        <v>-1.1050449817100001</v>
      </c>
      <c r="AH3836">
        <v>33.991759620842302</v>
      </c>
      <c r="AI3836">
        <v>91.860456182099398</v>
      </c>
      <c r="AJ3836">
        <v>87.677732022445298</v>
      </c>
      <c r="AK3836">
        <v>34.0376418179452</v>
      </c>
    </row>
    <row r="3837" spans="1:37" x14ac:dyDescent="0.2">
      <c r="A3837" t="str">
        <f>"20200111155625052"</f>
        <v>20200111155625052</v>
      </c>
      <c r="B3837" t="str">
        <f>"1578729385046548"</f>
        <v>1578729385046548</v>
      </c>
      <c r="C3837" t="s">
        <v>37</v>
      </c>
      <c r="D3837">
        <v>5.1517809999999997</v>
      </c>
      <c r="E3837">
        <v>0.53935239999999995</v>
      </c>
      <c r="F3837" t="s">
        <v>56</v>
      </c>
      <c r="G3837">
        <v>-202.1369</v>
      </c>
      <c r="H3837" s="1">
        <v>3.0731079999999899E-6</v>
      </c>
      <c r="I3837">
        <v>215.66290000000001</v>
      </c>
      <c r="J3837">
        <v>-235.72919999999999</v>
      </c>
      <c r="K3837">
        <v>1.105054</v>
      </c>
      <c r="L3837">
        <v>215.76609999999999</v>
      </c>
      <c r="M3837">
        <v>0.99916769999999999</v>
      </c>
      <c r="N3837">
        <v>0</v>
      </c>
      <c r="O3837">
        <v>3.809357E-2</v>
      </c>
      <c r="P3837">
        <v>0.99475069999999999</v>
      </c>
      <c r="Q3837">
        <v>2.7527099999999902E-2</v>
      </c>
      <c r="R3837">
        <v>9.855564E-2</v>
      </c>
      <c r="S3837">
        <v>3.0194549999999998</v>
      </c>
      <c r="T3837">
        <v>-9.8333119999999996E-2</v>
      </c>
      <c r="U3837">
        <v>-8.0261229999999996E-3</v>
      </c>
      <c r="V3837">
        <v>-6.060455E-2</v>
      </c>
      <c r="W3837">
        <v>4.2055429999999998E-2</v>
      </c>
      <c r="X3837">
        <v>0.99727549999999898</v>
      </c>
      <c r="Y3837">
        <v>4.0711909999999997E-2</v>
      </c>
      <c r="Z3837">
        <v>-1.9029120000000001E-3</v>
      </c>
      <c r="AA3837">
        <v>0.99916909999999903</v>
      </c>
      <c r="AB3837">
        <v>34</v>
      </c>
      <c r="AC3837">
        <v>33.592299999999902</v>
      </c>
      <c r="AD3837">
        <v>-1.1050509268919999</v>
      </c>
      <c r="AE3837">
        <v>-0.103199999999986</v>
      </c>
      <c r="AF3837">
        <v>1.38141700076995</v>
      </c>
      <c r="AG3837">
        <v>-1.1050509268919999</v>
      </c>
      <c r="AH3837">
        <v>33.5276995943481</v>
      </c>
      <c r="AI3837">
        <v>91.886148689797295</v>
      </c>
      <c r="AJ3837">
        <v>87.640618899142893</v>
      </c>
      <c r="AK3837">
        <v>33.574336785257401</v>
      </c>
    </row>
    <row r="3838" spans="1:37" x14ac:dyDescent="0.2">
      <c r="A3838" t="str">
        <f>"20200111155625073"</f>
        <v>20200111155625073</v>
      </c>
      <c r="B3838" t="str">
        <f>"1578729385066068"</f>
        <v>1578729385066068</v>
      </c>
      <c r="C3838" t="s">
        <v>37</v>
      </c>
      <c r="D3838">
        <v>5.1190709999999999</v>
      </c>
      <c r="E3838">
        <v>0.53945609999999999</v>
      </c>
      <c r="F3838" t="s">
        <v>56</v>
      </c>
      <c r="G3838">
        <v>-202.00579999999999</v>
      </c>
      <c r="H3838" s="1">
        <v>3.015924E-6</v>
      </c>
      <c r="I3838">
        <v>215.6523</v>
      </c>
      <c r="J3838">
        <v>-235.39609999999999</v>
      </c>
      <c r="K3838">
        <v>1.1050549999999999</v>
      </c>
      <c r="L3838">
        <v>215.7791</v>
      </c>
      <c r="M3838">
        <v>0.99915989999999999</v>
      </c>
      <c r="N3838">
        <v>0</v>
      </c>
      <c r="O3838">
        <v>3.830153E-2</v>
      </c>
      <c r="P3838">
        <v>0.99486980000000003</v>
      </c>
      <c r="Q3838">
        <v>2.7968630000000001E-2</v>
      </c>
      <c r="R3838">
        <v>9.7221020000000005E-2</v>
      </c>
      <c r="S3838">
        <v>3.019577</v>
      </c>
      <c r="T3838">
        <v>-9.8945980000000003E-2</v>
      </c>
      <c r="U3838">
        <v>-1.019287E-2</v>
      </c>
      <c r="V3838">
        <v>-5.9059309999999997E-2</v>
      </c>
      <c r="W3838">
        <v>4.249563E-2</v>
      </c>
      <c r="X3838">
        <v>0.99734959999999995</v>
      </c>
      <c r="Y3838">
        <v>4.1635600000000002E-2</v>
      </c>
      <c r="Z3838">
        <v>-1.9366299999999999E-3</v>
      </c>
      <c r="AA3838">
        <v>0.99913099999999999</v>
      </c>
      <c r="AB3838">
        <v>34</v>
      </c>
      <c r="AC3838">
        <v>33.390300000000003</v>
      </c>
      <c r="AD3838">
        <v>-1.10505198407599</v>
      </c>
      <c r="AE3838">
        <v>-0.12680000000000199</v>
      </c>
      <c r="AF3838">
        <v>1.4042044379258101</v>
      </c>
      <c r="AG3838">
        <v>-1.10505198407599</v>
      </c>
      <c r="AH3838">
        <v>33.324437714819197</v>
      </c>
      <c r="AI3838">
        <v>91.897572891540406</v>
      </c>
      <c r="AJ3838">
        <v>87.587133451352997</v>
      </c>
      <c r="AK3838">
        <v>33.372310063881798</v>
      </c>
    </row>
    <row r="3839" spans="1:37" x14ac:dyDescent="0.2">
      <c r="A3839" t="str">
        <f>"20200111155625096"</f>
        <v>20200111155625096</v>
      </c>
      <c r="B3839" t="str">
        <f>"1578729385086565"</f>
        <v>1578729385086565</v>
      </c>
      <c r="C3839" t="s">
        <v>37</v>
      </c>
      <c r="D3839">
        <v>5.0684269999999998</v>
      </c>
      <c r="E3839">
        <v>0.53956269999999995</v>
      </c>
      <c r="F3839" t="s">
        <v>56</v>
      </c>
      <c r="G3839">
        <v>-201.80609999999999</v>
      </c>
      <c r="H3839" s="1">
        <v>2.9307519999999999E-6</v>
      </c>
      <c r="I3839">
        <v>215.61340000000001</v>
      </c>
      <c r="J3839">
        <v>-235.0549</v>
      </c>
      <c r="K3839">
        <v>1.105067</v>
      </c>
      <c r="L3839">
        <v>215.79239999999999</v>
      </c>
      <c r="M3839">
        <v>0.99915169999999998</v>
      </c>
      <c r="N3839">
        <v>0</v>
      </c>
      <c r="O3839">
        <v>3.8514630000000001E-2</v>
      </c>
      <c r="P3839">
        <v>0.99495009999999995</v>
      </c>
      <c r="Q3839">
        <v>2.841217E-2</v>
      </c>
      <c r="R3839">
        <v>9.6266270000000001E-2</v>
      </c>
      <c r="S3839">
        <v>3.019714</v>
      </c>
      <c r="T3839">
        <v>-9.9343299999999995E-2</v>
      </c>
      <c r="U3839">
        <v>-1.4892580000000001E-2</v>
      </c>
      <c r="V3839">
        <v>-5.7889679999999999E-2</v>
      </c>
      <c r="W3839">
        <v>4.2936299999999997E-2</v>
      </c>
      <c r="X3839">
        <v>0.99739929999999999</v>
      </c>
      <c r="Y3839">
        <v>4.3402009999999998E-2</v>
      </c>
      <c r="Z3839">
        <v>-1.98037E-3</v>
      </c>
      <c r="AA3839">
        <v>0.99905569999999899</v>
      </c>
      <c r="AB3839">
        <v>34</v>
      </c>
      <c r="AC3839">
        <v>33.248800000000003</v>
      </c>
      <c r="AD3839">
        <v>-1.105064069248</v>
      </c>
      <c r="AE3839">
        <v>-0.17899999999997299</v>
      </c>
      <c r="AF3839">
        <v>1.4579579941083201</v>
      </c>
      <c r="AG3839">
        <v>-1.105064069248</v>
      </c>
      <c r="AH3839">
        <v>33.180578785380398</v>
      </c>
      <c r="AI3839">
        <v>91.9056673726935</v>
      </c>
      <c r="AJ3839">
        <v>87.4840360272336</v>
      </c>
      <c r="AK3839">
        <v>33.230973754053103</v>
      </c>
    </row>
    <row r="3840" spans="1:37" x14ac:dyDescent="0.2">
      <c r="A3840" t="str">
        <f>"20200111155625119"</f>
        <v>20200111155625119</v>
      </c>
      <c r="B3840" t="str">
        <f>"1578729385116821"</f>
        <v>1578729385116821</v>
      </c>
      <c r="C3840" t="s">
        <v>37</v>
      </c>
      <c r="D3840">
        <v>5.0836110000000003</v>
      </c>
      <c r="E3840">
        <v>0.53972679999999995</v>
      </c>
      <c r="F3840" t="s">
        <v>56</v>
      </c>
      <c r="G3840">
        <v>-201.39940000000001</v>
      </c>
      <c r="H3840" s="1">
        <v>2.7526940000000002E-6</v>
      </c>
      <c r="I3840">
        <v>215.58690000000001</v>
      </c>
      <c r="J3840">
        <v>-234.7088</v>
      </c>
      <c r="K3840">
        <v>1.105078</v>
      </c>
      <c r="L3840">
        <v>215.80590000000001</v>
      </c>
      <c r="M3840">
        <v>0.99914329999999996</v>
      </c>
      <c r="N3840">
        <v>0</v>
      </c>
      <c r="O3840">
        <v>3.8731179999999997E-2</v>
      </c>
      <c r="P3840">
        <v>0.99506340000000004</v>
      </c>
      <c r="Q3840">
        <v>2.9019420000000001E-2</v>
      </c>
      <c r="R3840">
        <v>9.4903039999999994E-2</v>
      </c>
      <c r="S3840">
        <v>3.0198209999999999</v>
      </c>
      <c r="T3840">
        <v>-9.9154590000000001E-2</v>
      </c>
      <c r="U3840">
        <v>-1.843262E-2</v>
      </c>
      <c r="V3840">
        <v>-5.6306309999999998E-2</v>
      </c>
      <c r="W3840">
        <v>4.3541789999999997E-2</v>
      </c>
      <c r="X3840">
        <v>0.99746360000000001</v>
      </c>
      <c r="Y3840">
        <v>4.4788750000000002E-2</v>
      </c>
      <c r="Z3840">
        <v>-2.006407E-3</v>
      </c>
      <c r="AA3840">
        <v>0.99899450000000001</v>
      </c>
      <c r="AB3840">
        <v>34</v>
      </c>
      <c r="AC3840">
        <v>33.309399999999897</v>
      </c>
      <c r="AD3840">
        <v>-1.1050752473059999</v>
      </c>
      <c r="AE3840">
        <v>-0.21899999999999401</v>
      </c>
      <c r="AF3840">
        <v>1.50742606520468</v>
      </c>
      <c r="AG3840">
        <v>-1.1050752473059999</v>
      </c>
      <c r="AH3840">
        <v>33.239335126484598</v>
      </c>
      <c r="AI3840">
        <v>91.902201008304402</v>
      </c>
      <c r="AJ3840">
        <v>87.403377270617199</v>
      </c>
      <c r="AK3840">
        <v>33.291844711505803</v>
      </c>
    </row>
    <row r="3841" spans="1:37" x14ac:dyDescent="0.2">
      <c r="A3841" t="str">
        <f>"20200111155625141"</f>
        <v>20200111155625141</v>
      </c>
      <c r="B3841" t="str">
        <f>"1578729385136340"</f>
        <v>1578729385136340</v>
      </c>
      <c r="C3841" t="s">
        <v>37</v>
      </c>
      <c r="D3841">
        <v>5.0719279999999998</v>
      </c>
      <c r="E3841">
        <v>0.53991869999999997</v>
      </c>
      <c r="F3841" t="s">
        <v>56</v>
      </c>
      <c r="G3841">
        <v>-200.89099999999999</v>
      </c>
      <c r="H3841" s="1">
        <v>2.5315089999999999E-6</v>
      </c>
      <c r="I3841">
        <v>215.5384</v>
      </c>
      <c r="J3841">
        <v>-234.37700000000001</v>
      </c>
      <c r="K3841">
        <v>1.1050879999999901</v>
      </c>
      <c r="L3841">
        <v>215.81899999999999</v>
      </c>
      <c r="M3841">
        <v>0.99913529999999995</v>
      </c>
      <c r="N3841">
        <v>0</v>
      </c>
      <c r="O3841">
        <v>3.8938609999999999E-2</v>
      </c>
      <c r="P3841">
        <v>0.99520620000000004</v>
      </c>
      <c r="Q3841">
        <v>2.9475979999999999E-2</v>
      </c>
      <c r="R3841">
        <v>9.3250600000000003E-2</v>
      </c>
      <c r="S3841">
        <v>3.0200499999999999</v>
      </c>
      <c r="T3841">
        <v>-9.8687170000000005E-2</v>
      </c>
      <c r="U3841">
        <v>-2.3895260000000001E-2</v>
      </c>
      <c r="V3841">
        <v>-5.4442560000000001E-2</v>
      </c>
      <c r="W3841">
        <v>4.3996739999999999E-2</v>
      </c>
      <c r="X3841">
        <v>0.99754709999999902</v>
      </c>
      <c r="Y3841">
        <v>4.6801719999999998E-2</v>
      </c>
      <c r="Z3841">
        <v>-2.0364549999999999E-3</v>
      </c>
      <c r="AA3841">
        <v>0.99890210000000002</v>
      </c>
      <c r="AB3841">
        <v>34</v>
      </c>
      <c r="AC3841">
        <v>33.485999999999997</v>
      </c>
      <c r="AD3841">
        <v>-1.1050854684909901</v>
      </c>
      <c r="AE3841">
        <v>-0.280600000000021</v>
      </c>
      <c r="AF3841">
        <v>1.5827003759107301</v>
      </c>
      <c r="AG3841">
        <v>-1.1050854684909901</v>
      </c>
      <c r="AH3841">
        <v>33.413284006182302</v>
      </c>
      <c r="AI3841">
        <v>91.892146492495598</v>
      </c>
      <c r="AJ3841">
        <v>87.288074925704706</v>
      </c>
      <c r="AK3841">
        <v>33.468996137475898</v>
      </c>
    </row>
    <row r="3842" spans="1:37" x14ac:dyDescent="0.2">
      <c r="A3842" t="str">
        <f>"20200111155625163"</f>
        <v>20200111155625163</v>
      </c>
      <c r="B3842" t="str">
        <f>"1578729385156837"</f>
        <v>1578729385156837</v>
      </c>
      <c r="C3842" t="s">
        <v>37</v>
      </c>
      <c r="D3842">
        <v>5.1074000000000002</v>
      </c>
      <c r="E3842">
        <v>0.54011619999999905</v>
      </c>
      <c r="F3842" t="s">
        <v>56</v>
      </c>
      <c r="G3842">
        <v>-200.2826</v>
      </c>
      <c r="H3842" s="1">
        <v>2.2672629999999999E-6</v>
      </c>
      <c r="I3842">
        <v>215.47460000000001</v>
      </c>
      <c r="J3842">
        <v>-234.03880000000001</v>
      </c>
      <c r="K3842">
        <v>1.1050899999999999</v>
      </c>
      <c r="L3842">
        <v>215.83240000000001</v>
      </c>
      <c r="M3842">
        <v>0.99912710000000005</v>
      </c>
      <c r="N3842">
        <v>0</v>
      </c>
      <c r="O3842">
        <v>3.9150329999999997E-2</v>
      </c>
      <c r="P3842">
        <v>0.99540339999999905</v>
      </c>
      <c r="Q3842">
        <v>3.0514799999999901E-2</v>
      </c>
      <c r="R3842">
        <v>9.0779960000000007E-2</v>
      </c>
      <c r="S3842">
        <v>3.020203</v>
      </c>
      <c r="T3842">
        <v>-9.7892400000000004E-2</v>
      </c>
      <c r="U3842">
        <v>-3.0502319999999999E-2</v>
      </c>
      <c r="V3842">
        <v>-5.1755309999999999E-2</v>
      </c>
      <c r="W3842">
        <v>4.503426E-2</v>
      </c>
      <c r="X3842">
        <v>0.99764390000000003</v>
      </c>
      <c r="Y3842">
        <v>4.9197280000000003E-2</v>
      </c>
      <c r="Z3842">
        <v>-2.0656250000000002E-3</v>
      </c>
      <c r="AA3842">
        <v>0.99878690000000003</v>
      </c>
      <c r="AB3842">
        <v>34</v>
      </c>
      <c r="AC3842">
        <v>33.7562</v>
      </c>
      <c r="AD3842">
        <v>-1.1050877327369999</v>
      </c>
      <c r="AE3842">
        <v>-0.35779999999999701</v>
      </c>
      <c r="AF3842">
        <v>1.67743473783179</v>
      </c>
      <c r="AG3842">
        <v>-1.1050877327369999</v>
      </c>
      <c r="AH3842">
        <v>33.680213102103899</v>
      </c>
      <c r="AI3842">
        <v>91.876943492185305</v>
      </c>
      <c r="AJ3842">
        <v>87.1487537406787</v>
      </c>
      <c r="AK3842">
        <v>33.740061659692699</v>
      </c>
    </row>
    <row r="3843" spans="1:37" x14ac:dyDescent="0.2">
      <c r="A3843" t="str">
        <f>"20200111155625186"</f>
        <v>20200111155625186</v>
      </c>
      <c r="B3843" t="str">
        <f>"1578729385176356"</f>
        <v>1578729385176356</v>
      </c>
      <c r="C3843" t="s">
        <v>37</v>
      </c>
      <c r="D3843">
        <v>5.1602819999999996</v>
      </c>
      <c r="E3843">
        <v>0.54018980000000005</v>
      </c>
      <c r="F3843" t="s">
        <v>56</v>
      </c>
      <c r="G3843">
        <v>-198.9897</v>
      </c>
      <c r="H3843" s="1">
        <v>2.303581E-6</v>
      </c>
      <c r="I3843">
        <v>215.37569999999999</v>
      </c>
      <c r="J3843">
        <v>-233.70670000000001</v>
      </c>
      <c r="K3843">
        <v>1.1050990000000001</v>
      </c>
      <c r="L3843">
        <v>215.84559999999999</v>
      </c>
      <c r="M3843">
        <v>0.99911899999999998</v>
      </c>
      <c r="N3843">
        <v>0</v>
      </c>
      <c r="O3843">
        <v>3.935789E-2</v>
      </c>
      <c r="P3843">
        <v>0.99566049999999995</v>
      </c>
      <c r="Q3843">
        <v>3.2669289999999997E-2</v>
      </c>
      <c r="R3843">
        <v>8.7139460000000002E-2</v>
      </c>
      <c r="S3843">
        <v>3.0203700000000002</v>
      </c>
      <c r="T3843">
        <v>-9.5231529999999995E-2</v>
      </c>
      <c r="U3843">
        <v>-3.9352419999999999E-2</v>
      </c>
      <c r="V3843">
        <v>-4.7901159999999998E-2</v>
      </c>
      <c r="W3843">
        <v>4.7188699999999903E-2</v>
      </c>
      <c r="X3843">
        <v>0.99773679999999998</v>
      </c>
      <c r="Y3843">
        <v>5.2330960000000003E-2</v>
      </c>
      <c r="Z3843">
        <v>-2.0653049999999999E-3</v>
      </c>
      <c r="AA3843">
        <v>0.99862770000000001</v>
      </c>
      <c r="AB3843">
        <v>34</v>
      </c>
      <c r="AC3843">
        <v>34.716999999999999</v>
      </c>
      <c r="AD3843">
        <v>-1.1050966964190001</v>
      </c>
      <c r="AE3843">
        <v>-0.46989999999999499</v>
      </c>
      <c r="AF3843">
        <v>1.8342105128527499</v>
      </c>
      <c r="AG3843">
        <v>-1.1050966964190001</v>
      </c>
      <c r="AH3843">
        <v>34.6365095810377</v>
      </c>
      <c r="AI3843">
        <v>91.824877860243802</v>
      </c>
      <c r="AJ3843">
        <v>86.968677008791104</v>
      </c>
      <c r="AK3843">
        <v>34.702642015719903</v>
      </c>
    </row>
    <row r="3844" spans="1:37" x14ac:dyDescent="0.2">
      <c r="A3844" t="str">
        <f>"20200111155625208"</f>
        <v>20200111155625208</v>
      </c>
      <c r="B3844" t="str">
        <f>"1578729385196852"</f>
        <v>1578729385196852</v>
      </c>
      <c r="C3844" t="s">
        <v>37</v>
      </c>
      <c r="D3844">
        <v>5.018383</v>
      </c>
      <c r="E3844">
        <v>0.54032760000000002</v>
      </c>
      <c r="F3844" t="s">
        <v>56</v>
      </c>
      <c r="G3844">
        <v>-196.26609999999999</v>
      </c>
      <c r="H3844" s="1">
        <v>2.8009839999999999E-6</v>
      </c>
      <c r="I3844">
        <v>215.21250000000001</v>
      </c>
      <c r="J3844">
        <v>-233.36959999999999</v>
      </c>
      <c r="K3844">
        <v>1.1051010000000001</v>
      </c>
      <c r="L3844">
        <v>215.85910000000001</v>
      </c>
      <c r="M3844">
        <v>0.99911090000000002</v>
      </c>
      <c r="N3844">
        <v>0</v>
      </c>
      <c r="O3844">
        <v>3.9565049999999997E-2</v>
      </c>
      <c r="P3844">
        <v>0.99590339999999999</v>
      </c>
      <c r="Q3844">
        <v>3.445376E-2</v>
      </c>
      <c r="R3844">
        <v>8.3603670000000005E-2</v>
      </c>
      <c r="S3844">
        <v>3.0204469999999999</v>
      </c>
      <c r="T3844">
        <v>-8.9151259999999996E-2</v>
      </c>
      <c r="U3844">
        <v>-5.1071169999999999E-2</v>
      </c>
      <c r="V3844">
        <v>-4.415235E-2</v>
      </c>
      <c r="W3844">
        <v>4.8972870000000002E-2</v>
      </c>
      <c r="X3844">
        <v>0.99782380000000004</v>
      </c>
      <c r="Y3844">
        <v>5.641463E-2</v>
      </c>
      <c r="Z3844">
        <v>-1.9997779999999998E-3</v>
      </c>
      <c r="AA3844">
        <v>0.9984054</v>
      </c>
      <c r="AB3844">
        <v>34</v>
      </c>
      <c r="AC3844">
        <v>37.103499999999997</v>
      </c>
      <c r="AD3844">
        <v>-1.105098199016</v>
      </c>
      <c r="AE3844">
        <v>-0.64660000000000595</v>
      </c>
      <c r="AF3844">
        <v>2.1123777615389199</v>
      </c>
      <c r="AG3844">
        <v>-1.105098199016</v>
      </c>
      <c r="AH3844">
        <v>37.016029300915399</v>
      </c>
      <c r="AI3844">
        <v>91.707257785922394</v>
      </c>
      <c r="AJ3844">
        <v>86.733868902418095</v>
      </c>
      <c r="AK3844">
        <v>37.092719057021696</v>
      </c>
    </row>
    <row r="3845" spans="1:37" x14ac:dyDescent="0.2">
      <c r="A3845" t="str">
        <f>"20200111155625231"</f>
        <v>20200111155625231</v>
      </c>
      <c r="B3845" t="str">
        <f>"1578729385227109"</f>
        <v>1578729385227109</v>
      </c>
      <c r="C3845" t="s">
        <v>37</v>
      </c>
      <c r="D3845">
        <v>4.9453019999999999</v>
      </c>
      <c r="E3845">
        <v>0.54045299999999996</v>
      </c>
      <c r="F3845" t="s">
        <v>56</v>
      </c>
      <c r="G3845">
        <v>-193.84010000000001</v>
      </c>
      <c r="H3845" s="1">
        <v>3.246434E-6</v>
      </c>
      <c r="I3845">
        <v>215.03960000000001</v>
      </c>
      <c r="J3845">
        <v>-233.0334</v>
      </c>
      <c r="K3845">
        <v>1.1050799999999901</v>
      </c>
      <c r="L3845">
        <v>215.87260000000001</v>
      </c>
      <c r="M3845">
        <v>0.99910350000000003</v>
      </c>
      <c r="N3845">
        <v>0</v>
      </c>
      <c r="O3845">
        <v>3.9752900000000001E-2</v>
      </c>
      <c r="P3845">
        <v>0.99626389999999998</v>
      </c>
      <c r="Q3845">
        <v>3.4451790000000003E-2</v>
      </c>
      <c r="R3845">
        <v>7.9192219999999994E-2</v>
      </c>
      <c r="S3845">
        <v>3.020508</v>
      </c>
      <c r="T3845">
        <v>-8.4442139999999999E-2</v>
      </c>
      <c r="U3845">
        <v>-6.2622070000000002E-2</v>
      </c>
      <c r="V3845">
        <v>-3.954092E-2</v>
      </c>
      <c r="W3845">
        <v>4.8972870000000002E-2</v>
      </c>
      <c r="X3845">
        <v>0.99801709999999999</v>
      </c>
      <c r="Y3845">
        <v>6.04209E-2</v>
      </c>
      <c r="Z3845">
        <v>-1.9553349999999999E-3</v>
      </c>
      <c r="AA3845">
        <v>0.99817109999999998</v>
      </c>
      <c r="AB3845">
        <v>34</v>
      </c>
      <c r="AC3845">
        <v>39.193300000000001</v>
      </c>
      <c r="AD3845">
        <v>-1.10507675356599</v>
      </c>
      <c r="AE3845">
        <v>-0.83299999999999796</v>
      </c>
      <c r="AF3845">
        <v>2.3886557494351499</v>
      </c>
      <c r="AG3845">
        <v>-1.10507675356599</v>
      </c>
      <c r="AH3845">
        <v>39.098126508201403</v>
      </c>
      <c r="AI3845">
        <v>91.615976220308795</v>
      </c>
      <c r="AJ3845">
        <v>86.503924587896407</v>
      </c>
      <c r="AK3845">
        <v>39.186609541677697</v>
      </c>
    </row>
    <row r="3846" spans="1:37" x14ac:dyDescent="0.2">
      <c r="A3846" t="str">
        <f>"20200111155625253"</f>
        <v>20200111155625253</v>
      </c>
      <c r="B3846" t="str">
        <f>"1578729385246628"</f>
        <v>1578729385246628</v>
      </c>
      <c r="C3846" t="s">
        <v>37</v>
      </c>
      <c r="D3846">
        <v>4.9234939999999998</v>
      </c>
      <c r="E3846">
        <v>0.59602129999999998</v>
      </c>
      <c r="F3846" t="s">
        <v>56</v>
      </c>
      <c r="G3846">
        <v>-193.72389999999999</v>
      </c>
      <c r="H3846" s="1">
        <v>3.2815069999999998E-6</v>
      </c>
      <c r="I3846">
        <v>214.8741</v>
      </c>
      <c r="J3846">
        <v>-232.69059999999999</v>
      </c>
      <c r="K3846">
        <v>1.1050450000000001</v>
      </c>
      <c r="L3846">
        <v>215.88640000000001</v>
      </c>
      <c r="M3846">
        <v>0.99909749999999997</v>
      </c>
      <c r="N3846">
        <v>0</v>
      </c>
      <c r="O3846">
        <v>3.9907779999999997E-2</v>
      </c>
      <c r="P3846">
        <v>0.99658860000000005</v>
      </c>
      <c r="Q3846">
        <v>3.3207819999999999E-2</v>
      </c>
      <c r="R3846">
        <v>7.555423E-2</v>
      </c>
      <c r="S3846">
        <v>3.0202939999999998</v>
      </c>
      <c r="T3846">
        <v>-8.4907049999999998E-2</v>
      </c>
      <c r="U3846">
        <v>-7.6721189999999995E-2</v>
      </c>
      <c r="V3846">
        <v>-3.5734229999999999E-2</v>
      </c>
      <c r="W3846">
        <v>4.7731679999999999E-2</v>
      </c>
      <c r="X3846">
        <v>0.99822080000000002</v>
      </c>
      <c r="Y3846">
        <v>6.5231079999999997E-2</v>
      </c>
      <c r="Z3846">
        <v>-2.0380950000000002E-3</v>
      </c>
      <c r="AA3846">
        <v>0.99786810000000004</v>
      </c>
      <c r="AB3846">
        <v>34</v>
      </c>
      <c r="AC3846">
        <v>38.966700000000003</v>
      </c>
      <c r="AD3846">
        <v>-1.1050417184929999</v>
      </c>
      <c r="AE3846">
        <v>-1.01230000000001</v>
      </c>
      <c r="AF3846">
        <v>2.5646712603531099</v>
      </c>
      <c r="AG3846">
        <v>-1.1050417184929999</v>
      </c>
      <c r="AH3846">
        <v>38.864014564590903</v>
      </c>
      <c r="AI3846">
        <v>91.625150468900898</v>
      </c>
      <c r="AJ3846">
        <v>86.224474202010498</v>
      </c>
      <c r="AK3846">
        <v>38.9642179948478</v>
      </c>
    </row>
    <row r="3847" spans="1:37" x14ac:dyDescent="0.2">
      <c r="A3847" t="str">
        <f>"20200111155625275"</f>
        <v>20200111155625275</v>
      </c>
      <c r="B3847" t="str">
        <f>"1578729385266148"</f>
        <v>1578729385266148</v>
      </c>
      <c r="C3847" t="s">
        <v>37</v>
      </c>
      <c r="D3847">
        <v>3.9034870000000002</v>
      </c>
      <c r="E3847">
        <v>0.62088889999999997</v>
      </c>
      <c r="F3847" t="s">
        <v>56</v>
      </c>
      <c r="G3847">
        <v>-192.64949999999999</v>
      </c>
      <c r="H3847" s="1">
        <v>4.1131699999999901E-6</v>
      </c>
      <c r="I3847">
        <v>208.93119999999999</v>
      </c>
      <c r="J3847">
        <v>-232.3638</v>
      </c>
      <c r="K3847">
        <v>1.1050009999999999</v>
      </c>
      <c r="L3847">
        <v>215.89959999999999</v>
      </c>
      <c r="M3847">
        <v>0.99909309999999996</v>
      </c>
      <c r="N3847">
        <v>0</v>
      </c>
      <c r="O3847">
        <v>4.0014929999999997E-2</v>
      </c>
      <c r="P3847">
        <v>0.99691980000000002</v>
      </c>
      <c r="Q3847">
        <v>3.034249E-2</v>
      </c>
      <c r="R3847">
        <v>7.2323609999999997E-2</v>
      </c>
      <c r="S3847">
        <v>3.0532840000000001</v>
      </c>
      <c r="T3847">
        <v>-8.4263439999999995E-2</v>
      </c>
      <c r="U3847">
        <v>-0.53036499999999998</v>
      </c>
      <c r="V3847">
        <v>-3.2382130000000002E-2</v>
      </c>
      <c r="W3847">
        <v>4.4869909999999999E-2</v>
      </c>
      <c r="X3847">
        <v>0.99846789999999996</v>
      </c>
      <c r="Y3847">
        <v>0.21033939999999901</v>
      </c>
      <c r="Z3847">
        <v>-3.97708099999999E-3</v>
      </c>
      <c r="AA3847">
        <v>0.9776203</v>
      </c>
      <c r="AB3847">
        <v>34</v>
      </c>
      <c r="AC3847">
        <v>39.714300000000001</v>
      </c>
      <c r="AD3847">
        <v>-1.10499688683</v>
      </c>
      <c r="AE3847">
        <v>-6.9683999999999999</v>
      </c>
      <c r="AF3847">
        <v>8.5457328101261094</v>
      </c>
      <c r="AG3847">
        <v>-1.10499688683</v>
      </c>
      <c r="AH3847">
        <v>39.3740445709062</v>
      </c>
      <c r="AI3847">
        <v>91.5709755669141</v>
      </c>
      <c r="AJ3847">
        <v>77.754461266522895</v>
      </c>
      <c r="AK3847">
        <v>40.305904694643502</v>
      </c>
    </row>
    <row r="3848" spans="1:37" x14ac:dyDescent="0.2">
      <c r="A3848" t="str">
        <f>"20200111155625298"</f>
        <v>20200111155625298</v>
      </c>
      <c r="B3848" t="str">
        <f>"1578729385286644"</f>
        <v>1578729385286644</v>
      </c>
      <c r="C3848" t="s">
        <v>37</v>
      </c>
      <c r="D3848">
        <v>3.9204080000000001</v>
      </c>
      <c r="E3848">
        <v>0.63108059999999999</v>
      </c>
      <c r="F3848" t="s">
        <v>69</v>
      </c>
      <c r="G3848">
        <v>-168.41290000000001</v>
      </c>
      <c r="H3848">
        <v>1.356249</v>
      </c>
      <c r="I3848">
        <v>200.4014</v>
      </c>
      <c r="J3848">
        <v>-232.0318</v>
      </c>
      <c r="K3848">
        <v>1.1049519999999999</v>
      </c>
      <c r="L3848">
        <v>215.91299999999899</v>
      </c>
      <c r="M3848">
        <v>0.99909059999999905</v>
      </c>
      <c r="N3848">
        <v>0</v>
      </c>
      <c r="O3848">
        <v>4.0079179999999999E-2</v>
      </c>
      <c r="P3848">
        <v>0.99723139999999999</v>
      </c>
      <c r="Q3848">
        <v>2.6374890000000002E-2</v>
      </c>
      <c r="R3848">
        <v>6.9528549999999995E-2</v>
      </c>
      <c r="S3848">
        <v>3.0627589999999998</v>
      </c>
      <c r="T3848">
        <v>1.203454E-2</v>
      </c>
      <c r="U3848">
        <v>-0.74224849999999998</v>
      </c>
      <c r="V3848">
        <v>-2.9507060000000002E-2</v>
      </c>
      <c r="W3848">
        <v>4.0905810000000001E-2</v>
      </c>
      <c r="X3848">
        <v>0.99872719999999904</v>
      </c>
      <c r="Y3848">
        <v>0.2742928</v>
      </c>
      <c r="Z3848">
        <v>6.866083E-4</v>
      </c>
      <c r="AA3848">
        <v>0.961645999999999</v>
      </c>
      <c r="AB3848">
        <v>34</v>
      </c>
      <c r="AC3848">
        <v>63.618899999999996</v>
      </c>
      <c r="AD3848">
        <v>0.25129699999999999</v>
      </c>
      <c r="AE3848">
        <v>-15.5115999999999</v>
      </c>
      <c r="AF3848">
        <v>18.048931281663101</v>
      </c>
      <c r="AG3848">
        <v>0.25129699999999999</v>
      </c>
      <c r="AH3848">
        <v>62.945086812120699</v>
      </c>
      <c r="AI3848">
        <v>89.780118789142193</v>
      </c>
      <c r="AJ3848">
        <v>74.000237119481497</v>
      </c>
      <c r="AK3848">
        <v>65.482142790060095</v>
      </c>
    </row>
    <row r="3849" spans="1:37" x14ac:dyDescent="0.2">
      <c r="A3849" t="str">
        <f>"20200111155625320"</f>
        <v>20200111155625320</v>
      </c>
      <c r="B3849" t="str">
        <f>"1578729385316901"</f>
        <v>1578729385316901</v>
      </c>
      <c r="C3849" t="s">
        <v>37</v>
      </c>
      <c r="D3849">
        <v>3.9281649999999999</v>
      </c>
      <c r="E3849">
        <v>0.63387579999999999</v>
      </c>
      <c r="F3849" t="s">
        <v>69</v>
      </c>
      <c r="G3849">
        <v>-168.41380000000001</v>
      </c>
      <c r="H3849">
        <v>2.0002080000000002</v>
      </c>
      <c r="I3849">
        <v>198.61170000000001</v>
      </c>
      <c r="J3849">
        <v>-231.69470000000001</v>
      </c>
      <c r="K3849">
        <v>1.104887</v>
      </c>
      <c r="L3849">
        <v>215.9265</v>
      </c>
      <c r="M3849">
        <v>0.999090699999999</v>
      </c>
      <c r="N3849">
        <v>0</v>
      </c>
      <c r="O3849">
        <v>4.0079410000000003E-2</v>
      </c>
      <c r="P3849">
        <v>0.99747090000000005</v>
      </c>
      <c r="Q3849">
        <v>2.217593E-2</v>
      </c>
      <c r="R3849">
        <v>6.7528870000000005E-2</v>
      </c>
      <c r="S3849">
        <v>3.0653229999999998</v>
      </c>
      <c r="T3849">
        <v>4.3137910000000002E-2</v>
      </c>
      <c r="U3849">
        <v>-0.83363339999999997</v>
      </c>
      <c r="V3849">
        <v>-2.7494169999999998E-2</v>
      </c>
      <c r="W3849">
        <v>3.6709470000000001E-2</v>
      </c>
      <c r="X3849">
        <v>0.99894769999999899</v>
      </c>
      <c r="Y3849">
        <v>0.3008612</v>
      </c>
      <c r="Z3849">
        <v>2.6337719999999999E-3</v>
      </c>
      <c r="AA3849">
        <v>0.95366430000000002</v>
      </c>
      <c r="AB3849">
        <v>34</v>
      </c>
      <c r="AC3849">
        <v>63.280900000000003</v>
      </c>
      <c r="AD3849">
        <v>0.89532099999999903</v>
      </c>
      <c r="AE3849">
        <v>-17.314799999999899</v>
      </c>
      <c r="AF3849">
        <v>19.8337201525142</v>
      </c>
      <c r="AG3849">
        <v>0.89532099999999903</v>
      </c>
      <c r="AH3849">
        <v>62.524358430282099</v>
      </c>
      <c r="AI3849">
        <v>89.218002575179</v>
      </c>
      <c r="AJ3849">
        <v>72.400145409110905</v>
      </c>
      <c r="AK3849">
        <v>65.600864719145903</v>
      </c>
    </row>
    <row r="3850" spans="1:37" x14ac:dyDescent="0.2">
      <c r="A3850" t="str">
        <f>"20200111155625343"</f>
        <v>20200111155625343</v>
      </c>
      <c r="B3850" t="str">
        <f>"1578729385336420"</f>
        <v>1578729385336420</v>
      </c>
      <c r="C3850" t="s">
        <v>37</v>
      </c>
      <c r="D3850">
        <v>3.945662</v>
      </c>
      <c r="E3850">
        <v>0.63740369999999902</v>
      </c>
      <c r="F3850" t="s">
        <v>69</v>
      </c>
      <c r="G3850">
        <v>-168.41390000000001</v>
      </c>
      <c r="H3850">
        <v>1.912139</v>
      </c>
      <c r="I3850">
        <v>198.12620000000001</v>
      </c>
      <c r="J3850">
        <v>-231.35839999999999</v>
      </c>
      <c r="K3850">
        <v>1.10483</v>
      </c>
      <c r="L3850">
        <v>215.93989999999999</v>
      </c>
      <c r="M3850">
        <v>0.99909380000000003</v>
      </c>
      <c r="N3850">
        <v>0</v>
      </c>
      <c r="O3850">
        <v>4.0005150000000003E-2</v>
      </c>
      <c r="P3850">
        <v>0.99758159999999896</v>
      </c>
      <c r="Q3850">
        <v>1.8850740000000001E-2</v>
      </c>
      <c r="R3850">
        <v>6.6901390000000005E-2</v>
      </c>
      <c r="S3850">
        <v>3.06509399999999</v>
      </c>
      <c r="T3850">
        <v>3.9101959999999998E-2</v>
      </c>
      <c r="U3850">
        <v>-0.86218259999999902</v>
      </c>
      <c r="V3850">
        <v>-2.6932850000000001E-2</v>
      </c>
      <c r="W3850">
        <v>3.3385570000000003E-2</v>
      </c>
      <c r="X3850">
        <v>0.99907959999999996</v>
      </c>
      <c r="Y3850">
        <v>0.30905339999999998</v>
      </c>
      <c r="Z3850">
        <v>2.4349900000000002E-3</v>
      </c>
      <c r="AA3850">
        <v>0.95104159999999904</v>
      </c>
      <c r="AB3850">
        <v>33</v>
      </c>
      <c r="AC3850">
        <v>62.944499999999898</v>
      </c>
      <c r="AD3850">
        <v>0.80730900000000005</v>
      </c>
      <c r="AE3850">
        <v>-17.813699999999901</v>
      </c>
      <c r="AF3850">
        <v>20.314712772547701</v>
      </c>
      <c r="AG3850">
        <v>0.80730900000000005</v>
      </c>
      <c r="AH3850">
        <v>62.171916771088497</v>
      </c>
      <c r="AI3850">
        <v>89.292839136618696</v>
      </c>
      <c r="AJ3850">
        <v>71.905164022340998</v>
      </c>
      <c r="AK3850">
        <v>65.411669737469296</v>
      </c>
    </row>
    <row r="3851" spans="1:37" x14ac:dyDescent="0.2">
      <c r="A3851" t="str">
        <f>"20200111155625364"</f>
        <v>20200111155625364</v>
      </c>
      <c r="B3851" t="str">
        <f>"1578729385356917"</f>
        <v>1578729385356917</v>
      </c>
      <c r="C3851" t="s">
        <v>37</v>
      </c>
      <c r="D3851">
        <v>4.8849099999999996</v>
      </c>
      <c r="E3851">
        <v>0.63415969999999999</v>
      </c>
      <c r="F3851" t="s">
        <v>69</v>
      </c>
      <c r="G3851">
        <v>-168.41419999999999</v>
      </c>
      <c r="H3851">
        <v>2.236011</v>
      </c>
      <c r="I3851">
        <v>197.60720000000001</v>
      </c>
      <c r="J3851">
        <v>-231.03059999999999</v>
      </c>
      <c r="K3851">
        <v>1.104776</v>
      </c>
      <c r="L3851">
        <v>215.9529</v>
      </c>
      <c r="M3851">
        <v>0.99909910000000002</v>
      </c>
      <c r="N3851">
        <v>0</v>
      </c>
      <c r="O3851">
        <v>3.9872970000000001E-2</v>
      </c>
      <c r="P3851">
        <v>0.99774240000000003</v>
      </c>
      <c r="Q3851">
        <v>1.7167539999999998E-2</v>
      </c>
      <c r="R3851">
        <v>6.4927349999999995E-2</v>
      </c>
      <c r="S3851">
        <v>3.0661320000000001</v>
      </c>
      <c r="T3851">
        <v>5.5103539999999999E-2</v>
      </c>
      <c r="U3851">
        <v>-0.89302060000000005</v>
      </c>
      <c r="V3851">
        <v>-2.5082420000000001E-2</v>
      </c>
      <c r="W3851">
        <v>3.1703229999999999E-2</v>
      </c>
      <c r="X3851">
        <v>0.99918259999999903</v>
      </c>
      <c r="Y3851">
        <v>0.3176447</v>
      </c>
      <c r="Z3851">
        <v>3.498882E-3</v>
      </c>
      <c r="AA3851">
        <v>0.94820339999999903</v>
      </c>
      <c r="AB3851">
        <v>33</v>
      </c>
      <c r="AC3851">
        <v>62.616399999999999</v>
      </c>
      <c r="AD3851">
        <v>1.131235</v>
      </c>
      <c r="AE3851">
        <v>-18.345699999999901</v>
      </c>
      <c r="AF3851">
        <v>20.821814408291502</v>
      </c>
      <c r="AG3851">
        <v>1.131235</v>
      </c>
      <c r="AH3851">
        <v>61.816438513091498</v>
      </c>
      <c r="AI3851">
        <v>89.006446324183401</v>
      </c>
      <c r="AJ3851">
        <v>71.384778212204793</v>
      </c>
      <c r="AK3851">
        <v>65.238789982045105</v>
      </c>
    </row>
    <row r="3852" spans="1:37" x14ac:dyDescent="0.2">
      <c r="A3852" t="str">
        <f>"20200111155625387"</f>
        <v>20200111155625387</v>
      </c>
      <c r="B3852" t="str">
        <f>"1578729385376436"</f>
        <v>1578729385376436</v>
      </c>
      <c r="C3852" t="s">
        <v>37</v>
      </c>
      <c r="D3852">
        <v>3.9639629999999899</v>
      </c>
      <c r="E3852">
        <v>0.63533009999999901</v>
      </c>
      <c r="F3852" t="s">
        <v>69</v>
      </c>
      <c r="G3852">
        <v>-168.41390000000001</v>
      </c>
      <c r="H3852">
        <v>1.9422790000000001</v>
      </c>
      <c r="I3852">
        <v>198.108</v>
      </c>
      <c r="J3852">
        <v>-230.70060000000001</v>
      </c>
      <c r="K3852">
        <v>1.104719</v>
      </c>
      <c r="L3852">
        <v>215.9659</v>
      </c>
      <c r="M3852">
        <v>0.99910689999999902</v>
      </c>
      <c r="N3852">
        <v>0</v>
      </c>
      <c r="O3852">
        <v>3.9678119999999997E-2</v>
      </c>
      <c r="P3852">
        <v>0.99810789999999905</v>
      </c>
      <c r="Q3852">
        <v>1.5521419999999999E-2</v>
      </c>
      <c r="R3852">
        <v>5.9500459999999998E-2</v>
      </c>
      <c r="S3852">
        <v>3.062881</v>
      </c>
      <c r="T3852">
        <v>4.0967820000000002E-2</v>
      </c>
      <c r="U3852">
        <v>-0.87287899999999996</v>
      </c>
      <c r="V3852">
        <v>-1.9836949999999999E-2</v>
      </c>
      <c r="W3852">
        <v>3.005845E-2</v>
      </c>
      <c r="X3852">
        <v>0.99935130000000005</v>
      </c>
      <c r="Y3852">
        <v>0.31199149999999998</v>
      </c>
      <c r="Z3852">
        <v>2.5667329999999999E-3</v>
      </c>
      <c r="AA3852">
        <v>0.95008139999999996</v>
      </c>
      <c r="AB3852">
        <v>33</v>
      </c>
      <c r="AC3852">
        <v>62.286700000000003</v>
      </c>
      <c r="AD3852">
        <v>0.83755999999999997</v>
      </c>
      <c r="AE3852">
        <v>-17.857900000000001</v>
      </c>
      <c r="AF3852">
        <v>20.3121203437079</v>
      </c>
      <c r="AG3852">
        <v>0.83755999999999997</v>
      </c>
      <c r="AH3852">
        <v>61.518718244840002</v>
      </c>
      <c r="AI3852">
        <v>89.259307578680094</v>
      </c>
      <c r="AJ3852">
        <v>71.727919345082398</v>
      </c>
      <c r="AK3852">
        <v>64.790712560512006</v>
      </c>
    </row>
    <row r="3853" spans="1:37" x14ac:dyDescent="0.2">
      <c r="A3853" t="str">
        <f>"20200111155625410"</f>
        <v>20200111155625410</v>
      </c>
      <c r="B3853" t="str">
        <f>"1578729385406693"</f>
        <v>1578729385406693</v>
      </c>
      <c r="C3853" t="s">
        <v>37</v>
      </c>
      <c r="D3853">
        <v>4.0311690000000002</v>
      </c>
      <c r="E3853">
        <v>0.63756290000000004</v>
      </c>
      <c r="F3853" t="s">
        <v>69</v>
      </c>
      <c r="G3853">
        <v>-168.41409999999999</v>
      </c>
      <c r="H3853">
        <v>2.0519720000000001</v>
      </c>
      <c r="I3853">
        <v>197.65880000000001</v>
      </c>
      <c r="J3853">
        <v>-230.3596</v>
      </c>
      <c r="K3853">
        <v>1.104671</v>
      </c>
      <c r="L3853">
        <v>215.97919999999999</v>
      </c>
      <c r="M3853">
        <v>0.99911729999999999</v>
      </c>
      <c r="N3853">
        <v>0</v>
      </c>
      <c r="O3853">
        <v>3.9415020000000002E-2</v>
      </c>
      <c r="P3853">
        <v>0.99843079999999995</v>
      </c>
      <c r="Q3853">
        <v>1.5831649999999999E-2</v>
      </c>
      <c r="R3853">
        <v>5.3716050000000001E-2</v>
      </c>
      <c r="S3853">
        <v>3.0585330000000002</v>
      </c>
      <c r="T3853">
        <v>4.65157E-2</v>
      </c>
      <c r="U3853">
        <v>-0.89895630000000004</v>
      </c>
      <c r="V3853">
        <v>-1.430358E-2</v>
      </c>
      <c r="W3853">
        <v>3.036587E-2</v>
      </c>
      <c r="X3853">
        <v>0.99943649999999995</v>
      </c>
      <c r="Y3853">
        <v>0.31955159999999899</v>
      </c>
      <c r="Z3853">
        <v>2.967272E-3</v>
      </c>
      <c r="AA3853">
        <v>0.94756419999999997</v>
      </c>
      <c r="AB3853">
        <v>33</v>
      </c>
      <c r="AC3853">
        <v>61.945500000000003</v>
      </c>
      <c r="AD3853">
        <v>0.94730099999999995</v>
      </c>
      <c r="AE3853">
        <v>-18.3203999999999</v>
      </c>
      <c r="AF3853">
        <v>20.7435406303468</v>
      </c>
      <c r="AG3853">
        <v>0.94730099999999995</v>
      </c>
      <c r="AH3853">
        <v>61.162025546385799</v>
      </c>
      <c r="AI3853">
        <v>89.159660423114104</v>
      </c>
      <c r="AJ3853">
        <v>71.265263601477002</v>
      </c>
      <c r="AK3853">
        <v>64.590906682010598</v>
      </c>
    </row>
    <row r="3854" spans="1:37" x14ac:dyDescent="0.2">
      <c r="A3854" t="str">
        <f>"20200111155625433"</f>
        <v>20200111155625433</v>
      </c>
      <c r="B3854" t="str">
        <f>"1578729385426212"</f>
        <v>1578729385426212</v>
      </c>
      <c r="C3854" t="s">
        <v>37</v>
      </c>
      <c r="D3854">
        <v>4.8172829999999998</v>
      </c>
      <c r="E3854">
        <v>0.63647929999999997</v>
      </c>
      <c r="F3854" t="s">
        <v>69</v>
      </c>
      <c r="G3854">
        <v>-168.4144</v>
      </c>
      <c r="H3854">
        <v>2.2193800000000001</v>
      </c>
      <c r="I3854">
        <v>197.02520000000001</v>
      </c>
      <c r="J3854">
        <v>-230.02709999999999</v>
      </c>
      <c r="K3854">
        <v>1.104633</v>
      </c>
      <c r="L3854">
        <v>215.99189999999999</v>
      </c>
      <c r="M3854">
        <v>0.99912939999999995</v>
      </c>
      <c r="N3854">
        <v>0</v>
      </c>
      <c r="O3854">
        <v>3.9110359999999997E-2</v>
      </c>
      <c r="P3854">
        <v>0.99879899999999999</v>
      </c>
      <c r="Q3854">
        <v>1.8424469999999998E-2</v>
      </c>
      <c r="R3854">
        <v>4.5402789999999998E-2</v>
      </c>
      <c r="S3854">
        <v>3.0541079999999998</v>
      </c>
      <c r="T3854">
        <v>5.496061E-2</v>
      </c>
      <c r="U3854">
        <v>-0.93449400000000005</v>
      </c>
      <c r="V3854">
        <v>-6.2820380000000002E-3</v>
      </c>
      <c r="W3854">
        <v>3.2952839999999997E-2</v>
      </c>
      <c r="X3854">
        <v>0.99943719999999903</v>
      </c>
      <c r="Y3854">
        <v>0.32971329999999999</v>
      </c>
      <c r="Z3854">
        <v>3.5890840000000002E-3</v>
      </c>
      <c r="AA3854">
        <v>0.94407430000000003</v>
      </c>
      <c r="AB3854">
        <v>33</v>
      </c>
      <c r="AC3854">
        <v>61.612699999999897</v>
      </c>
      <c r="AD3854">
        <v>1.1147469999999999</v>
      </c>
      <c r="AE3854">
        <v>-18.9666999999999</v>
      </c>
      <c r="AF3854">
        <v>21.355748719119099</v>
      </c>
      <c r="AG3854">
        <v>1.1147469999999999</v>
      </c>
      <c r="AH3854">
        <v>60.805495634464698</v>
      </c>
      <c r="AI3854">
        <v>89.009042572160396</v>
      </c>
      <c r="AJ3854">
        <v>70.648004850620396</v>
      </c>
      <c r="AK3854">
        <v>64.456333773967302</v>
      </c>
    </row>
    <row r="3855" spans="1:37" x14ac:dyDescent="0.2">
      <c r="A3855" t="str">
        <f>"20200111155625454"</f>
        <v>20200111155625454</v>
      </c>
      <c r="B3855" t="str">
        <f>"1578729385446708"</f>
        <v>1578729385446708</v>
      </c>
      <c r="C3855" t="s">
        <v>37</v>
      </c>
      <c r="D3855">
        <v>4.9546769999999896</v>
      </c>
      <c r="E3855">
        <v>0.63290100000000005</v>
      </c>
      <c r="F3855" t="s">
        <v>69</v>
      </c>
      <c r="G3855">
        <v>-168.4144</v>
      </c>
      <c r="H3855">
        <v>2.15744599999999</v>
      </c>
      <c r="I3855">
        <v>196.75030000000001</v>
      </c>
      <c r="J3855">
        <v>-229.70070000000001</v>
      </c>
      <c r="K3855">
        <v>1.1046119999999999</v>
      </c>
      <c r="L3855">
        <v>216.0044</v>
      </c>
      <c r="M3855">
        <v>0.99914239999999999</v>
      </c>
      <c r="N3855">
        <v>0</v>
      </c>
      <c r="O3855">
        <v>3.8776720000000001E-2</v>
      </c>
      <c r="P3855">
        <v>0.99900339999999999</v>
      </c>
      <c r="Q3855">
        <v>2.2898089999999999E-2</v>
      </c>
      <c r="R3855">
        <v>3.8319550000000001E-2</v>
      </c>
      <c r="S3855">
        <v>3.04589799999999</v>
      </c>
      <c r="T3855">
        <v>5.2048799999999999E-2</v>
      </c>
      <c r="U3855">
        <v>-0.95123289999999905</v>
      </c>
      <c r="V3855">
        <v>4.754742E-4</v>
      </c>
      <c r="W3855">
        <v>3.7417079999999998E-2</v>
      </c>
      <c r="X3855">
        <v>0.99929959999999995</v>
      </c>
      <c r="Y3855">
        <v>0.33484429999999998</v>
      </c>
      <c r="Z3855">
        <v>3.4422680000000001E-3</v>
      </c>
      <c r="AA3855">
        <v>0.94226719999999897</v>
      </c>
      <c r="AB3855">
        <v>33</v>
      </c>
      <c r="AC3855">
        <v>61.286299999999997</v>
      </c>
      <c r="AD3855">
        <v>1.0528339999999901</v>
      </c>
      <c r="AE3855">
        <v>-19.254099999999902</v>
      </c>
      <c r="AF3855">
        <v>21.610543497618401</v>
      </c>
      <c r="AG3855">
        <v>1.0528339999999901</v>
      </c>
      <c r="AH3855">
        <v>60.477262820558899</v>
      </c>
      <c r="AI3855">
        <v>89.060801924131795</v>
      </c>
      <c r="AJ3855">
        <v>70.3364962709325</v>
      </c>
      <c r="AK3855">
        <v>64.231015622991507</v>
      </c>
    </row>
    <row r="3856" spans="1:37" x14ac:dyDescent="0.2">
      <c r="A3856" t="str">
        <f>"20200111155625476"</f>
        <v>20200111155625476</v>
      </c>
      <c r="B3856" t="str">
        <f>"1578729385466228"</f>
        <v>1578729385466228</v>
      </c>
      <c r="C3856" t="s">
        <v>37</v>
      </c>
      <c r="D3856">
        <v>4.9522329999999997</v>
      </c>
      <c r="E3856">
        <v>0.62977729999999998</v>
      </c>
      <c r="F3856" t="s">
        <v>69</v>
      </c>
      <c r="G3856">
        <v>-168.4143</v>
      </c>
      <c r="H3856">
        <v>1.9394389999999999</v>
      </c>
      <c r="I3856">
        <v>196.9631</v>
      </c>
      <c r="J3856">
        <v>-229.3672</v>
      </c>
      <c r="K3856">
        <v>1.1045959999999999</v>
      </c>
      <c r="L3856">
        <v>216.01689999999999</v>
      </c>
      <c r="M3856">
        <v>0.9991565</v>
      </c>
      <c r="N3856">
        <v>0</v>
      </c>
      <c r="O3856">
        <v>3.841261E-2</v>
      </c>
      <c r="P3856">
        <v>0.99912659999999998</v>
      </c>
      <c r="Q3856">
        <v>2.6037330000000001E-2</v>
      </c>
      <c r="R3856">
        <v>3.268451E-2</v>
      </c>
      <c r="S3856">
        <v>3.0382229999999999</v>
      </c>
      <c r="T3856">
        <v>4.1387559999999997E-2</v>
      </c>
      <c r="U3856">
        <v>-0.94395450000000003</v>
      </c>
      <c r="V3856">
        <v>5.751478E-3</v>
      </c>
      <c r="W3856">
        <v>4.0547050000000001E-2</v>
      </c>
      <c r="X3856">
        <v>0.99916109999999903</v>
      </c>
      <c r="Y3856">
        <v>0.33313860000000001</v>
      </c>
      <c r="Z3856">
        <v>2.7285949999999999E-3</v>
      </c>
      <c r="AA3856">
        <v>0.94287389999999904</v>
      </c>
      <c r="AB3856">
        <v>33</v>
      </c>
      <c r="AC3856">
        <v>60.9529</v>
      </c>
      <c r="AD3856">
        <v>0.834843</v>
      </c>
      <c r="AE3856">
        <v>-19.053799999999899</v>
      </c>
      <c r="AF3856">
        <v>21.377688032959899</v>
      </c>
      <c r="AG3856">
        <v>0.834843</v>
      </c>
      <c r="AH3856">
        <v>60.165639685685498</v>
      </c>
      <c r="AI3856">
        <v>89.250904569838198</v>
      </c>
      <c r="AJ3856">
        <v>70.439167053120798</v>
      </c>
      <c r="AK3856">
        <v>63.856140716903198</v>
      </c>
    </row>
    <row r="3857" spans="1:37" x14ac:dyDescent="0.2">
      <c r="A3857" t="str">
        <f>"20200111155625500"</f>
        <v>20200111155625500</v>
      </c>
      <c r="B3857" t="str">
        <f>"1578729385496485"</f>
        <v>1578729385496485</v>
      </c>
      <c r="C3857" t="s">
        <v>37</v>
      </c>
      <c r="D3857">
        <v>3.9543849999999998</v>
      </c>
      <c r="E3857">
        <v>0.6296524</v>
      </c>
      <c r="F3857" t="s">
        <v>69</v>
      </c>
      <c r="G3857">
        <v>-168.41409999999999</v>
      </c>
      <c r="H3857">
        <v>1.6964379999999999</v>
      </c>
      <c r="I3857">
        <v>197.21680000000001</v>
      </c>
      <c r="J3857">
        <v>-229.03129999999999</v>
      </c>
      <c r="K3857">
        <v>1.1045799999999999</v>
      </c>
      <c r="L3857">
        <v>216.02940000000001</v>
      </c>
      <c r="M3857">
        <v>0.99917109999999998</v>
      </c>
      <c r="N3857">
        <v>0</v>
      </c>
      <c r="O3857">
        <v>3.8030550000000003E-2</v>
      </c>
      <c r="P3857">
        <v>0.99925699999999995</v>
      </c>
      <c r="Q3857">
        <v>2.626568E-2</v>
      </c>
      <c r="R3857">
        <v>2.8209600000000001E-2</v>
      </c>
      <c r="S3857">
        <v>3.0324550000000001</v>
      </c>
      <c r="T3857">
        <v>2.9446130000000001E-2</v>
      </c>
      <c r="U3857">
        <v>-0.93531799999999998</v>
      </c>
      <c r="V3857">
        <v>9.847873E-3</v>
      </c>
      <c r="W3857">
        <v>4.0768119999999998E-2</v>
      </c>
      <c r="X3857">
        <v>0.99912009999999996</v>
      </c>
      <c r="Y3857">
        <v>0.3308507</v>
      </c>
      <c r="Z3857">
        <v>1.9311949999999999E-3</v>
      </c>
      <c r="AA3857">
        <v>0.94368109999999905</v>
      </c>
      <c r="AB3857">
        <v>33</v>
      </c>
      <c r="AC3857">
        <v>60.617199999999997</v>
      </c>
      <c r="AD3857">
        <v>0.591858</v>
      </c>
      <c r="AE3857">
        <v>-18.8126</v>
      </c>
      <c r="AF3857">
        <v>21.102701085667899</v>
      </c>
      <c r="AG3857">
        <v>0.591858</v>
      </c>
      <c r="AH3857">
        <v>59.852605298988898</v>
      </c>
      <c r="AI3857">
        <v>89.465680219155303</v>
      </c>
      <c r="AJ3857">
        <v>70.578480003388194</v>
      </c>
      <c r="AK3857">
        <v>63.466594757240401</v>
      </c>
    </row>
    <row r="3858" spans="1:37" x14ac:dyDescent="0.2">
      <c r="A3858" t="str">
        <f>"20200111155625521"</f>
        <v>20200111155625521</v>
      </c>
      <c r="B3858" t="str">
        <f>"1578729385516981"</f>
        <v>1578729385516981</v>
      </c>
      <c r="C3858" t="s">
        <v>37</v>
      </c>
      <c r="D3858">
        <v>3.9859680000000002</v>
      </c>
      <c r="E3858">
        <v>0.63088730000000004</v>
      </c>
      <c r="F3858" t="s">
        <v>69</v>
      </c>
      <c r="G3858">
        <v>-168.41409999999999</v>
      </c>
      <c r="H3858">
        <v>1.598573</v>
      </c>
      <c r="I3858">
        <v>197.06190000000001</v>
      </c>
      <c r="J3858">
        <v>-228.70310000000001</v>
      </c>
      <c r="K3858">
        <v>1.104568</v>
      </c>
      <c r="L3858">
        <v>216.04150000000001</v>
      </c>
      <c r="M3858">
        <v>0.99918569999999995</v>
      </c>
      <c r="N3858">
        <v>0</v>
      </c>
      <c r="O3858">
        <v>3.7650410000000002E-2</v>
      </c>
      <c r="P3858">
        <v>0.99939279999999997</v>
      </c>
      <c r="Q3858">
        <v>2.4851979999999999E-2</v>
      </c>
      <c r="R3858">
        <v>2.4426380000000001E-2</v>
      </c>
      <c r="S3858">
        <v>3.0283359999999999</v>
      </c>
      <c r="T3858">
        <v>2.4680730000000001E-2</v>
      </c>
      <c r="U3858">
        <v>-0.94758609999999899</v>
      </c>
      <c r="V3858">
        <v>1.325347E-2</v>
      </c>
      <c r="W3858">
        <v>3.9347809999999997E-2</v>
      </c>
      <c r="X3858">
        <v>0.99913770000000002</v>
      </c>
      <c r="Y3858">
        <v>0.33434159999999902</v>
      </c>
      <c r="Z3858">
        <v>1.63069E-3</v>
      </c>
      <c r="AA3858">
        <v>0.94245049999999997</v>
      </c>
      <c r="AB3858">
        <v>33</v>
      </c>
      <c r="AC3858">
        <v>60.289000000000001</v>
      </c>
      <c r="AD3858">
        <v>0.49400500000000003</v>
      </c>
      <c r="AE3858">
        <v>-18.979600000000001</v>
      </c>
      <c r="AF3858">
        <v>21.234987303403798</v>
      </c>
      <c r="AG3858">
        <v>0.49400500000000003</v>
      </c>
      <c r="AH3858">
        <v>59.527943137854102</v>
      </c>
      <c r="AI3858">
        <v>89.552169279559493</v>
      </c>
      <c r="AJ3858">
        <v>70.367512828935403</v>
      </c>
      <c r="AK3858">
        <v>63.2039930774895</v>
      </c>
    </row>
    <row r="3859" spans="1:37" x14ac:dyDescent="0.2">
      <c r="A3859" t="str">
        <f>"20200111155625544"</f>
        <v>20200111155625544</v>
      </c>
      <c r="B3859" t="str">
        <f>"1578729385536500"</f>
        <v>1578729385536500</v>
      </c>
      <c r="C3859" t="s">
        <v>37</v>
      </c>
      <c r="D3859">
        <v>3.9773399999999999</v>
      </c>
      <c r="E3859">
        <v>0.63197729999999996</v>
      </c>
      <c r="F3859" t="s">
        <v>69</v>
      </c>
      <c r="G3859">
        <v>-168.41419999999999</v>
      </c>
      <c r="H3859">
        <v>1.549086</v>
      </c>
      <c r="I3859">
        <v>196.73079999999999</v>
      </c>
      <c r="J3859">
        <v>-228.37880000000001</v>
      </c>
      <c r="K3859">
        <v>1.1045559999999901</v>
      </c>
      <c r="L3859">
        <v>216.05330000000001</v>
      </c>
      <c r="M3859">
        <v>0.99919969999999902</v>
      </c>
      <c r="N3859">
        <v>0</v>
      </c>
      <c r="O3859">
        <v>3.7274699999999897E-2</v>
      </c>
      <c r="P3859">
        <v>0.99946840000000003</v>
      </c>
      <c r="Q3859">
        <v>2.403164E-2</v>
      </c>
      <c r="R3859">
        <v>2.2035510000000001E-2</v>
      </c>
      <c r="S3859">
        <v>3.02494799999999</v>
      </c>
      <c r="T3859">
        <v>2.230501E-2</v>
      </c>
      <c r="U3859">
        <v>-0.96890259999999995</v>
      </c>
      <c r="V3859">
        <v>1.526951E-2</v>
      </c>
      <c r="W3859">
        <v>3.8521600000000003E-2</v>
      </c>
      <c r="X3859">
        <v>0.9991411</v>
      </c>
      <c r="Y3859">
        <v>0.34031879999999998</v>
      </c>
      <c r="Z3859">
        <v>1.492569E-3</v>
      </c>
      <c r="AA3859">
        <v>0.9403089</v>
      </c>
      <c r="AB3859">
        <v>33</v>
      </c>
      <c r="AC3859">
        <v>59.964599999999997</v>
      </c>
      <c r="AD3859">
        <v>0.44452999999999998</v>
      </c>
      <c r="AE3859">
        <v>-19.322500000000002</v>
      </c>
      <c r="AF3859">
        <v>21.5433943962461</v>
      </c>
      <c r="AG3859">
        <v>0.44452999999999998</v>
      </c>
      <c r="AH3859">
        <v>59.199655682852601</v>
      </c>
      <c r="AI3859">
        <v>89.595711460664702</v>
      </c>
      <c r="AJ3859">
        <v>70.003006753807597</v>
      </c>
      <c r="AK3859">
        <v>62.999322869388202</v>
      </c>
    </row>
    <row r="3860" spans="1:37" x14ac:dyDescent="0.2">
      <c r="A3860" t="str">
        <f>"20200111155625565"</f>
        <v>20200111155625565</v>
      </c>
      <c r="B3860" t="str">
        <f>"1578729385556997"</f>
        <v>1578729385556997</v>
      </c>
      <c r="C3860" t="s">
        <v>37</v>
      </c>
      <c r="D3860">
        <v>3.942005</v>
      </c>
      <c r="E3860">
        <v>0.63280449999999999</v>
      </c>
      <c r="F3860" t="s">
        <v>69</v>
      </c>
      <c r="G3860">
        <v>-168.4143</v>
      </c>
      <c r="H3860">
        <v>1.5502899999999999</v>
      </c>
      <c r="I3860">
        <v>196.51849999999999</v>
      </c>
      <c r="J3860">
        <v>-228.05090000000001</v>
      </c>
      <c r="K3860">
        <v>1.104552</v>
      </c>
      <c r="L3860">
        <v>216.0652</v>
      </c>
      <c r="M3860">
        <v>0.99921389999999999</v>
      </c>
      <c r="N3860">
        <v>0</v>
      </c>
      <c r="O3860">
        <v>3.6896810000000002E-2</v>
      </c>
      <c r="P3860">
        <v>0.9994866</v>
      </c>
      <c r="Q3860">
        <v>2.404303E-2</v>
      </c>
      <c r="R3860">
        <v>2.1182719999999999E-2</v>
      </c>
      <c r="S3860">
        <v>3.0227810000000002</v>
      </c>
      <c r="T3860">
        <v>2.247095E-2</v>
      </c>
      <c r="U3860">
        <v>-0.98474119999999998</v>
      </c>
      <c r="V3860">
        <v>1.5744930000000001E-2</v>
      </c>
      <c r="W3860">
        <v>3.8529220000000003E-2</v>
      </c>
      <c r="X3860">
        <v>0.99913339999999995</v>
      </c>
      <c r="Y3860">
        <v>0.34461629999999999</v>
      </c>
      <c r="Z3860">
        <v>1.516349E-3</v>
      </c>
      <c r="AA3860">
        <v>0.93874239999999998</v>
      </c>
      <c r="AB3860">
        <v>33</v>
      </c>
      <c r="AC3860">
        <v>59.636600000000001</v>
      </c>
      <c r="AD3860">
        <v>0.44573800000000002</v>
      </c>
      <c r="AE3860">
        <v>-19.546700000000001</v>
      </c>
      <c r="AF3860">
        <v>21.732922768642698</v>
      </c>
      <c r="AG3860">
        <v>0.44573800000000002</v>
      </c>
      <c r="AH3860">
        <v>58.871727286690501</v>
      </c>
      <c r="AI3860">
        <v>89.593045276205402</v>
      </c>
      <c r="AJ3860">
        <v>69.738011450086702</v>
      </c>
      <c r="AK3860">
        <v>62.756664093551798</v>
      </c>
    </row>
    <row r="3861" spans="1:37" x14ac:dyDescent="0.2">
      <c r="A3861" t="str">
        <f>"20200111155625588"</f>
        <v>20200111155625588</v>
      </c>
      <c r="B3861" t="str">
        <f>"1578729385576516"</f>
        <v>1578729385576516</v>
      </c>
      <c r="C3861" t="s">
        <v>37</v>
      </c>
      <c r="D3861">
        <v>3.964267</v>
      </c>
      <c r="E3861">
        <v>0.63364860000000001</v>
      </c>
      <c r="F3861" t="s">
        <v>69</v>
      </c>
      <c r="G3861">
        <v>-168.4144</v>
      </c>
      <c r="H3861">
        <v>1.6615489999999999</v>
      </c>
      <c r="I3861">
        <v>196.44280000000001</v>
      </c>
      <c r="J3861">
        <v>-227.72380000000001</v>
      </c>
      <c r="K3861">
        <v>1.1045499999999999</v>
      </c>
      <c r="L3861">
        <v>216.07689999999999</v>
      </c>
      <c r="M3861">
        <v>0.99922759999999999</v>
      </c>
      <c r="N3861">
        <v>0</v>
      </c>
      <c r="O3861">
        <v>3.6522529999999997E-2</v>
      </c>
      <c r="P3861">
        <v>0.99946639999999998</v>
      </c>
      <c r="Q3861">
        <v>2.4834889999999998E-2</v>
      </c>
      <c r="R3861">
        <v>2.122228E-2</v>
      </c>
      <c r="S3861">
        <v>3.021973</v>
      </c>
      <c r="T3861">
        <v>2.822649E-2</v>
      </c>
      <c r="U3861">
        <v>-0.99432369999999903</v>
      </c>
      <c r="V3861">
        <v>1.533115E-2</v>
      </c>
      <c r="W3861">
        <v>3.9317310000000001E-2</v>
      </c>
      <c r="X3861">
        <v>0.99910909999999997</v>
      </c>
      <c r="Y3861">
        <v>0.34702040000000001</v>
      </c>
      <c r="Z3861">
        <v>1.9118189999999999E-3</v>
      </c>
      <c r="AA3861">
        <v>0.93785569999999896</v>
      </c>
      <c r="AB3861">
        <v>33</v>
      </c>
      <c r="AC3861">
        <v>59.309399999999997</v>
      </c>
      <c r="AD3861">
        <v>0.55699900000000002</v>
      </c>
      <c r="AE3861">
        <v>-19.634099999999901</v>
      </c>
      <c r="AF3861">
        <v>21.7856234273859</v>
      </c>
      <c r="AG3861">
        <v>0.55699900000000002</v>
      </c>
      <c r="AH3861">
        <v>58.548005954539299</v>
      </c>
      <c r="AI3861">
        <v>89.489148040579593</v>
      </c>
      <c r="AJ3861">
        <v>69.589843052815496</v>
      </c>
      <c r="AK3861">
        <v>62.4723349752404</v>
      </c>
    </row>
    <row r="3862" spans="1:37" x14ac:dyDescent="0.2">
      <c r="A3862" t="str">
        <f>"20200111155625610"</f>
        <v>20200111155625610</v>
      </c>
      <c r="B3862" t="str">
        <f>"1578729385606772"</f>
        <v>1578729385606772</v>
      </c>
      <c r="C3862" t="s">
        <v>37</v>
      </c>
      <c r="D3862">
        <v>3.9498799999999998</v>
      </c>
      <c r="E3862">
        <v>0.6346309</v>
      </c>
      <c r="F3862" t="s">
        <v>69</v>
      </c>
      <c r="G3862">
        <v>-168.4144</v>
      </c>
      <c r="H3862">
        <v>1.849388</v>
      </c>
      <c r="I3862">
        <v>196.42449999999999</v>
      </c>
      <c r="J3862">
        <v>-227.3877</v>
      </c>
      <c r="K3862">
        <v>1.1045510000000001</v>
      </c>
      <c r="L3862">
        <v>216.08869999999999</v>
      </c>
      <c r="M3862">
        <v>0.99924169999999901</v>
      </c>
      <c r="N3862">
        <v>0</v>
      </c>
      <c r="O3862">
        <v>3.6138240000000002E-2</v>
      </c>
      <c r="P3862">
        <v>0.99945839999999997</v>
      </c>
      <c r="Q3862">
        <v>2.5345670000000001E-2</v>
      </c>
      <c r="R3862">
        <v>2.099705E-2</v>
      </c>
      <c r="S3862">
        <v>3.0219269999999998</v>
      </c>
      <c r="T3862">
        <v>3.7952659999999999E-2</v>
      </c>
      <c r="U3862">
        <v>-1.001328</v>
      </c>
      <c r="V3862">
        <v>1.517232E-2</v>
      </c>
      <c r="W3862">
        <v>3.9823789999999998E-2</v>
      </c>
      <c r="X3862">
        <v>0.99909150000000002</v>
      </c>
      <c r="Y3862">
        <v>0.348611</v>
      </c>
      <c r="Z3862">
        <v>2.574691E-3</v>
      </c>
      <c r="AA3862">
        <v>0.93726399999999999</v>
      </c>
      <c r="AB3862">
        <v>33</v>
      </c>
      <c r="AC3862">
        <v>58.973300000000002</v>
      </c>
      <c r="AD3862">
        <v>0.74483699999999997</v>
      </c>
      <c r="AE3862">
        <v>-19.664199999999902</v>
      </c>
      <c r="AF3862">
        <v>21.7796411601723</v>
      </c>
      <c r="AG3862">
        <v>0.74483699999999997</v>
      </c>
      <c r="AH3862">
        <v>58.215709048628597</v>
      </c>
      <c r="AI3862">
        <v>89.3134423052622</v>
      </c>
      <c r="AJ3862">
        <v>69.488188839250697</v>
      </c>
      <c r="AK3862">
        <v>62.160890689058</v>
      </c>
    </row>
    <row r="3863" spans="1:37" x14ac:dyDescent="0.2">
      <c r="A3863" t="str">
        <f>"20200111155625633"</f>
        <v>20200111155625633</v>
      </c>
      <c r="B3863" t="str">
        <f>"1578729385626441"</f>
        <v>1578729385626441</v>
      </c>
      <c r="C3863" t="s">
        <v>37</v>
      </c>
      <c r="D3863">
        <v>4.0614780000000001</v>
      </c>
      <c r="E3863">
        <v>0.63517460000000003</v>
      </c>
      <c r="F3863" t="s">
        <v>69</v>
      </c>
      <c r="G3863">
        <v>-168.4145</v>
      </c>
      <c r="H3863">
        <v>2.010332</v>
      </c>
      <c r="I3863">
        <v>196.37530000000001</v>
      </c>
      <c r="J3863">
        <v>-227.0575</v>
      </c>
      <c r="K3863">
        <v>1.1045450000000001</v>
      </c>
      <c r="L3863">
        <v>216.1003</v>
      </c>
      <c r="M3863">
        <v>0.99925560000000002</v>
      </c>
      <c r="N3863">
        <v>0</v>
      </c>
      <c r="O3863">
        <v>3.5753489999999999E-2</v>
      </c>
      <c r="P3863">
        <v>0.9994769</v>
      </c>
      <c r="Q3863">
        <v>2.5375869999999998E-2</v>
      </c>
      <c r="R3863">
        <v>2.005475E-2</v>
      </c>
      <c r="S3863">
        <v>3.021652</v>
      </c>
      <c r="T3863">
        <v>4.6411870000000001E-2</v>
      </c>
      <c r="U3863">
        <v>-1.0100709999999999</v>
      </c>
      <c r="V3863">
        <v>1.5730399999999999E-2</v>
      </c>
      <c r="W3863">
        <v>3.9849519999999999E-2</v>
      </c>
      <c r="X3863">
        <v>0.99908189999999997</v>
      </c>
      <c r="Y3863">
        <v>0.35070259999999998</v>
      </c>
      <c r="Z3863">
        <v>3.1572509999999998E-3</v>
      </c>
      <c r="AA3863">
        <v>0.93648159999999903</v>
      </c>
      <c r="AB3863">
        <v>33</v>
      </c>
      <c r="AC3863">
        <v>58.643000000000001</v>
      </c>
      <c r="AD3863">
        <v>0.90578700000000001</v>
      </c>
      <c r="AE3863">
        <v>-19.724999999999898</v>
      </c>
      <c r="AF3863">
        <v>21.804624737078001</v>
      </c>
      <c r="AG3863">
        <v>0.90578700000000001</v>
      </c>
      <c r="AH3863">
        <v>57.887779723124801</v>
      </c>
      <c r="AI3863">
        <v>89.161080263073501</v>
      </c>
      <c r="AJ3863">
        <v>69.360083452396196</v>
      </c>
      <c r="AK3863">
        <v>61.864829679610303</v>
      </c>
    </row>
    <row r="3864" spans="1:37" x14ac:dyDescent="0.2">
      <c r="A3864" t="str">
        <f>"20200111155625654"</f>
        <v>20200111155625654</v>
      </c>
      <c r="B3864" t="str">
        <f>"1578729385646937"</f>
        <v>1578729385646937</v>
      </c>
      <c r="C3864" t="s">
        <v>37</v>
      </c>
      <c r="D3864">
        <v>3.9749289999999999</v>
      </c>
      <c r="E3864">
        <v>0.63571949999999999</v>
      </c>
      <c r="F3864" t="s">
        <v>69</v>
      </c>
      <c r="G3864">
        <v>-168.4145</v>
      </c>
      <c r="H3864">
        <v>2.1061450000000002</v>
      </c>
      <c r="I3864">
        <v>196.34639999999999</v>
      </c>
      <c r="J3864">
        <v>-226.74299999999999</v>
      </c>
      <c r="K3864">
        <v>1.104533</v>
      </c>
      <c r="L3864">
        <v>216.11109999999999</v>
      </c>
      <c r="M3864">
        <v>0.99926939999999997</v>
      </c>
      <c r="N3864">
        <v>0</v>
      </c>
      <c r="O3864">
        <v>3.5366410000000001E-2</v>
      </c>
      <c r="P3864">
        <v>0.9995096</v>
      </c>
      <c r="Q3864">
        <v>2.520909E-2</v>
      </c>
      <c r="R3864">
        <v>1.858224E-2</v>
      </c>
      <c r="S3864">
        <v>3.0206909999999998</v>
      </c>
      <c r="T3864">
        <v>5.1594019999999997E-2</v>
      </c>
      <c r="U3864">
        <v>-1.017517</v>
      </c>
      <c r="V3864">
        <v>1.6817039999999998E-2</v>
      </c>
      <c r="W3864">
        <v>3.9677520000000001E-2</v>
      </c>
      <c r="X3864">
        <v>0.99907099999999904</v>
      </c>
      <c r="Y3864">
        <v>0.35249359999999902</v>
      </c>
      <c r="Z3864">
        <v>3.5178900000000001E-3</v>
      </c>
      <c r="AA3864">
        <v>0.93580759999999996</v>
      </c>
      <c r="AB3864">
        <v>33</v>
      </c>
      <c r="AC3864">
        <v>58.328499999999899</v>
      </c>
      <c r="AD3864">
        <v>1.0016119999999999</v>
      </c>
      <c r="AE3864">
        <v>-19.764700000000001</v>
      </c>
      <c r="AF3864">
        <v>21.809650278082898</v>
      </c>
      <c r="AG3864">
        <v>1.0016119999999999</v>
      </c>
      <c r="AH3864">
        <v>57.577693386265899</v>
      </c>
      <c r="AI3864">
        <v>89.068000988475703</v>
      </c>
      <c r="AJ3864">
        <v>69.253991140877702</v>
      </c>
      <c r="AK3864">
        <v>61.578038678847697</v>
      </c>
    </row>
    <row r="3865" spans="1:37" x14ac:dyDescent="0.2">
      <c r="A3865" t="str">
        <f>"20200111155625677"</f>
        <v>20200111155625677</v>
      </c>
      <c r="B3865" t="str">
        <f>"1578729385666458"</f>
        <v>1578729385666458</v>
      </c>
      <c r="C3865" t="s">
        <v>37</v>
      </c>
      <c r="D3865">
        <v>3.96600299999999</v>
      </c>
      <c r="E3865">
        <v>0.63625719999999997</v>
      </c>
      <c r="F3865" t="s">
        <v>69</v>
      </c>
      <c r="G3865">
        <v>-168.41460000000001</v>
      </c>
      <c r="H3865">
        <v>2.1567090000000002</v>
      </c>
      <c r="I3865">
        <v>196.27860000000001</v>
      </c>
      <c r="J3865">
        <v>-226.41399999999999</v>
      </c>
      <c r="K3865">
        <v>1.1045129999999901</v>
      </c>
      <c r="L3865">
        <v>216.1223</v>
      </c>
      <c r="M3865">
        <v>0.99928519999999899</v>
      </c>
      <c r="N3865">
        <v>0</v>
      </c>
      <c r="O3865">
        <v>3.4916509999999998E-2</v>
      </c>
      <c r="P3865">
        <v>0.99952949999999996</v>
      </c>
      <c r="Q3865">
        <v>2.5798310000000001E-2</v>
      </c>
      <c r="R3865">
        <v>1.6592679999999999E-2</v>
      </c>
      <c r="S3865">
        <v>3.01918</v>
      </c>
      <c r="T3865">
        <v>5.4464220000000001E-2</v>
      </c>
      <c r="U3865">
        <v>-1.0265660000000001</v>
      </c>
      <c r="V3865">
        <v>1.835935E-2</v>
      </c>
      <c r="W3865">
        <v>4.0260230000000001E-2</v>
      </c>
      <c r="X3865">
        <v>0.99902049999999998</v>
      </c>
      <c r="Y3865">
        <v>0.35472320000000002</v>
      </c>
      <c r="Z3865">
        <v>3.7252409999999998E-3</v>
      </c>
      <c r="AA3865">
        <v>0.93496389999999996</v>
      </c>
      <c r="AB3865">
        <v>33</v>
      </c>
      <c r="AC3865">
        <v>57.999400000000001</v>
      </c>
      <c r="AD3865">
        <v>1.0521959999999999</v>
      </c>
      <c r="AE3865">
        <v>-19.843699999999899</v>
      </c>
      <c r="AF3865">
        <v>21.850508923754798</v>
      </c>
      <c r="AG3865">
        <v>1.0521959999999999</v>
      </c>
      <c r="AH3865">
        <v>57.254212379083398</v>
      </c>
      <c r="AI3865">
        <v>89.016343814340999</v>
      </c>
      <c r="AJ3865">
        <v>69.111135255004797</v>
      </c>
      <c r="AK3865">
        <v>61.291081666084899</v>
      </c>
    </row>
    <row r="3866" spans="1:37" x14ac:dyDescent="0.2">
      <c r="A3866" t="str">
        <f>"20200111155625700"</f>
        <v>20200111155625700</v>
      </c>
      <c r="B3866" t="str">
        <f>"1578729385696714"</f>
        <v>1578729385696714</v>
      </c>
      <c r="C3866" t="s">
        <v>37</v>
      </c>
      <c r="D3866">
        <v>3.9675799999999999</v>
      </c>
      <c r="E3866">
        <v>0.63711509999999905</v>
      </c>
      <c r="F3866" t="s">
        <v>69</v>
      </c>
      <c r="G3866">
        <v>-168.41460000000001</v>
      </c>
      <c r="H3866">
        <v>2.2509160000000001</v>
      </c>
      <c r="I3866">
        <v>196.18899999999999</v>
      </c>
      <c r="J3866">
        <v>-226.0849</v>
      </c>
      <c r="K3866">
        <v>1.1044700000000001</v>
      </c>
      <c r="L3866">
        <v>216.13319999999999</v>
      </c>
      <c r="M3866">
        <v>0.99930399999999997</v>
      </c>
      <c r="N3866">
        <v>0</v>
      </c>
      <c r="O3866">
        <v>3.4380220000000003E-2</v>
      </c>
      <c r="P3866">
        <v>0.9995269</v>
      </c>
      <c r="Q3866">
        <v>2.7869939999999999E-2</v>
      </c>
      <c r="R3866">
        <v>1.302274E-2</v>
      </c>
      <c r="S3866">
        <v>3.0171199999999998</v>
      </c>
      <c r="T3866">
        <v>5.9637429999999998E-2</v>
      </c>
      <c r="U3866">
        <v>-1.036926</v>
      </c>
      <c r="V3866">
        <v>2.1398150000000001E-2</v>
      </c>
      <c r="W3866">
        <v>4.2320780000000002E-2</v>
      </c>
      <c r="X3866">
        <v>0.99887490000000001</v>
      </c>
      <c r="Y3866">
        <v>0.35727750000000003</v>
      </c>
      <c r="Z3866">
        <v>4.0936669999999996E-3</v>
      </c>
      <c r="AA3866">
        <v>0.93398930000000002</v>
      </c>
      <c r="AB3866">
        <v>33</v>
      </c>
      <c r="AC3866">
        <v>57.670299999999997</v>
      </c>
      <c r="AD3866">
        <v>1.1464460000000001</v>
      </c>
      <c r="AE3866">
        <v>-19.944199999999899</v>
      </c>
      <c r="AF3866">
        <v>21.907599598217001</v>
      </c>
      <c r="AG3866">
        <v>1.1464460000000001</v>
      </c>
      <c r="AH3866">
        <v>56.930347002554697</v>
      </c>
      <c r="AI3866">
        <v>88.923299668314598</v>
      </c>
      <c r="AJ3866">
        <v>68.952571859069394</v>
      </c>
      <c r="AK3866">
        <v>61.010832385880498</v>
      </c>
    </row>
    <row r="3867" spans="1:37" x14ac:dyDescent="0.2">
      <c r="A3867" t="str">
        <f>"20200111155625722"</f>
        <v>20200111155625722</v>
      </c>
      <c r="B3867" t="str">
        <f>"1578729385716740"</f>
        <v>1578729385716740</v>
      </c>
      <c r="C3867" t="s">
        <v>37</v>
      </c>
      <c r="D3867">
        <v>4.0766839999999904</v>
      </c>
      <c r="E3867">
        <v>0.63743590000000006</v>
      </c>
      <c r="F3867" t="s">
        <v>69</v>
      </c>
      <c r="G3867">
        <v>-168.41480000000001</v>
      </c>
      <c r="H3867">
        <v>2.4729239999999999</v>
      </c>
      <c r="I3867">
        <v>195.94560000000001</v>
      </c>
      <c r="J3867">
        <v>-225.75190000000001</v>
      </c>
      <c r="K3867">
        <v>1.1043889999999901</v>
      </c>
      <c r="L3867">
        <v>216.14400000000001</v>
      </c>
      <c r="M3867">
        <v>0.99932710000000002</v>
      </c>
      <c r="N3867">
        <v>0</v>
      </c>
      <c r="O3867">
        <v>3.3703070000000002E-2</v>
      </c>
      <c r="P3867">
        <v>0.99951699999999999</v>
      </c>
      <c r="Q3867">
        <v>2.9953770000000001E-2</v>
      </c>
      <c r="R3867">
        <v>8.2875480000000005E-3</v>
      </c>
      <c r="S3867">
        <v>3.0131990000000002</v>
      </c>
      <c r="T3867">
        <v>7.1501969999999998E-2</v>
      </c>
      <c r="U3867">
        <v>-1.0547789999999999</v>
      </c>
      <c r="V3867">
        <v>2.5465310000000001E-2</v>
      </c>
      <c r="W3867">
        <v>4.4389749999999999E-2</v>
      </c>
      <c r="X3867">
        <v>0.99868969999999901</v>
      </c>
      <c r="Y3867">
        <v>0.3619214</v>
      </c>
      <c r="Z3867">
        <v>4.9471699999999999E-3</v>
      </c>
      <c r="AA3867">
        <v>0.93219549999999995</v>
      </c>
      <c r="AB3867">
        <v>33</v>
      </c>
      <c r="AC3867">
        <v>57.3370999999999</v>
      </c>
      <c r="AD3867">
        <v>1.3685350000000001</v>
      </c>
      <c r="AE3867">
        <v>-20.1983999999999</v>
      </c>
      <c r="AF3867">
        <v>22.108356875782601</v>
      </c>
      <c r="AG3867">
        <v>1.3685350000000001</v>
      </c>
      <c r="AH3867">
        <v>56.595017667154899</v>
      </c>
      <c r="AI3867">
        <v>88.709709569142404</v>
      </c>
      <c r="AJ3867">
        <v>68.662325511277203</v>
      </c>
      <c r="AK3867">
        <v>60.775392689301199</v>
      </c>
    </row>
    <row r="3868" spans="1:37" x14ac:dyDescent="0.2">
      <c r="A3868" t="str">
        <f>"20200111155625744"</f>
        <v>20200111155625744</v>
      </c>
      <c r="B3868" t="str">
        <f>"1578729385737235"</f>
        <v>1578729385737235</v>
      </c>
      <c r="C3868" t="s">
        <v>37</v>
      </c>
      <c r="D3868">
        <v>4.1187009999999997</v>
      </c>
      <c r="E3868">
        <v>0.63761880000000004</v>
      </c>
      <c r="F3868" t="s">
        <v>69</v>
      </c>
      <c r="G3868">
        <v>-168.41489999999999</v>
      </c>
      <c r="H3868">
        <v>2.64914399999999</v>
      </c>
      <c r="I3868">
        <v>195.7176</v>
      </c>
      <c r="J3868">
        <v>-225.43700000000001</v>
      </c>
      <c r="K3868">
        <v>1.104295</v>
      </c>
      <c r="L3868">
        <v>216.15379999999999</v>
      </c>
      <c r="M3868">
        <v>0.99935239999999903</v>
      </c>
      <c r="N3868">
        <v>0</v>
      </c>
      <c r="O3868">
        <v>3.294449E-2</v>
      </c>
      <c r="P3868">
        <v>0.99949030000000005</v>
      </c>
      <c r="Q3868">
        <v>3.173608E-2</v>
      </c>
      <c r="R3868">
        <v>3.534812E-3</v>
      </c>
      <c r="S3868">
        <v>3.007889</v>
      </c>
      <c r="T3868">
        <v>8.1039429999999996E-2</v>
      </c>
      <c r="U3868">
        <v>-1.071564</v>
      </c>
      <c r="V3868">
        <v>2.946963E-2</v>
      </c>
      <c r="W3868">
        <v>4.6155090000000003E-2</v>
      </c>
      <c r="X3868">
        <v>0.99849949999999998</v>
      </c>
      <c r="Y3868">
        <v>0.36631740000000002</v>
      </c>
      <c r="Z3868">
        <v>5.6487150000000003E-3</v>
      </c>
      <c r="AA3868">
        <v>0.93047279999999999</v>
      </c>
      <c r="AB3868">
        <v>33</v>
      </c>
      <c r="AC3868">
        <v>57.022100000000002</v>
      </c>
      <c r="AD3868">
        <v>1.5448489999999899</v>
      </c>
      <c r="AE3868">
        <v>-20.4361999999999</v>
      </c>
      <c r="AF3868">
        <v>22.289367473776</v>
      </c>
      <c r="AG3868">
        <v>1.5448489999999899</v>
      </c>
      <c r="AH3868">
        <v>56.281202834427397</v>
      </c>
      <c r="AI3868">
        <v>88.538113735846196</v>
      </c>
      <c r="AJ3868">
        <v>68.394664428171097</v>
      </c>
      <c r="AK3868">
        <v>60.553911957063399</v>
      </c>
    </row>
    <row r="3869" spans="1:37" x14ac:dyDescent="0.2">
      <c r="A3869" t="str">
        <f>"20200111155625767"</f>
        <v>20200111155625767</v>
      </c>
      <c r="B3869" t="str">
        <f>"1578729385756755"</f>
        <v>1578729385756755</v>
      </c>
      <c r="C3869" t="s">
        <v>37</v>
      </c>
      <c r="D3869">
        <v>4.0628250000000001</v>
      </c>
      <c r="E3869">
        <v>0.63782130000000004</v>
      </c>
      <c r="F3869" t="s">
        <v>69</v>
      </c>
      <c r="G3869">
        <v>-168.4151</v>
      </c>
      <c r="H3869">
        <v>2.83274599999999</v>
      </c>
      <c r="I3869">
        <v>195.4991</v>
      </c>
      <c r="J3869">
        <v>-225.10640000000001</v>
      </c>
      <c r="K3869">
        <v>1.1041719999999999</v>
      </c>
      <c r="L3869">
        <v>216.16370000000001</v>
      </c>
      <c r="M3869">
        <v>0.99938379999999905</v>
      </c>
      <c r="N3869">
        <v>0</v>
      </c>
      <c r="O3869">
        <v>3.1973649999999999E-2</v>
      </c>
      <c r="P3869">
        <v>0.99946460000000004</v>
      </c>
      <c r="Q3869">
        <v>3.270464E-2</v>
      </c>
      <c r="R3869">
        <v>-8.2925999999999996E-4</v>
      </c>
      <c r="S3869">
        <v>3.0024869999999999</v>
      </c>
      <c r="T3869">
        <v>9.1013189999999994E-2</v>
      </c>
      <c r="U3869">
        <v>-1.0875699999999999</v>
      </c>
      <c r="V3869">
        <v>3.287648E-2</v>
      </c>
      <c r="W3869">
        <v>4.7103909999999999E-2</v>
      </c>
      <c r="X3869">
        <v>0.99834880000000004</v>
      </c>
      <c r="Y3869">
        <v>0.37029659999999998</v>
      </c>
      <c r="Z3869">
        <v>6.3787109999999996E-3</v>
      </c>
      <c r="AA3869">
        <v>0.92889169999999999</v>
      </c>
      <c r="AB3869">
        <v>33</v>
      </c>
      <c r="AC3869">
        <v>56.691299999999998</v>
      </c>
      <c r="AD3869">
        <v>1.7285739999999901</v>
      </c>
      <c r="AE3869">
        <v>-20.6646</v>
      </c>
      <c r="AF3869">
        <v>22.4484275520851</v>
      </c>
      <c r="AG3869">
        <v>1.7285739999999901</v>
      </c>
      <c r="AH3869">
        <v>55.955595800831297</v>
      </c>
      <c r="AI3869">
        <v>88.357740437806498</v>
      </c>
      <c r="AJ3869">
        <v>68.140188045750904</v>
      </c>
      <c r="AK3869">
        <v>60.315409051590699</v>
      </c>
    </row>
    <row r="3870" spans="1:37" x14ac:dyDescent="0.2">
      <c r="A3870" t="str">
        <f>"20200111155625789"</f>
        <v>20200111155625789</v>
      </c>
      <c r="B3870" t="str">
        <f>"1578729385787011"</f>
        <v>1578729385787011</v>
      </c>
      <c r="C3870" t="s">
        <v>37</v>
      </c>
      <c r="D3870">
        <v>4.044022</v>
      </c>
      <c r="E3870">
        <v>0.63802219999999998</v>
      </c>
      <c r="F3870" t="s">
        <v>69</v>
      </c>
      <c r="G3870">
        <v>-168.4152</v>
      </c>
      <c r="H3870">
        <v>3.0153539999999999</v>
      </c>
      <c r="I3870">
        <v>195.3193</v>
      </c>
      <c r="J3870">
        <v>-224.7758</v>
      </c>
      <c r="K3870">
        <v>1.104007</v>
      </c>
      <c r="L3870">
        <v>216.173</v>
      </c>
      <c r="M3870">
        <v>0.99942180000000003</v>
      </c>
      <c r="N3870">
        <v>0</v>
      </c>
      <c r="O3870">
        <v>3.0766269999999998E-2</v>
      </c>
      <c r="P3870">
        <v>0.99947719999999995</v>
      </c>
      <c r="Q3870">
        <v>3.1887390000000002E-2</v>
      </c>
      <c r="R3870">
        <v>-5.3652869999999998E-3</v>
      </c>
      <c r="S3870">
        <v>2.9973749999999999</v>
      </c>
      <c r="T3870">
        <v>0.1010498</v>
      </c>
      <c r="U3870">
        <v>-1.1020809999999901</v>
      </c>
      <c r="V3870">
        <v>3.6220460000000003E-2</v>
      </c>
      <c r="W3870">
        <v>4.626417E-2</v>
      </c>
      <c r="X3870">
        <v>0.99827239999999995</v>
      </c>
      <c r="Y3870">
        <v>0.37360749999999998</v>
      </c>
      <c r="Z3870">
        <v>7.1019799999999999E-3</v>
      </c>
      <c r="AA3870">
        <v>0.92755969999999999</v>
      </c>
      <c r="AB3870">
        <v>33</v>
      </c>
      <c r="AC3870">
        <v>56.360599999999998</v>
      </c>
      <c r="AD3870">
        <v>1.9113469999999999</v>
      </c>
      <c r="AE3870">
        <v>-20.8537</v>
      </c>
      <c r="AF3870">
        <v>22.555196430452401</v>
      </c>
      <c r="AG3870">
        <v>1.9113469999999999</v>
      </c>
      <c r="AH3870">
        <v>55.635975116351403</v>
      </c>
      <c r="AI3870">
        <v>88.176452147129197</v>
      </c>
      <c r="AJ3870">
        <v>67.932037301397997</v>
      </c>
      <c r="AK3870">
        <v>60.064564099958098</v>
      </c>
    </row>
    <row r="3871" spans="1:37" x14ac:dyDescent="0.2">
      <c r="A3871" t="str">
        <f>"20200111155625811"</f>
        <v>20200111155625811</v>
      </c>
      <c r="B3871" t="str">
        <f>"1578729385806530"</f>
        <v>1578729385806530</v>
      </c>
      <c r="C3871" t="s">
        <v>37</v>
      </c>
      <c r="D3871">
        <v>4.0372519999999996</v>
      </c>
      <c r="E3871">
        <v>0.63830129999999996</v>
      </c>
      <c r="F3871" t="s">
        <v>69</v>
      </c>
      <c r="G3871">
        <v>-168.4153</v>
      </c>
      <c r="H3871">
        <v>3.1511999999999998</v>
      </c>
      <c r="I3871">
        <v>195.12540000000001</v>
      </c>
      <c r="J3871">
        <v>-224.45439999999999</v>
      </c>
      <c r="K3871">
        <v>1.103796</v>
      </c>
      <c r="L3871">
        <v>216.1814</v>
      </c>
      <c r="M3871">
        <v>0.99946539999999995</v>
      </c>
      <c r="N3871">
        <v>0</v>
      </c>
      <c r="O3871">
        <v>2.9314599999999899E-2</v>
      </c>
      <c r="P3871">
        <v>0.99956590000000001</v>
      </c>
      <c r="Q3871">
        <v>2.7277249999999999E-2</v>
      </c>
      <c r="R3871">
        <v>-1.1138779999999999E-2</v>
      </c>
      <c r="S3871">
        <v>2.9920960000000001</v>
      </c>
      <c r="T3871">
        <v>0.108684199999999</v>
      </c>
      <c r="U3871">
        <v>-1.117386</v>
      </c>
      <c r="V3871">
        <v>4.0553249999999999E-2</v>
      </c>
      <c r="W3871">
        <v>4.1624260000000003E-2</v>
      </c>
      <c r="X3871">
        <v>0.99831000000000003</v>
      </c>
      <c r="Y3871">
        <v>0.37692550000000002</v>
      </c>
      <c r="Z3871">
        <v>7.6514719999999899E-3</v>
      </c>
      <c r="AA3871">
        <v>0.92621200000000004</v>
      </c>
      <c r="AB3871">
        <v>33</v>
      </c>
      <c r="AC3871">
        <v>56.039099999999898</v>
      </c>
      <c r="AD3871">
        <v>2.0474039999999998</v>
      </c>
      <c r="AE3871">
        <v>-21.055999999999901</v>
      </c>
      <c r="AF3871">
        <v>22.663375785762899</v>
      </c>
      <c r="AG3871">
        <v>2.0474039999999998</v>
      </c>
      <c r="AH3871">
        <v>55.332975911021599</v>
      </c>
      <c r="AI3871">
        <v>88.038915818988102</v>
      </c>
      <c r="AJ3871">
        <v>67.726890355005594</v>
      </c>
      <c r="AK3871">
        <v>59.829413237266699</v>
      </c>
    </row>
    <row r="3872" spans="1:37" x14ac:dyDescent="0.2">
      <c r="A3872" t="str">
        <f>"20200111155625833"</f>
        <v>20200111155625833</v>
      </c>
      <c r="B3872" t="str">
        <f>"1578729385827027"</f>
        <v>1578729385827027</v>
      </c>
      <c r="C3872" t="s">
        <v>37</v>
      </c>
      <c r="D3872">
        <v>4.0044339999999998</v>
      </c>
      <c r="E3872">
        <v>0.638499699999999</v>
      </c>
      <c r="F3872" t="s">
        <v>69</v>
      </c>
      <c r="G3872">
        <v>-168.4153</v>
      </c>
      <c r="H3872">
        <v>3.0460940000000001</v>
      </c>
      <c r="I3872">
        <v>194.84819999999999</v>
      </c>
      <c r="J3872">
        <v>-224.1301</v>
      </c>
      <c r="K3872">
        <v>1.1035299999999999</v>
      </c>
      <c r="L3872">
        <v>216.1891</v>
      </c>
      <c r="M3872">
        <v>0.99951619999999997</v>
      </c>
      <c r="N3872">
        <v>0</v>
      </c>
      <c r="O3872">
        <v>2.7527929999999999E-2</v>
      </c>
      <c r="P3872">
        <v>0.99960130000000003</v>
      </c>
      <c r="Q3872">
        <v>2.1507990000000001E-2</v>
      </c>
      <c r="R3872">
        <v>-1.8301209999999998E-2</v>
      </c>
      <c r="S3872">
        <v>2.9858250000000002</v>
      </c>
      <c r="T3872">
        <v>0.1034895</v>
      </c>
      <c r="U3872">
        <v>-1.1366579999999999</v>
      </c>
      <c r="V3872">
        <v>4.5933960000000003E-2</v>
      </c>
      <c r="W3872">
        <v>3.5815029999999998E-2</v>
      </c>
      <c r="X3872">
        <v>0.99830219999999903</v>
      </c>
      <c r="Y3872">
        <v>0.38115659999999901</v>
      </c>
      <c r="Z3872">
        <v>7.3031469999999899E-3</v>
      </c>
      <c r="AA3872">
        <v>0.92448169999999996</v>
      </c>
      <c r="AB3872">
        <v>33</v>
      </c>
      <c r="AC3872">
        <v>55.714799999999997</v>
      </c>
      <c r="AD3872">
        <v>1.942564</v>
      </c>
      <c r="AE3872">
        <v>-21.340900000000001</v>
      </c>
      <c r="AF3872">
        <v>22.842469068409802</v>
      </c>
      <c r="AG3872">
        <v>1.942564</v>
      </c>
      <c r="AH3872">
        <v>55.047792264360801</v>
      </c>
      <c r="AI3872">
        <v>88.133167060005604</v>
      </c>
      <c r="AJ3872">
        <v>67.463649664329694</v>
      </c>
      <c r="AK3872">
        <v>59.630624524782398</v>
      </c>
    </row>
    <row r="3873" spans="1:37" x14ac:dyDescent="0.2">
      <c r="A3873" t="str">
        <f>"20200111155625857"</f>
        <v>20200111155625857</v>
      </c>
      <c r="B3873" t="str">
        <f>"1578729385846548"</f>
        <v>1578729385846548</v>
      </c>
      <c r="C3873" t="s">
        <v>37</v>
      </c>
      <c r="D3873">
        <v>4.0986050000000001</v>
      </c>
      <c r="E3873">
        <v>0.63856459999999904</v>
      </c>
      <c r="F3873" t="s">
        <v>69</v>
      </c>
      <c r="G3873">
        <v>-168.41540000000001</v>
      </c>
      <c r="H3873">
        <v>2.7922880000000001</v>
      </c>
      <c r="I3873">
        <v>194.49440000000001</v>
      </c>
      <c r="J3873">
        <v>-223.8074</v>
      </c>
      <c r="K3873">
        <v>1.10324</v>
      </c>
      <c r="L3873">
        <v>216.19589999999999</v>
      </c>
      <c r="M3873">
        <v>0.99957249999999997</v>
      </c>
      <c r="N3873">
        <v>0</v>
      </c>
      <c r="O3873">
        <v>2.540166E-2</v>
      </c>
      <c r="P3873">
        <v>0.99949909999999997</v>
      </c>
      <c r="Q3873">
        <v>1.8042820000000001E-2</v>
      </c>
      <c r="R3873">
        <v>-2.6002629999999999E-2</v>
      </c>
      <c r="S3873">
        <v>2.9780120000000001</v>
      </c>
      <c r="T3873">
        <v>9.026766E-2</v>
      </c>
      <c r="U3873">
        <v>-1.1596070000000001</v>
      </c>
      <c r="V3873">
        <v>5.1515949999999998E-2</v>
      </c>
      <c r="W3873">
        <v>3.2298500000000001E-2</v>
      </c>
      <c r="X3873">
        <v>0.99814979999999998</v>
      </c>
      <c r="Y3873">
        <v>0.38624269999999999</v>
      </c>
      <c r="Z3873">
        <v>6.3896439999999999E-3</v>
      </c>
      <c r="AA3873">
        <v>0.9223751</v>
      </c>
      <c r="AB3873">
        <v>32</v>
      </c>
      <c r="AC3873">
        <v>55.391999999999904</v>
      </c>
      <c r="AD3873">
        <v>1.6890480000000001</v>
      </c>
      <c r="AE3873">
        <v>-21.7014999999999</v>
      </c>
      <c r="AF3873">
        <v>23.083085537052</v>
      </c>
      <c r="AG3873">
        <v>1.6890480000000001</v>
      </c>
      <c r="AH3873">
        <v>54.778655090746497</v>
      </c>
      <c r="AI3873">
        <v>88.372416041725003</v>
      </c>
      <c r="AJ3873">
        <v>67.150010511529302</v>
      </c>
      <c r="AK3873">
        <v>59.467493427990803</v>
      </c>
    </row>
    <row r="3874" spans="1:37" x14ac:dyDescent="0.2">
      <c r="A3874" t="str">
        <f>"20200111155625879"</f>
        <v>20200111155625879</v>
      </c>
      <c r="B3874" t="str">
        <f>"1578729385867043"</f>
        <v>1578729385867043</v>
      </c>
      <c r="C3874" t="s">
        <v>37</v>
      </c>
      <c r="D3874">
        <v>4.3533530000000003</v>
      </c>
      <c r="E3874">
        <v>0.63838619999999902</v>
      </c>
      <c r="F3874" t="s">
        <v>69</v>
      </c>
      <c r="G3874">
        <v>-168.41540000000001</v>
      </c>
      <c r="H3874">
        <v>2.5539520000000002</v>
      </c>
      <c r="I3874">
        <v>194.12209999999999</v>
      </c>
      <c r="J3874">
        <v>-223.47720000000001</v>
      </c>
      <c r="K3874">
        <v>1.1029519999999999</v>
      </c>
      <c r="L3874">
        <v>216.20179999999999</v>
      </c>
      <c r="M3874">
        <v>0.99963369999999996</v>
      </c>
      <c r="N3874">
        <v>0</v>
      </c>
      <c r="O3874">
        <v>2.2861670000000001E-2</v>
      </c>
      <c r="P3874">
        <v>0.99925299999999995</v>
      </c>
      <c r="Q3874">
        <v>1.916168E-2</v>
      </c>
      <c r="R3874">
        <v>-3.356079E-2</v>
      </c>
      <c r="S3874">
        <v>2.9692989999999999</v>
      </c>
      <c r="T3874">
        <v>7.7767610000000001E-2</v>
      </c>
      <c r="U3874">
        <v>-1.183273</v>
      </c>
      <c r="V3874">
        <v>5.655752E-2</v>
      </c>
      <c r="W3874">
        <v>3.3358890000000002E-2</v>
      </c>
      <c r="X3874">
        <v>0.99784189999999995</v>
      </c>
      <c r="Y3874">
        <v>0.39121129999999998</v>
      </c>
      <c r="Z3874">
        <v>5.5108550000000003E-3</v>
      </c>
      <c r="AA3874">
        <v>0.9202844</v>
      </c>
      <c r="AB3874">
        <v>32</v>
      </c>
      <c r="AC3874">
        <v>55.061799999999998</v>
      </c>
      <c r="AD3874">
        <v>1.4509999999999901</v>
      </c>
      <c r="AE3874">
        <v>-22.079699999999999</v>
      </c>
      <c r="AF3874">
        <v>23.318914420955</v>
      </c>
      <c r="AG3874">
        <v>1.4509999999999901</v>
      </c>
      <c r="AH3874">
        <v>54.509963998909903</v>
      </c>
      <c r="AI3874">
        <v>88.598045153800001</v>
      </c>
      <c r="AJ3874">
        <v>66.839159163223897</v>
      </c>
      <c r="AK3874">
        <v>59.306098724619297</v>
      </c>
    </row>
    <row r="3875" spans="1:37" x14ac:dyDescent="0.2">
      <c r="A3875" t="str">
        <f>"20200111155625902"</f>
        <v>20200111155625902</v>
      </c>
      <c r="B3875" t="str">
        <f>"1578729385897300"</f>
        <v>1578729385897300</v>
      </c>
      <c r="C3875" t="s">
        <v>37</v>
      </c>
      <c r="D3875">
        <v>5.313199</v>
      </c>
      <c r="E3875">
        <v>0.63855899999999999</v>
      </c>
      <c r="F3875" t="s">
        <v>69</v>
      </c>
      <c r="G3875">
        <v>-168.41550000000001</v>
      </c>
      <c r="H3875">
        <v>2.536206</v>
      </c>
      <c r="I3875">
        <v>193.7997</v>
      </c>
      <c r="J3875">
        <v>-223.1523</v>
      </c>
      <c r="K3875">
        <v>1.102684</v>
      </c>
      <c r="L3875">
        <v>216.2062</v>
      </c>
      <c r="M3875">
        <v>0.99969509999999995</v>
      </c>
      <c r="N3875">
        <v>0</v>
      </c>
      <c r="O3875">
        <v>1.9993859999999999E-2</v>
      </c>
      <c r="P3875">
        <v>0.99893559999999904</v>
      </c>
      <c r="Q3875">
        <v>2.273818E-2</v>
      </c>
      <c r="R3875">
        <v>-4.0135570000000002E-2</v>
      </c>
      <c r="S3875">
        <v>2.9603269999999999</v>
      </c>
      <c r="T3875">
        <v>7.7058909999999994E-2</v>
      </c>
      <c r="U3875">
        <v>-1.2044219999999899</v>
      </c>
      <c r="V3875">
        <v>6.0302410000000001E-2</v>
      </c>
      <c r="W3875">
        <v>3.6880540000000003E-2</v>
      </c>
      <c r="X3875">
        <v>0.99749859999999901</v>
      </c>
      <c r="Y3875">
        <v>0.39518300000000001</v>
      </c>
      <c r="Z3875">
        <v>5.4467739999999997E-3</v>
      </c>
      <c r="AA3875">
        <v>0.91858629999999997</v>
      </c>
      <c r="AB3875">
        <v>32</v>
      </c>
      <c r="AC3875">
        <v>54.736799999999903</v>
      </c>
      <c r="AD3875">
        <v>1.433522</v>
      </c>
      <c r="AE3875">
        <v>-22.406499999999902</v>
      </c>
      <c r="AF3875">
        <v>23.4827400397558</v>
      </c>
      <c r="AG3875">
        <v>1.433522</v>
      </c>
      <c r="AH3875">
        <v>54.245949939242699</v>
      </c>
      <c r="AI3875">
        <v>88.610762296991894</v>
      </c>
      <c r="AJ3875">
        <v>66.592508585162605</v>
      </c>
      <c r="AK3875">
        <v>59.127972651783601</v>
      </c>
    </row>
    <row r="3876" spans="1:37" x14ac:dyDescent="0.2">
      <c r="A3876" t="str">
        <f>"20200111155625923"</f>
        <v>20200111155625923</v>
      </c>
      <c r="B3876" t="str">
        <f>"1578729385916819"</f>
        <v>1578729385916819</v>
      </c>
      <c r="C3876" t="s">
        <v>37</v>
      </c>
      <c r="D3876">
        <v>4.0121159999999998</v>
      </c>
      <c r="E3876">
        <v>0.63961299999999999</v>
      </c>
      <c r="F3876" t="s">
        <v>69</v>
      </c>
      <c r="G3876">
        <v>-168.41569999999999</v>
      </c>
      <c r="H3876">
        <v>2.63206399999999</v>
      </c>
      <c r="I3876">
        <v>193.48400000000001</v>
      </c>
      <c r="J3876">
        <v>-222.8399</v>
      </c>
      <c r="K3876">
        <v>1.102471</v>
      </c>
      <c r="L3876">
        <v>216.20939999999999</v>
      </c>
      <c r="M3876">
        <v>0.99975059999999905</v>
      </c>
      <c r="N3876">
        <v>0</v>
      </c>
      <c r="O3876">
        <v>1.6985469999999999E-2</v>
      </c>
      <c r="P3876">
        <v>0.99847240000000004</v>
      </c>
      <c r="Q3876">
        <v>2.698772E-2</v>
      </c>
      <c r="R3876">
        <v>-4.8213730000000003E-2</v>
      </c>
      <c r="S3876">
        <v>2.9520869999999899</v>
      </c>
      <c r="T3876">
        <v>8.2485080000000002E-2</v>
      </c>
      <c r="U3876">
        <v>-1.2254639999999899</v>
      </c>
      <c r="V3876">
        <v>6.5413970000000002E-2</v>
      </c>
      <c r="W3876">
        <v>4.106684E-2</v>
      </c>
      <c r="X3876">
        <v>0.99701280000000003</v>
      </c>
      <c r="Y3876">
        <v>0.3988913</v>
      </c>
      <c r="Z3876">
        <v>5.8065369999999996E-3</v>
      </c>
      <c r="AA3876">
        <v>0.91697980000000001</v>
      </c>
      <c r="AB3876">
        <v>32</v>
      </c>
      <c r="AC3876">
        <v>54.424199999999999</v>
      </c>
      <c r="AD3876">
        <v>1.52959299999999</v>
      </c>
      <c r="AE3876">
        <v>-22.725399999999901</v>
      </c>
      <c r="AF3876">
        <v>23.630744236583599</v>
      </c>
      <c r="AG3876">
        <v>1.52959299999999</v>
      </c>
      <c r="AH3876">
        <v>53.993987489121402</v>
      </c>
      <c r="AI3876">
        <v>88.513376585812296</v>
      </c>
      <c r="AJ3876">
        <v>66.363163582023105</v>
      </c>
      <c r="AK3876">
        <v>58.958480415423601</v>
      </c>
    </row>
    <row r="3877" spans="1:37" x14ac:dyDescent="0.2">
      <c r="A3877" t="str">
        <f>"20200111155625956"</f>
        <v>20200111155625956</v>
      </c>
      <c r="B3877" t="str">
        <f>"1578729385947075"</f>
        <v>1578729385947075</v>
      </c>
      <c r="C3877" t="s">
        <v>37</v>
      </c>
      <c r="D3877">
        <v>3.9993159999999999</v>
      </c>
      <c r="E3877">
        <v>0.64108520000000002</v>
      </c>
      <c r="F3877" t="s">
        <v>69</v>
      </c>
      <c r="G3877">
        <v>-168.41589999999999</v>
      </c>
      <c r="H3877">
        <v>2.7812549999999998</v>
      </c>
      <c r="I3877">
        <v>192.93549999999999</v>
      </c>
      <c r="J3877">
        <v>-222.35339999999999</v>
      </c>
      <c r="K3877">
        <v>1.102212</v>
      </c>
      <c r="L3877">
        <v>216.21199999999999</v>
      </c>
      <c r="M3877">
        <v>0.99982389999999999</v>
      </c>
      <c r="N3877">
        <v>0</v>
      </c>
      <c r="O3877">
        <v>1.189488E-2</v>
      </c>
      <c r="P3877">
        <v>0.99780230000000003</v>
      </c>
      <c r="Q3877">
        <v>3.2245490000000002E-2</v>
      </c>
      <c r="R3877">
        <v>-5.7888410000000001E-2</v>
      </c>
      <c r="S3877">
        <v>2.9414060000000002</v>
      </c>
      <c r="T3877">
        <v>9.0733530000000007E-2</v>
      </c>
      <c r="U3877">
        <v>-1.2578579999999999</v>
      </c>
      <c r="V3877">
        <v>7.0063009999999995E-2</v>
      </c>
      <c r="W3877">
        <v>4.6248919999999999E-2</v>
      </c>
      <c r="X3877">
        <v>0.99646990000000002</v>
      </c>
      <c r="Y3877">
        <v>0.4039372</v>
      </c>
      <c r="Z3877">
        <v>6.3191380000000002E-3</v>
      </c>
      <c r="AA3877">
        <v>0.91476489999999999</v>
      </c>
      <c r="AB3877">
        <v>32</v>
      </c>
      <c r="AC3877">
        <v>53.9375</v>
      </c>
      <c r="AD3877">
        <v>1.6790429999999901</v>
      </c>
      <c r="AE3877">
        <v>-23.276499999999999</v>
      </c>
      <c r="AF3877">
        <v>23.896979002399501</v>
      </c>
      <c r="AG3877">
        <v>1.6790429999999901</v>
      </c>
      <c r="AH3877">
        <v>53.612986148730002</v>
      </c>
      <c r="AI3877">
        <v>88.361505122138695</v>
      </c>
      <c r="AJ3877">
        <v>65.975977177673798</v>
      </c>
      <c r="AK3877">
        <v>58.721691687321901</v>
      </c>
    </row>
    <row r="3878" spans="1:37" x14ac:dyDescent="0.2">
      <c r="A3878" t="str">
        <f>"20200111155625979"</f>
        <v>20200111155625979</v>
      </c>
      <c r="B3878" t="str">
        <f>"1578729385966595"</f>
        <v>1578729385966595</v>
      </c>
      <c r="C3878" t="s">
        <v>37</v>
      </c>
      <c r="D3878">
        <v>3.9818019999999898</v>
      </c>
      <c r="E3878">
        <v>0.64200690000000005</v>
      </c>
      <c r="F3878" t="s">
        <v>69</v>
      </c>
      <c r="G3878">
        <v>-168.4162</v>
      </c>
      <c r="H3878">
        <v>2.994983</v>
      </c>
      <c r="I3878">
        <v>192.2938</v>
      </c>
      <c r="J3878">
        <v>-222.03099999999901</v>
      </c>
      <c r="K3878">
        <v>1.1020779999999999</v>
      </c>
      <c r="L3878">
        <v>216.2123</v>
      </c>
      <c r="M3878">
        <v>0.99986019999999898</v>
      </c>
      <c r="N3878">
        <v>0</v>
      </c>
      <c r="O3878">
        <v>8.3078010000000001E-3</v>
      </c>
      <c r="P3878">
        <v>0.99734699999999998</v>
      </c>
      <c r="Q3878">
        <v>3.468077E-2</v>
      </c>
      <c r="R3878">
        <v>-6.4005099999999995E-2</v>
      </c>
      <c r="S3878">
        <v>2.92794799999999</v>
      </c>
      <c r="T3878">
        <v>0.1027497</v>
      </c>
      <c r="U3878">
        <v>-1.298386</v>
      </c>
      <c r="V3878">
        <v>7.2631870000000001E-2</v>
      </c>
      <c r="W3878">
        <v>4.8640900000000001E-2</v>
      </c>
      <c r="X3878">
        <v>0.99617199999999995</v>
      </c>
      <c r="Y3878">
        <v>0.41274049999999901</v>
      </c>
      <c r="Z3878">
        <v>7.1939739999999997E-3</v>
      </c>
      <c r="AA3878">
        <v>0.91082019999999997</v>
      </c>
      <c r="AB3878">
        <v>32</v>
      </c>
      <c r="AC3878">
        <v>53.614799999999903</v>
      </c>
      <c r="AD3878">
        <v>1.8929050000000001</v>
      </c>
      <c r="AE3878">
        <v>-23.918499999999899</v>
      </c>
      <c r="AF3878">
        <v>24.3378410367967</v>
      </c>
      <c r="AG3878">
        <v>1.8929050000000001</v>
      </c>
      <c r="AH3878">
        <v>53.358747133222501</v>
      </c>
      <c r="AI3878">
        <v>88.151353335627803</v>
      </c>
      <c r="AJ3878">
        <v>65.481456472343197</v>
      </c>
      <c r="AK3878">
        <v>58.677674555989299</v>
      </c>
    </row>
    <row r="3879" spans="1:37" x14ac:dyDescent="0.2">
      <c r="A3879" t="str">
        <f>"20200111155626001"</f>
        <v>20200111155626001</v>
      </c>
      <c r="B3879" t="str">
        <f>"1578729385996851"</f>
        <v>1578729385996851</v>
      </c>
      <c r="C3879" t="s">
        <v>37</v>
      </c>
      <c r="D3879">
        <v>4.1806869999999998</v>
      </c>
      <c r="E3879">
        <v>0.64299099999999998</v>
      </c>
      <c r="F3879" t="s">
        <v>69</v>
      </c>
      <c r="G3879">
        <v>-168.41640000000001</v>
      </c>
      <c r="H3879">
        <v>3.0959750000000001</v>
      </c>
      <c r="I3879">
        <v>191.90280000000001</v>
      </c>
      <c r="J3879">
        <v>-221.7079</v>
      </c>
      <c r="K3879">
        <v>1.101974</v>
      </c>
      <c r="L3879">
        <v>216.21109999999999</v>
      </c>
      <c r="M3879">
        <v>0.99988410000000005</v>
      </c>
      <c r="N3879">
        <v>0</v>
      </c>
      <c r="O3879">
        <v>4.592273E-3</v>
      </c>
      <c r="P3879">
        <v>0.99689810000000001</v>
      </c>
      <c r="Q3879">
        <v>3.7143710000000003E-2</v>
      </c>
      <c r="R3879">
        <v>-6.9387299999999999E-2</v>
      </c>
      <c r="S3879">
        <v>2.9192659999999999</v>
      </c>
      <c r="T3879">
        <v>0.1085675</v>
      </c>
      <c r="U3879">
        <v>-1.3236239999999999</v>
      </c>
      <c r="V3879">
        <v>7.4339409999999995E-2</v>
      </c>
      <c r="W3879">
        <v>5.1070230000000001E-2</v>
      </c>
      <c r="X3879">
        <v>0.99592440000000004</v>
      </c>
      <c r="Y3879">
        <v>0.41688229999999998</v>
      </c>
      <c r="Z3879">
        <v>7.5504639999999998E-3</v>
      </c>
      <c r="AA3879">
        <v>0.90892909999999905</v>
      </c>
      <c r="AB3879">
        <v>32</v>
      </c>
      <c r="AC3879">
        <v>53.2914999999999</v>
      </c>
      <c r="AD3879">
        <v>1.9940009999999999</v>
      </c>
      <c r="AE3879">
        <v>-24.3082999999999</v>
      </c>
      <c r="AF3879">
        <v>24.5243772554402</v>
      </c>
      <c r="AG3879">
        <v>1.9940009999999999</v>
      </c>
      <c r="AH3879">
        <v>53.117737748821099</v>
      </c>
      <c r="AI3879">
        <v>88.0479976194665</v>
      </c>
      <c r="AJ3879">
        <v>65.217302921526496</v>
      </c>
      <c r="AK3879">
        <v>58.539859782097899</v>
      </c>
    </row>
    <row r="3880" spans="1:37" x14ac:dyDescent="0.2">
      <c r="A3880" t="str">
        <f>"20200111155626023"</f>
        <v>20200111155626023</v>
      </c>
      <c r="B3880" t="str">
        <f>"1578729386016371"</f>
        <v>1578729386016371</v>
      </c>
      <c r="C3880" t="s">
        <v>37</v>
      </c>
      <c r="D3880">
        <v>4.1811689999999997</v>
      </c>
      <c r="E3880">
        <v>0.64346059999999905</v>
      </c>
      <c r="F3880" t="s">
        <v>69</v>
      </c>
      <c r="G3880">
        <v>-168.41650000000001</v>
      </c>
      <c r="H3880">
        <v>3.229311</v>
      </c>
      <c r="I3880">
        <v>191.54400000000001</v>
      </c>
      <c r="J3880">
        <v>-221.38380000000001</v>
      </c>
      <c r="K3880">
        <v>1.101893</v>
      </c>
      <c r="L3880">
        <v>216.20869999999999</v>
      </c>
      <c r="M3880">
        <v>0.99989430000000001</v>
      </c>
      <c r="N3880">
        <v>0</v>
      </c>
      <c r="O3880">
        <v>8.0089309999999895E-4</v>
      </c>
      <c r="P3880">
        <v>0.99644069999999996</v>
      </c>
      <c r="Q3880">
        <v>3.9108520000000001E-2</v>
      </c>
      <c r="R3880">
        <v>-7.4677900000000005E-2</v>
      </c>
      <c r="S3880">
        <v>2.9112089999999999</v>
      </c>
      <c r="T3880">
        <v>0.1162142</v>
      </c>
      <c r="U3880">
        <v>-1.3475189999999999</v>
      </c>
      <c r="V3880">
        <v>7.5876199999999894E-2</v>
      </c>
      <c r="W3880">
        <v>5.3006419999999999E-2</v>
      </c>
      <c r="X3880">
        <v>0.99570729999999996</v>
      </c>
      <c r="Y3880">
        <v>0.4205064</v>
      </c>
      <c r="Z3880">
        <v>8.0138650000000002E-3</v>
      </c>
      <c r="AA3880">
        <v>0.90725419999999901</v>
      </c>
      <c r="AB3880">
        <v>32</v>
      </c>
      <c r="AC3880">
        <v>52.967300000000002</v>
      </c>
      <c r="AD3880">
        <v>2.127418</v>
      </c>
      <c r="AE3880">
        <v>-24.6646999999999</v>
      </c>
      <c r="AF3880">
        <v>24.674405950650399</v>
      </c>
      <c r="AG3880">
        <v>2.127418</v>
      </c>
      <c r="AH3880">
        <v>52.8774256217228</v>
      </c>
      <c r="AI3880">
        <v>87.911981941573799</v>
      </c>
      <c r="AJ3880">
        <v>64.984642312682695</v>
      </c>
      <c r="AK3880">
        <v>58.389848062356201</v>
      </c>
    </row>
    <row r="3881" spans="1:37" x14ac:dyDescent="0.2">
      <c r="A3881" t="str">
        <f>"20200111155626046"</f>
        <v>20200111155626046</v>
      </c>
      <c r="B3881" t="str">
        <f>"1578729386036867"</f>
        <v>1578729386036867</v>
      </c>
      <c r="C3881" t="s">
        <v>37</v>
      </c>
      <c r="D3881">
        <v>4.2096349999999996</v>
      </c>
      <c r="E3881">
        <v>0.64386180000000004</v>
      </c>
      <c r="F3881" t="s">
        <v>69</v>
      </c>
      <c r="G3881">
        <v>-168.41659999999999</v>
      </c>
      <c r="H3881">
        <v>3.3239779999999999</v>
      </c>
      <c r="I3881">
        <v>191.28200000000001</v>
      </c>
      <c r="J3881">
        <v>-221.05719999999999</v>
      </c>
      <c r="K3881">
        <v>1.101834</v>
      </c>
      <c r="L3881">
        <v>216.20500000000001</v>
      </c>
      <c r="M3881">
        <v>0.99988999999999995</v>
      </c>
      <c r="N3881">
        <v>0</v>
      </c>
      <c r="O3881">
        <v>-3.0562200000000001E-3</v>
      </c>
      <c r="P3881">
        <v>0.99605829999999995</v>
      </c>
      <c r="Q3881">
        <v>3.985785E-2</v>
      </c>
      <c r="R3881">
        <v>-7.9242699999999999E-2</v>
      </c>
      <c r="S3881">
        <v>2.9035340000000001</v>
      </c>
      <c r="T3881">
        <v>0.1218113</v>
      </c>
      <c r="U3881">
        <v>-1.366425</v>
      </c>
      <c r="V3881">
        <v>7.66125E-2</v>
      </c>
      <c r="W3881">
        <v>5.3736840000000001E-2</v>
      </c>
      <c r="X3881">
        <v>0.99561180000000005</v>
      </c>
      <c r="Y3881">
        <v>0.42274149999999999</v>
      </c>
      <c r="Z3881">
        <v>8.2995150000000004E-3</v>
      </c>
      <c r="AA3881">
        <v>0.90621229999999997</v>
      </c>
      <c r="AB3881">
        <v>32</v>
      </c>
      <c r="AC3881">
        <v>52.640599999999999</v>
      </c>
      <c r="AD3881">
        <v>2.2221440000000001</v>
      </c>
      <c r="AE3881">
        <v>-24.922999999999998</v>
      </c>
      <c r="AF3881">
        <v>24.725992370411401</v>
      </c>
      <c r="AG3881">
        <v>2.2221440000000001</v>
      </c>
      <c r="AH3881">
        <v>52.639905708532702</v>
      </c>
      <c r="AI3881">
        <v>87.8118587628733</v>
      </c>
      <c r="AJ3881">
        <v>64.839638574101201</v>
      </c>
      <c r="AK3881">
        <v>58.200277453476097</v>
      </c>
    </row>
    <row r="3882" spans="1:37" x14ac:dyDescent="0.2">
      <c r="A3882" t="str">
        <f>"20200111155626068"</f>
        <v>20200111155626068</v>
      </c>
      <c r="B3882" t="str">
        <f>"1578729386056387"</f>
        <v>1578729386056387</v>
      </c>
      <c r="C3882" t="s">
        <v>37</v>
      </c>
      <c r="D3882">
        <v>4.2279470000000003</v>
      </c>
      <c r="E3882">
        <v>0.64424190000000003</v>
      </c>
      <c r="F3882" t="s">
        <v>69</v>
      </c>
      <c r="G3882">
        <v>-168.41669999999999</v>
      </c>
      <c r="H3882">
        <v>3.3477610000000002</v>
      </c>
      <c r="I3882">
        <v>191.07380000000001</v>
      </c>
      <c r="J3882">
        <v>-220.745</v>
      </c>
      <c r="K3882">
        <v>1.101791</v>
      </c>
      <c r="L3882">
        <v>216.2002</v>
      </c>
      <c r="M3882">
        <v>0.99987179999999998</v>
      </c>
      <c r="N3882">
        <v>0</v>
      </c>
      <c r="O3882">
        <v>-6.7635789999999996E-3</v>
      </c>
      <c r="P3882">
        <v>0.9957009</v>
      </c>
      <c r="Q3882">
        <v>3.9740259999999999E-2</v>
      </c>
      <c r="R3882">
        <v>-8.3669069999999998E-2</v>
      </c>
      <c r="S3882">
        <v>2.8968959999999999</v>
      </c>
      <c r="T3882">
        <v>0.1235989</v>
      </c>
      <c r="U3882">
        <v>-1.383011</v>
      </c>
      <c r="V3882">
        <v>7.7351349999999999E-2</v>
      </c>
      <c r="W3882">
        <v>5.3604949999999998E-2</v>
      </c>
      <c r="X3882">
        <v>0.99556180000000005</v>
      </c>
      <c r="Y3882">
        <v>0.42440800000000001</v>
      </c>
      <c r="Z3882">
        <v>8.3126239999999994E-3</v>
      </c>
      <c r="AA3882">
        <v>0.90543289999999998</v>
      </c>
      <c r="AB3882">
        <v>32</v>
      </c>
      <c r="AC3882">
        <v>52.328299999999999</v>
      </c>
      <c r="AD3882">
        <v>2.2459699999999998</v>
      </c>
      <c r="AE3882">
        <v>-25.126399999999901</v>
      </c>
      <c r="AF3882">
        <v>24.7348324357602</v>
      </c>
      <c r="AG3882">
        <v>2.2459699999999998</v>
      </c>
      <c r="AH3882">
        <v>52.418592783627503</v>
      </c>
      <c r="AI3882">
        <v>87.780931593944601</v>
      </c>
      <c r="AJ3882">
        <v>64.738717667226197</v>
      </c>
      <c r="AK3882">
        <v>58.004872090901102</v>
      </c>
    </row>
    <row r="3883" spans="1:37" x14ac:dyDescent="0.2">
      <c r="A3883" t="str">
        <f>"20200111155626090"</f>
        <v>20200111155626090</v>
      </c>
      <c r="B3883" t="str">
        <f>"1578729386086643"</f>
        <v>1578729386086643</v>
      </c>
      <c r="C3883" t="s">
        <v>37</v>
      </c>
      <c r="D3883">
        <v>4.2274989999999999</v>
      </c>
      <c r="E3883">
        <v>0.64480360000000003</v>
      </c>
      <c r="F3883" t="s">
        <v>69</v>
      </c>
      <c r="G3883">
        <v>-168.41669999999999</v>
      </c>
      <c r="H3883">
        <v>3.3041939999999999</v>
      </c>
      <c r="I3883">
        <v>190.87469999999999</v>
      </c>
      <c r="J3883">
        <v>-220.42099999999999</v>
      </c>
      <c r="K3883">
        <v>1.101766</v>
      </c>
      <c r="L3883">
        <v>216.19399999999999</v>
      </c>
      <c r="M3883">
        <v>0.99983820000000001</v>
      </c>
      <c r="N3883">
        <v>0</v>
      </c>
      <c r="O3883">
        <v>-1.0618000000000001E-2</v>
      </c>
      <c r="P3883">
        <v>0.99534509999999898</v>
      </c>
      <c r="Q3883">
        <v>3.961514E-2</v>
      </c>
      <c r="R3883">
        <v>-8.7857299999999999E-2</v>
      </c>
      <c r="S3883">
        <v>2.890533</v>
      </c>
      <c r="T3883">
        <v>0.1216593</v>
      </c>
      <c r="U3883">
        <v>-1.398941</v>
      </c>
      <c r="V3883">
        <v>7.7704789999999996E-2</v>
      </c>
      <c r="W3883">
        <v>5.3470669999999998E-2</v>
      </c>
      <c r="X3883">
        <v>0.99554149999999997</v>
      </c>
      <c r="Y3883">
        <v>0.425755099999999</v>
      </c>
      <c r="Z3883">
        <v>8.0625839999999994E-3</v>
      </c>
      <c r="AA3883">
        <v>0.90480260000000001</v>
      </c>
      <c r="AB3883">
        <v>32</v>
      </c>
      <c r="AC3883">
        <v>52.004300000000001</v>
      </c>
      <c r="AD3883">
        <v>2.2024279999999998</v>
      </c>
      <c r="AE3883">
        <v>-25.319299999999998</v>
      </c>
      <c r="AF3883">
        <v>24.729776599322498</v>
      </c>
      <c r="AG3883">
        <v>2.2024279999999998</v>
      </c>
      <c r="AH3883">
        <v>52.194559109034202</v>
      </c>
      <c r="AI3883">
        <v>87.8162054688203</v>
      </c>
      <c r="AJ3883">
        <v>64.648410767673298</v>
      </c>
      <c r="AK3883">
        <v>57.798655177556199</v>
      </c>
    </row>
    <row r="3884" spans="1:37" x14ac:dyDescent="0.2">
      <c r="A3884" t="str">
        <f>"20200111155626113"</f>
        <v>20200111155626113</v>
      </c>
      <c r="B3884" t="str">
        <f>"1578729386107138"</f>
        <v>1578729386107138</v>
      </c>
      <c r="C3884" t="s">
        <v>37</v>
      </c>
      <c r="D3884">
        <v>4.1927649999999996</v>
      </c>
      <c r="E3884">
        <v>0.64518609999999998</v>
      </c>
      <c r="F3884" t="s">
        <v>69</v>
      </c>
      <c r="G3884">
        <v>-168.41679999999999</v>
      </c>
      <c r="H3884">
        <v>3.238302</v>
      </c>
      <c r="I3884">
        <v>190.67230000000001</v>
      </c>
      <c r="J3884">
        <v>-220.09729999999999</v>
      </c>
      <c r="K3884">
        <v>1.101742</v>
      </c>
      <c r="L3884">
        <v>216.1867</v>
      </c>
      <c r="M3884">
        <v>0.99978999999999996</v>
      </c>
      <c r="N3884">
        <v>0</v>
      </c>
      <c r="O3884">
        <v>-1.4470459999999999E-2</v>
      </c>
      <c r="P3884">
        <v>0.99495400000000001</v>
      </c>
      <c r="Q3884">
        <v>3.965958E-2</v>
      </c>
      <c r="R3884">
        <v>-9.2160640000000002E-2</v>
      </c>
      <c r="S3884">
        <v>2.884369</v>
      </c>
      <c r="T3884">
        <v>0.118503</v>
      </c>
      <c r="U3884">
        <v>-1.415543</v>
      </c>
      <c r="V3884">
        <v>7.8176670000000004E-2</v>
      </c>
      <c r="W3884">
        <v>5.3506390000000001E-2</v>
      </c>
      <c r="X3884">
        <v>0.99550269999999996</v>
      </c>
      <c r="Y3884">
        <v>0.42724979999999901</v>
      </c>
      <c r="Z3884">
        <v>7.7388300000000004E-3</v>
      </c>
      <c r="AA3884">
        <v>0.90410049999999997</v>
      </c>
      <c r="AB3884">
        <v>32</v>
      </c>
      <c r="AC3884">
        <v>51.680500000000002</v>
      </c>
      <c r="AD3884">
        <v>2.1365599999999998</v>
      </c>
      <c r="AE3884">
        <v>-25.514399999999899</v>
      </c>
      <c r="AF3884">
        <v>24.7298250056533</v>
      </c>
      <c r="AG3884">
        <v>2.1365599999999998</v>
      </c>
      <c r="AH3884">
        <v>51.972910735116898</v>
      </c>
      <c r="AI3884">
        <v>87.874093391042507</v>
      </c>
      <c r="AJ3884">
        <v>64.553893464232502</v>
      </c>
      <c r="AK3884">
        <v>57.596116047215098</v>
      </c>
    </row>
    <row r="3885" spans="1:37" x14ac:dyDescent="0.2">
      <c r="A3885" t="str">
        <f>"20200111155626135"</f>
        <v>20200111155626135</v>
      </c>
      <c r="B3885" t="str">
        <f>"1578729386126659"</f>
        <v>1578729386126659</v>
      </c>
      <c r="C3885" t="s">
        <v>37</v>
      </c>
      <c r="D3885">
        <v>4.2241910000000003</v>
      </c>
      <c r="E3885">
        <v>0.64554630000000002</v>
      </c>
      <c r="F3885" t="s">
        <v>69</v>
      </c>
      <c r="G3885">
        <v>-168.41679999999999</v>
      </c>
      <c r="H3885">
        <v>3.171208</v>
      </c>
      <c r="I3885">
        <v>190.4924</v>
      </c>
      <c r="J3885">
        <v>-219.7834</v>
      </c>
      <c r="K3885">
        <v>1.1017139999999901</v>
      </c>
      <c r="L3885">
        <v>216.17830000000001</v>
      </c>
      <c r="M3885">
        <v>0.99972890000000003</v>
      </c>
      <c r="N3885">
        <v>0</v>
      </c>
      <c r="O3885">
        <v>-1.820196E-2</v>
      </c>
      <c r="P3885">
        <v>0.99462909999999904</v>
      </c>
      <c r="Q3885">
        <v>3.8354840000000001E-2</v>
      </c>
      <c r="R3885">
        <v>-9.6134419999999998E-2</v>
      </c>
      <c r="S3885">
        <v>2.878082</v>
      </c>
      <c r="T3885">
        <v>0.115250299999999</v>
      </c>
      <c r="U3885">
        <v>-1.4309080000000001</v>
      </c>
      <c r="V3885">
        <v>7.8428189999999995E-2</v>
      </c>
      <c r="W3885">
        <v>5.2196439999999997E-2</v>
      </c>
      <c r="X3885">
        <v>0.995552399999999</v>
      </c>
      <c r="Y3885">
        <v>0.42855090000000001</v>
      </c>
      <c r="Z3885">
        <v>7.4166340000000001E-3</v>
      </c>
      <c r="AA3885">
        <v>0.90348719999999905</v>
      </c>
      <c r="AB3885">
        <v>32</v>
      </c>
      <c r="AC3885">
        <v>51.366599999999998</v>
      </c>
      <c r="AD3885">
        <v>2.0694940000000002</v>
      </c>
      <c r="AE3885">
        <v>-25.6859</v>
      </c>
      <c r="AF3885">
        <v>24.714480825051801</v>
      </c>
      <c r="AG3885">
        <v>2.0694940000000002</v>
      </c>
      <c r="AH3885">
        <v>51.758463422006997</v>
      </c>
      <c r="AI3885">
        <v>87.9335857521028</v>
      </c>
      <c r="AJ3885">
        <v>64.475691825544303</v>
      </c>
      <c r="AK3885">
        <v>57.3936137882529</v>
      </c>
    </row>
    <row r="3886" spans="1:37" x14ac:dyDescent="0.2">
      <c r="A3886" t="str">
        <f>"20200111155626157"</f>
        <v>20200111155626157</v>
      </c>
      <c r="B3886" t="str">
        <f>"1578729386147155"</f>
        <v>1578729386147155</v>
      </c>
      <c r="C3886" t="s">
        <v>37</v>
      </c>
      <c r="D3886">
        <v>4.2482850000000001</v>
      </c>
      <c r="E3886">
        <v>0.64586160000000004</v>
      </c>
      <c r="F3886" t="s">
        <v>69</v>
      </c>
      <c r="G3886">
        <v>-168.41679999999999</v>
      </c>
      <c r="H3886">
        <v>3.0151379999999999</v>
      </c>
      <c r="I3886">
        <v>190.33330000000001</v>
      </c>
      <c r="J3886">
        <v>-219.46520000000001</v>
      </c>
      <c r="K3886">
        <v>1.101699</v>
      </c>
      <c r="L3886">
        <v>216.1686</v>
      </c>
      <c r="M3886">
        <v>0.99965309999999896</v>
      </c>
      <c r="N3886">
        <v>0</v>
      </c>
      <c r="O3886">
        <v>-2.1980909999999999E-2</v>
      </c>
      <c r="P3886">
        <v>0.9942299</v>
      </c>
      <c r="Q3886">
        <v>3.6729589999999999E-2</v>
      </c>
      <c r="R3886">
        <v>-0.1007865</v>
      </c>
      <c r="S3886">
        <v>2.8723909999999999</v>
      </c>
      <c r="T3886">
        <v>0.106999499999999</v>
      </c>
      <c r="U3886">
        <v>-1.445236</v>
      </c>
      <c r="V3886">
        <v>7.9309350000000001E-2</v>
      </c>
      <c r="W3886">
        <v>5.0561630000000003E-2</v>
      </c>
      <c r="X3886">
        <v>0.99556699999999998</v>
      </c>
      <c r="Y3886">
        <v>0.42949039999999999</v>
      </c>
      <c r="Z3886">
        <v>6.7749790000000004E-3</v>
      </c>
      <c r="AA3886">
        <v>0.90304599999999902</v>
      </c>
      <c r="AB3886">
        <v>32</v>
      </c>
      <c r="AC3886">
        <v>51.048400000000001</v>
      </c>
      <c r="AD3886">
        <v>1.9134389999999999</v>
      </c>
      <c r="AE3886">
        <v>-25.835299999999901</v>
      </c>
      <c r="AF3886">
        <v>24.679244869424998</v>
      </c>
      <c r="AG3886">
        <v>1.9134389999999999</v>
      </c>
      <c r="AH3886">
        <v>51.546353028752002</v>
      </c>
      <c r="AI3886">
        <v>88.082387419205105</v>
      </c>
      <c r="AJ3886">
        <v>64.415939426597205</v>
      </c>
      <c r="AK3886">
        <v>57.1817530921927</v>
      </c>
    </row>
    <row r="3887" spans="1:37" x14ac:dyDescent="0.2">
      <c r="A3887" t="str">
        <f>"20200111155626180"</f>
        <v>20200111155626180</v>
      </c>
      <c r="B3887" t="str">
        <f>"1578729386176436"</f>
        <v>1578729386176436</v>
      </c>
      <c r="C3887" t="s">
        <v>37</v>
      </c>
      <c r="D3887">
        <v>4.2801260000000001</v>
      </c>
      <c r="E3887">
        <v>0.64628969999999997</v>
      </c>
      <c r="F3887" t="s">
        <v>69</v>
      </c>
      <c r="G3887">
        <v>-168.41679999999999</v>
      </c>
      <c r="H3887">
        <v>2.845837</v>
      </c>
      <c r="I3887">
        <v>190.14250000000001</v>
      </c>
      <c r="J3887">
        <v>-219.1431</v>
      </c>
      <c r="K3887">
        <v>1.10168</v>
      </c>
      <c r="L3887">
        <v>216.1575</v>
      </c>
      <c r="M3887">
        <v>0.99956179999999994</v>
      </c>
      <c r="N3887">
        <v>0</v>
      </c>
      <c r="O3887">
        <v>-2.5801950000000001E-2</v>
      </c>
      <c r="P3887">
        <v>0.9937608</v>
      </c>
      <c r="Q3887">
        <v>3.4841209999999997E-2</v>
      </c>
      <c r="R3887">
        <v>-0.1059533</v>
      </c>
      <c r="S3887">
        <v>2.8656769999999998</v>
      </c>
      <c r="T3887">
        <v>9.7911719999999994E-2</v>
      </c>
      <c r="U3887">
        <v>-1.461014</v>
      </c>
      <c r="V3887">
        <v>8.0662910000000004E-2</v>
      </c>
      <c r="W3887">
        <v>4.8659479999999998E-2</v>
      </c>
      <c r="X3887">
        <v>0.99555300000000002</v>
      </c>
      <c r="Y3887">
        <v>0.43087979999999998</v>
      </c>
      <c r="Z3887">
        <v>6.1052800000000003E-3</v>
      </c>
      <c r="AA3887">
        <v>0.90238869999999904</v>
      </c>
      <c r="AB3887">
        <v>32</v>
      </c>
      <c r="AC3887">
        <v>50.726300000000002</v>
      </c>
      <c r="AD3887">
        <v>1.744157</v>
      </c>
      <c r="AE3887">
        <v>-26.014999999999901</v>
      </c>
      <c r="AF3887">
        <v>24.6742657115337</v>
      </c>
      <c r="AG3887">
        <v>1.744157</v>
      </c>
      <c r="AH3887">
        <v>51.332667112917001</v>
      </c>
      <c r="AI3887">
        <v>88.245952657625296</v>
      </c>
      <c r="AJ3887">
        <v>64.327627945447603</v>
      </c>
      <c r="AK3887">
        <v>56.981612691898903</v>
      </c>
    </row>
    <row r="3888" spans="1:37" x14ac:dyDescent="0.2">
      <c r="A3888" t="str">
        <f>"20200111155626202"</f>
        <v>20200111155626202</v>
      </c>
      <c r="B3888" t="str">
        <f>"1578729386196931"</f>
        <v>1578729386196931</v>
      </c>
      <c r="C3888" t="s">
        <v>37</v>
      </c>
      <c r="D3888">
        <v>4.2485970000000002</v>
      </c>
      <c r="E3888">
        <v>0.64655379999999996</v>
      </c>
      <c r="F3888" t="s">
        <v>69</v>
      </c>
      <c r="G3888">
        <v>-168.4169</v>
      </c>
      <c r="H3888">
        <v>2.6881689999999998</v>
      </c>
      <c r="I3888">
        <v>189.90039999999999</v>
      </c>
      <c r="J3888">
        <v>-218.82220000000001</v>
      </c>
      <c r="K3888">
        <v>1.101669</v>
      </c>
      <c r="L3888">
        <v>216.14519999999999</v>
      </c>
      <c r="M3888">
        <v>0.99945629999999996</v>
      </c>
      <c r="N3888">
        <v>0</v>
      </c>
      <c r="O3888">
        <v>-2.960718E-2</v>
      </c>
      <c r="P3888">
        <v>0.99317350000000004</v>
      </c>
      <c r="Q3888">
        <v>3.3876539999999997E-2</v>
      </c>
      <c r="R3888">
        <v>-0.1116202</v>
      </c>
      <c r="S3888">
        <v>2.857971</v>
      </c>
      <c r="T3888">
        <v>8.9386339999999995E-2</v>
      </c>
      <c r="U3888">
        <v>-1.479355</v>
      </c>
      <c r="V3888">
        <v>8.2544099999999995E-2</v>
      </c>
      <c r="W3888">
        <v>4.7676429999999999E-2</v>
      </c>
      <c r="X3888">
        <v>0.99544630000000001</v>
      </c>
      <c r="Y3888">
        <v>0.43303819999999998</v>
      </c>
      <c r="Z3888">
        <v>5.4997980000000002E-3</v>
      </c>
      <c r="AA3888">
        <v>0.90135880000000002</v>
      </c>
      <c r="AB3888">
        <v>32</v>
      </c>
      <c r="AC3888">
        <v>50.405299999999997</v>
      </c>
      <c r="AD3888">
        <v>1.58649999999999</v>
      </c>
      <c r="AE3888">
        <v>-26.244800000000001</v>
      </c>
      <c r="AF3888">
        <v>24.7215089031011</v>
      </c>
      <c r="AG3888">
        <v>1.58649999999999</v>
      </c>
      <c r="AH3888">
        <v>51.120472485112899</v>
      </c>
      <c r="AI3888">
        <v>88.399625816552202</v>
      </c>
      <c r="AJ3888">
        <v>64.191908684805497</v>
      </c>
      <c r="AK3888">
        <v>56.8064493855873</v>
      </c>
    </row>
    <row r="3889" spans="1:37" x14ac:dyDescent="0.2">
      <c r="A3889" t="str">
        <f>"20200111155626224"</f>
        <v>20200111155626224</v>
      </c>
      <c r="B3889" t="str">
        <f>"1578729386216451"</f>
        <v>1578729386216451</v>
      </c>
      <c r="C3889" t="s">
        <v>37</v>
      </c>
      <c r="D3889">
        <v>4.2511159999999997</v>
      </c>
      <c r="E3889">
        <v>0.64678789999999997</v>
      </c>
      <c r="F3889" t="s">
        <v>69</v>
      </c>
      <c r="G3889">
        <v>-168.4169</v>
      </c>
      <c r="H3889">
        <v>2.6180910000000002</v>
      </c>
      <c r="I3889">
        <v>189.65299999999999</v>
      </c>
      <c r="J3889">
        <v>-218.51159999999999</v>
      </c>
      <c r="K3889">
        <v>1.1016790000000001</v>
      </c>
      <c r="L3889">
        <v>216.13220000000001</v>
      </c>
      <c r="M3889">
        <v>0.99934040000000002</v>
      </c>
      <c r="N3889">
        <v>0</v>
      </c>
      <c r="O3889">
        <v>-3.3291000000000001E-2</v>
      </c>
      <c r="P3889">
        <v>0.99252479999999998</v>
      </c>
      <c r="Q3889">
        <v>3.4563969999999999E-2</v>
      </c>
      <c r="R3889">
        <v>-0.1170469</v>
      </c>
      <c r="S3889">
        <v>2.84938</v>
      </c>
      <c r="T3889">
        <v>8.5724350000000005E-2</v>
      </c>
      <c r="U3889">
        <v>-1.4975889999999901</v>
      </c>
      <c r="V3889">
        <v>8.4322770000000005E-2</v>
      </c>
      <c r="W3889">
        <v>4.8345609999999997E-2</v>
      </c>
      <c r="X3889">
        <v>0.99526489999999901</v>
      </c>
      <c r="Y3889">
        <v>0.43536759999999902</v>
      </c>
      <c r="Z3889">
        <v>5.2106169999999999E-3</v>
      </c>
      <c r="AA3889">
        <v>0.90023770000000003</v>
      </c>
      <c r="AB3889">
        <v>32</v>
      </c>
      <c r="AC3889">
        <v>50.094699999999897</v>
      </c>
      <c r="AD3889">
        <v>1.5164120000000001</v>
      </c>
      <c r="AE3889">
        <v>-26.479199999999999</v>
      </c>
      <c r="AF3889">
        <v>24.778894263393301</v>
      </c>
      <c r="AG3889">
        <v>1.5164120000000001</v>
      </c>
      <c r="AH3889">
        <v>50.912074454159601</v>
      </c>
      <c r="AI3889">
        <v>88.465905699409007</v>
      </c>
      <c r="AJ3889">
        <v>64.047824362685105</v>
      </c>
      <c r="AK3889">
        <v>56.6421435990558</v>
      </c>
    </row>
    <row r="3890" spans="1:37" x14ac:dyDescent="0.2">
      <c r="A3890" t="str">
        <f>"20200111155626246"</f>
        <v>20200111155626246</v>
      </c>
      <c r="B3890" t="str">
        <f>"1578729386236947"</f>
        <v>1578729386236947</v>
      </c>
      <c r="C3890" t="s">
        <v>37</v>
      </c>
      <c r="D3890">
        <v>4.2762310000000001</v>
      </c>
      <c r="E3890">
        <v>0.64704479999999998</v>
      </c>
      <c r="F3890" t="s">
        <v>69</v>
      </c>
      <c r="G3890">
        <v>-168.417</v>
      </c>
      <c r="H3890">
        <v>2.6547139999999998</v>
      </c>
      <c r="I3890">
        <v>189.41669999999999</v>
      </c>
      <c r="J3890">
        <v>-218.19319999999999</v>
      </c>
      <c r="K3890">
        <v>1.1016889999999999</v>
      </c>
      <c r="L3890">
        <v>216.11760000000001</v>
      </c>
      <c r="M3890">
        <v>0.99920759999999897</v>
      </c>
      <c r="N3890">
        <v>0</v>
      </c>
      <c r="O3890">
        <v>-3.7066439999999999E-2</v>
      </c>
      <c r="P3890">
        <v>0.99187639999999999</v>
      </c>
      <c r="Q3890">
        <v>3.494187E-2</v>
      </c>
      <c r="R3890">
        <v>-0.122312899999999</v>
      </c>
      <c r="S3890">
        <v>2.8408509999999998</v>
      </c>
      <c r="T3890">
        <v>8.807421E-2</v>
      </c>
      <c r="U3890">
        <v>-1.5150299999999901</v>
      </c>
      <c r="V3890">
        <v>8.5848359999999999E-2</v>
      </c>
      <c r="W3890">
        <v>4.8708050000000003E-2</v>
      </c>
      <c r="X3890">
        <v>0.99511689999999997</v>
      </c>
      <c r="Y3890">
        <v>0.43738440000000001</v>
      </c>
      <c r="Z3890">
        <v>5.2805109999999999E-3</v>
      </c>
      <c r="AA3890">
        <v>0.89925919999999904</v>
      </c>
      <c r="AB3890">
        <v>32</v>
      </c>
      <c r="AC3890">
        <v>49.776199999999903</v>
      </c>
      <c r="AD3890">
        <v>1.5530250000000001</v>
      </c>
      <c r="AE3890">
        <v>-26.700900000000001</v>
      </c>
      <c r="AF3890">
        <v>24.8185656734079</v>
      </c>
      <c r="AG3890">
        <v>1.5530250000000001</v>
      </c>
      <c r="AH3890">
        <v>50.693477253305197</v>
      </c>
      <c r="AI3890">
        <v>88.423902951066495</v>
      </c>
      <c r="AJ3890">
        <v>63.914505887677898</v>
      </c>
      <c r="AK3890">
        <v>56.464163190179903</v>
      </c>
    </row>
    <row r="3891" spans="1:37" x14ac:dyDescent="0.2">
      <c r="A3891" t="str">
        <f>"20200111155626269"</f>
        <v>20200111155626269</v>
      </c>
      <c r="B3891" t="str">
        <f>"1578729386267203"</f>
        <v>1578729386267203</v>
      </c>
      <c r="C3891" t="s">
        <v>37</v>
      </c>
      <c r="D3891">
        <v>4.2656879999999999</v>
      </c>
      <c r="E3891">
        <v>0.64740430000000004</v>
      </c>
      <c r="F3891" t="s">
        <v>69</v>
      </c>
      <c r="G3891">
        <v>-168.4171</v>
      </c>
      <c r="H3891">
        <v>2.6795019999999998</v>
      </c>
      <c r="I3891">
        <v>189.19409999999999</v>
      </c>
      <c r="J3891">
        <v>-217.87099999999899</v>
      </c>
      <c r="K3891">
        <v>1.101701</v>
      </c>
      <c r="L3891">
        <v>216.10159999999999</v>
      </c>
      <c r="M3891">
        <v>0.99905840000000001</v>
      </c>
      <c r="N3891">
        <v>0</v>
      </c>
      <c r="O3891">
        <v>-4.088965E-2</v>
      </c>
      <c r="P3891">
        <v>0.99130200000000002</v>
      </c>
      <c r="Q3891">
        <v>3.5284160000000002E-2</v>
      </c>
      <c r="R3891">
        <v>-0.12678900000000001</v>
      </c>
      <c r="S3891">
        <v>2.8324739999999999</v>
      </c>
      <c r="T3891">
        <v>8.9786169999999998E-2</v>
      </c>
      <c r="U3891">
        <v>-1.5320590000000001</v>
      </c>
      <c r="V3891">
        <v>8.6535600000000004E-2</v>
      </c>
      <c r="W3891">
        <v>4.9042870000000002E-2</v>
      </c>
      <c r="X3891">
        <v>0.99504090000000001</v>
      </c>
      <c r="Y3891">
        <v>0.43923400000000001</v>
      </c>
      <c r="Z3891">
        <v>5.3046259999999998E-3</v>
      </c>
      <c r="AA3891">
        <v>0.89835699999999996</v>
      </c>
      <c r="AB3891">
        <v>32</v>
      </c>
      <c r="AC3891">
        <v>49.453899999999898</v>
      </c>
      <c r="AD3891">
        <v>1.57780099999999</v>
      </c>
      <c r="AE3891">
        <v>-26.907499999999999</v>
      </c>
      <c r="AF3891">
        <v>24.843114734469001</v>
      </c>
      <c r="AG3891">
        <v>1.57780099999999</v>
      </c>
      <c r="AH3891">
        <v>50.473244191484298</v>
      </c>
      <c r="AI3891">
        <v>88.393455433163695</v>
      </c>
      <c r="AJ3891">
        <v>63.793420688079401</v>
      </c>
      <c r="AK3891">
        <v>56.278043542031497</v>
      </c>
    </row>
    <row r="3892" spans="1:37" x14ac:dyDescent="0.2">
      <c r="A3892" t="str">
        <f>"20200111155626291"</f>
        <v>20200111155626291</v>
      </c>
      <c r="B3892" t="str">
        <f>"1578729386286723"</f>
        <v>1578729386286723</v>
      </c>
      <c r="C3892" t="s">
        <v>37</v>
      </c>
      <c r="D3892">
        <v>4.256094</v>
      </c>
      <c r="E3892">
        <v>0.64763859999999995</v>
      </c>
      <c r="F3892" t="s">
        <v>69</v>
      </c>
      <c r="G3892">
        <v>-168.41720000000001</v>
      </c>
      <c r="H3892">
        <v>2.6758060000000001</v>
      </c>
      <c r="I3892">
        <v>189.0104</v>
      </c>
      <c r="J3892">
        <v>-217.55439999999999</v>
      </c>
      <c r="K3892">
        <v>1.101707</v>
      </c>
      <c r="L3892">
        <v>216.0847</v>
      </c>
      <c r="M3892">
        <v>0.99889740000000005</v>
      </c>
      <c r="N3892">
        <v>0</v>
      </c>
      <c r="O3892">
        <v>-4.464775E-2</v>
      </c>
      <c r="P3892">
        <v>0.990865</v>
      </c>
      <c r="Q3892">
        <v>3.5534740000000002E-2</v>
      </c>
      <c r="R3892">
        <v>-0.13009180000000001</v>
      </c>
      <c r="S3892">
        <v>2.82518</v>
      </c>
      <c r="T3892">
        <v>8.9926720000000002E-2</v>
      </c>
      <c r="U3892">
        <v>-1.5476529999999999</v>
      </c>
      <c r="V3892">
        <v>8.6109669999999999E-2</v>
      </c>
      <c r="W3892">
        <v>4.9295770000000003E-2</v>
      </c>
      <c r="X3892">
        <v>0.99506530000000004</v>
      </c>
      <c r="Y3892">
        <v>0.44064750000000003</v>
      </c>
      <c r="Z3892">
        <v>5.228374E-3</v>
      </c>
      <c r="AA3892">
        <v>0.89766499999999905</v>
      </c>
      <c r="AB3892">
        <v>32</v>
      </c>
      <c r="AC3892">
        <v>49.137199999999901</v>
      </c>
      <c r="AD3892">
        <v>1.5740989999999999</v>
      </c>
      <c r="AE3892">
        <v>-27.074299999999901</v>
      </c>
      <c r="AF3892">
        <v>24.8336494148556</v>
      </c>
      <c r="AG3892">
        <v>1.5740989999999999</v>
      </c>
      <c r="AH3892">
        <v>50.257559345490201</v>
      </c>
      <c r="AI3892">
        <v>88.391575466293702</v>
      </c>
      <c r="AJ3892">
        <v>63.704749531051</v>
      </c>
      <c r="AK3892">
        <v>56.080390532584801</v>
      </c>
    </row>
    <row r="3893" spans="1:37" x14ac:dyDescent="0.2">
      <c r="A3893" t="str">
        <f>"20200111155626314"</f>
        <v>20200111155626314</v>
      </c>
      <c r="B3893" t="str">
        <f>"1578729386306243"</f>
        <v>1578729386306243</v>
      </c>
      <c r="C3893" t="s">
        <v>37</v>
      </c>
      <c r="D3893">
        <v>4.2011690000000002</v>
      </c>
      <c r="E3893">
        <v>0.64787680000000003</v>
      </c>
      <c r="F3893" t="s">
        <v>69</v>
      </c>
      <c r="G3893">
        <v>-168.41720000000001</v>
      </c>
      <c r="H3893">
        <v>2.6724349999999899</v>
      </c>
      <c r="I3893">
        <v>188.91829999999999</v>
      </c>
      <c r="J3893">
        <v>-217.23560000000001</v>
      </c>
      <c r="K3893">
        <v>1.1017129999999999</v>
      </c>
      <c r="L3893">
        <v>216.06649999999999</v>
      </c>
      <c r="M3893">
        <v>0.99872109999999903</v>
      </c>
      <c r="N3893">
        <v>0</v>
      </c>
      <c r="O3893">
        <v>-4.843277E-2</v>
      </c>
      <c r="P3893">
        <v>0.9904847</v>
      </c>
      <c r="Q3893">
        <v>3.5126089999999999E-2</v>
      </c>
      <c r="R3893">
        <v>-0.13306479999999901</v>
      </c>
      <c r="S3893">
        <v>2.819763</v>
      </c>
      <c r="T3893">
        <v>9.0138910000000003E-2</v>
      </c>
      <c r="U3893">
        <v>-1.5589599999999999</v>
      </c>
      <c r="V3893">
        <v>8.5319679999999995E-2</v>
      </c>
      <c r="W3893">
        <v>4.8893800000000001E-2</v>
      </c>
      <c r="X3893">
        <v>0.99515319999999996</v>
      </c>
      <c r="Y3893">
        <v>0.44073429999999902</v>
      </c>
      <c r="Z3893">
        <v>5.1339530000000001E-3</v>
      </c>
      <c r="AA3893">
        <v>0.897622899999999</v>
      </c>
      <c r="AB3893">
        <v>32</v>
      </c>
      <c r="AC3893">
        <v>48.818399999999997</v>
      </c>
      <c r="AD3893">
        <v>1.57072199999999</v>
      </c>
      <c r="AE3893">
        <v>-27.148199999999999</v>
      </c>
      <c r="AF3893">
        <v>24.732118721241999</v>
      </c>
      <c r="AG3893">
        <v>1.57072199999999</v>
      </c>
      <c r="AH3893">
        <v>50.036534215575202</v>
      </c>
      <c r="AI3893">
        <v>88.388036687733106</v>
      </c>
      <c r="AJ3893">
        <v>63.697677966250801</v>
      </c>
      <c r="AK3893">
        <v>55.8372601436471</v>
      </c>
    </row>
    <row r="3894" spans="1:37" x14ac:dyDescent="0.2">
      <c r="A3894" t="str">
        <f>"20200111155626336"</f>
        <v>20200111155626336</v>
      </c>
      <c r="B3894" t="str">
        <f>"1578729386326740"</f>
        <v>1578729386326740</v>
      </c>
      <c r="C3894" t="s">
        <v>37</v>
      </c>
      <c r="D3894">
        <v>4.2219230000000003</v>
      </c>
      <c r="E3894">
        <v>0.6481304</v>
      </c>
      <c r="F3894" t="s">
        <v>69</v>
      </c>
      <c r="G3894">
        <v>-168.41720000000001</v>
      </c>
      <c r="H3894">
        <v>2.6394139999999999</v>
      </c>
      <c r="I3894">
        <v>188.85169999999999</v>
      </c>
      <c r="J3894">
        <v>-216.92740000000001</v>
      </c>
      <c r="K3894">
        <v>1.10171</v>
      </c>
      <c r="L3894">
        <v>216.0478</v>
      </c>
      <c r="M3894">
        <v>0.99853689999999995</v>
      </c>
      <c r="N3894">
        <v>0</v>
      </c>
      <c r="O3894">
        <v>-5.2096580000000003E-2</v>
      </c>
      <c r="P3894">
        <v>0.99012239999999996</v>
      </c>
      <c r="Q3894">
        <v>3.414702E-2</v>
      </c>
      <c r="R3894">
        <v>-0.13598360000000001</v>
      </c>
      <c r="S3894">
        <v>2.81488</v>
      </c>
      <c r="T3894">
        <v>8.8666079999999994E-2</v>
      </c>
      <c r="U3894">
        <v>-1.5692139999999899</v>
      </c>
      <c r="V3894">
        <v>8.4591379999999994E-2</v>
      </c>
      <c r="W3894">
        <v>4.7920289999999997E-2</v>
      </c>
      <c r="X3894">
        <v>0.99526269999999994</v>
      </c>
      <c r="Y3894">
        <v>0.44060509999999897</v>
      </c>
      <c r="Z3894">
        <v>4.944927E-3</v>
      </c>
      <c r="AA3894">
        <v>0.89768740000000002</v>
      </c>
      <c r="AB3894">
        <v>32</v>
      </c>
      <c r="AC3894">
        <v>48.510199999999998</v>
      </c>
      <c r="AD3894">
        <v>1.537704</v>
      </c>
      <c r="AE3894">
        <v>-27.196100000000001</v>
      </c>
      <c r="AF3894">
        <v>24.612863578671</v>
      </c>
      <c r="AG3894">
        <v>1.537704</v>
      </c>
      <c r="AH3894">
        <v>49.8231939576659</v>
      </c>
      <c r="AI3894">
        <v>88.414976088470297</v>
      </c>
      <c r="AJ3894">
        <v>63.710437865737497</v>
      </c>
      <c r="AK3894">
        <v>55.592339789552703</v>
      </c>
    </row>
    <row r="3895" spans="1:37" x14ac:dyDescent="0.2">
      <c r="A3895" t="str">
        <f>"20200111155626359"</f>
        <v>20200111155626359</v>
      </c>
      <c r="B3895" t="str">
        <f>"1578729386356995"</f>
        <v>1578729386356995</v>
      </c>
      <c r="C3895" t="s">
        <v>37</v>
      </c>
      <c r="D3895">
        <v>4.198029</v>
      </c>
      <c r="E3895">
        <v>0.64849040000000002</v>
      </c>
      <c r="F3895" t="s">
        <v>69</v>
      </c>
      <c r="G3895">
        <v>-168.41720000000001</v>
      </c>
      <c r="H3895">
        <v>2.5750860000000002</v>
      </c>
      <c r="I3895">
        <v>188.7782</v>
      </c>
      <c r="J3895">
        <v>-216.59989999999999</v>
      </c>
      <c r="K3895">
        <v>1.101704</v>
      </c>
      <c r="L3895">
        <v>216.0266</v>
      </c>
      <c r="M3895">
        <v>0.99832579999999904</v>
      </c>
      <c r="N3895">
        <v>0</v>
      </c>
      <c r="O3895">
        <v>-5.5995259999999998E-2</v>
      </c>
      <c r="P3895">
        <v>0.98960789999999998</v>
      </c>
      <c r="Q3895">
        <v>3.3983230000000003E-2</v>
      </c>
      <c r="R3895">
        <v>-0.1397186</v>
      </c>
      <c r="S3895">
        <v>2.810028</v>
      </c>
      <c r="T3895">
        <v>8.5349560000000005E-2</v>
      </c>
      <c r="U3895">
        <v>-1.579636</v>
      </c>
      <c r="V3895">
        <v>8.4458190000000002E-2</v>
      </c>
      <c r="W3895">
        <v>4.7755980000000003E-2</v>
      </c>
      <c r="X3895">
        <v>0.99528189999999905</v>
      </c>
      <c r="Y3895">
        <v>0.440305</v>
      </c>
      <c r="Z3895">
        <v>4.6495800000000004E-3</v>
      </c>
      <c r="AA3895">
        <v>0.89783619999999897</v>
      </c>
      <c r="AB3895">
        <v>32</v>
      </c>
      <c r="AC3895">
        <v>48.182699999999897</v>
      </c>
      <c r="AD3895">
        <v>1.473382</v>
      </c>
      <c r="AE3895">
        <v>-27.2484</v>
      </c>
      <c r="AF3895">
        <v>24.490001910164501</v>
      </c>
      <c r="AG3895">
        <v>1.473382</v>
      </c>
      <c r="AH3895">
        <v>49.597888957101098</v>
      </c>
      <c r="AI3895">
        <v>88.474208731779697</v>
      </c>
      <c r="AJ3895">
        <v>63.721173448871099</v>
      </c>
      <c r="AK3895">
        <v>55.334271813033901</v>
      </c>
    </row>
    <row r="3896" spans="1:37" x14ac:dyDescent="0.2">
      <c r="A3896" t="str">
        <f>"20200111155626381"</f>
        <v>20200111155626381</v>
      </c>
      <c r="B3896" t="str">
        <f>"1578729386376515"</f>
        <v>1578729386376515</v>
      </c>
      <c r="C3896" t="s">
        <v>37</v>
      </c>
      <c r="D3896">
        <v>4.153645</v>
      </c>
      <c r="E3896">
        <v>0.6487387</v>
      </c>
      <c r="F3896" t="s">
        <v>69</v>
      </c>
      <c r="G3896">
        <v>-168.41720000000001</v>
      </c>
      <c r="H3896">
        <v>2.537623</v>
      </c>
      <c r="I3896">
        <v>188.65520000000001</v>
      </c>
      <c r="J3896">
        <v>-216.29089999999999</v>
      </c>
      <c r="K3896">
        <v>1.101702</v>
      </c>
      <c r="L3896">
        <v>216.00540000000001</v>
      </c>
      <c r="M3896">
        <v>0.99811149999999904</v>
      </c>
      <c r="N3896">
        <v>0</v>
      </c>
      <c r="O3896">
        <v>-5.9692299999999997E-2</v>
      </c>
      <c r="P3896">
        <v>0.98902749999999995</v>
      </c>
      <c r="Q3896">
        <v>3.2764649999999999E-2</v>
      </c>
      <c r="R3896">
        <v>-0.14405279999999901</v>
      </c>
      <c r="S3896">
        <v>2.8037570000000001</v>
      </c>
      <c r="T3896">
        <v>8.3558199999999999E-2</v>
      </c>
      <c r="U3896">
        <v>-1.592743</v>
      </c>
      <c r="V3896">
        <v>8.5120790000000002E-2</v>
      </c>
      <c r="W3896">
        <v>4.6529000000000001E-2</v>
      </c>
      <c r="X3896">
        <v>0.99528359999999905</v>
      </c>
      <c r="Y3896">
        <v>0.44102330000000001</v>
      </c>
      <c r="Z3896">
        <v>4.464445E-3</v>
      </c>
      <c r="AA3896">
        <v>0.89748449999999902</v>
      </c>
      <c r="AB3896">
        <v>31</v>
      </c>
      <c r="AC3896">
        <v>47.8736999999999</v>
      </c>
      <c r="AD3896">
        <v>1.435921</v>
      </c>
      <c r="AE3896">
        <v>-27.350200000000001</v>
      </c>
      <c r="AF3896">
        <v>24.426859951455299</v>
      </c>
      <c r="AG3896">
        <v>1.435921</v>
      </c>
      <c r="AH3896">
        <v>49.387585060262403</v>
      </c>
      <c r="AI3896">
        <v>88.5071438993279</v>
      </c>
      <c r="AJ3896">
        <v>63.683224187195002</v>
      </c>
      <c r="AK3896">
        <v>55.116847826149403</v>
      </c>
    </row>
    <row r="3897" spans="1:37" x14ac:dyDescent="0.2">
      <c r="A3897" t="str">
        <f>"20200111155626402"</f>
        <v>20200111155626402</v>
      </c>
      <c r="B3897" t="str">
        <f>"1578729386397012"</f>
        <v>1578729386397012</v>
      </c>
      <c r="C3897" t="s">
        <v>37</v>
      </c>
      <c r="D3897">
        <v>4.1780860000000004</v>
      </c>
      <c r="E3897">
        <v>0.64897769999999899</v>
      </c>
      <c r="F3897" t="s">
        <v>69</v>
      </c>
      <c r="G3897">
        <v>-168.41730000000001</v>
      </c>
      <c r="H3897">
        <v>2.4578449999999998</v>
      </c>
      <c r="I3897">
        <v>188.4939</v>
      </c>
      <c r="J3897">
        <v>-215.9787</v>
      </c>
      <c r="K3897">
        <v>1.1016969999999999</v>
      </c>
      <c r="L3897">
        <v>215.98269999999999</v>
      </c>
      <c r="M3897">
        <v>0.99788009999999905</v>
      </c>
      <c r="N3897">
        <v>0</v>
      </c>
      <c r="O3897">
        <v>-6.344669E-2</v>
      </c>
      <c r="P3897">
        <v>0.98831829999999998</v>
      </c>
      <c r="Q3897">
        <v>3.2003810000000001E-2</v>
      </c>
      <c r="R3897">
        <v>-0.14900679999999999</v>
      </c>
      <c r="S3897">
        <v>2.79657</v>
      </c>
      <c r="T3897">
        <v>7.9221840000000002E-2</v>
      </c>
      <c r="U3897">
        <v>-1.6071009999999999</v>
      </c>
      <c r="V3897">
        <v>8.6357729999999994E-2</v>
      </c>
      <c r="W3897">
        <v>4.5753540000000002E-2</v>
      </c>
      <c r="X3897">
        <v>0.99521299999999902</v>
      </c>
      <c r="Y3897">
        <v>0.44212209999999902</v>
      </c>
      <c r="Z3897">
        <v>4.153945E-3</v>
      </c>
      <c r="AA3897">
        <v>0.89694529999999995</v>
      </c>
      <c r="AB3897">
        <v>31</v>
      </c>
      <c r="AC3897">
        <v>47.5613999999999</v>
      </c>
      <c r="AD3897">
        <v>1.3561479999999999</v>
      </c>
      <c r="AE3897">
        <v>-27.488800000000001</v>
      </c>
      <c r="AF3897">
        <v>24.4006038501837</v>
      </c>
      <c r="AG3897">
        <v>1.3561479999999999</v>
      </c>
      <c r="AH3897">
        <v>49.179838472529397</v>
      </c>
      <c r="AI3897">
        <v>88.584967310055703</v>
      </c>
      <c r="AJ3897">
        <v>63.611666213166103</v>
      </c>
      <c r="AK3897">
        <v>54.917074920607298</v>
      </c>
    </row>
    <row r="3898" spans="1:37" x14ac:dyDescent="0.2">
      <c r="A3898" t="str">
        <f>"20200111155626426"</f>
        <v>20200111155626426</v>
      </c>
      <c r="B3898" t="str">
        <f>"1578729386416532"</f>
        <v>1578729386416532</v>
      </c>
      <c r="C3898" t="s">
        <v>37</v>
      </c>
      <c r="D3898">
        <v>4.1451269999999996</v>
      </c>
      <c r="E3898">
        <v>0.6492289</v>
      </c>
      <c r="F3898" t="s">
        <v>69</v>
      </c>
      <c r="G3898">
        <v>-168.41730000000001</v>
      </c>
      <c r="H3898">
        <v>2.409643</v>
      </c>
      <c r="I3898">
        <v>188.3014</v>
      </c>
      <c r="J3898">
        <v>-215.66299999999899</v>
      </c>
      <c r="K3898">
        <v>1.10168</v>
      </c>
      <c r="L3898">
        <v>215.95859999999999</v>
      </c>
      <c r="M3898">
        <v>0.99762890000000004</v>
      </c>
      <c r="N3898">
        <v>0</v>
      </c>
      <c r="O3898">
        <v>-6.7280119999999999E-2</v>
      </c>
      <c r="P3898">
        <v>0.987483</v>
      </c>
      <c r="Q3898">
        <v>3.07084E-2</v>
      </c>
      <c r="R3898">
        <v>-0.1547084</v>
      </c>
      <c r="S3898">
        <v>2.7883149999999999</v>
      </c>
      <c r="T3898">
        <v>7.6681020000000003E-2</v>
      </c>
      <c r="U3898">
        <v>-1.622833</v>
      </c>
      <c r="V3898">
        <v>8.8267380000000006E-2</v>
      </c>
      <c r="W3898">
        <v>4.4436419999999997E-2</v>
      </c>
      <c r="X3898">
        <v>0.99510509999999996</v>
      </c>
      <c r="Y3898">
        <v>0.44361889999999998</v>
      </c>
      <c r="Z3898">
        <v>3.9482090000000003E-3</v>
      </c>
      <c r="AA3898">
        <v>0.89620689999999903</v>
      </c>
      <c r="AB3898">
        <v>31</v>
      </c>
      <c r="AC3898">
        <v>47.2456999999999</v>
      </c>
      <c r="AD3898">
        <v>1.307963</v>
      </c>
      <c r="AE3898">
        <v>-27.6571999999999</v>
      </c>
      <c r="AF3898">
        <v>24.401560259458702</v>
      </c>
      <c r="AG3898">
        <v>1.307963</v>
      </c>
      <c r="AH3898">
        <v>48.971646185993599</v>
      </c>
      <c r="AI3898">
        <v>88.630587550583996</v>
      </c>
      <c r="AJ3898">
        <v>63.513871663960401</v>
      </c>
      <c r="AK3898">
        <v>54.729964740272798</v>
      </c>
    </row>
    <row r="3899" spans="1:37" x14ac:dyDescent="0.2">
      <c r="A3899" t="str">
        <f>"20200111155626448"</f>
        <v>20200111155626448</v>
      </c>
      <c r="B3899" t="str">
        <f>"1578729386437027"</f>
        <v>1578729386437027</v>
      </c>
      <c r="C3899" t="s">
        <v>37</v>
      </c>
      <c r="D3899">
        <v>4.1437390000000001</v>
      </c>
      <c r="E3899">
        <v>0.64946780000000004</v>
      </c>
      <c r="F3899" t="s">
        <v>69</v>
      </c>
      <c r="G3899">
        <v>-168.41739999999999</v>
      </c>
      <c r="H3899">
        <v>2.3572199999999999</v>
      </c>
      <c r="I3899">
        <v>188.05599999999899</v>
      </c>
      <c r="J3899">
        <v>-215.352</v>
      </c>
      <c r="K3899">
        <v>1.1016459999999999</v>
      </c>
      <c r="L3899">
        <v>215.93360000000001</v>
      </c>
      <c r="M3899">
        <v>0.99736229999999904</v>
      </c>
      <c r="N3899">
        <v>0</v>
      </c>
      <c r="O3899">
        <v>-7.1123500000000006E-2</v>
      </c>
      <c r="P3899">
        <v>0.98687879999999994</v>
      </c>
      <c r="Q3899">
        <v>2.9990159999999998E-2</v>
      </c>
      <c r="R3899">
        <v>-0.1586535</v>
      </c>
      <c r="S3899">
        <v>2.7786409999999999</v>
      </c>
      <c r="T3899">
        <v>7.3843599999999995E-2</v>
      </c>
      <c r="U3899">
        <v>-1.641022</v>
      </c>
      <c r="V3899">
        <v>8.8406730000000003E-2</v>
      </c>
      <c r="W3899">
        <v>4.3708520000000001E-2</v>
      </c>
      <c r="X3899">
        <v>0.99512500000000004</v>
      </c>
      <c r="Y3899">
        <v>0.4458897</v>
      </c>
      <c r="Z3899">
        <v>3.74229099999999E-3</v>
      </c>
      <c r="AA3899">
        <v>0.89508009999999905</v>
      </c>
      <c r="AB3899">
        <v>31</v>
      </c>
      <c r="AC3899">
        <v>46.934600000000003</v>
      </c>
      <c r="AD3899">
        <v>1.255574</v>
      </c>
      <c r="AE3899">
        <v>-27.877600000000001</v>
      </c>
      <c r="AF3899">
        <v>24.455544928094898</v>
      </c>
      <c r="AG3899">
        <v>1.255574</v>
      </c>
      <c r="AH3899">
        <v>48.772873087380198</v>
      </c>
      <c r="AI3899">
        <v>88.681717165215105</v>
      </c>
      <c r="AJ3899">
        <v>63.370037754759899</v>
      </c>
      <c r="AK3899">
        <v>54.575116060318599</v>
      </c>
    </row>
    <row r="3900" spans="1:37" x14ac:dyDescent="0.2">
      <c r="A3900" t="str">
        <f>"20200111155626471"</f>
        <v>20200111155626471</v>
      </c>
      <c r="B3900" t="str">
        <f>"1578729386466308"</f>
        <v>1578729386466308</v>
      </c>
      <c r="C3900" t="s">
        <v>37</v>
      </c>
      <c r="D3900">
        <v>4.1184000000000003</v>
      </c>
      <c r="E3900">
        <v>0.64983169999999901</v>
      </c>
      <c r="F3900" t="s">
        <v>69</v>
      </c>
      <c r="G3900">
        <v>-168.41739999999999</v>
      </c>
      <c r="H3900">
        <v>2.334981</v>
      </c>
      <c r="I3900">
        <v>187.9255</v>
      </c>
      <c r="J3900">
        <v>-215.0351</v>
      </c>
      <c r="K3900">
        <v>1.101577</v>
      </c>
      <c r="L3900">
        <v>215.9067</v>
      </c>
      <c r="M3900">
        <v>0.99706669999999997</v>
      </c>
      <c r="N3900">
        <v>0</v>
      </c>
      <c r="O3900">
        <v>-7.5152540000000004E-2</v>
      </c>
      <c r="P3900">
        <v>0.98621270000000005</v>
      </c>
      <c r="Q3900">
        <v>2.9375020000000002E-2</v>
      </c>
      <c r="R3900">
        <v>-0.16285549999999999</v>
      </c>
      <c r="S3900">
        <v>2.7717589999999999</v>
      </c>
      <c r="T3900">
        <v>7.2837470000000001E-2</v>
      </c>
      <c r="U3900">
        <v>-1.654037</v>
      </c>
      <c r="V3900">
        <v>8.8625019999999999E-2</v>
      </c>
      <c r="W3900">
        <v>4.3077789999999998E-2</v>
      </c>
      <c r="X3900">
        <v>0.99513309999999999</v>
      </c>
      <c r="Y3900">
        <v>0.446355</v>
      </c>
      <c r="Z3900">
        <v>3.6041670000000001E-3</v>
      </c>
      <c r="AA3900">
        <v>0.89484869999999905</v>
      </c>
      <c r="AB3900">
        <v>31</v>
      </c>
      <c r="AC3900">
        <v>46.617699999999999</v>
      </c>
      <c r="AD3900">
        <v>1.2334039999999999</v>
      </c>
      <c r="AE3900">
        <v>-27.981200000000001</v>
      </c>
      <c r="AF3900">
        <v>24.385697982649699</v>
      </c>
      <c r="AG3900">
        <v>1.2334039999999999</v>
      </c>
      <c r="AH3900">
        <v>48.563927114646702</v>
      </c>
      <c r="AI3900">
        <v>88.699791266183496</v>
      </c>
      <c r="AJ3900">
        <v>63.337123701726</v>
      </c>
      <c r="AK3900">
        <v>54.356587165907897</v>
      </c>
    </row>
    <row r="3901" spans="1:37" x14ac:dyDescent="0.2">
      <c r="A3901" t="str">
        <f>"20200111155626492"</f>
        <v>20200111155626492</v>
      </c>
      <c r="B3901" t="str">
        <f>"1578729386486803"</f>
        <v>1578729386486803</v>
      </c>
      <c r="C3901" t="s">
        <v>37</v>
      </c>
      <c r="D3901">
        <v>4.1229849999999999</v>
      </c>
      <c r="E3901">
        <v>0.64996409999999905</v>
      </c>
      <c r="F3901" t="s">
        <v>69</v>
      </c>
      <c r="G3901">
        <v>-168.41749999999999</v>
      </c>
      <c r="H3901">
        <v>2.3395599999999899</v>
      </c>
      <c r="I3901">
        <v>187.76519999999999</v>
      </c>
      <c r="J3901">
        <v>-214.72319999999999</v>
      </c>
      <c r="K3901">
        <v>1.101477</v>
      </c>
      <c r="L3901">
        <v>215.87899999999999</v>
      </c>
      <c r="M3901">
        <v>0.99674789999999902</v>
      </c>
      <c r="N3901">
        <v>0</v>
      </c>
      <c r="O3901">
        <v>-7.9271430000000004E-2</v>
      </c>
      <c r="P3901">
        <v>0.98542919999999901</v>
      </c>
      <c r="Q3901">
        <v>2.983947E-2</v>
      </c>
      <c r="R3901">
        <v>-0.16744899999999999</v>
      </c>
      <c r="S3901">
        <v>2.7641909999999998</v>
      </c>
      <c r="T3901">
        <v>7.3408130000000002E-2</v>
      </c>
      <c r="U3901">
        <v>-1.668655</v>
      </c>
      <c r="V3901">
        <v>8.9166229999999999E-2</v>
      </c>
      <c r="W3901">
        <v>4.3517970000000003E-2</v>
      </c>
      <c r="X3901">
        <v>0.995065599999999</v>
      </c>
      <c r="Y3901">
        <v>0.44721080000000002</v>
      </c>
      <c r="Z3901">
        <v>3.547325E-3</v>
      </c>
      <c r="AA3901">
        <v>0.89442149999999998</v>
      </c>
      <c r="AB3901">
        <v>31</v>
      </c>
      <c r="AC3901">
        <v>46.305700000000002</v>
      </c>
      <c r="AD3901">
        <v>1.2380829999999901</v>
      </c>
      <c r="AE3901">
        <v>-28.113800000000001</v>
      </c>
      <c r="AF3901">
        <v>24.341490851228802</v>
      </c>
      <c r="AG3901">
        <v>1.2380829999999901</v>
      </c>
      <c r="AH3901">
        <v>48.363541302887299</v>
      </c>
      <c r="AI3901">
        <v>88.690067913265395</v>
      </c>
      <c r="AJ3901">
        <v>63.283773801143901</v>
      </c>
      <c r="AK3901">
        <v>54.1578540355084</v>
      </c>
    </row>
    <row r="3902" spans="1:37" x14ac:dyDescent="0.2">
      <c r="A3902" t="str">
        <f>"20200111155626516"</f>
        <v>20200111155626516</v>
      </c>
      <c r="B3902" t="str">
        <f>"1578729386506323"</f>
        <v>1578729386506323</v>
      </c>
      <c r="C3902" t="s">
        <v>37</v>
      </c>
      <c r="D3902">
        <v>4.1602160000000001</v>
      </c>
      <c r="E3902">
        <v>0.65018730000000002</v>
      </c>
      <c r="F3902" t="s">
        <v>69</v>
      </c>
      <c r="G3902">
        <v>-168.41749999999999</v>
      </c>
      <c r="H3902">
        <v>2.3646780000000001</v>
      </c>
      <c r="I3902">
        <v>187.61099999999999</v>
      </c>
      <c r="J3902">
        <v>-214.40870000000001</v>
      </c>
      <c r="K3902">
        <v>1.101334</v>
      </c>
      <c r="L3902">
        <v>215.8494</v>
      </c>
      <c r="M3902">
        <v>0.99639179999999905</v>
      </c>
      <c r="N3902">
        <v>0</v>
      </c>
      <c r="O3902">
        <v>-8.3625169999999999E-2</v>
      </c>
      <c r="P3902">
        <v>0.98461489999999996</v>
      </c>
      <c r="Q3902">
        <v>3.0026799999999899E-2</v>
      </c>
      <c r="R3902">
        <v>-0.1721394</v>
      </c>
      <c r="S3902">
        <v>2.7561650000000002</v>
      </c>
      <c r="T3902">
        <v>7.5189110000000003E-2</v>
      </c>
      <c r="U3902">
        <v>-1.6825410000000001</v>
      </c>
      <c r="V3902">
        <v>8.9574440000000005E-2</v>
      </c>
      <c r="W3902">
        <v>4.3675180000000001E-2</v>
      </c>
      <c r="X3902">
        <v>0.99502209999999902</v>
      </c>
      <c r="Y3902">
        <v>0.44774129999999901</v>
      </c>
      <c r="Z3902">
        <v>3.5369149999999999E-3</v>
      </c>
      <c r="AA3902">
        <v>0.89415619999999996</v>
      </c>
      <c r="AB3902">
        <v>31</v>
      </c>
      <c r="AC3902">
        <v>45.991199999999999</v>
      </c>
      <c r="AD3902">
        <v>1.263344</v>
      </c>
      <c r="AE3902">
        <v>-28.238399999999999</v>
      </c>
      <c r="AF3902">
        <v>24.279737013259201</v>
      </c>
      <c r="AG3902">
        <v>1.263344</v>
      </c>
      <c r="AH3902">
        <v>48.165367519676401</v>
      </c>
      <c r="AI3902">
        <v>88.658278049187203</v>
      </c>
      <c r="AJ3902">
        <v>63.247729929148001</v>
      </c>
      <c r="AK3902">
        <v>53.953723650929497</v>
      </c>
    </row>
    <row r="3903" spans="1:37" x14ac:dyDescent="0.2">
      <c r="A3903" t="str">
        <f>"20200111155626537"</f>
        <v>20200111155626537</v>
      </c>
      <c r="B3903" t="str">
        <f>"1578729386526819"</f>
        <v>1578729386526819</v>
      </c>
      <c r="C3903" t="s">
        <v>37</v>
      </c>
      <c r="D3903">
        <v>4.1021660000000004</v>
      </c>
      <c r="E3903">
        <v>0.65040549999999997</v>
      </c>
      <c r="F3903" t="s">
        <v>69</v>
      </c>
      <c r="G3903">
        <v>-168.41759999999999</v>
      </c>
      <c r="H3903">
        <v>2.3512729999999999</v>
      </c>
      <c r="I3903">
        <v>187.44</v>
      </c>
      <c r="J3903">
        <v>-214.1026</v>
      </c>
      <c r="K3903">
        <v>1.101154</v>
      </c>
      <c r="L3903">
        <v>215.81909999999999</v>
      </c>
      <c r="M3903">
        <v>0.99600549999999999</v>
      </c>
      <c r="N3903">
        <v>0</v>
      </c>
      <c r="O3903">
        <v>-8.8106809999999994E-2</v>
      </c>
      <c r="P3903">
        <v>0.98378089999999996</v>
      </c>
      <c r="Q3903">
        <v>2.9979519999999999E-2</v>
      </c>
      <c r="R3903">
        <v>-0.17685139999999999</v>
      </c>
      <c r="S3903">
        <v>2.747849</v>
      </c>
      <c r="T3903">
        <v>7.4682470000000001E-2</v>
      </c>
      <c r="U3903">
        <v>-1.6973879999999999</v>
      </c>
      <c r="V3903">
        <v>8.9880130000000003E-2</v>
      </c>
      <c r="W3903">
        <v>4.3595139999999998E-2</v>
      </c>
      <c r="X3903">
        <v>0.99499799999999905</v>
      </c>
      <c r="Y3903">
        <v>0.44842890000000002</v>
      </c>
      <c r="Z3903">
        <v>3.4159579999999902E-3</v>
      </c>
      <c r="AA3903">
        <v>0.89381200000000005</v>
      </c>
      <c r="AB3903">
        <v>31</v>
      </c>
      <c r="AC3903">
        <v>45.685000000000002</v>
      </c>
      <c r="AD3903">
        <v>1.25011899999999</v>
      </c>
      <c r="AE3903">
        <v>-28.379099999999902</v>
      </c>
      <c r="AF3903">
        <v>24.230037215764099</v>
      </c>
      <c r="AG3903">
        <v>1.25011899999999</v>
      </c>
      <c r="AH3903">
        <v>47.982025536579599</v>
      </c>
      <c r="AI3903">
        <v>88.667724117777894</v>
      </c>
      <c r="AJ3903">
        <v>63.207067068964598</v>
      </c>
      <c r="AK3903">
        <v>53.767390447970001</v>
      </c>
    </row>
    <row r="3904" spans="1:37" x14ac:dyDescent="0.2">
      <c r="A3904" t="str">
        <f>"20200111155626560"</f>
        <v>20200111155626560</v>
      </c>
      <c r="B3904" t="str">
        <f>"1578729386557075"</f>
        <v>1578729386557075</v>
      </c>
      <c r="C3904" t="s">
        <v>37</v>
      </c>
      <c r="D3904">
        <v>4.1179379999999997</v>
      </c>
      <c r="E3904">
        <v>0.65048059999999996</v>
      </c>
      <c r="F3904" t="s">
        <v>69</v>
      </c>
      <c r="G3904">
        <v>-168.41759999999999</v>
      </c>
      <c r="H3904">
        <v>2.3332619999999999</v>
      </c>
      <c r="I3904">
        <v>187.26490000000001</v>
      </c>
      <c r="J3904">
        <v>-213.79429999999999</v>
      </c>
      <c r="K3904">
        <v>1.1009340000000001</v>
      </c>
      <c r="L3904">
        <v>215.7868</v>
      </c>
      <c r="M3904">
        <v>0.99556699999999998</v>
      </c>
      <c r="N3904">
        <v>0</v>
      </c>
      <c r="O3904">
        <v>-9.292649E-2</v>
      </c>
      <c r="P3904">
        <v>0.98284660000000001</v>
      </c>
      <c r="Q3904">
        <v>2.9341249999999999E-2</v>
      </c>
      <c r="R3904">
        <v>-0.1820763</v>
      </c>
      <c r="S3904">
        <v>2.739395</v>
      </c>
      <c r="T3904">
        <v>7.3882459999999997E-2</v>
      </c>
      <c r="U3904">
        <v>-1.712189</v>
      </c>
      <c r="V3904">
        <v>9.0365500000000001E-2</v>
      </c>
      <c r="W3904">
        <v>4.2917249999999997E-2</v>
      </c>
      <c r="X3904">
        <v>0.99498349999999902</v>
      </c>
      <c r="Y3904">
        <v>0.44881909999999903</v>
      </c>
      <c r="Z3904">
        <v>3.2713619999999999E-3</v>
      </c>
      <c r="AA3904">
        <v>0.89361659999999898</v>
      </c>
      <c r="AB3904">
        <v>31</v>
      </c>
      <c r="AC3904">
        <v>45.3767</v>
      </c>
      <c r="AD3904">
        <v>1.2323280000000001</v>
      </c>
      <c r="AE3904">
        <v>-28.521899999999899</v>
      </c>
      <c r="AF3904">
        <v>24.168539194481099</v>
      </c>
      <c r="AG3904">
        <v>1.2323280000000001</v>
      </c>
      <c r="AH3904">
        <v>47.8057584186502</v>
      </c>
      <c r="AI3904">
        <v>88.682142143720299</v>
      </c>
      <c r="AJ3904">
        <v>63.180798063468998</v>
      </c>
      <c r="AK3904">
        <v>53.581969514726701</v>
      </c>
    </row>
    <row r="3905" spans="1:37" x14ac:dyDescent="0.2">
      <c r="A3905" t="str">
        <f>"20200111155626582"</f>
        <v>20200111155626582</v>
      </c>
      <c r="B3905" t="str">
        <f>"1578729386576595"</f>
        <v>1578729386576595</v>
      </c>
      <c r="C3905" t="s">
        <v>37</v>
      </c>
      <c r="D3905">
        <v>4.0335099999999997</v>
      </c>
      <c r="E3905">
        <v>0.65035449999999995</v>
      </c>
      <c r="F3905" t="s">
        <v>69</v>
      </c>
      <c r="G3905">
        <v>-168.4177</v>
      </c>
      <c r="H3905">
        <v>2.2625160000000002</v>
      </c>
      <c r="I3905">
        <v>187.0753</v>
      </c>
      <c r="J3905">
        <v>-213.47649999999999</v>
      </c>
      <c r="K3905">
        <v>1.100687</v>
      </c>
      <c r="L3905">
        <v>215.75149999999999</v>
      </c>
      <c r="M3905">
        <v>0.99505589999999999</v>
      </c>
      <c r="N3905">
        <v>0</v>
      </c>
      <c r="O3905">
        <v>-9.8247370000000001E-2</v>
      </c>
      <c r="P3905">
        <v>0.9816724</v>
      </c>
      <c r="Q3905">
        <v>2.8599360000000001E-2</v>
      </c>
      <c r="R3905">
        <v>-0.1884178</v>
      </c>
      <c r="S3905">
        <v>2.7302399999999998</v>
      </c>
      <c r="T3905">
        <v>6.9892529999999994E-2</v>
      </c>
      <c r="U3905">
        <v>-1.7275240000000001</v>
      </c>
      <c r="V3905">
        <v>9.1486419999999999E-2</v>
      </c>
      <c r="W3905">
        <v>4.2124509999999997E-2</v>
      </c>
      <c r="X3905">
        <v>0.99491489999999905</v>
      </c>
      <c r="Y3905">
        <v>0.44899169999999999</v>
      </c>
      <c r="Z3905">
        <v>2.9788039999999998E-3</v>
      </c>
      <c r="AA3905">
        <v>0.89353099999999996</v>
      </c>
      <c r="AB3905">
        <v>31</v>
      </c>
      <c r="AC3905">
        <v>45.058799999999898</v>
      </c>
      <c r="AD3905">
        <v>1.161829</v>
      </c>
      <c r="AE3905">
        <v>-28.676199999999898</v>
      </c>
      <c r="AF3905">
        <v>24.098656310115899</v>
      </c>
      <c r="AG3905">
        <v>1.161829</v>
      </c>
      <c r="AH3905">
        <v>47.635878176977002</v>
      </c>
      <c r="AI3905">
        <v>88.753248797965199</v>
      </c>
      <c r="AJ3905">
        <v>63.165471771094502</v>
      </c>
      <c r="AK3905">
        <v>53.397303043038796</v>
      </c>
    </row>
    <row r="3906" spans="1:37" x14ac:dyDescent="0.2">
      <c r="A3906" t="str">
        <f>"20200111155626603"</f>
        <v>20200111155626603</v>
      </c>
      <c r="B3906" t="str">
        <f>"1578729386597091"</f>
        <v>1578729386597091</v>
      </c>
      <c r="C3906" t="s">
        <v>37</v>
      </c>
      <c r="D3906">
        <v>3.961036</v>
      </c>
      <c r="E3906">
        <v>0.65032630000000002</v>
      </c>
      <c r="F3906" t="s">
        <v>69</v>
      </c>
      <c r="G3906">
        <v>-168.4177</v>
      </c>
      <c r="H3906">
        <v>2.1969630000000002</v>
      </c>
      <c r="I3906">
        <v>186.85669999999999</v>
      </c>
      <c r="J3906">
        <v>-213.17230000000001</v>
      </c>
      <c r="K3906">
        <v>1.1004609999999999</v>
      </c>
      <c r="L3906">
        <v>215.7158</v>
      </c>
      <c r="M3906">
        <v>0.99451060000000002</v>
      </c>
      <c r="N3906">
        <v>0</v>
      </c>
      <c r="O3906">
        <v>-0.10362149999999901</v>
      </c>
      <c r="P3906">
        <v>0.98031780000000002</v>
      </c>
      <c r="Q3906">
        <v>2.71692999999999E-2</v>
      </c>
      <c r="R3906">
        <v>-0.1955491</v>
      </c>
      <c r="S3906">
        <v>2.719376</v>
      </c>
      <c r="T3906">
        <v>6.6164139999999996E-2</v>
      </c>
      <c r="U3906">
        <v>-1.74385099999999</v>
      </c>
      <c r="V3906">
        <v>9.3348410000000007E-2</v>
      </c>
      <c r="W3906">
        <v>4.0639479999999999E-2</v>
      </c>
      <c r="X3906">
        <v>0.99480369999999996</v>
      </c>
      <c r="Y3906">
        <v>0.44959690000000002</v>
      </c>
      <c r="Z3906">
        <v>2.714841E-3</v>
      </c>
      <c r="AA3906">
        <v>0.89322749999999995</v>
      </c>
      <c r="AB3906">
        <v>31</v>
      </c>
      <c r="AC3906">
        <v>44.754600000000003</v>
      </c>
      <c r="AD3906">
        <v>1.0965020000000001</v>
      </c>
      <c r="AE3906">
        <v>-28.859100000000002</v>
      </c>
      <c r="AF3906">
        <v>24.055485243099401</v>
      </c>
      <c r="AG3906">
        <v>1.0965020000000001</v>
      </c>
      <c r="AH3906">
        <v>47.484233160159299</v>
      </c>
      <c r="AI3906">
        <v>88.819909647365606</v>
      </c>
      <c r="AJ3906">
        <v>63.133252640826498</v>
      </c>
      <c r="AK3906">
        <v>53.241159695534002</v>
      </c>
    </row>
    <row r="3907" spans="1:37" x14ac:dyDescent="0.2">
      <c r="A3907" t="str">
        <f>"20200111155626626"</f>
        <v>20200111155626626</v>
      </c>
      <c r="B3907" t="str">
        <f>"1578729386616611"</f>
        <v>1578729386616611</v>
      </c>
      <c r="C3907" t="s">
        <v>37</v>
      </c>
      <c r="D3907">
        <v>4.0069759999999999</v>
      </c>
      <c r="E3907">
        <v>0.65025059999999901</v>
      </c>
      <c r="F3907" t="s">
        <v>69</v>
      </c>
      <c r="G3907">
        <v>-168.4178</v>
      </c>
      <c r="H3907">
        <v>2.0709379999999999</v>
      </c>
      <c r="I3907">
        <v>186.5609</v>
      </c>
      <c r="J3907">
        <v>-212.86519999999999</v>
      </c>
      <c r="K3907">
        <v>1.100231</v>
      </c>
      <c r="L3907">
        <v>215.67779999999999</v>
      </c>
      <c r="M3907">
        <v>0.99389640000000001</v>
      </c>
      <c r="N3907">
        <v>0</v>
      </c>
      <c r="O3907">
        <v>-0.10935250000000001</v>
      </c>
      <c r="P3907">
        <v>0.97878759999999998</v>
      </c>
      <c r="Q3907">
        <v>2.5635769999999999E-2</v>
      </c>
      <c r="R3907">
        <v>-0.20326720000000001</v>
      </c>
      <c r="S3907">
        <v>2.7068939999999899</v>
      </c>
      <c r="T3907">
        <v>5.869949E-2</v>
      </c>
      <c r="U3907">
        <v>-1.763382</v>
      </c>
      <c r="V3907">
        <v>9.5453430000000006E-2</v>
      </c>
      <c r="W3907">
        <v>3.9045249999999997E-2</v>
      </c>
      <c r="X3907">
        <v>0.99466779999999999</v>
      </c>
      <c r="Y3907">
        <v>0.4508722</v>
      </c>
      <c r="Z3907">
        <v>2.3153510000000002E-3</v>
      </c>
      <c r="AA3907">
        <v>0.89258549999999903</v>
      </c>
      <c r="AB3907">
        <v>31</v>
      </c>
      <c r="AC3907">
        <v>44.447399999999902</v>
      </c>
      <c r="AD3907">
        <v>0.97070699999999999</v>
      </c>
      <c r="AE3907">
        <v>-29.116899999999902</v>
      </c>
      <c r="AF3907">
        <v>24.073266024265799</v>
      </c>
      <c r="AG3907">
        <v>0.97070699999999999</v>
      </c>
      <c r="AH3907">
        <v>47.349334674728098</v>
      </c>
      <c r="AI3907">
        <v>88.953055062877198</v>
      </c>
      <c r="AJ3907">
        <v>63.050385256485903</v>
      </c>
      <c r="AK3907">
        <v>53.126489657178801</v>
      </c>
    </row>
    <row r="3908" spans="1:37" x14ac:dyDescent="0.2">
      <c r="A3908" t="str">
        <f>"20200111155626649"</f>
        <v>20200111155626649</v>
      </c>
      <c r="B3908" t="str">
        <f>"1578729386646868"</f>
        <v>1578729386646868</v>
      </c>
      <c r="C3908" t="s">
        <v>37</v>
      </c>
      <c r="D3908">
        <v>4.0289279999999996</v>
      </c>
      <c r="E3908">
        <v>0.65015489999999998</v>
      </c>
      <c r="F3908" t="s">
        <v>69</v>
      </c>
      <c r="G3908">
        <v>-168.6729</v>
      </c>
      <c r="H3908">
        <v>1.925027</v>
      </c>
      <c r="I3908">
        <v>186.40430000000001</v>
      </c>
      <c r="J3908">
        <v>-212.55099999999999</v>
      </c>
      <c r="K3908">
        <v>1.099987</v>
      </c>
      <c r="L3908">
        <v>215.63679999999999</v>
      </c>
      <c r="M3908">
        <v>0.99319380000000002</v>
      </c>
      <c r="N3908">
        <v>0</v>
      </c>
      <c r="O3908">
        <v>-0.1155578</v>
      </c>
      <c r="P3908">
        <v>0.976912</v>
      </c>
      <c r="Q3908">
        <v>2.454493E-2</v>
      </c>
      <c r="R3908">
        <v>-0.21222869999999999</v>
      </c>
      <c r="S3908">
        <v>2.6932070000000001</v>
      </c>
      <c r="T3908">
        <v>5.0267579999999999E-2</v>
      </c>
      <c r="U3908">
        <v>-1.7840119999999999</v>
      </c>
      <c r="V3908">
        <v>9.8363980000000004E-2</v>
      </c>
      <c r="W3908">
        <v>3.7879290000000003E-2</v>
      </c>
      <c r="X3908">
        <v>0.99442929999999996</v>
      </c>
      <c r="Y3908">
        <v>0.45215270000000002</v>
      </c>
      <c r="Z3908">
        <v>1.8954229999999901E-3</v>
      </c>
      <c r="AA3908">
        <v>0.89193860000000003</v>
      </c>
      <c r="AB3908">
        <v>31</v>
      </c>
      <c r="AC3908">
        <v>43.878099999999897</v>
      </c>
      <c r="AD3908">
        <v>0.82504</v>
      </c>
      <c r="AE3908">
        <v>-29.232499999999899</v>
      </c>
      <c r="AF3908">
        <v>23.959760202024</v>
      </c>
      <c r="AG3908">
        <v>0.82504</v>
      </c>
      <c r="AH3908">
        <v>46.950992798807903</v>
      </c>
      <c r="AI3908">
        <v>89.103274241856298</v>
      </c>
      <c r="AJ3908">
        <v>62.964131979744501</v>
      </c>
      <c r="AK3908">
        <v>52.717611144036198</v>
      </c>
    </row>
    <row r="3909" spans="1:37" x14ac:dyDescent="0.2">
      <c r="A3909" t="str">
        <f>"20200111155626672"</f>
        <v>20200111155626672</v>
      </c>
      <c r="B3909" t="str">
        <f>"1578729386666386"</f>
        <v>1578729386666386</v>
      </c>
      <c r="C3909" t="s">
        <v>37</v>
      </c>
      <c r="D3909">
        <v>4.0347970000000002</v>
      </c>
      <c r="E3909">
        <v>0.65011759999999996</v>
      </c>
      <c r="F3909" t="s">
        <v>69</v>
      </c>
      <c r="G3909">
        <v>-169.26179999999999</v>
      </c>
      <c r="H3909">
        <v>1.81372799999999</v>
      </c>
      <c r="I3909">
        <v>186.40459999999999</v>
      </c>
      <c r="J3909">
        <v>-212.23740000000001</v>
      </c>
      <c r="K3909">
        <v>1.099723</v>
      </c>
      <c r="L3909">
        <v>215.59350000000001</v>
      </c>
      <c r="M3909">
        <v>0.99240980000000001</v>
      </c>
      <c r="N3909">
        <v>0</v>
      </c>
      <c r="O3909">
        <v>-0.12210509999999999</v>
      </c>
      <c r="P3909">
        <v>0.97476180000000001</v>
      </c>
      <c r="Q3909">
        <v>2.286359E-2</v>
      </c>
      <c r="R3909">
        <v>-0.22207389999999999</v>
      </c>
      <c r="S3909">
        <v>2.6770779999999998</v>
      </c>
      <c r="T3909">
        <v>4.4141050000000001E-2</v>
      </c>
      <c r="U3909">
        <v>-1.8077700000000001</v>
      </c>
      <c r="V3909">
        <v>0.10183739999999999</v>
      </c>
      <c r="W3909">
        <v>3.611048E-2</v>
      </c>
      <c r="X3909">
        <v>0.99414550000000002</v>
      </c>
      <c r="Y3909">
        <v>0.45420729999999998</v>
      </c>
      <c r="Z3909">
        <v>1.5890279999999999E-3</v>
      </c>
      <c r="AA3909">
        <v>0.89089459999999998</v>
      </c>
      <c r="AB3909">
        <v>31</v>
      </c>
      <c r="AC3909">
        <v>42.9756</v>
      </c>
      <c r="AD3909">
        <v>0.714004999999999</v>
      </c>
      <c r="AE3909">
        <v>-29.1889</v>
      </c>
      <c r="AF3909">
        <v>23.717858476222101</v>
      </c>
      <c r="AG3909">
        <v>0.714004999999999</v>
      </c>
      <c r="AH3909">
        <v>46.209717056203303</v>
      </c>
      <c r="AI3909">
        <v>89.2124363925453</v>
      </c>
      <c r="AJ3909">
        <v>62.830130086276398</v>
      </c>
      <c r="AK3909">
        <v>51.945977363531199</v>
      </c>
    </row>
    <row r="3910" spans="1:37" x14ac:dyDescent="0.2">
      <c r="A3910" t="str">
        <f>"20200111155626694"</f>
        <v>20200111155626694</v>
      </c>
      <c r="B3910" t="str">
        <f>"1578729386686883"</f>
        <v>1578729386686883</v>
      </c>
      <c r="C3910" t="s">
        <v>37</v>
      </c>
      <c r="D3910">
        <v>4.0422549999999999</v>
      </c>
      <c r="E3910">
        <v>0.65001209999999998</v>
      </c>
      <c r="F3910" t="s">
        <v>69</v>
      </c>
      <c r="G3910">
        <v>-169.40049999999999</v>
      </c>
      <c r="H3910">
        <v>1.691344</v>
      </c>
      <c r="I3910">
        <v>186.04419999999999</v>
      </c>
      <c r="J3910">
        <v>-211.93389999999999</v>
      </c>
      <c r="K3910">
        <v>1.0994520000000001</v>
      </c>
      <c r="L3910">
        <v>215.54920000000001</v>
      </c>
      <c r="M3910">
        <v>0.99156390000000005</v>
      </c>
      <c r="N3910">
        <v>0</v>
      </c>
      <c r="O3910">
        <v>-0.12879089999999899</v>
      </c>
      <c r="P3910">
        <v>0.97241029999999995</v>
      </c>
      <c r="Q3910">
        <v>2.0620699999999999E-2</v>
      </c>
      <c r="R3910">
        <v>-0.23236370000000001</v>
      </c>
      <c r="S3910">
        <v>2.6589509999999899</v>
      </c>
      <c r="T3910">
        <v>3.6724809999999997E-2</v>
      </c>
      <c r="U3910">
        <v>-1.8341669999999901</v>
      </c>
      <c r="V3910">
        <v>0.1056325</v>
      </c>
      <c r="W3910">
        <v>3.3771599999999999E-2</v>
      </c>
      <c r="X3910">
        <v>0.99383159999999904</v>
      </c>
      <c r="Y3910">
        <v>0.4570419</v>
      </c>
      <c r="Z3910">
        <v>1.2627700000000001E-3</v>
      </c>
      <c r="AA3910">
        <v>0.88944429999999997</v>
      </c>
      <c r="AB3910">
        <v>31</v>
      </c>
      <c r="AC3910">
        <v>42.5334</v>
      </c>
      <c r="AD3910">
        <v>0.59189199999999897</v>
      </c>
      <c r="AE3910">
        <v>-29.504999999999999</v>
      </c>
      <c r="AF3910">
        <v>23.777613228419199</v>
      </c>
      <c r="AG3910">
        <v>0.59189199999999897</v>
      </c>
      <c r="AH3910">
        <v>45.973467509265703</v>
      </c>
      <c r="AI3910">
        <v>89.344813235121705</v>
      </c>
      <c r="AJ3910">
        <v>62.6518611365792</v>
      </c>
      <c r="AK3910">
        <v>51.761809684413798</v>
      </c>
    </row>
    <row r="3911" spans="1:37" x14ac:dyDescent="0.2">
      <c r="A3911" t="str">
        <f>"20200111155626716"</f>
        <v>20200111155626716</v>
      </c>
      <c r="B3911" t="str">
        <f>"1578729386706403"</f>
        <v>1578729386706403</v>
      </c>
      <c r="C3911" t="s">
        <v>37</v>
      </c>
      <c r="D3911">
        <v>4.0970740000000001</v>
      </c>
      <c r="E3911">
        <v>0.6499125</v>
      </c>
      <c r="F3911" t="s">
        <v>69</v>
      </c>
      <c r="G3911">
        <v>-169.4006</v>
      </c>
      <c r="H3911">
        <v>1.5380689999999999</v>
      </c>
      <c r="I3911">
        <v>185.5609</v>
      </c>
      <c r="J3911">
        <v>-211.63200000000001</v>
      </c>
      <c r="K3911">
        <v>1.0991580000000001</v>
      </c>
      <c r="L3911">
        <v>215.50280000000001</v>
      </c>
      <c r="M3911">
        <v>0.99062939999999999</v>
      </c>
      <c r="N3911">
        <v>0</v>
      </c>
      <c r="O3911">
        <v>-0.1357894</v>
      </c>
      <c r="P3911">
        <v>0.96981189999999995</v>
      </c>
      <c r="Q3911">
        <v>1.8669109999999999E-2</v>
      </c>
      <c r="R3911">
        <v>-0.24313989999999999</v>
      </c>
      <c r="S3911">
        <v>2.6398009999999998</v>
      </c>
      <c r="T3911">
        <v>2.7224539999999998E-2</v>
      </c>
      <c r="U3911">
        <v>-1.8612059999999999</v>
      </c>
      <c r="V3911">
        <v>0.109634</v>
      </c>
      <c r="W3911">
        <v>3.1715149999999998E-2</v>
      </c>
      <c r="X3911">
        <v>0.99346590000000001</v>
      </c>
      <c r="Y3911">
        <v>0.45989160000000001</v>
      </c>
      <c r="Z3911">
        <v>8.8946610000000003E-4</v>
      </c>
      <c r="AA3911">
        <v>0.88797459999999995</v>
      </c>
      <c r="AB3911">
        <v>31</v>
      </c>
      <c r="AC3911">
        <v>42.231400000000001</v>
      </c>
      <c r="AD3911">
        <v>0.438911</v>
      </c>
      <c r="AE3911">
        <v>-29.9419</v>
      </c>
      <c r="AF3911">
        <v>23.927598135533898</v>
      </c>
      <c r="AG3911">
        <v>0.438911</v>
      </c>
      <c r="AH3911">
        <v>45.9030862234873</v>
      </c>
      <c r="AI3911">
        <v>89.514206365594205</v>
      </c>
      <c r="AJ3911">
        <v>62.468618415795802</v>
      </c>
      <c r="AK3911">
        <v>51.766938486281298</v>
      </c>
    </row>
    <row r="3912" spans="1:37" x14ac:dyDescent="0.2">
      <c r="A3912" t="str">
        <f>"20200111155626738"</f>
        <v>20200111155626738</v>
      </c>
      <c r="B3912" t="str">
        <f>"1578729386726899"</f>
        <v>1578729386726899</v>
      </c>
      <c r="C3912" t="s">
        <v>37</v>
      </c>
      <c r="D3912">
        <v>4.182798</v>
      </c>
      <c r="E3912">
        <v>0.64976069999999997</v>
      </c>
      <c r="F3912" t="s">
        <v>69</v>
      </c>
      <c r="G3912">
        <v>-169.4007</v>
      </c>
      <c r="H3912">
        <v>1.4095089999999999</v>
      </c>
      <c r="I3912">
        <v>185.0324</v>
      </c>
      <c r="J3912">
        <v>-211.3289</v>
      </c>
      <c r="K3912">
        <v>1.0988549999999999</v>
      </c>
      <c r="L3912">
        <v>215.45359999999999</v>
      </c>
      <c r="M3912">
        <v>0.98958860000000004</v>
      </c>
      <c r="N3912">
        <v>0</v>
      </c>
      <c r="O3912">
        <v>-0.1431743</v>
      </c>
      <c r="P3912">
        <v>0.96698249999999997</v>
      </c>
      <c r="Q3912">
        <v>1.5908240000000001E-2</v>
      </c>
      <c r="R3912">
        <v>-0.25434629999999903</v>
      </c>
      <c r="S3912">
        <v>2.619202</v>
      </c>
      <c r="T3912">
        <v>1.9250150000000001E-2</v>
      </c>
      <c r="U3912">
        <v>-1.889786</v>
      </c>
      <c r="V3912">
        <v>0.113696399999999</v>
      </c>
      <c r="W3912">
        <v>2.884304E-2</v>
      </c>
      <c r="X3912">
        <v>0.9930968</v>
      </c>
      <c r="Y3912">
        <v>0.46295710000000001</v>
      </c>
      <c r="Z3912">
        <v>5.9423949999999896E-4</v>
      </c>
      <c r="AA3912">
        <v>0.88638050000000002</v>
      </c>
      <c r="AB3912">
        <v>31</v>
      </c>
      <c r="AC3912">
        <v>41.928199999999997</v>
      </c>
      <c r="AD3912">
        <v>0.31065399999999999</v>
      </c>
      <c r="AE3912">
        <v>-30.421199999999999</v>
      </c>
      <c r="AF3912">
        <v>24.103162814643898</v>
      </c>
      <c r="AG3912">
        <v>0.31065399999999999</v>
      </c>
      <c r="AH3912">
        <v>45.850495151164601</v>
      </c>
      <c r="AI3912">
        <v>89.6563903153383</v>
      </c>
      <c r="AJ3912">
        <v>62.269528374718199</v>
      </c>
      <c r="AK3912">
        <v>51.800838498849799</v>
      </c>
    </row>
    <row r="3913" spans="1:37" x14ac:dyDescent="0.2">
      <c r="A3913" t="str">
        <f>"20200111155626762"</f>
        <v>20200111155626762</v>
      </c>
      <c r="B3913" t="str">
        <f>"1578729386756179"</f>
        <v>1578729386756179</v>
      </c>
      <c r="C3913" t="s">
        <v>37</v>
      </c>
      <c r="D3913">
        <v>4.2924800000000003</v>
      </c>
      <c r="E3913">
        <v>0.64945799999999998</v>
      </c>
      <c r="F3913" t="s">
        <v>69</v>
      </c>
      <c r="G3913">
        <v>-169.4008</v>
      </c>
      <c r="H3913">
        <v>1.245004</v>
      </c>
      <c r="I3913">
        <v>184.48500000000001</v>
      </c>
      <c r="J3913">
        <v>-211.01820000000001</v>
      </c>
      <c r="K3913">
        <v>1.0985419999999999</v>
      </c>
      <c r="L3913">
        <v>215.40010000000001</v>
      </c>
      <c r="M3913">
        <v>0.98839900000000003</v>
      </c>
      <c r="N3913">
        <v>0</v>
      </c>
      <c r="O3913">
        <v>-0.15116479999999999</v>
      </c>
      <c r="P3913">
        <v>0.96392409999999995</v>
      </c>
      <c r="Q3913">
        <v>1.3931809999999999E-2</v>
      </c>
      <c r="R3913">
        <v>-0.26581339999999998</v>
      </c>
      <c r="S3913">
        <v>2.59761</v>
      </c>
      <c r="T3913">
        <v>9.0565679999999992E-3</v>
      </c>
      <c r="U3913">
        <v>-1.918625</v>
      </c>
      <c r="V3913">
        <v>0.1174545</v>
      </c>
      <c r="W3913">
        <v>2.6755310000000001E-2</v>
      </c>
      <c r="X3913">
        <v>0.99271779999999998</v>
      </c>
      <c r="Y3913">
        <v>0.465684599999999</v>
      </c>
      <c r="Z3913">
        <v>2.60907E-4</v>
      </c>
      <c r="AA3913">
        <v>0.88495069999999998</v>
      </c>
      <c r="AB3913">
        <v>31</v>
      </c>
      <c r="AC3913">
        <v>41.617400000000004</v>
      </c>
      <c r="AD3913">
        <v>0.14646200000000001</v>
      </c>
      <c r="AE3913">
        <v>-30.915099999999899</v>
      </c>
      <c r="AF3913">
        <v>24.267802904032902</v>
      </c>
      <c r="AG3913">
        <v>0.14646200000000001</v>
      </c>
      <c r="AH3913">
        <v>45.812468076493303</v>
      </c>
      <c r="AI3913">
        <v>89.838134103922499</v>
      </c>
      <c r="AJ3913">
        <v>62.088914588493203</v>
      </c>
      <c r="AK3913">
        <v>51.843321075777503</v>
      </c>
    </row>
    <row r="3914" spans="1:37" x14ac:dyDescent="0.2">
      <c r="A3914" t="str">
        <f>"20200111155626784"</f>
        <v>20200111155626784</v>
      </c>
      <c r="B3914" t="str">
        <f>"1578729386776674"</f>
        <v>1578729386776674</v>
      </c>
      <c r="C3914" t="s">
        <v>37</v>
      </c>
      <c r="D3914">
        <v>5.0775410000000001</v>
      </c>
      <c r="E3914">
        <v>0.64883800000000003</v>
      </c>
      <c r="F3914" t="s">
        <v>69</v>
      </c>
      <c r="G3914">
        <v>-168.4186</v>
      </c>
      <c r="H3914">
        <v>1.1157029999999999</v>
      </c>
      <c r="I3914">
        <v>183.19569999999999</v>
      </c>
      <c r="J3914">
        <v>-210.71039999999999</v>
      </c>
      <c r="K3914">
        <v>1.0982379999999901</v>
      </c>
      <c r="L3914">
        <v>215.3443</v>
      </c>
      <c r="M3914">
        <v>0.98709429999999998</v>
      </c>
      <c r="N3914">
        <v>0</v>
      </c>
      <c r="O3914">
        <v>-0.15945860000000001</v>
      </c>
      <c r="P3914">
        <v>0.96066870000000004</v>
      </c>
      <c r="Q3914">
        <v>1.2075900000000001E-2</v>
      </c>
      <c r="R3914">
        <v>-0.27743499999999999</v>
      </c>
      <c r="S3914">
        <v>2.57539399999999</v>
      </c>
      <c r="T3914">
        <v>1.039386E-3</v>
      </c>
      <c r="U3914">
        <v>-1.9469449999999999</v>
      </c>
      <c r="V3914">
        <v>0.121093699999999</v>
      </c>
      <c r="W3914">
        <v>2.478853E-2</v>
      </c>
      <c r="X3914">
        <v>0.99233150000000003</v>
      </c>
      <c r="Y3914">
        <v>0.46811579999999903</v>
      </c>
      <c r="Z3914" s="1">
        <v>2.7640679999999902E-5</v>
      </c>
      <c r="AA3914">
        <v>0.88366710000000004</v>
      </c>
      <c r="AB3914">
        <v>31</v>
      </c>
      <c r="AC3914">
        <v>42.291800000000002</v>
      </c>
      <c r="AD3914">
        <v>1.7465000000000199E-2</v>
      </c>
      <c r="AE3914">
        <v>-32.148600000000002</v>
      </c>
      <c r="AF3914">
        <v>24.9926277102923</v>
      </c>
      <c r="AG3914">
        <v>1.7465000000000199E-2</v>
      </c>
      <c r="AH3914">
        <v>46.877465580835</v>
      </c>
      <c r="AI3914">
        <v>89.981163386098004</v>
      </c>
      <c r="AJ3914">
        <v>61.935780288588397</v>
      </c>
      <c r="AK3914">
        <v>53.1237096236122</v>
      </c>
    </row>
    <row r="3915" spans="1:37" x14ac:dyDescent="0.2">
      <c r="A3915" t="str">
        <f>"20200111155626805"</f>
        <v>20200111155626805</v>
      </c>
      <c r="B3915" t="str">
        <f>"1578729386796195"</f>
        <v>1578729386796195</v>
      </c>
      <c r="C3915" t="s">
        <v>37</v>
      </c>
      <c r="D3915">
        <v>5.0488499999999998</v>
      </c>
      <c r="E3915">
        <v>0.64789289999999999</v>
      </c>
      <c r="F3915" t="s">
        <v>69</v>
      </c>
      <c r="G3915">
        <v>-168.4187</v>
      </c>
      <c r="H3915">
        <v>0.97758659999999997</v>
      </c>
      <c r="I3915">
        <v>182.6609</v>
      </c>
      <c r="J3915">
        <v>-210.41069999999999</v>
      </c>
      <c r="K3915">
        <v>1.097958</v>
      </c>
      <c r="L3915">
        <v>215.2869</v>
      </c>
      <c r="M3915">
        <v>0.98570100000000005</v>
      </c>
      <c r="N3915">
        <v>0</v>
      </c>
      <c r="O3915">
        <v>-0.167853</v>
      </c>
      <c r="P3915">
        <v>0.95722879999999999</v>
      </c>
      <c r="Q3915">
        <v>1.08399E-2</v>
      </c>
      <c r="R3915">
        <v>-0.28912939999999998</v>
      </c>
      <c r="S3915">
        <v>2.5531009999999998</v>
      </c>
      <c r="T3915">
        <v>-7.2815419999999898E-3</v>
      </c>
      <c r="U3915">
        <v>-1.9730529999999999</v>
      </c>
      <c r="V3915">
        <v>0.12474300000000001</v>
      </c>
      <c r="W3915">
        <v>2.3444710000000001E-2</v>
      </c>
      <c r="X3915">
        <v>0.99191209999999996</v>
      </c>
      <c r="Y3915">
        <v>0.46997939999999999</v>
      </c>
      <c r="Z3915">
        <v>-1.76517E-4</v>
      </c>
      <c r="AA3915">
        <v>0.88267739999999995</v>
      </c>
      <c r="AB3915">
        <v>31</v>
      </c>
      <c r="AC3915">
        <v>41.991999999999898</v>
      </c>
      <c r="AD3915">
        <v>-0.1203714</v>
      </c>
      <c r="AE3915">
        <v>-32.625999999999998</v>
      </c>
      <c r="AF3915">
        <v>25.113617933310302</v>
      </c>
      <c r="AG3915">
        <v>-0.1203714</v>
      </c>
      <c r="AH3915">
        <v>46.872818946320699</v>
      </c>
      <c r="AI3915">
        <v>90.129695323211806</v>
      </c>
      <c r="AJ3915">
        <v>61.818390399367502</v>
      </c>
      <c r="AK3915">
        <v>53.176775484686701</v>
      </c>
    </row>
    <row r="3916" spans="1:37" x14ac:dyDescent="0.2">
      <c r="A3916" t="str">
        <f>"20200111155626940"</f>
        <v>20200111155626940</v>
      </c>
      <c r="B3916" t="str">
        <f>"1578729386936739"</f>
        <v>1578729386936739</v>
      </c>
      <c r="C3916" t="s">
        <v>37</v>
      </c>
      <c r="D3916">
        <v>5.22539</v>
      </c>
      <c r="E3916">
        <v>0.64763000000000004</v>
      </c>
      <c r="F3916" t="s">
        <v>69</v>
      </c>
      <c r="G3916">
        <v>-168.4188</v>
      </c>
      <c r="H3916">
        <v>0.87045380000000006</v>
      </c>
      <c r="I3916">
        <v>182.1688</v>
      </c>
      <c r="J3916">
        <v>-208.61070000000001</v>
      </c>
      <c r="K3916">
        <v>1.096312</v>
      </c>
      <c r="L3916">
        <v>214.8758</v>
      </c>
      <c r="M3916">
        <v>0.97411440000000005</v>
      </c>
      <c r="N3916">
        <v>0</v>
      </c>
      <c r="O3916">
        <v>-0.22555320000000001</v>
      </c>
      <c r="P3916">
        <v>0.92616949999999998</v>
      </c>
      <c r="Q3916">
        <v>1.1691129999999999E-2</v>
      </c>
      <c r="R3916">
        <v>-0.37692639999999999</v>
      </c>
      <c r="S3916">
        <v>2.5312189999999899</v>
      </c>
      <c r="T3916">
        <v>-1.371169E-2</v>
      </c>
      <c r="U3916">
        <v>-1.9963229999999901</v>
      </c>
      <c r="V3916">
        <v>0.15880179999999999</v>
      </c>
      <c r="W3916">
        <v>2.328121E-2</v>
      </c>
      <c r="X3916">
        <v>0.98703589999999997</v>
      </c>
      <c r="Y3916">
        <v>0.4261759</v>
      </c>
      <c r="Z3916" s="1">
        <v>3.2280979999999997E-5</v>
      </c>
      <c r="AA3916">
        <v>0.90464029999999995</v>
      </c>
      <c r="AB3916">
        <v>30</v>
      </c>
      <c r="AC3916">
        <v>40.191899999999997</v>
      </c>
      <c r="AD3916">
        <v>-0.22585820000000001</v>
      </c>
      <c r="AE3916">
        <v>-32.706999999999901</v>
      </c>
      <c r="AF3916">
        <v>22.797101334325198</v>
      </c>
      <c r="AG3916">
        <v>-0.22585820000000001</v>
      </c>
      <c r="AH3916">
        <v>46.5330723724188</v>
      </c>
      <c r="AI3916">
        <v>90.249735796320493</v>
      </c>
      <c r="AJ3916">
        <v>63.899221109433</v>
      </c>
      <c r="AK3916">
        <v>51.8178122424207</v>
      </c>
    </row>
    <row r="3917" spans="1:37" x14ac:dyDescent="0.2">
      <c r="A3917" t="str">
        <f>"20200111155626995"</f>
        <v>20200111155626995</v>
      </c>
      <c r="B3917" t="str">
        <f>"1578729386986520"</f>
        <v>1578729386986520</v>
      </c>
      <c r="C3917" t="s">
        <v>37</v>
      </c>
      <c r="D3917">
        <v>5.2826409999999999</v>
      </c>
      <c r="E3917">
        <v>0.64776099999999903</v>
      </c>
      <c r="F3917" t="s">
        <v>69</v>
      </c>
      <c r="G3917">
        <v>-168.42060000000001</v>
      </c>
      <c r="H3917">
        <v>0.7996683</v>
      </c>
      <c r="I3917">
        <v>176.65379999999999</v>
      </c>
      <c r="J3917">
        <v>-207.87440000000001</v>
      </c>
      <c r="K3917">
        <v>1.095607</v>
      </c>
      <c r="L3917">
        <v>214.66909999999999</v>
      </c>
      <c r="M3917">
        <v>0.96732309999999999</v>
      </c>
      <c r="N3917">
        <v>0</v>
      </c>
      <c r="O3917">
        <v>-0.25309110000000001</v>
      </c>
      <c r="P3917">
        <v>0.90732849999999998</v>
      </c>
      <c r="Q3917">
        <v>1.1588370000000001E-2</v>
      </c>
      <c r="R3917">
        <v>-0.42026330000000001</v>
      </c>
      <c r="S3917">
        <v>2.3354490000000001</v>
      </c>
      <c r="T3917">
        <v>-1.7235879999999999E-2</v>
      </c>
      <c r="U3917">
        <v>-2.221085</v>
      </c>
      <c r="V3917">
        <v>0.17746339999999999</v>
      </c>
      <c r="W3917">
        <v>2.2584730000000001E-2</v>
      </c>
      <c r="X3917">
        <v>0.98386819999999897</v>
      </c>
      <c r="Y3917">
        <v>0.48327929999999902</v>
      </c>
      <c r="Z3917" s="1">
        <v>2.0465929999999999E-5</v>
      </c>
      <c r="AA3917">
        <v>0.87546619999999997</v>
      </c>
      <c r="AB3917">
        <v>30</v>
      </c>
      <c r="AC3917">
        <v>39.453800000000001</v>
      </c>
      <c r="AD3917">
        <v>-0.295938699999999</v>
      </c>
      <c r="AE3917">
        <v>-38.015300000000003</v>
      </c>
      <c r="AF3917">
        <v>26.789983953343</v>
      </c>
      <c r="AG3917">
        <v>-0.295938699999999</v>
      </c>
      <c r="AH3917">
        <v>47.7900300956873</v>
      </c>
      <c r="AI3917">
        <v>90.309488466902806</v>
      </c>
      <c r="AJ3917">
        <v>60.726019698369797</v>
      </c>
      <c r="AK3917">
        <v>54.787569725999298</v>
      </c>
    </row>
    <row r="3918" spans="1:37" x14ac:dyDescent="0.2">
      <c r="A3918" t="str">
        <f>"20200111155627062"</f>
        <v>20200111155627062</v>
      </c>
      <c r="B3918" t="str">
        <f>"1578729387056787"</f>
        <v>1578729387056787</v>
      </c>
      <c r="C3918" t="s">
        <v>37</v>
      </c>
      <c r="D3918">
        <v>5.3502879999999999</v>
      </c>
      <c r="E3918">
        <v>0.64769319999999997</v>
      </c>
      <c r="F3918" t="s">
        <v>69</v>
      </c>
      <c r="G3918">
        <v>-169.404</v>
      </c>
      <c r="H3918">
        <v>0.68177219999999905</v>
      </c>
      <c r="I3918">
        <v>174.4392</v>
      </c>
      <c r="J3918">
        <v>-207.00190000000001</v>
      </c>
      <c r="K3918">
        <v>1.0947690000000001</v>
      </c>
      <c r="L3918">
        <v>214.39060000000001</v>
      </c>
      <c r="M3918">
        <v>0.95728799999999903</v>
      </c>
      <c r="N3918">
        <v>0</v>
      </c>
      <c r="O3918">
        <v>-0.28872680000000001</v>
      </c>
      <c r="P3918">
        <v>0.88431919999999897</v>
      </c>
      <c r="Q3918">
        <v>8.7374110000000005E-3</v>
      </c>
      <c r="R3918">
        <v>-0.46680159999999998</v>
      </c>
      <c r="S3918">
        <v>2.2276919999999998</v>
      </c>
      <c r="T3918">
        <v>-2.3961900000000001E-2</v>
      </c>
      <c r="U3918">
        <v>-2.3295750000000002</v>
      </c>
      <c r="V3918">
        <v>0.1920827</v>
      </c>
      <c r="W3918">
        <v>1.9166550000000001E-2</v>
      </c>
      <c r="X3918">
        <v>0.98119159999999905</v>
      </c>
      <c r="Y3918">
        <v>0.49237120000000001</v>
      </c>
      <c r="Z3918">
        <v>2.7304099999999899E-4</v>
      </c>
      <c r="AA3918">
        <v>0.87038530000000003</v>
      </c>
      <c r="AB3918">
        <v>30</v>
      </c>
      <c r="AC3918">
        <v>37.597899999999903</v>
      </c>
      <c r="AD3918">
        <v>-0.4129968</v>
      </c>
      <c r="AE3918">
        <v>-39.9514</v>
      </c>
      <c r="AF3918">
        <v>27.391161794416401</v>
      </c>
      <c r="AG3918">
        <v>-0.4129968</v>
      </c>
      <c r="AH3918">
        <v>47.529986305544497</v>
      </c>
      <c r="AI3918">
        <v>90.431343179344793</v>
      </c>
      <c r="AJ3918">
        <v>60.045486719980701</v>
      </c>
      <c r="AK3918">
        <v>54.859328368199598</v>
      </c>
    </row>
    <row r="3919" spans="1:37" x14ac:dyDescent="0.2">
      <c r="A3919" t="str">
        <f>"20200111155627084"</f>
        <v>20200111155627084</v>
      </c>
      <c r="B3919" t="str">
        <f>"1578729387076307"</f>
        <v>1578729387076307</v>
      </c>
      <c r="C3919" t="s">
        <v>37</v>
      </c>
      <c r="D3919">
        <v>5.2948820000000003</v>
      </c>
      <c r="E3919">
        <v>0.64763839999999995</v>
      </c>
      <c r="F3919" t="s">
        <v>38</v>
      </c>
      <c r="G3919">
        <v>-151.91980000000001</v>
      </c>
      <c r="H3919">
        <v>7.9985979999999998E-2</v>
      </c>
      <c r="I3919">
        <v>150.49549999999999</v>
      </c>
      <c r="J3919">
        <v>-206.7184</v>
      </c>
      <c r="K3919">
        <v>1.0945069999999999</v>
      </c>
      <c r="L3919">
        <v>214.29150000000001</v>
      </c>
      <c r="M3919">
        <v>0.95348949999999999</v>
      </c>
      <c r="N3919">
        <v>0</v>
      </c>
      <c r="O3919">
        <v>-0.30102990000000002</v>
      </c>
      <c r="P3919">
        <v>0.87682990000000005</v>
      </c>
      <c r="Q3919">
        <v>9.8736829999999994E-3</v>
      </c>
      <c r="R3919">
        <v>-0.4806995</v>
      </c>
      <c r="S3919">
        <v>2.1043240000000001</v>
      </c>
      <c r="T3919">
        <v>-3.8768169999999998E-2</v>
      </c>
      <c r="U3919">
        <v>-2.4410099999999999</v>
      </c>
      <c r="V3919">
        <v>0.1949776</v>
      </c>
      <c r="W3919">
        <v>2.0166770000000001E-2</v>
      </c>
      <c r="X3919">
        <v>0.98060040000000004</v>
      </c>
      <c r="Y3919">
        <v>0.52567410000000003</v>
      </c>
      <c r="Z3919">
        <v>3.6328869999999999E-4</v>
      </c>
      <c r="AA3919">
        <v>0.85068600000000005</v>
      </c>
      <c r="AB3919">
        <v>30</v>
      </c>
      <c r="AC3919">
        <v>54.798599999999901</v>
      </c>
      <c r="AD3919">
        <v>-1.0145210200000001</v>
      </c>
      <c r="AE3919">
        <v>-63.795999999999999</v>
      </c>
      <c r="AF3919">
        <v>44.331641497758802</v>
      </c>
      <c r="AG3919">
        <v>-1.0145210200000001</v>
      </c>
      <c r="AH3919">
        <v>71.452527481712707</v>
      </c>
      <c r="AI3919">
        <v>90.691241207607206</v>
      </c>
      <c r="AJ3919">
        <v>58.183091737297197</v>
      </c>
      <c r="AK3919">
        <v>84.093919960427201</v>
      </c>
    </row>
    <row r="3920" spans="1:37" x14ac:dyDescent="0.2">
      <c r="A3920" t="str">
        <f>"20200111155627106"</f>
        <v>20200111155627106</v>
      </c>
      <c r="B3920" t="str">
        <f>"1578729387096804"</f>
        <v>1578729387096804</v>
      </c>
      <c r="C3920" t="s">
        <v>37</v>
      </c>
      <c r="D3920">
        <v>5.2403699999999898</v>
      </c>
      <c r="E3920">
        <v>0.64750739999999996</v>
      </c>
      <c r="F3920" t="s">
        <v>38</v>
      </c>
      <c r="G3920">
        <v>-144.7467</v>
      </c>
      <c r="H3920" s="1">
        <v>-2.3574619999999899E-6</v>
      </c>
      <c r="I3920">
        <v>140.0728</v>
      </c>
      <c r="J3920">
        <v>-206.4324</v>
      </c>
      <c r="K3920">
        <v>1.0942540000000001</v>
      </c>
      <c r="L3920">
        <v>214.18700000000001</v>
      </c>
      <c r="M3920">
        <v>0.94937119999999997</v>
      </c>
      <c r="N3920">
        <v>0</v>
      </c>
      <c r="O3920">
        <v>-0.31377290000000002</v>
      </c>
      <c r="P3920">
        <v>0.86892789999999998</v>
      </c>
      <c r="Q3920">
        <v>1.1042969999999999E-2</v>
      </c>
      <c r="R3920">
        <v>-0.49481560000000002</v>
      </c>
      <c r="S3920">
        <v>2.065598</v>
      </c>
      <c r="T3920">
        <v>-3.6481380000000001E-2</v>
      </c>
      <c r="U3920">
        <v>-2.4738009999999999</v>
      </c>
      <c r="V3920">
        <v>0.19774910000000001</v>
      </c>
      <c r="W3920">
        <v>2.1202229999999999E-2</v>
      </c>
      <c r="X3920">
        <v>0.98002330000000004</v>
      </c>
      <c r="Y3920">
        <v>0.52767580000000003</v>
      </c>
      <c r="Z3920">
        <v>4.8569120000000002E-4</v>
      </c>
      <c r="AA3920">
        <v>0.84944569999999997</v>
      </c>
      <c r="AB3920">
        <v>30</v>
      </c>
      <c r="AC3920">
        <v>61.685699999999997</v>
      </c>
      <c r="AD3920">
        <v>-1.0942563574619999</v>
      </c>
      <c r="AE3920">
        <v>-74.114199999999997</v>
      </c>
      <c r="AF3920">
        <v>51.006162110680201</v>
      </c>
      <c r="AG3920">
        <v>-1.0942563574619999</v>
      </c>
      <c r="AH3920">
        <v>81.816974531196394</v>
      </c>
      <c r="AI3920">
        <v>90.650254368663795</v>
      </c>
      <c r="AJ3920">
        <v>58.059850162333298</v>
      </c>
      <c r="AK3920">
        <v>96.420139450611103</v>
      </c>
    </row>
    <row r="3921" spans="1:37" x14ac:dyDescent="0.2">
      <c r="A3921" t="str">
        <f>"20200111155627129"</f>
        <v>20200111155627129</v>
      </c>
      <c r="B3921" t="str">
        <f>"1578729387127059"</f>
        <v>1578729387127059</v>
      </c>
      <c r="C3921" t="s">
        <v>37</v>
      </c>
      <c r="D3921">
        <v>5.3733110000000002</v>
      </c>
      <c r="E3921">
        <v>0.64739009999999997</v>
      </c>
      <c r="F3921" t="s">
        <v>38</v>
      </c>
      <c r="G3921">
        <v>-144.79399999999899</v>
      </c>
      <c r="H3921" s="1">
        <v>-2.5103599999999999E-6</v>
      </c>
      <c r="I3921">
        <v>137.95490000000001</v>
      </c>
      <c r="J3921">
        <v>-206.14189999999999</v>
      </c>
      <c r="K3921">
        <v>1.093998</v>
      </c>
      <c r="L3921">
        <v>214.0761</v>
      </c>
      <c r="M3921">
        <v>0.9448723</v>
      </c>
      <c r="N3921">
        <v>0</v>
      </c>
      <c r="O3921">
        <v>-0.32706799999999903</v>
      </c>
      <c r="P3921">
        <v>0.86089959999999899</v>
      </c>
      <c r="Q3921">
        <v>1.126049E-2</v>
      </c>
      <c r="R3921">
        <v>-0.50865070000000001</v>
      </c>
      <c r="S3921">
        <v>2.026062</v>
      </c>
      <c r="T3921">
        <v>-3.5968300000000002E-2</v>
      </c>
      <c r="U3921">
        <v>-2.5057529999999999</v>
      </c>
      <c r="V3921">
        <v>0.1996889</v>
      </c>
      <c r="W3921">
        <v>2.1308069999999998E-2</v>
      </c>
      <c r="X3921">
        <v>0.97962759999999904</v>
      </c>
      <c r="Y3921">
        <v>0.52915069999999997</v>
      </c>
      <c r="Z3921">
        <v>6.3175549999999997E-4</v>
      </c>
      <c r="AA3921">
        <v>0.84852759999999905</v>
      </c>
      <c r="AB3921">
        <v>30</v>
      </c>
      <c r="AC3921">
        <v>61.347900000000003</v>
      </c>
      <c r="AD3921">
        <v>-1.0940005103599999</v>
      </c>
      <c r="AE3921">
        <v>-76.121199999999902</v>
      </c>
      <c r="AF3921">
        <v>51.859683076303902</v>
      </c>
      <c r="AG3921">
        <v>-1.0940005103599999</v>
      </c>
      <c r="AH3921">
        <v>82.862427977731699</v>
      </c>
      <c r="AI3921">
        <v>90.641199016688802</v>
      </c>
      <c r="AJ3921">
        <v>57.959493399540499</v>
      </c>
      <c r="AK3921">
        <v>97.758915379908601</v>
      </c>
    </row>
    <row r="3922" spans="1:37" x14ac:dyDescent="0.2">
      <c r="A3922" t="str">
        <f>"20200111155627219"</f>
        <v>20200111155627219</v>
      </c>
      <c r="B3922" t="str">
        <f>"1578729387216855"</f>
        <v>1578729387216855</v>
      </c>
      <c r="C3922" t="s">
        <v>37</v>
      </c>
      <c r="D3922">
        <v>5.2667149999999996</v>
      </c>
      <c r="E3922">
        <v>0.66327259999999999</v>
      </c>
      <c r="F3922" t="s">
        <v>38</v>
      </c>
      <c r="G3922">
        <v>-156.3039</v>
      </c>
      <c r="H3922">
        <v>7.9985799999999996E-2</v>
      </c>
      <c r="I3922">
        <v>150.43090000000001</v>
      </c>
      <c r="J3922">
        <v>-205.0283</v>
      </c>
      <c r="K3922">
        <v>1.0930709999999999</v>
      </c>
      <c r="L3922">
        <v>213.60249999999999</v>
      </c>
      <c r="M3922">
        <v>0.92436870000000004</v>
      </c>
      <c r="N3922">
        <v>0</v>
      </c>
      <c r="O3922">
        <v>-0.38117000000000001</v>
      </c>
      <c r="P3922">
        <v>0.8230343</v>
      </c>
      <c r="Q3922">
        <v>1.071424E-2</v>
      </c>
      <c r="R3922">
        <v>-0.56789049999999996</v>
      </c>
      <c r="S3922">
        <v>1.986435</v>
      </c>
      <c r="T3922">
        <v>-4.0416359999999998E-2</v>
      </c>
      <c r="U3922">
        <v>-2.5367579999999998</v>
      </c>
      <c r="V3922">
        <v>0.21191079999999901</v>
      </c>
      <c r="W3922">
        <v>2.0208719999999999E-2</v>
      </c>
      <c r="X3922">
        <v>0.97707999999999995</v>
      </c>
      <c r="Y3922">
        <v>0.4928361</v>
      </c>
      <c r="Z3922">
        <v>1.725821E-3</v>
      </c>
      <c r="AA3922">
        <v>0.87012049999999996</v>
      </c>
      <c r="AB3922">
        <v>30</v>
      </c>
      <c r="AC3922">
        <v>48.724400000000003</v>
      </c>
      <c r="AD3922">
        <v>-1.0130851999999999</v>
      </c>
      <c r="AE3922">
        <v>-63.171599999999899</v>
      </c>
      <c r="AF3922">
        <v>39.820166249002497</v>
      </c>
      <c r="AG3922">
        <v>-1.0130851999999999</v>
      </c>
      <c r="AH3922">
        <v>69.115992179652693</v>
      </c>
      <c r="AI3922">
        <v>90.727655287985897</v>
      </c>
      <c r="AJ3922">
        <v>60.052234831238898</v>
      </c>
      <c r="AK3922">
        <v>79.772754476064506</v>
      </c>
    </row>
    <row r="3923" spans="1:37" x14ac:dyDescent="0.2">
      <c r="A3923" t="str">
        <f>"20200111155627286"</f>
        <v>20200111155627286</v>
      </c>
      <c r="B3923" t="str">
        <f>"1578729387276390"</f>
        <v>1578729387276390</v>
      </c>
      <c r="C3923" t="s">
        <v>37</v>
      </c>
      <c r="D3923">
        <v>5.2684800000000003</v>
      </c>
      <c r="E3923">
        <v>0.66047549999999999</v>
      </c>
      <c r="F3923" t="s">
        <v>56</v>
      </c>
      <c r="G3923">
        <v>-197.68369999999999</v>
      </c>
      <c r="H3923" s="1">
        <v>5.161523E-6</v>
      </c>
      <c r="I3923">
        <v>201.98089999999999</v>
      </c>
      <c r="J3923">
        <v>-204.21700000000001</v>
      </c>
      <c r="K3923">
        <v>1.092498</v>
      </c>
      <c r="L3923">
        <v>213.2029</v>
      </c>
      <c r="M3923">
        <v>0.90578239999999999</v>
      </c>
      <c r="N3923">
        <v>0</v>
      </c>
      <c r="O3923">
        <v>-0.42343890000000001</v>
      </c>
      <c r="P3923">
        <v>0.79246680000000003</v>
      </c>
      <c r="Q3923">
        <v>6.3268229999999996E-3</v>
      </c>
      <c r="R3923">
        <v>-0.60988249999999999</v>
      </c>
      <c r="S3923">
        <v>1.7441409999999999</v>
      </c>
      <c r="T3923">
        <v>-0.25957370000000002</v>
      </c>
      <c r="U3923">
        <v>-2.759827</v>
      </c>
      <c r="V3923">
        <v>0.217444999999999</v>
      </c>
      <c r="W3923">
        <v>1.555935E-2</v>
      </c>
      <c r="X3923">
        <v>0.97594859999999894</v>
      </c>
      <c r="Y3923">
        <v>0.53915979999999997</v>
      </c>
      <c r="Z3923">
        <v>1.2569510000000001E-2</v>
      </c>
      <c r="AA3923">
        <v>0.84210959999999901</v>
      </c>
      <c r="AB3923">
        <v>30</v>
      </c>
      <c r="AC3923">
        <v>6.5333000000000201</v>
      </c>
      <c r="AD3923">
        <v>-1.0924928384770001</v>
      </c>
      <c r="AE3923">
        <v>-11.222</v>
      </c>
      <c r="AF3923">
        <v>7.3471840237773298</v>
      </c>
      <c r="AG3923">
        <v>-1.0924928384770001</v>
      </c>
      <c r="AH3923">
        <v>10.595952367494</v>
      </c>
      <c r="AI3923">
        <v>94.843032837423493</v>
      </c>
      <c r="AJ3923">
        <v>55.262741089043999</v>
      </c>
      <c r="AK3923">
        <v>12.940203254028701</v>
      </c>
    </row>
    <row r="3924" spans="1:37" x14ac:dyDescent="0.2">
      <c r="A3924" t="str">
        <f>"20200111155627308"</f>
        <v>20200111155627308</v>
      </c>
      <c r="B3924" t="str">
        <f>"1578729387306648"</f>
        <v>1578729387306648</v>
      </c>
      <c r="C3924" t="s">
        <v>37</v>
      </c>
      <c r="D3924">
        <v>5.2892029999999997</v>
      </c>
      <c r="E3924">
        <v>0.65753709999999999</v>
      </c>
      <c r="F3924" t="s">
        <v>56</v>
      </c>
      <c r="G3924">
        <v>-197.57169999999999</v>
      </c>
      <c r="H3924" s="1">
        <v>5.3069479999999996E-6</v>
      </c>
      <c r="I3924">
        <v>201.52539999999999</v>
      </c>
      <c r="J3924">
        <v>-203.95</v>
      </c>
      <c r="K3924">
        <v>1.0923419999999999</v>
      </c>
      <c r="L3924">
        <v>213.06059999999999</v>
      </c>
      <c r="M3924">
        <v>0.89893719999999999</v>
      </c>
      <c r="N3924">
        <v>0</v>
      </c>
      <c r="O3924">
        <v>-0.43778089999999997</v>
      </c>
      <c r="P3924">
        <v>0.78169330000000004</v>
      </c>
      <c r="Q3924">
        <v>4.7551800000000003E-3</v>
      </c>
      <c r="R3924">
        <v>-0.62364489999999995</v>
      </c>
      <c r="S3924">
        <v>1.6101840000000001</v>
      </c>
      <c r="T3924">
        <v>-0.26471729999999999</v>
      </c>
      <c r="U3924">
        <v>-2.8295140000000001</v>
      </c>
      <c r="V3924">
        <v>0.21895219999999899</v>
      </c>
      <c r="W3924">
        <v>1.3916349999999999E-2</v>
      </c>
      <c r="X3924">
        <v>0.97563639999999996</v>
      </c>
      <c r="Y3924">
        <v>0.56440100000000004</v>
      </c>
      <c r="Z3924">
        <v>1.2976140000000001E-2</v>
      </c>
      <c r="AA3924">
        <v>0.82539869999999904</v>
      </c>
      <c r="AB3924">
        <v>29</v>
      </c>
      <c r="AC3924">
        <v>6.3782999999999896</v>
      </c>
      <c r="AD3924">
        <v>-1.092336693052</v>
      </c>
      <c r="AE3924">
        <v>-11.5352</v>
      </c>
      <c r="AF3924">
        <v>7.5264185563000998</v>
      </c>
      <c r="AG3924">
        <v>-1.092336693052</v>
      </c>
      <c r="AH3924">
        <v>10.7114207633864</v>
      </c>
      <c r="AI3924">
        <v>94.769713696877105</v>
      </c>
      <c r="AJ3924">
        <v>54.906065936260298</v>
      </c>
      <c r="AK3924">
        <v>13.1367694090256</v>
      </c>
    </row>
    <row r="3925" spans="1:37" x14ac:dyDescent="0.2">
      <c r="A3925" t="str">
        <f>"20200111155627331"</f>
        <v>20200111155627331</v>
      </c>
      <c r="B3925" t="str">
        <f>"1578729387327143"</f>
        <v>1578729387327143</v>
      </c>
      <c r="C3925" t="s">
        <v>37</v>
      </c>
      <c r="D3925">
        <v>5.3736459999999999</v>
      </c>
      <c r="E3925">
        <v>0.65601290000000001</v>
      </c>
      <c r="F3925" t="s">
        <v>56</v>
      </c>
      <c r="G3925">
        <v>-197.49780000000001</v>
      </c>
      <c r="H3925" s="1">
        <v>5.3490989999999999E-6</v>
      </c>
      <c r="I3925">
        <v>201.4282</v>
      </c>
      <c r="J3925">
        <v>-203.6849</v>
      </c>
      <c r="K3925">
        <v>1.092204</v>
      </c>
      <c r="L3925">
        <v>212.91370000000001</v>
      </c>
      <c r="M3925">
        <v>0.89175490000000002</v>
      </c>
      <c r="N3925">
        <v>0</v>
      </c>
      <c r="O3925">
        <v>-0.45222950000000001</v>
      </c>
      <c r="P3925">
        <v>0.77030269999999901</v>
      </c>
      <c r="Q3925">
        <v>4.7608540000000001E-3</v>
      </c>
      <c r="R3925">
        <v>-0.63766089999999997</v>
      </c>
      <c r="S3925">
        <v>1.5746149999999901</v>
      </c>
      <c r="T3925">
        <v>-0.26657629999999999</v>
      </c>
      <c r="U3925">
        <v>-2.8388059999999999</v>
      </c>
      <c r="V3925">
        <v>0.22083429999999901</v>
      </c>
      <c r="W3925">
        <v>1.3839580000000001E-2</v>
      </c>
      <c r="X3925">
        <v>0.9752132</v>
      </c>
      <c r="Y3925">
        <v>0.56014249999999999</v>
      </c>
      <c r="Z3925">
        <v>1.467632E-2</v>
      </c>
      <c r="AA3925">
        <v>0.82826619999999995</v>
      </c>
      <c r="AB3925">
        <v>29</v>
      </c>
      <c r="AC3925">
        <v>6.1870999999999796</v>
      </c>
      <c r="AD3925">
        <v>-1.092198650901</v>
      </c>
      <c r="AE3925">
        <v>-11.4855</v>
      </c>
      <c r="AF3925">
        <v>7.39341603532473</v>
      </c>
      <c r="AG3925">
        <v>-1.092198650901</v>
      </c>
      <c r="AH3925">
        <v>10.638297356238899</v>
      </c>
      <c r="AI3925">
        <v>94.818989511379797</v>
      </c>
      <c r="AJ3925">
        <v>55.201428101251103</v>
      </c>
      <c r="AK3925">
        <v>13.0011103065925</v>
      </c>
    </row>
    <row r="3926" spans="1:37" x14ac:dyDescent="0.2">
      <c r="A3926" t="str">
        <f>"20200111155627375"</f>
        <v>20200111155627375</v>
      </c>
      <c r="B3926" t="str">
        <f>"1578729387366182"</f>
        <v>1578729387366182</v>
      </c>
      <c r="C3926" t="s">
        <v>37</v>
      </c>
      <c r="D3926">
        <v>5.1963119999999998</v>
      </c>
      <c r="E3926">
        <v>0.65601290000000001</v>
      </c>
      <c r="F3926" t="s">
        <v>56</v>
      </c>
      <c r="G3926">
        <v>-197.2441</v>
      </c>
      <c r="H3926" s="1">
        <v>5.5578660000000001E-6</v>
      </c>
      <c r="I3926">
        <v>200.8826</v>
      </c>
      <c r="J3926">
        <v>-203.17500000000001</v>
      </c>
      <c r="K3926">
        <v>1.0919379999999901</v>
      </c>
      <c r="L3926">
        <v>212.61449999999999</v>
      </c>
      <c r="M3926">
        <v>0.87679130000000005</v>
      </c>
      <c r="N3926">
        <v>0</v>
      </c>
      <c r="O3926">
        <v>-0.48059550000000001</v>
      </c>
      <c r="P3926">
        <v>0.74752240000000003</v>
      </c>
      <c r="Q3926">
        <v>3.399193E-3</v>
      </c>
      <c r="R3926">
        <v>-0.66422829999999999</v>
      </c>
      <c r="S3926">
        <v>1.5301359999999999</v>
      </c>
      <c r="T3926">
        <v>-0.25947150000000002</v>
      </c>
      <c r="U3926">
        <v>-2.858215</v>
      </c>
      <c r="V3926">
        <v>0.22365309999999999</v>
      </c>
      <c r="W3926">
        <v>1.234673E-2</v>
      </c>
      <c r="X3926">
        <v>0.97459059999999897</v>
      </c>
      <c r="Y3926">
        <v>0.54595909999999903</v>
      </c>
      <c r="Z3926">
        <v>1.7587220000000001E-2</v>
      </c>
      <c r="AA3926">
        <v>0.83762719999999902</v>
      </c>
      <c r="AB3926">
        <v>29</v>
      </c>
      <c r="AC3926">
        <v>5.9309000000000003</v>
      </c>
      <c r="AD3926">
        <v>-1.09193244213399</v>
      </c>
      <c r="AE3926">
        <v>-11.7318999999999</v>
      </c>
      <c r="AF3926">
        <v>7.3860893913640302</v>
      </c>
      <c r="AG3926">
        <v>-1.09193244213399</v>
      </c>
      <c r="AH3926">
        <v>10.765619208036499</v>
      </c>
      <c r="AI3926">
        <v>94.780867042286502</v>
      </c>
      <c r="AJ3926">
        <v>55.546712392313097</v>
      </c>
      <c r="AK3926">
        <v>13.101343056643101</v>
      </c>
    </row>
    <row r="3927" spans="1:37" x14ac:dyDescent="0.2">
      <c r="A3927" t="str">
        <f>"20200111155627398"</f>
        <v>20200111155627398</v>
      </c>
      <c r="B3927" t="str">
        <f>"1578729387386679"</f>
        <v>1578729387386679</v>
      </c>
      <c r="C3927" t="s">
        <v>37</v>
      </c>
      <c r="D3927">
        <v>5.1619640000000002</v>
      </c>
      <c r="E3927">
        <v>0.63957059999999999</v>
      </c>
      <c r="F3927" t="s">
        <v>56</v>
      </c>
      <c r="G3927">
        <v>-197.1798</v>
      </c>
      <c r="H3927" s="1">
        <v>5.7455390000000003E-6</v>
      </c>
      <c r="I3927">
        <v>200.4</v>
      </c>
      <c r="J3927">
        <v>-202.92099999999999</v>
      </c>
      <c r="K3927">
        <v>1.091815</v>
      </c>
      <c r="L3927">
        <v>212.45679999999999</v>
      </c>
      <c r="M3927">
        <v>0.86873519999999904</v>
      </c>
      <c r="N3927">
        <v>0</v>
      </c>
      <c r="O3927">
        <v>-0.49500749999999999</v>
      </c>
      <c r="P3927">
        <v>0.73567910000000003</v>
      </c>
      <c r="Q3927">
        <v>3.3515519999999998E-3</v>
      </c>
      <c r="R3927">
        <v>-0.67732199999999998</v>
      </c>
      <c r="S3927">
        <v>1.4284520000000001</v>
      </c>
      <c r="T3927">
        <v>-0.26016990000000001</v>
      </c>
      <c r="U3927">
        <v>-2.9102939999999999</v>
      </c>
      <c r="V3927">
        <v>0.22476969999999999</v>
      </c>
      <c r="W3927">
        <v>1.224422E-2</v>
      </c>
      <c r="X3927">
        <v>0.97433499999999995</v>
      </c>
      <c r="Y3927">
        <v>0.56153640000000005</v>
      </c>
      <c r="Z3927">
        <v>1.8270229999999998E-2</v>
      </c>
      <c r="AA3927">
        <v>0.82725029999999999</v>
      </c>
      <c r="AB3927">
        <v>29</v>
      </c>
      <c r="AC3927">
        <v>5.7411999999999903</v>
      </c>
      <c r="AD3927">
        <v>-1.0918092544610001</v>
      </c>
      <c r="AE3927">
        <v>-12.0567999999999</v>
      </c>
      <c r="AF3927">
        <v>7.5825612866015604</v>
      </c>
      <c r="AG3927">
        <v>-1.0918092544610001</v>
      </c>
      <c r="AH3927">
        <v>10.884492034712</v>
      </c>
      <c r="AI3927">
        <v>94.705171799580199</v>
      </c>
      <c r="AJ3927">
        <v>55.137427611517097</v>
      </c>
      <c r="AK3927">
        <v>13.3101258433909</v>
      </c>
    </row>
    <row r="3928" spans="1:37" x14ac:dyDescent="0.2">
      <c r="A3928" t="str">
        <f>"20200111155627420"</f>
        <v>20200111155627420</v>
      </c>
      <c r="B3928" t="str">
        <f>"1578729387416934"</f>
        <v>1578729387416934</v>
      </c>
      <c r="C3928" t="s">
        <v>37</v>
      </c>
      <c r="D3928">
        <v>5.1871330000000002</v>
      </c>
      <c r="E3928">
        <v>0.63931490000000002</v>
      </c>
      <c r="F3928" t="s">
        <v>56</v>
      </c>
      <c r="G3928">
        <v>-197.15520000000001</v>
      </c>
      <c r="H3928" s="1">
        <v>5.4579480000000003E-6</v>
      </c>
      <c r="I3928">
        <v>201.3039</v>
      </c>
      <c r="J3928">
        <v>-202.6705</v>
      </c>
      <c r="K3928">
        <v>1.091701</v>
      </c>
      <c r="L3928">
        <v>212.29499999999999</v>
      </c>
      <c r="M3928">
        <v>0.86036809999999997</v>
      </c>
      <c r="N3928">
        <v>0</v>
      </c>
      <c r="O3928">
        <v>-0.50940989999999997</v>
      </c>
      <c r="P3928">
        <v>0.7232499</v>
      </c>
      <c r="Q3928">
        <v>4.6066869999999999E-3</v>
      </c>
      <c r="R3928">
        <v>-0.69057119999999905</v>
      </c>
      <c r="S3928">
        <v>1.4668270000000001</v>
      </c>
      <c r="T3928">
        <v>-0.2777618</v>
      </c>
      <c r="U3928">
        <v>-2.8373409999999999</v>
      </c>
      <c r="V3928">
        <v>0.2262817</v>
      </c>
      <c r="W3928">
        <v>1.343193E-2</v>
      </c>
      <c r="X3928">
        <v>0.97396930000000004</v>
      </c>
      <c r="Y3928">
        <v>0.53020009999999995</v>
      </c>
      <c r="Z3928">
        <v>2.2782529999999999E-2</v>
      </c>
      <c r="AA3928">
        <v>0.84756640000000005</v>
      </c>
      <c r="AB3928">
        <v>29</v>
      </c>
      <c r="AC3928">
        <v>5.5152999999999901</v>
      </c>
      <c r="AD3928">
        <v>-1.091695542052</v>
      </c>
      <c r="AE3928">
        <v>-10.9910999999999</v>
      </c>
      <c r="AF3928">
        <v>6.5957535460653203</v>
      </c>
      <c r="AG3928">
        <v>-1.091695542052</v>
      </c>
      <c r="AH3928">
        <v>10.2646546426949</v>
      </c>
      <c r="AI3928">
        <v>95.112930027840093</v>
      </c>
      <c r="AJ3928">
        <v>57.276438502014997</v>
      </c>
      <c r="AK3928">
        <v>12.2498530167006</v>
      </c>
    </row>
    <row r="3929" spans="1:37" x14ac:dyDescent="0.2">
      <c r="A3929" t="str">
        <f>"20200111155627511"</f>
        <v>20200111155627511</v>
      </c>
      <c r="B3929" t="str">
        <f>"1578729387506727"</f>
        <v>1578729387506727</v>
      </c>
      <c r="C3929" t="s">
        <v>37</v>
      </c>
      <c r="D3929">
        <v>5.1701189999999997</v>
      </c>
      <c r="E3929">
        <v>0.65950229999999999</v>
      </c>
      <c r="F3929" t="s">
        <v>56</v>
      </c>
      <c r="G3929">
        <v>-196.98070000000001</v>
      </c>
      <c r="H3929" s="1">
        <v>5.6580769999999997E-6</v>
      </c>
      <c r="I3929">
        <v>200.79730000000001</v>
      </c>
      <c r="J3929">
        <v>-201.6909</v>
      </c>
      <c r="K3929">
        <v>1.091323</v>
      </c>
      <c r="L3929">
        <v>211.59970000000001</v>
      </c>
      <c r="M3929">
        <v>0.82326010000000005</v>
      </c>
      <c r="N3929">
        <v>0</v>
      </c>
      <c r="O3929">
        <v>-0.56742239999999999</v>
      </c>
      <c r="P3929">
        <v>0.67170200000000002</v>
      </c>
      <c r="Q3929">
        <v>1.213525E-2</v>
      </c>
      <c r="R3929">
        <v>-0.74072209999999905</v>
      </c>
      <c r="S3929">
        <v>1.41655</v>
      </c>
      <c r="T3929">
        <v>-0.27178759999999902</v>
      </c>
      <c r="U3929">
        <v>-2.862457</v>
      </c>
      <c r="V3929">
        <v>0.2294978</v>
      </c>
      <c r="W3929">
        <v>2.0814650000000001E-2</v>
      </c>
      <c r="X3929">
        <v>0.97308660000000002</v>
      </c>
      <c r="Y3929">
        <v>0.48629449999999902</v>
      </c>
      <c r="Z3929">
        <v>3.0037629999999999E-2</v>
      </c>
      <c r="AA3929">
        <v>0.87327860000000002</v>
      </c>
      <c r="AB3929">
        <v>29</v>
      </c>
      <c r="AC3929">
        <v>4.71019999999998</v>
      </c>
      <c r="AD3929">
        <v>-1.091317341923</v>
      </c>
      <c r="AE3929">
        <v>-10.8024</v>
      </c>
      <c r="AF3929">
        <v>6.1684673758489996</v>
      </c>
      <c r="AG3929">
        <v>-1.091317341923</v>
      </c>
      <c r="AH3929">
        <v>9.9235168457648992</v>
      </c>
      <c r="AI3929">
        <v>95.335899375351701</v>
      </c>
      <c r="AJ3929">
        <v>58.134877114030203</v>
      </c>
      <c r="AK3929">
        <v>11.7352950493745</v>
      </c>
    </row>
    <row r="3930" spans="1:37" x14ac:dyDescent="0.2">
      <c r="A3930" t="str">
        <f>"20200111155627533"</f>
        <v>20200111155627533</v>
      </c>
      <c r="B3930" t="str">
        <f>"1578729387526540"</f>
        <v>1578729387526540</v>
      </c>
      <c r="C3930" t="s">
        <v>37</v>
      </c>
      <c r="D3930">
        <v>5.119783</v>
      </c>
      <c r="E3930">
        <v>0.66325239999999996</v>
      </c>
      <c r="F3930" t="s">
        <v>38</v>
      </c>
      <c r="G3930">
        <v>-191.5445</v>
      </c>
      <c r="H3930" s="1">
        <v>-1.7583189999999899E-6</v>
      </c>
      <c r="I3930">
        <v>182.72989999999999</v>
      </c>
      <c r="J3930">
        <v>-201.4598</v>
      </c>
      <c r="K3930">
        <v>1.091229</v>
      </c>
      <c r="L3930">
        <v>211.41980000000001</v>
      </c>
      <c r="M3930">
        <v>0.81338100000000002</v>
      </c>
      <c r="N3930">
        <v>0</v>
      </c>
      <c r="O3930">
        <v>-0.58149410000000001</v>
      </c>
      <c r="P3930">
        <v>0.65756269999999895</v>
      </c>
      <c r="Q3930">
        <v>1.2494069999999999E-2</v>
      </c>
      <c r="R3930">
        <v>-0.75329630000000003</v>
      </c>
      <c r="S3930">
        <v>1.0799259999999999</v>
      </c>
      <c r="T3930">
        <v>-0.1161538</v>
      </c>
      <c r="U3930">
        <v>-3.0727229999999999</v>
      </c>
      <c r="V3930">
        <v>0.23119439999999999</v>
      </c>
      <c r="W3930">
        <v>2.1104979999999999E-2</v>
      </c>
      <c r="X3930">
        <v>0.97267870000000001</v>
      </c>
      <c r="Y3930">
        <v>0.57460429999999996</v>
      </c>
      <c r="Z3930">
        <v>1.156855E-2</v>
      </c>
      <c r="AA3930">
        <v>0.81834949999999995</v>
      </c>
      <c r="AB3930">
        <v>29</v>
      </c>
      <c r="AC3930">
        <v>9.9153000000000002</v>
      </c>
      <c r="AD3930">
        <v>-1.091230758319</v>
      </c>
      <c r="AE3930">
        <v>-28.689900000000002</v>
      </c>
      <c r="AF3930">
        <v>17.5498756797714</v>
      </c>
      <c r="AG3930">
        <v>-1.091230758319</v>
      </c>
      <c r="AH3930">
        <v>24.719393991589701</v>
      </c>
      <c r="AI3930">
        <v>92.061498427637503</v>
      </c>
      <c r="AJ3930">
        <v>54.626625934586997</v>
      </c>
      <c r="AK3930">
        <v>30.335414291793899</v>
      </c>
    </row>
    <row r="3931" spans="1:37" x14ac:dyDescent="0.2">
      <c r="A3931" t="str">
        <f>"20200111155627554"</f>
        <v>20200111155627554</v>
      </c>
      <c r="B3931" t="str">
        <f>"1578729387547036"</f>
        <v>1578729387547036</v>
      </c>
      <c r="C3931" t="s">
        <v>37</v>
      </c>
      <c r="D3931">
        <v>5.1068360000000004</v>
      </c>
      <c r="E3931">
        <v>0.66252519999999904</v>
      </c>
      <c r="F3931" t="s">
        <v>38</v>
      </c>
      <c r="G3931">
        <v>-188.20099999999999</v>
      </c>
      <c r="H3931" s="1">
        <v>-5.9798229999999999E-7</v>
      </c>
      <c r="I3931">
        <v>169.99870000000001</v>
      </c>
      <c r="J3931">
        <v>-201.233</v>
      </c>
      <c r="K3931">
        <v>1.0911379999999999</v>
      </c>
      <c r="L3931">
        <v>211.23679999999999</v>
      </c>
      <c r="M3931">
        <v>0.80321129999999996</v>
      </c>
      <c r="N3931">
        <v>0</v>
      </c>
      <c r="O3931">
        <v>-0.59546119999999902</v>
      </c>
      <c r="P3931">
        <v>0.64220149999999998</v>
      </c>
      <c r="Q3931">
        <v>1.361676E-2</v>
      </c>
      <c r="R3931">
        <v>-0.76641510000000002</v>
      </c>
      <c r="S3931">
        <v>0.99671939999999903</v>
      </c>
      <c r="T3931">
        <v>-8.2032439999999998E-2</v>
      </c>
      <c r="U3931">
        <v>-3.1137999999999999</v>
      </c>
      <c r="V3931">
        <v>0.23407510000000001</v>
      </c>
      <c r="W3931">
        <v>2.2114689999999999E-2</v>
      </c>
      <c r="X3931">
        <v>0.97196700000000003</v>
      </c>
      <c r="Y3931">
        <v>0.58350749999999996</v>
      </c>
      <c r="Z3931">
        <v>8.4505399999999994E-3</v>
      </c>
      <c r="AA3931">
        <v>0.8120638</v>
      </c>
      <c r="AB3931">
        <v>29</v>
      </c>
      <c r="AC3931">
        <v>13.032</v>
      </c>
      <c r="AD3931">
        <v>-1.0911385979822901</v>
      </c>
      <c r="AE3931">
        <v>-41.238099999999903</v>
      </c>
      <c r="AF3931">
        <v>25.350241919552701</v>
      </c>
      <c r="AG3931">
        <v>-1.0911385979822901</v>
      </c>
      <c r="AH3931">
        <v>35.005717461084103</v>
      </c>
      <c r="AI3931">
        <v>91.446164860324501</v>
      </c>
      <c r="AJ3931">
        <v>54.0889089128856</v>
      </c>
      <c r="AK3931">
        <v>43.234541789928898</v>
      </c>
    </row>
    <row r="3932" spans="1:37" x14ac:dyDescent="0.2">
      <c r="A3932" t="str">
        <f>"20200111155627577"</f>
        <v>20200111155627577</v>
      </c>
      <c r="B3932" t="str">
        <f>"1578729387566556"</f>
        <v>1578729387566556</v>
      </c>
      <c r="C3932" t="s">
        <v>37</v>
      </c>
      <c r="D3932">
        <v>5.1849249999999998</v>
      </c>
      <c r="E3932">
        <v>0.66139009999999998</v>
      </c>
      <c r="F3932" t="s">
        <v>38</v>
      </c>
      <c r="G3932">
        <v>-188.49440000000001</v>
      </c>
      <c r="H3932" s="1">
        <v>-4.5786950000000004E-6</v>
      </c>
      <c r="I3932">
        <v>168.75239999999999</v>
      </c>
      <c r="J3932">
        <v>-201.00880000000001</v>
      </c>
      <c r="K3932">
        <v>1.091046</v>
      </c>
      <c r="L3932">
        <v>211.04929999999999</v>
      </c>
      <c r="M3932">
        <v>0.79267129999999997</v>
      </c>
      <c r="N3932">
        <v>0</v>
      </c>
      <c r="O3932">
        <v>-0.60942050000000003</v>
      </c>
      <c r="P3932">
        <v>0.62583659999999997</v>
      </c>
      <c r="Q3932">
        <v>1.4330570000000001E-2</v>
      </c>
      <c r="R3932">
        <v>-0.77982280000000004</v>
      </c>
      <c r="S3932">
        <v>0.93835449999999998</v>
      </c>
      <c r="T3932">
        <v>-8.0376149999999993E-2</v>
      </c>
      <c r="U3932">
        <v>-3.1295009999999999</v>
      </c>
      <c r="V3932">
        <v>0.23766139999999999</v>
      </c>
      <c r="W3932">
        <v>2.268674E-2</v>
      </c>
      <c r="X3932">
        <v>0.97108309999999998</v>
      </c>
      <c r="Y3932">
        <v>0.58430979999999999</v>
      </c>
      <c r="Z3932">
        <v>8.7019880000000008E-3</v>
      </c>
      <c r="AA3932">
        <v>0.81148409999999904</v>
      </c>
      <c r="AB3932">
        <v>29</v>
      </c>
      <c r="AC3932">
        <v>12.514399999999901</v>
      </c>
      <c r="AD3932">
        <v>-1.091050578695</v>
      </c>
      <c r="AE3932">
        <v>-42.296900000000001</v>
      </c>
      <c r="AF3932">
        <v>25.888779571317599</v>
      </c>
      <c r="AG3932">
        <v>-1.091050578695</v>
      </c>
      <c r="AH3932">
        <v>35.6795522631989</v>
      </c>
      <c r="AI3932">
        <v>91.417795118870103</v>
      </c>
      <c r="AJ3932">
        <v>54.035680516994397</v>
      </c>
      <c r="AK3932">
        <v>44.095915329652598</v>
      </c>
    </row>
    <row r="3933" spans="1:37" x14ac:dyDescent="0.2">
      <c r="A3933" t="str">
        <f>"20200111155627643"</f>
        <v>20200111155627643</v>
      </c>
      <c r="B3933" t="str">
        <f>"1578729387636828"</f>
        <v>1578729387636828</v>
      </c>
      <c r="C3933" t="s">
        <v>37</v>
      </c>
      <c r="D3933">
        <v>5.1807059999999998</v>
      </c>
      <c r="E3933">
        <v>0.66139009999999998</v>
      </c>
      <c r="F3933" t="s">
        <v>38</v>
      </c>
      <c r="G3933">
        <v>-189.63159999999999</v>
      </c>
      <c r="H3933" s="1">
        <v>-3.859153E-7</v>
      </c>
      <c r="I3933">
        <v>170.38</v>
      </c>
      <c r="J3933">
        <v>-200.35599999999999</v>
      </c>
      <c r="K3933">
        <v>1.0907690000000001</v>
      </c>
      <c r="L3933">
        <v>210.46029999999999</v>
      </c>
      <c r="M3933">
        <v>0.75879469999999904</v>
      </c>
      <c r="N3933">
        <v>0</v>
      </c>
      <c r="O3933">
        <v>-0.65111209999999997</v>
      </c>
      <c r="P3933">
        <v>0.57227839999999996</v>
      </c>
      <c r="Q3933">
        <v>1.280531E-2</v>
      </c>
      <c r="R3933">
        <v>-0.8199594</v>
      </c>
      <c r="S3933">
        <v>0.87924190000000002</v>
      </c>
      <c r="T3933">
        <v>-8.4317089999999997E-2</v>
      </c>
      <c r="U3933">
        <v>-3.14296</v>
      </c>
      <c r="V3933">
        <v>0.25044079999999902</v>
      </c>
      <c r="W3933">
        <v>2.0650169999999999E-2</v>
      </c>
      <c r="X3933">
        <v>0.96791170000000004</v>
      </c>
      <c r="Y3933">
        <v>0.55539930000000004</v>
      </c>
      <c r="Z3933">
        <v>1.0876129999999999E-2</v>
      </c>
      <c r="AA3933">
        <v>0.83151269999999999</v>
      </c>
      <c r="AB3933">
        <v>29</v>
      </c>
      <c r="AC3933">
        <v>10.724399999999999</v>
      </c>
      <c r="AD3933">
        <v>-1.0907693859153</v>
      </c>
      <c r="AE3933">
        <v>-40.080300000000001</v>
      </c>
      <c r="AF3933">
        <v>23.417071366762201</v>
      </c>
      <c r="AG3933">
        <v>-1.0907693859153</v>
      </c>
      <c r="AH3933">
        <v>34.215594120603399</v>
      </c>
      <c r="AI3933">
        <v>91.506985662231401</v>
      </c>
      <c r="AJ3933">
        <v>55.612354186397397</v>
      </c>
      <c r="AK3933">
        <v>41.475967623132803</v>
      </c>
    </row>
    <row r="3934" spans="1:37" x14ac:dyDescent="0.2">
      <c r="A3934" t="str">
        <f>"20200111155627688"</f>
        <v>20200111155627688</v>
      </c>
      <c r="B3934" t="str">
        <f>"1578729387676844"</f>
        <v>1578729387676844</v>
      </c>
      <c r="C3934" t="s">
        <v>37</v>
      </c>
      <c r="D3934">
        <v>4.9544100000000002</v>
      </c>
      <c r="E3934">
        <v>0.63882950000000005</v>
      </c>
      <c r="F3934" t="s">
        <v>38</v>
      </c>
      <c r="G3934">
        <v>-192.3203</v>
      </c>
      <c r="H3934" s="1">
        <v>-1.646514E-6</v>
      </c>
      <c r="I3934">
        <v>171.9881</v>
      </c>
      <c r="J3934">
        <v>-199.93969999999999</v>
      </c>
      <c r="K3934">
        <v>1.0906169999999999</v>
      </c>
      <c r="L3934">
        <v>210.04810000000001</v>
      </c>
      <c r="M3934">
        <v>0.73442719999999995</v>
      </c>
      <c r="N3934">
        <v>0</v>
      </c>
      <c r="O3934">
        <v>-0.67847639999999998</v>
      </c>
      <c r="P3934">
        <v>0.53753879999999998</v>
      </c>
      <c r="Q3934">
        <v>1.446888E-2</v>
      </c>
      <c r="R3934">
        <v>-0.84311499999999995</v>
      </c>
      <c r="S3934">
        <v>0.66722109999999901</v>
      </c>
      <c r="T3934">
        <v>-9.0568780000000002E-2</v>
      </c>
      <c r="U3934">
        <v>-3.1944270000000001</v>
      </c>
      <c r="V3934">
        <v>0.255442</v>
      </c>
      <c r="W3934">
        <v>2.210896E-2</v>
      </c>
      <c r="X3934">
        <v>0.96657159999999998</v>
      </c>
      <c r="Y3934">
        <v>0.580264</v>
      </c>
      <c r="Z3934">
        <v>1.230963E-2</v>
      </c>
      <c r="AA3934">
        <v>0.81433540000000004</v>
      </c>
      <c r="AB3934">
        <v>29</v>
      </c>
      <c r="AC3934">
        <v>7.6193999999999802</v>
      </c>
      <c r="AD3934">
        <v>-1.090618646514</v>
      </c>
      <c r="AE3934">
        <v>-38.06</v>
      </c>
      <c r="AF3934">
        <v>22.768005109764101</v>
      </c>
      <c r="AG3934">
        <v>-1.090618646514</v>
      </c>
      <c r="AH3934">
        <v>31.398419001633101</v>
      </c>
      <c r="AI3934">
        <v>91.610727797519402</v>
      </c>
      <c r="AJ3934">
        <v>54.052923035471999</v>
      </c>
      <c r="AK3934">
        <v>38.799899761629298</v>
      </c>
    </row>
    <row r="3935" spans="1:37" x14ac:dyDescent="0.2">
      <c r="A3935" t="str">
        <f>"20200111155627711"</f>
        <v>20200111155627711</v>
      </c>
      <c r="B3935" t="str">
        <f>"1578729387707100"</f>
        <v>1578729387707100</v>
      </c>
      <c r="C3935" t="s">
        <v>37</v>
      </c>
      <c r="D3935">
        <v>5.0218439999999998</v>
      </c>
      <c r="E3935">
        <v>0.64544019999999902</v>
      </c>
      <c r="F3935" t="s">
        <v>38</v>
      </c>
      <c r="G3935">
        <v>-192.96969999999999</v>
      </c>
      <c r="H3935" s="1">
        <v>-4.4012049999999998E-6</v>
      </c>
      <c r="I3935">
        <v>178.37200000000001</v>
      </c>
      <c r="J3935">
        <v>-199.73320000000001</v>
      </c>
      <c r="K3935">
        <v>1.0905370000000001</v>
      </c>
      <c r="L3935">
        <v>209.83179999999999</v>
      </c>
      <c r="M3935">
        <v>0.72142850000000003</v>
      </c>
      <c r="N3935">
        <v>0</v>
      </c>
      <c r="O3935">
        <v>-0.69228089999999998</v>
      </c>
      <c r="P3935">
        <v>0.52068910000000002</v>
      </c>
      <c r="Q3935">
        <v>1.4957079999999999E-2</v>
      </c>
      <c r="R3935">
        <v>-0.85361529999999997</v>
      </c>
      <c r="S3935">
        <v>0.68698119999999996</v>
      </c>
      <c r="T3935">
        <v>-0.1074948</v>
      </c>
      <c r="U3935">
        <v>-3.1220859999999999</v>
      </c>
      <c r="V3935">
        <v>0.25632440000000001</v>
      </c>
      <c r="W3935">
        <v>2.2556119999999999E-2</v>
      </c>
      <c r="X3935">
        <v>0.96632759999999995</v>
      </c>
      <c r="Y3935">
        <v>0.55587749999999903</v>
      </c>
      <c r="Z3935">
        <v>1.5910420000000002E-2</v>
      </c>
      <c r="AA3935">
        <v>0.83111199999999996</v>
      </c>
      <c r="AB3935">
        <v>28</v>
      </c>
      <c r="AC3935">
        <v>6.7635000000000201</v>
      </c>
      <c r="AD3935">
        <v>-1.0905414012050001</v>
      </c>
      <c r="AE3935">
        <v>-31.459799999999898</v>
      </c>
      <c r="AF3935">
        <v>17.995680761127598</v>
      </c>
      <c r="AG3935">
        <v>-1.0905414012050001</v>
      </c>
      <c r="AH3935">
        <v>26.631653210245499</v>
      </c>
      <c r="AI3935">
        <v>91.943252577151497</v>
      </c>
      <c r="AJ3935">
        <v>55.952112233321301</v>
      </c>
      <c r="AK3935">
        <v>32.160204590688402</v>
      </c>
    </row>
    <row r="3936" spans="1:37" x14ac:dyDescent="0.2">
      <c r="A3936" t="str">
        <f>"20200111155627755"</f>
        <v>20200111155627755</v>
      </c>
      <c r="B3936" t="str">
        <f>"1578729387747116"</f>
        <v>1578729387747116</v>
      </c>
      <c r="C3936" t="s">
        <v>37</v>
      </c>
      <c r="D3936">
        <v>5.0081009999999999</v>
      </c>
      <c r="E3936">
        <v>0.65004930000000005</v>
      </c>
      <c r="F3936" t="s">
        <v>38</v>
      </c>
      <c r="G3936">
        <v>-194.3732</v>
      </c>
      <c r="H3936" s="1">
        <v>-1.609683E-6</v>
      </c>
      <c r="I3936">
        <v>180.62889999999999</v>
      </c>
      <c r="J3936">
        <v>-199.3484</v>
      </c>
      <c r="K3936">
        <v>1.0903830000000001</v>
      </c>
      <c r="L3936">
        <v>209.4049</v>
      </c>
      <c r="M3936">
        <v>0.69535170000000002</v>
      </c>
      <c r="N3936">
        <v>0</v>
      </c>
      <c r="O3936">
        <v>-0.71846709999999903</v>
      </c>
      <c r="P3936">
        <v>0.49005649999999901</v>
      </c>
      <c r="Q3936">
        <v>1.4249990000000001E-2</v>
      </c>
      <c r="R3936">
        <v>-0.87157450000000003</v>
      </c>
      <c r="S3936">
        <v>0.58045959999999996</v>
      </c>
      <c r="T3936">
        <v>-0.1180986</v>
      </c>
      <c r="U3936">
        <v>-3.1624910000000002</v>
      </c>
      <c r="V3936">
        <v>0.25491459999999999</v>
      </c>
      <c r="W3936">
        <v>2.1893960000000001E-2</v>
      </c>
      <c r="X3936">
        <v>0.96671569999999996</v>
      </c>
      <c r="Y3936">
        <v>0.55429709999999999</v>
      </c>
      <c r="Z3936">
        <v>1.8655939999999999E-2</v>
      </c>
      <c r="AA3936">
        <v>0.83210969999999995</v>
      </c>
      <c r="AB3936">
        <v>28</v>
      </c>
      <c r="AC3936">
        <v>4.9752000000000001</v>
      </c>
      <c r="AD3936">
        <v>-1.0903846096830001</v>
      </c>
      <c r="AE3936">
        <v>-28.776</v>
      </c>
      <c r="AF3936">
        <v>16.414431098070899</v>
      </c>
      <c r="AG3936">
        <v>-1.0903846096830001</v>
      </c>
      <c r="AH3936">
        <v>24.104031384601502</v>
      </c>
      <c r="AI3936">
        <v>92.141306250810203</v>
      </c>
      <c r="AJ3936">
        <v>55.745809554538297</v>
      </c>
      <c r="AK3936">
        <v>29.182645799519399</v>
      </c>
    </row>
    <row r="3937" spans="1:37" x14ac:dyDescent="0.2">
      <c r="A3937" t="str">
        <f>"20200111155627868"</f>
        <v>20200111155627868</v>
      </c>
      <c r="B3937" t="str">
        <f>"1578729387856428"</f>
        <v>1578729387856428</v>
      </c>
      <c r="C3937" t="s">
        <v>37</v>
      </c>
      <c r="D3937">
        <v>4.7821040000000004</v>
      </c>
      <c r="E3937">
        <v>0.6460726</v>
      </c>
      <c r="F3937" t="s">
        <v>38</v>
      </c>
      <c r="G3937">
        <v>-195.61660000000001</v>
      </c>
      <c r="H3937" s="1">
        <v>-2.5469799999999998E-6</v>
      </c>
      <c r="I3937">
        <v>182.04259999999999</v>
      </c>
      <c r="J3937">
        <v>-198.4564</v>
      </c>
      <c r="K3937">
        <v>1.0900609999999999</v>
      </c>
      <c r="L3937">
        <v>208.2681</v>
      </c>
      <c r="M3937">
        <v>0.6234499</v>
      </c>
      <c r="N3937">
        <v>0</v>
      </c>
      <c r="O3937">
        <v>-0.78167240000000004</v>
      </c>
      <c r="P3937">
        <v>0.41794619999999999</v>
      </c>
      <c r="Q3937">
        <v>1.3050590000000001E-2</v>
      </c>
      <c r="R3937">
        <v>-0.90837800000000002</v>
      </c>
      <c r="S3937">
        <v>0.43626399999999999</v>
      </c>
      <c r="T3937">
        <v>-0.1274728</v>
      </c>
      <c r="U3937">
        <v>-3.1988219999999998</v>
      </c>
      <c r="V3937">
        <v>0.2405766</v>
      </c>
      <c r="W3937">
        <v>2.127279E-2</v>
      </c>
      <c r="X3937">
        <v>0.97039699999999995</v>
      </c>
      <c r="Y3937">
        <v>0.51218859999999999</v>
      </c>
      <c r="Z3937">
        <v>2.4068920000000001E-2</v>
      </c>
      <c r="AA3937">
        <v>0.85853559999999995</v>
      </c>
      <c r="AB3937">
        <v>28</v>
      </c>
      <c r="AC3937">
        <v>2.8397999999999901</v>
      </c>
      <c r="AD3937">
        <v>-1.09006354698</v>
      </c>
      <c r="AE3937">
        <v>-26.2255</v>
      </c>
      <c r="AF3937">
        <v>14.1085092926165</v>
      </c>
      <c r="AG3937">
        <v>-1.09006354698</v>
      </c>
      <c r="AH3937">
        <v>22.235576811441899</v>
      </c>
      <c r="AI3937">
        <v>92.370349900199997</v>
      </c>
      <c r="AJ3937">
        <v>57.604807258626003</v>
      </c>
      <c r="AK3937">
        <v>26.356387254967899</v>
      </c>
    </row>
    <row r="3938" spans="1:37" x14ac:dyDescent="0.2">
      <c r="A3938" t="str">
        <f>"20200111155627890"</f>
        <v>20200111155627890</v>
      </c>
      <c r="B3938" t="str">
        <f>"1578729387886684"</f>
        <v>1578729387886684</v>
      </c>
      <c r="C3938" t="s">
        <v>37</v>
      </c>
      <c r="D3938">
        <v>4.8026109999999997</v>
      </c>
      <c r="E3938">
        <v>0.64456020000000003</v>
      </c>
      <c r="F3938" t="s">
        <v>38</v>
      </c>
      <c r="G3938">
        <v>-196.63509999999999</v>
      </c>
      <c r="H3938" s="1">
        <v>-1.7825319999999999E-6</v>
      </c>
      <c r="I3938">
        <v>179.62899999999999</v>
      </c>
      <c r="J3938">
        <v>-198.2912</v>
      </c>
      <c r="K3938">
        <v>1.0900160000000001</v>
      </c>
      <c r="L3938">
        <v>208.0299</v>
      </c>
      <c r="M3938">
        <v>0.60799650000000005</v>
      </c>
      <c r="N3938">
        <v>0</v>
      </c>
      <c r="O3938">
        <v>-0.79375090000000004</v>
      </c>
      <c r="P3938">
        <v>0.40217129999999901</v>
      </c>
      <c r="Q3938">
        <v>1.286934E-2</v>
      </c>
      <c r="R3938">
        <v>-0.91547440000000002</v>
      </c>
      <c r="S3938">
        <v>0.2041626</v>
      </c>
      <c r="T3938">
        <v>-0.1221933</v>
      </c>
      <c r="U3938">
        <v>-3.2103730000000001</v>
      </c>
      <c r="V3938">
        <v>0.23832539999999999</v>
      </c>
      <c r="W3938">
        <v>2.1190790000000001E-2</v>
      </c>
      <c r="X3938">
        <v>0.97095419999999999</v>
      </c>
      <c r="Y3938">
        <v>0.55645659999999997</v>
      </c>
      <c r="Z3938">
        <v>2.3120890000000002E-2</v>
      </c>
      <c r="AA3938">
        <v>0.83055499999999904</v>
      </c>
      <c r="AB3938">
        <v>28</v>
      </c>
      <c r="AC3938">
        <v>1.6560999999999999</v>
      </c>
      <c r="AD3938">
        <v>-1.0900177825320001</v>
      </c>
      <c r="AE3938">
        <v>-28.400899999999901</v>
      </c>
      <c r="AF3938">
        <v>15.9321200619913</v>
      </c>
      <c r="AG3938">
        <v>-1.0900177825320001</v>
      </c>
      <c r="AH3938">
        <v>23.519147161202898</v>
      </c>
      <c r="AI3938">
        <v>92.197409965542306</v>
      </c>
      <c r="AJ3938">
        <v>55.885870099719497</v>
      </c>
      <c r="AK3938">
        <v>28.428346269634901</v>
      </c>
    </row>
    <row r="3939" spans="1:37" x14ac:dyDescent="0.2">
      <c r="A3939" t="str">
        <f>"20200111155627906"</f>
        <v>20200111155627906</v>
      </c>
      <c r="B3939" t="str">
        <f>"1578729387896444"</f>
        <v>1578729387896444</v>
      </c>
      <c r="C3939" t="s">
        <v>37</v>
      </c>
      <c r="D3939">
        <v>4.8692070000000003</v>
      </c>
      <c r="E3939">
        <v>0.64359330000000003</v>
      </c>
      <c r="F3939" t="s">
        <v>38</v>
      </c>
      <c r="G3939">
        <v>-196.75059999999999</v>
      </c>
      <c r="H3939" s="1">
        <v>-4.5599719999999996E-6</v>
      </c>
      <c r="I3939">
        <v>176.86770000000001</v>
      </c>
      <c r="J3939">
        <v>-198.17689999999999</v>
      </c>
      <c r="K3939">
        <v>1.0899889999999901</v>
      </c>
      <c r="L3939">
        <v>207.8588</v>
      </c>
      <c r="M3939">
        <v>0.59682679999999999</v>
      </c>
      <c r="N3939">
        <v>0</v>
      </c>
      <c r="O3939">
        <v>-0.80218269999999903</v>
      </c>
      <c r="P3939">
        <v>0.39056239999999998</v>
      </c>
      <c r="Q3939">
        <v>1.266814E-2</v>
      </c>
      <c r="R3939">
        <v>-0.92048929999999995</v>
      </c>
      <c r="S3939">
        <v>0.1586456</v>
      </c>
      <c r="T3939">
        <v>-0.1122428</v>
      </c>
      <c r="U3939">
        <v>-3.2088619999999999</v>
      </c>
      <c r="V3939">
        <v>0.23701030000000001</v>
      </c>
      <c r="W3939">
        <v>2.105015E-2</v>
      </c>
      <c r="X3939">
        <v>0.971279</v>
      </c>
      <c r="Y3939">
        <v>0.55655059999999901</v>
      </c>
      <c r="Z3939">
        <v>2.1678699999999999E-2</v>
      </c>
      <c r="AA3939">
        <v>0.83053089999999996</v>
      </c>
      <c r="AB3939">
        <v>28</v>
      </c>
      <c r="AC3939">
        <v>1.4262999999999899</v>
      </c>
      <c r="AD3939">
        <v>-1.0899935599719901</v>
      </c>
      <c r="AE3939">
        <v>-30.9910999999999</v>
      </c>
      <c r="AF3939">
        <v>17.333378950389701</v>
      </c>
      <c r="AG3939">
        <v>-1.0899935599719901</v>
      </c>
      <c r="AH3939">
        <v>25.683940617063701</v>
      </c>
      <c r="AI3939">
        <v>92.014683534356905</v>
      </c>
      <c r="AJ3939">
        <v>55.985678515822002</v>
      </c>
      <c r="AK3939">
        <v>31.0048208738488</v>
      </c>
    </row>
    <row r="3940" spans="1:37" x14ac:dyDescent="0.2">
      <c r="A3940" t="str">
        <f>"20200111155627923"</f>
        <v>20200111155627923</v>
      </c>
      <c r="B3940" t="str">
        <f>"1578729387916940"</f>
        <v>1578729387916940</v>
      </c>
      <c r="C3940" t="s">
        <v>37</v>
      </c>
      <c r="D3940">
        <v>4.8419869999999996</v>
      </c>
      <c r="E3940">
        <v>0.64140959999999902</v>
      </c>
      <c r="F3940" t="s">
        <v>38</v>
      </c>
      <c r="G3940">
        <v>-196.9649</v>
      </c>
      <c r="H3940" s="1">
        <v>-4.5883580000000001E-6</v>
      </c>
      <c r="I3940">
        <v>176.83940000000001</v>
      </c>
      <c r="J3940">
        <v>-198.05330000000001</v>
      </c>
      <c r="K3940">
        <v>1.0899650000000001</v>
      </c>
      <c r="L3940">
        <v>207.6677</v>
      </c>
      <c r="M3940">
        <v>0.5842889</v>
      </c>
      <c r="N3940">
        <v>0</v>
      </c>
      <c r="O3940">
        <v>-0.81136009999999903</v>
      </c>
      <c r="P3940">
        <v>0.37865949999999998</v>
      </c>
      <c r="Q3940">
        <v>1.2926979999999999E-2</v>
      </c>
      <c r="R3940">
        <v>-0.92544590000000004</v>
      </c>
      <c r="S3940">
        <v>0.1253204</v>
      </c>
      <c r="T3940">
        <v>-0.1127083</v>
      </c>
      <c r="U3940">
        <v>-3.2074889999999998</v>
      </c>
      <c r="V3940">
        <v>0.23445179999999999</v>
      </c>
      <c r="W3940">
        <v>2.1422E-2</v>
      </c>
      <c r="X3940">
        <v>0.97189169999999903</v>
      </c>
      <c r="Y3940">
        <v>0.55222839999999995</v>
      </c>
      <c r="Z3940">
        <v>2.2301700000000001E-2</v>
      </c>
      <c r="AA3940">
        <v>0.83339449999999904</v>
      </c>
      <c r="AB3940">
        <v>28</v>
      </c>
      <c r="AC3940">
        <v>1.0884</v>
      </c>
      <c r="AD3940">
        <v>-1.0899695883580001</v>
      </c>
      <c r="AE3940">
        <v>-30.828299999999899</v>
      </c>
      <c r="AF3940">
        <v>17.110767254970501</v>
      </c>
      <c r="AG3940">
        <v>-1.0899695883580001</v>
      </c>
      <c r="AH3940">
        <v>25.620669670682201</v>
      </c>
      <c r="AI3940">
        <v>92.026178609770895</v>
      </c>
      <c r="AJ3940">
        <v>56.263014977212002</v>
      </c>
      <c r="AK3940">
        <v>30.828316595810598</v>
      </c>
    </row>
    <row r="3941" spans="1:37" x14ac:dyDescent="0.2">
      <c r="A3941" t="str">
        <f>"20200111155627946"</f>
        <v>20200111155627946</v>
      </c>
      <c r="B3941" t="str">
        <f>"1578729387936460"</f>
        <v>1578729387936460</v>
      </c>
      <c r="C3941" t="s">
        <v>37</v>
      </c>
      <c r="D3941">
        <v>4.8561059999999996</v>
      </c>
      <c r="E3941">
        <v>0.63960569999999894</v>
      </c>
      <c r="F3941" t="s">
        <v>38</v>
      </c>
      <c r="G3941">
        <v>-197.0856</v>
      </c>
      <c r="H3941" s="1">
        <v>-4.5556890000000002E-6</v>
      </c>
      <c r="I3941">
        <v>176.68049999999999</v>
      </c>
      <c r="J3941">
        <v>-197.904</v>
      </c>
      <c r="K3941">
        <v>1.089947</v>
      </c>
      <c r="L3941">
        <v>207.42750000000001</v>
      </c>
      <c r="M3941">
        <v>0.56844220000000001</v>
      </c>
      <c r="N3941">
        <v>0</v>
      </c>
      <c r="O3941">
        <v>-0.82253929999999997</v>
      </c>
      <c r="P3941">
        <v>0.36308359999999901</v>
      </c>
      <c r="Q3941">
        <v>1.377747E-2</v>
      </c>
      <c r="R3941">
        <v>-0.93165489999999995</v>
      </c>
      <c r="S3941">
        <v>0.1000061</v>
      </c>
      <c r="T3941">
        <v>-0.11264149999999901</v>
      </c>
      <c r="U3941">
        <v>-3.2023320000000002</v>
      </c>
      <c r="V3941">
        <v>0.231929</v>
      </c>
      <c r="W3941">
        <v>2.238832E-2</v>
      </c>
      <c r="X3941">
        <v>0.97247510000000004</v>
      </c>
      <c r="Y3941">
        <v>0.54255140000000002</v>
      </c>
      <c r="Z3941">
        <v>2.3016709999999999E-2</v>
      </c>
      <c r="AA3941">
        <v>0.83970719999999999</v>
      </c>
      <c r="AB3941">
        <v>28</v>
      </c>
      <c r="AC3941">
        <v>0.818400000000025</v>
      </c>
      <c r="AD3941">
        <v>-1.089951555689</v>
      </c>
      <c r="AE3941">
        <v>-30.747</v>
      </c>
      <c r="AF3941">
        <v>16.786189832998399</v>
      </c>
      <c r="AG3941">
        <v>-1.089951555689</v>
      </c>
      <c r="AH3941">
        <v>25.727419179428502</v>
      </c>
      <c r="AI3941">
        <v>92.032058312666805</v>
      </c>
      <c r="AJ3941">
        <v>56.8770376471277</v>
      </c>
      <c r="AK3941">
        <v>30.7386444258239</v>
      </c>
    </row>
    <row r="3942" spans="1:37" x14ac:dyDescent="0.2">
      <c r="A3942" t="str">
        <f>"20200111155627967"</f>
        <v>20200111155627967</v>
      </c>
      <c r="B3942" t="str">
        <f>"1578729387956956"</f>
        <v>1578729387956956</v>
      </c>
      <c r="C3942" t="s">
        <v>37</v>
      </c>
      <c r="D3942">
        <v>4.8682249999999998</v>
      </c>
      <c r="E3942">
        <v>0.63740719999999995</v>
      </c>
      <c r="F3942" t="s">
        <v>38</v>
      </c>
      <c r="G3942">
        <v>-197.30969999999999</v>
      </c>
      <c r="H3942" s="1">
        <v>-4.2047519999999902E-6</v>
      </c>
      <c r="I3942">
        <v>175.5325</v>
      </c>
      <c r="J3942">
        <v>-197.76159999999999</v>
      </c>
      <c r="K3942">
        <v>1.0899319999999999</v>
      </c>
      <c r="L3942">
        <v>207.18809999999999</v>
      </c>
      <c r="M3942">
        <v>0.55256190000000005</v>
      </c>
      <c r="N3942">
        <v>0</v>
      </c>
      <c r="O3942">
        <v>-0.83328999999999998</v>
      </c>
      <c r="P3942">
        <v>0.34786149999999999</v>
      </c>
      <c r="Q3942">
        <v>1.488008E-2</v>
      </c>
      <c r="R3942">
        <v>-0.93742789999999998</v>
      </c>
      <c r="S3942">
        <v>5.960083E-2</v>
      </c>
      <c r="T3942">
        <v>-0.1093011</v>
      </c>
      <c r="U3942">
        <v>-3.1984560000000002</v>
      </c>
      <c r="V3942">
        <v>0.22914809999999999</v>
      </c>
      <c r="W3942">
        <v>2.3617760000000002E-2</v>
      </c>
      <c r="X3942">
        <v>0.973104999999999</v>
      </c>
      <c r="Y3942">
        <v>0.53700059999999905</v>
      </c>
      <c r="Z3942">
        <v>2.296347E-2</v>
      </c>
      <c r="AA3942">
        <v>0.8432693</v>
      </c>
      <c r="AB3942">
        <v>28</v>
      </c>
      <c r="AC3942">
        <v>0.45189999999999397</v>
      </c>
      <c r="AD3942">
        <v>-1.08993620475199</v>
      </c>
      <c r="AE3942">
        <v>-31.6556</v>
      </c>
      <c r="AF3942">
        <v>17.097444441993101</v>
      </c>
      <c r="AG3942">
        <v>-1.08993620475199</v>
      </c>
      <c r="AH3942">
        <v>26.600505899583499</v>
      </c>
      <c r="AI3942">
        <v>91.974110495787698</v>
      </c>
      <c r="AJ3942">
        <v>57.269164494978497</v>
      </c>
      <c r="AK3942">
        <v>31.6401245492372</v>
      </c>
    </row>
    <row r="3943" spans="1:37" x14ac:dyDescent="0.2">
      <c r="A3943" t="str">
        <f>"20200111155627991"</f>
        <v>20200111155627991</v>
      </c>
      <c r="B3943" t="str">
        <f>"1578729387987212"</f>
        <v>1578729387987212</v>
      </c>
      <c r="C3943" t="s">
        <v>37</v>
      </c>
      <c r="D3943">
        <v>4.741123</v>
      </c>
      <c r="E3943">
        <v>0.6354187</v>
      </c>
      <c r="F3943" t="s">
        <v>38</v>
      </c>
      <c r="G3943">
        <v>-197.51820000000001</v>
      </c>
      <c r="H3943" s="1">
        <v>-3.9369130000000001E-6</v>
      </c>
      <c r="I3943">
        <v>174.63669999999999</v>
      </c>
      <c r="J3943">
        <v>-197.61519999999999</v>
      </c>
      <c r="K3943">
        <v>1.089941</v>
      </c>
      <c r="L3943">
        <v>206.93039999999999</v>
      </c>
      <c r="M3943">
        <v>0.53537869999999999</v>
      </c>
      <c r="N3943">
        <v>0</v>
      </c>
      <c r="O3943">
        <v>-0.84443219999999997</v>
      </c>
      <c r="P3943">
        <v>0.3329434</v>
      </c>
      <c r="Q3943">
        <v>1.642393E-2</v>
      </c>
      <c r="R3943">
        <v>-0.94280399999999998</v>
      </c>
      <c r="S3943">
        <v>2.3879999999999998E-2</v>
      </c>
      <c r="T3943">
        <v>-0.1069165</v>
      </c>
      <c r="U3943">
        <v>-3.1930999999999998</v>
      </c>
      <c r="V3943">
        <v>0.22469909999999901</v>
      </c>
      <c r="W3943">
        <v>2.5358169999999999E-2</v>
      </c>
      <c r="X3943">
        <v>0.97409820000000003</v>
      </c>
      <c r="Y3943">
        <v>0.52910679999999999</v>
      </c>
      <c r="Z3943">
        <v>2.3134809999999999E-2</v>
      </c>
      <c r="AA3943">
        <v>0.84823979999999999</v>
      </c>
      <c r="AB3943">
        <v>28</v>
      </c>
      <c r="AC3943">
        <v>9.6999999999979894E-2</v>
      </c>
      <c r="AD3943">
        <v>-1.0899449369130001</v>
      </c>
      <c r="AE3943">
        <v>-32.293700000000001</v>
      </c>
      <c r="AF3943">
        <v>17.190482503362801</v>
      </c>
      <c r="AG3943">
        <v>-1.0899449369130001</v>
      </c>
      <c r="AH3943">
        <v>27.294832361813398</v>
      </c>
      <c r="AI3943">
        <v>91.935248138926198</v>
      </c>
      <c r="AJ3943">
        <v>57.7969800814667</v>
      </c>
      <c r="AK3943">
        <v>32.275509946760302</v>
      </c>
    </row>
    <row r="3944" spans="1:37" x14ac:dyDescent="0.2">
      <c r="A3944" t="str">
        <f>"20200111155628026"</f>
        <v>20200111155628026</v>
      </c>
      <c r="B3944" t="str">
        <f>"1578729388016492"</f>
        <v>1578729388016492</v>
      </c>
      <c r="C3944" t="s">
        <v>37</v>
      </c>
      <c r="D3944">
        <v>4.8819919999999897</v>
      </c>
      <c r="E3944">
        <v>0.63297579999999998</v>
      </c>
      <c r="F3944" t="s">
        <v>38</v>
      </c>
      <c r="G3944">
        <v>-197.76070000000001</v>
      </c>
      <c r="H3944" s="1">
        <v>-2.106204E-6</v>
      </c>
      <c r="I3944">
        <v>169.68530000000001</v>
      </c>
      <c r="J3944">
        <v>-197.40979999999999</v>
      </c>
      <c r="K3944">
        <v>1.089971</v>
      </c>
      <c r="L3944">
        <v>206.54599999999999</v>
      </c>
      <c r="M3944">
        <v>0.5096155</v>
      </c>
      <c r="N3944">
        <v>0</v>
      </c>
      <c r="O3944">
        <v>-0.86022509999999996</v>
      </c>
      <c r="P3944">
        <v>0.30886390000000002</v>
      </c>
      <c r="Q3944">
        <v>2.0952439999999999E-2</v>
      </c>
      <c r="R3944">
        <v>-0.95087549999999899</v>
      </c>
      <c r="S3944">
        <v>-1.2451169999999999E-2</v>
      </c>
      <c r="T3944">
        <v>-9.3294139999999998E-2</v>
      </c>
      <c r="U3944">
        <v>-3.1880039999999998</v>
      </c>
      <c r="V3944">
        <v>0.220144799999999</v>
      </c>
      <c r="W3944">
        <v>3.0096580000000001E-2</v>
      </c>
      <c r="X3944">
        <v>0.97500279999999995</v>
      </c>
      <c r="Y3944">
        <v>0.51303199999999904</v>
      </c>
      <c r="Z3944">
        <v>2.1051469999999999E-2</v>
      </c>
      <c r="AA3944">
        <v>0.85811130000000002</v>
      </c>
      <c r="AB3944">
        <v>28</v>
      </c>
      <c r="AC3944">
        <v>-0.35090000000002403</v>
      </c>
      <c r="AD3944">
        <v>-1.0899731062039999</v>
      </c>
      <c r="AE3944">
        <v>-36.860699999999902</v>
      </c>
      <c r="AF3944">
        <v>19.072871116279</v>
      </c>
      <c r="AG3944">
        <v>-1.0899731062039999</v>
      </c>
      <c r="AH3944">
        <v>31.5069349898586</v>
      </c>
      <c r="AI3944">
        <v>91.695149312792196</v>
      </c>
      <c r="AJ3944">
        <v>58.811186884744203</v>
      </c>
      <c r="AK3944">
        <v>36.846294338041801</v>
      </c>
    </row>
    <row r="3945" spans="1:37" x14ac:dyDescent="0.2">
      <c r="A3945" t="str">
        <f>"20200111155628046"</f>
        <v>20200111155628046</v>
      </c>
      <c r="B3945" t="str">
        <f>"1578729388036988"</f>
        <v>1578729388036988</v>
      </c>
      <c r="C3945" t="s">
        <v>37</v>
      </c>
      <c r="D3945">
        <v>4.8249529999999998</v>
      </c>
      <c r="E3945">
        <v>0.58900719999999995</v>
      </c>
      <c r="F3945" t="s">
        <v>38</v>
      </c>
      <c r="G3945">
        <v>-198.46709999999999</v>
      </c>
      <c r="H3945" s="1">
        <v>-3.2107780000000001E-6</v>
      </c>
      <c r="I3945">
        <v>161.73609999999999</v>
      </c>
      <c r="J3945">
        <v>-197.2894</v>
      </c>
      <c r="K3945">
        <v>1.090004</v>
      </c>
      <c r="L3945">
        <v>206.3065</v>
      </c>
      <c r="M3945">
        <v>0.49348649999999999</v>
      </c>
      <c r="N3945">
        <v>0</v>
      </c>
      <c r="O3945">
        <v>-0.86957809999999902</v>
      </c>
      <c r="P3945">
        <v>0.29395209999999999</v>
      </c>
      <c r="Q3945">
        <v>2.4816129999999999E-2</v>
      </c>
      <c r="R3945">
        <v>-0.95549810000000002</v>
      </c>
      <c r="S3945">
        <v>-7.5057979999999996E-2</v>
      </c>
      <c r="T3945">
        <v>-7.737803E-2</v>
      </c>
      <c r="U3945">
        <v>-3.1810909999999999</v>
      </c>
      <c r="V3945">
        <v>0.21730740000000001</v>
      </c>
      <c r="W3945">
        <v>3.4090420000000003E-2</v>
      </c>
      <c r="X3945">
        <v>0.97550769999999998</v>
      </c>
      <c r="Y3945">
        <v>0.51392420000000005</v>
      </c>
      <c r="Z3945">
        <v>1.7824299999999901E-2</v>
      </c>
      <c r="AA3945">
        <v>0.85765029999999998</v>
      </c>
      <c r="AB3945">
        <v>28</v>
      </c>
      <c r="AC3945">
        <v>-1.17769999999998</v>
      </c>
      <c r="AD3945">
        <v>-1.0900072107779999</v>
      </c>
      <c r="AE3945">
        <v>-44.570399999999999</v>
      </c>
      <c r="AF3945">
        <v>23.008752378241301</v>
      </c>
      <c r="AG3945">
        <v>-1.0900072107779999</v>
      </c>
      <c r="AH3945">
        <v>38.159281238253101</v>
      </c>
      <c r="AI3945">
        <v>91.401286050410604</v>
      </c>
      <c r="AJ3945">
        <v>58.911448073368</v>
      </c>
      <c r="AK3945">
        <v>44.572654692567603</v>
      </c>
    </row>
    <row r="3946" spans="1:37" x14ac:dyDescent="0.2">
      <c r="A3946" t="str">
        <f>"20200111155628069"</f>
        <v>20200111155628069</v>
      </c>
      <c r="B3946" t="str">
        <f>"1578729388056508"</f>
        <v>1578729388056508</v>
      </c>
      <c r="C3946" t="s">
        <v>37</v>
      </c>
      <c r="D3946">
        <v>5.0314449999999997</v>
      </c>
      <c r="E3946">
        <v>0.58497390000000005</v>
      </c>
      <c r="F3946" t="s">
        <v>38</v>
      </c>
      <c r="G3946">
        <v>-194.46629999999999</v>
      </c>
      <c r="H3946" s="1">
        <v>-3.9071820000000004E-6</v>
      </c>
      <c r="I3946">
        <v>165.39760000000001</v>
      </c>
      <c r="J3946">
        <v>-197.16679999999999</v>
      </c>
      <c r="K3946">
        <v>1.090044</v>
      </c>
      <c r="L3946">
        <v>206.0505</v>
      </c>
      <c r="M3946">
        <v>0.4761899</v>
      </c>
      <c r="N3946">
        <v>0</v>
      </c>
      <c r="O3946">
        <v>-0.87916859999999997</v>
      </c>
      <c r="P3946">
        <v>0.27860869999999999</v>
      </c>
      <c r="Q3946">
        <v>2.894186E-2</v>
      </c>
      <c r="R3946">
        <v>-0.95996870000000001</v>
      </c>
      <c r="S3946">
        <v>0.21231079999999899</v>
      </c>
      <c r="T3946">
        <v>-8.1973550000000006E-2</v>
      </c>
      <c r="U3946">
        <v>-3.0765380000000002</v>
      </c>
      <c r="V3946">
        <v>0.21372869999999999</v>
      </c>
      <c r="W3946">
        <v>3.837579E-2</v>
      </c>
      <c r="X3946">
        <v>0.97613899999999998</v>
      </c>
      <c r="Y3946">
        <v>0.41460469999999999</v>
      </c>
      <c r="Z3946">
        <v>2.061843E-2</v>
      </c>
      <c r="AA3946">
        <v>0.90976800000000002</v>
      </c>
      <c r="AB3946">
        <v>28</v>
      </c>
      <c r="AC3946">
        <v>2.7004999999999999</v>
      </c>
      <c r="AD3946">
        <v>-1.090047907182</v>
      </c>
      <c r="AE3946">
        <v>-40.652899999999903</v>
      </c>
      <c r="AF3946">
        <v>16.9747520235275</v>
      </c>
      <c r="AG3946">
        <v>-1.090047907182</v>
      </c>
      <c r="AH3946">
        <v>37.005876731429296</v>
      </c>
      <c r="AI3946">
        <v>91.5336547584117</v>
      </c>
      <c r="AJ3946">
        <v>65.358876248101595</v>
      </c>
      <c r="AK3946">
        <v>40.727942783326903</v>
      </c>
    </row>
    <row r="3947" spans="1:37" x14ac:dyDescent="0.2">
      <c r="A3947" t="str">
        <f>"20200111155628091"</f>
        <v>20200111155628091</v>
      </c>
      <c r="B3947" t="str">
        <f>"1578729388086763"</f>
        <v>1578729388086763</v>
      </c>
      <c r="C3947" t="s">
        <v>37</v>
      </c>
      <c r="D3947">
        <v>4.7825379999999997</v>
      </c>
      <c r="E3947">
        <v>0.58012859999999999</v>
      </c>
      <c r="F3947" t="s">
        <v>38</v>
      </c>
      <c r="G3947">
        <v>-194.74599999999899</v>
      </c>
      <c r="H3947" s="1">
        <v>-4.9543519999999999E-6</v>
      </c>
      <c r="I3947">
        <v>167.99529999999999</v>
      </c>
      <c r="J3947">
        <v>-197.048</v>
      </c>
      <c r="K3947">
        <v>1.090082</v>
      </c>
      <c r="L3947">
        <v>205.7893</v>
      </c>
      <c r="M3947">
        <v>0.45848509999999998</v>
      </c>
      <c r="N3947">
        <v>0</v>
      </c>
      <c r="O3947">
        <v>-0.88853009999999999</v>
      </c>
      <c r="P3947">
        <v>0.26353169999999998</v>
      </c>
      <c r="Q3947">
        <v>3.1823200000000003E-2</v>
      </c>
      <c r="R3947">
        <v>-0.96412580000000003</v>
      </c>
      <c r="S3947">
        <v>0.19535829999999901</v>
      </c>
      <c r="T3947">
        <v>-8.7967039999999996E-2</v>
      </c>
      <c r="U3947">
        <v>-3.0710599999999899</v>
      </c>
      <c r="V3947">
        <v>0.20953060000000001</v>
      </c>
      <c r="W3947">
        <v>4.1440829999999998E-2</v>
      </c>
      <c r="X3947">
        <v>0.97692349999999994</v>
      </c>
      <c r="Y3947">
        <v>0.40122379999999902</v>
      </c>
      <c r="Z3947">
        <v>2.2649889999999999E-2</v>
      </c>
      <c r="AA3947">
        <v>0.91569999999999996</v>
      </c>
      <c r="AB3947">
        <v>27</v>
      </c>
      <c r="AC3947">
        <v>2.30200000000002</v>
      </c>
      <c r="AD3947">
        <v>-1.090086954352</v>
      </c>
      <c r="AE3947">
        <v>-37.793999999999997</v>
      </c>
      <c r="AF3947">
        <v>15.2722676658168</v>
      </c>
      <c r="AG3947">
        <v>-1.090086954352</v>
      </c>
      <c r="AH3947">
        <v>34.613145662239702</v>
      </c>
      <c r="AI3947">
        <v>91.650427588203002</v>
      </c>
      <c r="AJ3947">
        <v>66.191614742187198</v>
      </c>
      <c r="AK3947">
        <v>37.848385723301703</v>
      </c>
    </row>
    <row r="3948" spans="1:37" x14ac:dyDescent="0.2">
      <c r="A3948" t="str">
        <f>"20200111155628115"</f>
        <v>20200111155628115</v>
      </c>
      <c r="B3948" t="str">
        <f>"1578729388107259"</f>
        <v>1578729388107259</v>
      </c>
      <c r="C3948" t="s">
        <v>37</v>
      </c>
      <c r="D3948">
        <v>4.7733049999999997</v>
      </c>
      <c r="E3948">
        <v>0.57733819999999902</v>
      </c>
      <c r="F3948" t="s">
        <v>38</v>
      </c>
      <c r="G3948">
        <v>-195.07560000000001</v>
      </c>
      <c r="H3948" s="1">
        <v>-2.9373219999999898E-6</v>
      </c>
      <c r="I3948">
        <v>173.28809999999999</v>
      </c>
      <c r="J3948">
        <v>-196.9348</v>
      </c>
      <c r="K3948">
        <v>1.090122</v>
      </c>
      <c r="L3948">
        <v>205.5264</v>
      </c>
      <c r="M3948">
        <v>0.44062399999999902</v>
      </c>
      <c r="N3948">
        <v>0</v>
      </c>
      <c r="O3948">
        <v>-0.89752140000000002</v>
      </c>
      <c r="P3948">
        <v>0.24808259999999999</v>
      </c>
      <c r="Q3948">
        <v>3.4801110000000003E-2</v>
      </c>
      <c r="R3948">
        <v>-0.96811380000000002</v>
      </c>
      <c r="S3948">
        <v>0.18595889999999901</v>
      </c>
      <c r="T3948">
        <v>-0.102771499999999</v>
      </c>
      <c r="U3948">
        <v>-3.0641630000000002</v>
      </c>
      <c r="V3948">
        <v>0.20566989999999999</v>
      </c>
      <c r="W3948">
        <v>4.4588389999999999E-2</v>
      </c>
      <c r="X3948">
        <v>0.97760509999999901</v>
      </c>
      <c r="Y3948">
        <v>0.38551929999999901</v>
      </c>
      <c r="Z3948">
        <v>2.707961E-2</v>
      </c>
      <c r="AA3948">
        <v>0.92230230000000002</v>
      </c>
      <c r="AB3948">
        <v>27</v>
      </c>
      <c r="AC3948">
        <v>1.85919999999998</v>
      </c>
      <c r="AD3948">
        <v>-1.0901249373220001</v>
      </c>
      <c r="AE3948">
        <v>-32.238300000000002</v>
      </c>
      <c r="AF3948">
        <v>12.5239415840551</v>
      </c>
      <c r="AG3948">
        <v>-1.0901249373220001</v>
      </c>
      <c r="AH3948">
        <v>29.724448030924599</v>
      </c>
      <c r="AI3948">
        <v>91.935687061461394</v>
      </c>
      <c r="AJ3948">
        <v>67.152619271692899</v>
      </c>
      <c r="AK3948">
        <v>32.273523140849299</v>
      </c>
    </row>
    <row r="3949" spans="1:37" x14ac:dyDescent="0.2">
      <c r="A3949" t="str">
        <f>"20200111155628135"</f>
        <v>20200111155628135</v>
      </c>
      <c r="B3949" t="str">
        <f>"1578729388126780"</f>
        <v>1578729388126780</v>
      </c>
      <c r="C3949" t="s">
        <v>37</v>
      </c>
      <c r="D3949">
        <v>4.7763150000000003</v>
      </c>
      <c r="E3949">
        <v>0.57557930000000002</v>
      </c>
      <c r="F3949" t="s">
        <v>38</v>
      </c>
      <c r="G3949">
        <v>-195.20509999999999</v>
      </c>
      <c r="H3949" s="1">
        <v>-2.4951009999999999E-6</v>
      </c>
      <c r="I3949">
        <v>172.17689999999999</v>
      </c>
      <c r="J3949">
        <v>-196.83330000000001</v>
      </c>
      <c r="K3949">
        <v>1.0901689999999999</v>
      </c>
      <c r="L3949">
        <v>205.2773</v>
      </c>
      <c r="M3949">
        <v>0.42367529999999998</v>
      </c>
      <c r="N3949">
        <v>0</v>
      </c>
      <c r="O3949">
        <v>-0.90564539999999905</v>
      </c>
      <c r="P3949">
        <v>0.2335931</v>
      </c>
      <c r="Q3949">
        <v>3.7393320000000001E-2</v>
      </c>
      <c r="R3949">
        <v>-0.97161529999999996</v>
      </c>
      <c r="S3949">
        <v>0.1587982</v>
      </c>
      <c r="T3949">
        <v>-0.1000803</v>
      </c>
      <c r="U3949">
        <v>-3.0616910000000002</v>
      </c>
      <c r="V3949">
        <v>0.2019427</v>
      </c>
      <c r="W3949">
        <v>4.7343969999999999E-2</v>
      </c>
      <c r="X3949">
        <v>0.97825239999999902</v>
      </c>
      <c r="Y3949">
        <v>0.37626659999999901</v>
      </c>
      <c r="Z3949">
        <v>2.685332E-2</v>
      </c>
      <c r="AA3949">
        <v>0.92612220000000001</v>
      </c>
      <c r="AB3949">
        <v>27</v>
      </c>
      <c r="AC3949">
        <v>1.6282000000000201</v>
      </c>
      <c r="AD3949">
        <v>-1.090171495101</v>
      </c>
      <c r="AE3949">
        <v>-33.1004</v>
      </c>
      <c r="AF3949">
        <v>12.5376012044358</v>
      </c>
      <c r="AG3949">
        <v>-1.090171495101</v>
      </c>
      <c r="AH3949">
        <v>30.638586395259299</v>
      </c>
      <c r="AI3949">
        <v>91.886132576901801</v>
      </c>
      <c r="AJ3949">
        <v>67.745155005004904</v>
      </c>
      <c r="AK3949">
        <v>33.122543594204402</v>
      </c>
    </row>
    <row r="3950" spans="1:37" x14ac:dyDescent="0.2">
      <c r="A3950" t="str">
        <f>"20200111155628158"</f>
        <v>20200111155628158</v>
      </c>
      <c r="B3950" t="str">
        <f>"1578729388147276"</f>
        <v>1578729388147276</v>
      </c>
      <c r="C3950" t="s">
        <v>37</v>
      </c>
      <c r="D3950">
        <v>4.80823</v>
      </c>
      <c r="E3950">
        <v>0.55661539999999998</v>
      </c>
      <c r="F3950" t="s">
        <v>38</v>
      </c>
      <c r="G3950">
        <v>-195.3768</v>
      </c>
      <c r="H3950" s="1">
        <v>-1.6904749999999999E-6</v>
      </c>
      <c r="I3950">
        <v>170.19479999999999</v>
      </c>
      <c r="J3950">
        <v>-196.7313</v>
      </c>
      <c r="K3950">
        <v>1.0902160000000001</v>
      </c>
      <c r="L3950">
        <v>205.01259999999999</v>
      </c>
      <c r="M3950">
        <v>0.4056498</v>
      </c>
      <c r="N3950">
        <v>0</v>
      </c>
      <c r="O3950">
        <v>-0.91386139999999905</v>
      </c>
      <c r="P3950">
        <v>0.21759429999999899</v>
      </c>
      <c r="Q3950">
        <v>3.8300000000000001E-2</v>
      </c>
      <c r="R3950">
        <v>-0.97528780000000004</v>
      </c>
      <c r="S3950">
        <v>0.1270752</v>
      </c>
      <c r="T3950">
        <v>-9.5111970000000004E-2</v>
      </c>
      <c r="U3950">
        <v>-3.0607759999999899</v>
      </c>
      <c r="V3950">
        <v>0.19864849999999901</v>
      </c>
      <c r="W3950">
        <v>4.8397999999999997E-2</v>
      </c>
      <c r="X3950">
        <v>0.97887500000000005</v>
      </c>
      <c r="Y3950">
        <v>0.36745650000000002</v>
      </c>
      <c r="Z3950">
        <v>2.5967580000000001E-2</v>
      </c>
      <c r="AA3950">
        <v>0.92967809999999995</v>
      </c>
      <c r="AB3950">
        <v>27</v>
      </c>
      <c r="AC3950">
        <v>1.3545</v>
      </c>
      <c r="AD3950">
        <v>-1.0902176904750001</v>
      </c>
      <c r="AE3950">
        <v>-34.817799999999998</v>
      </c>
      <c r="AF3950">
        <v>12.8753731176747</v>
      </c>
      <c r="AG3950">
        <v>-1.0902176904750001</v>
      </c>
      <c r="AH3950">
        <v>32.3413817130985</v>
      </c>
      <c r="AI3950">
        <v>91.793862542821103</v>
      </c>
      <c r="AJ3950">
        <v>68.292087039736401</v>
      </c>
      <c r="AK3950">
        <v>34.827127051255701</v>
      </c>
    </row>
    <row r="3951" spans="1:37" x14ac:dyDescent="0.2">
      <c r="A3951" t="str">
        <f>"20200111155628181"</f>
        <v>20200111155628181</v>
      </c>
      <c r="B3951" t="str">
        <f>"1578729388176556"</f>
        <v>1578729388176556</v>
      </c>
      <c r="C3951" t="s">
        <v>37</v>
      </c>
      <c r="D3951">
        <v>4.7647019999999998</v>
      </c>
      <c r="E3951">
        <v>0.55380830000000003</v>
      </c>
      <c r="F3951" t="s">
        <v>38</v>
      </c>
      <c r="G3951">
        <v>-194.9528</v>
      </c>
      <c r="H3951" s="1">
        <v>-2.048364E-6</v>
      </c>
      <c r="I3951">
        <v>181.2921</v>
      </c>
      <c r="J3951">
        <v>-196.63480000000001</v>
      </c>
      <c r="K3951">
        <v>1.0902810000000001</v>
      </c>
      <c r="L3951">
        <v>204.74529999999999</v>
      </c>
      <c r="M3951">
        <v>0.38746809999999998</v>
      </c>
      <c r="N3951">
        <v>0</v>
      </c>
      <c r="O3951">
        <v>-0.92171749999999997</v>
      </c>
      <c r="P3951">
        <v>0.2016037</v>
      </c>
      <c r="Q3951">
        <v>3.8474370000000001E-2</v>
      </c>
      <c r="R3951">
        <v>-0.97871129999999995</v>
      </c>
      <c r="S3951">
        <v>0.22724910000000001</v>
      </c>
      <c r="T3951">
        <v>-0.139297799999999</v>
      </c>
      <c r="U3951">
        <v>-3.0307919999999999</v>
      </c>
      <c r="V3951">
        <v>0.1952719</v>
      </c>
      <c r="W3951">
        <v>4.8724730000000001E-2</v>
      </c>
      <c r="X3951">
        <v>0.97953799999999902</v>
      </c>
      <c r="Y3951">
        <v>0.31756659999999998</v>
      </c>
      <c r="Z3951">
        <v>3.9316459999999998E-2</v>
      </c>
      <c r="AA3951">
        <v>0.9474205</v>
      </c>
      <c r="AB3951">
        <v>27</v>
      </c>
      <c r="AC3951">
        <v>1.6820000000000099</v>
      </c>
      <c r="AD3951">
        <v>-1.090283048364</v>
      </c>
      <c r="AE3951">
        <v>-23.453199999999899</v>
      </c>
      <c r="AF3951">
        <v>7.52201625536396</v>
      </c>
      <c r="AG3951">
        <v>-1.090283048364</v>
      </c>
      <c r="AH3951">
        <v>22.224562917759201</v>
      </c>
      <c r="AI3951">
        <v>92.660518167027504</v>
      </c>
      <c r="AJ3951">
        <v>71.301349124258905</v>
      </c>
      <c r="AK3951">
        <v>23.488308635509402</v>
      </c>
    </row>
    <row r="3952" spans="1:37" x14ac:dyDescent="0.2">
      <c r="A3952" t="str">
        <f>"20200111155628203"</f>
        <v>20200111155628203</v>
      </c>
      <c r="B3952" t="str">
        <f>"1578729388197051"</f>
        <v>1578729388197051</v>
      </c>
      <c r="C3952" t="s">
        <v>37</v>
      </c>
      <c r="D3952">
        <v>4.7730739999999896</v>
      </c>
      <c r="E3952">
        <v>0.55267080000000002</v>
      </c>
      <c r="F3952" t="s">
        <v>38</v>
      </c>
      <c r="G3952">
        <v>-195.18469999999999</v>
      </c>
      <c r="H3952" s="1">
        <v>-2.753001E-6</v>
      </c>
      <c r="I3952">
        <v>182.79069999999999</v>
      </c>
      <c r="J3952">
        <v>-196.54519999999999</v>
      </c>
      <c r="K3952">
        <v>1.0903689999999999</v>
      </c>
      <c r="L3952">
        <v>204.4813</v>
      </c>
      <c r="M3952">
        <v>0.36954369999999997</v>
      </c>
      <c r="N3952">
        <v>0</v>
      </c>
      <c r="O3952">
        <v>-0.92904949999999997</v>
      </c>
      <c r="P3952">
        <v>0.18666329999999901</v>
      </c>
      <c r="Q3952">
        <v>3.6521619999999998E-2</v>
      </c>
      <c r="R3952">
        <v>-0.98174479999999997</v>
      </c>
      <c r="S3952">
        <v>0.20013429999999999</v>
      </c>
      <c r="T3952">
        <v>-0.15046999999999999</v>
      </c>
      <c r="U3952">
        <v>-3.0299529999999999</v>
      </c>
      <c r="V3952">
        <v>0.1911755</v>
      </c>
      <c r="W3952">
        <v>4.695245E-2</v>
      </c>
      <c r="X3952">
        <v>0.98043230000000003</v>
      </c>
      <c r="Y3952">
        <v>0.30760929999999997</v>
      </c>
      <c r="Z3952">
        <v>4.3106650000000003E-2</v>
      </c>
      <c r="AA3952">
        <v>0.95053580000000004</v>
      </c>
      <c r="AB3952">
        <v>27</v>
      </c>
      <c r="AC3952">
        <v>1.3605</v>
      </c>
      <c r="AD3952">
        <v>-1.090371753001</v>
      </c>
      <c r="AE3952">
        <v>-21.6906</v>
      </c>
      <c r="AF3952">
        <v>6.7357263318261298</v>
      </c>
      <c r="AG3952">
        <v>-1.090371753001</v>
      </c>
      <c r="AH3952">
        <v>20.605683829089301</v>
      </c>
      <c r="AI3952">
        <v>92.879380145388893</v>
      </c>
      <c r="AJ3952">
        <v>71.898114090416698</v>
      </c>
      <c r="AK3952">
        <v>21.706061960691802</v>
      </c>
    </row>
    <row r="3953" spans="1:37" x14ac:dyDescent="0.2">
      <c r="A3953" t="str">
        <f>"20200111155628225"</f>
        <v>20200111155628225</v>
      </c>
      <c r="B3953" t="str">
        <f>"1578729388216571"</f>
        <v>1578729388216571</v>
      </c>
      <c r="C3953" t="s">
        <v>37</v>
      </c>
      <c r="D3953">
        <v>4.7603119999999999</v>
      </c>
      <c r="E3953">
        <v>0.55185830000000002</v>
      </c>
      <c r="F3953" t="s">
        <v>38</v>
      </c>
      <c r="G3953">
        <v>-195.4333</v>
      </c>
      <c r="H3953" s="1">
        <v>-3.2348770000000001E-6</v>
      </c>
      <c r="I3953">
        <v>183.75980000000001</v>
      </c>
      <c r="J3953">
        <v>-196.4615</v>
      </c>
      <c r="K3953">
        <v>1.0904670000000001</v>
      </c>
      <c r="L3953">
        <v>204.21809999999999</v>
      </c>
      <c r="M3953">
        <v>0.3517131</v>
      </c>
      <c r="N3953">
        <v>0</v>
      </c>
      <c r="O3953">
        <v>-0.93594569999999999</v>
      </c>
      <c r="P3953">
        <v>0.17248959999999999</v>
      </c>
      <c r="Q3953">
        <v>3.4376259999999999E-2</v>
      </c>
      <c r="R3953">
        <v>-0.98441139999999905</v>
      </c>
      <c r="S3953">
        <v>0.1626282</v>
      </c>
      <c r="T3953">
        <v>-0.15948099999999901</v>
      </c>
      <c r="U3953">
        <v>-3.0307919999999999</v>
      </c>
      <c r="V3953">
        <v>0.18650269999999999</v>
      </c>
      <c r="W3953">
        <v>4.5006160000000003E-2</v>
      </c>
      <c r="X3953">
        <v>0.98142309999999999</v>
      </c>
      <c r="Y3953">
        <v>0.30115370000000002</v>
      </c>
      <c r="Z3953">
        <v>4.6275749999999997E-2</v>
      </c>
      <c r="AA3953">
        <v>0.95245210000000002</v>
      </c>
      <c r="AB3953">
        <v>27</v>
      </c>
      <c r="AC3953">
        <v>1.02819999999999</v>
      </c>
      <c r="AD3953">
        <v>-1.0904702348769999</v>
      </c>
      <c r="AE3953">
        <v>-20.458299999999898</v>
      </c>
      <c r="AF3953">
        <v>6.2164418497270599</v>
      </c>
      <c r="AG3953">
        <v>-1.0904702348769999</v>
      </c>
      <c r="AH3953">
        <v>19.4573098322855</v>
      </c>
      <c r="AI3953">
        <v>93.055878325129697</v>
      </c>
      <c r="AJ3953">
        <v>72.281769584488003</v>
      </c>
      <c r="AK3953">
        <v>20.455321569551199</v>
      </c>
    </row>
    <row r="3954" spans="1:37" x14ac:dyDescent="0.2">
      <c r="A3954" t="str">
        <f>"20200111155628247"</f>
        <v>20200111155628247</v>
      </c>
      <c r="B3954" t="str">
        <f>"1578729388237068"</f>
        <v>1578729388237068</v>
      </c>
      <c r="C3954" t="s">
        <v>37</v>
      </c>
      <c r="D3954">
        <v>4.7074819999999997</v>
      </c>
      <c r="E3954">
        <v>0.54346229999999995</v>
      </c>
      <c r="F3954" t="s">
        <v>38</v>
      </c>
      <c r="G3954">
        <v>-195.6439</v>
      </c>
      <c r="H3954" s="1">
        <v>-3.5124430000000002E-6</v>
      </c>
      <c r="I3954">
        <v>184.3664</v>
      </c>
      <c r="J3954">
        <v>-196.3828</v>
      </c>
      <c r="K3954">
        <v>1.090576</v>
      </c>
      <c r="L3954">
        <v>203.95359999999999</v>
      </c>
      <c r="M3954">
        <v>0.3338699</v>
      </c>
      <c r="N3954">
        <v>0</v>
      </c>
      <c r="O3954">
        <v>-0.94245869999999998</v>
      </c>
      <c r="P3954">
        <v>0.15933919999999999</v>
      </c>
      <c r="Q3954">
        <v>3.3294240000000003E-2</v>
      </c>
      <c r="R3954">
        <v>-0.98666239999999905</v>
      </c>
      <c r="S3954">
        <v>0.1248474</v>
      </c>
      <c r="T3954">
        <v>-0.1665208</v>
      </c>
      <c r="U3954">
        <v>-3.0314640000000002</v>
      </c>
      <c r="V3954">
        <v>0.18091170000000001</v>
      </c>
      <c r="W3954">
        <v>4.4157269999999998E-2</v>
      </c>
      <c r="X3954">
        <v>0.98250749999999998</v>
      </c>
      <c r="Y3954">
        <v>0.29489109999999902</v>
      </c>
      <c r="Z3954">
        <v>4.8899270000000002E-2</v>
      </c>
      <c r="AA3954">
        <v>0.95427879999999998</v>
      </c>
      <c r="AB3954">
        <v>27</v>
      </c>
      <c r="AC3954">
        <v>0.738900000000001</v>
      </c>
      <c r="AD3954">
        <v>-1.090579512443</v>
      </c>
      <c r="AE3954">
        <v>-19.587199999999999</v>
      </c>
      <c r="AF3954">
        <v>5.82604231333233</v>
      </c>
      <c r="AG3954">
        <v>-1.090579512443</v>
      </c>
      <c r="AH3954">
        <v>18.651913596893401</v>
      </c>
      <c r="AI3954">
        <v>93.194411410912906</v>
      </c>
      <c r="AJ3954">
        <v>72.653477700384599</v>
      </c>
      <c r="AK3954">
        <v>19.571050394285798</v>
      </c>
    </row>
    <row r="3955" spans="1:37" x14ac:dyDescent="0.2">
      <c r="A3955" t="str">
        <f>"20200111155628271"</f>
        <v>20200111155628271</v>
      </c>
      <c r="B3955" t="str">
        <f>"1578729388267323"</f>
        <v>1578729388267323</v>
      </c>
      <c r="C3955" t="s">
        <v>37</v>
      </c>
      <c r="D3955">
        <v>4.8019679999999996</v>
      </c>
      <c r="E3955">
        <v>0.54250159999999903</v>
      </c>
      <c r="F3955" t="s">
        <v>38</v>
      </c>
      <c r="G3955">
        <v>-195.46610000000001</v>
      </c>
      <c r="H3955" s="1">
        <v>-3.877434E-6</v>
      </c>
      <c r="I3955">
        <v>185.5316</v>
      </c>
      <c r="J3955">
        <v>-196.30609999999999</v>
      </c>
      <c r="K3955">
        <v>1.090722</v>
      </c>
      <c r="L3955">
        <v>203.67679999999999</v>
      </c>
      <c r="M3955">
        <v>0.315310799999999</v>
      </c>
      <c r="N3955">
        <v>0</v>
      </c>
      <c r="O3955">
        <v>-0.948829699999999</v>
      </c>
      <c r="P3955">
        <v>0.1464192</v>
      </c>
      <c r="Q3955">
        <v>3.291972E-2</v>
      </c>
      <c r="R3955">
        <v>-0.98867499999999997</v>
      </c>
      <c r="S3955">
        <v>0.15039059999999899</v>
      </c>
      <c r="T3955">
        <v>-0.17892089999999999</v>
      </c>
      <c r="U3955">
        <v>-3.0223239999999998</v>
      </c>
      <c r="V3955">
        <v>0.17445250000000001</v>
      </c>
      <c r="W3955">
        <v>4.4048660000000003E-2</v>
      </c>
      <c r="X3955">
        <v>0.98367979999999999</v>
      </c>
      <c r="Y3955">
        <v>0.26787059999999902</v>
      </c>
      <c r="Z3955">
        <v>5.3475199999999903E-2</v>
      </c>
      <c r="AA3955">
        <v>0.96196970000000004</v>
      </c>
      <c r="AB3955">
        <v>27</v>
      </c>
      <c r="AC3955">
        <v>0.83999999999997499</v>
      </c>
      <c r="AD3955">
        <v>-1.0907258774339901</v>
      </c>
      <c r="AE3955">
        <v>-18.1451999999999</v>
      </c>
      <c r="AF3955">
        <v>4.9074084323007199</v>
      </c>
      <c r="AG3955">
        <v>-1.0907258774339901</v>
      </c>
      <c r="AH3955">
        <v>17.4213853245686</v>
      </c>
      <c r="AI3955">
        <v>93.448655357267398</v>
      </c>
      <c r="AJ3955">
        <v>74.268068506834993</v>
      </c>
      <c r="AK3955">
        <v>18.132209106675798</v>
      </c>
    </row>
    <row r="3956" spans="1:37" x14ac:dyDescent="0.2">
      <c r="A3956" t="str">
        <f>"20200111155628292"</f>
        <v>20200111155628292</v>
      </c>
      <c r="B3956" t="str">
        <f>"1578729388286844"</f>
        <v>1578729388286844</v>
      </c>
      <c r="C3956" t="s">
        <v>37</v>
      </c>
      <c r="D3956">
        <v>4.6497330000000003</v>
      </c>
      <c r="E3956">
        <v>0.54281820000000003</v>
      </c>
      <c r="F3956" t="s">
        <v>38</v>
      </c>
      <c r="G3956">
        <v>-195.54409999999999</v>
      </c>
      <c r="H3956" s="1">
        <v>-3.4067380000000001E-6</v>
      </c>
      <c r="I3956">
        <v>184.1078</v>
      </c>
      <c r="J3956">
        <v>-196.2381</v>
      </c>
      <c r="K3956">
        <v>1.0908910000000001</v>
      </c>
      <c r="L3956">
        <v>203.41239999999999</v>
      </c>
      <c r="M3956">
        <v>0.29773070000000001</v>
      </c>
      <c r="N3956">
        <v>0</v>
      </c>
      <c r="O3956">
        <v>-0.95449289999999998</v>
      </c>
      <c r="P3956">
        <v>0.13572409999999999</v>
      </c>
      <c r="Q3956">
        <v>3.3647219999999999E-2</v>
      </c>
      <c r="R3956">
        <v>-0.99017540000000004</v>
      </c>
      <c r="S3956">
        <v>0.117691</v>
      </c>
      <c r="T3956">
        <v>-0.1684686</v>
      </c>
      <c r="U3956">
        <v>-3.0225520000000001</v>
      </c>
      <c r="V3956">
        <v>0.166907</v>
      </c>
      <c r="W3956">
        <v>4.5078550000000002E-2</v>
      </c>
      <c r="X3956">
        <v>0.98494159999999997</v>
      </c>
      <c r="Y3956">
        <v>0.2604514</v>
      </c>
      <c r="Z3956">
        <v>5.089403E-2</v>
      </c>
      <c r="AA3956">
        <v>0.96414460000000002</v>
      </c>
      <c r="AB3956">
        <v>27</v>
      </c>
      <c r="AC3956">
        <v>0.69400000000001605</v>
      </c>
      <c r="AD3956">
        <v>-1.090894406738</v>
      </c>
      <c r="AE3956">
        <v>-19.304599999999901</v>
      </c>
      <c r="AF3956">
        <v>5.0697477850100299</v>
      </c>
      <c r="AG3956">
        <v>-1.090894406738</v>
      </c>
      <c r="AH3956">
        <v>18.5762781815186</v>
      </c>
      <c r="AI3956">
        <v>93.242522078712497</v>
      </c>
      <c r="AJ3956">
        <v>74.734862328889704</v>
      </c>
      <c r="AK3956">
        <v>19.286536866099901</v>
      </c>
    </row>
    <row r="3957" spans="1:37" x14ac:dyDescent="0.2">
      <c r="A3957" t="str">
        <f>"20200111155628315"</f>
        <v>20200111155628315</v>
      </c>
      <c r="B3957" t="str">
        <f>"1578729388306364"</f>
        <v>1578729388306364</v>
      </c>
      <c r="C3957" t="s">
        <v>37</v>
      </c>
      <c r="D3957">
        <v>4.9179000000000004</v>
      </c>
      <c r="E3957">
        <v>0.54236779999999996</v>
      </c>
      <c r="F3957" t="s">
        <v>38</v>
      </c>
      <c r="G3957">
        <v>-195.67939999999999</v>
      </c>
      <c r="H3957" s="1">
        <v>-2.883553E-6</v>
      </c>
      <c r="I3957">
        <v>182.78819999999999</v>
      </c>
      <c r="J3957">
        <v>-196.1746</v>
      </c>
      <c r="K3957">
        <v>1.0910899999999999</v>
      </c>
      <c r="L3957">
        <v>203.1463</v>
      </c>
      <c r="M3957">
        <v>0.2802308</v>
      </c>
      <c r="N3957">
        <v>0</v>
      </c>
      <c r="O3957">
        <v>-0.95977749999999995</v>
      </c>
      <c r="P3957">
        <v>0.12661349999999999</v>
      </c>
      <c r="Q3957">
        <v>3.4348009999999998E-2</v>
      </c>
      <c r="R3957">
        <v>-0.99135769999999901</v>
      </c>
      <c r="S3957">
        <v>8.1909179999999998E-2</v>
      </c>
      <c r="T3957">
        <v>-0.15994949999999999</v>
      </c>
      <c r="U3957">
        <v>-3.0239720000000001</v>
      </c>
      <c r="V3957">
        <v>0.15794159999999999</v>
      </c>
      <c r="W3957">
        <v>4.6126510000000003E-2</v>
      </c>
      <c r="X3957">
        <v>0.98637050000000004</v>
      </c>
      <c r="Y3957">
        <v>0.25420529999999902</v>
      </c>
      <c r="Z3957">
        <v>4.8773709999999998E-2</v>
      </c>
      <c r="AA3957">
        <v>0.96591970000000005</v>
      </c>
      <c r="AB3957">
        <v>27</v>
      </c>
      <c r="AC3957">
        <v>0.49520000000001102</v>
      </c>
      <c r="AD3957">
        <v>-1.0910928835529901</v>
      </c>
      <c r="AE3957">
        <v>-20.3581</v>
      </c>
      <c r="AF3957">
        <v>5.2154915756541502</v>
      </c>
      <c r="AG3957">
        <v>-1.0910928835529901</v>
      </c>
      <c r="AH3957">
        <v>19.6246108872303</v>
      </c>
      <c r="AI3957">
        <v>93.075715604366394</v>
      </c>
      <c r="AJ3957">
        <v>75.116943145706301</v>
      </c>
      <c r="AK3957">
        <v>20.3351220436824</v>
      </c>
    </row>
    <row r="3958" spans="1:37" x14ac:dyDescent="0.2">
      <c r="A3958" t="str">
        <f>"20200111155628336"</f>
        <v>20200111155628336</v>
      </c>
      <c r="B3958" t="str">
        <f>"1578729388326860"</f>
        <v>1578729388326860</v>
      </c>
      <c r="C3958" t="s">
        <v>37</v>
      </c>
      <c r="D3958">
        <v>4.652304</v>
      </c>
      <c r="E3958">
        <v>0.54211849999999995</v>
      </c>
      <c r="F3958" t="s">
        <v>38</v>
      </c>
      <c r="G3958">
        <v>-195.7569</v>
      </c>
      <c r="H3958" s="1">
        <v>-2.045763E-6</v>
      </c>
      <c r="I3958">
        <v>180.78720000000001</v>
      </c>
      <c r="J3958">
        <v>-196.11670000000001</v>
      </c>
      <c r="K3958">
        <v>1.09131</v>
      </c>
      <c r="L3958">
        <v>202.88339999999999</v>
      </c>
      <c r="M3958">
        <v>0.26317800000000002</v>
      </c>
      <c r="N3958">
        <v>0</v>
      </c>
      <c r="O3958">
        <v>-0.96459419999999996</v>
      </c>
      <c r="P3958">
        <v>0.11861099999999999</v>
      </c>
      <c r="Q3958">
        <v>3.4632400000000001E-2</v>
      </c>
      <c r="R3958">
        <v>-0.99233689999999997</v>
      </c>
      <c r="S3958">
        <v>5.6488040000000003E-2</v>
      </c>
      <c r="T3958">
        <v>-0.14757010000000001</v>
      </c>
      <c r="U3958">
        <v>-3.0240629999999999</v>
      </c>
      <c r="V3958">
        <v>0.1483894</v>
      </c>
      <c r="W3958">
        <v>4.67705E-2</v>
      </c>
      <c r="X3958">
        <v>0.98782239999999999</v>
      </c>
      <c r="Y3958">
        <v>0.24516839999999901</v>
      </c>
      <c r="Z3958">
        <v>4.5417989999999998E-2</v>
      </c>
      <c r="AA3958">
        <v>0.96841599999999906</v>
      </c>
      <c r="AB3958">
        <v>27</v>
      </c>
      <c r="AC3958">
        <v>0.359800000000007</v>
      </c>
      <c r="AD3958">
        <v>-1.0913120457629999</v>
      </c>
      <c r="AE3958">
        <v>-22.0961999999999</v>
      </c>
      <c r="AF3958">
        <v>5.4556760492177299</v>
      </c>
      <c r="AG3958">
        <v>-1.0913120457629999</v>
      </c>
      <c r="AH3958">
        <v>21.3596317875441</v>
      </c>
      <c r="AI3958">
        <v>92.833999975339694</v>
      </c>
      <c r="AJ3958">
        <v>75.671858213106006</v>
      </c>
      <c r="AK3958">
        <v>22.072363562489102</v>
      </c>
    </row>
    <row r="3959" spans="1:37" x14ac:dyDescent="0.2">
      <c r="A3959" t="str">
        <f>"20200111155628360"</f>
        <v>20200111155628360</v>
      </c>
      <c r="B3959" t="str">
        <f>"1578729388357116"</f>
        <v>1578729388357116</v>
      </c>
      <c r="C3959" t="s">
        <v>37</v>
      </c>
      <c r="D3959">
        <v>4.6422850000000002</v>
      </c>
      <c r="E3959">
        <v>0.54137119999999905</v>
      </c>
      <c r="F3959" t="s">
        <v>38</v>
      </c>
      <c r="G3959">
        <v>-195.85120000000001</v>
      </c>
      <c r="H3959" s="1">
        <v>-4.9654790000000002E-6</v>
      </c>
      <c r="I3959">
        <v>178.52809999999999</v>
      </c>
      <c r="J3959">
        <v>-196.0607</v>
      </c>
      <c r="K3959">
        <v>1.0915969999999999</v>
      </c>
      <c r="L3959">
        <v>202.60599999999999</v>
      </c>
      <c r="M3959">
        <v>0.24550239999999901</v>
      </c>
      <c r="N3959">
        <v>0</v>
      </c>
      <c r="O3959">
        <v>-0.96924509999999897</v>
      </c>
      <c r="P3959">
        <v>0.1091616</v>
      </c>
      <c r="Q3959">
        <v>3.6785419999999999E-2</v>
      </c>
      <c r="R3959">
        <v>-0.99334319999999898</v>
      </c>
      <c r="S3959">
        <v>3.2958979999999999E-2</v>
      </c>
      <c r="T3959">
        <v>-0.135497799999999</v>
      </c>
      <c r="U3959">
        <v>-3.0239560000000001</v>
      </c>
      <c r="V3959">
        <v>0.13974200000000001</v>
      </c>
      <c r="W3959">
        <v>4.9241E-2</v>
      </c>
      <c r="X3959">
        <v>0.98896280000000003</v>
      </c>
      <c r="Y3959">
        <v>0.23496520000000001</v>
      </c>
      <c r="Z3959">
        <v>4.2081489999999999E-2</v>
      </c>
      <c r="AA3959">
        <v>0.97109239999999997</v>
      </c>
      <c r="AB3959">
        <v>27</v>
      </c>
      <c r="AC3959">
        <v>0.209499999999991</v>
      </c>
      <c r="AD3959">
        <v>-1.0916019654789999</v>
      </c>
      <c r="AE3959">
        <v>-24.0779</v>
      </c>
      <c r="AF3959">
        <v>5.6972512966000801</v>
      </c>
      <c r="AG3959">
        <v>-1.0916019654789999</v>
      </c>
      <c r="AH3959">
        <v>23.344263182039001</v>
      </c>
      <c r="AI3959">
        <v>92.601028256908705</v>
      </c>
      <c r="AJ3959">
        <v>76.284865087099405</v>
      </c>
      <c r="AK3959">
        <v>24.0542073388409</v>
      </c>
    </row>
    <row r="3960" spans="1:37" x14ac:dyDescent="0.2">
      <c r="A3960" t="str">
        <f>"20200111155628382"</f>
        <v>20200111155628382</v>
      </c>
      <c r="B3960" t="str">
        <f>"1578729388376637"</f>
        <v>1578729388376637</v>
      </c>
      <c r="C3960" t="s">
        <v>37</v>
      </c>
      <c r="D3960">
        <v>4.7278399999999996</v>
      </c>
      <c r="E3960">
        <v>0.51997919999999997</v>
      </c>
      <c r="F3960" t="s">
        <v>38</v>
      </c>
      <c r="G3960">
        <v>-195.96860000000001</v>
      </c>
      <c r="H3960" s="1">
        <v>-4.0544779999999997E-6</v>
      </c>
      <c r="I3960">
        <v>175.78989999999999</v>
      </c>
      <c r="J3960">
        <v>-196.00980000000001</v>
      </c>
      <c r="K3960">
        <v>1.0919190000000001</v>
      </c>
      <c r="L3960">
        <v>202.3287</v>
      </c>
      <c r="M3960">
        <v>0.22823389999999999</v>
      </c>
      <c r="N3960">
        <v>0</v>
      </c>
      <c r="O3960">
        <v>-0.97345769999999998</v>
      </c>
      <c r="P3960">
        <v>9.984643E-2</v>
      </c>
      <c r="Q3960">
        <v>3.8854529999999998E-2</v>
      </c>
      <c r="R3960">
        <v>-0.99424409999999896</v>
      </c>
      <c r="S3960">
        <v>1.037598E-2</v>
      </c>
      <c r="T3960">
        <v>-0.12307849999999999</v>
      </c>
      <c r="U3960">
        <v>-3.0235289999999999</v>
      </c>
      <c r="V3960">
        <v>0.13142879999999901</v>
      </c>
      <c r="W3960">
        <v>5.1602629999999997E-2</v>
      </c>
      <c r="X3960">
        <v>0.98998169999999996</v>
      </c>
      <c r="Y3960">
        <v>0.22492470000000001</v>
      </c>
      <c r="Z3960">
        <v>3.8541930000000002E-2</v>
      </c>
      <c r="AA3960">
        <v>0.97361359999999997</v>
      </c>
      <c r="AB3960">
        <v>27</v>
      </c>
      <c r="AC3960">
        <v>4.1200000000003401E-2</v>
      </c>
      <c r="AD3960">
        <v>-1.0919230544780001</v>
      </c>
      <c r="AE3960">
        <v>-26.538799999999998</v>
      </c>
      <c r="AF3960">
        <v>6.0076480953938898</v>
      </c>
      <c r="AG3960">
        <v>-1.0919230544780001</v>
      </c>
      <c r="AH3960">
        <v>25.803860502875999</v>
      </c>
      <c r="AI3960">
        <v>92.360052828022404</v>
      </c>
      <c r="AJ3960">
        <v>76.893888190226306</v>
      </c>
      <c r="AK3960">
        <v>26.5164731524929</v>
      </c>
    </row>
    <row r="3961" spans="1:37" x14ac:dyDescent="0.2">
      <c r="A3961" t="str">
        <f>"20200111155628403"</f>
        <v>20200111155628403</v>
      </c>
      <c r="B3961" t="str">
        <f>"1578729388397131"</f>
        <v>1578729388397131</v>
      </c>
      <c r="C3961" t="s">
        <v>37</v>
      </c>
      <c r="D3961">
        <v>4.8140489999999998</v>
      </c>
      <c r="E3961">
        <v>0.51673959999999997</v>
      </c>
      <c r="F3961" t="s">
        <v>38</v>
      </c>
      <c r="G3961">
        <v>-194.304</v>
      </c>
      <c r="H3961" s="1">
        <v>-5.0926999999999902E-6</v>
      </c>
      <c r="I3961">
        <v>168.55969999999999</v>
      </c>
      <c r="J3961">
        <v>-195.9658</v>
      </c>
      <c r="K3961">
        <v>1.092233</v>
      </c>
      <c r="L3961">
        <v>202.06489999999999</v>
      </c>
      <c r="M3961">
        <v>0.21212609999999901</v>
      </c>
      <c r="N3961">
        <v>0</v>
      </c>
      <c r="O3961">
        <v>-0.97709590000000002</v>
      </c>
      <c r="P3961">
        <v>9.2578309999999997E-2</v>
      </c>
      <c r="Q3961">
        <v>3.760728E-2</v>
      </c>
      <c r="R3961">
        <v>-0.99499490000000002</v>
      </c>
      <c r="S3961">
        <v>0.15184020000000001</v>
      </c>
      <c r="T3961">
        <v>-9.7196099999999994E-2</v>
      </c>
      <c r="U3961">
        <v>-3.0059049999999998</v>
      </c>
      <c r="V3961">
        <v>0.12223439999999999</v>
      </c>
      <c r="W3961">
        <v>5.0658769999999999E-2</v>
      </c>
      <c r="X3961">
        <v>0.99120759999999997</v>
      </c>
      <c r="Y3961">
        <v>0.16260910000000001</v>
      </c>
      <c r="Z3961">
        <v>3.0982030000000001E-2</v>
      </c>
      <c r="AA3961">
        <v>0.98620399999999997</v>
      </c>
      <c r="AB3961">
        <v>27</v>
      </c>
      <c r="AC3961">
        <v>1.66179999999999</v>
      </c>
      <c r="AD3961">
        <v>-1.0922380926999999</v>
      </c>
      <c r="AE3961">
        <v>-33.505200000000002</v>
      </c>
      <c r="AF3961">
        <v>5.47856631050103</v>
      </c>
      <c r="AG3961">
        <v>-1.0922380926999999</v>
      </c>
      <c r="AH3961">
        <v>33.0599930129857</v>
      </c>
      <c r="AI3961">
        <v>91.866812249550904</v>
      </c>
      <c r="AJ3961">
        <v>80.590688885336405</v>
      </c>
      <c r="AK3961">
        <v>33.528656562534103</v>
      </c>
    </row>
    <row r="3962" spans="1:37" x14ac:dyDescent="0.2">
      <c r="A3962" t="str">
        <f>"20200111155628427"</f>
        <v>20200111155628427</v>
      </c>
      <c r="B3962" t="str">
        <f>"1578729388416651"</f>
        <v>1578729388416651</v>
      </c>
      <c r="C3962" t="s">
        <v>37</v>
      </c>
      <c r="D3962">
        <v>5.0775220000000001</v>
      </c>
      <c r="E3962">
        <v>0.51573590000000002</v>
      </c>
      <c r="F3962" t="s">
        <v>38</v>
      </c>
      <c r="G3962">
        <v>-194.2406</v>
      </c>
      <c r="H3962" s="1">
        <v>-5.1613909999999998E-6</v>
      </c>
      <c r="I3962">
        <v>168.76779999999999</v>
      </c>
      <c r="J3962">
        <v>-195.92400000000001</v>
      </c>
      <c r="K3962">
        <v>1.09257</v>
      </c>
      <c r="L3962">
        <v>201.78899999999999</v>
      </c>
      <c r="M3962">
        <v>0.195687</v>
      </c>
      <c r="N3962">
        <v>0</v>
      </c>
      <c r="O3962">
        <v>-0.98052240000000002</v>
      </c>
      <c r="P3962">
        <v>8.5784780000000005E-2</v>
      </c>
      <c r="Q3962">
        <v>3.5065730000000003E-2</v>
      </c>
      <c r="R3962">
        <v>-0.99569669999999899</v>
      </c>
      <c r="S3962">
        <v>0.15565489999999901</v>
      </c>
      <c r="T3962">
        <v>-9.8550680000000002E-2</v>
      </c>
      <c r="U3962">
        <v>-3.0043329999999999</v>
      </c>
      <c r="V3962">
        <v>0.11224089999999901</v>
      </c>
      <c r="W3962">
        <v>4.8431349999999998E-2</v>
      </c>
      <c r="X3962">
        <v>0.9925001</v>
      </c>
      <c r="Y3962">
        <v>0.14473820000000001</v>
      </c>
      <c r="Z3962">
        <v>3.1642169999999997E-2</v>
      </c>
      <c r="AA3962">
        <v>0.98896390000000001</v>
      </c>
      <c r="AB3962">
        <v>27</v>
      </c>
      <c r="AC3962">
        <v>1.6834</v>
      </c>
      <c r="AD3962">
        <v>-1.092575161391</v>
      </c>
      <c r="AE3962">
        <v>-33.0212</v>
      </c>
      <c r="AF3962">
        <v>4.8066392413741204</v>
      </c>
      <c r="AG3962">
        <v>-1.092575161391</v>
      </c>
      <c r="AH3962">
        <v>32.676385477640601</v>
      </c>
      <c r="AI3962">
        <v>91.894667938871905</v>
      </c>
      <c r="AJ3962">
        <v>81.631902529003099</v>
      </c>
      <c r="AK3962">
        <v>33.046084021610902</v>
      </c>
    </row>
    <row r="3963" spans="1:37" x14ac:dyDescent="0.2">
      <c r="A3963" t="str">
        <f>"20200111155628448"</f>
        <v>20200111155628448</v>
      </c>
      <c r="B3963" t="str">
        <f>"1578729388437148"</f>
        <v>1578729388437148</v>
      </c>
      <c r="C3963" t="s">
        <v>37</v>
      </c>
      <c r="D3963">
        <v>4.8504430000000003</v>
      </c>
      <c r="E3963">
        <v>0.50467359999999895</v>
      </c>
      <c r="F3963" t="s">
        <v>38</v>
      </c>
      <c r="G3963">
        <v>-194.4718</v>
      </c>
      <c r="H3963" s="1">
        <v>-1.917513E-6</v>
      </c>
      <c r="I3963">
        <v>171.28540000000001</v>
      </c>
      <c r="J3963">
        <v>-195.88740000000001</v>
      </c>
      <c r="K3963">
        <v>1.0929359999999999</v>
      </c>
      <c r="L3963">
        <v>201.51990000000001</v>
      </c>
      <c r="M3963">
        <v>0.18012429999999999</v>
      </c>
      <c r="N3963">
        <v>0</v>
      </c>
      <c r="O3963">
        <v>-0.98350210000000005</v>
      </c>
      <c r="P3963">
        <v>7.9775520000000003E-2</v>
      </c>
      <c r="Q3963">
        <v>3.4653459999999997E-2</v>
      </c>
      <c r="R3963">
        <v>-0.99621059999999995</v>
      </c>
      <c r="S3963">
        <v>0.14303589999999999</v>
      </c>
      <c r="T3963">
        <v>-0.10761279999999999</v>
      </c>
      <c r="U3963">
        <v>-3.0044559999999998</v>
      </c>
      <c r="V3963">
        <v>0.10243679999999999</v>
      </c>
      <c r="W3963">
        <v>4.8310369999999998E-2</v>
      </c>
      <c r="X3963">
        <v>0.993565699999999</v>
      </c>
      <c r="Y3963">
        <v>0.13319819999999999</v>
      </c>
      <c r="Z3963">
        <v>3.4738699999999997E-2</v>
      </c>
      <c r="AA3963">
        <v>0.99048040000000004</v>
      </c>
      <c r="AB3963">
        <v>27</v>
      </c>
      <c r="AC3963">
        <v>1.41560000000001</v>
      </c>
      <c r="AD3963">
        <v>-1.0929379175130001</v>
      </c>
      <c r="AE3963">
        <v>-30.234500000000001</v>
      </c>
      <c r="AF3963">
        <v>4.0490085139517298</v>
      </c>
      <c r="AG3963">
        <v>-1.0929379175130001</v>
      </c>
      <c r="AH3963">
        <v>29.955802133180701</v>
      </c>
      <c r="AI3963">
        <v>92.070697149068906</v>
      </c>
      <c r="AJ3963">
        <v>82.302206759676693</v>
      </c>
      <c r="AK3963">
        <v>30.2479596779662</v>
      </c>
    </row>
    <row r="3964" spans="1:37" x14ac:dyDescent="0.2">
      <c r="A3964" t="str">
        <f>"20200111155628472"</f>
        <v>20200111155628472</v>
      </c>
      <c r="B3964" t="str">
        <f>"1578729388466430"</f>
        <v>1578729388466430</v>
      </c>
      <c r="C3964" t="s">
        <v>37</v>
      </c>
      <c r="D3964">
        <v>4.7191269999999896</v>
      </c>
      <c r="E3964">
        <v>0.50183809999999995</v>
      </c>
      <c r="F3964" t="s">
        <v>38</v>
      </c>
      <c r="G3964">
        <v>-193.13149999999999</v>
      </c>
      <c r="H3964" s="1">
        <v>-2.2213729999999999E-6</v>
      </c>
      <c r="I3964">
        <v>162.5282</v>
      </c>
      <c r="J3964">
        <v>-195.8537</v>
      </c>
      <c r="K3964">
        <v>1.093361</v>
      </c>
      <c r="L3964">
        <v>201.2432</v>
      </c>
      <c r="M3964">
        <v>0.16467799999999999</v>
      </c>
      <c r="N3964">
        <v>0</v>
      </c>
      <c r="O3964">
        <v>-0.98620830000000004</v>
      </c>
      <c r="P3964">
        <v>7.3580779999999998E-2</v>
      </c>
      <c r="Q3964">
        <v>3.4300219999999999E-2</v>
      </c>
      <c r="R3964">
        <v>-0.99669949999999996</v>
      </c>
      <c r="S3964">
        <v>0.21185300000000001</v>
      </c>
      <c r="T3964">
        <v>-8.4017040000000001E-2</v>
      </c>
      <c r="U3964">
        <v>-2.9973909999999999</v>
      </c>
      <c r="V3964">
        <v>9.2962050000000004E-2</v>
      </c>
      <c r="W3964">
        <v>4.8216540000000002E-2</v>
      </c>
      <c r="X3964">
        <v>0.99450149999999904</v>
      </c>
      <c r="Y3964">
        <v>9.4776910000000006E-2</v>
      </c>
      <c r="Z3964">
        <v>2.7349169999999999E-2</v>
      </c>
      <c r="AA3964">
        <v>0.99512279999999997</v>
      </c>
      <c r="AB3964">
        <v>27</v>
      </c>
      <c r="AC3964">
        <v>2.7222000000000102</v>
      </c>
      <c r="AD3964">
        <v>-1.093363221373</v>
      </c>
      <c r="AE3964">
        <v>-38.715000000000003</v>
      </c>
      <c r="AF3964">
        <v>3.68843160365445</v>
      </c>
      <c r="AG3964">
        <v>-1.093363221373</v>
      </c>
      <c r="AH3964">
        <v>38.6040027348919</v>
      </c>
      <c r="AI3964">
        <v>91.614977205385998</v>
      </c>
      <c r="AJ3964">
        <v>84.542224300300703</v>
      </c>
      <c r="AK3964">
        <v>38.7952187515966</v>
      </c>
    </row>
    <row r="3965" spans="1:37" x14ac:dyDescent="0.2">
      <c r="A3965" t="str">
        <f>"20200111155628493"</f>
        <v>20200111155628493</v>
      </c>
      <c r="B3965" t="str">
        <f>"1578729388486924"</f>
        <v>1578729388486924</v>
      </c>
      <c r="C3965" t="s">
        <v>37</v>
      </c>
      <c r="D3965">
        <v>4.8784660000000004</v>
      </c>
      <c r="E3965">
        <v>0.50147929999999996</v>
      </c>
      <c r="F3965" t="s">
        <v>38</v>
      </c>
      <c r="G3965">
        <v>-192.9811</v>
      </c>
      <c r="H3965" s="1">
        <v>-1.66267E-6</v>
      </c>
      <c r="I3965">
        <v>161.43100000000001</v>
      </c>
      <c r="J3965">
        <v>-195.82509999999999</v>
      </c>
      <c r="K3965">
        <v>1.093809</v>
      </c>
      <c r="L3965">
        <v>200.9795</v>
      </c>
      <c r="M3965">
        <v>0.15055389999999999</v>
      </c>
      <c r="N3965">
        <v>0</v>
      </c>
      <c r="O3965">
        <v>-0.98846509999999999</v>
      </c>
      <c r="P3965">
        <v>6.9825100000000001E-2</v>
      </c>
      <c r="Q3965">
        <v>3.1389720000000003E-2</v>
      </c>
      <c r="R3965">
        <v>-0.99706539999999999</v>
      </c>
      <c r="S3965">
        <v>0.21623229999999999</v>
      </c>
      <c r="T3965">
        <v>-8.2301739999999998E-2</v>
      </c>
      <c r="U3965">
        <v>-2.996826</v>
      </c>
      <c r="V3965">
        <v>8.2352679999999998E-2</v>
      </c>
      <c r="W3965">
        <v>4.5578250000000001E-2</v>
      </c>
      <c r="X3965">
        <v>0.99556049999999996</v>
      </c>
      <c r="Y3965">
        <v>7.9063930000000004E-2</v>
      </c>
      <c r="Z3965">
        <v>2.6906139999999999E-2</v>
      </c>
      <c r="AA3965">
        <v>0.99650640000000001</v>
      </c>
      <c r="AB3965">
        <v>27</v>
      </c>
      <c r="AC3965">
        <v>2.8439999999999901</v>
      </c>
      <c r="AD3965">
        <v>-1.0938106626699999</v>
      </c>
      <c r="AE3965">
        <v>-39.548499999999898</v>
      </c>
      <c r="AF3965">
        <v>3.1410206679697299</v>
      </c>
      <c r="AG3965">
        <v>-1.0938106626699999</v>
      </c>
      <c r="AH3965">
        <v>39.495772717355301</v>
      </c>
      <c r="AI3965">
        <v>91.581374768681997</v>
      </c>
      <c r="AJ3965">
        <v>85.452950142912798</v>
      </c>
      <c r="AK3965">
        <v>39.635571083855602</v>
      </c>
    </row>
    <row r="3966" spans="1:37" x14ac:dyDescent="0.2">
      <c r="A3966" t="str">
        <f>"20200111155628515"</f>
        <v>20200111155628515</v>
      </c>
      <c r="B3966" t="str">
        <f>"1578729388506444"</f>
        <v>1578729388506444</v>
      </c>
      <c r="C3966" t="s">
        <v>37</v>
      </c>
      <c r="D3966">
        <v>4.9796610000000001</v>
      </c>
      <c r="E3966">
        <v>0.50053029999999998</v>
      </c>
      <c r="F3966" t="s">
        <v>38</v>
      </c>
      <c r="G3966">
        <v>-193.25040000000001</v>
      </c>
      <c r="H3966" s="1">
        <v>-2.87922599999999E-6</v>
      </c>
      <c r="I3966">
        <v>163.85299999999901</v>
      </c>
      <c r="J3966">
        <v>-195.79990000000001</v>
      </c>
      <c r="K3966">
        <v>1.094325</v>
      </c>
      <c r="L3966">
        <v>200.71770000000001</v>
      </c>
      <c r="M3966">
        <v>0.137185</v>
      </c>
      <c r="N3966">
        <v>0</v>
      </c>
      <c r="O3966">
        <v>-0.9904115</v>
      </c>
      <c r="P3966">
        <v>6.3436580000000006E-2</v>
      </c>
      <c r="Q3966">
        <v>2.8362950000000001E-2</v>
      </c>
      <c r="R3966">
        <v>-0.997583</v>
      </c>
      <c r="S3966">
        <v>0.20784</v>
      </c>
      <c r="T3966">
        <v>-8.8298080000000001E-2</v>
      </c>
      <c r="U3966">
        <v>-2.9970400000000001</v>
      </c>
      <c r="V3966">
        <v>7.5148140000000002E-2</v>
      </c>
      <c r="W3966">
        <v>4.2707149999999999E-2</v>
      </c>
      <c r="X3966">
        <v>0.99625739999999996</v>
      </c>
      <c r="Y3966">
        <v>6.8375710000000006E-2</v>
      </c>
      <c r="Z3966">
        <v>2.896278E-2</v>
      </c>
      <c r="AA3966">
        <v>0.99723919999999999</v>
      </c>
      <c r="AB3966">
        <v>27</v>
      </c>
      <c r="AC3966">
        <v>2.5494999999999899</v>
      </c>
      <c r="AD3966">
        <v>-1.0943278792260001</v>
      </c>
      <c r="AE3966">
        <v>-36.864699999999999</v>
      </c>
      <c r="AF3966">
        <v>2.5303466408303699</v>
      </c>
      <c r="AG3966">
        <v>-1.0943278792260001</v>
      </c>
      <c r="AH3966">
        <v>36.833564072705201</v>
      </c>
      <c r="AI3966">
        <v>91.6977621914114</v>
      </c>
      <c r="AJ3966">
        <v>86.0701396149868</v>
      </c>
      <c r="AK3966">
        <v>36.936589581715502</v>
      </c>
    </row>
    <row r="3967" spans="1:37" x14ac:dyDescent="0.2">
      <c r="A3967" t="str">
        <f>"20200111155628538"</f>
        <v>20200111155628538</v>
      </c>
      <c r="B3967" t="str">
        <f>"1578729388526940"</f>
        <v>1578729388526940</v>
      </c>
      <c r="C3967" t="s">
        <v>37</v>
      </c>
      <c r="D3967">
        <v>4.8458259999999997</v>
      </c>
      <c r="E3967">
        <v>0.4991428</v>
      </c>
      <c r="F3967" t="s">
        <v>38</v>
      </c>
      <c r="G3967">
        <v>-193.26230000000001</v>
      </c>
      <c r="H3967" s="1">
        <v>-1.853089E-6</v>
      </c>
      <c r="I3967">
        <v>161.6755</v>
      </c>
      <c r="J3967">
        <v>-195.77629999999999</v>
      </c>
      <c r="K3967">
        <v>1.0949359999999999</v>
      </c>
      <c r="L3967">
        <v>200.44130000000001</v>
      </c>
      <c r="M3967">
        <v>0.12382939999999901</v>
      </c>
      <c r="N3967">
        <v>0</v>
      </c>
      <c r="O3967">
        <v>-0.99217230000000001</v>
      </c>
      <c r="P3967">
        <v>6.1691160000000002E-2</v>
      </c>
      <c r="Q3967">
        <v>2.5294569999999999E-2</v>
      </c>
      <c r="R3967">
        <v>-0.99777510000000003</v>
      </c>
      <c r="S3967">
        <v>0.19480899999999901</v>
      </c>
      <c r="T3967">
        <v>-8.4011440000000007E-2</v>
      </c>
      <c r="U3967">
        <v>-2.99726899999999</v>
      </c>
      <c r="V3967">
        <v>6.3329410000000003E-2</v>
      </c>
      <c r="W3967">
        <v>3.9891919999999997E-2</v>
      </c>
      <c r="X3967">
        <v>0.997195099999999</v>
      </c>
      <c r="Y3967">
        <v>5.9250369999999997E-2</v>
      </c>
      <c r="Z3967">
        <v>2.7641530000000001E-2</v>
      </c>
      <c r="AA3967">
        <v>0.99786039999999998</v>
      </c>
      <c r="AB3967">
        <v>27</v>
      </c>
      <c r="AC3967">
        <v>2.5139999999999798</v>
      </c>
      <c r="AD3967">
        <v>-1.0949378530889999</v>
      </c>
      <c r="AE3967">
        <v>-38.765799999999999</v>
      </c>
      <c r="AF3967">
        <v>2.30449413070748</v>
      </c>
      <c r="AG3967">
        <v>-1.0949378530889999</v>
      </c>
      <c r="AH3967">
        <v>38.747926769496601</v>
      </c>
      <c r="AI3967">
        <v>91.615778236401695</v>
      </c>
      <c r="AJ3967">
        <v>86.596400150299303</v>
      </c>
      <c r="AK3967">
        <v>38.831835020184997</v>
      </c>
    </row>
    <row r="3968" spans="1:37" x14ac:dyDescent="0.2">
      <c r="A3968" t="str">
        <f>"20200111155628552"</f>
        <v>20200111155628552</v>
      </c>
      <c r="B3968" t="str">
        <f>"1578729388546461"</f>
        <v>1578729388546461</v>
      </c>
      <c r="C3968" t="s">
        <v>37</v>
      </c>
      <c r="D3968">
        <v>4.715109</v>
      </c>
      <c r="E3968">
        <v>0.49781209999999998</v>
      </c>
      <c r="F3968" t="s">
        <v>38</v>
      </c>
      <c r="G3968">
        <v>-193.3647</v>
      </c>
      <c r="H3968" s="1">
        <v>-3.1205710000000001E-6</v>
      </c>
      <c r="I3968">
        <v>164.29920000000001</v>
      </c>
      <c r="J3968">
        <v>-195.7636</v>
      </c>
      <c r="K3968">
        <v>1.095342</v>
      </c>
      <c r="L3968">
        <v>200.27289999999999</v>
      </c>
      <c r="M3968">
        <v>0.116216</v>
      </c>
      <c r="N3968">
        <v>0</v>
      </c>
      <c r="O3968">
        <v>-0.99309429999999999</v>
      </c>
      <c r="P3968">
        <v>5.9889270000000001E-2</v>
      </c>
      <c r="Q3968">
        <v>2.4540409999999999E-2</v>
      </c>
      <c r="R3968">
        <v>-0.99790319999999899</v>
      </c>
      <c r="S3968">
        <v>0.1999512</v>
      </c>
      <c r="T3968">
        <v>-9.0783719999999998E-2</v>
      </c>
      <c r="U3968">
        <v>-2.996613</v>
      </c>
      <c r="V3968">
        <v>5.7422050000000002E-2</v>
      </c>
      <c r="W3968">
        <v>3.9241560000000002E-2</v>
      </c>
      <c r="X3968">
        <v>0.99757850000000003</v>
      </c>
      <c r="Y3968">
        <v>4.9876589999999998E-2</v>
      </c>
      <c r="Z3968">
        <v>2.992208E-2</v>
      </c>
      <c r="AA3968">
        <v>0.99830699999999895</v>
      </c>
      <c r="AB3968">
        <v>27</v>
      </c>
      <c r="AC3968">
        <v>2.39889999999999</v>
      </c>
      <c r="AD3968">
        <v>-1.0953451205710001</v>
      </c>
      <c r="AE3968">
        <v>-35.973699999999901</v>
      </c>
      <c r="AF3968">
        <v>1.7969586326240501</v>
      </c>
      <c r="AG3968">
        <v>-1.0953451205710001</v>
      </c>
      <c r="AH3968">
        <v>35.975498729542899</v>
      </c>
      <c r="AI3968">
        <v>91.741774296720607</v>
      </c>
      <c r="AJ3968">
        <v>87.140480273533797</v>
      </c>
      <c r="AK3968">
        <v>36.036999737767601</v>
      </c>
    </row>
    <row r="3969" spans="1:37" x14ac:dyDescent="0.2">
      <c r="A3969" t="str">
        <f>"20200111155628566"</f>
        <v>20200111155628566</v>
      </c>
      <c r="B3969" t="str">
        <f>"1578729388557196"</f>
        <v>1578729388557196</v>
      </c>
      <c r="C3969" t="s">
        <v>37</v>
      </c>
      <c r="D3969">
        <v>4.7746409999999999</v>
      </c>
      <c r="E3969">
        <v>0.49689659999999902</v>
      </c>
      <c r="F3969" t="s">
        <v>38</v>
      </c>
      <c r="G3969">
        <v>-193.28299999999999</v>
      </c>
      <c r="H3969" s="1">
        <v>-2.9384749999999998E-6</v>
      </c>
      <c r="I3969">
        <v>163.96</v>
      </c>
      <c r="J3969">
        <v>-195.7509</v>
      </c>
      <c r="K3969">
        <v>1.095793</v>
      </c>
      <c r="L3969">
        <v>200.09200000000001</v>
      </c>
      <c r="M3969">
        <v>0.10835539999999901</v>
      </c>
      <c r="N3969">
        <v>0</v>
      </c>
      <c r="O3969">
        <v>-0.99398430000000004</v>
      </c>
      <c r="P3969">
        <v>5.7671100000000003E-2</v>
      </c>
      <c r="Q3969">
        <v>2.3991789999999999E-2</v>
      </c>
      <c r="R3969">
        <v>-0.99804729999999997</v>
      </c>
      <c r="S3969">
        <v>0.20468139999999899</v>
      </c>
      <c r="T3969">
        <v>-9.0378520000000004E-2</v>
      </c>
      <c r="U3969">
        <v>-2.9962309999999999</v>
      </c>
      <c r="V3969">
        <v>5.1688270000000001E-2</v>
      </c>
      <c r="W3969">
        <v>3.8779849999999998E-2</v>
      </c>
      <c r="X3969">
        <v>0.99790999999999996</v>
      </c>
      <c r="Y3969">
        <v>4.0395010000000002E-2</v>
      </c>
      <c r="Z3969">
        <v>2.983736E-2</v>
      </c>
      <c r="AA3969">
        <v>0.99873819999999902</v>
      </c>
      <c r="AB3969">
        <v>27</v>
      </c>
      <c r="AC3969">
        <v>2.46790000000001</v>
      </c>
      <c r="AD3969">
        <v>-1.095795938475</v>
      </c>
      <c r="AE3969">
        <v>-36.131999999999998</v>
      </c>
      <c r="AF3969">
        <v>1.4608919735235799</v>
      </c>
      <c r="AG3969">
        <v>-1.095795938475</v>
      </c>
      <c r="AH3969">
        <v>36.153554533842701</v>
      </c>
      <c r="AI3969">
        <v>91.734659845857095</v>
      </c>
      <c r="AJ3969">
        <v>87.6860523614898</v>
      </c>
      <c r="AK3969">
        <v>36.199647505585197</v>
      </c>
    </row>
    <row r="3970" spans="1:37" x14ac:dyDescent="0.2">
      <c r="A3970" t="str">
        <f>"20200111155628583"</f>
        <v>20200111155628583</v>
      </c>
      <c r="B3970" t="str">
        <f>"1578729388576716"</f>
        <v>1578729388576716</v>
      </c>
      <c r="C3970" t="s">
        <v>37</v>
      </c>
      <c r="D3970">
        <v>4.6936429999999998</v>
      </c>
      <c r="E3970">
        <v>0.49617</v>
      </c>
      <c r="F3970" t="s">
        <v>38</v>
      </c>
      <c r="G3970">
        <v>-193.2373</v>
      </c>
      <c r="H3970" s="1">
        <v>-2.6375920000000002E-6</v>
      </c>
      <c r="I3970">
        <v>163.3492</v>
      </c>
      <c r="J3970">
        <v>-195.7381</v>
      </c>
      <c r="K3970">
        <v>1.0963020000000001</v>
      </c>
      <c r="L3970">
        <v>199.89449999999999</v>
      </c>
      <c r="M3970">
        <v>0.1001968</v>
      </c>
      <c r="N3970">
        <v>0</v>
      </c>
      <c r="O3970">
        <v>-0.99484189999999995</v>
      </c>
      <c r="P3970">
        <v>6.0490479999999999E-2</v>
      </c>
      <c r="Q3970">
        <v>2.434362E-2</v>
      </c>
      <c r="R3970">
        <v>-0.99787219999999999</v>
      </c>
      <c r="S3970">
        <v>0.204971299999999</v>
      </c>
      <c r="T3970">
        <v>-8.9356420000000006E-2</v>
      </c>
      <c r="U3970">
        <v>-2.9961849999999899</v>
      </c>
      <c r="V3970">
        <v>4.063216E-2</v>
      </c>
      <c r="W3970">
        <v>3.9313979999999998E-2</v>
      </c>
      <c r="X3970">
        <v>0.99840039999999997</v>
      </c>
      <c r="Y3970">
        <v>3.2097899999999999E-2</v>
      </c>
      <c r="Z3970">
        <v>2.9543199999999999E-2</v>
      </c>
      <c r="AA3970">
        <v>0.99904799999999905</v>
      </c>
      <c r="AB3970">
        <v>27</v>
      </c>
      <c r="AC3970">
        <v>2.5007999999999901</v>
      </c>
      <c r="AD3970">
        <v>-1.096304637592</v>
      </c>
      <c r="AE3970">
        <v>-36.545299999999997</v>
      </c>
      <c r="AF3970">
        <v>1.1729177597098399</v>
      </c>
      <c r="AG3970">
        <v>-1.096304637592</v>
      </c>
      <c r="AH3970">
        <v>36.579183625807701</v>
      </c>
      <c r="AI3970">
        <v>91.715800832345494</v>
      </c>
      <c r="AJ3970">
        <v>88.163430326938496</v>
      </c>
      <c r="AK3970">
        <v>36.6144000996876</v>
      </c>
    </row>
    <row r="3971" spans="1:37" x14ac:dyDescent="0.2">
      <c r="A3971" t="str">
        <f>"20200111155628597"</f>
        <v>20200111155628597</v>
      </c>
      <c r="B3971" t="str">
        <f>"1578729388586475"</f>
        <v>1578729388586475</v>
      </c>
      <c r="C3971" t="s">
        <v>37</v>
      </c>
      <c r="D3971">
        <v>4.713095</v>
      </c>
      <c r="E3971">
        <v>0.49553320000000001</v>
      </c>
      <c r="F3971" t="s">
        <v>38</v>
      </c>
      <c r="G3971">
        <v>-192.85419999999999</v>
      </c>
      <c r="H3971" s="1">
        <v>-1.1688370000000001E-6</v>
      </c>
      <c r="I3971">
        <v>160.45769999999999</v>
      </c>
      <c r="J3971">
        <v>-195.72799999999901</v>
      </c>
      <c r="K3971">
        <v>1.096735</v>
      </c>
      <c r="L3971">
        <v>199.72620000000001</v>
      </c>
      <c r="M3971">
        <v>9.3586100000000005E-2</v>
      </c>
      <c r="N3971">
        <v>0</v>
      </c>
      <c r="O3971">
        <v>-0.99548709999999996</v>
      </c>
      <c r="P3971">
        <v>5.886123E-2</v>
      </c>
      <c r="Q3971">
        <v>2.4361580000000001E-2</v>
      </c>
      <c r="R3971">
        <v>-0.99796899999999999</v>
      </c>
      <c r="S3971">
        <v>0.21902469999999999</v>
      </c>
      <c r="T3971">
        <v>-8.3261730000000006E-2</v>
      </c>
      <c r="U3971">
        <v>-2.9951319999999999</v>
      </c>
      <c r="V3971">
        <v>3.5585499999999999E-2</v>
      </c>
      <c r="W3971">
        <v>3.9377820000000001E-2</v>
      </c>
      <c r="X3971">
        <v>0.99859050000000005</v>
      </c>
      <c r="Y3971">
        <v>2.076428E-2</v>
      </c>
      <c r="Z3971">
        <v>2.7565780000000002E-2</v>
      </c>
      <c r="AA3971">
        <v>0.99940429999999902</v>
      </c>
      <c r="AB3971">
        <v>27</v>
      </c>
      <c r="AC3971">
        <v>2.8737999999999801</v>
      </c>
      <c r="AD3971">
        <v>-1.0967361688370001</v>
      </c>
      <c r="AE3971">
        <v>-39.268500000000003</v>
      </c>
      <c r="AF3971">
        <v>0.813624260658389</v>
      </c>
      <c r="AG3971">
        <v>-1.0967361688370001</v>
      </c>
      <c r="AH3971">
        <v>39.334577291174</v>
      </c>
      <c r="AI3971">
        <v>91.596779565009498</v>
      </c>
      <c r="AJ3971">
        <v>88.815022490256496</v>
      </c>
      <c r="AK3971">
        <v>39.358274674290698</v>
      </c>
    </row>
    <row r="3972" spans="1:37" x14ac:dyDescent="0.2">
      <c r="A3972" t="str">
        <f>"20200111155628610"</f>
        <v>20200111155628610</v>
      </c>
      <c r="B3972" t="str">
        <f>"1578729388606973"</f>
        <v>1578729388606973</v>
      </c>
      <c r="C3972" t="s">
        <v>37</v>
      </c>
      <c r="D3972">
        <v>4.8767040000000001</v>
      </c>
      <c r="E3972">
        <v>0.49473980000000001</v>
      </c>
      <c r="F3972" t="s">
        <v>72</v>
      </c>
      <c r="G3972">
        <v>-192.7398</v>
      </c>
      <c r="H3972" s="1">
        <v>-1.480994E-5</v>
      </c>
      <c r="I3972">
        <v>158.9504</v>
      </c>
      <c r="J3972">
        <v>-195.71950000000001</v>
      </c>
      <c r="K3972">
        <v>1.097127</v>
      </c>
      <c r="L3972">
        <v>199.56649999999999</v>
      </c>
      <c r="M3972">
        <v>8.7713559999999996E-2</v>
      </c>
      <c r="N3972">
        <v>0</v>
      </c>
      <c r="O3972">
        <v>-0.9960232</v>
      </c>
      <c r="P3972">
        <v>5.8076879999999997E-2</v>
      </c>
      <c r="Q3972">
        <v>2.3967080000000002E-2</v>
      </c>
      <c r="R3972">
        <v>-0.99802469999999999</v>
      </c>
      <c r="S3972">
        <v>0.21949769999999999</v>
      </c>
      <c r="T3972">
        <v>-8.0560209999999993E-2</v>
      </c>
      <c r="U3972">
        <v>-2.9951319999999999</v>
      </c>
      <c r="V3972">
        <v>3.0433809999999999E-2</v>
      </c>
      <c r="W3972">
        <v>3.9023330000000002E-2</v>
      </c>
      <c r="X3972">
        <v>0.99877469999999902</v>
      </c>
      <c r="Y3972">
        <v>1.4708769999999999E-2</v>
      </c>
      <c r="Z3972">
        <v>2.6694820000000001E-2</v>
      </c>
      <c r="AA3972">
        <v>0.99953539999999996</v>
      </c>
      <c r="AB3972">
        <v>27</v>
      </c>
      <c r="AC3972">
        <v>2.9796999999999998</v>
      </c>
      <c r="AD3972">
        <v>-1.0971418099400001</v>
      </c>
      <c r="AE3972">
        <v>-40.616099999999904</v>
      </c>
      <c r="AF3972">
        <v>0.59437362305241404</v>
      </c>
      <c r="AG3972">
        <v>-1.0971418099400001</v>
      </c>
      <c r="AH3972">
        <v>40.691376105087201</v>
      </c>
      <c r="AI3972">
        <v>91.544299425561803</v>
      </c>
      <c r="AJ3972">
        <v>89.163147535956796</v>
      </c>
      <c r="AK3972">
        <v>40.710503429465902</v>
      </c>
    </row>
    <row r="3973" spans="1:37" x14ac:dyDescent="0.2">
      <c r="A3973" t="str">
        <f>"20200111155628625"</f>
        <v>20200111155628625</v>
      </c>
      <c r="B3973" t="str">
        <f>"1578729388616732"</f>
        <v>1578729388616732</v>
      </c>
      <c r="C3973" t="s">
        <v>37</v>
      </c>
      <c r="D3973">
        <v>4.7435720000000003</v>
      </c>
      <c r="E3973">
        <v>0.49435800000000002</v>
      </c>
      <c r="F3973" t="s">
        <v>72</v>
      </c>
      <c r="G3973">
        <v>-192.5591</v>
      </c>
      <c r="H3973" s="1">
        <v>-1.417075E-5</v>
      </c>
      <c r="I3973">
        <v>157.19799999999901</v>
      </c>
      <c r="J3973">
        <v>-195.71080000000001</v>
      </c>
      <c r="K3973">
        <v>1.0975520000000001</v>
      </c>
      <c r="L3973">
        <v>199.39359999999999</v>
      </c>
      <c r="M3973">
        <v>8.1643359999999998E-2</v>
      </c>
      <c r="N3973">
        <v>0</v>
      </c>
      <c r="O3973">
        <v>-0.996540599999999</v>
      </c>
      <c r="P3973">
        <v>5.6802419999999999E-2</v>
      </c>
      <c r="Q3973">
        <v>2.2914219999999999E-2</v>
      </c>
      <c r="R3973">
        <v>-0.99812250000000002</v>
      </c>
      <c r="S3973">
        <v>0.2233887</v>
      </c>
      <c r="T3973">
        <v>-7.755041E-2</v>
      </c>
      <c r="U3973">
        <v>-2.9947810000000001</v>
      </c>
      <c r="V3973">
        <v>2.5563849999999999E-2</v>
      </c>
      <c r="W3973">
        <v>3.7992690000000003E-2</v>
      </c>
      <c r="X3973">
        <v>0.99895100000000003</v>
      </c>
      <c r="Y3973">
        <v>7.3140719999999996E-3</v>
      </c>
      <c r="Z3973">
        <v>2.5720949999999999E-2</v>
      </c>
      <c r="AA3973">
        <v>0.99964240000000004</v>
      </c>
      <c r="AB3973">
        <v>26</v>
      </c>
      <c r="AC3973">
        <v>3.1516999999999999</v>
      </c>
      <c r="AD3973">
        <v>-1.09756617075</v>
      </c>
      <c r="AE3973">
        <v>-42.195599999999999</v>
      </c>
      <c r="AF3973">
        <v>0.30402568349493703</v>
      </c>
      <c r="AG3973">
        <v>-1.09756617075</v>
      </c>
      <c r="AH3973">
        <v>42.2835969031009</v>
      </c>
      <c r="AI3973">
        <v>91.486868939779498</v>
      </c>
      <c r="AJ3973">
        <v>89.588041471672597</v>
      </c>
      <c r="AK3973">
        <v>42.298932021734501</v>
      </c>
    </row>
    <row r="3974" spans="1:37" x14ac:dyDescent="0.2">
      <c r="A3974" t="str">
        <f>"20200111155628639"</f>
        <v>20200111155628639</v>
      </c>
      <c r="B3974" t="str">
        <f>"1578729388626492"</f>
        <v>1578729388626492</v>
      </c>
      <c r="C3974" t="s">
        <v>37</v>
      </c>
      <c r="D3974">
        <v>4.9433030000000002</v>
      </c>
      <c r="E3974">
        <v>0.49435800000000002</v>
      </c>
      <c r="F3974" t="s">
        <v>72</v>
      </c>
      <c r="G3974">
        <v>-192.5027</v>
      </c>
      <c r="H3974" s="1">
        <v>-1.3750799999999901E-5</v>
      </c>
      <c r="I3974">
        <v>156.23070000000001</v>
      </c>
      <c r="J3974">
        <v>-195.70310000000001</v>
      </c>
      <c r="K3974">
        <v>1.097947</v>
      </c>
      <c r="L3974">
        <v>199.23050000000001</v>
      </c>
      <c r="M3974">
        <v>7.6203729999999997E-2</v>
      </c>
      <c r="N3974">
        <v>0</v>
      </c>
      <c r="O3974">
        <v>-0.99697289999999905</v>
      </c>
      <c r="P3974">
        <v>6.1355479999999997E-2</v>
      </c>
      <c r="Q3974">
        <v>2.2283009999999999E-2</v>
      </c>
      <c r="R3974">
        <v>-0.99786749999999902</v>
      </c>
      <c r="S3974">
        <v>0.22258</v>
      </c>
      <c r="T3974">
        <v>-7.6151129999999997E-2</v>
      </c>
      <c r="U3974">
        <v>-2.99472</v>
      </c>
      <c r="V3974">
        <v>1.5502719999999999E-2</v>
      </c>
      <c r="W3974">
        <v>3.7468550000000003E-2</v>
      </c>
      <c r="X3974">
        <v>0.9991776</v>
      </c>
      <c r="Y3974">
        <v>2.1228110000000001E-3</v>
      </c>
      <c r="Z3974">
        <v>2.5274609999999999E-2</v>
      </c>
      <c r="AA3974">
        <v>0.99967830000000002</v>
      </c>
      <c r="AB3974">
        <v>26</v>
      </c>
      <c r="AC3974">
        <v>3.2004000000000001</v>
      </c>
      <c r="AD3974">
        <v>-1.0979607508</v>
      </c>
      <c r="AE3974">
        <v>-42.999799999999901</v>
      </c>
      <c r="AF3974">
        <v>8.5987566914445396E-2</v>
      </c>
      <c r="AG3974">
        <v>-1.0979607508</v>
      </c>
      <c r="AH3974">
        <v>43.090709830051701</v>
      </c>
      <c r="AI3974">
        <v>91.459590319944297</v>
      </c>
      <c r="AJ3974">
        <v>89.885666350013807</v>
      </c>
      <c r="AK3974">
        <v>43.104781467137499</v>
      </c>
    </row>
    <row r="3975" spans="1:37" x14ac:dyDescent="0.2">
      <c r="A3975" t="str">
        <f>"20200111155628651"</f>
        <v>20200111155628651</v>
      </c>
      <c r="B3975" t="str">
        <f>"1578729388646988"</f>
        <v>1578729388646988</v>
      </c>
      <c r="C3975" t="s">
        <v>37</v>
      </c>
      <c r="D3975">
        <v>4.725752</v>
      </c>
      <c r="E3975">
        <v>0.48656729999999998</v>
      </c>
      <c r="F3975" t="s">
        <v>72</v>
      </c>
      <c r="G3975">
        <v>-192.3888</v>
      </c>
      <c r="H3975" s="1">
        <v>-1.4143010000000001E-5</v>
      </c>
      <c r="I3975">
        <v>157.16849999999999</v>
      </c>
      <c r="J3975">
        <v>-195.696</v>
      </c>
      <c r="K3975">
        <v>1.0983540000000001</v>
      </c>
      <c r="L3975">
        <v>199.06299999999999</v>
      </c>
      <c r="M3975">
        <v>7.1109049999999993E-2</v>
      </c>
      <c r="N3975">
        <v>0</v>
      </c>
      <c r="O3975">
        <v>-0.99735049999999903</v>
      </c>
      <c r="P3975">
        <v>6.1127999999999898E-2</v>
      </c>
      <c r="Q3975">
        <v>2.2947829999999999E-2</v>
      </c>
      <c r="R3975">
        <v>-0.99786640000000004</v>
      </c>
      <c r="S3975">
        <v>0.2358856</v>
      </c>
      <c r="T3975">
        <v>-7.8144190000000002E-2</v>
      </c>
      <c r="U3975">
        <v>-2.9936370000000001</v>
      </c>
      <c r="V3975">
        <v>1.059472E-2</v>
      </c>
      <c r="W3975">
        <v>3.8133729999999998E-2</v>
      </c>
      <c r="X3975">
        <v>0.99921649999999995</v>
      </c>
      <c r="Y3975">
        <v>-7.4290839999999999E-3</v>
      </c>
      <c r="Z3975">
        <v>2.5954990000000001E-2</v>
      </c>
      <c r="AA3975">
        <v>0.99963550000000001</v>
      </c>
      <c r="AB3975">
        <v>26</v>
      </c>
      <c r="AC3975">
        <v>3.3071999999999901</v>
      </c>
      <c r="AD3975">
        <v>-1.0983681430100001</v>
      </c>
      <c r="AE3975">
        <v>-41.894500000000001</v>
      </c>
      <c r="AF3975">
        <v>-0.319179055919045</v>
      </c>
      <c r="AG3975">
        <v>-1.0983681430100001</v>
      </c>
      <c r="AH3975">
        <v>41.994933881529001</v>
      </c>
      <c r="AI3975">
        <v>91.498173533923193</v>
      </c>
      <c r="AJ3975">
        <v>90.435463495208197</v>
      </c>
      <c r="AK3975">
        <v>42.010507727963798</v>
      </c>
    </row>
    <row r="3976" spans="1:37" x14ac:dyDescent="0.2">
      <c r="A3976" t="str">
        <f>"20200111155628665"</f>
        <v>20200111155628665</v>
      </c>
      <c r="B3976" t="str">
        <f>"1578729388656749"</f>
        <v>1578729388656749</v>
      </c>
      <c r="C3976" t="s">
        <v>37</v>
      </c>
      <c r="D3976">
        <v>4.7204430000000004</v>
      </c>
      <c r="E3976">
        <v>0.48581549999999901</v>
      </c>
      <c r="F3976" t="s">
        <v>48</v>
      </c>
      <c r="G3976">
        <v>0</v>
      </c>
      <c r="H3976">
        <v>0</v>
      </c>
      <c r="I3976">
        <v>0</v>
      </c>
      <c r="J3976">
        <v>-195.6901</v>
      </c>
      <c r="K3976">
        <v>1.0987149999999899</v>
      </c>
      <c r="L3976">
        <v>198.91329999999999</v>
      </c>
      <c r="M3976">
        <v>6.6777600000000006E-2</v>
      </c>
      <c r="N3976">
        <v>0</v>
      </c>
      <c r="O3976">
        <v>-0.99765119999999896</v>
      </c>
      <c r="P3976">
        <v>6.1217359999999998E-2</v>
      </c>
      <c r="Q3976">
        <v>2.4188439999999999E-2</v>
      </c>
      <c r="R3976">
        <v>-0.99783180000000005</v>
      </c>
      <c r="S3976">
        <v>0.2890625</v>
      </c>
      <c r="T3976">
        <v>9.6377850000000001E-2</v>
      </c>
      <c r="U3976">
        <v>-2.9864959999999998</v>
      </c>
      <c r="V3976">
        <v>6.1469899999999997E-3</v>
      </c>
      <c r="W3976">
        <v>3.9369719999999997E-2</v>
      </c>
      <c r="X3976">
        <v>0.99920580000000003</v>
      </c>
      <c r="Y3976">
        <v>-2.960018E-2</v>
      </c>
      <c r="Z3976">
        <v>-3.206465E-2</v>
      </c>
      <c r="AA3976">
        <v>0.99904740000000003</v>
      </c>
      <c r="AB3976">
        <v>26</v>
      </c>
      <c r="AC3976">
        <v>0.2890625</v>
      </c>
      <c r="AD3976">
        <v>9.6377850000000001E-2</v>
      </c>
      <c r="AE3976">
        <v>-2.9864959999999998</v>
      </c>
      <c r="AF3976">
        <v>-8.8871177958038006E-2</v>
      </c>
      <c r="AG3976">
        <v>9.6377850000000001E-2</v>
      </c>
      <c r="AH3976">
        <v>2.99604217801638</v>
      </c>
      <c r="AI3976">
        <v>88.158331932986798</v>
      </c>
      <c r="AJ3976">
        <v>91.699058444740402</v>
      </c>
      <c r="AK3976">
        <v>2.9989090530883802</v>
      </c>
    </row>
    <row r="3977" spans="1:37" x14ac:dyDescent="0.2">
      <c r="A3977" t="str">
        <f>"20200111155628679"</f>
        <v>20200111155628679</v>
      </c>
      <c r="B3977" t="str">
        <f>"1578729388666509"</f>
        <v>1578729388666509</v>
      </c>
      <c r="C3977" t="s">
        <v>37</v>
      </c>
      <c r="D3977">
        <v>4.6912469999999997</v>
      </c>
      <c r="E3977">
        <v>0.48546529999999999</v>
      </c>
      <c r="F3977" t="s">
        <v>48</v>
      </c>
      <c r="G3977">
        <v>0</v>
      </c>
      <c r="H3977">
        <v>0</v>
      </c>
      <c r="I3977">
        <v>0</v>
      </c>
      <c r="J3977">
        <v>-195.6841</v>
      </c>
      <c r="K3977">
        <v>1.0991010000000001</v>
      </c>
      <c r="L3977">
        <v>198.7526</v>
      </c>
      <c r="M3977">
        <v>6.2334599999999997E-2</v>
      </c>
      <c r="N3977">
        <v>0</v>
      </c>
      <c r="O3977">
        <v>-0.99793989999999999</v>
      </c>
      <c r="P3977">
        <v>6.0875650000000003E-2</v>
      </c>
      <c r="Q3977">
        <v>2.6426439999999999E-2</v>
      </c>
      <c r="R3977">
        <v>-0.99779580000000001</v>
      </c>
      <c r="S3977">
        <v>0.29570009999999902</v>
      </c>
      <c r="T3977">
        <v>9.5100399999999904E-2</v>
      </c>
      <c r="U3977">
        <v>-2.9860530000000001</v>
      </c>
      <c r="V3977">
        <v>2.0287460000000001E-3</v>
      </c>
      <c r="W3977">
        <v>4.1586150000000002E-2</v>
      </c>
      <c r="X3977">
        <v>0.99913289999999999</v>
      </c>
      <c r="Y3977">
        <v>-3.6265569999999997E-2</v>
      </c>
      <c r="Z3977">
        <v>-3.1651520000000002E-2</v>
      </c>
      <c r="AA3977">
        <v>0.99884079999999997</v>
      </c>
      <c r="AB3977">
        <v>26</v>
      </c>
      <c r="AC3977">
        <v>0.29570009999999902</v>
      </c>
      <c r="AD3977">
        <v>9.5100399999999904E-2</v>
      </c>
      <c r="AE3977">
        <v>-2.9860530000000001</v>
      </c>
      <c r="AF3977">
        <v>-0.108859715366053</v>
      </c>
      <c r="AG3977">
        <v>9.5100399999999904E-2</v>
      </c>
      <c r="AH3977">
        <v>2.9956701545572799</v>
      </c>
      <c r="AI3977">
        <v>88.1829001794964</v>
      </c>
      <c r="AJ3977">
        <v>92.0811566834617</v>
      </c>
      <c r="AK3977">
        <v>2.9991555809285702</v>
      </c>
    </row>
    <row r="3978" spans="1:37" x14ac:dyDescent="0.2">
      <c r="A3978" t="str">
        <f>"20200111155628693"</f>
        <v>20200111155628693</v>
      </c>
      <c r="B3978" t="str">
        <f>"1578729388687004"</f>
        <v>1578729388687004</v>
      </c>
      <c r="C3978" t="s">
        <v>37</v>
      </c>
      <c r="D3978">
        <v>4.6830470000000002</v>
      </c>
      <c r="E3978">
        <v>0.48442079999999998</v>
      </c>
      <c r="F3978" t="s">
        <v>48</v>
      </c>
      <c r="G3978">
        <v>0</v>
      </c>
      <c r="H3978">
        <v>0</v>
      </c>
      <c r="I3978">
        <v>0</v>
      </c>
      <c r="J3978">
        <v>-195.67769999999999</v>
      </c>
      <c r="K3978">
        <v>1.0995740000000001</v>
      </c>
      <c r="L3978">
        <v>198.56299999999999</v>
      </c>
      <c r="M3978">
        <v>5.7640820000000002E-2</v>
      </c>
      <c r="N3978">
        <v>0</v>
      </c>
      <c r="O3978">
        <v>-0.99822319999999998</v>
      </c>
      <c r="P3978">
        <v>6.3116920000000007E-2</v>
      </c>
      <c r="Q3978">
        <v>2.961225E-2</v>
      </c>
      <c r="R3978">
        <v>-0.99756659999999997</v>
      </c>
      <c r="S3978">
        <v>0.29756159999999998</v>
      </c>
      <c r="T3978">
        <v>9.9401829999999997E-2</v>
      </c>
      <c r="U3978">
        <v>-2.9858549999999999</v>
      </c>
      <c r="V3978">
        <v>-4.9291700000000001E-3</v>
      </c>
      <c r="W3978">
        <v>4.4765590000000001E-2</v>
      </c>
      <c r="X3978">
        <v>0.99898539999999902</v>
      </c>
      <c r="Y3978">
        <v>-4.1583330000000002E-2</v>
      </c>
      <c r="Z3978">
        <v>-3.3093329999999997E-2</v>
      </c>
      <c r="AA3978">
        <v>0.9985868</v>
      </c>
      <c r="AB3978">
        <v>26</v>
      </c>
      <c r="AC3978">
        <v>0.29756159999999998</v>
      </c>
      <c r="AD3978">
        <v>9.9401829999999997E-2</v>
      </c>
      <c r="AE3978">
        <v>-2.9858549999999999</v>
      </c>
      <c r="AF3978">
        <v>-0.12480304748703799</v>
      </c>
      <c r="AG3978">
        <v>9.9401829999999997E-2</v>
      </c>
      <c r="AH3978">
        <v>2.9947567881073498</v>
      </c>
      <c r="AI3978">
        <v>88.100586485457995</v>
      </c>
      <c r="AJ3978">
        <v>92.386354935822894</v>
      </c>
      <c r="AK3978">
        <v>2.9990039587143702</v>
      </c>
    </row>
    <row r="3979" spans="1:37" x14ac:dyDescent="0.2">
      <c r="A3979" t="str">
        <f>"20200111155628708"</f>
        <v>20200111155628708</v>
      </c>
      <c r="B3979" t="str">
        <f>"1578729388696763"</f>
        <v>1578729388696763</v>
      </c>
      <c r="C3979" t="s">
        <v>37</v>
      </c>
      <c r="D3979">
        <v>4.8298969999999999</v>
      </c>
      <c r="E3979">
        <v>0.4840352</v>
      </c>
      <c r="F3979" t="s">
        <v>44</v>
      </c>
      <c r="G3979">
        <v>-167.99870000000001</v>
      </c>
      <c r="H3979">
        <v>9.8183559999999996</v>
      </c>
      <c r="I3979">
        <v>-65.380549999999999</v>
      </c>
      <c r="J3979">
        <v>-195.6728</v>
      </c>
      <c r="K3979">
        <v>1.099966</v>
      </c>
      <c r="L3979">
        <v>198.40620000000001</v>
      </c>
      <c r="M3979">
        <v>5.4085040000000001E-2</v>
      </c>
      <c r="N3979">
        <v>0</v>
      </c>
      <c r="O3979">
        <v>-0.99842359999999897</v>
      </c>
      <c r="P3979">
        <v>6.3098180000000004E-2</v>
      </c>
      <c r="Q3979">
        <v>3.0237420000000001E-2</v>
      </c>
      <c r="R3979">
        <v>-0.99754929999999997</v>
      </c>
      <c r="S3979">
        <v>0.3129883</v>
      </c>
      <c r="T3979">
        <v>9.8589419999999997E-2</v>
      </c>
      <c r="U3979">
        <v>-2.984604</v>
      </c>
      <c r="V3979">
        <v>-8.5072740000000004E-3</v>
      </c>
      <c r="W3979">
        <v>4.5351990000000002E-2</v>
      </c>
      <c r="X3979">
        <v>0.99893489999999996</v>
      </c>
      <c r="Y3979">
        <v>-5.0290590000000003E-2</v>
      </c>
      <c r="Z3979">
        <v>-3.283146E-2</v>
      </c>
      <c r="AA3979">
        <v>0.9981949</v>
      </c>
      <c r="AB3979">
        <v>26</v>
      </c>
      <c r="AC3979">
        <v>27.6740999999999</v>
      </c>
      <c r="AD3979">
        <v>8.7183899999999994</v>
      </c>
      <c r="AE3979">
        <v>-263.78674999999998</v>
      </c>
      <c r="AF3979">
        <v>-13.350637137539501</v>
      </c>
      <c r="AG3979">
        <v>8.7183899999999994</v>
      </c>
      <c r="AH3979">
        <v>264.611585445922</v>
      </c>
      <c r="AI3979">
        <v>88.115303914814604</v>
      </c>
      <c r="AJ3979">
        <v>92.888335682214304</v>
      </c>
      <c r="AK3979">
        <v>265.091570949313</v>
      </c>
    </row>
    <row r="3980" spans="1:37" x14ac:dyDescent="0.2">
      <c r="A3980" t="str">
        <f>"20200111155628727"</f>
        <v>20200111155628727</v>
      </c>
      <c r="B3980" t="str">
        <f>"1578729388717260"</f>
        <v>1578729388717260</v>
      </c>
      <c r="C3980" t="s">
        <v>37</v>
      </c>
      <c r="D3980">
        <v>4.707408</v>
      </c>
      <c r="E3980">
        <v>0.48344330000000002</v>
      </c>
      <c r="F3980" t="s">
        <v>44</v>
      </c>
      <c r="G3980">
        <v>-167.99870000000001</v>
      </c>
      <c r="H3980">
        <v>10.020569999999999</v>
      </c>
      <c r="I3980">
        <v>-63.016179999999999</v>
      </c>
      <c r="J3980">
        <v>-195.66569999999999</v>
      </c>
      <c r="K3980">
        <v>1.1005639999999901</v>
      </c>
      <c r="L3980">
        <v>198.1687</v>
      </c>
      <c r="M3980">
        <v>4.9237990000000002E-2</v>
      </c>
      <c r="N3980">
        <v>0</v>
      </c>
      <c r="O3980">
        <v>-0.99867589999999995</v>
      </c>
      <c r="P3980">
        <v>6.6835749999999999E-2</v>
      </c>
      <c r="Q3980">
        <v>2.8839360000000001E-2</v>
      </c>
      <c r="R3980">
        <v>-0.99734719999999999</v>
      </c>
      <c r="S3980">
        <v>0.31591799999999998</v>
      </c>
      <c r="T3980">
        <v>0.10183389999999901</v>
      </c>
      <c r="U3980">
        <v>-2.984299</v>
      </c>
      <c r="V3980">
        <v>-1.718333E-2</v>
      </c>
      <c r="W3980">
        <v>4.3920519999999998E-2</v>
      </c>
      <c r="X3980">
        <v>0.99888719999999998</v>
      </c>
      <c r="Y3980">
        <v>-5.6113650000000001E-2</v>
      </c>
      <c r="Z3980">
        <v>-3.3919900000000003E-2</v>
      </c>
      <c r="AA3980">
        <v>0.99784799999999996</v>
      </c>
      <c r="AB3980">
        <v>26</v>
      </c>
      <c r="AC3980">
        <v>27.666999999999899</v>
      </c>
      <c r="AD3980">
        <v>8.9200059999999901</v>
      </c>
      <c r="AE3980">
        <v>-261.18488000000002</v>
      </c>
      <c r="AF3980">
        <v>-14.754769396883599</v>
      </c>
      <c r="AG3980">
        <v>8.9200059999999901</v>
      </c>
      <c r="AH3980">
        <v>261.92831670902802</v>
      </c>
      <c r="AI3980">
        <v>88.052622778347995</v>
      </c>
      <c r="AJ3980">
        <v>93.224139815284303</v>
      </c>
      <c r="AK3980">
        <v>262.49516723364599</v>
      </c>
    </row>
    <row r="3981" spans="1:37" x14ac:dyDescent="0.2">
      <c r="A3981" t="str">
        <f>"20200111155628742"</f>
        <v>20200111155628742</v>
      </c>
      <c r="B3981" t="str">
        <f>"1578729388736780"</f>
        <v>1578729388736780</v>
      </c>
      <c r="C3981" t="s">
        <v>37</v>
      </c>
      <c r="D3981">
        <v>4.746848</v>
      </c>
      <c r="E3981">
        <v>0.48310599999999998</v>
      </c>
      <c r="F3981" t="s">
        <v>44</v>
      </c>
      <c r="G3981">
        <v>-169.244</v>
      </c>
      <c r="H3981">
        <v>8.1538749999999993</v>
      </c>
      <c r="I3981">
        <v>-39.088709999999999</v>
      </c>
      <c r="J3981">
        <v>-195.6609</v>
      </c>
      <c r="K3981">
        <v>1.101005</v>
      </c>
      <c r="L3981">
        <v>197.99860000000001</v>
      </c>
      <c r="M3981">
        <v>4.6168349999999997E-2</v>
      </c>
      <c r="N3981">
        <v>0</v>
      </c>
      <c r="O3981">
        <v>-0.99882349999999998</v>
      </c>
      <c r="P3981">
        <v>6.8452739999999998E-2</v>
      </c>
      <c r="Q3981">
        <v>2.8124239999999998E-2</v>
      </c>
      <c r="R3981">
        <v>-0.99725789999999903</v>
      </c>
      <c r="S3981">
        <v>0.33221440000000002</v>
      </c>
      <c r="T3981">
        <v>8.8684440000000003E-2</v>
      </c>
      <c r="U3981">
        <v>-2.9831539999999999</v>
      </c>
      <c r="V3981">
        <v>-2.1929290000000001E-2</v>
      </c>
      <c r="W3981">
        <v>4.3155440000000003E-2</v>
      </c>
      <c r="X3981">
        <v>0.99882769999999999</v>
      </c>
      <c r="Y3981">
        <v>-6.4623100000000003E-2</v>
      </c>
      <c r="Z3981">
        <v>-2.9545510000000001E-2</v>
      </c>
      <c r="AA3981">
        <v>0.99747229999999998</v>
      </c>
      <c r="AB3981">
        <v>26</v>
      </c>
      <c r="AC3981">
        <v>26.416899999999899</v>
      </c>
      <c r="AD3981">
        <v>7.0528699999999898</v>
      </c>
      <c r="AE3981">
        <v>-237.08731</v>
      </c>
      <c r="AF3981">
        <v>-15.428104479009001</v>
      </c>
      <c r="AG3981">
        <v>7.0528699999999898</v>
      </c>
      <c r="AH3981">
        <v>237.846301417821</v>
      </c>
      <c r="AI3981">
        <v>88.305062647796404</v>
      </c>
      <c r="AJ3981">
        <v>93.711340487749993</v>
      </c>
      <c r="AK3981">
        <v>238.45048224146899</v>
      </c>
    </row>
    <row r="3982" spans="1:37" x14ac:dyDescent="0.2">
      <c r="A3982" t="str">
        <f>"20200111155628754"</f>
        <v>20200111155628754</v>
      </c>
      <c r="B3982" t="str">
        <f>"1578729388746540"</f>
        <v>1578729388746540</v>
      </c>
      <c r="C3982" t="s">
        <v>37</v>
      </c>
      <c r="D3982">
        <v>4.7060449999999996</v>
      </c>
      <c r="E3982">
        <v>0.48266399999999998</v>
      </c>
      <c r="F3982" t="s">
        <v>44</v>
      </c>
      <c r="G3982">
        <v>-167.99870000000001</v>
      </c>
      <c r="H3982">
        <v>9.2378979999999995</v>
      </c>
      <c r="I3982">
        <v>-45.186009999999897</v>
      </c>
      <c r="J3982">
        <v>-195.6567</v>
      </c>
      <c r="K3982">
        <v>1.101405</v>
      </c>
      <c r="L3982">
        <v>197.84479999999999</v>
      </c>
      <c r="M3982">
        <v>4.371858E-2</v>
      </c>
      <c r="N3982">
        <v>0</v>
      </c>
      <c r="O3982">
        <v>-0.99893489999999996</v>
      </c>
      <c r="P3982">
        <v>7.0357199999999995E-2</v>
      </c>
      <c r="Q3982">
        <v>2.7062900000000001E-2</v>
      </c>
      <c r="R3982">
        <v>-0.99715489999999996</v>
      </c>
      <c r="S3982">
        <v>0.33921809999999902</v>
      </c>
      <c r="T3982">
        <v>9.9781040000000001E-2</v>
      </c>
      <c r="U3982">
        <v>-2.982132</v>
      </c>
      <c r="V3982">
        <v>-2.633779E-2</v>
      </c>
      <c r="W3982">
        <v>4.2044949999999998E-2</v>
      </c>
      <c r="X3982">
        <v>0.99876849999999995</v>
      </c>
      <c r="Y3982">
        <v>-6.9407590000000005E-2</v>
      </c>
      <c r="Z3982">
        <v>-3.3245619999999997E-2</v>
      </c>
      <c r="AA3982">
        <v>0.99703430000000004</v>
      </c>
      <c r="AB3982">
        <v>26</v>
      </c>
      <c r="AC3982">
        <v>27.657999999999902</v>
      </c>
      <c r="AD3982">
        <v>8.1364929999999998</v>
      </c>
      <c r="AE3982">
        <v>-243.03081</v>
      </c>
      <c r="AF3982">
        <v>-16.9866349114813</v>
      </c>
      <c r="AG3982">
        <v>8.1364929999999998</v>
      </c>
      <c r="AH3982">
        <v>243.73799090908599</v>
      </c>
      <c r="AI3982">
        <v>88.092677794978599</v>
      </c>
      <c r="AJ3982">
        <v>93.986622473170698</v>
      </c>
      <c r="AK3982">
        <v>244.464632403857</v>
      </c>
    </row>
    <row r="3983" spans="1:37" x14ac:dyDescent="0.2">
      <c r="A3983" t="str">
        <f>"20200111155628768"</f>
        <v>20200111155628768</v>
      </c>
      <c r="B3983" t="str">
        <f>"1578729388767037"</f>
        <v>1578729388767037</v>
      </c>
      <c r="C3983" t="s">
        <v>37</v>
      </c>
      <c r="D3983">
        <v>4.6981120000000001</v>
      </c>
      <c r="E3983">
        <v>0.48222749999999998</v>
      </c>
      <c r="F3983" t="s">
        <v>44</v>
      </c>
      <c r="G3983">
        <v>-168.21379999999999</v>
      </c>
      <c r="H3983">
        <v>8.4904840000000004</v>
      </c>
      <c r="I3983">
        <v>-36.881070000000001</v>
      </c>
      <c r="J3983">
        <v>-195.6524</v>
      </c>
      <c r="K3983">
        <v>1.101818</v>
      </c>
      <c r="L3983">
        <v>197.6824</v>
      </c>
      <c r="M3983">
        <v>4.1471689999999999E-2</v>
      </c>
      <c r="N3983">
        <v>0</v>
      </c>
      <c r="O3983">
        <v>-0.99903149999999996</v>
      </c>
      <c r="P3983">
        <v>7.1976479999999995E-2</v>
      </c>
      <c r="Q3983">
        <v>2.6516049999999999E-2</v>
      </c>
      <c r="R3983">
        <v>-0.99705379999999999</v>
      </c>
      <c r="S3983">
        <v>0.34857179999999999</v>
      </c>
      <c r="T3983">
        <v>9.3853469999999994E-2</v>
      </c>
      <c r="U3983">
        <v>-2.9814150000000001</v>
      </c>
      <c r="V3983">
        <v>-3.025359E-2</v>
      </c>
      <c r="W3983">
        <v>4.143608E-2</v>
      </c>
      <c r="X3983">
        <v>0.99868299999999999</v>
      </c>
      <c r="Y3983">
        <v>-7.4771610000000002E-2</v>
      </c>
      <c r="Z3983">
        <v>-3.1272929999999997E-2</v>
      </c>
      <c r="AA3983">
        <v>0.99671019999999899</v>
      </c>
      <c r="AB3983">
        <v>26</v>
      </c>
      <c r="AC3983">
        <v>27.438600000000001</v>
      </c>
      <c r="AD3983">
        <v>7.3886659999999997</v>
      </c>
      <c r="AE3983">
        <v>-234.56347</v>
      </c>
      <c r="AF3983">
        <v>-17.668898926685699</v>
      </c>
      <c r="AG3983">
        <v>7.3886659999999997</v>
      </c>
      <c r="AH3983">
        <v>235.269385110369</v>
      </c>
      <c r="AI3983">
        <v>88.206257752633604</v>
      </c>
      <c r="AJ3983">
        <v>94.294891525086001</v>
      </c>
      <c r="AK3983">
        <v>236.04759254174201</v>
      </c>
    </row>
    <row r="3984" spans="1:37" x14ac:dyDescent="0.2">
      <c r="A3984" t="str">
        <f>"20200111155628783"</f>
        <v>20200111155628783</v>
      </c>
      <c r="B3984" t="str">
        <f>"1578729388776796"</f>
        <v>1578729388776796</v>
      </c>
      <c r="C3984" t="s">
        <v>37</v>
      </c>
      <c r="D3984">
        <v>4.6866629999999896</v>
      </c>
      <c r="E3984">
        <v>0.48200140000000002</v>
      </c>
      <c r="F3984" t="s">
        <v>44</v>
      </c>
      <c r="G3984">
        <v>-167.51679999999999</v>
      </c>
      <c r="H3984">
        <v>7.0434299999999999</v>
      </c>
      <c r="I3984">
        <v>-36.881070000000001</v>
      </c>
      <c r="J3984">
        <v>-195.64769999999999</v>
      </c>
      <c r="K3984">
        <v>1.10225</v>
      </c>
      <c r="L3984">
        <v>197.5085</v>
      </c>
      <c r="M3984">
        <v>3.9348809999999998E-2</v>
      </c>
      <c r="N3984">
        <v>0</v>
      </c>
      <c r="O3984">
        <v>-0.99911810000000001</v>
      </c>
      <c r="P3984">
        <v>7.7221310000000001E-2</v>
      </c>
      <c r="Q3984">
        <v>2.4456329999999998E-2</v>
      </c>
      <c r="R3984">
        <v>-0.99671409999999905</v>
      </c>
      <c r="S3984">
        <v>0.35757449999999902</v>
      </c>
      <c r="T3984">
        <v>7.551157E-2</v>
      </c>
      <c r="U3984">
        <v>-2.9810639999999999</v>
      </c>
      <c r="V3984">
        <v>-3.7686669999999999E-2</v>
      </c>
      <c r="W3984">
        <v>3.9326359999999998E-2</v>
      </c>
      <c r="X3984">
        <v>0.9985155</v>
      </c>
      <c r="Y3984">
        <v>-7.9891999999999894E-2</v>
      </c>
      <c r="Z3984">
        <v>-2.516231E-2</v>
      </c>
      <c r="AA3984">
        <v>0.99648590000000004</v>
      </c>
      <c r="AB3984">
        <v>26</v>
      </c>
      <c r="AC3984">
        <v>28.1309</v>
      </c>
      <c r="AD3984">
        <v>5.9411800000000001</v>
      </c>
      <c r="AE3984">
        <v>-234.38956999999999</v>
      </c>
      <c r="AF3984">
        <v>-18.873214336502599</v>
      </c>
      <c r="AG3984">
        <v>5.9411800000000001</v>
      </c>
      <c r="AH3984">
        <v>235.16609367302701</v>
      </c>
      <c r="AI3984">
        <v>88.557437189931704</v>
      </c>
      <c r="AJ3984">
        <v>94.588428670048401</v>
      </c>
      <c r="AK3984">
        <v>235.99700729588699</v>
      </c>
    </row>
    <row r="3985" spans="1:37" x14ac:dyDescent="0.2">
      <c r="A3985" t="str">
        <f>"20200111155628798"</f>
        <v>20200111155628798</v>
      </c>
      <c r="B3985" t="str">
        <f>"1578729388786556"</f>
        <v>1578729388786556</v>
      </c>
      <c r="C3985" t="s">
        <v>37</v>
      </c>
      <c r="D3985">
        <v>4.7374320000000001</v>
      </c>
      <c r="E3985">
        <v>0.48191869999999998</v>
      </c>
      <c r="F3985" t="s">
        <v>45</v>
      </c>
      <c r="G3985">
        <v>-168.45050000000001</v>
      </c>
      <c r="H3985">
        <v>5.6201109999999996</v>
      </c>
      <c r="I3985">
        <v>-18.374089999999999</v>
      </c>
      <c r="J3985">
        <v>-195.64320000000001</v>
      </c>
      <c r="K3985">
        <v>1.102651</v>
      </c>
      <c r="L3985">
        <v>197.3398</v>
      </c>
      <c r="M3985">
        <v>3.7588339999999998E-2</v>
      </c>
      <c r="N3985">
        <v>0</v>
      </c>
      <c r="O3985">
        <v>-0.99918700000000005</v>
      </c>
      <c r="P3985">
        <v>7.881813E-2</v>
      </c>
      <c r="Q3985">
        <v>2.3211099999999998E-2</v>
      </c>
      <c r="R3985">
        <v>-0.99661909999999898</v>
      </c>
      <c r="S3985">
        <v>0.37533569999999999</v>
      </c>
      <c r="T3985">
        <v>6.2348840000000003E-2</v>
      </c>
      <c r="U3985">
        <v>-2.9792939999999999</v>
      </c>
      <c r="V3985">
        <v>-4.1091460000000003E-2</v>
      </c>
      <c r="W3985">
        <v>3.800365E-2</v>
      </c>
      <c r="X3985">
        <v>0.9984324</v>
      </c>
      <c r="Y3985">
        <v>-8.758059E-2</v>
      </c>
      <c r="Z3985">
        <v>-2.0778370000000001E-2</v>
      </c>
      <c r="AA3985">
        <v>0.99594069999999901</v>
      </c>
      <c r="AB3985">
        <v>26</v>
      </c>
      <c r="AC3985">
        <v>27.192699999999999</v>
      </c>
      <c r="AD3985">
        <v>4.5174599999999998</v>
      </c>
      <c r="AE3985">
        <v>-215.71388999999999</v>
      </c>
      <c r="AF3985">
        <v>-19.056063996094998</v>
      </c>
      <c r="AG3985">
        <v>4.5174599999999998</v>
      </c>
      <c r="AH3985">
        <v>216.490191976848</v>
      </c>
      <c r="AI3985">
        <v>88.809196201968902</v>
      </c>
      <c r="AJ3985">
        <v>95.030367553810606</v>
      </c>
      <c r="AK3985">
        <v>217.374203257994</v>
      </c>
    </row>
    <row r="3986" spans="1:37" x14ac:dyDescent="0.2">
      <c r="A3986" t="str">
        <f>"20200111155628811"</f>
        <v>20200111155628811</v>
      </c>
      <c r="B3986" t="str">
        <f>"1578729388807052"</f>
        <v>1578729388807052</v>
      </c>
      <c r="C3986" t="s">
        <v>37</v>
      </c>
      <c r="D3986">
        <v>4.6713930000000001</v>
      </c>
      <c r="E3986">
        <v>0.48162070000000001</v>
      </c>
      <c r="F3986" t="s">
        <v>45</v>
      </c>
      <c r="G3986">
        <v>-168.19200000000001</v>
      </c>
      <c r="H3986">
        <v>4.9676999999999998</v>
      </c>
      <c r="I3986">
        <v>-17.389949999999999</v>
      </c>
      <c r="J3986">
        <v>-195.63890000000001</v>
      </c>
      <c r="K3986">
        <v>1.103002</v>
      </c>
      <c r="L3986">
        <v>197.18</v>
      </c>
      <c r="M3986">
        <v>3.6306350000000001E-2</v>
      </c>
      <c r="N3986">
        <v>0</v>
      </c>
      <c r="O3986">
        <v>-0.99923519999999899</v>
      </c>
      <c r="P3986">
        <v>8.0853179999999997E-2</v>
      </c>
      <c r="Q3986">
        <v>2.2391810000000002E-2</v>
      </c>
      <c r="R3986">
        <v>-0.99647469999999905</v>
      </c>
      <c r="S3986">
        <v>0.38081359999999997</v>
      </c>
      <c r="T3986">
        <v>5.3617239999999997E-2</v>
      </c>
      <c r="U3986">
        <v>-2.9788060000000001</v>
      </c>
      <c r="V3986">
        <v>-4.4447220000000003E-2</v>
      </c>
      <c r="W3986">
        <v>3.7113550000000002E-2</v>
      </c>
      <c r="X3986">
        <v>0.99832209999999999</v>
      </c>
      <c r="Y3986">
        <v>-9.0688089999999999E-2</v>
      </c>
      <c r="Z3986">
        <v>-1.7869110000000001E-2</v>
      </c>
      <c r="AA3986">
        <v>0.99571900000000002</v>
      </c>
      <c r="AB3986">
        <v>26</v>
      </c>
      <c r="AC3986">
        <v>27.446899999999999</v>
      </c>
      <c r="AD3986">
        <v>3.8646980000000002</v>
      </c>
      <c r="AE3986">
        <v>-214.56995000000001</v>
      </c>
      <c r="AF3986">
        <v>-19.631461360835999</v>
      </c>
      <c r="AG3986">
        <v>3.8646980000000002</v>
      </c>
      <c r="AH3986">
        <v>215.35631869558401</v>
      </c>
      <c r="AI3986">
        <v>88.976147596590195</v>
      </c>
      <c r="AJ3986">
        <v>95.208575788081603</v>
      </c>
      <c r="AK3986">
        <v>216.28378156465399</v>
      </c>
    </row>
    <row r="3987" spans="1:37" x14ac:dyDescent="0.2">
      <c r="A3987" t="str">
        <f>"20200111155628824"</f>
        <v>20200111155628824</v>
      </c>
      <c r="B3987" t="str">
        <f>"1578729388816812"</f>
        <v>1578729388816812</v>
      </c>
      <c r="C3987" t="s">
        <v>37</v>
      </c>
      <c r="D3987">
        <v>4.7130029999999996</v>
      </c>
      <c r="E3987">
        <v>0.48156569999999999</v>
      </c>
      <c r="F3987" t="s">
        <v>45</v>
      </c>
      <c r="G3987">
        <v>-167.577</v>
      </c>
      <c r="H3987">
        <v>4.1751269999999998</v>
      </c>
      <c r="I3987">
        <v>-17.389949999999999</v>
      </c>
      <c r="J3987">
        <v>-195.63470000000001</v>
      </c>
      <c r="K3987">
        <v>1.1033299999999999</v>
      </c>
      <c r="L3987">
        <v>197.02629999999999</v>
      </c>
      <c r="M3987">
        <v>3.5263000000000003E-2</v>
      </c>
      <c r="N3987">
        <v>0</v>
      </c>
      <c r="O3987">
        <v>-0.99927319999999997</v>
      </c>
      <c r="P3987">
        <v>8.2895479999999994E-2</v>
      </c>
      <c r="Q3987">
        <v>2.2479880000000001E-2</v>
      </c>
      <c r="R3987">
        <v>-0.996304999999999</v>
      </c>
      <c r="S3987">
        <v>0.38948059999999901</v>
      </c>
      <c r="T3987">
        <v>4.263902E-2</v>
      </c>
      <c r="U3987">
        <v>-2.9780880000000001</v>
      </c>
      <c r="V3987">
        <v>-4.756502E-2</v>
      </c>
      <c r="W3987">
        <v>3.7130709999999997E-2</v>
      </c>
      <c r="X3987">
        <v>0.9981778</v>
      </c>
      <c r="Y3987">
        <v>-9.4615119999999997E-2</v>
      </c>
      <c r="Z3987">
        <v>-1.4210159999999999E-2</v>
      </c>
      <c r="AA3987">
        <v>0.99541250000000003</v>
      </c>
      <c r="AB3987">
        <v>26</v>
      </c>
      <c r="AC3987">
        <v>28.057700000000001</v>
      </c>
      <c r="AD3987">
        <v>3.0717970000000001</v>
      </c>
      <c r="AE3987">
        <v>-214.41624999999999</v>
      </c>
      <c r="AF3987">
        <v>-20.474362135670201</v>
      </c>
      <c r="AG3987">
        <v>3.0717970000000001</v>
      </c>
      <c r="AH3987">
        <v>215.22894118942301</v>
      </c>
      <c r="AI3987">
        <v>89.185991309682805</v>
      </c>
      <c r="AJ3987">
        <v>95.434097405702005</v>
      </c>
      <c r="AK3987">
        <v>216.222414580894</v>
      </c>
    </row>
    <row r="3988" spans="1:37" x14ac:dyDescent="0.2">
      <c r="A3988" t="str">
        <f>"20200111155628840"</f>
        <v>20200111155628840</v>
      </c>
      <c r="B3988" t="str">
        <f>"1578729388836333"</f>
        <v>1578729388836333</v>
      </c>
      <c r="C3988" t="s">
        <v>37</v>
      </c>
      <c r="D3988">
        <v>4.7318230000000003</v>
      </c>
      <c r="E3988">
        <v>0.48135230000000001</v>
      </c>
      <c r="F3988" t="s">
        <v>45</v>
      </c>
      <c r="G3988">
        <v>-167.10730000000001</v>
      </c>
      <c r="H3988">
        <v>3.9279440000000001</v>
      </c>
      <c r="I3988">
        <v>-17.389949999999999</v>
      </c>
      <c r="J3988">
        <v>-195.62979999999999</v>
      </c>
      <c r="K3988">
        <v>1.1037269999999999</v>
      </c>
      <c r="L3988">
        <v>196.84729999999999</v>
      </c>
      <c r="M3988">
        <v>3.4310939999999998E-2</v>
      </c>
      <c r="N3988">
        <v>0</v>
      </c>
      <c r="O3988">
        <v>-0.99930699999999995</v>
      </c>
      <c r="P3988">
        <v>8.629829E-2</v>
      </c>
      <c r="Q3988">
        <v>2.630861E-2</v>
      </c>
      <c r="R3988">
        <v>-0.99592199999999997</v>
      </c>
      <c r="S3988">
        <v>0.39611819999999998</v>
      </c>
      <c r="T3988">
        <v>3.922117E-2</v>
      </c>
      <c r="U3988">
        <v>-2.9772799999999999</v>
      </c>
      <c r="V3988">
        <v>-5.19506E-2</v>
      </c>
      <c r="W3988">
        <v>4.0876750000000003E-2</v>
      </c>
      <c r="X3988">
        <v>0.9978127</v>
      </c>
      <c r="Y3988">
        <v>-9.7781140000000002E-2</v>
      </c>
      <c r="Z3988">
        <v>-1.3071579999999999E-2</v>
      </c>
      <c r="AA3988">
        <v>0.99512210000000001</v>
      </c>
      <c r="AB3988">
        <v>26</v>
      </c>
      <c r="AC3988">
        <v>28.522499999999901</v>
      </c>
      <c r="AD3988">
        <v>2.824217</v>
      </c>
      <c r="AE3988">
        <v>-214.23724999999999</v>
      </c>
      <c r="AF3988">
        <v>-21.1506439895109</v>
      </c>
      <c r="AG3988">
        <v>2.824217</v>
      </c>
      <c r="AH3988">
        <v>215.053096314226</v>
      </c>
      <c r="AI3988">
        <v>89.251210193120997</v>
      </c>
      <c r="AJ3988">
        <v>95.617021288445201</v>
      </c>
      <c r="AK3988">
        <v>216.109139504024</v>
      </c>
    </row>
    <row r="3989" spans="1:37" x14ac:dyDescent="0.2">
      <c r="A3989" t="str">
        <f>"20200111155628853"</f>
        <v>20200111155628853</v>
      </c>
      <c r="B3989" t="str">
        <f>"1578729388847067"</f>
        <v>1578729388847067</v>
      </c>
      <c r="C3989" t="s">
        <v>37</v>
      </c>
      <c r="D3989">
        <v>4.7283919999999897</v>
      </c>
      <c r="E3989">
        <v>0.48138409999999898</v>
      </c>
      <c r="F3989" t="s">
        <v>45</v>
      </c>
      <c r="G3989">
        <v>-166.23570000000001</v>
      </c>
      <c r="H3989">
        <v>4.3506159999999996</v>
      </c>
      <c r="I3989">
        <v>-17.389949999999999</v>
      </c>
      <c r="J3989">
        <v>-195.625</v>
      </c>
      <c r="K3989">
        <v>1.104047</v>
      </c>
      <c r="L3989">
        <v>196.6808</v>
      </c>
      <c r="M3989">
        <v>3.3742319999999999E-2</v>
      </c>
      <c r="N3989">
        <v>0</v>
      </c>
      <c r="O3989">
        <v>-0.99932699999999997</v>
      </c>
      <c r="P3989">
        <v>8.7490269999999995E-2</v>
      </c>
      <c r="Q3989">
        <v>3.0087869999999999E-2</v>
      </c>
      <c r="R3989">
        <v>-0.99571129999999997</v>
      </c>
      <c r="S3989">
        <v>0.40827940000000001</v>
      </c>
      <c r="T3989">
        <v>4.5098779999999998E-2</v>
      </c>
      <c r="U3989">
        <v>-2.9757229999999999</v>
      </c>
      <c r="V3989">
        <v>-5.3738139999999997E-2</v>
      </c>
      <c r="W3989">
        <v>4.4575999999999998E-2</v>
      </c>
      <c r="X3989">
        <v>0.99755959999999999</v>
      </c>
      <c r="Y3989">
        <v>-0.1024046</v>
      </c>
      <c r="Z3989">
        <v>-1.5030669999999999E-2</v>
      </c>
      <c r="AA3989">
        <v>0.99462929999999905</v>
      </c>
      <c r="AB3989">
        <v>26</v>
      </c>
      <c r="AC3989">
        <v>29.389299999999899</v>
      </c>
      <c r="AD3989">
        <v>3.246569</v>
      </c>
      <c r="AE3989">
        <v>-214.07075</v>
      </c>
      <c r="AF3989">
        <v>-22.143570897654001</v>
      </c>
      <c r="AG3989">
        <v>3.246569</v>
      </c>
      <c r="AH3989">
        <v>214.89207975999801</v>
      </c>
      <c r="AI3989">
        <v>89.139005073491305</v>
      </c>
      <c r="AJ3989">
        <v>95.883283181585398</v>
      </c>
      <c r="AK3989">
        <v>216.05435400831101</v>
      </c>
    </row>
    <row r="3990" spans="1:37" x14ac:dyDescent="0.2">
      <c r="A3990" t="str">
        <f>"20200111155628868"</f>
        <v>20200111155628868</v>
      </c>
      <c r="B3990" t="str">
        <f>"1578729388856829"</f>
        <v>1578729388856829</v>
      </c>
      <c r="C3990" t="s">
        <v>37</v>
      </c>
      <c r="D3990">
        <v>4.7630569999999999</v>
      </c>
      <c r="E3990">
        <v>0.48129339999999998</v>
      </c>
      <c r="F3990" t="s">
        <v>45</v>
      </c>
      <c r="G3990">
        <v>-166.00970000000001</v>
      </c>
      <c r="H3990">
        <v>5.0083129999999896</v>
      </c>
      <c r="I3990">
        <v>-17.389949999999999</v>
      </c>
      <c r="J3990">
        <v>-195.62020000000001</v>
      </c>
      <c r="K3990">
        <v>1.104336</v>
      </c>
      <c r="L3990">
        <v>196.5181</v>
      </c>
      <c r="M3990">
        <v>3.3391009999999999E-2</v>
      </c>
      <c r="N3990">
        <v>0</v>
      </c>
      <c r="O3990">
        <v>-0.99933939999999999</v>
      </c>
      <c r="P3990">
        <v>8.819863E-2</v>
      </c>
      <c r="Q3990">
        <v>3.362275E-2</v>
      </c>
      <c r="R3990">
        <v>-0.99553539999999996</v>
      </c>
      <c r="S3990">
        <v>0.41159059999999997</v>
      </c>
      <c r="T3990">
        <v>5.4260969999999999E-2</v>
      </c>
      <c r="U3990">
        <v>-2.97512799999999</v>
      </c>
      <c r="V3990">
        <v>-5.4826670000000001E-2</v>
      </c>
      <c r="W3990">
        <v>4.8036500000000003E-2</v>
      </c>
      <c r="X3990">
        <v>0.99733969999999905</v>
      </c>
      <c r="Y3990">
        <v>-0.10386040000000001</v>
      </c>
      <c r="Z3990">
        <v>-1.808452E-2</v>
      </c>
      <c r="AA3990">
        <v>0.99442739999999996</v>
      </c>
      <c r="AB3990">
        <v>26</v>
      </c>
      <c r="AC3990">
        <v>29.610499999999998</v>
      </c>
      <c r="AD3990">
        <v>3.9039769999999998</v>
      </c>
      <c r="AE3990">
        <v>-213.90805</v>
      </c>
      <c r="AF3990">
        <v>-22.443308737652</v>
      </c>
      <c r="AG3990">
        <v>3.9039769999999998</v>
      </c>
      <c r="AH3990">
        <v>214.70739698979699</v>
      </c>
      <c r="AI3990">
        <v>88.963961831706797</v>
      </c>
      <c r="AJ3990">
        <v>95.967441646948004</v>
      </c>
      <c r="AK3990">
        <v>215.91250419011001</v>
      </c>
    </row>
    <row r="3991" spans="1:37" x14ac:dyDescent="0.2">
      <c r="A3991" t="str">
        <f>"20200111155628885"</f>
        <v>20200111155628885</v>
      </c>
      <c r="B3991" t="str">
        <f>"1578729388876347"</f>
        <v>1578729388876347</v>
      </c>
      <c r="C3991" t="s">
        <v>37</v>
      </c>
      <c r="D3991">
        <v>4.8639609999999998</v>
      </c>
      <c r="E3991">
        <v>0.48151389999999999</v>
      </c>
      <c r="F3991" t="s">
        <v>45</v>
      </c>
      <c r="G3991">
        <v>-165.804</v>
      </c>
      <c r="H3991">
        <v>5.5767600000000002</v>
      </c>
      <c r="I3991">
        <v>-17.389949999999999</v>
      </c>
      <c r="J3991">
        <v>-195.61429999999999</v>
      </c>
      <c r="K3991">
        <v>1.1046609999999999</v>
      </c>
      <c r="L3991">
        <v>196.32810000000001</v>
      </c>
      <c r="M3991">
        <v>3.3201679999999997E-2</v>
      </c>
      <c r="N3991">
        <v>0</v>
      </c>
      <c r="O3991">
        <v>-0.99934639999999997</v>
      </c>
      <c r="P3991">
        <v>8.9423379999999997E-2</v>
      </c>
      <c r="Q3991">
        <v>3.8993010000000002E-2</v>
      </c>
      <c r="R3991">
        <v>-0.99523050000000002</v>
      </c>
      <c r="S3991">
        <v>0.41462709999999903</v>
      </c>
      <c r="T3991">
        <v>6.2193869999999998E-2</v>
      </c>
      <c r="U3991">
        <v>-2.9746250000000001</v>
      </c>
      <c r="V3991">
        <v>-5.6279099999999901E-2</v>
      </c>
      <c r="W3991">
        <v>5.3322590000000003E-2</v>
      </c>
      <c r="X3991">
        <v>0.99699009999999999</v>
      </c>
      <c r="Y3991">
        <v>-0.1050604</v>
      </c>
      <c r="Z3991">
        <v>-2.0728299999999901E-2</v>
      </c>
      <c r="AA3991">
        <v>0.99424979999999996</v>
      </c>
      <c r="AB3991">
        <v>26</v>
      </c>
      <c r="AC3991">
        <v>29.810299999999899</v>
      </c>
      <c r="AD3991">
        <v>4.472099</v>
      </c>
      <c r="AE3991">
        <v>-213.71805000000001</v>
      </c>
      <c r="AF3991">
        <v>-22.687593190088101</v>
      </c>
      <c r="AG3991">
        <v>4.472099</v>
      </c>
      <c r="AH3991">
        <v>214.49792169983601</v>
      </c>
      <c r="AI3991">
        <v>88.812228500380996</v>
      </c>
      <c r="AJ3991">
        <v>96.037765206392194</v>
      </c>
      <c r="AK3991">
        <v>215.74078188366201</v>
      </c>
    </row>
    <row r="3992" spans="1:37" x14ac:dyDescent="0.2">
      <c r="A3992" t="str">
        <f>"20200111155628907"</f>
        <v>20200111155628907</v>
      </c>
      <c r="B3992" t="str">
        <f>"1578729388896844"</f>
        <v>1578729388896844</v>
      </c>
      <c r="C3992" t="s">
        <v>37</v>
      </c>
      <c r="D3992">
        <v>4.9119679999999999</v>
      </c>
      <c r="E3992">
        <v>0.48158199999999901</v>
      </c>
      <c r="F3992" t="s">
        <v>45</v>
      </c>
      <c r="G3992">
        <v>-165.68270000000001</v>
      </c>
      <c r="H3992">
        <v>6.4183839999999996</v>
      </c>
      <c r="I3992">
        <v>-17.389949999999999</v>
      </c>
      <c r="J3992">
        <v>-195.60579999999999</v>
      </c>
      <c r="K3992">
        <v>1.1050530000000001</v>
      </c>
      <c r="L3992">
        <v>196.0651</v>
      </c>
      <c r="M3992">
        <v>3.3376429999999999E-2</v>
      </c>
      <c r="N3992">
        <v>0</v>
      </c>
      <c r="O3992">
        <v>-0.99934120000000004</v>
      </c>
      <c r="P3992">
        <v>9.0275259999999996E-2</v>
      </c>
      <c r="Q3992">
        <v>4.1315619999999997E-2</v>
      </c>
      <c r="R3992">
        <v>-0.99505980000000005</v>
      </c>
      <c r="S3992">
        <v>0.41651919999999998</v>
      </c>
      <c r="T3992">
        <v>7.3943969999999998E-2</v>
      </c>
      <c r="U3992">
        <v>-2.97403</v>
      </c>
      <c r="V3992">
        <v>-5.7010480000000002E-2</v>
      </c>
      <c r="W3992">
        <v>5.5541359999999998E-2</v>
      </c>
      <c r="X3992">
        <v>0.99682739999999903</v>
      </c>
      <c r="Y3992">
        <v>-0.1055219</v>
      </c>
      <c r="Z3992">
        <v>-2.4645219999999999E-2</v>
      </c>
      <c r="AA3992">
        <v>0.99411149999999904</v>
      </c>
      <c r="AB3992">
        <v>26</v>
      </c>
      <c r="AC3992">
        <v>29.923099999999899</v>
      </c>
      <c r="AD3992">
        <v>5.3133309999999998</v>
      </c>
      <c r="AE3992">
        <v>-213.45505</v>
      </c>
      <c r="AF3992">
        <v>-22.7674984344976</v>
      </c>
      <c r="AG3992">
        <v>5.3133309999999998</v>
      </c>
      <c r="AH3992">
        <v>214.20476127125599</v>
      </c>
      <c r="AI3992">
        <v>88.587030069623296</v>
      </c>
      <c r="AJ3992">
        <v>96.067102553436698</v>
      </c>
      <c r="AK3992">
        <v>215.476843819832</v>
      </c>
    </row>
    <row r="3993" spans="1:37" x14ac:dyDescent="0.2">
      <c r="A3993" t="str">
        <f>"20200111155629053"</f>
        <v>20200111155629053</v>
      </c>
      <c r="B3993" t="str">
        <f>"1578729389047148"</f>
        <v>1578729389047148</v>
      </c>
      <c r="C3993" t="s">
        <v>37</v>
      </c>
      <c r="D3993">
        <v>4.7367339999999896</v>
      </c>
      <c r="E3993">
        <v>0.50039909999999999</v>
      </c>
      <c r="F3993" t="s">
        <v>45</v>
      </c>
      <c r="G3993">
        <v>-166.59690000000001</v>
      </c>
      <c r="H3993">
        <v>6.6740880000000002</v>
      </c>
      <c r="I3993">
        <v>-10.089650000000001</v>
      </c>
      <c r="J3993">
        <v>-195.53370000000001</v>
      </c>
      <c r="K3993">
        <v>1.1067750000000001</v>
      </c>
      <c r="L3993">
        <v>194.3784</v>
      </c>
      <c r="M3993">
        <v>4.3985669999999998E-2</v>
      </c>
      <c r="N3993">
        <v>0</v>
      </c>
      <c r="O3993">
        <v>-0.99893290000000001</v>
      </c>
      <c r="P3993">
        <v>9.279714E-2</v>
      </c>
      <c r="Q3993">
        <v>2.193107E-2</v>
      </c>
      <c r="R3993">
        <v>-0.99544349999999904</v>
      </c>
      <c r="S3993">
        <v>0.41842649999999998</v>
      </c>
      <c r="T3993">
        <v>8.0327990000000002E-2</v>
      </c>
      <c r="U3993">
        <v>-2.97358699999999</v>
      </c>
      <c r="V3993">
        <v>-4.9075250000000001E-2</v>
      </c>
      <c r="W3993">
        <v>3.5782620000000001E-2</v>
      </c>
      <c r="X3993">
        <v>0.99815390000000004</v>
      </c>
      <c r="Y3993">
        <v>-9.5595899999999998E-2</v>
      </c>
      <c r="Z3993">
        <v>-2.6771219999999998E-2</v>
      </c>
      <c r="AA3993">
        <v>0.9950601</v>
      </c>
      <c r="AB3993">
        <v>26</v>
      </c>
      <c r="AC3993">
        <v>28.936800000000002</v>
      </c>
      <c r="AD3993">
        <v>5.5673130000000004</v>
      </c>
      <c r="AE3993">
        <v>-204.46805000000001</v>
      </c>
      <c r="AF3993">
        <v>-19.8997685939066</v>
      </c>
      <c r="AG3993">
        <v>5.5673130000000004</v>
      </c>
      <c r="AH3993">
        <v>205.39376486377901</v>
      </c>
      <c r="AI3993">
        <v>88.454578861711298</v>
      </c>
      <c r="AJ3993">
        <v>95.533883448102401</v>
      </c>
      <c r="AK3993">
        <v>206.43060434210901</v>
      </c>
    </row>
    <row r="3994" spans="1:37" x14ac:dyDescent="0.2">
      <c r="A3994" t="str">
        <f>"20200111155629068"</f>
        <v>20200111155629068</v>
      </c>
      <c r="B3994" t="str">
        <f>"1578729389056908"</f>
        <v>1578729389056908</v>
      </c>
      <c r="C3994" t="s">
        <v>37</v>
      </c>
      <c r="D3994">
        <v>4.7270959999999898</v>
      </c>
      <c r="E3994">
        <v>0.50080570000000002</v>
      </c>
      <c r="F3994" t="s">
        <v>72</v>
      </c>
      <c r="G3994">
        <v>-192.0163</v>
      </c>
      <c r="H3994" s="1">
        <v>-1.3793399999999901E-5</v>
      </c>
      <c r="I3994">
        <v>156.4306</v>
      </c>
      <c r="J3994">
        <v>-195.52440000000001</v>
      </c>
      <c r="K3994">
        <v>1.106865</v>
      </c>
      <c r="L3994">
        <v>194.20939999999999</v>
      </c>
      <c r="M3994">
        <v>4.5759439999999998E-2</v>
      </c>
      <c r="N3994">
        <v>0</v>
      </c>
      <c r="O3994">
        <v>-0.998853199999999</v>
      </c>
      <c r="P3994">
        <v>9.3192759999999999E-2</v>
      </c>
      <c r="Q3994">
        <v>2.1336129999999998E-2</v>
      </c>
      <c r="R3994">
        <v>-0.99541959999999996</v>
      </c>
      <c r="S3994">
        <v>0.27713009999999999</v>
      </c>
      <c r="T3994">
        <v>-8.7201479999999998E-2</v>
      </c>
      <c r="U3994">
        <v>-2.9898220000000002</v>
      </c>
      <c r="V3994">
        <v>-4.7703570000000001E-2</v>
      </c>
      <c r="W3994">
        <v>3.5175039999999998E-2</v>
      </c>
      <c r="X3994">
        <v>0.99824199999999996</v>
      </c>
      <c r="Y3994">
        <v>-4.6591260000000002E-2</v>
      </c>
      <c r="Z3994">
        <v>2.9029949999999999E-2</v>
      </c>
      <c r="AA3994">
        <v>0.99849209999999999</v>
      </c>
      <c r="AB3994">
        <v>26</v>
      </c>
      <c r="AC3994">
        <v>3.50810000000001</v>
      </c>
      <c r="AD3994">
        <v>-1.1068787933999999</v>
      </c>
      <c r="AE3994">
        <v>-37.778799999999897</v>
      </c>
      <c r="AF3994">
        <v>-1.7740064445642201</v>
      </c>
      <c r="AG3994">
        <v>-1.1068787933999999</v>
      </c>
      <c r="AH3994">
        <v>37.867534373468501</v>
      </c>
      <c r="AI3994">
        <v>91.672461953522102</v>
      </c>
      <c r="AJ3994">
        <v>92.682213739471095</v>
      </c>
      <c r="AK3994">
        <v>37.925221674427299</v>
      </c>
    </row>
    <row r="3995" spans="1:37" x14ac:dyDescent="0.2">
      <c r="A3995" t="str">
        <f>"20200111155629082"</f>
        <v>20200111155629082</v>
      </c>
      <c r="B3995" t="str">
        <f>"1578729389076430"</f>
        <v>1578729389076430</v>
      </c>
      <c r="C3995" t="s">
        <v>37</v>
      </c>
      <c r="D3995">
        <v>4.6976629999999897</v>
      </c>
      <c r="E3995">
        <v>0.50133729999999999</v>
      </c>
      <c r="F3995" t="s">
        <v>72</v>
      </c>
      <c r="G3995">
        <v>-192.05500000000001</v>
      </c>
      <c r="H3995" s="1">
        <v>-1.3838489999999901E-5</v>
      </c>
      <c r="I3995">
        <v>156.52770000000001</v>
      </c>
      <c r="J3995">
        <v>-195.5153</v>
      </c>
      <c r="K3995">
        <v>1.1069359999999999</v>
      </c>
      <c r="L3995">
        <v>194.04859999999999</v>
      </c>
      <c r="M3995">
        <v>4.750567E-2</v>
      </c>
      <c r="N3995">
        <v>0</v>
      </c>
      <c r="O3995">
        <v>-0.99877199999999899</v>
      </c>
      <c r="P3995">
        <v>9.31393999999999E-2</v>
      </c>
      <c r="Q3995">
        <v>2.0653919999999999E-2</v>
      </c>
      <c r="R3995">
        <v>-0.99543899999999996</v>
      </c>
      <c r="S3995">
        <v>0.27528379999999902</v>
      </c>
      <c r="T3995">
        <v>-8.7826970000000004E-2</v>
      </c>
      <c r="U3995">
        <v>-2.98991399999999</v>
      </c>
      <c r="V3995">
        <v>-4.5905790000000002E-2</v>
      </c>
      <c r="W3995">
        <v>3.4486900000000001E-2</v>
      </c>
      <c r="X3995">
        <v>0.99835030000000002</v>
      </c>
      <c r="Y3995">
        <v>-4.423001E-2</v>
      </c>
      <c r="Z3995">
        <v>2.923593E-2</v>
      </c>
      <c r="AA3995">
        <v>0.99859349999999902</v>
      </c>
      <c r="AB3995">
        <v>26</v>
      </c>
      <c r="AC3995">
        <v>3.4602999999999802</v>
      </c>
      <c r="AD3995">
        <v>-1.1069498384899901</v>
      </c>
      <c r="AE3995">
        <v>-37.520899999999898</v>
      </c>
      <c r="AF3995">
        <v>-1.67231744229968</v>
      </c>
      <c r="AG3995">
        <v>-1.1069498384899901</v>
      </c>
      <c r="AH3995">
        <v>37.610470088594603</v>
      </c>
      <c r="AI3995">
        <v>91.684177324630994</v>
      </c>
      <c r="AJ3995">
        <v>92.5459309833617</v>
      </c>
      <c r="AK3995">
        <v>37.663901070624902</v>
      </c>
    </row>
    <row r="3996" spans="1:37" x14ac:dyDescent="0.2">
      <c r="A3996" t="str">
        <f>"20200111155629095"</f>
        <v>20200111155629095</v>
      </c>
      <c r="B3996" t="str">
        <f>"1578729389087163"</f>
        <v>1578729389087163</v>
      </c>
      <c r="C3996" t="s">
        <v>37</v>
      </c>
      <c r="D3996">
        <v>4.6810150000000004</v>
      </c>
      <c r="E3996">
        <v>0.50164969999999998</v>
      </c>
      <c r="F3996" t="s">
        <v>72</v>
      </c>
      <c r="G3996">
        <v>-192.11689999999999</v>
      </c>
      <c r="H3996" s="1">
        <v>-1.3843550000000001E-5</v>
      </c>
      <c r="I3996">
        <v>156.52670000000001</v>
      </c>
      <c r="J3996">
        <v>-195.50599999999901</v>
      </c>
      <c r="K3996">
        <v>1.1069789999999999</v>
      </c>
      <c r="L3996">
        <v>193.89160000000001</v>
      </c>
      <c r="M3996">
        <v>4.926755E-2</v>
      </c>
      <c r="N3996">
        <v>0</v>
      </c>
      <c r="O3996">
        <v>-0.99868670000000004</v>
      </c>
      <c r="P3996">
        <v>9.1109739999999995E-2</v>
      </c>
      <c r="Q3996">
        <v>1.983093E-2</v>
      </c>
      <c r="R3996">
        <v>-0.99564370000000002</v>
      </c>
      <c r="S3996">
        <v>0.27082820000000002</v>
      </c>
      <c r="T3996">
        <v>-8.8215589999999997E-2</v>
      </c>
      <c r="U3996">
        <v>-2.99021899999999</v>
      </c>
      <c r="V3996">
        <v>-4.2106810000000001E-2</v>
      </c>
      <c r="W3996">
        <v>3.3672470000000003E-2</v>
      </c>
      <c r="X3996">
        <v>0.99854549999999997</v>
      </c>
      <c r="Y3996">
        <v>-4.0982099999999903E-2</v>
      </c>
      <c r="Z3996">
        <v>2.936246E-2</v>
      </c>
      <c r="AA3996">
        <v>0.99872830000000001</v>
      </c>
      <c r="AB3996">
        <v>26</v>
      </c>
      <c r="AC3996">
        <v>3.38909999999998</v>
      </c>
      <c r="AD3996">
        <v>-1.10699284355</v>
      </c>
      <c r="AE3996">
        <v>-37.364899999999999</v>
      </c>
      <c r="AF3996">
        <v>-1.54258162555589</v>
      </c>
      <c r="AG3996">
        <v>-1.10699284355</v>
      </c>
      <c r="AH3996">
        <v>37.453898638218398</v>
      </c>
      <c r="AI3996">
        <v>91.691516274756495</v>
      </c>
      <c r="AJ3996">
        <v>92.358459221342997</v>
      </c>
      <c r="AK3996">
        <v>37.501993472735798</v>
      </c>
    </row>
    <row r="3997" spans="1:37" x14ac:dyDescent="0.2">
      <c r="A3997" t="str">
        <f>"20200111155629110"</f>
        <v>20200111155629110</v>
      </c>
      <c r="B3997" t="str">
        <f>"1578729389106685"</f>
        <v>1578729389106685</v>
      </c>
      <c r="C3997" t="s">
        <v>37</v>
      </c>
      <c r="D3997">
        <v>4.7092150000000004</v>
      </c>
      <c r="E3997">
        <v>0.50155269999999996</v>
      </c>
      <c r="F3997" t="s">
        <v>72</v>
      </c>
      <c r="G3997">
        <v>-192.29349999999999</v>
      </c>
      <c r="H3997" s="1">
        <v>-1.4176040000000001E-5</v>
      </c>
      <c r="I3997">
        <v>157.26519999999999</v>
      </c>
      <c r="J3997">
        <v>-195.49590000000001</v>
      </c>
      <c r="K3997">
        <v>1.107016</v>
      </c>
      <c r="L3997">
        <v>193.72839999999999</v>
      </c>
      <c r="M3997">
        <v>5.113972E-2</v>
      </c>
      <c r="N3997">
        <v>0</v>
      </c>
      <c r="O3997">
        <v>-0.99859259999999905</v>
      </c>
      <c r="P3997">
        <v>9.1571959999999994E-2</v>
      </c>
      <c r="Q3997">
        <v>1.918102E-2</v>
      </c>
      <c r="R3997">
        <v>-0.99561369999999905</v>
      </c>
      <c r="S3997">
        <v>0.26232909999999998</v>
      </c>
      <c r="T3997">
        <v>-9.0397720000000001E-2</v>
      </c>
      <c r="U3997">
        <v>-2.990936</v>
      </c>
      <c r="V3997">
        <v>-4.0696839999999998E-2</v>
      </c>
      <c r="W3997">
        <v>3.3020040000000001E-2</v>
      </c>
      <c r="X3997">
        <v>0.99862580000000001</v>
      </c>
      <c r="Y3997">
        <v>-3.6269490000000001E-2</v>
      </c>
      <c r="Z3997">
        <v>3.0083229999999999E-2</v>
      </c>
      <c r="AA3997">
        <v>0.99888909999999997</v>
      </c>
      <c r="AB3997">
        <v>26</v>
      </c>
      <c r="AC3997">
        <v>3.2024000000000101</v>
      </c>
      <c r="AD3997">
        <v>-1.1070301760400001</v>
      </c>
      <c r="AE3997">
        <v>-36.463200000000001</v>
      </c>
      <c r="AF3997">
        <v>-1.33208836317028</v>
      </c>
      <c r="AG3997">
        <v>-1.1070301760400001</v>
      </c>
      <c r="AH3997">
        <v>36.545836804808999</v>
      </c>
      <c r="AI3997">
        <v>91.733896896629304</v>
      </c>
      <c r="AJ3997">
        <v>92.087495433606804</v>
      </c>
      <c r="AK3997">
        <v>36.586857790492097</v>
      </c>
    </row>
    <row r="3998" spans="1:37" x14ac:dyDescent="0.2">
      <c r="A3998" t="str">
        <f>"20200111155629125"</f>
        <v>20200111155629125</v>
      </c>
      <c r="B3998" t="str">
        <f>"1578729389117420"</f>
        <v>1578729389117420</v>
      </c>
      <c r="C3998" t="s">
        <v>37</v>
      </c>
      <c r="D3998">
        <v>4.6890390000000002</v>
      </c>
      <c r="E3998">
        <v>0.50178059999999902</v>
      </c>
      <c r="F3998" t="s">
        <v>72</v>
      </c>
      <c r="G3998">
        <v>-192.2433</v>
      </c>
      <c r="H3998" s="1">
        <v>-1.4037670000000001E-5</v>
      </c>
      <c r="I3998">
        <v>156.95310000000001</v>
      </c>
      <c r="J3998">
        <v>-195.48490000000001</v>
      </c>
      <c r="K3998">
        <v>1.1070439999999999</v>
      </c>
      <c r="L3998">
        <v>193.55590000000001</v>
      </c>
      <c r="M3998">
        <v>5.3140079999999999E-2</v>
      </c>
      <c r="N3998">
        <v>0</v>
      </c>
      <c r="O3998">
        <v>-0.99848840000000005</v>
      </c>
      <c r="P3998">
        <v>9.2526150000000001E-2</v>
      </c>
      <c r="Q3998">
        <v>1.911183E-2</v>
      </c>
      <c r="R3998">
        <v>-0.99552700000000005</v>
      </c>
      <c r="S3998">
        <v>0.2645111</v>
      </c>
      <c r="T3998">
        <v>-9.0025899999999895E-2</v>
      </c>
      <c r="U3998">
        <v>-2.9906459999999999</v>
      </c>
      <c r="V3998">
        <v>-3.9654549999999997E-2</v>
      </c>
      <c r="W3998">
        <v>3.2947120000000003E-2</v>
      </c>
      <c r="X3998">
        <v>0.99867009999999901</v>
      </c>
      <c r="Y3998">
        <v>-3.4999460000000003E-2</v>
      </c>
      <c r="Z3998">
        <v>2.9957520000000001E-2</v>
      </c>
      <c r="AA3998">
        <v>0.9989382</v>
      </c>
      <c r="AB3998">
        <v>26</v>
      </c>
      <c r="AC3998">
        <v>3.2416</v>
      </c>
      <c r="AD3998">
        <v>-1.1070580376700001</v>
      </c>
      <c r="AE3998">
        <v>-36.602800000000002</v>
      </c>
      <c r="AF3998">
        <v>-1.29058015410323</v>
      </c>
      <c r="AG3998">
        <v>-1.1070580376700001</v>
      </c>
      <c r="AH3998">
        <v>36.690046598861301</v>
      </c>
      <c r="AI3998">
        <v>91.727208101643299</v>
      </c>
      <c r="AJ3998">
        <v>92.014560575349094</v>
      </c>
      <c r="AK3998">
        <v>36.7294254523474</v>
      </c>
    </row>
    <row r="3999" spans="1:37" x14ac:dyDescent="0.2">
      <c r="A3999" t="str">
        <f>"20200111155629138"</f>
        <v>20200111155629138</v>
      </c>
      <c r="B3999" t="str">
        <f>"1578729389136941"</f>
        <v>1578729389136941</v>
      </c>
      <c r="C3999" t="s">
        <v>37</v>
      </c>
      <c r="D3999">
        <v>4.6803129999999999</v>
      </c>
      <c r="E3999">
        <v>0.50196609999999997</v>
      </c>
      <c r="F3999" t="s">
        <v>72</v>
      </c>
      <c r="G3999">
        <v>-192.19040000000001</v>
      </c>
      <c r="H3999" s="1">
        <v>-1.382352E-5</v>
      </c>
      <c r="I3999">
        <v>156.4648</v>
      </c>
      <c r="J3999">
        <v>-195.47479999999999</v>
      </c>
      <c r="K3999">
        <v>1.1070599999999999</v>
      </c>
      <c r="L3999">
        <v>193.4008</v>
      </c>
      <c r="M3999">
        <v>5.4951519999999997E-2</v>
      </c>
      <c r="N3999">
        <v>0</v>
      </c>
      <c r="O3999">
        <v>-0.99839040000000001</v>
      </c>
      <c r="P3999">
        <v>9.3497029999999995E-2</v>
      </c>
      <c r="Q3999">
        <v>1.895525E-2</v>
      </c>
      <c r="R3999">
        <v>-0.99543919999999997</v>
      </c>
      <c r="S3999">
        <v>0.265625</v>
      </c>
      <c r="T3999">
        <v>-8.9257719999999999E-2</v>
      </c>
      <c r="U3999">
        <v>-2.9905089999999999</v>
      </c>
      <c r="V3999">
        <v>-3.88171E-2</v>
      </c>
      <c r="W3999">
        <v>3.2787950000000003E-2</v>
      </c>
      <c r="X3999">
        <v>0.99870820000000005</v>
      </c>
      <c r="Y3999">
        <v>-3.3560149999999997E-2</v>
      </c>
      <c r="Z3999">
        <v>2.9699349999999999E-2</v>
      </c>
      <c r="AA3999">
        <v>0.99899530000000003</v>
      </c>
      <c r="AB3999">
        <v>26</v>
      </c>
      <c r="AC3999">
        <v>3.28439999999997</v>
      </c>
      <c r="AD3999">
        <v>-1.1070738235199999</v>
      </c>
      <c r="AE3999">
        <v>-36.936</v>
      </c>
      <c r="AF3999">
        <v>-1.2484343829784501</v>
      </c>
      <c r="AG3999">
        <v>-1.1070738235199999</v>
      </c>
      <c r="AH3999">
        <v>37.027676667502398</v>
      </c>
      <c r="AI3999">
        <v>91.7115785314557</v>
      </c>
      <c r="AJ3999">
        <v>91.931067279621004</v>
      </c>
      <c r="AK3999">
        <v>37.065253813408901</v>
      </c>
    </row>
    <row r="4000" spans="1:37" x14ac:dyDescent="0.2">
      <c r="A4000" t="str">
        <f>"20200111155629152"</f>
        <v>20200111155629152</v>
      </c>
      <c r="B4000" t="str">
        <f>"1578729389146700"</f>
        <v>1578729389146700</v>
      </c>
      <c r="C4000" t="s">
        <v>37</v>
      </c>
      <c r="D4000">
        <v>4.7441170000000001</v>
      </c>
      <c r="E4000">
        <v>0.50198140000000002</v>
      </c>
      <c r="F4000" t="s">
        <v>72</v>
      </c>
      <c r="G4000">
        <v>-192.0575</v>
      </c>
      <c r="H4000" s="1">
        <v>-1.3232620000000001E-5</v>
      </c>
      <c r="I4000">
        <v>155.11490000000001</v>
      </c>
      <c r="J4000">
        <v>-195.4639</v>
      </c>
      <c r="K4000">
        <v>1.107067</v>
      </c>
      <c r="L4000">
        <v>193.2406</v>
      </c>
      <c r="M4000">
        <v>5.6832460000000001E-2</v>
      </c>
      <c r="N4000">
        <v>0</v>
      </c>
      <c r="O4000">
        <v>-0.99828499999999998</v>
      </c>
      <c r="P4000">
        <v>9.4282389999999994E-2</v>
      </c>
      <c r="Q4000">
        <v>1.930024E-2</v>
      </c>
      <c r="R4000">
        <v>-0.99535830000000003</v>
      </c>
      <c r="S4000">
        <v>0.2669067</v>
      </c>
      <c r="T4000">
        <v>-8.6467499999999906E-2</v>
      </c>
      <c r="U4000">
        <v>-2.9903110000000002</v>
      </c>
      <c r="V4000">
        <v>-3.7725620000000001E-2</v>
      </c>
      <c r="W4000">
        <v>3.3132990000000001E-2</v>
      </c>
      <c r="X4000">
        <v>0.99873869999999898</v>
      </c>
      <c r="Y4000">
        <v>-3.2110180000000002E-2</v>
      </c>
      <c r="Z4000">
        <v>2.8769220000000002E-2</v>
      </c>
      <c r="AA4000">
        <v>0.99907019999999902</v>
      </c>
      <c r="AB4000">
        <v>26</v>
      </c>
      <c r="AC4000">
        <v>3.4063999999999899</v>
      </c>
      <c r="AD4000">
        <v>-1.10708023262</v>
      </c>
      <c r="AE4000">
        <v>-38.125700000000002</v>
      </c>
      <c r="AF4000">
        <v>-1.23287102466599</v>
      </c>
      <c r="AG4000">
        <v>-1.10708023262</v>
      </c>
      <c r="AH4000">
        <v>38.225703518854203</v>
      </c>
      <c r="AI4000">
        <v>91.658056109524097</v>
      </c>
      <c r="AJ4000">
        <v>91.847286566260905</v>
      </c>
      <c r="AK4000">
        <v>38.261599641367098</v>
      </c>
    </row>
    <row r="4001" spans="1:37" x14ac:dyDescent="0.2">
      <c r="A4001" t="str">
        <f>"20200111155629168"</f>
        <v>20200111155629168</v>
      </c>
      <c r="B4001" t="str">
        <f>"1578729389156460"</f>
        <v>1578729389156460</v>
      </c>
      <c r="C4001" t="s">
        <v>37</v>
      </c>
      <c r="D4001">
        <v>4.690588</v>
      </c>
      <c r="E4001">
        <v>0.50197979999999998</v>
      </c>
      <c r="F4001" t="s">
        <v>72</v>
      </c>
      <c r="G4001">
        <v>-191.9134</v>
      </c>
      <c r="H4001" s="1">
        <v>-1.28067899999999E-5</v>
      </c>
      <c r="I4001">
        <v>153.82470000000001</v>
      </c>
      <c r="J4001">
        <v>-195.4521</v>
      </c>
      <c r="K4001">
        <v>1.107067</v>
      </c>
      <c r="L4001">
        <v>193.0711</v>
      </c>
      <c r="M4001">
        <v>5.8820089999999998E-2</v>
      </c>
      <c r="N4001">
        <v>0</v>
      </c>
      <c r="O4001">
        <v>-0.99817009999999995</v>
      </c>
      <c r="P4001">
        <v>9.5702499999999996E-2</v>
      </c>
      <c r="Q4001">
        <v>1.938343E-2</v>
      </c>
      <c r="R4001">
        <v>-0.99522129999999998</v>
      </c>
      <c r="S4001">
        <v>0.26934809999999998</v>
      </c>
      <c r="T4001">
        <v>-8.3983779999999994E-2</v>
      </c>
      <c r="U4001">
        <v>-2.9901119999999999</v>
      </c>
      <c r="V4001">
        <v>-3.7162140000000003E-2</v>
      </c>
      <c r="W4001">
        <v>3.3213050000000001E-2</v>
      </c>
      <c r="X4001">
        <v>0.99875720000000001</v>
      </c>
      <c r="Y4001">
        <v>-3.0937260000000001E-2</v>
      </c>
      <c r="Z4001">
        <v>2.7940010000000001E-2</v>
      </c>
      <c r="AA4001">
        <v>0.99913069999999904</v>
      </c>
      <c r="AB4001">
        <v>26</v>
      </c>
      <c r="AC4001">
        <v>3.5387</v>
      </c>
      <c r="AD4001">
        <v>-1.1070798067899901</v>
      </c>
      <c r="AE4001">
        <v>-39.246400000000001</v>
      </c>
      <c r="AF4001">
        <v>-1.22290285820148</v>
      </c>
      <c r="AG4001">
        <v>-1.1070798067899901</v>
      </c>
      <c r="AH4001">
        <v>39.3555392156849</v>
      </c>
      <c r="AI4001">
        <v>91.610540781892396</v>
      </c>
      <c r="AJ4001">
        <v>91.779791002622105</v>
      </c>
      <c r="AK4001">
        <v>39.3900949993334</v>
      </c>
    </row>
    <row r="4002" spans="1:37" x14ac:dyDescent="0.2">
      <c r="A4002" t="str">
        <f>"20200111155629181"</f>
        <v>20200111155629181</v>
      </c>
      <c r="B4002" t="str">
        <f>"1578729389176956"</f>
        <v>1578729389176956</v>
      </c>
      <c r="C4002" t="s">
        <v>37</v>
      </c>
      <c r="D4002">
        <v>4.6757210000000002</v>
      </c>
      <c r="E4002">
        <v>0.50191629999999998</v>
      </c>
      <c r="F4002" t="s">
        <v>72</v>
      </c>
      <c r="G4002">
        <v>-191.81799999999899</v>
      </c>
      <c r="H4002" s="1">
        <v>-1.2617939999999999E-5</v>
      </c>
      <c r="I4002">
        <v>153.34700000000001</v>
      </c>
      <c r="J4002">
        <v>-195.44059999999999</v>
      </c>
      <c r="K4002">
        <v>1.1070659999999899</v>
      </c>
      <c r="L4002">
        <v>192.90880000000001</v>
      </c>
      <c r="M4002">
        <v>6.0719589999999997E-2</v>
      </c>
      <c r="N4002">
        <v>0</v>
      </c>
      <c r="O4002">
        <v>-0.99805639999999995</v>
      </c>
      <c r="P4002">
        <v>9.7176999999999999E-2</v>
      </c>
      <c r="Q4002">
        <v>1.9316799999999999E-2</v>
      </c>
      <c r="R4002">
        <v>-0.99507990000000002</v>
      </c>
      <c r="S4002">
        <v>0.27351379999999997</v>
      </c>
      <c r="T4002">
        <v>-8.3320980000000003E-2</v>
      </c>
      <c r="U4002">
        <v>-2.989716</v>
      </c>
      <c r="V4002">
        <v>-3.6740259999999997E-2</v>
      </c>
      <c r="W4002">
        <v>3.314396E-2</v>
      </c>
      <c r="X4002">
        <v>0.99877510000000003</v>
      </c>
      <c r="Y4002">
        <v>-3.0428210000000001E-2</v>
      </c>
      <c r="Z4002">
        <v>2.7717080000000002E-2</v>
      </c>
      <c r="AA4002">
        <v>0.99915259999999995</v>
      </c>
      <c r="AB4002">
        <v>26</v>
      </c>
      <c r="AC4002">
        <v>3.6225999999999998</v>
      </c>
      <c r="AD4002">
        <v>-1.1070786179399901</v>
      </c>
      <c r="AE4002">
        <v>-39.561799999999998</v>
      </c>
      <c r="AF4002">
        <v>-1.21256047037908</v>
      </c>
      <c r="AG4002">
        <v>-1.1070786179399901</v>
      </c>
      <c r="AH4002">
        <v>39.677960549308203</v>
      </c>
      <c r="AI4002">
        <v>91.597483918856398</v>
      </c>
      <c r="AJ4002">
        <v>91.750417125234307</v>
      </c>
      <c r="AK4002">
        <v>39.711918605288801</v>
      </c>
    </row>
    <row r="4003" spans="1:37" x14ac:dyDescent="0.2">
      <c r="A4003" t="str">
        <f>"20200111155629196"</f>
        <v>20200111155629196</v>
      </c>
      <c r="B4003" t="str">
        <f>"1578729389186715"</f>
        <v>1578729389186715</v>
      </c>
      <c r="C4003" t="s">
        <v>37</v>
      </c>
      <c r="D4003">
        <v>4.6955519999999904</v>
      </c>
      <c r="E4003">
        <v>0.50183420000000001</v>
      </c>
      <c r="F4003" t="s">
        <v>72</v>
      </c>
      <c r="G4003">
        <v>-191.6797</v>
      </c>
      <c r="H4003" s="1">
        <v>-1.2245610000000001E-5</v>
      </c>
      <c r="I4003">
        <v>152.53620000000001</v>
      </c>
      <c r="J4003">
        <v>-195.42840000000001</v>
      </c>
      <c r="K4003">
        <v>1.107057</v>
      </c>
      <c r="L4003">
        <v>192.7441</v>
      </c>
      <c r="M4003">
        <v>6.2640860000000007E-2</v>
      </c>
      <c r="N4003">
        <v>0</v>
      </c>
      <c r="O4003">
        <v>-0.99793759999999998</v>
      </c>
      <c r="P4003">
        <v>9.8703890000000002E-2</v>
      </c>
      <c r="Q4003">
        <v>1.9302509999999998E-2</v>
      </c>
      <c r="R4003">
        <v>-0.99492939999999996</v>
      </c>
      <c r="S4003">
        <v>0.27845759999999897</v>
      </c>
      <c r="T4003">
        <v>-8.1969620000000007E-2</v>
      </c>
      <c r="U4003">
        <v>-2.9892430000000001</v>
      </c>
      <c r="V4003">
        <v>-3.6349270000000003E-2</v>
      </c>
      <c r="W4003">
        <v>3.312727E-2</v>
      </c>
      <c r="X4003">
        <v>0.99878989999999901</v>
      </c>
      <c r="Y4003">
        <v>-3.0157989999999999E-2</v>
      </c>
      <c r="Z4003">
        <v>2.7265359999999999E-2</v>
      </c>
      <c r="AA4003">
        <v>0.99917319999999998</v>
      </c>
      <c r="AB4003">
        <v>26</v>
      </c>
      <c r="AC4003">
        <v>3.7487000000000101</v>
      </c>
      <c r="AD4003">
        <v>-1.10706924561</v>
      </c>
      <c r="AE4003">
        <v>-40.207900000000002</v>
      </c>
      <c r="AF4003">
        <v>-1.22151340961863</v>
      </c>
      <c r="AG4003">
        <v>-1.10706924561</v>
      </c>
      <c r="AH4003">
        <v>40.333453051572498</v>
      </c>
      <c r="AI4003">
        <v>91.571534821572996</v>
      </c>
      <c r="AJ4003">
        <v>91.734693457991796</v>
      </c>
      <c r="AK4003">
        <v>40.367129355304101</v>
      </c>
    </row>
    <row r="4004" spans="1:37" x14ac:dyDescent="0.2">
      <c r="A4004" t="str">
        <f>"20200111155629210"</f>
        <v>20200111155629210</v>
      </c>
      <c r="B4004" t="str">
        <f>"1578729389207213"</f>
        <v>1578729389207213</v>
      </c>
      <c r="C4004" t="s">
        <v>37</v>
      </c>
      <c r="D4004">
        <v>4.678153</v>
      </c>
      <c r="E4004">
        <v>0.50179259999999903</v>
      </c>
      <c r="F4004" t="s">
        <v>72</v>
      </c>
      <c r="G4004">
        <v>-191.52099999999999</v>
      </c>
      <c r="H4004" s="1">
        <v>-1.180121E-5</v>
      </c>
      <c r="I4004">
        <v>151.5659</v>
      </c>
      <c r="J4004">
        <v>-195.417</v>
      </c>
      <c r="K4004">
        <v>1.107048</v>
      </c>
      <c r="L4004">
        <v>192.59299999999999</v>
      </c>
      <c r="M4004">
        <v>6.4396040000000002E-2</v>
      </c>
      <c r="N4004">
        <v>0</v>
      </c>
      <c r="O4004">
        <v>-0.99782599999999999</v>
      </c>
      <c r="P4004">
        <v>0.10019980000000001</v>
      </c>
      <c r="Q4004">
        <v>1.9205079999999999E-2</v>
      </c>
      <c r="R4004">
        <v>-0.99478230000000001</v>
      </c>
      <c r="S4004">
        <v>0.28359990000000002</v>
      </c>
      <c r="T4004">
        <v>-8.0351000000000006E-2</v>
      </c>
      <c r="U4004">
        <v>-2.9887079999999999</v>
      </c>
      <c r="V4004">
        <v>-3.6093159999999999E-2</v>
      </c>
      <c r="W4004">
        <v>3.302766E-2</v>
      </c>
      <c r="X4004">
        <v>0.99880249999999904</v>
      </c>
      <c r="Y4004">
        <v>-3.0121809999999999E-2</v>
      </c>
      <c r="Z4004">
        <v>2.6725490000000001E-2</v>
      </c>
      <c r="AA4004">
        <v>0.99918890000000005</v>
      </c>
      <c r="AB4004">
        <v>26</v>
      </c>
      <c r="AC4004">
        <v>3.8960000000000101</v>
      </c>
      <c r="AD4004">
        <v>-1.1070598012099999</v>
      </c>
      <c r="AE4004">
        <v>-41.027099999999898</v>
      </c>
      <c r="AF4004">
        <v>-1.2447714310433</v>
      </c>
      <c r="AG4004">
        <v>-1.1070598012099999</v>
      </c>
      <c r="AH4004">
        <v>41.163136205925298</v>
      </c>
      <c r="AI4004">
        <v>91.539863395236694</v>
      </c>
      <c r="AJ4004">
        <v>91.7320940108401</v>
      </c>
      <c r="AK4004">
        <v>41.1968302133374</v>
      </c>
    </row>
    <row r="4005" spans="1:37" x14ac:dyDescent="0.2">
      <c r="A4005" t="str">
        <f>"20200111155629223"</f>
        <v>20200111155629223</v>
      </c>
      <c r="B4005" t="str">
        <f>"1578729389216972"</f>
        <v>1578729389216972</v>
      </c>
      <c r="C4005" t="s">
        <v>37</v>
      </c>
      <c r="D4005">
        <v>4.6988849999999998</v>
      </c>
      <c r="E4005">
        <v>0.50178370000000005</v>
      </c>
      <c r="F4005" t="s">
        <v>72</v>
      </c>
      <c r="G4005">
        <v>-191.45189999999999</v>
      </c>
      <c r="H4005" s="1">
        <v>-1.1759560000000001E-5</v>
      </c>
      <c r="I4005">
        <v>151.4974</v>
      </c>
      <c r="J4005">
        <v>-195.40530000000001</v>
      </c>
      <c r="K4005">
        <v>1.1070359999999999</v>
      </c>
      <c r="L4005">
        <v>192.44130000000001</v>
      </c>
      <c r="M4005">
        <v>6.6152779999999994E-2</v>
      </c>
      <c r="N4005">
        <v>0</v>
      </c>
      <c r="O4005">
        <v>-0.99771109999999896</v>
      </c>
      <c r="P4005">
        <v>0.1017647</v>
      </c>
      <c r="Q4005">
        <v>1.907356E-2</v>
      </c>
      <c r="R4005">
        <v>-0.99462539999999999</v>
      </c>
      <c r="S4005">
        <v>0.28831479999999998</v>
      </c>
      <c r="T4005">
        <v>-8.0499050000000003E-2</v>
      </c>
      <c r="U4005">
        <v>-2.988235</v>
      </c>
      <c r="V4005">
        <v>-3.590376E-2</v>
      </c>
      <c r="W4005">
        <v>3.2893749999999999E-2</v>
      </c>
      <c r="X4005">
        <v>0.99881369999999903</v>
      </c>
      <c r="Y4005">
        <v>-2.9938949999999999E-2</v>
      </c>
      <c r="Z4005">
        <v>2.6772359999999999E-2</v>
      </c>
      <c r="AA4005">
        <v>0.99919309999999995</v>
      </c>
      <c r="AB4005">
        <v>26</v>
      </c>
      <c r="AC4005">
        <v>3.95340000000001</v>
      </c>
      <c r="AD4005">
        <v>-1.1070477595599999</v>
      </c>
      <c r="AE4005">
        <v>-40.943899999999999</v>
      </c>
      <c r="AF4005">
        <v>-1.2350250686739901</v>
      </c>
      <c r="AG4005">
        <v>-1.1070477595599999</v>
      </c>
      <c r="AH4005">
        <v>41.085990104151598</v>
      </c>
      <c r="AI4005">
        <v>91.542744969355198</v>
      </c>
      <c r="AJ4005">
        <v>91.7217650727831</v>
      </c>
      <c r="AK4005">
        <v>41.1194531152913</v>
      </c>
    </row>
    <row r="4006" spans="1:37" x14ac:dyDescent="0.2">
      <c r="A4006" t="str">
        <f>"20200111155629235"</f>
        <v>20200111155629235</v>
      </c>
      <c r="B4006" t="str">
        <f>"1578729389226732"</f>
        <v>1578729389226732</v>
      </c>
      <c r="C4006" t="s">
        <v>37</v>
      </c>
      <c r="D4006">
        <v>4.7500400000000003</v>
      </c>
      <c r="E4006">
        <v>0.50185440000000003</v>
      </c>
      <c r="F4006" t="s">
        <v>72</v>
      </c>
      <c r="G4006">
        <v>-191.35910000000001</v>
      </c>
      <c r="H4006" s="1">
        <v>-1.1617799999999899E-5</v>
      </c>
      <c r="I4006">
        <v>151.2054</v>
      </c>
      <c r="J4006">
        <v>-195.3938</v>
      </c>
      <c r="K4006">
        <v>1.1070169999999999</v>
      </c>
      <c r="L4006">
        <v>192.29589999999999</v>
      </c>
      <c r="M4006">
        <v>6.7831530000000001E-2</v>
      </c>
      <c r="N4006">
        <v>0</v>
      </c>
      <c r="O4006">
        <v>-0.997598599999999</v>
      </c>
      <c r="P4006">
        <v>0.10346949999999901</v>
      </c>
      <c r="Q4006">
        <v>1.8374129999999999E-2</v>
      </c>
      <c r="R4006">
        <v>-0.99446309999999905</v>
      </c>
      <c r="S4006">
        <v>0.29316709999999901</v>
      </c>
      <c r="T4006">
        <v>-8.0211399999999905E-2</v>
      </c>
      <c r="U4006">
        <v>-2.987762</v>
      </c>
      <c r="V4006">
        <v>-3.593031E-2</v>
      </c>
      <c r="W4006">
        <v>3.2191740000000003E-2</v>
      </c>
      <c r="X4006">
        <v>0.99883569999999999</v>
      </c>
      <c r="Y4006">
        <v>-2.9879929999999999E-2</v>
      </c>
      <c r="Z4006">
        <v>2.6674369999999999E-2</v>
      </c>
      <c r="AA4006">
        <v>0.99919749999999996</v>
      </c>
      <c r="AB4006">
        <v>26</v>
      </c>
      <c r="AC4006">
        <v>4.0346999999999804</v>
      </c>
      <c r="AD4006">
        <v>-1.1070286177999999</v>
      </c>
      <c r="AE4006">
        <v>-41.090499999999899</v>
      </c>
      <c r="AF4006">
        <v>-1.23701157068227</v>
      </c>
      <c r="AG4006">
        <v>-1.1070286177999999</v>
      </c>
      <c r="AH4006">
        <v>41.239900733625497</v>
      </c>
      <c r="AI4006">
        <v>91.536966475110503</v>
      </c>
      <c r="AJ4006">
        <v>91.718100580441202</v>
      </c>
      <c r="AK4006">
        <v>41.273297935904203</v>
      </c>
    </row>
    <row r="4007" spans="1:37" x14ac:dyDescent="0.2">
      <c r="A4007" t="str">
        <f>"20200111155629249"</f>
        <v>20200111155629249</v>
      </c>
      <c r="B4007" t="str">
        <f>"1578729389236493"</f>
        <v>1578729389236493</v>
      </c>
      <c r="C4007" t="s">
        <v>37</v>
      </c>
      <c r="D4007">
        <v>4.8394740000000001</v>
      </c>
      <c r="E4007">
        <v>0.50185440000000003</v>
      </c>
      <c r="F4007" t="s">
        <v>72</v>
      </c>
      <c r="G4007">
        <v>-191.34190000000001</v>
      </c>
      <c r="H4007" s="1">
        <v>-1.1792860000000001E-5</v>
      </c>
      <c r="I4007">
        <v>151.62049999999999</v>
      </c>
      <c r="J4007">
        <v>-195.38239999999999</v>
      </c>
      <c r="K4007">
        <v>1.1070059999999999</v>
      </c>
      <c r="L4007">
        <v>192.1549</v>
      </c>
      <c r="M4007">
        <v>6.9454009999999997E-2</v>
      </c>
      <c r="N4007">
        <v>0</v>
      </c>
      <c r="O4007">
        <v>-0.99748700000000001</v>
      </c>
      <c r="P4007">
        <v>0.105106399999999</v>
      </c>
      <c r="Q4007">
        <v>1.739272E-2</v>
      </c>
      <c r="R4007">
        <v>-0.994309199999999</v>
      </c>
      <c r="S4007">
        <v>0.29757689999999998</v>
      </c>
      <c r="T4007">
        <v>-8.1301449999999997E-2</v>
      </c>
      <c r="U4007">
        <v>-2.987244</v>
      </c>
      <c r="V4007">
        <v>-3.5942870000000002E-2</v>
      </c>
      <c r="W4007">
        <v>3.120757E-2</v>
      </c>
      <c r="X4007">
        <v>0.99886640000000004</v>
      </c>
      <c r="Y4007">
        <v>-2.973083E-2</v>
      </c>
      <c r="Z4007">
        <v>2.7034840000000001E-2</v>
      </c>
      <c r="AA4007">
        <v>0.99919230000000003</v>
      </c>
      <c r="AB4007">
        <v>26</v>
      </c>
      <c r="AC4007">
        <v>4.0404999999999696</v>
      </c>
      <c r="AD4007">
        <v>-1.10701779286</v>
      </c>
      <c r="AE4007">
        <v>-40.534399999999998</v>
      </c>
      <c r="AF4007">
        <v>-1.21429179863548</v>
      </c>
      <c r="AG4007">
        <v>-1.10701779286</v>
      </c>
      <c r="AH4007">
        <v>40.687104280797499</v>
      </c>
      <c r="AI4007">
        <v>91.557830087559907</v>
      </c>
      <c r="AJ4007">
        <v>91.709464237095006</v>
      </c>
      <c r="AK4007">
        <v>40.720270722607403</v>
      </c>
    </row>
    <row r="4008" spans="1:37" x14ac:dyDescent="0.2">
      <c r="A4008" t="str">
        <f>"20200111155629263"</f>
        <v>20200111155629263</v>
      </c>
      <c r="B4008" t="str">
        <f>"1578729389256988"</f>
        <v>1578729389256988</v>
      </c>
      <c r="C4008" t="s">
        <v>37</v>
      </c>
      <c r="D4008">
        <v>4.7037440000000004</v>
      </c>
      <c r="E4008">
        <v>0.50200659999999997</v>
      </c>
      <c r="F4008" t="s">
        <v>72</v>
      </c>
      <c r="G4008">
        <v>-191.4076</v>
      </c>
      <c r="H4008" s="1">
        <v>-1.2356619999999999E-5</v>
      </c>
      <c r="I4008">
        <v>152.9075</v>
      </c>
      <c r="J4008">
        <v>-195.3682</v>
      </c>
      <c r="K4008">
        <v>1.1069899999999999</v>
      </c>
      <c r="L4008">
        <v>191.98249999999999</v>
      </c>
      <c r="M4008">
        <v>7.1433529999999995E-2</v>
      </c>
      <c r="N4008">
        <v>0</v>
      </c>
      <c r="O4008">
        <v>-0.99734709999999904</v>
      </c>
      <c r="P4008">
        <v>0.1076498</v>
      </c>
      <c r="Q4008">
        <v>1.575238E-2</v>
      </c>
      <c r="R4008">
        <v>-0.99406419999999995</v>
      </c>
      <c r="S4008">
        <v>0.30247499999999999</v>
      </c>
      <c r="T4008">
        <v>-8.4241869999999996E-2</v>
      </c>
      <c r="U4008">
        <v>-2.9866489999999999</v>
      </c>
      <c r="V4008">
        <v>-3.6504809999999999E-2</v>
      </c>
      <c r="W4008">
        <v>2.9561810000000001E-2</v>
      </c>
      <c r="X4008">
        <v>0.99889609999999995</v>
      </c>
      <c r="Y4008">
        <v>-2.9386260000000001E-2</v>
      </c>
      <c r="Z4008">
        <v>2.800938E-2</v>
      </c>
      <c r="AA4008">
        <v>0.99917559999999905</v>
      </c>
      <c r="AB4008">
        <v>26</v>
      </c>
      <c r="AC4008">
        <v>3.9605999999999999</v>
      </c>
      <c r="AD4008">
        <v>-1.10700235662</v>
      </c>
      <c r="AE4008">
        <v>-39.074999999999903</v>
      </c>
      <c r="AF4008">
        <v>-1.1580213524516301</v>
      </c>
      <c r="AG4008">
        <v>-1.10700235662</v>
      </c>
      <c r="AH4008">
        <v>39.2269419280207</v>
      </c>
      <c r="AI4008">
        <v>91.615780696862302</v>
      </c>
      <c r="AJ4008">
        <v>91.690941695569606</v>
      </c>
      <c r="AK4008">
        <v>39.259641372465502</v>
      </c>
    </row>
    <row r="4009" spans="1:37" x14ac:dyDescent="0.2">
      <c r="A4009" t="str">
        <f>"20200111155629279"</f>
        <v>20200111155629279</v>
      </c>
      <c r="B4009" t="str">
        <f>"1578729389276509"</f>
        <v>1578729389276509</v>
      </c>
      <c r="C4009" t="s">
        <v>37</v>
      </c>
      <c r="D4009">
        <v>4.6941030000000001</v>
      </c>
      <c r="E4009">
        <v>0.50238320000000003</v>
      </c>
      <c r="F4009" t="s">
        <v>72</v>
      </c>
      <c r="G4009">
        <v>-191.4905</v>
      </c>
      <c r="H4009" s="1">
        <v>-1.293024E-5</v>
      </c>
      <c r="I4009">
        <v>154.46440000000001</v>
      </c>
      <c r="J4009">
        <v>-195.3544</v>
      </c>
      <c r="K4009">
        <v>1.1069799999999901</v>
      </c>
      <c r="L4009">
        <v>191.8185</v>
      </c>
      <c r="M4009">
        <v>7.3311909999999994E-2</v>
      </c>
      <c r="N4009">
        <v>0</v>
      </c>
      <c r="O4009">
        <v>-0.99721109999999902</v>
      </c>
      <c r="P4009">
        <v>0.1095613</v>
      </c>
      <c r="Q4009">
        <v>1.5395900000000001E-2</v>
      </c>
      <c r="R4009">
        <v>-0.993861199999999</v>
      </c>
      <c r="S4009">
        <v>0.30860900000000002</v>
      </c>
      <c r="T4009">
        <v>-8.8101269999999995E-2</v>
      </c>
      <c r="U4009">
        <v>-2.9858859999999998</v>
      </c>
      <c r="V4009">
        <v>-3.654139E-2</v>
      </c>
      <c r="W4009">
        <v>2.9202430000000001E-2</v>
      </c>
      <c r="X4009">
        <v>0.99890540000000005</v>
      </c>
      <c r="Y4009">
        <v>-2.9556780000000001E-2</v>
      </c>
      <c r="Z4009">
        <v>2.9289799999999901E-2</v>
      </c>
      <c r="AA4009">
        <v>0.99913390000000002</v>
      </c>
      <c r="AB4009">
        <v>25</v>
      </c>
      <c r="AC4009">
        <v>3.8639000000000001</v>
      </c>
      <c r="AD4009">
        <v>-1.1069929302399999</v>
      </c>
      <c r="AE4009">
        <v>-37.354099999999903</v>
      </c>
      <c r="AF4009">
        <v>-1.11376466148986</v>
      </c>
      <c r="AG4009">
        <v>-1.1069929302399999</v>
      </c>
      <c r="AH4009">
        <v>37.5042712554094</v>
      </c>
      <c r="AI4009">
        <v>91.689932525186094</v>
      </c>
      <c r="AJ4009">
        <v>91.701013319388906</v>
      </c>
      <c r="AK4009">
        <v>37.5371318492518</v>
      </c>
    </row>
    <row r="4010" spans="1:37" x14ac:dyDescent="0.2">
      <c r="A4010" t="str">
        <f>"20200111155629294"</f>
        <v>20200111155629294</v>
      </c>
      <c r="B4010" t="str">
        <f>"1578729389287244"</f>
        <v>1578729389287244</v>
      </c>
      <c r="C4010" t="s">
        <v>37</v>
      </c>
      <c r="D4010">
        <v>4.8079339999999897</v>
      </c>
      <c r="E4010">
        <v>0.50238320000000003</v>
      </c>
      <c r="F4010" t="s">
        <v>72</v>
      </c>
      <c r="G4010">
        <v>-191.4521</v>
      </c>
      <c r="H4010" s="1">
        <v>-1.290797E-5</v>
      </c>
      <c r="I4010">
        <v>154.3895</v>
      </c>
      <c r="J4010">
        <v>-195.339</v>
      </c>
      <c r="K4010">
        <v>1.1069709999999999</v>
      </c>
      <c r="L4010">
        <v>191.63990000000001</v>
      </c>
      <c r="M4010">
        <v>7.5353550000000005E-2</v>
      </c>
      <c r="N4010">
        <v>0</v>
      </c>
      <c r="O4010">
        <v>-0.99705869999999996</v>
      </c>
      <c r="P4010">
        <v>0.11150539999999901</v>
      </c>
      <c r="Q4010">
        <v>1.5758040000000001E-2</v>
      </c>
      <c r="R4010">
        <v>-0.99363880000000004</v>
      </c>
      <c r="S4010">
        <v>0.31127929999999998</v>
      </c>
      <c r="T4010">
        <v>-8.8300820000000002E-2</v>
      </c>
      <c r="U4010">
        <v>-2.9855800000000001</v>
      </c>
      <c r="V4010">
        <v>-3.6451940000000002E-2</v>
      </c>
      <c r="W4010">
        <v>2.9562290000000001E-2</v>
      </c>
      <c r="X4010">
        <v>0.99889799999999995</v>
      </c>
      <c r="Y4010">
        <v>-2.8404470000000001E-2</v>
      </c>
      <c r="Z4010">
        <v>2.9351499999999999E-2</v>
      </c>
      <c r="AA4010">
        <v>0.99916550000000004</v>
      </c>
      <c r="AB4010">
        <v>25</v>
      </c>
      <c r="AC4010">
        <v>3.8869000000000198</v>
      </c>
      <c r="AD4010">
        <v>-1.1069839079699999</v>
      </c>
      <c r="AE4010">
        <v>-37.250399999999999</v>
      </c>
      <c r="AF4010">
        <v>-1.0676894562049899</v>
      </c>
      <c r="AG4010">
        <v>-1.1069839079699999</v>
      </c>
      <c r="AH4010">
        <v>37.404715105376198</v>
      </c>
      <c r="AI4010">
        <v>91.694470817797196</v>
      </c>
      <c r="AJ4010">
        <v>91.635020966189899</v>
      </c>
      <c r="AK4010">
        <v>37.436320415630597</v>
      </c>
    </row>
    <row r="4011" spans="1:37" x14ac:dyDescent="0.2">
      <c r="A4011" t="str">
        <f>"20200111155629308"</f>
        <v>20200111155629308</v>
      </c>
      <c r="B4011" t="str">
        <f>"1578729389297004"</f>
        <v>1578729389297004</v>
      </c>
      <c r="C4011" t="s">
        <v>37</v>
      </c>
      <c r="D4011">
        <v>4.7974209999999999</v>
      </c>
      <c r="E4011">
        <v>0.51004550000000004</v>
      </c>
      <c r="F4011" t="s">
        <v>72</v>
      </c>
      <c r="G4011">
        <v>-191.3135</v>
      </c>
      <c r="H4011" s="1">
        <v>-1.270005E-5</v>
      </c>
      <c r="I4011">
        <v>153.74700000000001</v>
      </c>
      <c r="J4011">
        <v>-195.32480000000001</v>
      </c>
      <c r="K4011">
        <v>1.106968</v>
      </c>
      <c r="L4011">
        <v>191.47890000000001</v>
      </c>
      <c r="M4011">
        <v>7.7192730000000001E-2</v>
      </c>
      <c r="N4011">
        <v>0</v>
      </c>
      <c r="O4011">
        <v>-0.99691799999999997</v>
      </c>
      <c r="P4011">
        <v>0.1112445</v>
      </c>
      <c r="Q4011">
        <v>1.7229100000000001E-2</v>
      </c>
      <c r="R4011">
        <v>-0.99364390000000002</v>
      </c>
      <c r="S4011">
        <v>0.31710820000000001</v>
      </c>
      <c r="T4011">
        <v>-8.7202070000000007E-2</v>
      </c>
      <c r="U4011">
        <v>-2.985001</v>
      </c>
      <c r="V4011">
        <v>-3.4354549999999998E-2</v>
      </c>
      <c r="W4011">
        <v>3.104123E-2</v>
      </c>
      <c r="X4011">
        <v>0.99892749999999997</v>
      </c>
      <c r="Y4011">
        <v>-2.8511350000000001E-2</v>
      </c>
      <c r="Z4011">
        <v>2.898305E-2</v>
      </c>
      <c r="AA4011">
        <v>0.99917319999999998</v>
      </c>
      <c r="AB4011">
        <v>25</v>
      </c>
      <c r="AC4011">
        <v>4.0113000000000003</v>
      </c>
      <c r="AD4011">
        <v>-1.10698070005</v>
      </c>
      <c r="AE4011">
        <v>-37.731900000000003</v>
      </c>
      <c r="AF4011">
        <v>-1.0854912962679</v>
      </c>
      <c r="AG4011">
        <v>-1.10698070005</v>
      </c>
      <c r="AH4011">
        <v>37.896712610695403</v>
      </c>
      <c r="AI4011">
        <v>91.672475193357698</v>
      </c>
      <c r="AJ4011">
        <v>91.640698232525807</v>
      </c>
      <c r="AK4011">
        <v>37.928413153231197</v>
      </c>
    </row>
    <row r="4012" spans="1:37" x14ac:dyDescent="0.2">
      <c r="A4012" t="str">
        <f>"20200111155629324"</f>
        <v>20200111155629324</v>
      </c>
      <c r="B4012" t="str">
        <f>"1578729389316525"</f>
        <v>1578729389316525</v>
      </c>
      <c r="C4012" t="s">
        <v>37</v>
      </c>
      <c r="D4012">
        <v>4.8465499999999997</v>
      </c>
      <c r="E4012">
        <v>0.51167910000000005</v>
      </c>
      <c r="F4012" t="s">
        <v>72</v>
      </c>
      <c r="G4012">
        <v>-191.4091</v>
      </c>
      <c r="H4012" s="1">
        <v>-9.8948689999999993E-6</v>
      </c>
      <c r="I4012">
        <v>145.6344</v>
      </c>
      <c r="J4012">
        <v>-195.30889999999999</v>
      </c>
      <c r="K4012">
        <v>1.1069659999999999</v>
      </c>
      <c r="L4012">
        <v>191.3023</v>
      </c>
      <c r="M4012">
        <v>7.9206250000000006E-2</v>
      </c>
      <c r="N4012">
        <v>0</v>
      </c>
      <c r="O4012">
        <v>-0.99676039999999999</v>
      </c>
      <c r="P4012">
        <v>0.1114965</v>
      </c>
      <c r="Q4012">
        <v>1.7568770000000001E-2</v>
      </c>
      <c r="R4012">
        <v>-0.99361010000000005</v>
      </c>
      <c r="S4012">
        <v>0.25553890000000001</v>
      </c>
      <c r="T4012">
        <v>-7.2241899999999998E-2</v>
      </c>
      <c r="U4012">
        <v>-2.9918369999999999</v>
      </c>
      <c r="V4012">
        <v>-3.259078E-2</v>
      </c>
      <c r="W4012">
        <v>3.1387249999999998E-2</v>
      </c>
      <c r="X4012">
        <v>0.99897579999999997</v>
      </c>
      <c r="Y4012">
        <v>-5.8836349999999999E-3</v>
      </c>
      <c r="Z4012">
        <v>2.3981829999999999E-2</v>
      </c>
      <c r="AA4012">
        <v>0.99969509999999995</v>
      </c>
      <c r="AB4012">
        <v>25</v>
      </c>
      <c r="AC4012">
        <v>3.8997999999999902</v>
      </c>
      <c r="AD4012">
        <v>-1.1069758948689901</v>
      </c>
      <c r="AE4012">
        <v>-45.667900000000003</v>
      </c>
      <c r="AF4012">
        <v>-0.26985203372448402</v>
      </c>
      <c r="AG4012">
        <v>-1.1069758948689901</v>
      </c>
      <c r="AH4012">
        <v>45.8065940859276</v>
      </c>
      <c r="AI4012">
        <v>91.384333533481495</v>
      </c>
      <c r="AJ4012">
        <v>90.337532271802402</v>
      </c>
      <c r="AK4012">
        <v>45.820762515532898</v>
      </c>
    </row>
    <row r="4013" spans="1:37" x14ac:dyDescent="0.2">
      <c r="A4013" t="str">
        <f>"20200111155629337"</f>
        <v>20200111155629337</v>
      </c>
      <c r="B4013" t="str">
        <f>"1578729389327261"</f>
        <v>1578729389327261</v>
      </c>
      <c r="C4013" t="s">
        <v>37</v>
      </c>
      <c r="D4013">
        <v>4.7599790000000004</v>
      </c>
      <c r="E4013">
        <v>0.5117661</v>
      </c>
      <c r="F4013" t="s">
        <v>72</v>
      </c>
      <c r="G4013">
        <v>-191.5325</v>
      </c>
      <c r="H4013" s="1">
        <v>-9.7124590000000001E-6</v>
      </c>
      <c r="I4013">
        <v>144.8597</v>
      </c>
      <c r="J4013">
        <v>-195.29509999999999</v>
      </c>
      <c r="K4013">
        <v>1.106954</v>
      </c>
      <c r="L4013">
        <v>191.15190000000001</v>
      </c>
      <c r="M4013">
        <v>8.091885E-2</v>
      </c>
      <c r="N4013">
        <v>0</v>
      </c>
      <c r="O4013">
        <v>-0.99662269999999897</v>
      </c>
      <c r="P4013">
        <v>0.11117639999999999</v>
      </c>
      <c r="Q4013">
        <v>1.670172E-2</v>
      </c>
      <c r="R4013">
        <v>-0.993660399999999</v>
      </c>
      <c r="S4013">
        <v>0.2433929</v>
      </c>
      <c r="T4013">
        <v>-7.1345210000000006E-2</v>
      </c>
      <c r="U4013">
        <v>-2.9932560000000001</v>
      </c>
      <c r="V4013">
        <v>-3.0545610000000001E-2</v>
      </c>
      <c r="W4013">
        <v>3.052887E-2</v>
      </c>
      <c r="X4013">
        <v>0.99906709999999999</v>
      </c>
      <c r="Y4013" s="1">
        <v>-9.7149580000000001E-5</v>
      </c>
      <c r="Z4013">
        <v>2.3672430000000001E-2</v>
      </c>
      <c r="AA4013">
        <v>0.99971969999999999</v>
      </c>
      <c r="AB4013">
        <v>25</v>
      </c>
      <c r="AC4013">
        <v>3.7625999999999902</v>
      </c>
      <c r="AD4013">
        <v>-1.1069637124589999</v>
      </c>
      <c r="AE4013">
        <v>-46.292200000000001</v>
      </c>
      <c r="AF4013">
        <v>-3.9791115569078796E-3</v>
      </c>
      <c r="AG4013">
        <v>-1.1069637124589999</v>
      </c>
      <c r="AH4013">
        <v>46.418490637894799</v>
      </c>
      <c r="AI4013">
        <v>91.366100633828793</v>
      </c>
      <c r="AJ4013">
        <v>90.004911540524702</v>
      </c>
      <c r="AK4013">
        <v>46.431688076079702</v>
      </c>
    </row>
    <row r="4014" spans="1:37" x14ac:dyDescent="0.2">
      <c r="A4014" t="str">
        <f>"20200111155629353"</f>
        <v>20200111155629353</v>
      </c>
      <c r="B4014" t="str">
        <f>"1578729389346779"</f>
        <v>1578729389346779</v>
      </c>
      <c r="C4014" t="s">
        <v>37</v>
      </c>
      <c r="D4014">
        <v>4.6999719999999998</v>
      </c>
      <c r="E4014">
        <v>0.5115613</v>
      </c>
      <c r="F4014" t="s">
        <v>72</v>
      </c>
      <c r="G4014">
        <v>-191.91399999999999</v>
      </c>
      <c r="H4014" s="1">
        <v>-1.0952039999999901E-5</v>
      </c>
      <c r="I4014">
        <v>149.30350000000001</v>
      </c>
      <c r="J4014">
        <v>-195.2784</v>
      </c>
      <c r="K4014">
        <v>1.10693</v>
      </c>
      <c r="L4014">
        <v>190.97450000000001</v>
      </c>
      <c r="M4014">
        <v>8.2925570000000004E-2</v>
      </c>
      <c r="N4014">
        <v>0</v>
      </c>
      <c r="O4014">
        <v>-0.996457699999999</v>
      </c>
      <c r="P4014">
        <v>0.10925989999999999</v>
      </c>
      <c r="Q4014">
        <v>1.3225489999999999E-2</v>
      </c>
      <c r="R4014">
        <v>-0.99392549999999902</v>
      </c>
      <c r="S4014">
        <v>0.24185180000000001</v>
      </c>
      <c r="T4014">
        <v>-7.9181080000000001E-2</v>
      </c>
      <c r="U4014">
        <v>-2.9934080000000001</v>
      </c>
      <c r="V4014">
        <v>-2.6583490000000001E-2</v>
      </c>
      <c r="W4014">
        <v>2.7071810000000002E-2</v>
      </c>
      <c r="X4014">
        <v>0.99927999999999995</v>
      </c>
      <c r="Y4014">
        <v>2.4372320000000001E-3</v>
      </c>
      <c r="Z4014">
        <v>2.6263310000000002E-2</v>
      </c>
      <c r="AA4014">
        <v>0.99965210000000004</v>
      </c>
      <c r="AB4014">
        <v>25</v>
      </c>
      <c r="AC4014">
        <v>3.3643999999999799</v>
      </c>
      <c r="AD4014">
        <v>-1.10694095204</v>
      </c>
      <c r="AE4014">
        <v>-41.6709999999999</v>
      </c>
      <c r="AF4014">
        <v>0.103046974133958</v>
      </c>
      <c r="AG4014">
        <v>-1.10694095204</v>
      </c>
      <c r="AH4014">
        <v>41.777179749487402</v>
      </c>
      <c r="AI4014">
        <v>91.517766790716905</v>
      </c>
      <c r="AJ4014">
        <v>89.858675363650605</v>
      </c>
      <c r="AK4014">
        <v>41.791969142063202</v>
      </c>
    </row>
    <row r="4015" spans="1:37" x14ac:dyDescent="0.2">
      <c r="A4015" t="str">
        <f>"20200111155629368"</f>
        <v>20200111155629368</v>
      </c>
      <c r="B4015" t="str">
        <f>"1578729389356541"</f>
        <v>1578729389356541</v>
      </c>
      <c r="C4015" t="s">
        <v>37</v>
      </c>
      <c r="D4015">
        <v>4.9187769999999897</v>
      </c>
      <c r="E4015">
        <v>0.5115613</v>
      </c>
      <c r="F4015" t="s">
        <v>72</v>
      </c>
      <c r="G4015">
        <v>-192.46549999999999</v>
      </c>
      <c r="H4015" s="1">
        <v>-1.346657E-5</v>
      </c>
      <c r="I4015">
        <v>155.57589999999999</v>
      </c>
      <c r="J4015">
        <v>-195.26300000000001</v>
      </c>
      <c r="K4015">
        <v>1.1069069999999901</v>
      </c>
      <c r="L4015">
        <v>190.8134</v>
      </c>
      <c r="M4015">
        <v>8.4734500000000004E-2</v>
      </c>
      <c r="N4015">
        <v>0</v>
      </c>
      <c r="O4015">
        <v>-0.99630549999999996</v>
      </c>
      <c r="P4015">
        <v>0.10841089999999901</v>
      </c>
      <c r="Q4015">
        <v>1.216828E-2</v>
      </c>
      <c r="R4015">
        <v>-0.99403180000000002</v>
      </c>
      <c r="S4015">
        <v>0.23786929999999901</v>
      </c>
      <c r="T4015">
        <v>-9.3606709999999996E-2</v>
      </c>
      <c r="U4015">
        <v>-2.9934229999999999</v>
      </c>
      <c r="V4015">
        <v>-2.3907600000000001E-2</v>
      </c>
      <c r="W4015">
        <v>2.602695E-2</v>
      </c>
      <c r="X4015">
        <v>0.99937529999999997</v>
      </c>
      <c r="Y4015">
        <v>5.5854950000000002E-3</v>
      </c>
      <c r="Z4015">
        <v>3.1037990000000001E-2</v>
      </c>
      <c r="AA4015">
        <v>0.99950260000000002</v>
      </c>
      <c r="AB4015">
        <v>25</v>
      </c>
      <c r="AC4015">
        <v>2.7975000000000101</v>
      </c>
      <c r="AD4015">
        <v>-1.1069204665700001</v>
      </c>
      <c r="AE4015">
        <v>-35.237499999999997</v>
      </c>
      <c r="AF4015">
        <v>0.198492079370853</v>
      </c>
      <c r="AG4015">
        <v>-1.1069204665700001</v>
      </c>
      <c r="AH4015">
        <v>35.313185460591498</v>
      </c>
      <c r="AI4015">
        <v>91.795366506459601</v>
      </c>
      <c r="AJ4015">
        <v>89.677949227854697</v>
      </c>
      <c r="AK4015">
        <v>35.331087435840601</v>
      </c>
    </row>
    <row r="4016" spans="1:37" x14ac:dyDescent="0.2">
      <c r="A4016" t="str">
        <f>"20200111155629386"</f>
        <v>20200111155629386</v>
      </c>
      <c r="B4016" t="str">
        <f>"1578729389377036"</f>
        <v>1578729389377036</v>
      </c>
      <c r="C4016" t="s">
        <v>37</v>
      </c>
      <c r="D4016">
        <v>4.7843619999999998</v>
      </c>
      <c r="E4016">
        <v>0.51230149999999997</v>
      </c>
      <c r="F4016" t="s">
        <v>72</v>
      </c>
      <c r="G4016">
        <v>-192.57210000000001</v>
      </c>
      <c r="H4016" s="1">
        <v>-1.3904799999999999E-5</v>
      </c>
      <c r="I4016">
        <v>156.5753</v>
      </c>
      <c r="J4016">
        <v>-195.24250000000001</v>
      </c>
      <c r="K4016">
        <v>1.106878</v>
      </c>
      <c r="L4016">
        <v>190.6035</v>
      </c>
      <c r="M4016">
        <v>8.7064379999999997E-2</v>
      </c>
      <c r="N4016">
        <v>0</v>
      </c>
      <c r="O4016">
        <v>-0.99610480000000001</v>
      </c>
      <c r="P4016">
        <v>0.10546229999999999</v>
      </c>
      <c r="Q4016">
        <v>1.102411E-2</v>
      </c>
      <c r="R4016">
        <v>-0.99436219999999997</v>
      </c>
      <c r="S4016">
        <v>0.23527529999999899</v>
      </c>
      <c r="T4016">
        <v>-9.6781850000000003E-2</v>
      </c>
      <c r="U4016">
        <v>-2.9935459999999998</v>
      </c>
      <c r="V4016">
        <v>-1.8596310000000001E-2</v>
      </c>
      <c r="W4016">
        <v>2.4905790000000001E-2</v>
      </c>
      <c r="X4016">
        <v>0.99951679999999998</v>
      </c>
      <c r="Y4016">
        <v>8.7906859999999903E-3</v>
      </c>
      <c r="Z4016">
        <v>3.2079440000000001E-2</v>
      </c>
      <c r="AA4016">
        <v>0.99944669999999902</v>
      </c>
      <c r="AB4016">
        <v>25</v>
      </c>
      <c r="AC4016">
        <v>2.6703999999999999</v>
      </c>
      <c r="AD4016">
        <v>-1.1068919048000001</v>
      </c>
      <c r="AE4016">
        <v>-34.028199999999998</v>
      </c>
      <c r="AF4016">
        <v>0.30235742267841897</v>
      </c>
      <c r="AG4016">
        <v>-1.1068919048000001</v>
      </c>
      <c r="AH4016">
        <v>34.0956221827322</v>
      </c>
      <c r="AI4016">
        <v>91.859343616355503</v>
      </c>
      <c r="AJ4016">
        <v>89.491918638782806</v>
      </c>
      <c r="AK4016">
        <v>34.114924618524</v>
      </c>
    </row>
    <row r="4017" spans="1:37" x14ac:dyDescent="0.2">
      <c r="A4017" t="str">
        <f>"20200111155629401"</f>
        <v>20200111155629401</v>
      </c>
      <c r="B4017" t="str">
        <f>"1578729389396556"</f>
        <v>1578729389396556</v>
      </c>
      <c r="C4017" t="s">
        <v>37</v>
      </c>
      <c r="D4017">
        <v>5.0482440000000004</v>
      </c>
      <c r="E4017">
        <v>0.51596719999999996</v>
      </c>
      <c r="F4017" t="s">
        <v>72</v>
      </c>
      <c r="G4017">
        <v>-192.7698</v>
      </c>
      <c r="H4017" s="1">
        <v>-1.411845E-5</v>
      </c>
      <c r="I4017">
        <v>157.0325</v>
      </c>
      <c r="J4017">
        <v>-195.226</v>
      </c>
      <c r="K4017">
        <v>1.1068530000000001</v>
      </c>
      <c r="L4017">
        <v>190.4376</v>
      </c>
      <c r="M4017">
        <v>8.8884889999999994E-2</v>
      </c>
      <c r="N4017">
        <v>0</v>
      </c>
      <c r="O4017">
        <v>-0.995944099999999</v>
      </c>
      <c r="P4017">
        <v>0.10416449999999999</v>
      </c>
      <c r="Q4017">
        <v>1.136474E-2</v>
      </c>
      <c r="R4017">
        <v>-0.99449529999999997</v>
      </c>
      <c r="S4017">
        <v>0.2205811</v>
      </c>
      <c r="T4017">
        <v>-9.8740820000000007E-2</v>
      </c>
      <c r="U4017">
        <v>-2.99472</v>
      </c>
      <c r="V4017">
        <v>-1.54643E-2</v>
      </c>
      <c r="W4017">
        <v>2.5259489999999999E-2</v>
      </c>
      <c r="X4017">
        <v>0.99956129999999999</v>
      </c>
      <c r="Y4017">
        <v>1.5526E-2</v>
      </c>
      <c r="Z4017">
        <v>3.2712070000000003E-2</v>
      </c>
      <c r="AA4017">
        <v>0.99934419999999902</v>
      </c>
      <c r="AB4017">
        <v>25</v>
      </c>
      <c r="AC4017">
        <v>2.4561999999999902</v>
      </c>
      <c r="AD4017">
        <v>-1.1068671184500001</v>
      </c>
      <c r="AE4017">
        <v>-33.405099999999997</v>
      </c>
      <c r="AF4017">
        <v>0.52245117389555895</v>
      </c>
      <c r="AG4017">
        <v>-1.1068671184500001</v>
      </c>
      <c r="AH4017">
        <v>33.454661369788198</v>
      </c>
      <c r="AI4017">
        <v>91.894742403777698</v>
      </c>
      <c r="AJ4017">
        <v>89.105302133375403</v>
      </c>
      <c r="AK4017">
        <v>33.477044036387198</v>
      </c>
    </row>
    <row r="4018" spans="1:37" x14ac:dyDescent="0.2">
      <c r="A4018" t="str">
        <f>"20200111155629415"</f>
        <v>20200111155629415</v>
      </c>
      <c r="B4018" t="str">
        <f>"1578729389407292"</f>
        <v>1578729389407292</v>
      </c>
      <c r="C4018" t="s">
        <v>37</v>
      </c>
      <c r="D4018">
        <v>6.7165860000000004</v>
      </c>
      <c r="E4018">
        <v>0.58344499999999999</v>
      </c>
      <c r="F4018" t="s">
        <v>40</v>
      </c>
      <c r="G4018">
        <v>-195.1688</v>
      </c>
      <c r="H4018">
        <v>1.029269</v>
      </c>
      <c r="I4018">
        <v>189.53049999999999</v>
      </c>
      <c r="J4018">
        <v>-195.2105</v>
      </c>
      <c r="K4018">
        <v>1.1068249999999999</v>
      </c>
      <c r="L4018">
        <v>190.28479999999999</v>
      </c>
      <c r="M4018">
        <v>9.0537430000000002E-2</v>
      </c>
      <c r="N4018">
        <v>0</v>
      </c>
      <c r="O4018">
        <v>-0.99579499999999999</v>
      </c>
      <c r="P4018">
        <v>0.10229679999999999</v>
      </c>
      <c r="Q4018">
        <v>1.1970450000000001E-2</v>
      </c>
      <c r="R4018">
        <v>-0.99468189999999901</v>
      </c>
      <c r="S4018">
        <v>0.18975829999999999</v>
      </c>
      <c r="T4018">
        <v>-0.25675710000000002</v>
      </c>
      <c r="U4018">
        <v>-2.9996339999999999</v>
      </c>
      <c r="V4018">
        <v>-1.1928869999999999E-2</v>
      </c>
      <c r="W4018">
        <v>2.5879180000000002E-2</v>
      </c>
      <c r="X4018">
        <v>0.99959390000000004</v>
      </c>
      <c r="Y4018">
        <v>2.771823E-2</v>
      </c>
      <c r="Z4018">
        <v>8.4659990000000004E-2</v>
      </c>
      <c r="AA4018">
        <v>0.99602429999999997</v>
      </c>
      <c r="AB4018">
        <v>25</v>
      </c>
      <c r="AC4018">
        <v>4.1699999999991598E-2</v>
      </c>
      <c r="AD4018">
        <v>-7.7555999999999903E-2</v>
      </c>
      <c r="AE4018">
        <v>-0.75429999999999997</v>
      </c>
      <c r="AF4018">
        <v>2.6491144405160299E-2</v>
      </c>
      <c r="AG4018">
        <v>-7.7555999999999903E-2</v>
      </c>
      <c r="AH4018">
        <v>0.74710325738937999</v>
      </c>
      <c r="AI4018">
        <v>95.9228905207205</v>
      </c>
      <c r="AJ4018">
        <v>87.969229676615299</v>
      </c>
      <c r="AK4018">
        <v>0.75158498592622103</v>
      </c>
    </row>
    <row r="4019" spans="1:37" x14ac:dyDescent="0.2">
      <c r="A4019" t="str">
        <f>"20200111155629428"</f>
        <v>20200111155629428</v>
      </c>
      <c r="B4019" t="str">
        <f>"1578729389417052"</f>
        <v>1578729389417052</v>
      </c>
      <c r="C4019" t="s">
        <v>37</v>
      </c>
      <c r="D4019">
        <v>4.8693210000000002</v>
      </c>
      <c r="E4019">
        <v>0.58442209999999895</v>
      </c>
      <c r="F4019" t="s">
        <v>52</v>
      </c>
      <c r="G4019">
        <v>-212.22550000000001</v>
      </c>
      <c r="H4019">
        <v>0.99632140000000002</v>
      </c>
      <c r="I4019">
        <v>43.824129999999997</v>
      </c>
      <c r="J4019">
        <v>-195.19579999999999</v>
      </c>
      <c r="K4019">
        <v>1.1067990000000001</v>
      </c>
      <c r="L4019">
        <v>190.1412</v>
      </c>
      <c r="M4019">
        <v>9.2065629999999996E-2</v>
      </c>
      <c r="N4019">
        <v>0</v>
      </c>
      <c r="O4019">
        <v>-0.99565509999999902</v>
      </c>
      <c r="P4019">
        <v>0.10030360000000001</v>
      </c>
      <c r="Q4019">
        <v>1.150547E-2</v>
      </c>
      <c r="R4019">
        <v>-0.99489039999999995</v>
      </c>
      <c r="S4019">
        <v>-0.35462949999999999</v>
      </c>
      <c r="T4019">
        <v>-2.3028850000000002E-3</v>
      </c>
      <c r="U4019">
        <v>-3.0525509999999998</v>
      </c>
      <c r="V4019">
        <v>-8.3869640000000002E-3</v>
      </c>
      <c r="W4019">
        <v>2.5428240000000001E-2</v>
      </c>
      <c r="X4019">
        <v>0.99964149999999996</v>
      </c>
      <c r="Y4019">
        <v>0.20636789999999999</v>
      </c>
      <c r="Z4019">
        <v>7.389928E-4</v>
      </c>
      <c r="AA4019">
        <v>0.97847419999999996</v>
      </c>
      <c r="AB4019">
        <v>25</v>
      </c>
      <c r="AC4019">
        <v>-17.029699999999998</v>
      </c>
      <c r="AD4019">
        <v>-0.1104776</v>
      </c>
      <c r="AE4019">
        <v>-146.31707</v>
      </c>
      <c r="AF4019">
        <v>30.4294283751153</v>
      </c>
      <c r="AG4019">
        <v>-0.1104776</v>
      </c>
      <c r="AH4019">
        <v>144.12744753744499</v>
      </c>
      <c r="AI4019">
        <v>90.042971470152693</v>
      </c>
      <c r="AJ4019">
        <v>78.078301357200502</v>
      </c>
      <c r="AK4019">
        <v>147.304729897567</v>
      </c>
    </row>
    <row r="4020" spans="1:37" x14ac:dyDescent="0.2">
      <c r="A4020" t="str">
        <f>"20200111155629444"</f>
        <v>20200111155629444</v>
      </c>
      <c r="B4020" t="str">
        <f>"1578729389436572"</f>
        <v>1578729389436572</v>
      </c>
      <c r="C4020" t="s">
        <v>37</v>
      </c>
      <c r="D4020">
        <v>4.8473220000000001</v>
      </c>
      <c r="E4020">
        <v>0.58370459999999902</v>
      </c>
      <c r="F4020" t="s">
        <v>72</v>
      </c>
      <c r="G4020">
        <v>-202.39</v>
      </c>
      <c r="H4020" s="1">
        <v>-5.68611999999999E-6</v>
      </c>
      <c r="I4020">
        <v>130.39599999999999</v>
      </c>
      <c r="J4020">
        <v>-195.17760000000001</v>
      </c>
      <c r="K4020">
        <v>1.1067659999999999</v>
      </c>
      <c r="L4020">
        <v>189.9666</v>
      </c>
      <c r="M4020">
        <v>9.3897079999999994E-2</v>
      </c>
      <c r="N4020">
        <v>0</v>
      </c>
      <c r="O4020">
        <v>-0.99548409999999998</v>
      </c>
      <c r="P4020">
        <v>9.5241309999999996E-2</v>
      </c>
      <c r="Q4020">
        <v>9.9629530000000001E-3</v>
      </c>
      <c r="R4020">
        <v>-0.99540459999999997</v>
      </c>
      <c r="S4020">
        <v>-0.36764530000000001</v>
      </c>
      <c r="T4020">
        <v>-5.6561109999999998E-2</v>
      </c>
      <c r="U4020">
        <v>-3.0531619999999999</v>
      </c>
      <c r="V4020">
        <v>-1.4499489999999901E-3</v>
      </c>
      <c r="W4020">
        <v>2.3913790000000001E-2</v>
      </c>
      <c r="X4020">
        <v>0.99971290000000002</v>
      </c>
      <c r="Y4020">
        <v>0.2122356</v>
      </c>
      <c r="Z4020">
        <v>1.8122820000000001E-2</v>
      </c>
      <c r="AA4020">
        <v>0.97705049999999904</v>
      </c>
      <c r="AB4020">
        <v>25</v>
      </c>
      <c r="AC4020">
        <v>-7.2123999999999704</v>
      </c>
      <c r="AD4020">
        <v>-1.1067716861200001</v>
      </c>
      <c r="AE4020">
        <v>-59.570599999999899</v>
      </c>
      <c r="AF4020">
        <v>12.7702344579121</v>
      </c>
      <c r="AG4020">
        <v>-1.1067716861200001</v>
      </c>
      <c r="AH4020">
        <v>58.610131995107203</v>
      </c>
      <c r="AI4020">
        <v>91.057029605430799</v>
      </c>
      <c r="AJ4020">
        <v>77.708250712104601</v>
      </c>
      <c r="AK4020">
        <v>59.995428193814398</v>
      </c>
    </row>
    <row r="4021" spans="1:37" x14ac:dyDescent="0.2">
      <c r="A4021" t="str">
        <f>"20200111155629459"</f>
        <v>20200111155629459</v>
      </c>
      <c r="B4021" t="str">
        <f>"1578729389457068"</f>
        <v>1578729389457068</v>
      </c>
      <c r="C4021" t="s">
        <v>37</v>
      </c>
      <c r="D4021">
        <v>4.7367029999999897</v>
      </c>
      <c r="E4021">
        <v>0.58429759999999997</v>
      </c>
      <c r="F4021" t="s">
        <v>72</v>
      </c>
      <c r="G4021">
        <v>-199.2244</v>
      </c>
      <c r="H4021" s="1">
        <v>-1.437219E-5</v>
      </c>
      <c r="I4021">
        <v>157.2106</v>
      </c>
      <c r="J4021">
        <v>-195.1591</v>
      </c>
      <c r="K4021">
        <v>1.106725</v>
      </c>
      <c r="L4021">
        <v>189.79220000000001</v>
      </c>
      <c r="M4021">
        <v>9.5691410000000005E-2</v>
      </c>
      <c r="N4021">
        <v>0</v>
      </c>
      <c r="O4021">
        <v>-0.99531329999999996</v>
      </c>
      <c r="P4021">
        <v>9.369471E-2</v>
      </c>
      <c r="Q4021">
        <v>9.6701700000000005E-3</v>
      </c>
      <c r="R4021">
        <v>-0.9955543</v>
      </c>
      <c r="S4021">
        <v>-0.376922599999999</v>
      </c>
      <c r="T4021">
        <v>-0.10308730000000001</v>
      </c>
      <c r="U4021">
        <v>-3.0509490000000001</v>
      </c>
      <c r="V4021">
        <v>1.910059E-3</v>
      </c>
      <c r="W4021">
        <v>2.3631579999999999E-2</v>
      </c>
      <c r="X4021">
        <v>0.99971889999999997</v>
      </c>
      <c r="Y4021">
        <v>0.2169587</v>
      </c>
      <c r="Z4021">
        <v>3.3008860000000001E-2</v>
      </c>
      <c r="AA4021">
        <v>0.97562249999999995</v>
      </c>
      <c r="AB4021">
        <v>25</v>
      </c>
      <c r="AC4021">
        <v>-4.0652999999999997</v>
      </c>
      <c r="AD4021">
        <v>-1.1067393721899901</v>
      </c>
      <c r="AE4021">
        <v>-32.581600000000002</v>
      </c>
      <c r="AF4021">
        <v>7.1565925409099904</v>
      </c>
      <c r="AG4021">
        <v>-1.1067393721899901</v>
      </c>
      <c r="AH4021">
        <v>32.006638848647199</v>
      </c>
      <c r="AI4021">
        <v>91.932722044696106</v>
      </c>
      <c r="AJ4021">
        <v>77.396144976212099</v>
      </c>
      <c r="AK4021">
        <v>32.815645951623303</v>
      </c>
    </row>
    <row r="4022" spans="1:37" x14ac:dyDescent="0.2">
      <c r="A4022" t="str">
        <f>"20200111155629473"</f>
        <v>20200111155629473</v>
      </c>
      <c r="B4022" t="str">
        <f>"1578729389466829"</f>
        <v>1578729389466829</v>
      </c>
      <c r="C4022" t="s">
        <v>37</v>
      </c>
      <c r="D4022">
        <v>4.8119160000000001</v>
      </c>
      <c r="E4022">
        <v>0.58409080000000002</v>
      </c>
      <c r="F4022" t="s">
        <v>72</v>
      </c>
      <c r="G4022">
        <v>-199.11009999999999</v>
      </c>
      <c r="H4022" s="1">
        <v>-1.47186999999999E-5</v>
      </c>
      <c r="I4022">
        <v>158.58779999999999</v>
      </c>
      <c r="J4022">
        <v>-195.14109999999999</v>
      </c>
      <c r="K4022">
        <v>1.106687</v>
      </c>
      <c r="L4022">
        <v>189.62469999999999</v>
      </c>
      <c r="M4022">
        <v>9.7367579999999995E-2</v>
      </c>
      <c r="N4022">
        <v>0</v>
      </c>
      <c r="O4022">
        <v>-0.99515069999999906</v>
      </c>
      <c r="P4022">
        <v>9.2294260000000003E-2</v>
      </c>
      <c r="Q4022">
        <v>9.336324E-3</v>
      </c>
      <c r="R4022">
        <v>-0.99568829999999997</v>
      </c>
      <c r="S4022">
        <v>-0.38627620000000001</v>
      </c>
      <c r="T4022">
        <v>-0.10820339999999901</v>
      </c>
      <c r="U4022">
        <v>-3.0507810000000002</v>
      </c>
      <c r="V4022">
        <v>5.0046800000000001E-3</v>
      </c>
      <c r="W4022">
        <v>2.330695E-2</v>
      </c>
      <c r="X4022">
        <v>0.99971580000000004</v>
      </c>
      <c r="Y4022">
        <v>0.22154509999999999</v>
      </c>
      <c r="Z4022">
        <v>3.4613539999999998E-2</v>
      </c>
      <c r="AA4022">
        <v>0.97453559999999995</v>
      </c>
      <c r="AB4022">
        <v>25</v>
      </c>
      <c r="AC4022">
        <v>-3.9689999999999901</v>
      </c>
      <c r="AD4022">
        <v>-1.1067017186999999</v>
      </c>
      <c r="AE4022">
        <v>-31.036899999999999</v>
      </c>
      <c r="AF4022">
        <v>6.9637079078301101</v>
      </c>
      <c r="AG4022">
        <v>-1.1067017186999999</v>
      </c>
      <c r="AH4022">
        <v>30.4647978230451</v>
      </c>
      <c r="AI4022">
        <v>92.028215220019902</v>
      </c>
      <c r="AJ4022">
        <v>77.124416575840598</v>
      </c>
      <c r="AK4022">
        <v>31.2701442740318</v>
      </c>
    </row>
    <row r="4023" spans="1:37" x14ac:dyDescent="0.2">
      <c r="A4023" t="str">
        <f>"20200111155629488"</f>
        <v>20200111155629488</v>
      </c>
      <c r="B4023" t="str">
        <f>"1578729389476589"</f>
        <v>1578729389476589</v>
      </c>
      <c r="C4023" t="s">
        <v>37</v>
      </c>
      <c r="D4023">
        <v>4.8236889999999999</v>
      </c>
      <c r="E4023">
        <v>0.58389239999999998</v>
      </c>
      <c r="F4023" t="s">
        <v>38</v>
      </c>
      <c r="G4023">
        <v>-198.83879999999999</v>
      </c>
      <c r="H4023" s="1">
        <v>-2.834427E-6</v>
      </c>
      <c r="I4023">
        <v>160.61259999999999</v>
      </c>
      <c r="J4023">
        <v>-195.12479999999999</v>
      </c>
      <c r="K4023">
        <v>1.1066579999999999</v>
      </c>
      <c r="L4023">
        <v>189.47479999999999</v>
      </c>
      <c r="M4023">
        <v>9.8839150000000001E-2</v>
      </c>
      <c r="N4023">
        <v>0</v>
      </c>
      <c r="O4023">
        <v>-0.99500580000000005</v>
      </c>
      <c r="P4023">
        <v>8.8210839999999999E-2</v>
      </c>
      <c r="Q4023">
        <v>9.3160329999999996E-3</v>
      </c>
      <c r="R4023">
        <v>-0.99605859999999902</v>
      </c>
      <c r="S4023">
        <v>-0.38874819999999999</v>
      </c>
      <c r="T4023">
        <v>-0.1163496</v>
      </c>
      <c r="U4023">
        <v>-3.050125</v>
      </c>
      <c r="V4023">
        <v>1.058546E-2</v>
      </c>
      <c r="W4023">
        <v>2.3305039999999999E-2</v>
      </c>
      <c r="X4023">
        <v>0.99967240000000002</v>
      </c>
      <c r="Y4023">
        <v>0.2237779</v>
      </c>
      <c r="Z4023">
        <v>3.7203899999999998E-2</v>
      </c>
      <c r="AA4023">
        <v>0.97392979999999996</v>
      </c>
      <c r="AB4023">
        <v>25</v>
      </c>
      <c r="AC4023">
        <v>-3.7139999999999902</v>
      </c>
      <c r="AD4023">
        <v>-1.1066608344269999</v>
      </c>
      <c r="AE4023">
        <v>-28.862200000000001</v>
      </c>
      <c r="AF4023">
        <v>6.5393456324762198</v>
      </c>
      <c r="AG4023">
        <v>-1.1066608344269999</v>
      </c>
      <c r="AH4023">
        <v>28.312775393754901</v>
      </c>
      <c r="AI4023">
        <v>92.1810183504669</v>
      </c>
      <c r="AJ4023">
        <v>76.994569861828793</v>
      </c>
      <c r="AK4023">
        <v>29.079219212362901</v>
      </c>
    </row>
    <row r="4024" spans="1:37" x14ac:dyDescent="0.2">
      <c r="A4024" t="str">
        <f>"20200111155629503"</f>
        <v>20200111155629503</v>
      </c>
      <c r="B4024" t="str">
        <f>"1578729389497084"</f>
        <v>1578729389497084</v>
      </c>
      <c r="C4024" t="s">
        <v>37</v>
      </c>
      <c r="D4024">
        <v>4.9128989999999897</v>
      </c>
      <c r="E4024">
        <v>0.58379989999999904</v>
      </c>
      <c r="F4024" t="s">
        <v>38</v>
      </c>
      <c r="G4024">
        <v>-198.7878</v>
      </c>
      <c r="H4024" s="1">
        <v>-3.1887570000000002E-6</v>
      </c>
      <c r="I4024">
        <v>161.53059999999999</v>
      </c>
      <c r="J4024">
        <v>-195.10550000000001</v>
      </c>
      <c r="K4024">
        <v>1.1066180000000001</v>
      </c>
      <c r="L4024">
        <v>189.2989</v>
      </c>
      <c r="M4024">
        <v>0.1005336</v>
      </c>
      <c r="N4024">
        <v>0</v>
      </c>
      <c r="O4024">
        <v>-0.99483600000000005</v>
      </c>
      <c r="P4024">
        <v>8.7373229999999996E-2</v>
      </c>
      <c r="Q4024">
        <v>9.2523499999999995E-3</v>
      </c>
      <c r="R4024">
        <v>-0.99613289999999999</v>
      </c>
      <c r="S4024">
        <v>-0.39958189999999999</v>
      </c>
      <c r="T4024">
        <v>-0.12072329999999901</v>
      </c>
      <c r="U4024">
        <v>-3.0483699999999998</v>
      </c>
      <c r="V4024">
        <v>1.3131759999999999E-2</v>
      </c>
      <c r="W4024">
        <v>2.3245930000000001E-2</v>
      </c>
      <c r="X4024">
        <v>0.99964349999999902</v>
      </c>
      <c r="Y4024">
        <v>0.22890239999999901</v>
      </c>
      <c r="Z4024">
        <v>3.8580009999999998E-2</v>
      </c>
      <c r="AA4024">
        <v>0.97268460000000001</v>
      </c>
      <c r="AB4024">
        <v>25</v>
      </c>
      <c r="AC4024">
        <v>-3.6822999999999899</v>
      </c>
      <c r="AD4024">
        <v>-1.1066211887570001</v>
      </c>
      <c r="AE4024">
        <v>-27.7683</v>
      </c>
      <c r="AF4024">
        <v>6.4454993411578601</v>
      </c>
      <c r="AG4024">
        <v>-1.1066211887570001</v>
      </c>
      <c r="AH4024">
        <v>27.2148830141678</v>
      </c>
      <c r="AI4024">
        <v>92.265884630755906</v>
      </c>
      <c r="AJ4024">
        <v>76.675729579065603</v>
      </c>
      <c r="AK4024">
        <v>27.9896218210806</v>
      </c>
    </row>
    <row r="4025" spans="1:37" x14ac:dyDescent="0.2">
      <c r="A4025" t="str">
        <f>"20200111155629521"</f>
        <v>20200111155629521</v>
      </c>
      <c r="B4025" t="str">
        <f>"1578729389516604"</f>
        <v>1578729389516604</v>
      </c>
      <c r="C4025" t="s">
        <v>37</v>
      </c>
      <c r="D4025">
        <v>4.9369269999999998</v>
      </c>
      <c r="E4025">
        <v>0.58331499999999903</v>
      </c>
      <c r="F4025" t="s">
        <v>72</v>
      </c>
      <c r="G4025">
        <v>-199.3656</v>
      </c>
      <c r="H4025" s="1">
        <v>-1.430917E-5</v>
      </c>
      <c r="I4025">
        <v>156.96010000000001</v>
      </c>
      <c r="J4025">
        <v>-195.08369999999999</v>
      </c>
      <c r="K4025">
        <v>1.1065689999999999</v>
      </c>
      <c r="L4025">
        <v>189.10400000000001</v>
      </c>
      <c r="M4025">
        <v>0.1023646</v>
      </c>
      <c r="N4025">
        <v>0</v>
      </c>
      <c r="O4025">
        <v>-0.99464959999999902</v>
      </c>
      <c r="P4025">
        <v>8.4850969999999998E-2</v>
      </c>
      <c r="Q4025">
        <v>8.3563839999999997E-3</v>
      </c>
      <c r="R4025">
        <v>-0.99635910000000005</v>
      </c>
      <c r="S4025">
        <v>-0.40150449999999999</v>
      </c>
      <c r="T4025">
        <v>-0.1042964</v>
      </c>
      <c r="U4025">
        <v>-3.0478209999999999</v>
      </c>
      <c r="V4025">
        <v>1.7510319999999999E-2</v>
      </c>
      <c r="W4025">
        <v>2.235972E-2</v>
      </c>
      <c r="X4025">
        <v>0.99959669999999901</v>
      </c>
      <c r="Y4025">
        <v>0.231344299999999</v>
      </c>
      <c r="Z4025">
        <v>3.3322169999999998E-2</v>
      </c>
      <c r="AA4025">
        <v>0.97230110000000003</v>
      </c>
      <c r="AB4025">
        <v>25</v>
      </c>
      <c r="AC4025">
        <v>-4.2819000000000003</v>
      </c>
      <c r="AD4025">
        <v>-1.1065833091699999</v>
      </c>
      <c r="AE4025">
        <v>-32.143900000000002</v>
      </c>
      <c r="AF4025">
        <v>7.54133697091161</v>
      </c>
      <c r="AG4025">
        <v>-1.1065833091699999</v>
      </c>
      <c r="AH4025">
        <v>31.499975070621101</v>
      </c>
      <c r="AI4025">
        <v>91.956704489710603</v>
      </c>
      <c r="AJ4025">
        <v>76.536358380077303</v>
      </c>
      <c r="AK4025">
        <v>32.4090221910308</v>
      </c>
    </row>
    <row r="4026" spans="1:37" x14ac:dyDescent="0.2">
      <c r="A4026" t="str">
        <f>"20200111155629534"</f>
        <v>20200111155629534</v>
      </c>
      <c r="B4026" t="str">
        <f>"1578729389526365"</f>
        <v>1578729389526365</v>
      </c>
      <c r="C4026" t="s">
        <v>37</v>
      </c>
      <c r="D4026">
        <v>4.9154460000000002</v>
      </c>
      <c r="E4026">
        <v>0.58322169999999995</v>
      </c>
      <c r="F4026" t="s">
        <v>38</v>
      </c>
      <c r="G4026">
        <v>-198.96299999999999</v>
      </c>
      <c r="H4026" s="1">
        <v>-2.5449929999999998E-6</v>
      </c>
      <c r="I4026">
        <v>159.93049999999999</v>
      </c>
      <c r="J4026">
        <v>-195.06659999999999</v>
      </c>
      <c r="K4026">
        <v>1.1065309999999999</v>
      </c>
      <c r="L4026">
        <v>188.95320000000001</v>
      </c>
      <c r="M4026">
        <v>0.10374700000000001</v>
      </c>
      <c r="N4026">
        <v>0</v>
      </c>
      <c r="O4026">
        <v>-0.99450620000000001</v>
      </c>
      <c r="P4026">
        <v>8.4771070000000004E-2</v>
      </c>
      <c r="Q4026">
        <v>7.9394269999999902E-3</v>
      </c>
      <c r="R4026">
        <v>-0.99636909999999901</v>
      </c>
      <c r="S4026">
        <v>-0.40509029999999902</v>
      </c>
      <c r="T4026">
        <v>-0.115553</v>
      </c>
      <c r="U4026">
        <v>-3.0464319999999998</v>
      </c>
      <c r="V4026">
        <v>1.8983949999999999E-2</v>
      </c>
      <c r="W4026">
        <v>2.1943069999999999E-2</v>
      </c>
      <c r="X4026">
        <v>0.999579</v>
      </c>
      <c r="Y4026">
        <v>0.23386089999999901</v>
      </c>
      <c r="Z4026">
        <v>3.6908030000000001E-2</v>
      </c>
      <c r="AA4026">
        <v>0.97156929999999997</v>
      </c>
      <c r="AB4026">
        <v>25</v>
      </c>
      <c r="AC4026">
        <v>-3.8963999999999999</v>
      </c>
      <c r="AD4026">
        <v>-1.1065335449929901</v>
      </c>
      <c r="AE4026">
        <v>-29.0227</v>
      </c>
      <c r="AF4026">
        <v>6.8768605618722001</v>
      </c>
      <c r="AG4026">
        <v>-1.1065335449929901</v>
      </c>
      <c r="AH4026">
        <v>28.421193485279499</v>
      </c>
      <c r="AI4026">
        <v>92.167119729780694</v>
      </c>
      <c r="AJ4026">
        <v>76.397999873586102</v>
      </c>
      <c r="AK4026">
        <v>29.2622601109573</v>
      </c>
    </row>
    <row r="4027" spans="1:37" x14ac:dyDescent="0.2">
      <c r="A4027" t="str">
        <f>"20200111155629548"</f>
        <v>20200111155629548</v>
      </c>
      <c r="B4027" t="str">
        <f>"1578729389536633"</f>
        <v>1578729389536633</v>
      </c>
      <c r="C4027" t="s">
        <v>37</v>
      </c>
      <c r="D4027">
        <v>4.8900990000000002</v>
      </c>
      <c r="E4027">
        <v>0.58313760000000003</v>
      </c>
      <c r="F4027" t="s">
        <v>38</v>
      </c>
      <c r="G4027">
        <v>-198.82560000000001</v>
      </c>
      <c r="H4027" s="1">
        <v>-2.8465019999999998E-6</v>
      </c>
      <c r="I4027">
        <v>160.6456</v>
      </c>
      <c r="J4027">
        <v>-195.04990000000001</v>
      </c>
      <c r="K4027">
        <v>1.1065</v>
      </c>
      <c r="L4027">
        <v>188.80719999999999</v>
      </c>
      <c r="M4027">
        <v>0.10505779999999899</v>
      </c>
      <c r="N4027">
        <v>0</v>
      </c>
      <c r="O4027">
        <v>-0.99436859999999905</v>
      </c>
      <c r="P4027">
        <v>8.4998729999999995E-2</v>
      </c>
      <c r="Q4027">
        <v>7.8807430000000008E-3</v>
      </c>
      <c r="R4027">
        <v>-0.99634999999999996</v>
      </c>
      <c r="S4027">
        <v>-0.40452579999999999</v>
      </c>
      <c r="T4027">
        <v>-0.11907860000000001</v>
      </c>
      <c r="U4027">
        <v>-3.0462950000000002</v>
      </c>
      <c r="V4027">
        <v>2.0075280000000001E-2</v>
      </c>
      <c r="W4027">
        <v>2.1883469999999999E-2</v>
      </c>
      <c r="X4027">
        <v>0.99955890000000003</v>
      </c>
      <c r="Y4027">
        <v>0.23496539999999999</v>
      </c>
      <c r="Z4027">
        <v>3.8021369999999999E-2</v>
      </c>
      <c r="AA4027">
        <v>0.97125980000000001</v>
      </c>
      <c r="AB4027">
        <v>25</v>
      </c>
      <c r="AC4027">
        <v>-3.7757000000000001</v>
      </c>
      <c r="AD4027">
        <v>-1.1065028465019999</v>
      </c>
      <c r="AE4027">
        <v>-28.1616</v>
      </c>
      <c r="AF4027">
        <v>6.7035182055391598</v>
      </c>
      <c r="AG4027">
        <v>-1.1065028465019999</v>
      </c>
      <c r="AH4027">
        <v>27.5672147793005</v>
      </c>
      <c r="AI4027">
        <v>92.233506638247604</v>
      </c>
      <c r="AJ4027">
        <v>76.332657807916604</v>
      </c>
      <c r="AK4027">
        <v>28.392126295319901</v>
      </c>
    </row>
    <row r="4028" spans="1:37" x14ac:dyDescent="0.2">
      <c r="A4028" t="str">
        <f>"20200111155629565"</f>
        <v>20200111155629565</v>
      </c>
      <c r="B4028" t="str">
        <f>"1578729389557129"</f>
        <v>1578729389557129</v>
      </c>
      <c r="C4028" t="s">
        <v>37</v>
      </c>
      <c r="D4028">
        <v>5.0078509999999996</v>
      </c>
      <c r="E4028">
        <v>0.58239869999999905</v>
      </c>
      <c r="F4028" t="s">
        <v>38</v>
      </c>
      <c r="G4028">
        <v>-198.7226</v>
      </c>
      <c r="H4028" s="1">
        <v>-2.99291E-6</v>
      </c>
      <c r="I4028">
        <v>161.05070000000001</v>
      </c>
      <c r="J4028">
        <v>-195.02709999999999</v>
      </c>
      <c r="K4028">
        <v>1.106447</v>
      </c>
      <c r="L4028">
        <v>188.6105</v>
      </c>
      <c r="M4028">
        <v>0.1067915</v>
      </c>
      <c r="N4028">
        <v>0</v>
      </c>
      <c r="O4028">
        <v>-0.99418399999999996</v>
      </c>
      <c r="P4028">
        <v>8.349724E-2</v>
      </c>
      <c r="Q4028">
        <v>8.9566999999999997E-3</v>
      </c>
      <c r="R4028">
        <v>-0.99646800000000002</v>
      </c>
      <c r="S4028">
        <v>-0.40309139999999999</v>
      </c>
      <c r="T4028">
        <v>-0.1214404</v>
      </c>
      <c r="U4028">
        <v>-3.0463259999999899</v>
      </c>
      <c r="V4028">
        <v>2.33224E-2</v>
      </c>
      <c r="W4028">
        <v>2.296372E-2</v>
      </c>
      <c r="X4028">
        <v>0.99946420000000002</v>
      </c>
      <c r="Y4028">
        <v>0.23620549999999901</v>
      </c>
      <c r="Z4028">
        <v>3.8758130000000002E-2</v>
      </c>
      <c r="AA4028">
        <v>0.97092990000000001</v>
      </c>
      <c r="AB4028">
        <v>25</v>
      </c>
      <c r="AC4028">
        <v>-3.6955</v>
      </c>
      <c r="AD4028">
        <v>-1.10644999291</v>
      </c>
      <c r="AE4028">
        <v>-27.559799999999999</v>
      </c>
      <c r="AF4028">
        <v>6.6073388686199204</v>
      </c>
      <c r="AG4028">
        <v>-1.10644999291</v>
      </c>
      <c r="AH4028">
        <v>26.9647864637674</v>
      </c>
      <c r="AI4028">
        <v>92.282264669956803</v>
      </c>
      <c r="AJ4028">
        <v>76.231762597235104</v>
      </c>
      <c r="AK4028">
        <v>27.7845436807618</v>
      </c>
    </row>
    <row r="4029" spans="1:37" x14ac:dyDescent="0.2">
      <c r="A4029" t="str">
        <f>"20200111155629581"</f>
        <v>20200111155629581</v>
      </c>
      <c r="B4029" t="str">
        <f>"1578729389576649"</f>
        <v>1578729389576649</v>
      </c>
      <c r="C4029" t="s">
        <v>37</v>
      </c>
      <c r="D4029">
        <v>5.0536120000000002</v>
      </c>
      <c r="E4029">
        <v>0.58124709999999902</v>
      </c>
      <c r="F4029" t="s">
        <v>38</v>
      </c>
      <c r="G4029">
        <v>-198.5795</v>
      </c>
      <c r="H4029" s="1">
        <v>-3.2056779999999999E-6</v>
      </c>
      <c r="I4029">
        <v>161.67089999999999</v>
      </c>
      <c r="J4029">
        <v>-195.0078</v>
      </c>
      <c r="K4029">
        <v>1.106411</v>
      </c>
      <c r="L4029">
        <v>188.44569999999999</v>
      </c>
      <c r="M4029">
        <v>0.1082138</v>
      </c>
      <c r="N4029">
        <v>0</v>
      </c>
      <c r="O4029">
        <v>-0.99403009999999903</v>
      </c>
      <c r="P4029">
        <v>8.3227620000000002E-2</v>
      </c>
      <c r="Q4029">
        <v>9.0682660000000002E-3</v>
      </c>
      <c r="R4029">
        <v>-0.99648959999999998</v>
      </c>
      <c r="S4029">
        <v>-0.40158080000000002</v>
      </c>
      <c r="T4029">
        <v>-0.125079</v>
      </c>
      <c r="U4029">
        <v>-3.0453950000000001</v>
      </c>
      <c r="V4029">
        <v>2.5024569999999999E-2</v>
      </c>
      <c r="W4029">
        <v>2.3074790000000001E-2</v>
      </c>
      <c r="X4029">
        <v>0.99942050000000004</v>
      </c>
      <c r="Y4029">
        <v>0.2371547</v>
      </c>
      <c r="Z4029">
        <v>3.9916649999999998E-2</v>
      </c>
      <c r="AA4029">
        <v>0.970651499999999</v>
      </c>
      <c r="AB4029">
        <v>25</v>
      </c>
      <c r="AC4029">
        <v>-3.5716999999999901</v>
      </c>
      <c r="AD4029">
        <v>-1.106414205678</v>
      </c>
      <c r="AE4029">
        <v>-26.774799999999999</v>
      </c>
      <c r="AF4029">
        <v>6.43760489376157</v>
      </c>
      <c r="AG4029">
        <v>-1.106414205678</v>
      </c>
      <c r="AH4029">
        <v>26.187058674455699</v>
      </c>
      <c r="AI4029">
        <v>92.349462366093505</v>
      </c>
      <c r="AJ4029">
        <v>76.188762243690704</v>
      </c>
      <c r="AK4029">
        <v>26.9894229501502</v>
      </c>
    </row>
    <row r="4030" spans="1:37" x14ac:dyDescent="0.2">
      <c r="A4030" t="str">
        <f>"20200111155629594"</f>
        <v>20200111155629594</v>
      </c>
      <c r="B4030" t="str">
        <f>"1578729389586410"</f>
        <v>1578729389586410</v>
      </c>
      <c r="C4030" t="s">
        <v>37</v>
      </c>
      <c r="D4030">
        <v>5.8678089999999896</v>
      </c>
      <c r="E4030">
        <v>0.58124709999999902</v>
      </c>
      <c r="F4030" t="s">
        <v>38</v>
      </c>
      <c r="G4030">
        <v>-198.2775</v>
      </c>
      <c r="H4030" s="1">
        <v>-3.7037089999999998E-6</v>
      </c>
      <c r="I4030">
        <v>163.10720000000001</v>
      </c>
      <c r="J4030">
        <v>-194.98949999999999</v>
      </c>
      <c r="K4030">
        <v>1.106376</v>
      </c>
      <c r="L4030">
        <v>188.2919</v>
      </c>
      <c r="M4030">
        <v>0.1095115</v>
      </c>
      <c r="N4030">
        <v>0</v>
      </c>
      <c r="O4030">
        <v>-0.99388829999999995</v>
      </c>
      <c r="P4030">
        <v>8.3279039999999999E-2</v>
      </c>
      <c r="Q4030">
        <v>8.3955330000000002E-3</v>
      </c>
      <c r="R4030">
        <v>-0.99649120000000002</v>
      </c>
      <c r="S4030">
        <v>-0.39288329999999999</v>
      </c>
      <c r="T4030">
        <v>-0.13294329999999999</v>
      </c>
      <c r="U4030">
        <v>-3.0445859999999998</v>
      </c>
      <c r="V4030">
        <v>2.628277E-2</v>
      </c>
      <c r="W4030">
        <v>2.2400710000000001E-2</v>
      </c>
      <c r="X4030">
        <v>0.9994035</v>
      </c>
      <c r="Y4030">
        <v>0.23571619999999999</v>
      </c>
      <c r="Z4030">
        <v>4.2439079999999997E-2</v>
      </c>
      <c r="AA4030">
        <v>0.97089490000000001</v>
      </c>
      <c r="AB4030">
        <v>25</v>
      </c>
      <c r="AC4030">
        <v>-3.28800000000001</v>
      </c>
      <c r="AD4030">
        <v>-1.106379703709</v>
      </c>
      <c r="AE4030">
        <v>-25.1846999999999</v>
      </c>
      <c r="AF4030">
        <v>6.0150874590526699</v>
      </c>
      <c r="AG4030">
        <v>-1.106379703709</v>
      </c>
      <c r="AH4030">
        <v>24.626359445223699</v>
      </c>
      <c r="AI4030">
        <v>92.499009034740197</v>
      </c>
      <c r="AJ4030">
        <v>76.274027119442493</v>
      </c>
      <c r="AK4030">
        <v>25.374454333328799</v>
      </c>
    </row>
    <row r="4031" spans="1:37" x14ac:dyDescent="0.2">
      <c r="A4031" t="str">
        <f>"20200111155629610"</f>
        <v>20200111155629610</v>
      </c>
      <c r="B4031" t="str">
        <f>"1578729389606905"</f>
        <v>1578729389606905</v>
      </c>
      <c r="C4031" t="s">
        <v>37</v>
      </c>
      <c r="D4031">
        <v>5.0040610000000001</v>
      </c>
      <c r="E4031">
        <v>0.58249629999999997</v>
      </c>
      <c r="F4031" t="s">
        <v>38</v>
      </c>
      <c r="G4031">
        <v>-198.19</v>
      </c>
      <c r="H4031" s="1">
        <v>-3.8248070000000002E-6</v>
      </c>
      <c r="I4031">
        <v>163.46299999999999</v>
      </c>
      <c r="J4031">
        <v>-194.96870000000001</v>
      </c>
      <c r="K4031">
        <v>1.106328</v>
      </c>
      <c r="L4031">
        <v>188.11799999999999</v>
      </c>
      <c r="M4031">
        <v>0.11094849999999901</v>
      </c>
      <c r="N4031">
        <v>0</v>
      </c>
      <c r="O4031">
        <v>-0.99372879999999997</v>
      </c>
      <c r="P4031">
        <v>8.1824530000000006E-2</v>
      </c>
      <c r="Q4031">
        <v>6.2652849999999998E-3</v>
      </c>
      <c r="R4031">
        <v>-0.99662700000000004</v>
      </c>
      <c r="S4031">
        <v>-0.39244079999999998</v>
      </c>
      <c r="T4031">
        <v>-0.1356657</v>
      </c>
      <c r="U4031">
        <v>-3.04454</v>
      </c>
      <c r="V4031">
        <v>2.9197810000000001E-2</v>
      </c>
      <c r="W4031">
        <v>2.0274029999999998E-2</v>
      </c>
      <c r="X4031">
        <v>0.99936800000000003</v>
      </c>
      <c r="Y4031">
        <v>0.23697939999999901</v>
      </c>
      <c r="Z4031">
        <v>4.3290040000000002E-2</v>
      </c>
      <c r="AA4031">
        <v>0.97054969999999996</v>
      </c>
      <c r="AB4031">
        <v>25</v>
      </c>
      <c r="AC4031">
        <v>-3.2212999999999798</v>
      </c>
      <c r="AD4031">
        <v>-1.106331824807</v>
      </c>
      <c r="AE4031">
        <v>-24.655000000000001</v>
      </c>
      <c r="AF4031">
        <v>5.9253775541620399</v>
      </c>
      <c r="AG4031">
        <v>-1.106331824807</v>
      </c>
      <c r="AH4031">
        <v>24.0976141895508</v>
      </c>
      <c r="AI4031">
        <v>92.552694884525806</v>
      </c>
      <c r="AJ4031">
        <v>76.185569437841707</v>
      </c>
      <c r="AK4031">
        <v>24.8400700259558</v>
      </c>
    </row>
    <row r="4032" spans="1:37" x14ac:dyDescent="0.2">
      <c r="A4032" t="str">
        <f>"20200111155629624"</f>
        <v>20200111155629624</v>
      </c>
      <c r="B4032" t="str">
        <f>"1578729389616666"</f>
        <v>1578729389616666</v>
      </c>
      <c r="C4032" t="s">
        <v>37</v>
      </c>
      <c r="D4032">
        <v>5.0727349999999998</v>
      </c>
      <c r="E4032">
        <v>0.58152190000000004</v>
      </c>
      <c r="F4032" t="s">
        <v>52</v>
      </c>
      <c r="G4032">
        <v>-211.35990000000001</v>
      </c>
      <c r="H4032">
        <v>3.7893309999999998</v>
      </c>
      <c r="I4032">
        <v>66.868390000000005</v>
      </c>
      <c r="J4032">
        <v>-194.94980000000001</v>
      </c>
      <c r="K4032">
        <v>1.1062969999999901</v>
      </c>
      <c r="L4032">
        <v>187.9616</v>
      </c>
      <c r="M4032">
        <v>0.112215</v>
      </c>
      <c r="N4032">
        <v>0</v>
      </c>
      <c r="O4032">
        <v>-0.99358670000000004</v>
      </c>
      <c r="P4032">
        <v>8.2246340000000001E-2</v>
      </c>
      <c r="Q4032">
        <v>5.3890789999999997E-3</v>
      </c>
      <c r="R4032">
        <v>-0.99659750000000003</v>
      </c>
      <c r="S4032">
        <v>-0.41143800000000003</v>
      </c>
      <c r="T4032">
        <v>6.7346809999999993E-2</v>
      </c>
      <c r="U4032">
        <v>-3.0435029999999998</v>
      </c>
      <c r="V4032">
        <v>3.005379E-2</v>
      </c>
      <c r="W4032">
        <v>1.9394439999999999E-2</v>
      </c>
      <c r="X4032">
        <v>0.99936009999999997</v>
      </c>
      <c r="Y4032">
        <v>0.24430349999999901</v>
      </c>
      <c r="Z4032">
        <v>-2.1479660000000001E-2</v>
      </c>
      <c r="AA4032">
        <v>0.96946089999999996</v>
      </c>
      <c r="AB4032">
        <v>25</v>
      </c>
      <c r="AC4032">
        <v>-16.4101</v>
      </c>
      <c r="AD4032">
        <v>2.6830340000000001</v>
      </c>
      <c r="AE4032">
        <v>-121.09321</v>
      </c>
      <c r="AF4032">
        <v>29.881815622326801</v>
      </c>
      <c r="AG4032">
        <v>2.6830340000000001</v>
      </c>
      <c r="AH4032">
        <v>118.429502432562</v>
      </c>
      <c r="AI4032">
        <v>88.741605454189596</v>
      </c>
      <c r="AJ4032">
        <v>75.838861892754693</v>
      </c>
      <c r="AK4032">
        <v>122.17065368883</v>
      </c>
    </row>
    <row r="4033" spans="1:37" x14ac:dyDescent="0.2">
      <c r="A4033" t="str">
        <f>"20200111155629637"</f>
        <v>20200111155629637</v>
      </c>
      <c r="B4033" t="str">
        <f>"1578729389626425"</f>
        <v>1578729389626425</v>
      </c>
      <c r="C4033" t="s">
        <v>37</v>
      </c>
      <c r="D4033">
        <v>5.0250529999999998</v>
      </c>
      <c r="E4033">
        <v>0.57992749999999904</v>
      </c>
      <c r="F4033" t="s">
        <v>52</v>
      </c>
      <c r="G4033">
        <v>-212.2261</v>
      </c>
      <c r="H4033">
        <v>2.6465830000000001</v>
      </c>
      <c r="I4033">
        <v>57.08484</v>
      </c>
      <c r="J4033">
        <v>-194.9323</v>
      </c>
      <c r="K4033">
        <v>1.106268</v>
      </c>
      <c r="L4033">
        <v>187.81739999999999</v>
      </c>
      <c r="M4033">
        <v>0.11336209999999999</v>
      </c>
      <c r="N4033">
        <v>0</v>
      </c>
      <c r="O4033">
        <v>-0.99345649999999996</v>
      </c>
      <c r="P4033">
        <v>8.2707909999999996E-2</v>
      </c>
      <c r="Q4033">
        <v>5.4644990000000003E-3</v>
      </c>
      <c r="R4033">
        <v>-0.99655930000000004</v>
      </c>
      <c r="S4033">
        <v>-0.40171809999999902</v>
      </c>
      <c r="T4033">
        <v>3.5816069999999998E-2</v>
      </c>
      <c r="U4033">
        <v>-3.043228</v>
      </c>
      <c r="V4033">
        <v>3.07459E-2</v>
      </c>
      <c r="W4033">
        <v>1.946643E-2</v>
      </c>
      <c r="X4033">
        <v>0.9993377</v>
      </c>
      <c r="Y4033">
        <v>0.2424142</v>
      </c>
      <c r="Z4033">
        <v>-1.1429119999999999E-2</v>
      </c>
      <c r="AA4033">
        <v>0.97010549999999995</v>
      </c>
      <c r="AB4033">
        <v>25</v>
      </c>
      <c r="AC4033">
        <v>-17.293800000000001</v>
      </c>
      <c r="AD4033">
        <v>1.5403150000000001</v>
      </c>
      <c r="AE4033">
        <v>-130.73255999999901</v>
      </c>
      <c r="AF4033">
        <v>31.999481784440999</v>
      </c>
      <c r="AG4033">
        <v>1.5403150000000001</v>
      </c>
      <c r="AH4033">
        <v>127.91155834572599</v>
      </c>
      <c r="AI4033">
        <v>89.330699871972698</v>
      </c>
      <c r="AJ4033">
        <v>75.954653973025003</v>
      </c>
      <c r="AK4033">
        <v>131.86245168054501</v>
      </c>
    </row>
    <row r="4034" spans="1:37" x14ac:dyDescent="0.2">
      <c r="A4034" t="str">
        <f>"20200111155629655"</f>
        <v>20200111155629655</v>
      </c>
      <c r="B4034" t="str">
        <f>"1578729389646454"</f>
        <v>1578729389646454</v>
      </c>
      <c r="C4034" t="s">
        <v>37</v>
      </c>
      <c r="D4034">
        <v>5.0401680000000004</v>
      </c>
      <c r="E4034">
        <v>0.57862729999999996</v>
      </c>
      <c r="F4034" t="s">
        <v>52</v>
      </c>
      <c r="G4034">
        <v>-212.22550000000001</v>
      </c>
      <c r="H4034">
        <v>0.91095339999999903</v>
      </c>
      <c r="I4034">
        <v>51.748959999999997</v>
      </c>
      <c r="J4034">
        <v>-194.9093</v>
      </c>
      <c r="K4034">
        <v>1.106231</v>
      </c>
      <c r="L4034">
        <v>187.63079999999999</v>
      </c>
      <c r="M4034">
        <v>0.1147996</v>
      </c>
      <c r="N4034">
        <v>0</v>
      </c>
      <c r="O4034">
        <v>-0.99329159999999905</v>
      </c>
      <c r="P4034">
        <v>8.3094470000000004E-2</v>
      </c>
      <c r="Q4034">
        <v>8.2915669999999997E-3</v>
      </c>
      <c r="R4034">
        <v>-0.99650729999999998</v>
      </c>
      <c r="S4034">
        <v>-0.38667299999999999</v>
      </c>
      <c r="T4034">
        <v>-4.3668750000000001E-3</v>
      </c>
      <c r="U4034">
        <v>-3.042465</v>
      </c>
      <c r="V4034">
        <v>3.1795480000000001E-2</v>
      </c>
      <c r="W4034">
        <v>2.2288680000000002E-2</v>
      </c>
      <c r="X4034">
        <v>0.99924579999999996</v>
      </c>
      <c r="Y4034">
        <v>0.2391385</v>
      </c>
      <c r="Z4034">
        <v>1.394604E-3</v>
      </c>
      <c r="AA4034">
        <v>0.97098449999999903</v>
      </c>
      <c r="AB4034">
        <v>25</v>
      </c>
      <c r="AC4034">
        <v>-17.316199999999998</v>
      </c>
      <c r="AD4034">
        <v>-0.1952776</v>
      </c>
      <c r="AE4034">
        <v>-135.88183999999899</v>
      </c>
      <c r="AF4034">
        <v>32.802313328383399</v>
      </c>
      <c r="AG4034">
        <v>-0.1952776</v>
      </c>
      <c r="AH4034">
        <v>132.99495177668399</v>
      </c>
      <c r="AI4034">
        <v>90.081680073040005</v>
      </c>
      <c r="AJ4034">
        <v>76.144910716656696</v>
      </c>
      <c r="AK4034">
        <v>136.980608449214</v>
      </c>
    </row>
    <row r="4035" spans="1:37" x14ac:dyDescent="0.2">
      <c r="A4035" t="str">
        <f>"20200111155629669"</f>
        <v>20200111155629669</v>
      </c>
      <c r="B4035" t="str">
        <f>"1578729389666951"</f>
        <v>1578729389666951</v>
      </c>
      <c r="C4035" t="s">
        <v>37</v>
      </c>
      <c r="D4035">
        <v>5.0155469999999998</v>
      </c>
      <c r="E4035">
        <v>0.57787599999999995</v>
      </c>
      <c r="F4035" t="s">
        <v>38</v>
      </c>
      <c r="G4035">
        <v>-203.39869999999999</v>
      </c>
      <c r="H4035">
        <v>7.9985780000000006E-2</v>
      </c>
      <c r="I4035">
        <v>118.6426</v>
      </c>
      <c r="J4035">
        <v>-194.88910000000001</v>
      </c>
      <c r="K4035">
        <v>1.1061969999999901</v>
      </c>
      <c r="L4035">
        <v>187.46860000000001</v>
      </c>
      <c r="M4035">
        <v>0.11600829999999999</v>
      </c>
      <c r="N4035">
        <v>0</v>
      </c>
      <c r="O4035">
        <v>-0.99315089999999995</v>
      </c>
      <c r="P4035">
        <v>8.3728789999999997E-2</v>
      </c>
      <c r="Q4035">
        <v>9.6581269999999903E-3</v>
      </c>
      <c r="R4035">
        <v>-0.99644159999999904</v>
      </c>
      <c r="S4035">
        <v>-0.37434390000000001</v>
      </c>
      <c r="T4035">
        <v>-4.5252800000000003E-2</v>
      </c>
      <c r="U4035">
        <v>-3.042068</v>
      </c>
      <c r="V4035">
        <v>3.2372150000000002E-2</v>
      </c>
      <c r="W4035">
        <v>2.3649699999999999E-2</v>
      </c>
      <c r="X4035">
        <v>0.99919609999999903</v>
      </c>
      <c r="Y4035">
        <v>0.23644760000000001</v>
      </c>
      <c r="Z4035">
        <v>1.4457599999999999E-2</v>
      </c>
      <c r="AA4035">
        <v>0.97153670000000003</v>
      </c>
      <c r="AB4035">
        <v>25</v>
      </c>
      <c r="AC4035">
        <v>-8.5095999999999705</v>
      </c>
      <c r="AD4035">
        <v>-1.02621122</v>
      </c>
      <c r="AE4035">
        <v>-68.825999999999993</v>
      </c>
      <c r="AF4035">
        <v>16.4336949769935</v>
      </c>
      <c r="AG4035">
        <v>-1.02621122</v>
      </c>
      <c r="AH4035">
        <v>67.359184304855702</v>
      </c>
      <c r="AI4035">
        <v>90.847961027740993</v>
      </c>
      <c r="AJ4035">
        <v>76.289325405182794</v>
      </c>
      <c r="AK4035">
        <v>69.342477243608997</v>
      </c>
    </row>
    <row r="4036" spans="1:37" x14ac:dyDescent="0.2">
      <c r="A4036" t="str">
        <f>"20200111155629683"</f>
        <v>20200111155629683</v>
      </c>
      <c r="B4036" t="str">
        <f>"1578729389676711"</f>
        <v>1578729389676711</v>
      </c>
      <c r="C4036" t="s">
        <v>37</v>
      </c>
      <c r="D4036">
        <v>5.0015019999999897</v>
      </c>
      <c r="E4036">
        <v>0.57784930000000001</v>
      </c>
      <c r="F4036" t="s">
        <v>72</v>
      </c>
      <c r="G4036">
        <v>-200.69149999999999</v>
      </c>
      <c r="H4036" s="1">
        <v>-9.0853049999999996E-6</v>
      </c>
      <c r="I4036">
        <v>139.2098</v>
      </c>
      <c r="J4036">
        <v>-194.87010000000001</v>
      </c>
      <c r="K4036">
        <v>1.106163</v>
      </c>
      <c r="L4036">
        <v>187.31630000000001</v>
      </c>
      <c r="M4036">
        <v>0.1171108</v>
      </c>
      <c r="N4036">
        <v>0</v>
      </c>
      <c r="O4036">
        <v>-0.99302139999999905</v>
      </c>
      <c r="P4036">
        <v>8.457278E-2</v>
      </c>
      <c r="Q4036">
        <v>1.048459E-2</v>
      </c>
      <c r="R4036">
        <v>-0.99636209999999903</v>
      </c>
      <c r="S4036">
        <v>-0.36576839999999999</v>
      </c>
      <c r="T4036">
        <v>-6.9732790000000003E-2</v>
      </c>
      <c r="U4036">
        <v>-3.0421299999999998</v>
      </c>
      <c r="V4036">
        <v>3.2634129999999997E-2</v>
      </c>
      <c r="W4036">
        <v>2.4470099999999901E-2</v>
      </c>
      <c r="X4036">
        <v>0.99916769999999999</v>
      </c>
      <c r="Y4036">
        <v>0.2348074</v>
      </c>
      <c r="Z4036">
        <v>2.227867E-2</v>
      </c>
      <c r="AA4036">
        <v>0.97178659999999994</v>
      </c>
      <c r="AB4036">
        <v>25</v>
      </c>
      <c r="AC4036">
        <v>-5.8213999999999801</v>
      </c>
      <c r="AD4036">
        <v>-1.1061720853050001</v>
      </c>
      <c r="AE4036">
        <v>-48.106499999999997</v>
      </c>
      <c r="AF4036">
        <v>11.4097246858363</v>
      </c>
      <c r="AG4036">
        <v>-1.1061720853050001</v>
      </c>
      <c r="AH4036">
        <v>47.0690652234032</v>
      </c>
      <c r="AI4036">
        <v>91.308385023060495</v>
      </c>
      <c r="AJ4036">
        <v>76.374106322139497</v>
      </c>
      <c r="AK4036">
        <v>48.4448380644819</v>
      </c>
    </row>
    <row r="4037" spans="1:37" x14ac:dyDescent="0.2">
      <c r="A4037" t="str">
        <f>"20200111155629696"</f>
        <v>20200111155629696</v>
      </c>
      <c r="B4037" t="str">
        <f>"1578729389686471"</f>
        <v>1578729389686471</v>
      </c>
      <c r="C4037" t="s">
        <v>37</v>
      </c>
      <c r="D4037">
        <v>4.9600479999999996</v>
      </c>
      <c r="E4037">
        <v>0.57774840000000005</v>
      </c>
      <c r="F4037" t="s">
        <v>72</v>
      </c>
      <c r="G4037">
        <v>-200.19540000000001</v>
      </c>
      <c r="H4037" s="1">
        <v>-1.028196E-5</v>
      </c>
      <c r="I4037">
        <v>142.6446</v>
      </c>
      <c r="J4037">
        <v>-194.85130000000001</v>
      </c>
      <c r="K4037">
        <v>1.106125</v>
      </c>
      <c r="L4037">
        <v>187.16720000000001</v>
      </c>
      <c r="M4037">
        <v>0.11815580000000001</v>
      </c>
      <c r="N4037">
        <v>0</v>
      </c>
      <c r="O4037">
        <v>-0.99289769999999899</v>
      </c>
      <c r="P4037">
        <v>8.5349960000000002E-2</v>
      </c>
      <c r="Q4037">
        <v>1.0956769999999999E-2</v>
      </c>
      <c r="R4037">
        <v>-0.99629080000000003</v>
      </c>
      <c r="S4037">
        <v>-0.36270140000000001</v>
      </c>
      <c r="T4037">
        <v>-7.5340270000000001E-2</v>
      </c>
      <c r="U4037">
        <v>-3.0425419999999899</v>
      </c>
      <c r="V4037">
        <v>3.2906989999999997E-2</v>
      </c>
      <c r="W4037">
        <v>2.4935829999999999E-2</v>
      </c>
      <c r="X4037">
        <v>0.99914729999999996</v>
      </c>
      <c r="Y4037">
        <v>0.23484389999999999</v>
      </c>
      <c r="Z4037">
        <v>2.4062630000000002E-2</v>
      </c>
      <c r="AA4037">
        <v>0.97173519999999902</v>
      </c>
      <c r="AB4037">
        <v>25</v>
      </c>
      <c r="AC4037">
        <v>-5.3440999999999903</v>
      </c>
      <c r="AD4037">
        <v>-1.1061352819600001</v>
      </c>
      <c r="AE4037">
        <v>-44.522599999999997</v>
      </c>
      <c r="AF4037">
        <v>10.5613434660754</v>
      </c>
      <c r="AG4037">
        <v>-1.1061352819600001</v>
      </c>
      <c r="AH4037">
        <v>43.552663533935501</v>
      </c>
      <c r="AI4037">
        <v>91.413904721310601</v>
      </c>
      <c r="AJ4037">
        <v>76.369126024578506</v>
      </c>
      <c r="AK4037">
        <v>44.828562457105498</v>
      </c>
    </row>
    <row r="4038" spans="1:37" x14ac:dyDescent="0.2">
      <c r="A4038" t="str">
        <f>"20200111155629711"</f>
        <v>20200111155629711</v>
      </c>
      <c r="B4038" t="str">
        <f>"1578729389706967"</f>
        <v>1578729389706967</v>
      </c>
      <c r="C4038" t="s">
        <v>37</v>
      </c>
      <c r="D4038">
        <v>5.0548359999999999</v>
      </c>
      <c r="E4038">
        <v>0.57754110000000003</v>
      </c>
      <c r="F4038" t="s">
        <v>72</v>
      </c>
      <c r="G4038">
        <v>-199.63579999999999</v>
      </c>
      <c r="H4038" s="1">
        <v>-1.153104E-5</v>
      </c>
      <c r="I4038">
        <v>146.64449999999999</v>
      </c>
      <c r="J4038">
        <v>-194.8305</v>
      </c>
      <c r="K4038">
        <v>1.106079</v>
      </c>
      <c r="L4038">
        <v>187.00309999999999</v>
      </c>
      <c r="M4038">
        <v>0.1192424</v>
      </c>
      <c r="N4038">
        <v>0</v>
      </c>
      <c r="O4038">
        <v>-0.99276819999999899</v>
      </c>
      <c r="P4038">
        <v>8.5477830000000005E-2</v>
      </c>
      <c r="Q4038">
        <v>1.1313520000000001E-2</v>
      </c>
      <c r="R4038">
        <v>-0.9962761</v>
      </c>
      <c r="S4038">
        <v>-0.35926819999999998</v>
      </c>
      <c r="T4038">
        <v>-8.3060259999999997E-2</v>
      </c>
      <c r="U4038">
        <v>-3.042862</v>
      </c>
      <c r="V4038">
        <v>3.3874370000000001E-2</v>
      </c>
      <c r="W4038">
        <v>2.5286670000000001E-2</v>
      </c>
      <c r="X4038">
        <v>0.99910619999999895</v>
      </c>
      <c r="Y4038">
        <v>0.23480699999999999</v>
      </c>
      <c r="Z4038">
        <v>2.6520350000000002E-2</v>
      </c>
      <c r="AA4038">
        <v>0.97168019999999999</v>
      </c>
      <c r="AB4038">
        <v>25</v>
      </c>
      <c r="AC4038">
        <v>-4.8052999999999804</v>
      </c>
      <c r="AD4038">
        <v>-1.10609053104</v>
      </c>
      <c r="AE4038">
        <v>-40.358600000000003</v>
      </c>
      <c r="AF4038">
        <v>9.5768352996977502</v>
      </c>
      <c r="AG4038">
        <v>-1.10609053104</v>
      </c>
      <c r="AH4038">
        <v>39.468310969563802</v>
      </c>
      <c r="AI4038">
        <v>91.560036042435001</v>
      </c>
      <c r="AJ4038">
        <v>76.360994936029101</v>
      </c>
      <c r="AK4038">
        <v>40.628644838470599</v>
      </c>
    </row>
    <row r="4039" spans="1:37" x14ac:dyDescent="0.2">
      <c r="A4039" t="str">
        <f>"20200111155629725"</f>
        <v>20200111155629725</v>
      </c>
      <c r="B4039" t="str">
        <f>"1578729389716728"</f>
        <v>1578729389716728</v>
      </c>
      <c r="C4039" t="s">
        <v>37</v>
      </c>
      <c r="D4039">
        <v>4.9190269999999998</v>
      </c>
      <c r="E4039">
        <v>0.57727989999999996</v>
      </c>
      <c r="F4039" t="s">
        <v>72</v>
      </c>
      <c r="G4039">
        <v>-199.07299999999901</v>
      </c>
      <c r="H4039" s="1">
        <v>-1.2691119999999999E-5</v>
      </c>
      <c r="I4039">
        <v>150.84129999999999</v>
      </c>
      <c r="J4039">
        <v>-194.81219999999999</v>
      </c>
      <c r="K4039">
        <v>1.1060319999999999</v>
      </c>
      <c r="L4039">
        <v>186.8596</v>
      </c>
      <c r="M4039">
        <v>0.12014560000000001</v>
      </c>
      <c r="N4039">
        <v>0</v>
      </c>
      <c r="O4039">
        <v>-0.99265919999999896</v>
      </c>
      <c r="P4039">
        <v>8.5708190000000004E-2</v>
      </c>
      <c r="Q4039">
        <v>1.21652999999999E-2</v>
      </c>
      <c r="R4039">
        <v>-0.99624619999999997</v>
      </c>
      <c r="S4039">
        <v>-0.3569946</v>
      </c>
      <c r="T4039">
        <v>-9.3074320000000002E-2</v>
      </c>
      <c r="U4039">
        <v>-3.0429080000000002</v>
      </c>
      <c r="V4039">
        <v>3.4552630000000001E-2</v>
      </c>
      <c r="W4039">
        <v>2.6131339999999999E-2</v>
      </c>
      <c r="X4039">
        <v>0.99906119999999898</v>
      </c>
      <c r="Y4039">
        <v>0.23496300000000001</v>
      </c>
      <c r="Z4039">
        <v>2.9710219999999999E-2</v>
      </c>
      <c r="AA4039">
        <v>0.97155020000000003</v>
      </c>
      <c r="AB4039">
        <v>25</v>
      </c>
      <c r="AC4039">
        <v>-4.2607999999999802</v>
      </c>
      <c r="AD4039">
        <v>-1.1060446911199999</v>
      </c>
      <c r="AE4039">
        <v>-36.018300000000004</v>
      </c>
      <c r="AF4039">
        <v>8.5498363753815791</v>
      </c>
      <c r="AG4039">
        <v>-1.1060446911199999</v>
      </c>
      <c r="AH4039">
        <v>35.212631093006102</v>
      </c>
      <c r="AI4039">
        <v>91.748329608334998</v>
      </c>
      <c r="AJ4039">
        <v>76.352350624851098</v>
      </c>
      <c r="AK4039">
        <v>36.252619565994003</v>
      </c>
    </row>
    <row r="4040" spans="1:37" x14ac:dyDescent="0.2">
      <c r="A4040" t="str">
        <f>"20200111155629739"</f>
        <v>20200111155629739</v>
      </c>
      <c r="B4040" t="str">
        <f>"1578729389737223"</f>
        <v>1578729389737223</v>
      </c>
      <c r="C4040" t="s">
        <v>37</v>
      </c>
      <c r="D4040">
        <v>4.9587059999999896</v>
      </c>
      <c r="E4040">
        <v>0.57707039999999998</v>
      </c>
      <c r="F4040" t="s">
        <v>72</v>
      </c>
      <c r="G4040">
        <v>-198.88380000000001</v>
      </c>
      <c r="H4040" s="1">
        <v>-1.293087E-5</v>
      </c>
      <c r="I4040">
        <v>151.86089999999999</v>
      </c>
      <c r="J4040">
        <v>-194.7927</v>
      </c>
      <c r="K4040">
        <v>1.105972</v>
      </c>
      <c r="L4040">
        <v>186.70679999999999</v>
      </c>
      <c r="M4040">
        <v>0.121058399999999</v>
      </c>
      <c r="N4040">
        <v>0</v>
      </c>
      <c r="O4040">
        <v>-0.99254849999999994</v>
      </c>
      <c r="P4040">
        <v>8.5760619999999996E-2</v>
      </c>
      <c r="Q4040">
        <v>1.30575999999999E-2</v>
      </c>
      <c r="R4040">
        <v>-0.99623039999999996</v>
      </c>
      <c r="S4040">
        <v>-0.35400389999999998</v>
      </c>
      <c r="T4040">
        <v>-9.6165299999999995E-2</v>
      </c>
      <c r="U4040">
        <v>-3.0429689999999998</v>
      </c>
      <c r="V4040">
        <v>3.5419659999999999E-2</v>
      </c>
      <c r="W4040">
        <v>2.7016040000000002E-2</v>
      </c>
      <c r="X4040">
        <v>0.99900730000000004</v>
      </c>
      <c r="Y4040">
        <v>0.23490909999999901</v>
      </c>
      <c r="Z4040">
        <v>3.0692009999999999E-2</v>
      </c>
      <c r="AA4040">
        <v>0.97153269999999903</v>
      </c>
      <c r="AB4040">
        <v>25</v>
      </c>
      <c r="AC4040">
        <v>-4.0911000000000097</v>
      </c>
      <c r="AD4040">
        <v>-1.10598493087</v>
      </c>
      <c r="AE4040">
        <v>-34.8459</v>
      </c>
      <c r="AF4040">
        <v>8.2715810089598296</v>
      </c>
      <c r="AG4040">
        <v>-1.10598493087</v>
      </c>
      <c r="AH4040">
        <v>34.060417347912797</v>
      </c>
      <c r="AI4040">
        <v>91.807318495066795</v>
      </c>
      <c r="AJ4040">
        <v>76.349953577999102</v>
      </c>
      <c r="AK4040">
        <v>35.0678525856531</v>
      </c>
    </row>
    <row r="4041" spans="1:37" x14ac:dyDescent="0.2">
      <c r="A4041" t="str">
        <f>"20200111155629754"</f>
        <v>20200111155629754</v>
      </c>
      <c r="B4041" t="str">
        <f>"1578729389746982"</f>
        <v>1578729389746982</v>
      </c>
      <c r="C4041" t="s">
        <v>37</v>
      </c>
      <c r="D4041">
        <v>4.9273639999999999</v>
      </c>
      <c r="E4041">
        <v>0.57709460000000001</v>
      </c>
      <c r="F4041" t="s">
        <v>72</v>
      </c>
      <c r="G4041">
        <v>-198.58179999999999</v>
      </c>
      <c r="H4041" s="1">
        <v>-1.343096E-5</v>
      </c>
      <c r="I4041">
        <v>153.95480000000001</v>
      </c>
      <c r="J4041">
        <v>-194.77</v>
      </c>
      <c r="K4041">
        <v>1.105888</v>
      </c>
      <c r="L4041">
        <v>186.53020000000001</v>
      </c>
      <c r="M4041">
        <v>0.12199939999999999</v>
      </c>
      <c r="N4041">
        <v>0</v>
      </c>
      <c r="O4041">
        <v>-0.99243320000000002</v>
      </c>
      <c r="P4041">
        <v>8.4853499999999998E-2</v>
      </c>
      <c r="Q4041">
        <v>1.477848E-2</v>
      </c>
      <c r="R4041">
        <v>-0.99628379999999905</v>
      </c>
      <c r="S4041">
        <v>-0.3520508</v>
      </c>
      <c r="T4041">
        <v>-0.102756999999999</v>
      </c>
      <c r="U4041">
        <v>-3.0429840000000001</v>
      </c>
      <c r="V4041">
        <v>3.7276150000000001E-2</v>
      </c>
      <c r="W4041">
        <v>2.8727220000000001E-2</v>
      </c>
      <c r="X4041">
        <v>0.998892</v>
      </c>
      <c r="Y4041">
        <v>0.2352069</v>
      </c>
      <c r="Z4041">
        <v>3.2787509999999999E-2</v>
      </c>
      <c r="AA4041">
        <v>0.97139219999999904</v>
      </c>
      <c r="AB4041">
        <v>25</v>
      </c>
      <c r="AC4041">
        <v>-3.8117999999999701</v>
      </c>
      <c r="AD4041">
        <v>-1.1059014309599999</v>
      </c>
      <c r="AE4041">
        <v>-32.575400000000002</v>
      </c>
      <c r="AF4041">
        <v>7.7490723950543101</v>
      </c>
      <c r="AG4041">
        <v>-1.1059014309599999</v>
      </c>
      <c r="AH4041">
        <v>31.830747882156</v>
      </c>
      <c r="AI4041">
        <v>91.933413754826304</v>
      </c>
      <c r="AJ4041">
        <v>76.317718182268905</v>
      </c>
      <c r="AK4041">
        <v>32.779073380682597</v>
      </c>
    </row>
    <row r="4042" spans="1:37" x14ac:dyDescent="0.2">
      <c r="A4042" t="str">
        <f>"20200111155629769"</f>
        <v>20200111155629769</v>
      </c>
      <c r="B4042" t="str">
        <f>"1578729389766503"</f>
        <v>1578729389766503</v>
      </c>
      <c r="C4042" t="s">
        <v>37</v>
      </c>
      <c r="D4042">
        <v>4.9985189999999999</v>
      </c>
      <c r="E4042">
        <v>0.57752650000000005</v>
      </c>
      <c r="F4042" t="s">
        <v>72</v>
      </c>
      <c r="G4042">
        <v>-198.64160000000001</v>
      </c>
      <c r="H4042" s="1">
        <v>-1.3275529999999901E-5</v>
      </c>
      <c r="I4042">
        <v>153.316</v>
      </c>
      <c r="J4042">
        <v>-194.75030000000001</v>
      </c>
      <c r="K4042">
        <v>1.105802</v>
      </c>
      <c r="L4042">
        <v>186.3775</v>
      </c>
      <c r="M4042">
        <v>0.12273139999999901</v>
      </c>
      <c r="N4042">
        <v>0</v>
      </c>
      <c r="O4042">
        <v>-0.99234310000000003</v>
      </c>
      <c r="P4042">
        <v>8.4428600000000006E-2</v>
      </c>
      <c r="Q4042">
        <v>1.5301469999999999E-2</v>
      </c>
      <c r="R4042">
        <v>-0.99631219999999998</v>
      </c>
      <c r="S4042">
        <v>-0.35469060000000002</v>
      </c>
      <c r="T4042">
        <v>-0.10131569999999999</v>
      </c>
      <c r="U4042">
        <v>-3.0428769999999998</v>
      </c>
      <c r="V4042">
        <v>3.8443209999999998E-2</v>
      </c>
      <c r="W4042">
        <v>2.9240080000000002E-2</v>
      </c>
      <c r="X4042">
        <v>0.99883290000000002</v>
      </c>
      <c r="Y4042">
        <v>0.23676059999999999</v>
      </c>
      <c r="Z4042">
        <v>3.2316890000000001E-2</v>
      </c>
      <c r="AA4042">
        <v>0.97103039999999996</v>
      </c>
      <c r="AB4042">
        <v>25</v>
      </c>
      <c r="AC4042">
        <v>-3.8913000000000002</v>
      </c>
      <c r="AD4042">
        <v>-1.1058152755299999</v>
      </c>
      <c r="AE4042">
        <v>-33.061499999999903</v>
      </c>
      <c r="AF4042">
        <v>7.9112204486493898</v>
      </c>
      <c r="AG4042">
        <v>-1.1058152755299999</v>
      </c>
      <c r="AH4042">
        <v>32.298234875522297</v>
      </c>
      <c r="AI4042">
        <v>91.904645262246106</v>
      </c>
      <c r="AJ4042">
        <v>76.236790484673094</v>
      </c>
      <c r="AK4042">
        <v>33.271402322191499</v>
      </c>
    </row>
    <row r="4043" spans="1:37" x14ac:dyDescent="0.2">
      <c r="A4043" t="str">
        <f>"20200111155629784"</f>
        <v>20200111155629784</v>
      </c>
      <c r="B4043" t="str">
        <f>"1578729389777240"</f>
        <v>1578729389777240</v>
      </c>
      <c r="C4043" t="s">
        <v>37</v>
      </c>
      <c r="D4043">
        <v>4.8462579999999997</v>
      </c>
      <c r="E4043">
        <v>0.57775180000000004</v>
      </c>
      <c r="F4043" t="s">
        <v>72</v>
      </c>
      <c r="G4043">
        <v>-198.54910000000001</v>
      </c>
      <c r="H4043" s="1">
        <v>-1.3490769999999999E-5</v>
      </c>
      <c r="I4043">
        <v>154.20410000000001</v>
      </c>
      <c r="J4043">
        <v>-194.72919999999999</v>
      </c>
      <c r="K4043">
        <v>1.1056969999999999</v>
      </c>
      <c r="L4043">
        <v>186.21369999999999</v>
      </c>
      <c r="M4043">
        <v>0.12343</v>
      </c>
      <c r="N4043">
        <v>0</v>
      </c>
      <c r="O4043">
        <v>-0.99225659999999904</v>
      </c>
      <c r="P4043">
        <v>8.4045930000000005E-2</v>
      </c>
      <c r="Q4043">
        <v>1.481911E-2</v>
      </c>
      <c r="R4043">
        <v>-0.99635219999999902</v>
      </c>
      <c r="S4043">
        <v>-0.35931399999999902</v>
      </c>
      <c r="T4043">
        <v>-0.1045958</v>
      </c>
      <c r="U4043">
        <v>-3.0431819999999998</v>
      </c>
      <c r="V4043">
        <v>3.9539270000000001E-2</v>
      </c>
      <c r="W4043">
        <v>2.874581E-2</v>
      </c>
      <c r="X4043">
        <v>0.99880449999999998</v>
      </c>
      <c r="Y4043">
        <v>0.23888400000000001</v>
      </c>
      <c r="Z4043">
        <v>3.3342289999999997E-2</v>
      </c>
      <c r="AA4043">
        <v>0.97047549999999905</v>
      </c>
      <c r="AB4043">
        <v>25</v>
      </c>
      <c r="AC4043">
        <v>-3.8199000000000098</v>
      </c>
      <c r="AD4043">
        <v>-1.1057104907699999</v>
      </c>
      <c r="AE4043">
        <v>-32.009599999999899</v>
      </c>
      <c r="AF4043">
        <v>7.7329111540224398</v>
      </c>
      <c r="AG4043">
        <v>-1.1057104907699999</v>
      </c>
      <c r="AH4043">
        <v>31.2564766114306</v>
      </c>
      <c r="AI4043">
        <v>91.966768400800305</v>
      </c>
      <c r="AJ4043">
        <v>76.103946581816999</v>
      </c>
      <c r="AK4043">
        <v>32.217818684173999</v>
      </c>
    </row>
    <row r="4044" spans="1:37" x14ac:dyDescent="0.2">
      <c r="A4044" t="str">
        <f>"20200111155629796"</f>
        <v>20200111155629796</v>
      </c>
      <c r="B4044" t="str">
        <f>"1578729389786998"</f>
        <v>1578729389786998</v>
      </c>
      <c r="C4044" t="s">
        <v>37</v>
      </c>
      <c r="D4044">
        <v>5.0582479999999999</v>
      </c>
      <c r="E4044">
        <v>0.57843520000000004</v>
      </c>
      <c r="F4044" t="s">
        <v>72</v>
      </c>
      <c r="G4044">
        <v>-198.4442</v>
      </c>
      <c r="H4044" s="1">
        <v>-1.3749909999999999E-5</v>
      </c>
      <c r="I4044">
        <v>155.00030000000001</v>
      </c>
      <c r="J4044">
        <v>-194.7107</v>
      </c>
      <c r="K4044">
        <v>1.1055870000000001</v>
      </c>
      <c r="L4044">
        <v>186.0703</v>
      </c>
      <c r="M4044">
        <v>0.1239585</v>
      </c>
      <c r="N4044">
        <v>0</v>
      </c>
      <c r="O4044">
        <v>-0.99219080000000004</v>
      </c>
      <c r="P4044">
        <v>8.3736309999999994E-2</v>
      </c>
      <c r="Q4044">
        <v>1.421769E-2</v>
      </c>
      <c r="R4044">
        <v>-0.99638709999999997</v>
      </c>
      <c r="S4044">
        <v>-0.36219790000000002</v>
      </c>
      <c r="T4044">
        <v>-0.1078016</v>
      </c>
      <c r="U4044">
        <v>-3.043167</v>
      </c>
      <c r="V4044">
        <v>4.0390860000000001E-2</v>
      </c>
      <c r="W4044">
        <v>2.813189E-2</v>
      </c>
      <c r="X4044">
        <v>0.99878789999999995</v>
      </c>
      <c r="Y4044">
        <v>0.240304299999999</v>
      </c>
      <c r="Z4044">
        <v>3.4351520000000003E-2</v>
      </c>
      <c r="AA4044">
        <v>0.9700896</v>
      </c>
      <c r="AB4044">
        <v>25</v>
      </c>
      <c r="AC4044">
        <v>-3.73349999999999</v>
      </c>
      <c r="AD4044">
        <v>-1.10560074991</v>
      </c>
      <c r="AE4044">
        <v>-31.07</v>
      </c>
      <c r="AF4044">
        <v>7.5470389958422599</v>
      </c>
      <c r="AG4044">
        <v>-1.10560074991</v>
      </c>
      <c r="AH4044">
        <v>30.329622290204899</v>
      </c>
      <c r="AI4044">
        <v>92.025943584853195</v>
      </c>
      <c r="AJ4044">
        <v>76.026654804287404</v>
      </c>
      <c r="AK4044">
        <v>31.274048968585099</v>
      </c>
    </row>
    <row r="4045" spans="1:37" x14ac:dyDescent="0.2">
      <c r="A4045" t="str">
        <f>"20200111155629812"</f>
        <v>20200111155629812</v>
      </c>
      <c r="B4045" t="str">
        <f>"1578729389806519"</f>
        <v>1578729389806519</v>
      </c>
      <c r="C4045" t="s">
        <v>37</v>
      </c>
      <c r="D4045">
        <v>4.8211930000000001</v>
      </c>
      <c r="E4045">
        <v>0.57881859999999996</v>
      </c>
      <c r="F4045" t="s">
        <v>72</v>
      </c>
      <c r="G4045">
        <v>-198.46209999999999</v>
      </c>
      <c r="H4045" s="1">
        <v>-1.3787879999999899E-5</v>
      </c>
      <c r="I4045">
        <v>155.08510000000001</v>
      </c>
      <c r="J4045">
        <v>-194.69030000000001</v>
      </c>
      <c r="K4045">
        <v>1.1054409999999999</v>
      </c>
      <c r="L4045">
        <v>185.9118</v>
      </c>
      <c r="M4045">
        <v>0.12439269999999999</v>
      </c>
      <c r="N4045">
        <v>0</v>
      </c>
      <c r="O4045">
        <v>-0.99213619999999902</v>
      </c>
      <c r="P4045">
        <v>8.256086E-2</v>
      </c>
      <c r="Q4045">
        <v>1.0064099999999999E-2</v>
      </c>
      <c r="R4045">
        <v>-0.99653510000000001</v>
      </c>
      <c r="S4045">
        <v>-0.3684692</v>
      </c>
      <c r="T4045">
        <v>-0.108593699999999</v>
      </c>
      <c r="U4045">
        <v>-3.0434109999999999</v>
      </c>
      <c r="V4045">
        <v>4.2026109999999998E-2</v>
      </c>
      <c r="W4045">
        <v>2.3965279999999999E-2</v>
      </c>
      <c r="X4045">
        <v>0.99882909999999903</v>
      </c>
      <c r="Y4045">
        <v>0.24268890000000001</v>
      </c>
      <c r="Z4045">
        <v>3.4583179999999998E-2</v>
      </c>
      <c r="AA4045">
        <v>0.96948749999999995</v>
      </c>
      <c r="AB4045">
        <v>25</v>
      </c>
      <c r="AC4045">
        <v>-3.7717999999999798</v>
      </c>
      <c r="AD4045">
        <v>-1.1054547878799901</v>
      </c>
      <c r="AE4045">
        <v>-30.826699999999899</v>
      </c>
      <c r="AF4045">
        <v>7.5678955849780003</v>
      </c>
      <c r="AG4045">
        <v>-1.1054547878799901</v>
      </c>
      <c r="AH4045">
        <v>30.079884325701698</v>
      </c>
      <c r="AI4045">
        <v>92.041154789729006</v>
      </c>
      <c r="AJ4045">
        <v>75.877872573962094</v>
      </c>
      <c r="AK4045">
        <v>31.036986240947599</v>
      </c>
    </row>
    <row r="4046" spans="1:37" x14ac:dyDescent="0.2">
      <c r="A4046" t="str">
        <f>"20200111155629827"</f>
        <v>20200111155629827</v>
      </c>
      <c r="B4046" t="str">
        <f>"1578729389817256"</f>
        <v>1578729389817256</v>
      </c>
      <c r="C4046" t="s">
        <v>37</v>
      </c>
      <c r="D4046">
        <v>4.9098639999999998</v>
      </c>
      <c r="E4046">
        <v>0.57880240000000005</v>
      </c>
      <c r="F4046" t="s">
        <v>72</v>
      </c>
      <c r="G4046">
        <v>-197.99610000000001</v>
      </c>
      <c r="H4046" s="1">
        <v>-1.484358E-5</v>
      </c>
      <c r="I4046">
        <v>159.08410000000001</v>
      </c>
      <c r="J4046">
        <v>-194.66810000000001</v>
      </c>
      <c r="K4046">
        <v>1.1052879999999901</v>
      </c>
      <c r="L4046">
        <v>185.73910000000001</v>
      </c>
      <c r="M4046">
        <v>0.124742699999999</v>
      </c>
      <c r="N4046">
        <v>0</v>
      </c>
      <c r="O4046">
        <v>-0.99209239999999999</v>
      </c>
      <c r="P4046">
        <v>8.2644159999999994E-2</v>
      </c>
      <c r="Q4046">
        <v>7.804465E-3</v>
      </c>
      <c r="R4046">
        <v>-0.99654869999999995</v>
      </c>
      <c r="S4046">
        <v>-0.37493899999999902</v>
      </c>
      <c r="T4046">
        <v>-0.12537870000000001</v>
      </c>
      <c r="U4046">
        <v>-3.0427399999999998</v>
      </c>
      <c r="V4046">
        <v>4.2307749999999998E-2</v>
      </c>
      <c r="W4046">
        <v>2.1687540000000002E-2</v>
      </c>
      <c r="X4046">
        <v>0.99886919999999901</v>
      </c>
      <c r="Y4046">
        <v>0.2450621</v>
      </c>
      <c r="Z4046">
        <v>3.9908829999999999E-2</v>
      </c>
      <c r="AA4046">
        <v>0.96868559999999904</v>
      </c>
      <c r="AB4046">
        <v>25</v>
      </c>
      <c r="AC4046">
        <v>-3.3279999999999998</v>
      </c>
      <c r="AD4046">
        <v>-1.1053028435799901</v>
      </c>
      <c r="AE4046">
        <v>-26.655000000000001</v>
      </c>
      <c r="AF4046">
        <v>6.6161342948338602</v>
      </c>
      <c r="AG4046">
        <v>-1.1053028435799901</v>
      </c>
      <c r="AH4046">
        <v>25.9875773915454</v>
      </c>
      <c r="AI4046">
        <v>92.360234988650504</v>
      </c>
      <c r="AJ4046">
        <v>75.7165964320141</v>
      </c>
      <c r="AK4046">
        <v>26.839320149080901</v>
      </c>
    </row>
    <row r="4047" spans="1:37" x14ac:dyDescent="0.2">
      <c r="A4047" t="str">
        <f>"20200111155629841"</f>
        <v>20200111155629841</v>
      </c>
      <c r="B4047" t="str">
        <f>"1578729389836774"</f>
        <v>1578729389836774</v>
      </c>
      <c r="C4047" t="s">
        <v>37</v>
      </c>
      <c r="D4047">
        <v>4.905195</v>
      </c>
      <c r="E4047">
        <v>0.58808649999999996</v>
      </c>
      <c r="F4047" t="s">
        <v>38</v>
      </c>
      <c r="G4047">
        <v>-197.7397</v>
      </c>
      <c r="H4047" s="1">
        <v>-2.6204529999999999E-6</v>
      </c>
      <c r="I4047">
        <v>160.77860000000001</v>
      </c>
      <c r="J4047">
        <v>-194.64930000000001</v>
      </c>
      <c r="K4047">
        <v>1.105154</v>
      </c>
      <c r="L4047">
        <v>185.59229999999999</v>
      </c>
      <c r="M4047">
        <v>0.1249426</v>
      </c>
      <c r="N4047">
        <v>0</v>
      </c>
      <c r="O4047">
        <v>-0.99206740000000004</v>
      </c>
      <c r="P4047">
        <v>8.2808709999999994E-2</v>
      </c>
      <c r="Q4047">
        <v>6.0246650000000002E-3</v>
      </c>
      <c r="R4047">
        <v>-0.99654759999999998</v>
      </c>
      <c r="S4047">
        <v>-0.37440489999999998</v>
      </c>
      <c r="T4047">
        <v>-0.1347267</v>
      </c>
      <c r="U4047">
        <v>-3.0424959999999999</v>
      </c>
      <c r="V4047">
        <v>4.2353120000000001E-2</v>
      </c>
      <c r="W4047">
        <v>1.989264E-2</v>
      </c>
      <c r="X4047">
        <v>0.99890460000000003</v>
      </c>
      <c r="Y4047">
        <v>0.245084</v>
      </c>
      <c r="Z4047">
        <v>4.2880870000000001E-2</v>
      </c>
      <c r="AA4047">
        <v>0.96855309999999994</v>
      </c>
      <c r="AB4047">
        <v>25</v>
      </c>
      <c r="AC4047">
        <v>-3.0903999999999798</v>
      </c>
      <c r="AD4047">
        <v>-1.1051566204529999</v>
      </c>
      <c r="AE4047">
        <v>-24.813699999999901</v>
      </c>
      <c r="AF4047">
        <v>6.1547417947787597</v>
      </c>
      <c r="AG4047">
        <v>-1.1051566204529999</v>
      </c>
      <c r="AH4047">
        <v>24.185818772071201</v>
      </c>
      <c r="AI4047">
        <v>92.535574812827207</v>
      </c>
      <c r="AJ4047">
        <v>75.722571815476996</v>
      </c>
      <c r="AK4047">
        <v>24.981113814071598</v>
      </c>
    </row>
    <row r="4048" spans="1:37" x14ac:dyDescent="0.2">
      <c r="A4048" t="str">
        <f>"20200111155629856"</f>
        <v>20200111155629856</v>
      </c>
      <c r="B4048" t="str">
        <f>"1578729389846534"</f>
        <v>1578729389846534</v>
      </c>
      <c r="C4048" t="s">
        <v>37</v>
      </c>
      <c r="D4048">
        <v>4.8490690000000001</v>
      </c>
      <c r="E4048">
        <v>0.58952360000000004</v>
      </c>
      <c r="F4048" t="s">
        <v>52</v>
      </c>
      <c r="G4048">
        <v>-211.7842</v>
      </c>
      <c r="H4048">
        <v>4.9171610000000001</v>
      </c>
      <c r="I4048">
        <v>70.567830000000001</v>
      </c>
      <c r="J4048">
        <v>-194.62880000000001</v>
      </c>
      <c r="K4048">
        <v>1.1049979999999999</v>
      </c>
      <c r="L4048">
        <v>185.43099999999899</v>
      </c>
      <c r="M4048">
        <v>0.12502559999999999</v>
      </c>
      <c r="N4048">
        <v>0</v>
      </c>
      <c r="O4048">
        <v>-0.99205679999999996</v>
      </c>
      <c r="P4048">
        <v>8.3940929999999997E-2</v>
      </c>
      <c r="Q4048">
        <v>3.0932049999999999E-3</v>
      </c>
      <c r="R4048">
        <v>-0.99646619999999997</v>
      </c>
      <c r="S4048">
        <v>-0.45397949999999998</v>
      </c>
      <c r="T4048">
        <v>0.1009972</v>
      </c>
      <c r="U4048">
        <v>-3.047501</v>
      </c>
      <c r="V4048">
        <v>4.1310380000000001E-2</v>
      </c>
      <c r="W4048">
        <v>1.6944859999999999E-2</v>
      </c>
      <c r="X4048">
        <v>0.99900259999999996</v>
      </c>
      <c r="Y4048">
        <v>0.26978150000000001</v>
      </c>
      <c r="Z4048">
        <v>-3.1941549999999999E-2</v>
      </c>
      <c r="AA4048">
        <v>0.96239169999999996</v>
      </c>
      <c r="AB4048">
        <v>25</v>
      </c>
      <c r="AC4048">
        <v>-17.155399999999901</v>
      </c>
      <c r="AD4048">
        <v>3.812163</v>
      </c>
      <c r="AE4048">
        <v>-114.863169999999</v>
      </c>
      <c r="AF4048">
        <v>31.3492019698643</v>
      </c>
      <c r="AG4048">
        <v>3.812163</v>
      </c>
      <c r="AH4048">
        <v>111.696306301105</v>
      </c>
      <c r="AI4048">
        <v>88.117937326454594</v>
      </c>
      <c r="AJ4048">
        <v>74.322447851921495</v>
      </c>
      <c r="AK4048">
        <v>116.07484607871</v>
      </c>
    </row>
    <row r="4049" spans="1:37" x14ac:dyDescent="0.2">
      <c r="A4049" t="str">
        <f>"20200111155629871"</f>
        <v>20200111155629871</v>
      </c>
      <c r="B4049" t="str">
        <f>"1578729389867032"</f>
        <v>1578729389867032</v>
      </c>
      <c r="C4049" t="s">
        <v>37</v>
      </c>
      <c r="D4049">
        <v>4.8716460000000001</v>
      </c>
      <c r="E4049">
        <v>0.58139399999999997</v>
      </c>
      <c r="F4049" t="s">
        <v>52</v>
      </c>
      <c r="G4049">
        <v>-212.03200000000001</v>
      </c>
      <c r="H4049">
        <v>4.5665230000000001</v>
      </c>
      <c r="I4049">
        <v>70.567830000000001</v>
      </c>
      <c r="J4049">
        <v>-194.60749999999999</v>
      </c>
      <c r="K4049">
        <v>1.1048549999999999</v>
      </c>
      <c r="L4049">
        <v>185.2628</v>
      </c>
      <c r="M4049">
        <v>0.1249624</v>
      </c>
      <c r="N4049">
        <v>0</v>
      </c>
      <c r="O4049">
        <v>-0.99206499999999997</v>
      </c>
      <c r="P4049">
        <v>8.4421689999999994E-2</v>
      </c>
      <c r="Q4049">
        <v>2.1387569999999998E-3</v>
      </c>
      <c r="R4049">
        <v>-0.99642819999999899</v>
      </c>
      <c r="S4049">
        <v>-0.46200559999999902</v>
      </c>
      <c r="T4049">
        <v>9.1894030000000002E-2</v>
      </c>
      <c r="U4049">
        <v>-3.0492859999999999</v>
      </c>
      <c r="V4049">
        <v>4.0770590000000002E-2</v>
      </c>
      <c r="W4049">
        <v>1.5974149999999999E-2</v>
      </c>
      <c r="X4049">
        <v>0.99904079999999995</v>
      </c>
      <c r="Y4049">
        <v>0.27212799999999998</v>
      </c>
      <c r="Z4049">
        <v>-2.9033280000000002E-2</v>
      </c>
      <c r="AA4049">
        <v>0.96182299999999998</v>
      </c>
      <c r="AB4049">
        <v>25</v>
      </c>
      <c r="AC4049">
        <v>-17.424499999999998</v>
      </c>
      <c r="AD4049">
        <v>3.461668</v>
      </c>
      <c r="AE4049">
        <v>-114.69497</v>
      </c>
      <c r="AF4049">
        <v>31.5936919993697</v>
      </c>
      <c r="AG4049">
        <v>3.461668</v>
      </c>
      <c r="AH4049">
        <v>111.51884885170401</v>
      </c>
      <c r="AI4049">
        <v>88.289329531288899</v>
      </c>
      <c r="AJ4049">
        <v>74.182382751505102</v>
      </c>
      <c r="AK4049">
        <v>115.959467783801</v>
      </c>
    </row>
    <row r="4050" spans="1:37" x14ac:dyDescent="0.2">
      <c r="A4050" t="str">
        <f>"20200111155629884"</f>
        <v>20200111155629884</v>
      </c>
      <c r="B4050" t="str">
        <f>"1578729389876791"</f>
        <v>1578729389876791</v>
      </c>
      <c r="C4050" t="s">
        <v>37</v>
      </c>
      <c r="D4050">
        <v>4.7892089999999996</v>
      </c>
      <c r="E4050">
        <v>0.58245909999999901</v>
      </c>
      <c r="F4050" t="s">
        <v>38</v>
      </c>
      <c r="G4050">
        <v>-196.9571</v>
      </c>
      <c r="H4050" s="1">
        <v>-4.9083769999999999E-6</v>
      </c>
      <c r="I4050">
        <v>166.85419999999999</v>
      </c>
      <c r="J4050">
        <v>-194.589</v>
      </c>
      <c r="K4050">
        <v>1.10473</v>
      </c>
      <c r="L4050">
        <v>185.11529999999999</v>
      </c>
      <c r="M4050">
        <v>0.12479949999999999</v>
      </c>
      <c r="N4050">
        <v>0</v>
      </c>
      <c r="O4050">
        <v>-0.99208560000000001</v>
      </c>
      <c r="P4050">
        <v>8.5177879999999997E-2</v>
      </c>
      <c r="Q4050">
        <v>1.3734210000000001E-3</v>
      </c>
      <c r="R4050">
        <v>-0.9963651</v>
      </c>
      <c r="S4050">
        <v>-0.38851929999999901</v>
      </c>
      <c r="T4050">
        <v>-0.1826991</v>
      </c>
      <c r="U4050">
        <v>-3.0440369999999999</v>
      </c>
      <c r="V4050">
        <v>3.9852770000000003E-2</v>
      </c>
      <c r="W4050">
        <v>1.519556E-2</v>
      </c>
      <c r="X4050">
        <v>0.99908999999999903</v>
      </c>
      <c r="Y4050">
        <v>0.2492045</v>
      </c>
      <c r="Z4050">
        <v>5.8026699999999903E-2</v>
      </c>
      <c r="AA4050">
        <v>0.96671090000000004</v>
      </c>
      <c r="AB4050">
        <v>25</v>
      </c>
      <c r="AC4050">
        <v>-2.3680999999999699</v>
      </c>
      <c r="AD4050">
        <v>-1.1047349083769999</v>
      </c>
      <c r="AE4050">
        <v>-18.261099999999999</v>
      </c>
      <c r="AF4050">
        <v>4.6121760382282604</v>
      </c>
      <c r="AG4050">
        <v>-1.1047349083769999</v>
      </c>
      <c r="AH4050">
        <v>17.758821465464401</v>
      </c>
      <c r="AI4050">
        <v>93.445630961746204</v>
      </c>
      <c r="AJ4050">
        <v>75.441250295989605</v>
      </c>
      <c r="AK4050">
        <v>18.381195468946899</v>
      </c>
    </row>
    <row r="4051" spans="1:37" x14ac:dyDescent="0.2">
      <c r="A4051" t="str">
        <f>"20200111155629902"</f>
        <v>20200111155629902</v>
      </c>
      <c r="B4051" t="str">
        <f>"1578729389896311"</f>
        <v>1578729389896311</v>
      </c>
      <c r="C4051" t="s">
        <v>37</v>
      </c>
      <c r="D4051">
        <v>4.895886</v>
      </c>
      <c r="E4051">
        <v>0.58253699999999997</v>
      </c>
      <c r="F4051" t="s">
        <v>38</v>
      </c>
      <c r="G4051">
        <v>-197.0171</v>
      </c>
      <c r="H4051" s="1">
        <v>-4.7400969999999999E-6</v>
      </c>
      <c r="I4051">
        <v>166.38829999999999</v>
      </c>
      <c r="J4051">
        <v>-194.5667</v>
      </c>
      <c r="K4051">
        <v>1.1045849999999999</v>
      </c>
      <c r="L4051">
        <v>184.93639999999999</v>
      </c>
      <c r="M4051">
        <v>0.12445829999999999</v>
      </c>
      <c r="N4051">
        <v>0</v>
      </c>
      <c r="O4051">
        <v>-0.99212819999999902</v>
      </c>
      <c r="P4051">
        <v>8.6816679999999993E-2</v>
      </c>
      <c r="Q4051">
        <v>1.255277E-4</v>
      </c>
      <c r="R4051">
        <v>-0.99622449999999996</v>
      </c>
      <c r="S4051">
        <v>-0.39479059999999999</v>
      </c>
      <c r="T4051">
        <v>-0.17962429999999999</v>
      </c>
      <c r="U4051">
        <v>-3.0449220000000001</v>
      </c>
      <c r="V4051">
        <v>3.7870099999999997E-2</v>
      </c>
      <c r="W4051">
        <v>1.393399E-2</v>
      </c>
      <c r="X4051">
        <v>0.99918549999999995</v>
      </c>
      <c r="Y4051">
        <v>0.25080209999999997</v>
      </c>
      <c r="Z4051">
        <v>5.702132E-2</v>
      </c>
      <c r="AA4051">
        <v>0.96635749999999998</v>
      </c>
      <c r="AB4051">
        <v>25</v>
      </c>
      <c r="AC4051">
        <v>-2.4504000000000001</v>
      </c>
      <c r="AD4051">
        <v>-1.104589740097</v>
      </c>
      <c r="AE4051">
        <v>-18.548100000000002</v>
      </c>
      <c r="AF4051">
        <v>4.7235655630856703</v>
      </c>
      <c r="AG4051">
        <v>-1.104589740097</v>
      </c>
      <c r="AH4051">
        <v>18.035988050998501</v>
      </c>
      <c r="AI4051">
        <v>93.390555149837397</v>
      </c>
      <c r="AJ4051">
        <v>75.324039686871004</v>
      </c>
      <c r="AK4051">
        <v>18.676965896484901</v>
      </c>
    </row>
    <row r="4052" spans="1:37" x14ac:dyDescent="0.2">
      <c r="A4052" t="str">
        <f>"20200111155629916"</f>
        <v>20200111155629916</v>
      </c>
      <c r="B4052" t="str">
        <f>"1578729389907048"</f>
        <v>1578729389907048</v>
      </c>
      <c r="C4052" t="s">
        <v>37</v>
      </c>
      <c r="D4052">
        <v>4.7845510000000004</v>
      </c>
      <c r="E4052">
        <v>0.58385209999999998</v>
      </c>
      <c r="F4052" t="s">
        <v>38</v>
      </c>
      <c r="G4052">
        <v>-196.95779999999999</v>
      </c>
      <c r="H4052" s="1">
        <v>-4.6863920000000003E-6</v>
      </c>
      <c r="I4052">
        <v>166.2758</v>
      </c>
      <c r="J4052">
        <v>-194.54589999999999</v>
      </c>
      <c r="K4052">
        <v>1.1044449999999999</v>
      </c>
      <c r="L4052">
        <v>184.76750000000001</v>
      </c>
      <c r="M4052">
        <v>0.12398339999999899</v>
      </c>
      <c r="N4052">
        <v>0</v>
      </c>
      <c r="O4052">
        <v>-0.99218790000000001</v>
      </c>
      <c r="P4052">
        <v>8.7127689999999994E-2</v>
      </c>
      <c r="Q4052">
        <v>-3.2678029999999998E-4</v>
      </c>
      <c r="R4052">
        <v>-0.99619740000000001</v>
      </c>
      <c r="S4052">
        <v>-0.39021299999999998</v>
      </c>
      <c r="T4052">
        <v>-0.18026789999999901</v>
      </c>
      <c r="U4052">
        <v>-3.04537999999999</v>
      </c>
      <c r="V4052">
        <v>3.7083949999999997E-2</v>
      </c>
      <c r="W4052">
        <v>1.346816E-2</v>
      </c>
      <c r="X4052">
        <v>0.99922140000000004</v>
      </c>
      <c r="Y4052">
        <v>0.24888939999999901</v>
      </c>
      <c r="Z4052">
        <v>5.7241720000000003E-2</v>
      </c>
      <c r="AA4052">
        <v>0.96683889999999995</v>
      </c>
      <c r="AB4052">
        <v>24</v>
      </c>
      <c r="AC4052">
        <v>-2.4119000000000002</v>
      </c>
      <c r="AD4052">
        <v>-1.1044496863919999</v>
      </c>
      <c r="AE4052">
        <v>-18.491700000000002</v>
      </c>
      <c r="AF4052">
        <v>4.6697902306582701</v>
      </c>
      <c r="AG4052">
        <v>-1.1044496863919999</v>
      </c>
      <c r="AH4052">
        <v>17.986840956002201</v>
      </c>
      <c r="AI4052">
        <v>93.401251269690306</v>
      </c>
      <c r="AJ4052">
        <v>75.446040452882301</v>
      </c>
      <c r="AK4052">
        <v>18.6159393393038</v>
      </c>
    </row>
    <row r="4053" spans="1:37" x14ac:dyDescent="0.2">
      <c r="A4053" t="str">
        <f>"20200111155629935"</f>
        <v>20200111155629935</v>
      </c>
      <c r="B4053" t="str">
        <f>"1578729389926567"</f>
        <v>1578729389926567</v>
      </c>
      <c r="C4053" t="s">
        <v>37</v>
      </c>
      <c r="D4053">
        <v>6.0457199999999904</v>
      </c>
      <c r="E4053">
        <v>0.58191309999999996</v>
      </c>
      <c r="F4053" t="s">
        <v>38</v>
      </c>
      <c r="G4053">
        <v>-197.0385</v>
      </c>
      <c r="H4053" s="1">
        <v>-4.5064169999999996E-6</v>
      </c>
      <c r="I4053">
        <v>165.76990000000001</v>
      </c>
      <c r="J4053">
        <v>-194.52199999999999</v>
      </c>
      <c r="K4053">
        <v>1.104295</v>
      </c>
      <c r="L4053">
        <v>184.57060000000001</v>
      </c>
      <c r="M4053">
        <v>0.1232549</v>
      </c>
      <c r="N4053">
        <v>0</v>
      </c>
      <c r="O4053">
        <v>-0.99227860000000001</v>
      </c>
      <c r="P4053">
        <v>8.8027099999999997E-2</v>
      </c>
      <c r="Q4053">
        <v>-6.9196649999999998E-4</v>
      </c>
      <c r="R4053">
        <v>-0.99611779999999905</v>
      </c>
      <c r="S4053">
        <v>-0.39968870000000001</v>
      </c>
      <c r="T4053">
        <v>-0.1771035</v>
      </c>
      <c r="U4053">
        <v>-3.0463559999999998</v>
      </c>
      <c r="V4053">
        <v>3.5452310000000001E-2</v>
      </c>
      <c r="W4053">
        <v>1.309102E-2</v>
      </c>
      <c r="X4053">
        <v>0.9992856</v>
      </c>
      <c r="Y4053">
        <v>0.25110399999999999</v>
      </c>
      <c r="Z4053">
        <v>5.6202639999999998E-2</v>
      </c>
      <c r="AA4053">
        <v>0.96632709999999999</v>
      </c>
      <c r="AB4053">
        <v>24</v>
      </c>
      <c r="AC4053">
        <v>-2.5164999999999802</v>
      </c>
      <c r="AD4053">
        <v>-1.104299506417</v>
      </c>
      <c r="AE4053">
        <v>-18.800699999999999</v>
      </c>
      <c r="AF4053">
        <v>4.7985444730532603</v>
      </c>
      <c r="AG4053">
        <v>-1.104299506417</v>
      </c>
      <c r="AH4053">
        <v>18.285142950246101</v>
      </c>
      <c r="AI4053">
        <v>93.343148731569698</v>
      </c>
      <c r="AJ4053">
        <v>75.295523345109103</v>
      </c>
      <c r="AK4053">
        <v>18.936524474429799</v>
      </c>
    </row>
    <row r="4054" spans="1:37" x14ac:dyDescent="0.2">
      <c r="A4054" t="str">
        <f>"20200111155629950"</f>
        <v>20200111155629950</v>
      </c>
      <c r="B4054" t="str">
        <f>"1578729389947063"</f>
        <v>1578729389947063</v>
      </c>
      <c r="C4054" t="s">
        <v>37</v>
      </c>
      <c r="D4054">
        <v>4.9967699999999997</v>
      </c>
      <c r="E4054">
        <v>0.53635290000000002</v>
      </c>
      <c r="F4054" t="s">
        <v>38</v>
      </c>
      <c r="G4054">
        <v>-196.8503</v>
      </c>
      <c r="H4054" s="1">
        <v>-4.550925E-6</v>
      </c>
      <c r="I4054">
        <v>165.9727</v>
      </c>
      <c r="J4054">
        <v>-194.50200000000001</v>
      </c>
      <c r="K4054">
        <v>1.1041700000000001</v>
      </c>
      <c r="L4054">
        <v>184.40389999999999</v>
      </c>
      <c r="M4054">
        <v>0.1224962</v>
      </c>
      <c r="N4054">
        <v>0</v>
      </c>
      <c r="O4054">
        <v>-0.99237240000000004</v>
      </c>
      <c r="P4054">
        <v>8.7948609999999997E-2</v>
      </c>
      <c r="Q4054">
        <v>-2.9988539999999998E-4</v>
      </c>
      <c r="R4054">
        <v>-0.99612489999999998</v>
      </c>
      <c r="S4054">
        <v>-0.38124079999999999</v>
      </c>
      <c r="T4054">
        <v>-0.18082179999999901</v>
      </c>
      <c r="U4054">
        <v>-3.0452729999999999</v>
      </c>
      <c r="V4054">
        <v>3.477193E-2</v>
      </c>
      <c r="W4054">
        <v>1.3472929999999999E-2</v>
      </c>
      <c r="X4054">
        <v>0.99930450000000004</v>
      </c>
      <c r="Y4054">
        <v>0.24463470000000001</v>
      </c>
      <c r="Z4054">
        <v>5.747799E-2</v>
      </c>
      <c r="AA4054">
        <v>0.96791019999999905</v>
      </c>
      <c r="AB4054">
        <v>24</v>
      </c>
      <c r="AC4054">
        <v>-2.3482999999999898</v>
      </c>
      <c r="AD4054">
        <v>-1.1041745509250001</v>
      </c>
      <c r="AE4054">
        <v>-18.431199999999901</v>
      </c>
      <c r="AF4054">
        <v>4.57243177909133</v>
      </c>
      <c r="AG4054">
        <v>-1.1041745509250001</v>
      </c>
      <c r="AH4054">
        <v>17.9413201246977</v>
      </c>
      <c r="AI4054">
        <v>93.412927645665505</v>
      </c>
      <c r="AJ4054">
        <v>75.702259154500297</v>
      </c>
      <c r="AK4054">
        <v>18.547703405819199</v>
      </c>
    </row>
    <row r="4055" spans="1:37" x14ac:dyDescent="0.2">
      <c r="A4055" t="str">
        <f>"20200111155629964"</f>
        <v>20200111155629964</v>
      </c>
      <c r="B4055" t="str">
        <f>"1578729389956823"</f>
        <v>1578729389956823</v>
      </c>
      <c r="C4055" t="s">
        <v>37</v>
      </c>
      <c r="D4055">
        <v>4.9668349999999997</v>
      </c>
      <c r="E4055">
        <v>0.52999249999999998</v>
      </c>
      <c r="F4055" t="s">
        <v>72</v>
      </c>
      <c r="G4055">
        <v>-194.80709999999999</v>
      </c>
      <c r="H4055" s="1">
        <v>-9.9177119999999994E-6</v>
      </c>
      <c r="I4055">
        <v>143.55240000000001</v>
      </c>
      <c r="J4055">
        <v>-194.4837</v>
      </c>
      <c r="K4055">
        <v>1.104053</v>
      </c>
      <c r="L4055">
        <v>184.24930000000001</v>
      </c>
      <c r="M4055">
        <v>0.1216928</v>
      </c>
      <c r="N4055">
        <v>0</v>
      </c>
      <c r="O4055">
        <v>-0.99247160000000001</v>
      </c>
      <c r="P4055">
        <v>8.7775999999999896E-2</v>
      </c>
      <c r="Q4055">
        <v>3.801438E-4</v>
      </c>
      <c r="R4055">
        <v>-0.99614040000000004</v>
      </c>
      <c r="S4055">
        <v>-2.2506709999999999E-2</v>
      </c>
      <c r="T4055">
        <v>-8.1455710000000001E-2</v>
      </c>
      <c r="U4055">
        <v>-3.0136259999999999</v>
      </c>
      <c r="V4055">
        <v>3.414143E-2</v>
      </c>
      <c r="W4055">
        <v>1.4144250000000001E-2</v>
      </c>
      <c r="X4055">
        <v>0.99931689999999995</v>
      </c>
      <c r="Y4055">
        <v>0.1291108</v>
      </c>
      <c r="Z4055">
        <v>2.6604539999999999E-2</v>
      </c>
      <c r="AA4055">
        <v>0.99127319999999997</v>
      </c>
      <c r="AB4055">
        <v>24</v>
      </c>
      <c r="AC4055">
        <v>-0.32339999999999203</v>
      </c>
      <c r="AD4055">
        <v>-1.104062917712</v>
      </c>
      <c r="AE4055">
        <v>-40.696899999999999</v>
      </c>
      <c r="AF4055">
        <v>5.2701102381377902</v>
      </c>
      <c r="AG4055">
        <v>-1.104062917712</v>
      </c>
      <c r="AH4055">
        <v>40.325339105332901</v>
      </c>
      <c r="AI4055">
        <v>91.555085416580098</v>
      </c>
      <c r="AJ4055">
        <v>82.554225877207898</v>
      </c>
      <c r="AK4055">
        <v>40.683239679362899</v>
      </c>
    </row>
    <row r="4056" spans="1:37" x14ac:dyDescent="0.2">
      <c r="A4056" t="str">
        <f>"20200111155629979"</f>
        <v>20200111155629979</v>
      </c>
      <c r="B4056" t="str">
        <f>"1578729389966583"</f>
        <v>1578729389966583</v>
      </c>
      <c r="C4056" t="s">
        <v>37</v>
      </c>
      <c r="D4056">
        <v>4.8766949999999998</v>
      </c>
      <c r="E4056">
        <v>0.52596009999999904</v>
      </c>
      <c r="F4056" t="s">
        <v>72</v>
      </c>
      <c r="G4056">
        <v>-194.12039999999999</v>
      </c>
      <c r="H4056" s="1">
        <v>-1.0159489999999999E-5</v>
      </c>
      <c r="I4056">
        <v>144.8141</v>
      </c>
      <c r="J4056">
        <v>-194.46610000000001</v>
      </c>
      <c r="K4056">
        <v>1.103945</v>
      </c>
      <c r="L4056">
        <v>184.09899999999999</v>
      </c>
      <c r="M4056">
        <v>0.12082759999999999</v>
      </c>
      <c r="N4056">
        <v>0</v>
      </c>
      <c r="O4056">
        <v>-0.99257709999999999</v>
      </c>
      <c r="P4056">
        <v>8.7824540000000006E-2</v>
      </c>
      <c r="Q4056">
        <v>3.3563909999999998E-3</v>
      </c>
      <c r="R4056">
        <v>-0.99613039999999997</v>
      </c>
      <c r="S4056">
        <v>2.7725219999999998E-2</v>
      </c>
      <c r="T4056">
        <v>-8.424914E-2</v>
      </c>
      <c r="U4056">
        <v>-3.0092319999999999</v>
      </c>
      <c r="V4056">
        <v>3.3232039999999997E-2</v>
      </c>
      <c r="W4056">
        <v>1.7112680000000002E-2</v>
      </c>
      <c r="X4056">
        <v>0.99930110000000005</v>
      </c>
      <c r="Y4056">
        <v>0.111691899999999</v>
      </c>
      <c r="Z4056">
        <v>2.759027E-2</v>
      </c>
      <c r="AA4056">
        <v>0.99335980000000001</v>
      </c>
      <c r="AB4056">
        <v>24</v>
      </c>
      <c r="AC4056">
        <v>0.34570000000002199</v>
      </c>
      <c r="AD4056">
        <v>-1.1039551594899999</v>
      </c>
      <c r="AE4056">
        <v>-39.2849</v>
      </c>
      <c r="AF4056">
        <v>4.4005130117042999</v>
      </c>
      <c r="AG4056">
        <v>-1.1039551594899999</v>
      </c>
      <c r="AH4056">
        <v>39.007996765760502</v>
      </c>
      <c r="AI4056">
        <v>91.610867950795395</v>
      </c>
      <c r="AJ4056">
        <v>83.563643861966796</v>
      </c>
      <c r="AK4056">
        <v>39.270944010017402</v>
      </c>
    </row>
    <row r="4057" spans="1:37" x14ac:dyDescent="0.2">
      <c r="A4057" t="str">
        <f>"20200111155629994"</f>
        <v>20200111155629994</v>
      </c>
      <c r="B4057" t="str">
        <f>"1578729389987079"</f>
        <v>1578729389987079</v>
      </c>
      <c r="C4057" t="s">
        <v>37</v>
      </c>
      <c r="D4057">
        <v>4.9033179999999996</v>
      </c>
      <c r="E4057">
        <v>0.52213100000000001</v>
      </c>
      <c r="F4057" t="s">
        <v>72</v>
      </c>
      <c r="G4057">
        <v>-193.64429999999999</v>
      </c>
      <c r="H4057" s="1">
        <v>-9.5776639999999996E-6</v>
      </c>
      <c r="I4057">
        <v>142.97059999999999</v>
      </c>
      <c r="J4057">
        <v>-194.44569999999999</v>
      </c>
      <c r="K4057">
        <v>1.103826</v>
      </c>
      <c r="L4057">
        <v>183.92169999999999</v>
      </c>
      <c r="M4057">
        <v>0.1196483</v>
      </c>
      <c r="N4057">
        <v>0</v>
      </c>
      <c r="O4057">
        <v>-0.99271980000000004</v>
      </c>
      <c r="P4057">
        <v>8.6953600000000006E-2</v>
      </c>
      <c r="Q4057">
        <v>4.9460349999999997E-3</v>
      </c>
      <c r="R4057">
        <v>-0.99619999999999997</v>
      </c>
      <c r="S4057">
        <v>6.0073849999999998E-2</v>
      </c>
      <c r="T4057">
        <v>-8.070397E-2</v>
      </c>
      <c r="U4057">
        <v>-3.0066679999999999</v>
      </c>
      <c r="V4057">
        <v>3.2927530000000003E-2</v>
      </c>
      <c r="W4057">
        <v>1.869266E-2</v>
      </c>
      <c r="X4057">
        <v>0.99928289999999997</v>
      </c>
      <c r="Y4057">
        <v>9.9810179999999998E-2</v>
      </c>
      <c r="Z4057">
        <v>2.6473340000000001E-2</v>
      </c>
      <c r="AA4057">
        <v>0.99465419999999904</v>
      </c>
      <c r="AB4057">
        <v>24</v>
      </c>
      <c r="AC4057">
        <v>0.801400000000001</v>
      </c>
      <c r="AD4057">
        <v>-1.1038355776639901</v>
      </c>
      <c r="AE4057">
        <v>-40.951099999999997</v>
      </c>
      <c r="AF4057">
        <v>4.10157831211359</v>
      </c>
      <c r="AG4057">
        <v>-1.1038355776639901</v>
      </c>
      <c r="AH4057">
        <v>40.7231830146467</v>
      </c>
      <c r="AI4057">
        <v>91.544857236804205</v>
      </c>
      <c r="AJ4057">
        <v>84.248649783171402</v>
      </c>
      <c r="AK4057">
        <v>40.944096430099997</v>
      </c>
    </row>
    <row r="4058" spans="1:37" x14ac:dyDescent="0.2">
      <c r="A4058" t="str">
        <f>"20200111155630007"</f>
        <v>20200111155630007</v>
      </c>
      <c r="B4058" t="str">
        <f>"1578729389996839"</f>
        <v>1578729389996839</v>
      </c>
      <c r="C4058" t="s">
        <v>37</v>
      </c>
      <c r="D4058">
        <v>4.8860760000000001</v>
      </c>
      <c r="E4058">
        <v>0.52084509999999995</v>
      </c>
      <c r="F4058" t="s">
        <v>72</v>
      </c>
      <c r="G4058">
        <v>-193.2706</v>
      </c>
      <c r="H4058" s="1">
        <v>-9.7583419999999993E-6</v>
      </c>
      <c r="I4058">
        <v>143.8646</v>
      </c>
      <c r="J4058">
        <v>-194.43010000000001</v>
      </c>
      <c r="K4058">
        <v>1.1037379999999899</v>
      </c>
      <c r="L4058">
        <v>183.7835</v>
      </c>
      <c r="M4058">
        <v>0.1186458</v>
      </c>
      <c r="N4058">
        <v>0</v>
      </c>
      <c r="O4058">
        <v>-0.9928401</v>
      </c>
      <c r="P4058">
        <v>8.5951050000000001E-2</v>
      </c>
      <c r="Q4058">
        <v>6.3779119999999899E-3</v>
      </c>
      <c r="R4058">
        <v>-0.99627889999999997</v>
      </c>
      <c r="S4058">
        <v>8.8134770000000001E-2</v>
      </c>
      <c r="T4058">
        <v>-8.2784769999999994E-2</v>
      </c>
      <c r="U4058">
        <v>-3.004181</v>
      </c>
      <c r="V4058">
        <v>3.2931620000000002E-2</v>
      </c>
      <c r="W4058">
        <v>2.0117659999999999E-2</v>
      </c>
      <c r="X4058">
        <v>0.99925509999999995</v>
      </c>
      <c r="Y4058">
        <v>8.9499419999999996E-2</v>
      </c>
      <c r="Z4058">
        <v>2.7193249999999999E-2</v>
      </c>
      <c r="AA4058">
        <v>0.99561559999999905</v>
      </c>
      <c r="AB4058">
        <v>24</v>
      </c>
      <c r="AC4058">
        <v>1.1595</v>
      </c>
      <c r="AD4058">
        <v>-1.1037477583419999</v>
      </c>
      <c r="AE4058">
        <v>-39.918900000000001</v>
      </c>
      <c r="AF4058">
        <v>3.5826187853197902</v>
      </c>
      <c r="AG4058">
        <v>-1.1037477583419999</v>
      </c>
      <c r="AH4058">
        <v>39.744108126673403</v>
      </c>
      <c r="AI4058">
        <v>91.584351997274993</v>
      </c>
      <c r="AJ4058">
        <v>84.849157207388501</v>
      </c>
      <c r="AK4058">
        <v>39.920515368162199</v>
      </c>
    </row>
    <row r="4059" spans="1:37" x14ac:dyDescent="0.2">
      <c r="A4059" t="str">
        <f>"20200111155630024"</f>
        <v>20200111155630024</v>
      </c>
      <c r="B4059" t="str">
        <f>"1578729390016358"</f>
        <v>1578729390016358</v>
      </c>
      <c r="C4059" t="s">
        <v>37</v>
      </c>
      <c r="D4059">
        <v>4.928903</v>
      </c>
      <c r="E4059">
        <v>0.5199163</v>
      </c>
      <c r="F4059" t="s">
        <v>72</v>
      </c>
      <c r="G4059">
        <v>-193.10579999999999</v>
      </c>
      <c r="H4059" s="1">
        <v>-9.1958719999999996E-6</v>
      </c>
      <c r="I4059">
        <v>141.94720000000001</v>
      </c>
      <c r="J4059">
        <v>-194.41069999999999</v>
      </c>
      <c r="K4059">
        <v>1.1036319999999999</v>
      </c>
      <c r="L4059">
        <v>183.60929999999999</v>
      </c>
      <c r="M4059">
        <v>0.1172948</v>
      </c>
      <c r="N4059">
        <v>0</v>
      </c>
      <c r="O4059">
        <v>-0.99300059999999901</v>
      </c>
      <c r="P4059">
        <v>8.3962120000000001E-2</v>
      </c>
      <c r="Q4059">
        <v>7.2925250000000002E-3</v>
      </c>
      <c r="R4059">
        <v>-0.99644219999999895</v>
      </c>
      <c r="S4059">
        <v>9.5077510000000004E-2</v>
      </c>
      <c r="T4059">
        <v>-7.9240199999999997E-2</v>
      </c>
      <c r="U4059">
        <v>-3.0035099999999999</v>
      </c>
      <c r="V4059">
        <v>3.357446E-2</v>
      </c>
      <c r="W4059">
        <v>2.1022030000000001E-2</v>
      </c>
      <c r="X4059">
        <v>0.99921510000000002</v>
      </c>
      <c r="Y4059">
        <v>8.5836919999999997E-2</v>
      </c>
      <c r="Z4059">
        <v>2.6045260000000001E-2</v>
      </c>
      <c r="AA4059">
        <v>0.99596870000000004</v>
      </c>
      <c r="AB4059">
        <v>24</v>
      </c>
      <c r="AC4059">
        <v>1.3048999999999999</v>
      </c>
      <c r="AD4059">
        <v>-1.103641195872</v>
      </c>
      <c r="AE4059">
        <v>-41.662099999999903</v>
      </c>
      <c r="AF4059">
        <v>3.5888095907475601</v>
      </c>
      <c r="AG4059">
        <v>-1.103641195872</v>
      </c>
      <c r="AH4059">
        <v>41.4984372916567</v>
      </c>
      <c r="AI4059">
        <v>91.517746415943293</v>
      </c>
      <c r="AJ4059">
        <v>85.057324274888401</v>
      </c>
      <c r="AK4059">
        <v>41.667947823446198</v>
      </c>
    </row>
    <row r="4060" spans="1:37" x14ac:dyDescent="0.2">
      <c r="A4060" t="str">
        <f>"20200111155630045"</f>
        <v>20200111155630045</v>
      </c>
      <c r="B4060" t="str">
        <f>"1578729390036855"</f>
        <v>1578729390036855</v>
      </c>
      <c r="C4060" t="s">
        <v>37</v>
      </c>
      <c r="D4060">
        <v>5.1305399999999999</v>
      </c>
      <c r="E4060">
        <v>0.51928589999999997</v>
      </c>
      <c r="F4060" t="s">
        <v>72</v>
      </c>
      <c r="G4060">
        <v>-193.02119999999999</v>
      </c>
      <c r="H4060" s="1">
        <v>-8.7309690000000001E-6</v>
      </c>
      <c r="I4060">
        <v>140.42529999999999</v>
      </c>
      <c r="J4060">
        <v>-194.3854</v>
      </c>
      <c r="K4060">
        <v>1.1034949999999999</v>
      </c>
      <c r="L4060">
        <v>183.3759</v>
      </c>
      <c r="M4060">
        <v>0.1152932</v>
      </c>
      <c r="N4060">
        <v>0</v>
      </c>
      <c r="O4060">
        <v>-0.99323510000000004</v>
      </c>
      <c r="P4060">
        <v>8.1019300000000002E-2</v>
      </c>
      <c r="Q4060">
        <v>6.3418789999999999E-3</v>
      </c>
      <c r="R4060">
        <v>-0.99669269999999999</v>
      </c>
      <c r="S4060">
        <v>9.6633910000000003E-2</v>
      </c>
      <c r="T4060">
        <v>-7.6749680000000001E-2</v>
      </c>
      <c r="U4060">
        <v>-3.0031129999999999</v>
      </c>
      <c r="V4060">
        <v>3.4515619999999997E-2</v>
      </c>
      <c r="W4060">
        <v>2.005759E-2</v>
      </c>
      <c r="X4060">
        <v>0.99920279999999995</v>
      </c>
      <c r="Y4060">
        <v>8.3308080000000007E-2</v>
      </c>
      <c r="Z4060">
        <v>2.5242029999999999E-2</v>
      </c>
      <c r="AA4060">
        <v>0.99620409999999904</v>
      </c>
      <c r="AB4060">
        <v>24</v>
      </c>
      <c r="AC4060">
        <v>1.3642000000000101</v>
      </c>
      <c r="AD4060">
        <v>-1.1035037309689999</v>
      </c>
      <c r="AE4060">
        <v>-42.950600000000001</v>
      </c>
      <c r="AF4060">
        <v>3.5949146661293199</v>
      </c>
      <c r="AG4060">
        <v>-1.1035037309689999</v>
      </c>
      <c r="AH4060">
        <v>42.793207831110898</v>
      </c>
      <c r="AI4060">
        <v>91.471970077912999</v>
      </c>
      <c r="AJ4060">
        <v>85.198047460793703</v>
      </c>
      <c r="AK4060">
        <v>42.958116444016298</v>
      </c>
    </row>
    <row r="4061" spans="1:37" x14ac:dyDescent="0.2">
      <c r="A4061" t="str">
        <f>"20200111155630060"</f>
        <v>20200111155630060</v>
      </c>
      <c r="B4061" t="str">
        <f>"1578729390056376"</f>
        <v>1578729390056376</v>
      </c>
      <c r="C4061" t="s">
        <v>37</v>
      </c>
      <c r="D4061">
        <v>4.9988989999999998</v>
      </c>
      <c r="E4061">
        <v>0.51866080000000003</v>
      </c>
      <c r="F4061" t="s">
        <v>72</v>
      </c>
      <c r="G4061">
        <v>-193.1396</v>
      </c>
      <c r="H4061" s="1">
        <v>-9.532908E-6</v>
      </c>
      <c r="I4061">
        <v>143.09780000000001</v>
      </c>
      <c r="J4061">
        <v>-194.36859999999999</v>
      </c>
      <c r="K4061">
        <v>1.10341</v>
      </c>
      <c r="L4061">
        <v>183.2184</v>
      </c>
      <c r="M4061">
        <v>0.113847699999999</v>
      </c>
      <c r="N4061">
        <v>0</v>
      </c>
      <c r="O4061">
        <v>-0.99340189999999995</v>
      </c>
      <c r="P4061">
        <v>7.9330440000000002E-2</v>
      </c>
      <c r="Q4061">
        <v>5.95444099999999E-3</v>
      </c>
      <c r="R4061">
        <v>-0.99683089999999996</v>
      </c>
      <c r="S4061">
        <v>9.2880249999999998E-2</v>
      </c>
      <c r="T4061">
        <v>-8.2272289999999998E-2</v>
      </c>
      <c r="U4061">
        <v>-3.002945</v>
      </c>
      <c r="V4061">
        <v>3.4757469999999999E-2</v>
      </c>
      <c r="W4061">
        <v>1.9663799999999999E-2</v>
      </c>
      <c r="X4061">
        <v>0.99920229999999999</v>
      </c>
      <c r="Y4061">
        <v>8.310157E-2</v>
      </c>
      <c r="Z4061">
        <v>2.7066150000000001E-2</v>
      </c>
      <c r="AA4061">
        <v>0.99617339999999999</v>
      </c>
      <c r="AB4061">
        <v>24</v>
      </c>
      <c r="AC4061">
        <v>1.2289999999999801</v>
      </c>
      <c r="AD4061">
        <v>-1.1034195329080001</v>
      </c>
      <c r="AE4061">
        <v>-40.120600000000003</v>
      </c>
      <c r="AF4061">
        <v>3.3445399616118201</v>
      </c>
      <c r="AG4061">
        <v>-1.1034195329080001</v>
      </c>
      <c r="AH4061">
        <v>39.969422386408297</v>
      </c>
      <c r="AI4061">
        <v>91.575835040553002</v>
      </c>
      <c r="AJ4061">
        <v>85.216777530154801</v>
      </c>
      <c r="AK4061">
        <v>40.124284518524902</v>
      </c>
    </row>
    <row r="4062" spans="1:37" x14ac:dyDescent="0.2">
      <c r="A4062" t="str">
        <f>"20200111155630072"</f>
        <v>20200111155630072</v>
      </c>
      <c r="B4062" t="str">
        <f>"1578729390067111"</f>
        <v>1578729390067111</v>
      </c>
      <c r="C4062" t="s">
        <v>37</v>
      </c>
      <c r="D4062">
        <v>4.9399069999999998</v>
      </c>
      <c r="E4062">
        <v>0.51830080000000001</v>
      </c>
      <c r="F4062" t="s">
        <v>72</v>
      </c>
      <c r="G4062">
        <v>-193.21010000000001</v>
      </c>
      <c r="H4062" s="1">
        <v>-1.0235720000000001E-5</v>
      </c>
      <c r="I4062">
        <v>145.71539999999999</v>
      </c>
      <c r="J4062">
        <v>-194.35310000000001</v>
      </c>
      <c r="K4062">
        <v>1.1033379999999999</v>
      </c>
      <c r="L4062">
        <v>183.06950000000001</v>
      </c>
      <c r="M4062">
        <v>0.1123914</v>
      </c>
      <c r="N4062">
        <v>0</v>
      </c>
      <c r="O4062">
        <v>-0.9935676</v>
      </c>
      <c r="P4062">
        <v>7.7331750000000005E-2</v>
      </c>
      <c r="Q4062">
        <v>5.8502409999999999E-3</v>
      </c>
      <c r="R4062">
        <v>-0.9969884</v>
      </c>
      <c r="S4062">
        <v>9.2758179999999996E-2</v>
      </c>
      <c r="T4062">
        <v>-8.8345770000000004E-2</v>
      </c>
      <c r="U4062">
        <v>-3.0026860000000002</v>
      </c>
      <c r="V4062">
        <v>3.5299270000000001E-2</v>
      </c>
      <c r="W4062">
        <v>1.9552239999999999E-2</v>
      </c>
      <c r="X4062">
        <v>0.99918549999999995</v>
      </c>
      <c r="Y4062">
        <v>8.1680310000000006E-2</v>
      </c>
      <c r="Z4062">
        <v>2.907411E-2</v>
      </c>
      <c r="AA4062">
        <v>0.99623439999999996</v>
      </c>
      <c r="AB4062">
        <v>24</v>
      </c>
      <c r="AC4062">
        <v>1.143</v>
      </c>
      <c r="AD4062">
        <v>-1.10334823572</v>
      </c>
      <c r="AE4062">
        <v>-37.354100000000003</v>
      </c>
      <c r="AF4062">
        <v>3.0602577921108201</v>
      </c>
      <c r="AG4062">
        <v>-1.10334823572</v>
      </c>
      <c r="AH4062">
        <v>37.213418051598403</v>
      </c>
      <c r="AI4062">
        <v>91.6925666188462</v>
      </c>
      <c r="AJ4062">
        <v>85.298840930882093</v>
      </c>
      <c r="AK4062">
        <v>37.355334801959302</v>
      </c>
    </row>
    <row r="4063" spans="1:37" x14ac:dyDescent="0.2">
      <c r="A4063" t="str">
        <f>"20200111155630090"</f>
        <v>20200111155630090</v>
      </c>
      <c r="B4063" t="str">
        <f>"1578729390086631"</f>
        <v>1578729390086631</v>
      </c>
      <c r="C4063" t="s">
        <v>37</v>
      </c>
      <c r="D4063">
        <v>4.9448589999999903</v>
      </c>
      <c r="E4063">
        <v>0.51787529999999904</v>
      </c>
      <c r="F4063" t="s">
        <v>72</v>
      </c>
      <c r="G4063">
        <v>-193.26900000000001</v>
      </c>
      <c r="H4063" s="1">
        <v>-1.052265E-5</v>
      </c>
      <c r="I4063">
        <v>146.7638</v>
      </c>
      <c r="J4063">
        <v>-194.3348</v>
      </c>
      <c r="K4063">
        <v>1.103267</v>
      </c>
      <c r="L4063">
        <v>182.8895</v>
      </c>
      <c r="M4063">
        <v>0.110549299999999</v>
      </c>
      <c r="N4063">
        <v>0</v>
      </c>
      <c r="O4063">
        <v>-0.99377409999999999</v>
      </c>
      <c r="P4063">
        <v>7.4738460000000007E-2</v>
      </c>
      <c r="Q4063">
        <v>6.96045E-3</v>
      </c>
      <c r="R4063">
        <v>-0.99717900000000004</v>
      </c>
      <c r="S4063">
        <v>8.966064E-2</v>
      </c>
      <c r="T4063">
        <v>-9.1251849999999995E-2</v>
      </c>
      <c r="U4063">
        <v>-3.00264</v>
      </c>
      <c r="V4063">
        <v>3.6053389999999998E-2</v>
      </c>
      <c r="W4063">
        <v>2.065351E-2</v>
      </c>
      <c r="X4063">
        <v>0.99913639999999904</v>
      </c>
      <c r="Y4063">
        <v>8.0859769999999997E-2</v>
      </c>
      <c r="Z4063">
        <v>3.004097E-2</v>
      </c>
      <c r="AA4063">
        <v>0.99627269999999901</v>
      </c>
      <c r="AB4063">
        <v>24</v>
      </c>
      <c r="AC4063">
        <v>1.0657999999999901</v>
      </c>
      <c r="AD4063">
        <v>-1.10327752265</v>
      </c>
      <c r="AE4063">
        <v>-36.125700000000002</v>
      </c>
      <c r="AF4063">
        <v>2.9320556848394701</v>
      </c>
      <c r="AG4063">
        <v>-1.10327752265</v>
      </c>
      <c r="AH4063">
        <v>35.988527834433398</v>
      </c>
      <c r="AI4063">
        <v>91.750135321454806</v>
      </c>
      <c r="AJ4063">
        <v>85.342288173945903</v>
      </c>
      <c r="AK4063">
        <v>36.124621901422998</v>
      </c>
    </row>
    <row r="4064" spans="1:37" x14ac:dyDescent="0.2">
      <c r="A4064" t="str">
        <f>"20200111155630103"</f>
        <v>20200111155630103</v>
      </c>
      <c r="B4064" t="str">
        <f>"1578729390096390"</f>
        <v>1578729390096390</v>
      </c>
      <c r="C4064" t="s">
        <v>37</v>
      </c>
      <c r="D4064">
        <v>5.0021449999999996</v>
      </c>
      <c r="E4064">
        <v>0.51761599999999997</v>
      </c>
      <c r="F4064" t="s">
        <v>72</v>
      </c>
      <c r="G4064">
        <v>-193.27770000000001</v>
      </c>
      <c r="H4064" s="1">
        <v>-1.0245679999999999E-5</v>
      </c>
      <c r="I4064">
        <v>145.70779999999999</v>
      </c>
      <c r="J4064">
        <v>-194.3211</v>
      </c>
      <c r="K4064">
        <v>1.1032120000000001</v>
      </c>
      <c r="L4064">
        <v>182.75299999999999</v>
      </c>
      <c r="M4064">
        <v>0.10909919999999999</v>
      </c>
      <c r="N4064">
        <v>0</v>
      </c>
      <c r="O4064">
        <v>-0.99393430000000005</v>
      </c>
      <c r="P4064">
        <v>7.2802640000000002E-2</v>
      </c>
      <c r="Q4064">
        <v>7.5735500000000001E-3</v>
      </c>
      <c r="R4064">
        <v>-0.99731789999999998</v>
      </c>
      <c r="S4064">
        <v>8.5372920000000005E-2</v>
      </c>
      <c r="T4064">
        <v>-8.9099289999999998E-2</v>
      </c>
      <c r="U4064">
        <v>-3.0027469999999998</v>
      </c>
      <c r="V4064">
        <v>3.6540219999999998E-2</v>
      </c>
      <c r="W4064">
        <v>2.1260399999999999E-2</v>
      </c>
      <c r="X4064">
        <v>0.99910599999999905</v>
      </c>
      <c r="Y4064">
        <v>8.0827389999999999E-2</v>
      </c>
      <c r="Z4064">
        <v>2.9339670000000002E-2</v>
      </c>
      <c r="AA4064">
        <v>0.99629619999999997</v>
      </c>
      <c r="AB4064">
        <v>24</v>
      </c>
      <c r="AC4064">
        <v>1.0433999999999899</v>
      </c>
      <c r="AD4064">
        <v>-1.1032222456799901</v>
      </c>
      <c r="AE4064">
        <v>-37.045200000000001</v>
      </c>
      <c r="AF4064">
        <v>3.0021586421763198</v>
      </c>
      <c r="AG4064">
        <v>-1.1032222456799901</v>
      </c>
      <c r="AH4064">
        <v>36.905170414150597</v>
      </c>
      <c r="AI4064">
        <v>91.706623528546302</v>
      </c>
      <c r="AJ4064">
        <v>85.349348331172905</v>
      </c>
      <c r="AK4064">
        <v>37.043510351121597</v>
      </c>
    </row>
    <row r="4065" spans="1:37" x14ac:dyDescent="0.2">
      <c r="A4065" t="str">
        <f>"20200111155630116"</f>
        <v>20200111155630116</v>
      </c>
      <c r="B4065" t="str">
        <f>"1578729390107127"</f>
        <v>1578729390107127</v>
      </c>
      <c r="C4065" t="s">
        <v>37</v>
      </c>
      <c r="D4065">
        <v>5.0161340000000001</v>
      </c>
      <c r="E4065">
        <v>0.51740770000000003</v>
      </c>
      <c r="F4065" t="s">
        <v>72</v>
      </c>
      <c r="G4065">
        <v>-193.29679999999999</v>
      </c>
      <c r="H4065" s="1">
        <v>-1.010674E-5</v>
      </c>
      <c r="I4065">
        <v>145.16800000000001</v>
      </c>
      <c r="J4065">
        <v>-194.30690000000001</v>
      </c>
      <c r="K4065">
        <v>1.1031549999999899</v>
      </c>
      <c r="L4065">
        <v>182.60749999999999</v>
      </c>
      <c r="M4065">
        <v>0.10749839999999999</v>
      </c>
      <c r="N4065">
        <v>0</v>
      </c>
      <c r="O4065">
        <v>-0.99410869999999996</v>
      </c>
      <c r="P4065">
        <v>7.0928640000000001E-2</v>
      </c>
      <c r="Q4065">
        <v>7.863887E-3</v>
      </c>
      <c r="R4065">
        <v>-0.99745049999999902</v>
      </c>
      <c r="S4065">
        <v>8.1832890000000005E-2</v>
      </c>
      <c r="T4065">
        <v>-8.8139300000000004E-2</v>
      </c>
      <c r="U4065">
        <v>-3.0027619999999899</v>
      </c>
      <c r="V4065">
        <v>3.6812600000000001E-2</v>
      </c>
      <c r="W4065">
        <v>2.1545950000000001E-2</v>
      </c>
      <c r="X4065">
        <v>0.99908989999999998</v>
      </c>
      <c r="Y4065">
        <v>8.0395759999999997E-2</v>
      </c>
      <c r="Z4065">
        <v>2.9032329999999999E-2</v>
      </c>
      <c r="AA4065">
        <v>0.99634020000000001</v>
      </c>
      <c r="AB4065">
        <v>24</v>
      </c>
      <c r="AC4065">
        <v>1.01010000000002</v>
      </c>
      <c r="AD4065">
        <v>-1.1031651067399999</v>
      </c>
      <c r="AE4065">
        <v>-37.439499999999903</v>
      </c>
      <c r="AF4065">
        <v>3.0182086321855199</v>
      </c>
      <c r="AG4065">
        <v>-1.1031651067399999</v>
      </c>
      <c r="AH4065">
        <v>37.298741214398497</v>
      </c>
      <c r="AI4065">
        <v>91.688596790417293</v>
      </c>
      <c r="AJ4065">
        <v>85.373714084138101</v>
      </c>
      <c r="AK4065">
        <v>37.436915641900796</v>
      </c>
    </row>
    <row r="4066" spans="1:37" x14ac:dyDescent="0.2">
      <c r="A4066" t="str">
        <f>"20200111155630131"</f>
        <v>20200111155630131</v>
      </c>
      <c r="B4066" t="str">
        <f>"1578729390126648"</f>
        <v>1578729390126648</v>
      </c>
      <c r="C4066" t="s">
        <v>37</v>
      </c>
      <c r="D4066">
        <v>4.9905599999999897</v>
      </c>
      <c r="E4066">
        <v>0.51684289999999999</v>
      </c>
      <c r="F4066" t="s">
        <v>72</v>
      </c>
      <c r="G4066">
        <v>-193.3339</v>
      </c>
      <c r="H4066" s="1">
        <v>-1.0081539999999999E-5</v>
      </c>
      <c r="I4066">
        <v>145.04750000000001</v>
      </c>
      <c r="J4066">
        <v>-194.2912</v>
      </c>
      <c r="K4066">
        <v>1.103091</v>
      </c>
      <c r="L4066">
        <v>182.4436</v>
      </c>
      <c r="M4066">
        <v>0.105620699999999</v>
      </c>
      <c r="N4066">
        <v>0</v>
      </c>
      <c r="O4066">
        <v>-0.99431009999999997</v>
      </c>
      <c r="P4066">
        <v>6.9217849999999997E-2</v>
      </c>
      <c r="Q4066">
        <v>8.4485229999999994E-3</v>
      </c>
      <c r="R4066">
        <v>-0.99756610000000001</v>
      </c>
      <c r="S4066">
        <v>7.778931E-2</v>
      </c>
      <c r="T4066">
        <v>-8.8196280000000002E-2</v>
      </c>
      <c r="U4066">
        <v>-3.002853</v>
      </c>
      <c r="V4066">
        <v>3.6644599999999999E-2</v>
      </c>
      <c r="W4066">
        <v>2.2127560000000001E-2</v>
      </c>
      <c r="X4066">
        <v>0.99908330000000001</v>
      </c>
      <c r="Y4066">
        <v>7.9854789999999995E-2</v>
      </c>
      <c r="Z4066">
        <v>2.9060200000000001E-2</v>
      </c>
      <c r="AA4066">
        <v>0.99638280000000001</v>
      </c>
      <c r="AB4066">
        <v>24</v>
      </c>
      <c r="AC4066">
        <v>0.95730000000000304</v>
      </c>
      <c r="AD4066">
        <v>-1.10310108154</v>
      </c>
      <c r="AE4066">
        <v>-37.396099999999898</v>
      </c>
      <c r="AF4066">
        <v>2.9956317392631702</v>
      </c>
      <c r="AG4066">
        <v>-1.10310108154</v>
      </c>
      <c r="AH4066">
        <v>37.255609182984301</v>
      </c>
      <c r="AI4066">
        <v>91.690521909357599</v>
      </c>
      <c r="AJ4066">
        <v>85.402877886332305</v>
      </c>
      <c r="AK4066">
        <v>37.392125602974801</v>
      </c>
    </row>
    <row r="4067" spans="1:37" x14ac:dyDescent="0.2">
      <c r="A4067" t="str">
        <f>"20200111155630146"</f>
        <v>20200111155630146</v>
      </c>
      <c r="B4067" t="str">
        <f>"1578729390136407"</f>
        <v>1578729390136407</v>
      </c>
      <c r="C4067" t="s">
        <v>37</v>
      </c>
      <c r="D4067">
        <v>4.9863119999999999</v>
      </c>
      <c r="E4067">
        <v>0.51659880000000002</v>
      </c>
      <c r="F4067" t="s">
        <v>72</v>
      </c>
      <c r="G4067">
        <v>-193.33879999999999</v>
      </c>
      <c r="H4067" s="1">
        <v>-1.0185570000000001E-5</v>
      </c>
      <c r="I4067">
        <v>145.43870000000001</v>
      </c>
      <c r="J4067">
        <v>-194.27709999999999</v>
      </c>
      <c r="K4067">
        <v>1.1030409999999999</v>
      </c>
      <c r="L4067">
        <v>182.29169999999999</v>
      </c>
      <c r="M4067">
        <v>0.10383189999999901</v>
      </c>
      <c r="N4067">
        <v>0</v>
      </c>
      <c r="O4067">
        <v>-0.9944984</v>
      </c>
      <c r="P4067">
        <v>6.7412559999999996E-2</v>
      </c>
      <c r="Q4067">
        <v>8.8842809999999904E-3</v>
      </c>
      <c r="R4067">
        <v>-0.99768570000000001</v>
      </c>
      <c r="S4067">
        <v>7.7285770000000004E-2</v>
      </c>
      <c r="T4067">
        <v>-8.9509370000000005E-2</v>
      </c>
      <c r="U4067">
        <v>-3.0027009999999899</v>
      </c>
      <c r="V4067">
        <v>3.6659799999999999E-2</v>
      </c>
      <c r="W4067">
        <v>2.2559940000000001E-2</v>
      </c>
      <c r="X4067">
        <v>0.99907309999999905</v>
      </c>
      <c r="Y4067">
        <v>7.822751E-2</v>
      </c>
      <c r="Z4067">
        <v>2.9504369999999999E-2</v>
      </c>
      <c r="AA4067">
        <v>0.99649880000000002</v>
      </c>
      <c r="AB4067">
        <v>24</v>
      </c>
      <c r="AC4067">
        <v>0.93829999999999703</v>
      </c>
      <c r="AD4067">
        <v>-1.10305118557</v>
      </c>
      <c r="AE4067">
        <v>-36.852999999999902</v>
      </c>
      <c r="AF4067">
        <v>2.8910684292919999</v>
      </c>
      <c r="AG4067">
        <v>-1.10305118557</v>
      </c>
      <c r="AH4067">
        <v>36.718327296527399</v>
      </c>
      <c r="AI4067">
        <v>91.715392828278894</v>
      </c>
      <c r="AJ4067">
        <v>85.498025207494393</v>
      </c>
      <c r="AK4067">
        <v>36.848481081799598</v>
      </c>
    </row>
    <row r="4068" spans="1:37" x14ac:dyDescent="0.2">
      <c r="A4068" t="str">
        <f>"20200111155630159"</f>
        <v>20200111155630159</v>
      </c>
      <c r="B4068" t="str">
        <f>"1578729390156903"</f>
        <v>1578729390156903</v>
      </c>
      <c r="C4068" t="s">
        <v>37</v>
      </c>
      <c r="D4068">
        <v>5.0112730000000001</v>
      </c>
      <c r="E4068">
        <v>0.51622060000000003</v>
      </c>
      <c r="F4068" t="s">
        <v>72</v>
      </c>
      <c r="G4068">
        <v>-193.3681</v>
      </c>
      <c r="H4068" s="1">
        <v>-1.019314E-5</v>
      </c>
      <c r="I4068">
        <v>145.4477</v>
      </c>
      <c r="J4068">
        <v>-194.26329999999999</v>
      </c>
      <c r="K4068">
        <v>1.102986</v>
      </c>
      <c r="L4068">
        <v>182.14189999999999</v>
      </c>
      <c r="M4068">
        <v>0.1020277</v>
      </c>
      <c r="N4068">
        <v>0</v>
      </c>
      <c r="O4068">
        <v>-0.99468519999999905</v>
      </c>
      <c r="P4068">
        <v>6.5601240000000005E-2</v>
      </c>
      <c r="Q4068">
        <v>8.6775740000000004E-3</v>
      </c>
      <c r="R4068">
        <v>-0.99780820000000003</v>
      </c>
      <c r="S4068">
        <v>7.4081419999999995E-2</v>
      </c>
      <c r="T4068">
        <v>-8.9898469999999994E-2</v>
      </c>
      <c r="U4068">
        <v>-3.002777</v>
      </c>
      <c r="V4068">
        <v>3.666316E-2</v>
      </c>
      <c r="W4068">
        <v>2.2350660000000001E-2</v>
      </c>
      <c r="X4068">
        <v>0.99907769999999996</v>
      </c>
      <c r="Y4068">
        <v>7.7482519999999999E-2</v>
      </c>
      <c r="Z4068">
        <v>2.9641399999999998E-2</v>
      </c>
      <c r="AA4068">
        <v>0.99655300000000002</v>
      </c>
      <c r="AB4068">
        <v>24</v>
      </c>
      <c r="AC4068">
        <v>0.89519999999998801</v>
      </c>
      <c r="AD4068">
        <v>-1.1029961931400001</v>
      </c>
      <c r="AE4068">
        <v>-36.694200000000002</v>
      </c>
      <c r="AF4068">
        <v>2.8510816079229802</v>
      </c>
      <c r="AG4068">
        <v>-1.1029961931400001</v>
      </c>
      <c r="AH4068">
        <v>36.561005470328297</v>
      </c>
      <c r="AI4068">
        <v>91.722785102075804</v>
      </c>
      <c r="AJ4068">
        <v>85.541013781264496</v>
      </c>
      <c r="AK4068">
        <v>36.688586616800798</v>
      </c>
    </row>
    <row r="4069" spans="1:37" x14ac:dyDescent="0.2">
      <c r="A4069" t="str">
        <f>"20200111155630172"</f>
        <v>20200111155630172</v>
      </c>
      <c r="B4069" t="str">
        <f>"1578729390166663"</f>
        <v>1578729390166663</v>
      </c>
      <c r="C4069" t="s">
        <v>37</v>
      </c>
      <c r="D4069">
        <v>5.0153470000000002</v>
      </c>
      <c r="E4069">
        <v>0.51609399999999905</v>
      </c>
      <c r="F4069" t="s">
        <v>72</v>
      </c>
      <c r="G4069">
        <v>-193.4128</v>
      </c>
      <c r="H4069" s="1">
        <v>-1.0480649999999999E-5</v>
      </c>
      <c r="I4069">
        <v>146.50790000000001</v>
      </c>
      <c r="J4069">
        <v>-194.25099999999901</v>
      </c>
      <c r="K4069">
        <v>1.1029439999999999</v>
      </c>
      <c r="L4069">
        <v>182.0025</v>
      </c>
      <c r="M4069">
        <v>0.1002985</v>
      </c>
      <c r="N4069">
        <v>0</v>
      </c>
      <c r="O4069">
        <v>-0.99486090000000005</v>
      </c>
      <c r="P4069">
        <v>6.3695290000000002E-2</v>
      </c>
      <c r="Q4069">
        <v>8.6361819999999992E-3</v>
      </c>
      <c r="R4069">
        <v>-0.99793220000000005</v>
      </c>
      <c r="S4069">
        <v>7.1670529999999996E-2</v>
      </c>
      <c r="T4069">
        <v>-9.294355E-2</v>
      </c>
      <c r="U4069">
        <v>-3.0026860000000002</v>
      </c>
      <c r="V4069">
        <v>3.6836819999999999E-2</v>
      </c>
      <c r="W4069">
        <v>2.2306320000000001E-2</v>
      </c>
      <c r="X4069">
        <v>0.99907230000000002</v>
      </c>
      <c r="Y4069">
        <v>7.6549140000000002E-2</v>
      </c>
      <c r="Z4069">
        <v>3.0654979999999998E-2</v>
      </c>
      <c r="AA4069">
        <v>0.99659439999999999</v>
      </c>
      <c r="AB4069">
        <v>24</v>
      </c>
      <c r="AC4069">
        <v>0.83819999999997197</v>
      </c>
      <c r="AD4069">
        <v>-1.10295448065</v>
      </c>
      <c r="AE4069">
        <v>-35.494599999999899</v>
      </c>
      <c r="AF4069">
        <v>2.7237958906147299</v>
      </c>
      <c r="AG4069">
        <v>-1.10295448065</v>
      </c>
      <c r="AH4069">
        <v>35.365529044695201</v>
      </c>
      <c r="AI4069">
        <v>91.781049012516704</v>
      </c>
      <c r="AJ4069">
        <v>85.595866122245198</v>
      </c>
      <c r="AK4069">
        <v>35.4874092778171</v>
      </c>
    </row>
    <row r="4070" spans="1:37" x14ac:dyDescent="0.2">
      <c r="A4070" t="str">
        <f>"20200111155630186"</f>
        <v>20200111155630186</v>
      </c>
      <c r="B4070" t="str">
        <f>"1578729390176422"</f>
        <v>1578729390176422</v>
      </c>
      <c r="C4070" t="s">
        <v>37</v>
      </c>
      <c r="D4070">
        <v>4.9955210000000001</v>
      </c>
      <c r="E4070">
        <v>0.51589289999999999</v>
      </c>
      <c r="F4070" t="s">
        <v>72</v>
      </c>
      <c r="G4070">
        <v>-193.46850000000001</v>
      </c>
      <c r="H4070" s="1">
        <v>-1.0594949999999999E-5</v>
      </c>
      <c r="I4070">
        <v>146.90379999999999</v>
      </c>
      <c r="J4070">
        <v>-194.23859999999999</v>
      </c>
      <c r="K4070">
        <v>1.1029070000000001</v>
      </c>
      <c r="L4070">
        <v>181.8595</v>
      </c>
      <c r="M4070">
        <v>9.8496120000000006E-2</v>
      </c>
      <c r="N4070">
        <v>0</v>
      </c>
      <c r="O4070">
        <v>-0.99504110000000001</v>
      </c>
      <c r="P4070">
        <v>6.1746500000000003E-2</v>
      </c>
      <c r="Q4070">
        <v>8.127011E-3</v>
      </c>
      <c r="R4070">
        <v>-0.99805929999999998</v>
      </c>
      <c r="S4070">
        <v>6.6940310000000003E-2</v>
      </c>
      <c r="T4070">
        <v>-9.4359760000000001E-2</v>
      </c>
      <c r="U4070">
        <v>-3.0027619999999899</v>
      </c>
      <c r="V4070">
        <v>3.6977699999999898E-2</v>
      </c>
      <c r="W4070">
        <v>2.17948E-2</v>
      </c>
      <c r="X4070">
        <v>0.99907839999999903</v>
      </c>
      <c r="Y4070">
        <v>7.6312899999999906E-2</v>
      </c>
      <c r="Z4070">
        <v>3.113016E-2</v>
      </c>
      <c r="AA4070">
        <v>0.99659779999999998</v>
      </c>
      <c r="AB4070">
        <v>24</v>
      </c>
      <c r="AC4070">
        <v>0.77009999999998502</v>
      </c>
      <c r="AD4070">
        <v>-1.1029175949500001</v>
      </c>
      <c r="AE4070">
        <v>-34.9557</v>
      </c>
      <c r="AF4070">
        <v>2.6743152593159598</v>
      </c>
      <c r="AG4070">
        <v>-1.1029175949500001</v>
      </c>
      <c r="AH4070">
        <v>34.826898028841697</v>
      </c>
      <c r="AI4070">
        <v>91.808547751136601</v>
      </c>
      <c r="AJ4070">
        <v>85.608943701361994</v>
      </c>
      <c r="AK4070">
        <v>34.946834128985103</v>
      </c>
    </row>
    <row r="4071" spans="1:37" x14ac:dyDescent="0.2">
      <c r="A4071" t="str">
        <f>"20200111155630199"</f>
        <v>20200111155630199</v>
      </c>
      <c r="B4071" t="str">
        <f>"1578729390196919"</f>
        <v>1578729390196919</v>
      </c>
      <c r="C4071" t="s">
        <v>37</v>
      </c>
      <c r="D4071">
        <v>5.0209710000000003</v>
      </c>
      <c r="E4071">
        <v>0.51556040000000003</v>
      </c>
      <c r="F4071" t="s">
        <v>72</v>
      </c>
      <c r="G4071">
        <v>-193.52670000000001</v>
      </c>
      <c r="H4071" s="1">
        <v>-1.084221E-5</v>
      </c>
      <c r="I4071">
        <v>147.8022</v>
      </c>
      <c r="J4071">
        <v>-194.22620000000001</v>
      </c>
      <c r="K4071">
        <v>1.102878</v>
      </c>
      <c r="L4071">
        <v>181.71530000000001</v>
      </c>
      <c r="M4071">
        <v>9.6656500000000006E-2</v>
      </c>
      <c r="N4071">
        <v>0</v>
      </c>
      <c r="O4071">
        <v>-0.99522119999999903</v>
      </c>
      <c r="P4071">
        <v>5.9705569999999999E-2</v>
      </c>
      <c r="Q4071">
        <v>7.4617850000000003E-3</v>
      </c>
      <c r="R4071">
        <v>-0.99818799999999996</v>
      </c>
      <c r="S4071">
        <v>6.2759400000000007E-2</v>
      </c>
      <c r="T4071">
        <v>-9.7241640000000004E-2</v>
      </c>
      <c r="U4071">
        <v>-3.0027469999999998</v>
      </c>
      <c r="V4071">
        <v>3.7172490000000002E-2</v>
      </c>
      <c r="W4071">
        <v>2.1126909999999999E-2</v>
      </c>
      <c r="X4071">
        <v>0.99908549999999996</v>
      </c>
      <c r="Y4071">
        <v>7.5857179999999996E-2</v>
      </c>
      <c r="Z4071">
        <v>3.2089890000000003E-2</v>
      </c>
      <c r="AA4071">
        <v>0.99660219999999899</v>
      </c>
      <c r="AB4071">
        <v>24</v>
      </c>
      <c r="AC4071">
        <v>0.69950000000000001</v>
      </c>
      <c r="AD4071">
        <v>-1.1028888422100001</v>
      </c>
      <c r="AE4071">
        <v>-33.9131</v>
      </c>
      <c r="AF4071">
        <v>2.5792858356435402</v>
      </c>
      <c r="AG4071">
        <v>-1.1028888422100001</v>
      </c>
      <c r="AH4071">
        <v>33.786181511257297</v>
      </c>
      <c r="AI4071">
        <v>91.864232635161599</v>
      </c>
      <c r="AJ4071">
        <v>85.634425277754104</v>
      </c>
      <c r="AK4071">
        <v>33.902435610614297</v>
      </c>
    </row>
    <row r="4072" spans="1:37" x14ac:dyDescent="0.2">
      <c r="A4072" t="str">
        <f>"20200111155630213"</f>
        <v>20200111155630213</v>
      </c>
      <c r="B4072" t="str">
        <f>"1578729390206679"</f>
        <v>1578729390206679</v>
      </c>
      <c r="C4072" t="s">
        <v>37</v>
      </c>
      <c r="D4072">
        <v>5.1298199999999996</v>
      </c>
      <c r="E4072">
        <v>0.51553340000000003</v>
      </c>
      <c r="F4072" t="s">
        <v>72</v>
      </c>
      <c r="G4072">
        <v>-193.53540000000001</v>
      </c>
      <c r="H4072" s="1">
        <v>-1.053047E-5</v>
      </c>
      <c r="I4072">
        <v>146.61429999999999</v>
      </c>
      <c r="J4072">
        <v>-194.21350000000001</v>
      </c>
      <c r="K4072">
        <v>1.1028450000000001</v>
      </c>
      <c r="L4072">
        <v>181.56099999999901</v>
      </c>
      <c r="M4072">
        <v>9.4646480000000005E-2</v>
      </c>
      <c r="N4072">
        <v>0</v>
      </c>
      <c r="O4072">
        <v>-0.99541429999999997</v>
      </c>
      <c r="P4072">
        <v>5.7050129999999998E-2</v>
      </c>
      <c r="Q4072">
        <v>5.9799629999999996E-3</v>
      </c>
      <c r="R4072">
        <v>-0.9983535</v>
      </c>
      <c r="S4072">
        <v>5.9097289999999997E-2</v>
      </c>
      <c r="T4072">
        <v>-9.4342709999999996E-2</v>
      </c>
      <c r="U4072">
        <v>-3.00259399999999</v>
      </c>
      <c r="V4072">
        <v>3.7807220000000002E-2</v>
      </c>
      <c r="W4072">
        <v>1.9640439999999999E-2</v>
      </c>
      <c r="X4072">
        <v>0.99909199999999998</v>
      </c>
      <c r="Y4072">
        <v>7.5056869999999998E-2</v>
      </c>
      <c r="Z4072">
        <v>3.1146199999999999E-2</v>
      </c>
      <c r="AA4072">
        <v>0.99669269999999999</v>
      </c>
      <c r="AB4072">
        <v>24</v>
      </c>
      <c r="AC4072">
        <v>0.67810000000000004</v>
      </c>
      <c r="AD4072">
        <v>-1.1028555304700001</v>
      </c>
      <c r="AE4072">
        <v>-34.9466999999999</v>
      </c>
      <c r="AF4072">
        <v>2.6302265056223599</v>
      </c>
      <c r="AG4072">
        <v>-1.1028555304700001</v>
      </c>
      <c r="AH4072">
        <v>34.819313838596301</v>
      </c>
      <c r="AI4072">
        <v>91.809010734312494</v>
      </c>
      <c r="AJ4072">
        <v>85.680121278521298</v>
      </c>
      <c r="AK4072">
        <v>34.935927037687598</v>
      </c>
    </row>
    <row r="4073" spans="1:37" x14ac:dyDescent="0.2">
      <c r="A4073" t="str">
        <f>"20200111155630227"</f>
        <v>20200111155630227</v>
      </c>
      <c r="B4073" t="str">
        <f>"1578729390216438"</f>
        <v>1578729390216438</v>
      </c>
      <c r="C4073" t="s">
        <v>37</v>
      </c>
      <c r="D4073">
        <v>5.0380190000000002</v>
      </c>
      <c r="E4073">
        <v>0.51542730000000003</v>
      </c>
      <c r="F4073" t="s">
        <v>72</v>
      </c>
      <c r="G4073">
        <v>-193.63749999999999</v>
      </c>
      <c r="H4073" s="1">
        <v>-1.087856E-5</v>
      </c>
      <c r="I4073">
        <v>147.8656</v>
      </c>
      <c r="J4073">
        <v>-194.20179999999999</v>
      </c>
      <c r="K4073">
        <v>1.102824</v>
      </c>
      <c r="L4073">
        <v>181.4143</v>
      </c>
      <c r="M4073">
        <v>9.271501E-2</v>
      </c>
      <c r="N4073">
        <v>0</v>
      </c>
      <c r="O4073">
        <v>-0.99559629999999999</v>
      </c>
      <c r="P4073">
        <v>5.490689E-2</v>
      </c>
      <c r="Q4073">
        <v>5.1166290000000001E-3</v>
      </c>
      <c r="R4073">
        <v>-0.99847870000000005</v>
      </c>
      <c r="S4073">
        <v>5.1330569999999999E-2</v>
      </c>
      <c r="T4073">
        <v>-9.8275299999999996E-2</v>
      </c>
      <c r="U4073">
        <v>-3.00259399999999</v>
      </c>
      <c r="V4073">
        <v>3.8010370000000002E-2</v>
      </c>
      <c r="W4073">
        <v>1.8775139999999999E-2</v>
      </c>
      <c r="X4073">
        <v>0.99910089999999996</v>
      </c>
      <c r="Y4073">
        <v>7.570006E-2</v>
      </c>
      <c r="Z4073">
        <v>3.2452019999999998E-2</v>
      </c>
      <c r="AA4073">
        <v>0.996602399999999</v>
      </c>
      <c r="AB4073">
        <v>24</v>
      </c>
      <c r="AC4073">
        <v>0.56430000000000202</v>
      </c>
      <c r="AD4073">
        <v>-1.10283487856</v>
      </c>
      <c r="AE4073">
        <v>-33.548699999999997</v>
      </c>
      <c r="AF4073">
        <v>2.5461470684999599</v>
      </c>
      <c r="AG4073">
        <v>-1.10283487856</v>
      </c>
      <c r="AH4073">
        <v>33.420387308136903</v>
      </c>
      <c r="AI4073">
        <v>91.884552603967407</v>
      </c>
      <c r="AJ4073">
        <v>85.643311614660902</v>
      </c>
      <c r="AK4073">
        <v>33.535375314578999</v>
      </c>
    </row>
    <row r="4074" spans="1:37" x14ac:dyDescent="0.2">
      <c r="A4074" t="str">
        <f>"20200111155630240"</f>
        <v>20200111155630240</v>
      </c>
      <c r="B4074" t="str">
        <f>"1578729390236934"</f>
        <v>1578729390236934</v>
      </c>
      <c r="C4074" t="s">
        <v>37</v>
      </c>
      <c r="D4074">
        <v>5.0653870000000003</v>
      </c>
      <c r="E4074">
        <v>0.51531749999999998</v>
      </c>
      <c r="F4074" t="s">
        <v>72</v>
      </c>
      <c r="G4074">
        <v>-193.7088</v>
      </c>
      <c r="H4074" s="1">
        <v>-1.123476E-5</v>
      </c>
      <c r="I4074">
        <v>149.16829999999999</v>
      </c>
      <c r="J4074">
        <v>-194.19030000000001</v>
      </c>
      <c r="K4074">
        <v>1.102805</v>
      </c>
      <c r="L4074">
        <v>181.26929999999999</v>
      </c>
      <c r="M4074">
        <v>9.0791579999999997E-2</v>
      </c>
      <c r="N4074">
        <v>0</v>
      </c>
      <c r="O4074">
        <v>-0.99577359999999904</v>
      </c>
      <c r="P4074">
        <v>5.315098E-2</v>
      </c>
      <c r="Q4074">
        <v>4.4941059999999899E-3</v>
      </c>
      <c r="R4074">
        <v>-0.99857649999999998</v>
      </c>
      <c r="S4074">
        <v>4.5898439999999999E-2</v>
      </c>
      <c r="T4074">
        <v>-0.1026907</v>
      </c>
      <c r="U4074">
        <v>-3.00259399999999</v>
      </c>
      <c r="V4074">
        <v>3.7834890000000003E-2</v>
      </c>
      <c r="W4074">
        <v>1.8153450000000002E-2</v>
      </c>
      <c r="X4074">
        <v>0.99911909999999904</v>
      </c>
      <c r="Y4074">
        <v>7.5577119999999998E-2</v>
      </c>
      <c r="Z4074">
        <v>3.3918120000000003E-2</v>
      </c>
      <c r="AA4074">
        <v>0.99656290000000003</v>
      </c>
      <c r="AB4074">
        <v>24</v>
      </c>
      <c r="AC4074">
        <v>0.48150000000001097</v>
      </c>
      <c r="AD4074">
        <v>-1.1028162347599999</v>
      </c>
      <c r="AE4074">
        <v>-32.100999999999999</v>
      </c>
      <c r="AF4074">
        <v>2.4323989458337198</v>
      </c>
      <c r="AG4074">
        <v>-1.1028162347599999</v>
      </c>
      <c r="AH4074">
        <v>31.9743861522952</v>
      </c>
      <c r="AI4074">
        <v>91.969696852620999</v>
      </c>
      <c r="AJ4074">
        <v>85.649696664642804</v>
      </c>
      <c r="AK4074">
        <v>32.085731066868803</v>
      </c>
    </row>
    <row r="4075" spans="1:37" x14ac:dyDescent="0.2">
      <c r="A4075" t="str">
        <f>"20200111155630253"</f>
        <v>20200111155630253</v>
      </c>
      <c r="B4075" t="str">
        <f>"1578729390246698"</f>
        <v>1578729390246698</v>
      </c>
      <c r="C4075" t="s">
        <v>37</v>
      </c>
      <c r="D4075">
        <v>5.080057</v>
      </c>
      <c r="E4075">
        <v>0.51539269999999904</v>
      </c>
      <c r="F4075" t="s">
        <v>72</v>
      </c>
      <c r="G4075">
        <v>-193.76439999999999</v>
      </c>
      <c r="H4075" s="1">
        <v>-1.17077099999999E-5</v>
      </c>
      <c r="I4075">
        <v>150.4204</v>
      </c>
      <c r="J4075">
        <v>-194.1797</v>
      </c>
      <c r="K4075">
        <v>1.102795</v>
      </c>
      <c r="L4075">
        <v>181.12989999999999</v>
      </c>
      <c r="M4075">
        <v>8.8926660000000005E-2</v>
      </c>
      <c r="N4075">
        <v>0</v>
      </c>
      <c r="O4075">
        <v>-0.99594169999999904</v>
      </c>
      <c r="P4075">
        <v>5.1635889999999997E-2</v>
      </c>
      <c r="Q4075">
        <v>3.6139700000000002E-3</v>
      </c>
      <c r="R4075">
        <v>-0.99865959999999998</v>
      </c>
      <c r="S4075">
        <v>4.1458130000000003E-2</v>
      </c>
      <c r="T4075">
        <v>-0.107338</v>
      </c>
      <c r="U4075">
        <v>-3.002548</v>
      </c>
      <c r="V4075">
        <v>3.7475689999999999E-2</v>
      </c>
      <c r="W4075">
        <v>1.727478E-2</v>
      </c>
      <c r="X4075">
        <v>0.99914820000000004</v>
      </c>
      <c r="Y4075">
        <v>7.5183739999999999E-2</v>
      </c>
      <c r="Z4075">
        <v>3.5461630000000001E-2</v>
      </c>
      <c r="AA4075">
        <v>0.99653890000000001</v>
      </c>
      <c r="AB4075">
        <v>24</v>
      </c>
      <c r="AC4075">
        <v>0.415300000000002</v>
      </c>
      <c r="AD4075">
        <v>-1.1028067077099999</v>
      </c>
      <c r="AE4075">
        <v>-30.709499999999899</v>
      </c>
      <c r="AF4075">
        <v>2.31451713218889</v>
      </c>
      <c r="AG4075">
        <v>-1.1028067077099999</v>
      </c>
      <c r="AH4075">
        <v>30.5853102931741</v>
      </c>
      <c r="AI4075">
        <v>92.059122322216695</v>
      </c>
      <c r="AJ4075">
        <v>85.672439136245202</v>
      </c>
      <c r="AK4075">
        <v>30.692578547908099</v>
      </c>
    </row>
    <row r="4076" spans="1:37" x14ac:dyDescent="0.2">
      <c r="A4076" t="str">
        <f>"20200111155630281"</f>
        <v>20200111155630281</v>
      </c>
      <c r="B4076" t="str">
        <f>"1578729390276951"</f>
        <v>1578729390276951</v>
      </c>
      <c r="C4076" t="s">
        <v>37</v>
      </c>
      <c r="D4076">
        <v>4.9450459999999996</v>
      </c>
      <c r="E4076">
        <v>0.55481469999999999</v>
      </c>
      <c r="F4076" t="s">
        <v>72</v>
      </c>
      <c r="G4076">
        <v>-193.8158</v>
      </c>
      <c r="H4076" s="1">
        <v>-1.208551E-5</v>
      </c>
      <c r="I4076">
        <v>151.27979999999999</v>
      </c>
      <c r="J4076">
        <v>-194.15790000000001</v>
      </c>
      <c r="K4076">
        <v>1.102781</v>
      </c>
      <c r="L4076">
        <v>180.83330000000001</v>
      </c>
      <c r="M4076">
        <v>8.4944350000000002E-2</v>
      </c>
      <c r="N4076">
        <v>0</v>
      </c>
      <c r="O4076">
        <v>-0.99628919999999999</v>
      </c>
      <c r="P4076">
        <v>4.9072209999999998E-2</v>
      </c>
      <c r="Q4076">
        <v>1.4229029999999899E-3</v>
      </c>
      <c r="R4076">
        <v>-0.99879409999999902</v>
      </c>
      <c r="S4076">
        <v>3.6605829999999999E-2</v>
      </c>
      <c r="T4076">
        <v>-0.11092819999999901</v>
      </c>
      <c r="U4076">
        <v>-3.0025330000000001</v>
      </c>
      <c r="V4076">
        <v>3.6034919999999998E-2</v>
      </c>
      <c r="W4076">
        <v>1.50920999999999E-2</v>
      </c>
      <c r="X4076">
        <v>0.99923660000000003</v>
      </c>
      <c r="Y4076">
        <v>7.280768E-2</v>
      </c>
      <c r="Z4076">
        <v>3.6669220000000002E-2</v>
      </c>
      <c r="AA4076">
        <v>0.99667169999999905</v>
      </c>
      <c r="AB4076">
        <v>24</v>
      </c>
      <c r="AC4076">
        <v>0.342100000000016</v>
      </c>
      <c r="AD4076">
        <v>-1.1027930855100001</v>
      </c>
      <c r="AE4076">
        <v>-29.5535</v>
      </c>
      <c r="AF4076">
        <v>2.1667642916300101</v>
      </c>
      <c r="AG4076">
        <v>-1.1027930855100001</v>
      </c>
      <c r="AH4076">
        <v>29.434746339615099</v>
      </c>
      <c r="AI4076">
        <v>92.139837940942598</v>
      </c>
      <c r="AJ4076">
        <v>85.7899099063644</v>
      </c>
      <c r="AK4076">
        <v>29.534984546507101</v>
      </c>
    </row>
    <row r="4077" spans="1:37" x14ac:dyDescent="0.2">
      <c r="A4077" t="str">
        <f>"20200111155630295"</f>
        <v>20200111155630295</v>
      </c>
      <c r="B4077" t="str">
        <f>"1578729390286712"</f>
        <v>1578729390286712</v>
      </c>
      <c r="C4077" t="s">
        <v>37</v>
      </c>
      <c r="D4077">
        <v>5.1432229999999999</v>
      </c>
      <c r="E4077">
        <v>0.56581440000000005</v>
      </c>
      <c r="F4077" t="s">
        <v>72</v>
      </c>
      <c r="G4077">
        <v>-198.20429999999999</v>
      </c>
      <c r="H4077" s="1">
        <v>-8.7931750000000007E-6</v>
      </c>
      <c r="I4077">
        <v>138.2362</v>
      </c>
      <c r="J4077">
        <v>-194.1472</v>
      </c>
      <c r="K4077">
        <v>1.1027849999999999</v>
      </c>
      <c r="L4077">
        <v>180.68020000000001</v>
      </c>
      <c r="M4077">
        <v>8.2884509999999995E-2</v>
      </c>
      <c r="N4077">
        <v>0</v>
      </c>
      <c r="O4077">
        <v>-0.99646279999999998</v>
      </c>
      <c r="P4077">
        <v>4.7694479999999997E-2</v>
      </c>
      <c r="Q4077">
        <v>8.092412E-4</v>
      </c>
      <c r="R4077">
        <v>-0.99886180000000002</v>
      </c>
      <c r="S4077">
        <v>-0.2866669</v>
      </c>
      <c r="T4077">
        <v>-7.8127619999999995E-2</v>
      </c>
      <c r="U4077">
        <v>-3.0178069999999999</v>
      </c>
      <c r="V4077">
        <v>3.5344029999999999E-2</v>
      </c>
      <c r="W4077">
        <v>1.448229E-2</v>
      </c>
      <c r="X4077">
        <v>0.99927029999999994</v>
      </c>
      <c r="Y4077">
        <v>0.17673059999999999</v>
      </c>
      <c r="Z4077">
        <v>2.5485420000000002E-2</v>
      </c>
      <c r="AA4077">
        <v>0.98392930000000001</v>
      </c>
      <c r="AB4077">
        <v>24</v>
      </c>
      <c r="AC4077">
        <v>-4.0570999999999904</v>
      </c>
      <c r="AD4077">
        <v>-1.102793793175</v>
      </c>
      <c r="AE4077">
        <v>-42.444000000000003</v>
      </c>
      <c r="AF4077">
        <v>7.5563704979057</v>
      </c>
      <c r="AG4077">
        <v>-1.102793793175</v>
      </c>
      <c r="AH4077">
        <v>41.9335735603415</v>
      </c>
      <c r="AI4077">
        <v>91.482583232972104</v>
      </c>
      <c r="AJ4077">
        <v>79.785005819067393</v>
      </c>
      <c r="AK4077">
        <v>42.623227010545001</v>
      </c>
    </row>
    <row r="4078" spans="1:37" x14ac:dyDescent="0.2">
      <c r="A4078" t="str">
        <f>"20200111155630311"</f>
        <v>20200111155630311</v>
      </c>
      <c r="B4078" t="str">
        <f>"1578729390307207"</f>
        <v>1578729390307207</v>
      </c>
      <c r="C4078" t="s">
        <v>37</v>
      </c>
      <c r="D4078">
        <v>5.1594620000000004</v>
      </c>
      <c r="E4078">
        <v>0.57529719999999995</v>
      </c>
      <c r="F4078" t="s">
        <v>72</v>
      </c>
      <c r="G4078">
        <v>-197.66929999999999</v>
      </c>
      <c r="H4078" s="1">
        <v>-1.2972269999999901E-5</v>
      </c>
      <c r="I4078">
        <v>152.45349999999999</v>
      </c>
      <c r="J4078">
        <v>-194.13669999999999</v>
      </c>
      <c r="K4078">
        <v>1.102792</v>
      </c>
      <c r="L4078">
        <v>180.52549999999999</v>
      </c>
      <c r="M4078">
        <v>8.0805550000000004E-2</v>
      </c>
      <c r="N4078">
        <v>0</v>
      </c>
      <c r="O4078">
        <v>-0.99663349999999995</v>
      </c>
      <c r="P4078">
        <v>4.6216420000000001E-2</v>
      </c>
      <c r="Q4078" s="1">
        <v>-7.1297809999999994E-5</v>
      </c>
      <c r="R4078">
        <v>-0.99893159999999903</v>
      </c>
      <c r="S4078">
        <v>-0.37702940000000001</v>
      </c>
      <c r="T4078">
        <v>-0.1180491</v>
      </c>
      <c r="U4078">
        <v>-3.0215299999999998</v>
      </c>
      <c r="V4078">
        <v>3.4733090000000001E-2</v>
      </c>
      <c r="W4078">
        <v>1.360595E-2</v>
      </c>
      <c r="X4078">
        <v>0.99930399999999997</v>
      </c>
      <c r="Y4078">
        <v>0.20351540000000001</v>
      </c>
      <c r="Z4078">
        <v>3.8290899999999899E-2</v>
      </c>
      <c r="AA4078">
        <v>0.97832269999999899</v>
      </c>
      <c r="AB4078">
        <v>24</v>
      </c>
      <c r="AC4078">
        <v>-3.5326</v>
      </c>
      <c r="AD4078">
        <v>-1.10280497227</v>
      </c>
      <c r="AE4078">
        <v>-28.071999999999999</v>
      </c>
      <c r="AF4078">
        <v>5.7808545878183697</v>
      </c>
      <c r="AG4078">
        <v>-1.10280497227</v>
      </c>
      <c r="AH4078">
        <v>27.652691391369299</v>
      </c>
      <c r="AI4078">
        <v>92.235501987770107</v>
      </c>
      <c r="AJ4078">
        <v>78.192244772063106</v>
      </c>
      <c r="AK4078">
        <v>28.2719967416289</v>
      </c>
    </row>
    <row r="4079" spans="1:37" x14ac:dyDescent="0.2">
      <c r="A4079" t="str">
        <f>"20200111155630326"</f>
        <v>20200111155630326</v>
      </c>
      <c r="B4079" t="str">
        <f>"1578729390316967"</f>
        <v>1578729390316967</v>
      </c>
      <c r="C4079" t="s">
        <v>37</v>
      </c>
      <c r="D4079">
        <v>4.9724659999999998</v>
      </c>
      <c r="E4079">
        <v>0.57813829999999999</v>
      </c>
      <c r="F4079" t="s">
        <v>72</v>
      </c>
      <c r="G4079">
        <v>-197.57579999999999</v>
      </c>
      <c r="H4079" s="1">
        <v>-1.4503110000000001E-5</v>
      </c>
      <c r="I4079">
        <v>157.73089999999999</v>
      </c>
      <c r="J4079">
        <v>-194.12569999999999</v>
      </c>
      <c r="K4079">
        <v>1.1028039999999999</v>
      </c>
      <c r="L4079">
        <v>180.3597</v>
      </c>
      <c r="M4079">
        <v>7.8582970000000002E-2</v>
      </c>
      <c r="N4079">
        <v>0</v>
      </c>
      <c r="O4079">
        <v>-0.99681119999999901</v>
      </c>
      <c r="P4079">
        <v>4.5027539999999998E-2</v>
      </c>
      <c r="Q4079">
        <v>-4.7199269999999998E-4</v>
      </c>
      <c r="R4079">
        <v>-0.99898580000000003</v>
      </c>
      <c r="S4079">
        <v>-0.4562988</v>
      </c>
      <c r="T4079">
        <v>-0.14631769999999999</v>
      </c>
      <c r="U4079">
        <v>-3.0243229999999999</v>
      </c>
      <c r="V4079">
        <v>3.3691480000000003E-2</v>
      </c>
      <c r="W4079">
        <v>1.321117E-2</v>
      </c>
      <c r="X4079">
        <v>0.99934489999999998</v>
      </c>
      <c r="Y4079">
        <v>0.22626950000000001</v>
      </c>
      <c r="Z4079">
        <v>4.720593E-2</v>
      </c>
      <c r="AA4079">
        <v>0.97292019999999901</v>
      </c>
      <c r="AB4079">
        <v>24</v>
      </c>
      <c r="AC4079">
        <v>-3.4500999999999902</v>
      </c>
      <c r="AD4079">
        <v>-1.10281850311</v>
      </c>
      <c r="AE4079">
        <v>-22.628799999999998</v>
      </c>
      <c r="AF4079">
        <v>5.2057545646245904</v>
      </c>
      <c r="AG4079">
        <v>-1.10281850311</v>
      </c>
      <c r="AH4079">
        <v>22.236050109512199</v>
      </c>
      <c r="AI4079">
        <v>92.764679995795007</v>
      </c>
      <c r="AJ4079">
        <v>76.823604881568301</v>
      </c>
      <c r="AK4079">
        <v>22.863901979116498</v>
      </c>
    </row>
    <row r="4080" spans="1:37" x14ac:dyDescent="0.2">
      <c r="A4080" t="str">
        <f>"20200111155630341"</f>
        <v>20200111155630341</v>
      </c>
      <c r="B4080" t="str">
        <f>"1578729390336487"</f>
        <v>1578729390336487</v>
      </c>
      <c r="C4080" t="s">
        <v>37</v>
      </c>
      <c r="D4080">
        <v>4.9618019999999996</v>
      </c>
      <c r="E4080">
        <v>0.58085359999999997</v>
      </c>
      <c r="F4080" t="s">
        <v>72</v>
      </c>
      <c r="G4080">
        <v>-197.56450000000001</v>
      </c>
      <c r="H4080" s="1">
        <v>-1.4769519999999999E-5</v>
      </c>
      <c r="I4080">
        <v>158.78980000000001</v>
      </c>
      <c r="J4080">
        <v>-194.11519999999999</v>
      </c>
      <c r="K4080">
        <v>1.1028169999999999</v>
      </c>
      <c r="L4080">
        <v>180.1961</v>
      </c>
      <c r="M4080">
        <v>7.63934E-2</v>
      </c>
      <c r="N4080">
        <v>0</v>
      </c>
      <c r="O4080">
        <v>-0.99698159999999902</v>
      </c>
      <c r="P4080">
        <v>4.3247439999999998E-2</v>
      </c>
      <c r="Q4080">
        <v>-3.0562699999999999E-4</v>
      </c>
      <c r="R4080">
        <v>-0.99906469999999903</v>
      </c>
      <c r="S4080">
        <v>-0.48220829999999998</v>
      </c>
      <c r="T4080">
        <v>-0.15464639999999999</v>
      </c>
      <c r="U4080">
        <v>-3.0247189999999899</v>
      </c>
      <c r="V4080">
        <v>3.3277609999999999E-2</v>
      </c>
      <c r="W4080">
        <v>1.337995E-2</v>
      </c>
      <c r="X4080">
        <v>0.99935659999999904</v>
      </c>
      <c r="Y4080">
        <v>0.23222480000000001</v>
      </c>
      <c r="Z4080">
        <v>4.9824689999999998E-2</v>
      </c>
      <c r="AA4080">
        <v>0.97138519999999995</v>
      </c>
      <c r="AB4080">
        <v>24</v>
      </c>
      <c r="AC4080">
        <v>-3.44930000000002</v>
      </c>
      <c r="AD4080">
        <v>-1.1028317695199901</v>
      </c>
      <c r="AE4080">
        <v>-21.406299999999899</v>
      </c>
      <c r="AF4080">
        <v>5.0615806899326801</v>
      </c>
      <c r="AG4080">
        <v>-1.1028317695199901</v>
      </c>
      <c r="AH4080">
        <v>21.025809905594802</v>
      </c>
      <c r="AI4080">
        <v>92.919242674948293</v>
      </c>
      <c r="AJ4080">
        <v>76.464628802138094</v>
      </c>
      <c r="AK4080">
        <v>21.6545727082935</v>
      </c>
    </row>
    <row r="4081" spans="1:37" x14ac:dyDescent="0.2">
      <c r="A4081" t="str">
        <f>"20200111155630354"</f>
        <v>20200111155630354</v>
      </c>
      <c r="B4081" t="str">
        <f>"1578729390347223"</f>
        <v>1578729390347223</v>
      </c>
      <c r="C4081" t="s">
        <v>37</v>
      </c>
      <c r="D4081">
        <v>4.9209459999999998</v>
      </c>
      <c r="E4081">
        <v>0.58212200000000003</v>
      </c>
      <c r="F4081" t="s">
        <v>72</v>
      </c>
      <c r="G4081">
        <v>-197.602</v>
      </c>
      <c r="H4081" s="1">
        <v>-1.49428399999999E-5</v>
      </c>
      <c r="I4081">
        <v>159.4786</v>
      </c>
      <c r="J4081">
        <v>-194.10650000000001</v>
      </c>
      <c r="K4081">
        <v>1.1028309999999999</v>
      </c>
      <c r="L4081">
        <v>180.0532</v>
      </c>
      <c r="M4081">
        <v>7.4490000000000001E-2</v>
      </c>
      <c r="N4081">
        <v>0</v>
      </c>
      <c r="O4081">
        <v>-0.99712540000000005</v>
      </c>
      <c r="P4081">
        <v>4.1919560000000002E-2</v>
      </c>
      <c r="Q4081">
        <v>1.245405E-4</v>
      </c>
      <c r="R4081">
        <v>-0.99912099999999904</v>
      </c>
      <c r="S4081">
        <v>-0.50906370000000001</v>
      </c>
      <c r="T4081">
        <v>-0.1610152</v>
      </c>
      <c r="U4081">
        <v>-3.0247799999999998</v>
      </c>
      <c r="V4081">
        <v>3.2699800000000001E-2</v>
      </c>
      <c r="W4081">
        <v>1.381336E-2</v>
      </c>
      <c r="X4081">
        <v>0.99936970000000003</v>
      </c>
      <c r="Y4081">
        <v>0.2387417</v>
      </c>
      <c r="Z4081">
        <v>5.1802800000000003E-2</v>
      </c>
      <c r="AA4081">
        <v>0.96970040000000002</v>
      </c>
      <c r="AB4081">
        <v>24</v>
      </c>
      <c r="AC4081">
        <v>-3.4954999999999901</v>
      </c>
      <c r="AD4081">
        <v>-1.1028459428399999</v>
      </c>
      <c r="AE4081">
        <v>-20.5746</v>
      </c>
      <c r="AF4081">
        <v>5.00456029347502</v>
      </c>
      <c r="AG4081">
        <v>-1.1028459428399999</v>
      </c>
      <c r="AH4081">
        <v>20.200610762738801</v>
      </c>
      <c r="AI4081">
        <v>93.033417508299095</v>
      </c>
      <c r="AJ4081">
        <v>76.085529716216001</v>
      </c>
      <c r="AK4081">
        <v>20.840503067160899</v>
      </c>
    </row>
    <row r="4082" spans="1:37" x14ac:dyDescent="0.2">
      <c r="A4082" t="str">
        <f>"20200111155630369"</f>
        <v>20200111155630369</v>
      </c>
      <c r="B4082" t="str">
        <f>"1578729390366743"</f>
        <v>1578729390366743</v>
      </c>
      <c r="C4082" t="s">
        <v>37</v>
      </c>
      <c r="D4082">
        <v>4.9213680000000002</v>
      </c>
      <c r="E4082">
        <v>0.5841054</v>
      </c>
      <c r="F4082" t="s">
        <v>72</v>
      </c>
      <c r="G4082">
        <v>-197.7081</v>
      </c>
      <c r="H4082" s="1">
        <v>-1.4881949999999901E-5</v>
      </c>
      <c r="I4082">
        <v>159.23660000000001</v>
      </c>
      <c r="J4082">
        <v>-194.09700000000001</v>
      </c>
      <c r="K4082">
        <v>1.102851</v>
      </c>
      <c r="L4082">
        <v>179.8948</v>
      </c>
      <c r="M4082">
        <v>7.2387580000000007E-2</v>
      </c>
      <c r="N4082">
        <v>0</v>
      </c>
      <c r="O4082">
        <v>-0.99728019999999995</v>
      </c>
      <c r="P4082">
        <v>4.0195330000000001E-2</v>
      </c>
      <c r="Q4082">
        <v>1.317548E-3</v>
      </c>
      <c r="R4082">
        <v>-0.9991911</v>
      </c>
      <c r="S4082">
        <v>-0.52331539999999999</v>
      </c>
      <c r="T4082">
        <v>-0.1602421</v>
      </c>
      <c r="U4082">
        <v>-3.0246279999999999</v>
      </c>
      <c r="V4082">
        <v>3.2322879999999998E-2</v>
      </c>
      <c r="W4082">
        <v>1.5008189999999999E-2</v>
      </c>
      <c r="X4082">
        <v>0.99936480000000005</v>
      </c>
      <c r="Y4082">
        <v>0.241144</v>
      </c>
      <c r="Z4082">
        <v>5.1533750000000003E-2</v>
      </c>
      <c r="AA4082">
        <v>0.96912009999999904</v>
      </c>
      <c r="AB4082">
        <v>24</v>
      </c>
      <c r="AC4082">
        <v>-3.6110999999999902</v>
      </c>
      <c r="AD4082">
        <v>-1.1028658819499999</v>
      </c>
      <c r="AE4082">
        <v>-20.658199999999901</v>
      </c>
      <c r="AF4082">
        <v>5.0831077723790896</v>
      </c>
      <c r="AG4082">
        <v>-1.1028658819499999</v>
      </c>
      <c r="AH4082">
        <v>20.286466275083999</v>
      </c>
      <c r="AI4082">
        <v>93.018661568608294</v>
      </c>
      <c r="AJ4082">
        <v>75.9332147137508</v>
      </c>
      <c r="AK4082">
        <v>20.942660091528701</v>
      </c>
    </row>
    <row r="4083" spans="1:37" x14ac:dyDescent="0.2">
      <c r="A4083" t="str">
        <f>"20200111155630383"</f>
        <v>20200111155630383</v>
      </c>
      <c r="B4083" t="str">
        <f>"1578729390377478"</f>
        <v>1578729390377478</v>
      </c>
      <c r="C4083" t="s">
        <v>37</v>
      </c>
      <c r="D4083">
        <v>4.9576580000000003</v>
      </c>
      <c r="E4083">
        <v>0.58480529999999997</v>
      </c>
      <c r="F4083" t="s">
        <v>72</v>
      </c>
      <c r="G4083">
        <v>-197.91800000000001</v>
      </c>
      <c r="H4083" s="1">
        <v>-1.473953E-5</v>
      </c>
      <c r="I4083">
        <v>158.67060000000001</v>
      </c>
      <c r="J4083">
        <v>-194.08850000000001</v>
      </c>
      <c r="K4083">
        <v>1.102867</v>
      </c>
      <c r="L4083">
        <v>179.74709999999999</v>
      </c>
      <c r="M4083">
        <v>7.0437470000000002E-2</v>
      </c>
      <c r="N4083">
        <v>0</v>
      </c>
      <c r="O4083">
        <v>-0.99741999999999997</v>
      </c>
      <c r="P4083">
        <v>3.8239299999999997E-2</v>
      </c>
      <c r="Q4083">
        <v>1.857458E-3</v>
      </c>
      <c r="R4083">
        <v>-0.99926729999999997</v>
      </c>
      <c r="S4083">
        <v>-0.54450989999999999</v>
      </c>
      <c r="T4083">
        <v>-0.157163</v>
      </c>
      <c r="U4083">
        <v>-3.0245359999999999</v>
      </c>
      <c r="V4083">
        <v>3.2327229999999998E-2</v>
      </c>
      <c r="W4083">
        <v>1.5547899999999899E-2</v>
      </c>
      <c r="X4083">
        <v>0.99935640000000003</v>
      </c>
      <c r="Y4083">
        <v>0.245843899999999</v>
      </c>
      <c r="Z4083">
        <v>5.0497609999999998E-2</v>
      </c>
      <c r="AA4083">
        <v>0.96799310000000005</v>
      </c>
      <c r="AB4083">
        <v>24</v>
      </c>
      <c r="AC4083">
        <v>-3.8294999999999901</v>
      </c>
      <c r="AD4083">
        <v>-1.1028817395299999</v>
      </c>
      <c r="AE4083">
        <v>-21.0764999999999</v>
      </c>
      <c r="AF4083">
        <v>5.2906804261720097</v>
      </c>
      <c r="AG4083">
        <v>-1.1028817395299999</v>
      </c>
      <c r="AH4083">
        <v>20.699506399735899</v>
      </c>
      <c r="AI4083">
        <v>92.955047653989993</v>
      </c>
      <c r="AJ4083">
        <v>75.662468903371504</v>
      </c>
      <c r="AK4083">
        <v>21.3933917997118</v>
      </c>
    </row>
    <row r="4084" spans="1:37" x14ac:dyDescent="0.2">
      <c r="A4084" t="str">
        <f>"20200111155630396"</f>
        <v>20200111155630396</v>
      </c>
      <c r="B4084" t="str">
        <f>"1578729390387240"</f>
        <v>1578729390387240</v>
      </c>
      <c r="C4084" t="s">
        <v>37</v>
      </c>
      <c r="D4084">
        <v>5.0715909999999997</v>
      </c>
      <c r="E4084">
        <v>0.58504519999999904</v>
      </c>
      <c r="F4084" t="s">
        <v>72</v>
      </c>
      <c r="G4084">
        <v>-198.03649999999999</v>
      </c>
      <c r="H4084" s="1">
        <v>-1.464012E-5</v>
      </c>
      <c r="I4084">
        <v>158.27549999999999</v>
      </c>
      <c r="J4084">
        <v>-194.08009999999999</v>
      </c>
      <c r="K4084">
        <v>1.102886</v>
      </c>
      <c r="L4084">
        <v>179.5977</v>
      </c>
      <c r="M4084">
        <v>6.8477869999999996E-2</v>
      </c>
      <c r="N4084">
        <v>0</v>
      </c>
      <c r="O4084">
        <v>-0.99755640000000001</v>
      </c>
      <c r="P4084">
        <v>3.6079550000000002E-2</v>
      </c>
      <c r="Q4084">
        <v>2.2660829999999999E-3</v>
      </c>
      <c r="R4084">
        <v>-0.99934669999999903</v>
      </c>
      <c r="S4084">
        <v>-0.55598449999999999</v>
      </c>
      <c r="T4084">
        <v>-0.15531519999999999</v>
      </c>
      <c r="U4084">
        <v>-3.0237729999999998</v>
      </c>
      <c r="V4084">
        <v>3.2525180000000001E-2</v>
      </c>
      <c r="W4084">
        <v>1.5955549999999999E-2</v>
      </c>
      <c r="X4084">
        <v>0.9993436</v>
      </c>
      <c r="Y4084">
        <v>0.24754309999999999</v>
      </c>
      <c r="Z4084">
        <v>4.9900460000000001E-2</v>
      </c>
      <c r="AA4084">
        <v>0.96759099999999998</v>
      </c>
      <c r="AB4084">
        <v>24</v>
      </c>
      <c r="AC4084">
        <v>-3.9563999999999999</v>
      </c>
      <c r="AD4084">
        <v>-1.1029006401200001</v>
      </c>
      <c r="AE4084">
        <v>-21.322199999999999</v>
      </c>
      <c r="AF4084">
        <v>5.3934002635269698</v>
      </c>
      <c r="AG4084">
        <v>-1.1029006401200001</v>
      </c>
      <c r="AH4084">
        <v>20.9470087072289</v>
      </c>
      <c r="AI4084">
        <v>92.918921126134805</v>
      </c>
      <c r="AJ4084">
        <v>75.561200706679799</v>
      </c>
      <c r="AK4084">
        <v>21.6583085675062</v>
      </c>
    </row>
    <row r="4085" spans="1:37" x14ac:dyDescent="0.2">
      <c r="A4085" t="str">
        <f>"20200111155630411"</f>
        <v>20200111155630411</v>
      </c>
      <c r="B4085" t="str">
        <f>"1578729390406759"</f>
        <v>1578729390406759</v>
      </c>
      <c r="C4085" t="s">
        <v>37</v>
      </c>
      <c r="D4085">
        <v>4.9539720000000003</v>
      </c>
      <c r="E4085">
        <v>0.58571030000000002</v>
      </c>
      <c r="F4085" t="s">
        <v>72</v>
      </c>
      <c r="G4085">
        <v>-198.108</v>
      </c>
      <c r="H4085" s="1">
        <v>-1.457763E-5</v>
      </c>
      <c r="I4085">
        <v>158.02709999999999</v>
      </c>
      <c r="J4085">
        <v>-194.07230000000001</v>
      </c>
      <c r="K4085">
        <v>1.102908</v>
      </c>
      <c r="L4085">
        <v>179.453</v>
      </c>
      <c r="M4085">
        <v>6.6599530000000004E-2</v>
      </c>
      <c r="N4085">
        <v>0</v>
      </c>
      <c r="O4085">
        <v>-0.997683599999999</v>
      </c>
      <c r="P4085">
        <v>3.4169789999999998E-2</v>
      </c>
      <c r="Q4085">
        <v>2.9213440000000002E-3</v>
      </c>
      <c r="R4085">
        <v>-0.99941190000000002</v>
      </c>
      <c r="S4085">
        <v>-0.56443789999999905</v>
      </c>
      <c r="T4085">
        <v>-0.15454949999999901</v>
      </c>
      <c r="U4085">
        <v>-3.0226899999999999</v>
      </c>
      <c r="V4085">
        <v>3.2555609999999999E-2</v>
      </c>
      <c r="W4085">
        <v>1.6610639999999999E-2</v>
      </c>
      <c r="X4085">
        <v>0.99933189999999905</v>
      </c>
      <c r="Y4085">
        <v>0.24839899999999901</v>
      </c>
      <c r="Z4085">
        <v>4.9664199999999999E-2</v>
      </c>
      <c r="AA4085">
        <v>0.96738380000000002</v>
      </c>
      <c r="AB4085">
        <v>24</v>
      </c>
      <c r="AC4085">
        <v>-4.0356999999999896</v>
      </c>
      <c r="AD4085">
        <v>-1.10292257763</v>
      </c>
      <c r="AE4085">
        <v>-21.425899999999999</v>
      </c>
      <c r="AF4085">
        <v>5.43990924394737</v>
      </c>
      <c r="AG4085">
        <v>-1.10292257763</v>
      </c>
      <c r="AH4085">
        <v>21.055637799486401</v>
      </c>
      <c r="AI4085">
        <v>92.903328275640305</v>
      </c>
      <c r="AJ4085">
        <v>75.513898781957806</v>
      </c>
      <c r="AK4085">
        <v>21.774961169604701</v>
      </c>
    </row>
    <row r="4086" spans="1:37" x14ac:dyDescent="0.2">
      <c r="A4086" t="str">
        <f>"20200111155630426"</f>
        <v>20200111155630426</v>
      </c>
      <c r="B4086" t="str">
        <f>"1578729390416519"</f>
        <v>1578729390416519</v>
      </c>
      <c r="C4086" t="s">
        <v>37</v>
      </c>
      <c r="D4086">
        <v>5.0261189999999996</v>
      </c>
      <c r="E4086">
        <v>0.58605369999999901</v>
      </c>
      <c r="F4086" t="s">
        <v>72</v>
      </c>
      <c r="G4086">
        <v>-198.1412</v>
      </c>
      <c r="H4086" s="1">
        <v>-1.4591279999999901E-5</v>
      </c>
      <c r="I4086">
        <v>158.0814</v>
      </c>
      <c r="J4086">
        <v>-194.0642</v>
      </c>
      <c r="K4086">
        <v>1.102938</v>
      </c>
      <c r="L4086">
        <v>179.29730000000001</v>
      </c>
      <c r="M4086">
        <v>6.4596199999999895E-2</v>
      </c>
      <c r="N4086">
        <v>0</v>
      </c>
      <c r="O4086">
        <v>-0.99781540000000002</v>
      </c>
      <c r="P4086">
        <v>3.183474E-2</v>
      </c>
      <c r="Q4086">
        <v>4.2439169999999998E-3</v>
      </c>
      <c r="R4086">
        <v>-0.99948409999999999</v>
      </c>
      <c r="S4086">
        <v>-0.57533259999999997</v>
      </c>
      <c r="T4086">
        <v>-0.15595039999999999</v>
      </c>
      <c r="U4086">
        <v>-3.0218959999999999</v>
      </c>
      <c r="V4086">
        <v>3.2889010000000003E-2</v>
      </c>
      <c r="W4086">
        <v>1.79308E-2</v>
      </c>
      <c r="X4086">
        <v>0.99929820000000003</v>
      </c>
      <c r="Y4086">
        <v>0.24986340000000001</v>
      </c>
      <c r="Z4086">
        <v>5.011003E-2</v>
      </c>
      <c r="AA4086">
        <v>0.96698359999999906</v>
      </c>
      <c r="AB4086">
        <v>24</v>
      </c>
      <c r="AC4086">
        <v>-4.0769999999999902</v>
      </c>
      <c r="AD4086">
        <v>-1.10295259128</v>
      </c>
      <c r="AE4086">
        <v>-21.215900000000001</v>
      </c>
      <c r="AF4086">
        <v>5.4249418242277301</v>
      </c>
      <c r="AG4086">
        <v>-1.10295259128</v>
      </c>
      <c r="AH4086">
        <v>20.853844210137598</v>
      </c>
      <c r="AI4086">
        <v>92.930186671232704</v>
      </c>
      <c r="AJ4086">
        <v>75.418211911250594</v>
      </c>
      <c r="AK4086">
        <v>21.576128395881302</v>
      </c>
    </row>
    <row r="4087" spans="1:37" x14ac:dyDescent="0.2">
      <c r="A4087" t="str">
        <f>"20200111155630440"</f>
        <v>20200111155630440</v>
      </c>
      <c r="B4087" t="str">
        <f>"1578729390437015"</f>
        <v>1578729390437015</v>
      </c>
      <c r="C4087" t="s">
        <v>37</v>
      </c>
      <c r="D4087">
        <v>4.9331019999999999</v>
      </c>
      <c r="E4087">
        <v>0.58621259999999997</v>
      </c>
      <c r="F4087" t="s">
        <v>72</v>
      </c>
      <c r="G4087">
        <v>-198.2843</v>
      </c>
      <c r="H4087" s="1">
        <v>-1.444965E-5</v>
      </c>
      <c r="I4087">
        <v>157.51849999999999</v>
      </c>
      <c r="J4087">
        <v>-194.0565</v>
      </c>
      <c r="K4087">
        <v>1.10297</v>
      </c>
      <c r="L4087">
        <v>179.14500000000001</v>
      </c>
      <c r="M4087">
        <v>6.2656589999999998E-2</v>
      </c>
      <c r="N4087">
        <v>0</v>
      </c>
      <c r="O4087">
        <v>-0.99793899999999902</v>
      </c>
      <c r="P4087">
        <v>2.9598530000000001E-2</v>
      </c>
      <c r="Q4087">
        <v>5.0290079999999997E-3</v>
      </c>
      <c r="R4087">
        <v>-0.99954909999999997</v>
      </c>
      <c r="S4087">
        <v>-0.58535769999999998</v>
      </c>
      <c r="T4087">
        <v>-0.1529874</v>
      </c>
      <c r="U4087">
        <v>-3.0208740000000001</v>
      </c>
      <c r="V4087">
        <v>3.3184650000000003E-2</v>
      </c>
      <c r="W4087">
        <v>1.871459E-2</v>
      </c>
      <c r="X4087">
        <v>0.999274</v>
      </c>
      <c r="Y4087">
        <v>0.25114530000000002</v>
      </c>
      <c r="Z4087">
        <v>4.9162459999999998E-2</v>
      </c>
      <c r="AA4087">
        <v>0.96670009999999995</v>
      </c>
      <c r="AB4087">
        <v>24</v>
      </c>
      <c r="AC4087">
        <v>-4.2278000000000002</v>
      </c>
      <c r="AD4087">
        <v>-1.1029844496500001</v>
      </c>
      <c r="AE4087">
        <v>-21.6265</v>
      </c>
      <c r="AF4087">
        <v>5.56073227980339</v>
      </c>
      <c r="AG4087">
        <v>-1.1029844496500001</v>
      </c>
      <c r="AH4087">
        <v>21.2657945019977</v>
      </c>
      <c r="AI4087">
        <v>92.872660643044796</v>
      </c>
      <c r="AJ4087">
        <v>75.345999916191502</v>
      </c>
      <c r="AK4087">
        <v>22.008460509199899</v>
      </c>
    </row>
    <row r="4088" spans="1:37" x14ac:dyDescent="0.2">
      <c r="A4088" t="str">
        <f>"20200111155630454"</f>
        <v>20200111155630454</v>
      </c>
      <c r="B4088" t="str">
        <f>"1578729390446775"</f>
        <v>1578729390446775</v>
      </c>
      <c r="C4088" t="s">
        <v>37</v>
      </c>
      <c r="D4088">
        <v>4.9253929999999997</v>
      </c>
      <c r="E4088">
        <v>0.58642269999999996</v>
      </c>
      <c r="F4088" t="s">
        <v>72</v>
      </c>
      <c r="G4088">
        <v>-198.33580000000001</v>
      </c>
      <c r="H4088" s="1">
        <v>-1.4411520000000001E-5</v>
      </c>
      <c r="I4088">
        <v>157.36689999999999</v>
      </c>
      <c r="J4088">
        <v>-194.04859999999999</v>
      </c>
      <c r="K4088">
        <v>1.1030089999999999</v>
      </c>
      <c r="L4088">
        <v>178.98140000000001</v>
      </c>
      <c r="M4088">
        <v>6.0607599999999998E-2</v>
      </c>
      <c r="N4088">
        <v>0</v>
      </c>
      <c r="O4088">
        <v>-0.99806589999999995</v>
      </c>
      <c r="P4088">
        <v>2.7297990000000001E-2</v>
      </c>
      <c r="Q4088">
        <v>5.7956079999999998E-3</v>
      </c>
      <c r="R4088">
        <v>-0.99961089999999997</v>
      </c>
      <c r="S4088">
        <v>-0.59335329999999997</v>
      </c>
      <c r="T4088">
        <v>-0.15293709999999999</v>
      </c>
      <c r="U4088">
        <v>-3.0196839999999998</v>
      </c>
      <c r="V4088">
        <v>3.3434600000000002E-2</v>
      </c>
      <c r="W4088">
        <v>1.9479779999999999E-2</v>
      </c>
      <c r="X4088">
        <v>0.99925109999999995</v>
      </c>
      <c r="Y4088">
        <v>0.251695</v>
      </c>
      <c r="Z4088">
        <v>4.9158939999999998E-2</v>
      </c>
      <c r="AA4088">
        <v>0.96655729999999995</v>
      </c>
      <c r="AB4088">
        <v>24</v>
      </c>
      <c r="AC4088">
        <v>-4.2872000000000101</v>
      </c>
      <c r="AD4088">
        <v>-1.1030234115199999</v>
      </c>
      <c r="AE4088">
        <v>-21.6145</v>
      </c>
      <c r="AF4088">
        <v>5.5754752171860602</v>
      </c>
      <c r="AG4088">
        <v>-1.1030234115199999</v>
      </c>
      <c r="AH4088">
        <v>21.2616218577453</v>
      </c>
      <c r="AI4088">
        <v>92.872801336427102</v>
      </c>
      <c r="AJ4088">
        <v>75.306068514452903</v>
      </c>
      <c r="AK4088">
        <v>22.0081609537364</v>
      </c>
    </row>
    <row r="4089" spans="1:37" x14ac:dyDescent="0.2">
      <c r="A4089" t="str">
        <f>"20200111155630472"</f>
        <v>20200111155630472</v>
      </c>
      <c r="B4089" t="str">
        <f>"1578729390467270"</f>
        <v>1578729390467270</v>
      </c>
      <c r="C4089" t="s">
        <v>37</v>
      </c>
      <c r="D4089">
        <v>6.40944</v>
      </c>
      <c r="E4089">
        <v>0.58647680000000002</v>
      </c>
      <c r="F4089" t="s">
        <v>72</v>
      </c>
      <c r="G4089">
        <v>-198.42949999999999</v>
      </c>
      <c r="H4089" s="1">
        <v>-1.432177E-5</v>
      </c>
      <c r="I4089">
        <v>157.0103</v>
      </c>
      <c r="J4089">
        <v>-194.04069999999999</v>
      </c>
      <c r="K4089">
        <v>1.103059</v>
      </c>
      <c r="L4089">
        <v>178.81200000000001</v>
      </c>
      <c r="M4089">
        <v>5.8521799999999999E-2</v>
      </c>
      <c r="N4089">
        <v>0</v>
      </c>
      <c r="O4089">
        <v>-0.99819009999999997</v>
      </c>
      <c r="P4089">
        <v>2.44310999999999E-2</v>
      </c>
      <c r="Q4089">
        <v>6.7304280000000001E-3</v>
      </c>
      <c r="R4089">
        <v>-0.99967929999999905</v>
      </c>
      <c r="S4089">
        <v>-0.60186770000000001</v>
      </c>
      <c r="T4089">
        <v>-0.15153699999999901</v>
      </c>
      <c r="U4089">
        <v>-3.0184630000000001</v>
      </c>
      <c r="V4089">
        <v>3.4214330000000001E-2</v>
      </c>
      <c r="W4089">
        <v>2.0410850000000001E-2</v>
      </c>
      <c r="X4089">
        <v>0.99920609999999999</v>
      </c>
      <c r="Y4089">
        <v>0.2523746</v>
      </c>
      <c r="Z4089">
        <v>4.872104E-2</v>
      </c>
      <c r="AA4089">
        <v>0.96640230000000005</v>
      </c>
      <c r="AB4089">
        <v>24</v>
      </c>
      <c r="AC4089">
        <v>-4.3887999999999998</v>
      </c>
      <c r="AD4089">
        <v>-1.1030733217699999</v>
      </c>
      <c r="AE4089">
        <v>-21.8017</v>
      </c>
      <c r="AF4089">
        <v>5.6433897332771901</v>
      </c>
      <c r="AG4089">
        <v>-1.1030733217699999</v>
      </c>
      <c r="AH4089">
        <v>21.454678985870899</v>
      </c>
      <c r="AI4089">
        <v>92.846559444603898</v>
      </c>
      <c r="AJ4089">
        <v>75.2628771827777</v>
      </c>
      <c r="AK4089">
        <v>22.211885755640601</v>
      </c>
    </row>
    <row r="4090" spans="1:37" x14ac:dyDescent="0.2">
      <c r="A4090" t="str">
        <f>"20200111155630486"</f>
        <v>20200111155630486</v>
      </c>
      <c r="B4090" t="str">
        <f>"1578729390477031"</f>
        <v>1578729390477031</v>
      </c>
      <c r="C4090" t="s">
        <v>37</v>
      </c>
      <c r="D4090">
        <v>5.0899650000000003</v>
      </c>
      <c r="E4090">
        <v>0.58634759999999997</v>
      </c>
      <c r="F4090" t="s">
        <v>72</v>
      </c>
      <c r="G4090">
        <v>-198.53059999999999</v>
      </c>
      <c r="H4090" s="1">
        <v>-1.4227819999999999E-5</v>
      </c>
      <c r="I4090">
        <v>156.63679999999999</v>
      </c>
      <c r="J4090">
        <v>-194.03370000000001</v>
      </c>
      <c r="K4090">
        <v>1.1031059999999999</v>
      </c>
      <c r="L4090">
        <v>178.65520000000001</v>
      </c>
      <c r="M4090">
        <v>5.6630149999999997E-2</v>
      </c>
      <c r="N4090">
        <v>0</v>
      </c>
      <c r="O4090">
        <v>-0.99829939999999995</v>
      </c>
      <c r="P4090">
        <v>2.2336950000000001E-2</v>
      </c>
      <c r="Q4090">
        <v>7.0750559999999997E-3</v>
      </c>
      <c r="R4090">
        <v>-0.99972569999999905</v>
      </c>
      <c r="S4090">
        <v>-0.61083980000000004</v>
      </c>
      <c r="T4090">
        <v>-0.15007190000000001</v>
      </c>
      <c r="U4090">
        <v>-3.0169069999999998</v>
      </c>
      <c r="V4090">
        <v>3.4413260000000001E-2</v>
      </c>
      <c r="W4090">
        <v>2.0754580000000002E-2</v>
      </c>
      <c r="X4090">
        <v>0.99919219999999898</v>
      </c>
      <c r="Y4090">
        <v>0.2534034</v>
      </c>
      <c r="Z4090">
        <v>4.8262949999999999E-2</v>
      </c>
      <c r="AA4090">
        <v>0.96615599999999902</v>
      </c>
      <c r="AB4090">
        <v>24</v>
      </c>
      <c r="AC4090">
        <v>-4.4968999999999797</v>
      </c>
      <c r="AD4090">
        <v>-1.1031202278200001</v>
      </c>
      <c r="AE4090">
        <v>-22.0184</v>
      </c>
      <c r="AF4090">
        <v>5.7229173427336297</v>
      </c>
      <c r="AG4090">
        <v>-1.1031202278200001</v>
      </c>
      <c r="AH4090">
        <v>21.676145524096899</v>
      </c>
      <c r="AI4090">
        <v>92.816962454070406</v>
      </c>
      <c r="AJ4090">
        <v>75.210297094950306</v>
      </c>
      <c r="AK4090">
        <v>22.446022853294402</v>
      </c>
    </row>
    <row r="4091" spans="1:37" x14ac:dyDescent="0.2">
      <c r="A4091" t="str">
        <f>"20200111155630502"</f>
        <v>20200111155630502</v>
      </c>
      <c r="B4091" t="str">
        <f>"1578729390496550"</f>
        <v>1578729390496550</v>
      </c>
      <c r="C4091" t="s">
        <v>37</v>
      </c>
      <c r="D4091">
        <v>4.9054260000000003</v>
      </c>
      <c r="E4091">
        <v>0.58623970000000003</v>
      </c>
      <c r="F4091" t="s">
        <v>72</v>
      </c>
      <c r="G4091">
        <v>-198.57730000000001</v>
      </c>
      <c r="H4091" s="1">
        <v>-1.417201E-5</v>
      </c>
      <c r="I4091">
        <v>156.41499999999999</v>
      </c>
      <c r="J4091">
        <v>-194.0266</v>
      </c>
      <c r="K4091">
        <v>1.1031580000000001</v>
      </c>
      <c r="L4091">
        <v>178.49039999999999</v>
      </c>
      <c r="M4091">
        <v>5.4686390000000001E-2</v>
      </c>
      <c r="N4091">
        <v>0</v>
      </c>
      <c r="O4091">
        <v>-0.99840769999999901</v>
      </c>
      <c r="P4091">
        <v>2.0035150000000002E-2</v>
      </c>
      <c r="Q4091">
        <v>7.8854530000000006E-3</v>
      </c>
      <c r="R4091">
        <v>-0.9997684</v>
      </c>
      <c r="S4091">
        <v>-0.6160736</v>
      </c>
      <c r="T4091">
        <v>-0.14957570000000001</v>
      </c>
      <c r="U4091">
        <v>-3.015625</v>
      </c>
      <c r="V4091">
        <v>3.4769099999999997E-2</v>
      </c>
      <c r="W4091">
        <v>2.1564070000000001E-2</v>
      </c>
      <c r="X4091">
        <v>0.99916269999999996</v>
      </c>
      <c r="Y4091">
        <v>0.25321159999999998</v>
      </c>
      <c r="Z4091">
        <v>4.8124779999999999E-2</v>
      </c>
      <c r="AA4091">
        <v>0.96621319999999999</v>
      </c>
      <c r="AB4091">
        <v>24</v>
      </c>
      <c r="AC4091">
        <v>-4.5507</v>
      </c>
      <c r="AD4091">
        <v>-1.1031721720100001</v>
      </c>
      <c r="AE4091">
        <v>-22.075399999999998</v>
      </c>
      <c r="AF4091">
        <v>5.7374843362067596</v>
      </c>
      <c r="AG4091">
        <v>-1.1031721720100001</v>
      </c>
      <c r="AH4091">
        <v>21.7413929977658</v>
      </c>
      <c r="AI4091">
        <v>92.808738789741895</v>
      </c>
      <c r="AJ4091">
        <v>75.216849464064197</v>
      </c>
      <c r="AK4091">
        <v>22.5127493841294</v>
      </c>
    </row>
    <row r="4092" spans="1:37" x14ac:dyDescent="0.2">
      <c r="A4092" t="str">
        <f>"20200111155630514"</f>
        <v>20200111155630514</v>
      </c>
      <c r="B4092" t="str">
        <f>"1578729390507287"</f>
        <v>1578729390507287</v>
      </c>
      <c r="C4092" t="s">
        <v>37</v>
      </c>
      <c r="D4092">
        <v>4.9691910000000004</v>
      </c>
      <c r="E4092">
        <v>0.58604679999999998</v>
      </c>
      <c r="F4092" t="s">
        <v>72</v>
      </c>
      <c r="G4092">
        <v>-198.58850000000001</v>
      </c>
      <c r="H4092" s="1">
        <v>-1.4162919999999999E-5</v>
      </c>
      <c r="I4092">
        <v>156.37889999999999</v>
      </c>
      <c r="J4092">
        <v>-194.02080000000001</v>
      </c>
      <c r="K4092">
        <v>1.1032139999999999</v>
      </c>
      <c r="L4092">
        <v>178.3518</v>
      </c>
      <c r="M4092">
        <v>5.31014E-2</v>
      </c>
      <c r="N4092">
        <v>0</v>
      </c>
      <c r="O4092">
        <v>-0.99849330000000003</v>
      </c>
      <c r="P4092">
        <v>1.862219E-2</v>
      </c>
      <c r="Q4092">
        <v>9.6084059999999999E-3</v>
      </c>
      <c r="R4092">
        <v>-0.99978080000000003</v>
      </c>
      <c r="S4092">
        <v>-0.62190249999999903</v>
      </c>
      <c r="T4092">
        <v>-0.15038879999999999</v>
      </c>
      <c r="U4092">
        <v>-3.0143279999999999</v>
      </c>
      <c r="V4092">
        <v>3.4599009999999999E-2</v>
      </c>
      <c r="W4092">
        <v>2.3288360000000001E-2</v>
      </c>
      <c r="X4092">
        <v>0.99912990000000002</v>
      </c>
      <c r="Y4092">
        <v>0.25354759999999998</v>
      </c>
      <c r="Z4092">
        <v>4.8400989999999998E-2</v>
      </c>
      <c r="AA4092">
        <v>0.96611119999999995</v>
      </c>
      <c r="AB4092">
        <v>24</v>
      </c>
      <c r="AC4092">
        <v>-4.5677000000000003</v>
      </c>
      <c r="AD4092">
        <v>-1.10322816291999</v>
      </c>
      <c r="AE4092">
        <v>-21.972899999999999</v>
      </c>
      <c r="AF4092">
        <v>5.7143491330118801</v>
      </c>
      <c r="AG4092">
        <v>-1.10322816291999</v>
      </c>
      <c r="AH4092">
        <v>21.647009076467999</v>
      </c>
      <c r="AI4092">
        <v>92.821051578801104</v>
      </c>
      <c r="AJ4092">
        <v>75.212463726864499</v>
      </c>
      <c r="AK4092">
        <v>22.415706554782101</v>
      </c>
    </row>
    <row r="4093" spans="1:37" x14ac:dyDescent="0.2">
      <c r="A4093" t="str">
        <f>"20200111155630527"</f>
        <v>20200111155630527</v>
      </c>
      <c r="B4093" t="str">
        <f>"1578729390517047"</f>
        <v>1578729390517047</v>
      </c>
      <c r="C4093" t="s">
        <v>37</v>
      </c>
      <c r="D4093">
        <v>5.0159079999999996</v>
      </c>
      <c r="E4093">
        <v>0.58579969999999904</v>
      </c>
      <c r="F4093" t="s">
        <v>72</v>
      </c>
      <c r="G4093">
        <v>-198.69099999999901</v>
      </c>
      <c r="H4093" s="1">
        <v>-1.402081E-5</v>
      </c>
      <c r="I4093">
        <v>155.8141</v>
      </c>
      <c r="J4093">
        <v>-194.0155</v>
      </c>
      <c r="K4093">
        <v>1.1032709999999999</v>
      </c>
      <c r="L4093">
        <v>178.22049999999999</v>
      </c>
      <c r="M4093">
        <v>5.1644309999999999E-2</v>
      </c>
      <c r="N4093">
        <v>0</v>
      </c>
      <c r="O4093">
        <v>-0.99856990000000001</v>
      </c>
      <c r="P4093">
        <v>1.7433009999999999E-2</v>
      </c>
      <c r="Q4093">
        <v>1.0447100000000001E-2</v>
      </c>
      <c r="R4093">
        <v>-0.99979379999999995</v>
      </c>
      <c r="S4093">
        <v>-0.62449650000000001</v>
      </c>
      <c r="T4093">
        <v>-0.14752109999999999</v>
      </c>
      <c r="U4093">
        <v>-3.013687</v>
      </c>
      <c r="V4093">
        <v>3.4329579999999998E-2</v>
      </c>
      <c r="W4093">
        <v>2.4128779999999999E-2</v>
      </c>
      <c r="X4093">
        <v>0.99911930000000004</v>
      </c>
      <c r="Y4093">
        <v>0.25298320000000002</v>
      </c>
      <c r="Z4093">
        <v>4.7495130000000003E-2</v>
      </c>
      <c r="AA4093">
        <v>0.96630419999999995</v>
      </c>
      <c r="AB4093">
        <v>24</v>
      </c>
      <c r="AC4093">
        <v>-4.6754999999999702</v>
      </c>
      <c r="AD4093">
        <v>-1.10328502080999</v>
      </c>
      <c r="AE4093">
        <v>-22.406399999999898</v>
      </c>
      <c r="AF4093">
        <v>5.81302725330925</v>
      </c>
      <c r="AG4093">
        <v>-1.10328502080999</v>
      </c>
      <c r="AH4093">
        <v>22.083698916113299</v>
      </c>
      <c r="AI4093">
        <v>92.766008582818699</v>
      </c>
      <c r="AJ4093">
        <v>75.252730736149303</v>
      </c>
      <c r="AK4093">
        <v>22.862595686019599</v>
      </c>
    </row>
    <row r="4094" spans="1:37" x14ac:dyDescent="0.2">
      <c r="A4094" t="str">
        <f>"20200111155630551"</f>
        <v>20200111155630551</v>
      </c>
      <c r="B4094" t="str">
        <f>"1578729390536566"</f>
        <v>1578729390536566</v>
      </c>
      <c r="C4094" t="s">
        <v>37</v>
      </c>
      <c r="D4094">
        <v>4.9989179999999998</v>
      </c>
      <c r="E4094">
        <v>0.58526869999999998</v>
      </c>
      <c r="F4094" t="s">
        <v>72</v>
      </c>
      <c r="G4094">
        <v>-198.71119999999999</v>
      </c>
      <c r="H4094" s="1">
        <v>-1.397271E-5</v>
      </c>
      <c r="I4094">
        <v>155.62289999999999</v>
      </c>
      <c r="J4094">
        <v>-194.00659999999999</v>
      </c>
      <c r="K4094">
        <v>1.103372</v>
      </c>
      <c r="L4094">
        <v>177.99340000000001</v>
      </c>
      <c r="M4094">
        <v>4.922033E-2</v>
      </c>
      <c r="N4094">
        <v>0</v>
      </c>
      <c r="O4094">
        <v>-0.99869229999999998</v>
      </c>
      <c r="P4094">
        <v>1.6101310000000001E-2</v>
      </c>
      <c r="Q4094">
        <v>1.117479E-2</v>
      </c>
      <c r="R4094">
        <v>-0.99980800000000003</v>
      </c>
      <c r="S4094">
        <v>-0.6261139</v>
      </c>
      <c r="T4094">
        <v>-0.14710809999999999</v>
      </c>
      <c r="U4094">
        <v>-3.013077</v>
      </c>
      <c r="V4094">
        <v>3.3231759999999999E-2</v>
      </c>
      <c r="W4094">
        <v>2.4862889999999999E-2</v>
      </c>
      <c r="X4094">
        <v>0.99913839999999998</v>
      </c>
      <c r="Y4094">
        <v>0.2511718</v>
      </c>
      <c r="Z4094">
        <v>4.7389569999999999E-2</v>
      </c>
      <c r="AA4094">
        <v>0.96678169999999897</v>
      </c>
      <c r="AB4094">
        <v>24</v>
      </c>
      <c r="AC4094">
        <v>-4.7045999999999903</v>
      </c>
      <c r="AD4094">
        <v>-1.1033859727099999</v>
      </c>
      <c r="AE4094">
        <v>-22.3705</v>
      </c>
      <c r="AF4094">
        <v>5.7866039535515403</v>
      </c>
      <c r="AG4094">
        <v>-1.1033859727099999</v>
      </c>
      <c r="AH4094">
        <v>22.060401348279399</v>
      </c>
      <c r="AI4094">
        <v>92.769803280758694</v>
      </c>
      <c r="AJ4094">
        <v>75.302026619830897</v>
      </c>
      <c r="AK4094">
        <v>22.833386817710601</v>
      </c>
    </row>
    <row r="4095" spans="1:37" x14ac:dyDescent="0.2">
      <c r="A4095" t="str">
        <f>"20200111155630579"</f>
        <v>20200111155630579</v>
      </c>
      <c r="B4095" t="str">
        <f>"1578729390576582"</f>
        <v>1578729390576582</v>
      </c>
      <c r="C4095" t="s">
        <v>37</v>
      </c>
      <c r="D4095">
        <v>4.9549010000000004</v>
      </c>
      <c r="E4095">
        <v>0.58526869999999998</v>
      </c>
      <c r="F4095" t="s">
        <v>72</v>
      </c>
      <c r="G4095">
        <v>-198.6414</v>
      </c>
      <c r="H4095" s="1">
        <v>-1.39878E-5</v>
      </c>
      <c r="I4095">
        <v>155.68289999999999</v>
      </c>
      <c r="J4095">
        <v>-193.9948</v>
      </c>
      <c r="K4095">
        <v>1.1035299999999999</v>
      </c>
      <c r="L4095">
        <v>177.672</v>
      </c>
      <c r="M4095">
        <v>4.6035880000000001E-2</v>
      </c>
      <c r="N4095">
        <v>0</v>
      </c>
      <c r="O4095">
        <v>-0.99884430000000002</v>
      </c>
      <c r="P4095">
        <v>1.42236999999999E-2</v>
      </c>
      <c r="Q4095">
        <v>1.246214E-2</v>
      </c>
      <c r="R4095">
        <v>-0.99982139999999997</v>
      </c>
      <c r="S4095">
        <v>-0.62576290000000001</v>
      </c>
      <c r="T4095">
        <v>-0.1489753</v>
      </c>
      <c r="U4095">
        <v>-3.012283</v>
      </c>
      <c r="V4095">
        <v>3.1916430000000003E-2</v>
      </c>
      <c r="W4095">
        <v>2.6158509999999999E-2</v>
      </c>
      <c r="X4095">
        <v>0.99914820000000004</v>
      </c>
      <c r="Y4095">
        <v>0.24802109999999999</v>
      </c>
      <c r="Z4095">
        <v>4.803354E-2</v>
      </c>
      <c r="AA4095">
        <v>0.96756309999999901</v>
      </c>
      <c r="AB4095">
        <v>23</v>
      </c>
      <c r="AC4095">
        <v>-4.6466000000000003</v>
      </c>
      <c r="AD4095">
        <v>-1.1035439878</v>
      </c>
      <c r="AE4095">
        <v>-21.989100000000001</v>
      </c>
      <c r="AF4095">
        <v>5.6404578245305901</v>
      </c>
      <c r="AG4095">
        <v>-1.1035439878</v>
      </c>
      <c r="AH4095">
        <v>21.699534725771102</v>
      </c>
      <c r="AI4095">
        <v>92.817825935216902</v>
      </c>
      <c r="AJ4095">
        <v>75.429298815847602</v>
      </c>
      <c r="AK4095">
        <v>22.447770070059601</v>
      </c>
    </row>
    <row r="4096" spans="1:37" x14ac:dyDescent="0.2">
      <c r="A4096" t="str">
        <f>"20200111155630594"</f>
        <v>20200111155630594</v>
      </c>
      <c r="B4096" t="str">
        <f>"1578729390587318"</f>
        <v>1578729390587318</v>
      </c>
      <c r="C4096" t="s">
        <v>37</v>
      </c>
      <c r="D4096">
        <v>4.890021</v>
      </c>
      <c r="E4096">
        <v>0.54390070000000001</v>
      </c>
      <c r="F4096" t="s">
        <v>72</v>
      </c>
      <c r="G4096">
        <v>-198.79179999999999</v>
      </c>
      <c r="H4096" s="1">
        <v>-1.36926E-5</v>
      </c>
      <c r="I4096">
        <v>154.79480000000001</v>
      </c>
      <c r="J4096">
        <v>-193.98929999999999</v>
      </c>
      <c r="K4096">
        <v>1.1036219999999901</v>
      </c>
      <c r="L4096">
        <v>177.5171</v>
      </c>
      <c r="M4096">
        <v>4.4638240000000003E-2</v>
      </c>
      <c r="N4096">
        <v>0</v>
      </c>
      <c r="O4096">
        <v>-0.99890789999999996</v>
      </c>
      <c r="P4096">
        <v>1.4019480000000001E-2</v>
      </c>
      <c r="Q4096">
        <v>1.303577E-2</v>
      </c>
      <c r="R4096">
        <v>-0.99981710000000001</v>
      </c>
      <c r="S4096">
        <v>-0.63143919999999998</v>
      </c>
      <c r="T4096">
        <v>-0.14525979999999999</v>
      </c>
      <c r="U4096">
        <v>-3.0113219999999998</v>
      </c>
      <c r="V4096">
        <v>3.071832E-2</v>
      </c>
      <c r="W4096">
        <v>2.6738140000000001E-2</v>
      </c>
      <c r="X4096">
        <v>0.99917040000000001</v>
      </c>
      <c r="Y4096">
        <v>0.2484864</v>
      </c>
      <c r="Z4096">
        <v>4.6845749999999999E-2</v>
      </c>
      <c r="AA4096">
        <v>0.96750190000000003</v>
      </c>
      <c r="AB4096">
        <v>23</v>
      </c>
      <c r="AC4096">
        <v>-4.8025000000000002</v>
      </c>
      <c r="AD4096">
        <v>-1.1036356925999999</v>
      </c>
      <c r="AE4096">
        <v>-22.722299999999901</v>
      </c>
      <c r="AF4096">
        <v>5.7989966714162904</v>
      </c>
      <c r="AG4096">
        <v>-1.1036356925999999</v>
      </c>
      <c r="AH4096">
        <v>22.4345885747503</v>
      </c>
      <c r="AI4096">
        <v>92.726828198691294</v>
      </c>
      <c r="AJ4096">
        <v>75.507139572705995</v>
      </c>
      <c r="AK4096">
        <v>23.198214126423501</v>
      </c>
    </row>
    <row r="4097" spans="1:37" x14ac:dyDescent="0.2">
      <c r="A4097" t="str">
        <f>"20200111155630608"</f>
        <v>20200111155630608</v>
      </c>
      <c r="B4097" t="str">
        <f>"1578729390597079"</f>
        <v>1578729390597079</v>
      </c>
      <c r="C4097" t="s">
        <v>37</v>
      </c>
      <c r="D4097">
        <v>4.8884780000000001</v>
      </c>
      <c r="E4097">
        <v>0.53999079999999999</v>
      </c>
      <c r="F4097" t="s">
        <v>72</v>
      </c>
      <c r="G4097">
        <v>-196.0017</v>
      </c>
      <c r="H4097" s="1">
        <v>-1.442251E-5</v>
      </c>
      <c r="I4097">
        <v>157.41059999999999</v>
      </c>
      <c r="J4097">
        <v>-193.98429999999999</v>
      </c>
      <c r="K4097">
        <v>1.103702</v>
      </c>
      <c r="L4097">
        <v>177.37270000000001</v>
      </c>
      <c r="M4097">
        <v>4.3408490000000001E-2</v>
      </c>
      <c r="N4097">
        <v>0</v>
      </c>
      <c r="O4097">
        <v>-0.99896200000000002</v>
      </c>
      <c r="P4097">
        <v>1.3434440000000001E-2</v>
      </c>
      <c r="Q4097">
        <v>1.315902E-2</v>
      </c>
      <c r="R4097">
        <v>-0.99982329999999997</v>
      </c>
      <c r="S4097">
        <v>-0.30094910000000002</v>
      </c>
      <c r="T4097">
        <v>-0.16504669999999999</v>
      </c>
      <c r="U4097">
        <v>-3.0068820000000001</v>
      </c>
      <c r="V4097">
        <v>3.0067739999999999E-2</v>
      </c>
      <c r="W4097">
        <v>2.686494E-2</v>
      </c>
      <c r="X4097">
        <v>0.99918680000000004</v>
      </c>
      <c r="Y4097">
        <v>0.1425447</v>
      </c>
      <c r="Z4097">
        <v>5.4314420000000002E-2</v>
      </c>
      <c r="AA4097">
        <v>0.98829699999999998</v>
      </c>
      <c r="AB4097">
        <v>23</v>
      </c>
      <c r="AC4097">
        <v>-2.0173999999999999</v>
      </c>
      <c r="AD4097">
        <v>-1.10371642251</v>
      </c>
      <c r="AE4097">
        <v>-19.9621</v>
      </c>
      <c r="AF4097">
        <v>2.8734099228255401</v>
      </c>
      <c r="AG4097">
        <v>-1.10371642251</v>
      </c>
      <c r="AH4097">
        <v>19.795794742788601</v>
      </c>
      <c r="AI4097">
        <v>93.158198623750806</v>
      </c>
      <c r="AJ4097">
        <v>81.741052932766195</v>
      </c>
      <c r="AK4097">
        <v>20.033675749211099</v>
      </c>
    </row>
    <row r="4098" spans="1:37" x14ac:dyDescent="0.2">
      <c r="A4098" t="str">
        <f>"20200111155630621"</f>
        <v>20200111155630621</v>
      </c>
      <c r="B4098" t="str">
        <f>"1578729390616601"</f>
        <v>1578729390616601</v>
      </c>
      <c r="C4098" t="s">
        <v>37</v>
      </c>
      <c r="D4098">
        <v>4.8717959999999998</v>
      </c>
      <c r="E4098">
        <v>0.53822799999999904</v>
      </c>
      <c r="F4098" t="s">
        <v>72</v>
      </c>
      <c r="G4098">
        <v>-195.70699999999999</v>
      </c>
      <c r="H4098" s="1">
        <v>-1.464259E-5</v>
      </c>
      <c r="I4098">
        <v>158.28530000000001</v>
      </c>
      <c r="J4098">
        <v>-193.9794</v>
      </c>
      <c r="K4098">
        <v>1.103788</v>
      </c>
      <c r="L4098">
        <v>177.2276</v>
      </c>
      <c r="M4098">
        <v>4.2237329999999997E-2</v>
      </c>
      <c r="N4098">
        <v>0</v>
      </c>
      <c r="O4098">
        <v>-0.99901229999999996</v>
      </c>
      <c r="P4098">
        <v>1.2978480000000001E-2</v>
      </c>
      <c r="Q4098">
        <v>1.29389E-2</v>
      </c>
      <c r="R4098">
        <v>-0.99983250000000001</v>
      </c>
      <c r="S4098">
        <v>-0.271347</v>
      </c>
      <c r="T4098">
        <v>-0.173848</v>
      </c>
      <c r="U4098">
        <v>-3.0064850000000001</v>
      </c>
      <c r="V4098">
        <v>2.9345670000000001E-2</v>
      </c>
      <c r="W4098">
        <v>2.664948E-2</v>
      </c>
      <c r="X4098">
        <v>0.99921399999999905</v>
      </c>
      <c r="Y4098">
        <v>0.13173070000000001</v>
      </c>
      <c r="Z4098">
        <v>5.7282979999999997E-2</v>
      </c>
      <c r="AA4098">
        <v>0.98962909999999904</v>
      </c>
      <c r="AB4098">
        <v>23</v>
      </c>
      <c r="AC4098">
        <v>-1.72759999999999</v>
      </c>
      <c r="AD4098">
        <v>-1.10380264259</v>
      </c>
      <c r="AE4098">
        <v>-18.9422999999999</v>
      </c>
      <c r="AF4098">
        <v>2.5177276847280399</v>
      </c>
      <c r="AG4098">
        <v>-1.10380264259</v>
      </c>
      <c r="AH4098">
        <v>18.789142391439398</v>
      </c>
      <c r="AI4098">
        <v>93.332365081741202</v>
      </c>
      <c r="AJ4098">
        <v>82.367882038616997</v>
      </c>
      <c r="AK4098">
        <v>18.989186522176801</v>
      </c>
    </row>
    <row r="4099" spans="1:37" x14ac:dyDescent="0.2">
      <c r="A4099" t="str">
        <f>"20200111155630637"</f>
        <v>20200111155630637</v>
      </c>
      <c r="B4099" t="str">
        <f>"1578729390627335"</f>
        <v>1578729390627335</v>
      </c>
      <c r="C4099" t="s">
        <v>37</v>
      </c>
      <c r="D4099">
        <v>4.8765609999999997</v>
      </c>
      <c r="E4099">
        <v>0.53781250000000003</v>
      </c>
      <c r="F4099" t="s">
        <v>40</v>
      </c>
      <c r="G4099">
        <v>-194.0575</v>
      </c>
      <c r="H4099">
        <v>1.0467580000000001</v>
      </c>
      <c r="I4099">
        <v>176.31649999999999</v>
      </c>
      <c r="J4099">
        <v>-193.97389999999999</v>
      </c>
      <c r="K4099">
        <v>1.103891</v>
      </c>
      <c r="L4099">
        <v>177.0641</v>
      </c>
      <c r="M4099">
        <v>4.1027639999999997E-2</v>
      </c>
      <c r="N4099">
        <v>0</v>
      </c>
      <c r="O4099">
        <v>-0.99906280000000003</v>
      </c>
      <c r="P4099">
        <v>1.2676959999999999E-2</v>
      </c>
      <c r="Q4099">
        <v>1.322575E-2</v>
      </c>
      <c r="R4099">
        <v>-0.9998321</v>
      </c>
      <c r="S4099">
        <v>-0.25794980000000001</v>
      </c>
      <c r="T4099">
        <v>-0.18815479999999901</v>
      </c>
      <c r="U4099">
        <v>-3.0062709999999999</v>
      </c>
      <c r="V4099">
        <v>2.843064E-2</v>
      </c>
      <c r="W4099">
        <v>2.694073E-2</v>
      </c>
      <c r="X4099">
        <v>0.99923259999999903</v>
      </c>
      <c r="Y4099">
        <v>0.1261341</v>
      </c>
      <c r="Z4099">
        <v>6.202324E-2</v>
      </c>
      <c r="AA4099">
        <v>0.99007239999999996</v>
      </c>
      <c r="AB4099">
        <v>23</v>
      </c>
      <c r="AC4099">
        <v>-8.3600000000018299E-2</v>
      </c>
      <c r="AD4099">
        <v>-5.7132999999999802E-2</v>
      </c>
      <c r="AE4099">
        <v>-0.74760000000000504</v>
      </c>
      <c r="AF4099">
        <v>0.113549803124203</v>
      </c>
      <c r="AG4099">
        <v>-5.7132999999999802E-2</v>
      </c>
      <c r="AH4099">
        <v>0.73927590018858802</v>
      </c>
      <c r="AI4099">
        <v>94.368146226059693</v>
      </c>
      <c r="AJ4099">
        <v>81.267840995910007</v>
      </c>
      <c r="AK4099">
        <v>0.750124385737587</v>
      </c>
    </row>
    <row r="4100" spans="1:37" x14ac:dyDescent="0.2">
      <c r="A4100" t="str">
        <f>"20200111155630650"</f>
        <v>20200111155630650</v>
      </c>
      <c r="B4100" t="str">
        <f>"1578729390646854"</f>
        <v>1578729390646854</v>
      </c>
      <c r="C4100" t="s">
        <v>37</v>
      </c>
      <c r="D4100">
        <v>4.8500699999999997</v>
      </c>
      <c r="E4100">
        <v>0.53727000000000003</v>
      </c>
      <c r="F4100" t="s">
        <v>72</v>
      </c>
      <c r="G4100">
        <v>-195.46340000000001</v>
      </c>
      <c r="H4100" s="1">
        <v>-1.4954720000000001E-5</v>
      </c>
      <c r="I4100">
        <v>159.5258</v>
      </c>
      <c r="J4100">
        <v>-193.96940000000001</v>
      </c>
      <c r="K4100">
        <v>1.1039829999999999</v>
      </c>
      <c r="L4100">
        <v>176.92660000000001</v>
      </c>
      <c r="M4100">
        <v>4.0122970000000001E-2</v>
      </c>
      <c r="N4100">
        <v>0</v>
      </c>
      <c r="O4100">
        <v>-0.99909969999999904</v>
      </c>
      <c r="P4100">
        <v>1.1913119999999999E-2</v>
      </c>
      <c r="Q4100">
        <v>1.27469E-2</v>
      </c>
      <c r="R4100">
        <v>-0.99984810000000002</v>
      </c>
      <c r="S4100">
        <v>-0.25531009999999998</v>
      </c>
      <c r="T4100">
        <v>-0.18922149999999999</v>
      </c>
      <c r="U4100">
        <v>-3.006256</v>
      </c>
      <c r="V4100">
        <v>2.8282120000000001E-2</v>
      </c>
      <c r="W4100">
        <v>2.646453E-2</v>
      </c>
      <c r="X4100">
        <v>0.99924959999999996</v>
      </c>
      <c r="Y4100">
        <v>0.1243711</v>
      </c>
      <c r="Z4100">
        <v>6.2386549999999999E-2</v>
      </c>
      <c r="AA4100">
        <v>0.99027259999999995</v>
      </c>
      <c r="AB4100">
        <v>23</v>
      </c>
      <c r="AC4100">
        <v>-1.49399999999999</v>
      </c>
      <c r="AD4100">
        <v>-1.1039979547199901</v>
      </c>
      <c r="AE4100">
        <v>-17.4008</v>
      </c>
      <c r="AF4100">
        <v>2.1823146308122201</v>
      </c>
      <c r="AG4100">
        <v>-1.1039979547199901</v>
      </c>
      <c r="AH4100">
        <v>17.257876161524301</v>
      </c>
      <c r="AI4100">
        <v>93.631421586635696</v>
      </c>
      <c r="AJ4100">
        <v>82.793013944428594</v>
      </c>
      <c r="AK4100">
        <v>17.4303068888185</v>
      </c>
    </row>
    <row r="4101" spans="1:37" x14ac:dyDescent="0.2">
      <c r="A4101" t="str">
        <f>"20200111155630663"</f>
        <v>20200111155630663</v>
      </c>
      <c r="B4101" t="str">
        <f>"1578729390656616"</f>
        <v>1578729390656616</v>
      </c>
      <c r="C4101" t="s">
        <v>37</v>
      </c>
      <c r="D4101">
        <v>4.8525900000000002</v>
      </c>
      <c r="E4101">
        <v>0.53693279999999999</v>
      </c>
      <c r="F4101" t="s">
        <v>38</v>
      </c>
      <c r="G4101">
        <v>-195.42359999999999</v>
      </c>
      <c r="H4101" s="1">
        <v>-1.482814E-6</v>
      </c>
      <c r="I4101">
        <v>159.67570000000001</v>
      </c>
      <c r="J4101">
        <v>-193.9649</v>
      </c>
      <c r="K4101">
        <v>1.1040809999999901</v>
      </c>
      <c r="L4101">
        <v>176.78799999999899</v>
      </c>
      <c r="M4101">
        <v>3.927696E-2</v>
      </c>
      <c r="N4101">
        <v>0</v>
      </c>
      <c r="O4101">
        <v>-0.99913349999999901</v>
      </c>
      <c r="P4101">
        <v>1.1352589999999999E-2</v>
      </c>
      <c r="Q4101">
        <v>1.229777E-2</v>
      </c>
      <c r="R4101">
        <v>-0.99985999999999997</v>
      </c>
      <c r="S4101">
        <v>-0.25338749999999999</v>
      </c>
      <c r="T4101">
        <v>-0.19236809999999999</v>
      </c>
      <c r="U4101">
        <v>-3.005951</v>
      </c>
      <c r="V4101">
        <v>2.798906E-2</v>
      </c>
      <c r="W4101">
        <v>2.6018369999999999E-2</v>
      </c>
      <c r="X4101">
        <v>0.99926949999999903</v>
      </c>
      <c r="Y4101">
        <v>0.12290479999999999</v>
      </c>
      <c r="Z4101">
        <v>6.3436980000000004E-2</v>
      </c>
      <c r="AA4101">
        <v>0.99038890000000002</v>
      </c>
      <c r="AB4101">
        <v>23</v>
      </c>
      <c r="AC4101">
        <v>-1.4586999999999899</v>
      </c>
      <c r="AD4101">
        <v>-1.1040824828139999</v>
      </c>
      <c r="AE4101">
        <v>-17.112299999999902</v>
      </c>
      <c r="AF4101">
        <v>2.1209914529439202</v>
      </c>
      <c r="AG4101">
        <v>-1.1040824828139999</v>
      </c>
      <c r="AH4101">
        <v>16.971654211280899</v>
      </c>
      <c r="AI4101">
        <v>93.693453210993297</v>
      </c>
      <c r="AJ4101">
        <v>82.876530405978599</v>
      </c>
      <c r="AK4101">
        <v>17.139272141476901</v>
      </c>
    </row>
    <row r="4102" spans="1:37" x14ac:dyDescent="0.2">
      <c r="A4102" t="str">
        <f>"20200111155630676"</f>
        <v>20200111155630676</v>
      </c>
      <c r="B4102" t="str">
        <f>"1578729390667350"</f>
        <v>1578729390667350</v>
      </c>
      <c r="C4102" t="s">
        <v>37</v>
      </c>
      <c r="D4102">
        <v>4.8621309999999998</v>
      </c>
      <c r="E4102">
        <v>0.53662809999999905</v>
      </c>
      <c r="F4102" t="s">
        <v>40</v>
      </c>
      <c r="G4102">
        <v>-194.0395</v>
      </c>
      <c r="H4102">
        <v>1.046233</v>
      </c>
      <c r="I4102">
        <v>175.90039999999999</v>
      </c>
      <c r="J4102">
        <v>-193.9606</v>
      </c>
      <c r="K4102">
        <v>1.104174</v>
      </c>
      <c r="L4102">
        <v>176.6568</v>
      </c>
      <c r="M4102">
        <v>3.85536E-2</v>
      </c>
      <c r="N4102">
        <v>0</v>
      </c>
      <c r="O4102">
        <v>-0.99916149999999904</v>
      </c>
      <c r="P4102">
        <v>1.025383E-2</v>
      </c>
      <c r="Q4102">
        <v>1.175294E-2</v>
      </c>
      <c r="R4102">
        <v>-0.9998785</v>
      </c>
      <c r="S4102">
        <v>-0.25227359999999999</v>
      </c>
      <c r="T4102">
        <v>-0.1959168</v>
      </c>
      <c r="U4102">
        <v>-3.0056919999999998</v>
      </c>
      <c r="V4102">
        <v>2.835683E-2</v>
      </c>
      <c r="W4102">
        <v>2.5474480000000001E-2</v>
      </c>
      <c r="X4102">
        <v>0.99927319999999997</v>
      </c>
      <c r="Y4102">
        <v>0.1218226</v>
      </c>
      <c r="Z4102">
        <v>6.4615909999999999E-2</v>
      </c>
      <c r="AA4102">
        <v>0.99044639999999995</v>
      </c>
      <c r="AB4102">
        <v>23</v>
      </c>
      <c r="AC4102">
        <v>-7.8900000000004397E-2</v>
      </c>
      <c r="AD4102">
        <v>-5.7940999999999999E-2</v>
      </c>
      <c r="AE4102">
        <v>-0.75640000000001295</v>
      </c>
      <c r="AF4102">
        <v>0.107382732752358</v>
      </c>
      <c r="AG4102">
        <v>-5.7940999999999999E-2</v>
      </c>
      <c r="AH4102">
        <v>0.74845094096229303</v>
      </c>
      <c r="AI4102">
        <v>94.382004840786607</v>
      </c>
      <c r="AJ4102">
        <v>81.835303017098994</v>
      </c>
      <c r="AK4102">
        <v>0.75833173598479098</v>
      </c>
    </row>
    <row r="4103" spans="1:37" x14ac:dyDescent="0.2">
      <c r="A4103" t="str">
        <f>"20200111155630688"</f>
        <v>20200111155630688</v>
      </c>
      <c r="B4103" t="str">
        <f>"1578729390677111"</f>
        <v>1578729390677111</v>
      </c>
      <c r="C4103" t="s">
        <v>37</v>
      </c>
      <c r="D4103">
        <v>4.8783589999999997</v>
      </c>
      <c r="E4103">
        <v>0.53640259999999995</v>
      </c>
      <c r="F4103" t="s">
        <v>38</v>
      </c>
      <c r="G4103">
        <v>-195.36709999999999</v>
      </c>
      <c r="H4103" s="1">
        <v>-1.599275E-6</v>
      </c>
      <c r="I4103">
        <v>159.9538</v>
      </c>
      <c r="J4103">
        <v>-193.95650000000001</v>
      </c>
      <c r="K4103">
        <v>1.1042650000000001</v>
      </c>
      <c r="L4103">
        <v>176.52979999999999</v>
      </c>
      <c r="M4103">
        <v>3.7952270000000003E-2</v>
      </c>
      <c r="N4103">
        <v>0</v>
      </c>
      <c r="O4103">
        <v>-0.99918459999999998</v>
      </c>
      <c r="P4103">
        <v>9.5732059999999904E-3</v>
      </c>
      <c r="Q4103">
        <v>1.1165090000000001E-2</v>
      </c>
      <c r="R4103">
        <v>-0.99989209999999995</v>
      </c>
      <c r="S4103">
        <v>-0.25306699999999999</v>
      </c>
      <c r="T4103">
        <v>-0.1986697</v>
      </c>
      <c r="U4103">
        <v>-3.0052949999999998</v>
      </c>
      <c r="V4103">
        <v>2.8429019999999999E-2</v>
      </c>
      <c r="W4103">
        <v>2.4889580000000001E-2</v>
      </c>
      <c r="X4103">
        <v>0.99928589999999995</v>
      </c>
      <c r="Y4103">
        <v>0.1214908</v>
      </c>
      <c r="Z4103">
        <v>6.5531439999999996E-2</v>
      </c>
      <c r="AA4103">
        <v>0.99042699999999995</v>
      </c>
      <c r="AB4103">
        <v>23</v>
      </c>
      <c r="AC4103">
        <v>-1.4105999999999801</v>
      </c>
      <c r="AD4103">
        <v>-1.104266599275</v>
      </c>
      <c r="AE4103">
        <v>-16.575999999999901</v>
      </c>
      <c r="AF4103">
        <v>2.0297965767008601</v>
      </c>
      <c r="AG4103">
        <v>-1.104266599275</v>
      </c>
      <c r="AH4103">
        <v>16.438087147443699</v>
      </c>
      <c r="AI4103">
        <v>93.814319350025102</v>
      </c>
      <c r="AJ4103">
        <v>82.960675303064207</v>
      </c>
      <c r="AK4103">
        <v>16.599704453152601</v>
      </c>
    </row>
    <row r="4104" spans="1:37" x14ac:dyDescent="0.2">
      <c r="A4104" t="str">
        <f>"20200111155630704"</f>
        <v>20200111155630704</v>
      </c>
      <c r="B4104" t="str">
        <f>"1578729390696630"</f>
        <v>1578729390696630</v>
      </c>
      <c r="C4104" t="s">
        <v>37</v>
      </c>
      <c r="D4104">
        <v>4.8606600000000002</v>
      </c>
      <c r="E4104">
        <v>0.53587869999999904</v>
      </c>
      <c r="F4104" t="s">
        <v>40</v>
      </c>
      <c r="G4104">
        <v>-194.0273</v>
      </c>
      <c r="H4104">
        <v>1.048038</v>
      </c>
      <c r="I4104">
        <v>175.69130000000001</v>
      </c>
      <c r="J4104">
        <v>-193.95099999999999</v>
      </c>
      <c r="K4104">
        <v>1.104379</v>
      </c>
      <c r="L4104">
        <v>176.36099999999999</v>
      </c>
      <c r="M4104">
        <v>3.7242839999999999E-2</v>
      </c>
      <c r="N4104">
        <v>0</v>
      </c>
      <c r="O4104">
        <v>-0.99921119999999997</v>
      </c>
      <c r="P4104">
        <v>8.1006800000000007E-3</v>
      </c>
      <c r="Q4104">
        <v>1.0180389999999999E-2</v>
      </c>
      <c r="R4104">
        <v>-0.99991509999999995</v>
      </c>
      <c r="S4104">
        <v>-0.25332640000000001</v>
      </c>
      <c r="T4104">
        <v>-0.20149619999999999</v>
      </c>
      <c r="U4104">
        <v>-3.0049899999999998</v>
      </c>
      <c r="V4104">
        <v>2.9182739999999999E-2</v>
      </c>
      <c r="W4104">
        <v>2.390712E-2</v>
      </c>
      <c r="X4104">
        <v>0.99928809999999901</v>
      </c>
      <c r="Y4104">
        <v>0.1208742</v>
      </c>
      <c r="Z4104">
        <v>6.6471269999999999E-2</v>
      </c>
      <c r="AA4104">
        <v>0.99043979999999998</v>
      </c>
      <c r="AB4104">
        <v>23</v>
      </c>
      <c r="AC4104">
        <v>-7.6300000000003296E-2</v>
      </c>
      <c r="AD4104">
        <v>-5.6340999999999898E-2</v>
      </c>
      <c r="AE4104">
        <v>-0.66969999999997698</v>
      </c>
      <c r="AF4104">
        <v>0.10048884525924601</v>
      </c>
      <c r="AG4104">
        <v>-5.6340999999999898E-2</v>
      </c>
      <c r="AH4104">
        <v>0.66176965562876999</v>
      </c>
      <c r="AI4104">
        <v>94.811358185307597</v>
      </c>
      <c r="AJ4104">
        <v>81.365672108429393</v>
      </c>
      <c r="AK4104">
        <v>0.67172270574513004</v>
      </c>
    </row>
    <row r="4105" spans="1:37" x14ac:dyDescent="0.2">
      <c r="A4105" t="str">
        <f>"20200111155630718"</f>
        <v>20200111155630718</v>
      </c>
      <c r="B4105" t="str">
        <f>"1578729390707368"</f>
        <v>1578729390707368</v>
      </c>
      <c r="C4105" t="s">
        <v>37</v>
      </c>
      <c r="D4105">
        <v>4.8729690000000003</v>
      </c>
      <c r="E4105">
        <v>0.53575899999999999</v>
      </c>
      <c r="F4105" t="s">
        <v>40</v>
      </c>
      <c r="G4105">
        <v>-194.02459999999999</v>
      </c>
      <c r="H4105">
        <v>1.0442639999999901</v>
      </c>
      <c r="I4105">
        <v>175.48650000000001</v>
      </c>
      <c r="J4105">
        <v>-193.94649999999999</v>
      </c>
      <c r="K4105">
        <v>1.1044769999999999</v>
      </c>
      <c r="L4105">
        <v>176.22190000000001</v>
      </c>
      <c r="M4105">
        <v>3.6740250000000002E-2</v>
      </c>
      <c r="N4105">
        <v>0</v>
      </c>
      <c r="O4105">
        <v>-0.9992299</v>
      </c>
      <c r="P4105">
        <v>7.5004240000000003E-3</v>
      </c>
      <c r="Q4105">
        <v>9.5259090000000008E-3</v>
      </c>
      <c r="R4105">
        <v>-0.99992649999999905</v>
      </c>
      <c r="S4105">
        <v>-0.25328060000000002</v>
      </c>
      <c r="T4105">
        <v>-0.206458</v>
      </c>
      <c r="U4105">
        <v>-3.0044249999999999</v>
      </c>
      <c r="V4105">
        <v>2.9273540000000001E-2</v>
      </c>
      <c r="W4105">
        <v>2.3255459999999999E-2</v>
      </c>
      <c r="X4105">
        <v>0.99930090000000005</v>
      </c>
      <c r="Y4105">
        <v>0.1203661</v>
      </c>
      <c r="Z4105">
        <v>6.8117289999999997E-2</v>
      </c>
      <c r="AA4105">
        <v>0.99038979999999999</v>
      </c>
      <c r="AB4105">
        <v>23</v>
      </c>
      <c r="AC4105">
        <v>-7.8100000000006206E-2</v>
      </c>
      <c r="AD4105">
        <v>-6.0213000000000197E-2</v>
      </c>
      <c r="AE4105">
        <v>-0.73539999999999806</v>
      </c>
      <c r="AF4105">
        <v>0.104376668518502</v>
      </c>
      <c r="AG4105">
        <v>-6.0213000000000197E-2</v>
      </c>
      <c r="AH4105">
        <v>0.72721285952030601</v>
      </c>
      <c r="AI4105">
        <v>94.685476609574096</v>
      </c>
      <c r="AJ4105">
        <v>81.832135288202394</v>
      </c>
      <c r="AK4105">
        <v>0.73712864369234798</v>
      </c>
    </row>
    <row r="4106" spans="1:37" x14ac:dyDescent="0.2">
      <c r="A4106" t="str">
        <f>"20200111155630730"</f>
        <v>20200111155630730</v>
      </c>
      <c r="B4106" t="str">
        <f>"1578729390726887"</f>
        <v>1578729390726887</v>
      </c>
      <c r="C4106" t="s">
        <v>37</v>
      </c>
      <c r="D4106">
        <v>4.9862919999999997</v>
      </c>
      <c r="E4106">
        <v>0.53562589999999999</v>
      </c>
      <c r="F4106" t="s">
        <v>38</v>
      </c>
      <c r="G4106">
        <v>-195.292</v>
      </c>
      <c r="H4106" s="1">
        <v>-1.7572019999999999E-6</v>
      </c>
      <c r="I4106">
        <v>160.33019999999999</v>
      </c>
      <c r="J4106">
        <v>-193.94220000000001</v>
      </c>
      <c r="K4106">
        <v>1.1045609999999999</v>
      </c>
      <c r="L4106">
        <v>176.0917</v>
      </c>
      <c r="M4106">
        <v>3.6380959999999997E-2</v>
      </c>
      <c r="N4106">
        <v>0</v>
      </c>
      <c r="O4106">
        <v>-0.9992434</v>
      </c>
      <c r="P4106">
        <v>7.0773900000000002E-3</v>
      </c>
      <c r="Q4106">
        <v>8.7918719999999992E-3</v>
      </c>
      <c r="R4106">
        <v>-0.99993679999999996</v>
      </c>
      <c r="S4106">
        <v>-0.25434879999999999</v>
      </c>
      <c r="T4106">
        <v>-0.20878620000000001</v>
      </c>
      <c r="U4106">
        <v>-3.004105</v>
      </c>
      <c r="V4106">
        <v>2.933154E-2</v>
      </c>
      <c r="W4106">
        <v>2.2524189999999999E-2</v>
      </c>
      <c r="X4106">
        <v>0.99931589999999904</v>
      </c>
      <c r="Y4106">
        <v>0.1203632</v>
      </c>
      <c r="Z4106">
        <v>6.8889430000000001E-2</v>
      </c>
      <c r="AA4106">
        <v>0.99033680000000002</v>
      </c>
      <c r="AB4106">
        <v>23</v>
      </c>
      <c r="AC4106">
        <v>-1.3497999999999799</v>
      </c>
      <c r="AD4106">
        <v>-1.104562757202</v>
      </c>
      <c r="AE4106">
        <v>-15.7615</v>
      </c>
      <c r="AF4106">
        <v>1.9130520316156401</v>
      </c>
      <c r="AG4106">
        <v>-1.104562757202</v>
      </c>
      <c r="AH4106">
        <v>15.6257699346538</v>
      </c>
      <c r="AI4106">
        <v>94.013560155933604</v>
      </c>
      <c r="AJ4106">
        <v>83.020053653737406</v>
      </c>
      <c r="AK4106">
        <v>15.7811442237563</v>
      </c>
    </row>
    <row r="4107" spans="1:37" x14ac:dyDescent="0.2">
      <c r="A4107" t="str">
        <f>"20200111155630743"</f>
        <v>20200111155630743</v>
      </c>
      <c r="B4107" t="str">
        <f>"1578729390736646"</f>
        <v>1578729390736646</v>
      </c>
      <c r="C4107" t="s">
        <v>37</v>
      </c>
      <c r="D4107">
        <v>4.9022620000000003</v>
      </c>
      <c r="E4107">
        <v>0.53549060000000004</v>
      </c>
      <c r="F4107" t="s">
        <v>40</v>
      </c>
      <c r="G4107">
        <v>-194.01150000000001</v>
      </c>
      <c r="H4107">
        <v>1.047228</v>
      </c>
      <c r="I4107">
        <v>175.27690000000001</v>
      </c>
      <c r="J4107">
        <v>-193.93770000000001</v>
      </c>
      <c r="K4107">
        <v>1.1046499999999999</v>
      </c>
      <c r="L4107">
        <v>175.95339999999999</v>
      </c>
      <c r="M4107">
        <v>3.6053259999999997E-2</v>
      </c>
      <c r="N4107">
        <v>0</v>
      </c>
      <c r="O4107">
        <v>-0.99925540000000002</v>
      </c>
      <c r="P4107">
        <v>6.585713E-3</v>
      </c>
      <c r="Q4107">
        <v>8.3856820000000002E-3</v>
      </c>
      <c r="R4107">
        <v>-0.99994340000000004</v>
      </c>
      <c r="S4107">
        <v>-0.25453189999999998</v>
      </c>
      <c r="T4107">
        <v>-0.21148520000000001</v>
      </c>
      <c r="U4107">
        <v>-3.0038450000000001</v>
      </c>
      <c r="V4107">
        <v>2.949009E-2</v>
      </c>
      <c r="W4107">
        <v>2.212041E-2</v>
      </c>
      <c r="X4107">
        <v>0.99932030000000005</v>
      </c>
      <c r="Y4107">
        <v>0.120099499999999</v>
      </c>
      <c r="Z4107">
        <v>6.9783780000000004E-2</v>
      </c>
      <c r="AA4107">
        <v>0.99030620000000003</v>
      </c>
      <c r="AB4107">
        <v>23</v>
      </c>
      <c r="AC4107">
        <v>-7.3800000000005597E-2</v>
      </c>
      <c r="AD4107">
        <v>-5.74219999999998E-2</v>
      </c>
      <c r="AE4107">
        <v>-0.67649999999997501</v>
      </c>
      <c r="AF4107">
        <v>9.74504921363233E-2</v>
      </c>
      <c r="AG4107">
        <v>-5.74219999999998E-2</v>
      </c>
      <c r="AH4107">
        <v>0.668638382999589</v>
      </c>
      <c r="AI4107">
        <v>94.857392610304998</v>
      </c>
      <c r="AJ4107">
        <v>81.707828360756494</v>
      </c>
      <c r="AK4107">
        <v>0.67813801819535002</v>
      </c>
    </row>
    <row r="4108" spans="1:37" x14ac:dyDescent="0.2">
      <c r="A4108" t="str">
        <f>"20200111155630756"</f>
        <v>20200111155630756</v>
      </c>
      <c r="B4108" t="str">
        <f>"1578729390747383"</f>
        <v>1578729390747383</v>
      </c>
      <c r="C4108" t="s">
        <v>37</v>
      </c>
      <c r="D4108">
        <v>4.8767610000000001</v>
      </c>
      <c r="E4108">
        <v>0.5353289</v>
      </c>
      <c r="F4108" t="s">
        <v>40</v>
      </c>
      <c r="G4108">
        <v>-194.01249999999999</v>
      </c>
      <c r="H4108">
        <v>1.042548</v>
      </c>
      <c r="I4108">
        <v>175.07320000000001</v>
      </c>
      <c r="J4108">
        <v>-193.93340000000001</v>
      </c>
      <c r="K4108">
        <v>1.1047279999999999</v>
      </c>
      <c r="L4108">
        <v>175.82470000000001</v>
      </c>
      <c r="M4108">
        <v>3.5815720000000002E-2</v>
      </c>
      <c r="N4108">
        <v>0</v>
      </c>
      <c r="O4108">
        <v>-0.99926399999999904</v>
      </c>
      <c r="P4108">
        <v>6.5510459999999996E-3</v>
      </c>
      <c r="Q4108">
        <v>7.9246390000000007E-3</v>
      </c>
      <c r="R4108">
        <v>-0.99994740000000004</v>
      </c>
      <c r="S4108">
        <v>-0.2551117</v>
      </c>
      <c r="T4108">
        <v>-0.21191019999999999</v>
      </c>
      <c r="U4108">
        <v>-3.0036160000000001</v>
      </c>
      <c r="V4108">
        <v>2.9282659999999999E-2</v>
      </c>
      <c r="W4108">
        <v>2.1662270000000001E-2</v>
      </c>
      <c r="X4108">
        <v>0.99933639999999901</v>
      </c>
      <c r="Y4108">
        <v>0.12005879999999999</v>
      </c>
      <c r="Z4108">
        <v>6.9929119999999997E-2</v>
      </c>
      <c r="AA4108">
        <v>0.99030079999999998</v>
      </c>
      <c r="AB4108">
        <v>23</v>
      </c>
      <c r="AC4108">
        <v>-7.9099999999982601E-2</v>
      </c>
      <c r="AD4108">
        <v>-6.2180000000000103E-2</v>
      </c>
      <c r="AE4108">
        <v>-0.75149999999999195</v>
      </c>
      <c r="AF4108">
        <v>0.10525460590550099</v>
      </c>
      <c r="AG4108">
        <v>-6.2180000000000103E-2</v>
      </c>
      <c r="AH4108">
        <v>0.74315251346498901</v>
      </c>
      <c r="AI4108">
        <v>94.735785173038096</v>
      </c>
      <c r="AJ4108">
        <v>81.938668584964503</v>
      </c>
      <c r="AK4108">
        <v>0.75314045352354697</v>
      </c>
    </row>
    <row r="4109" spans="1:37" x14ac:dyDescent="0.2">
      <c r="A4109" t="str">
        <f>"20200111155630772"</f>
        <v>20200111155630772</v>
      </c>
      <c r="B4109" t="str">
        <f>"1578729390766903"</f>
        <v>1578729390766903</v>
      </c>
      <c r="C4109" t="s">
        <v>37</v>
      </c>
      <c r="D4109">
        <v>5.0049779999999897</v>
      </c>
      <c r="E4109">
        <v>0.53520089999999998</v>
      </c>
      <c r="F4109" t="s">
        <v>40</v>
      </c>
      <c r="G4109">
        <v>-193.9975</v>
      </c>
      <c r="H4109">
        <v>1.0509200000000001</v>
      </c>
      <c r="I4109">
        <v>175.0669</v>
      </c>
      <c r="J4109">
        <v>-193.92789999999999</v>
      </c>
      <c r="K4109">
        <v>1.104819</v>
      </c>
      <c r="L4109">
        <v>175.66239999999999</v>
      </c>
      <c r="M4109">
        <v>3.5626150000000002E-2</v>
      </c>
      <c r="N4109">
        <v>0</v>
      </c>
      <c r="O4109">
        <v>-0.99927049999999995</v>
      </c>
      <c r="P4109">
        <v>6.6919889999999998E-3</v>
      </c>
      <c r="Q4109">
        <v>7.20229099999999E-3</v>
      </c>
      <c r="R4109">
        <v>-0.99995159999999905</v>
      </c>
      <c r="S4109">
        <v>-0.25396729999999901</v>
      </c>
      <c r="T4109">
        <v>-0.21329679999999901</v>
      </c>
      <c r="U4109">
        <v>-3.0035099999999999</v>
      </c>
      <c r="V4109">
        <v>2.8947259999999999E-2</v>
      </c>
      <c r="W4109">
        <v>2.0942889999999999E-2</v>
      </c>
      <c r="X4109">
        <v>0.99936150000000001</v>
      </c>
      <c r="Y4109">
        <v>0.11949609999999999</v>
      </c>
      <c r="Z4109">
        <v>7.0391120000000001E-2</v>
      </c>
      <c r="AA4109">
        <v>0.990336199999999</v>
      </c>
      <c r="AB4109">
        <v>23</v>
      </c>
      <c r="AC4109">
        <v>-6.9600000000008294E-2</v>
      </c>
      <c r="AD4109">
        <v>-5.3898999999999898E-2</v>
      </c>
      <c r="AE4109">
        <v>-0.59549999999998704</v>
      </c>
      <c r="AF4109">
        <v>9.0045463627141401E-2</v>
      </c>
      <c r="AG4109">
        <v>-5.3898999999999898E-2</v>
      </c>
      <c r="AH4109">
        <v>0.587890894328572</v>
      </c>
      <c r="AI4109">
        <v>95.178290543808799</v>
      </c>
      <c r="AJ4109">
        <v>81.291856545079995</v>
      </c>
      <c r="AK4109">
        <v>0.59718421894359797</v>
      </c>
    </row>
    <row r="4110" spans="1:37" x14ac:dyDescent="0.2">
      <c r="A4110" t="str">
        <f>"20200111155630785"</f>
        <v>20200111155630785</v>
      </c>
      <c r="B4110" t="str">
        <f>"1578729390776662"</f>
        <v>1578729390776662</v>
      </c>
      <c r="C4110" t="s">
        <v>37</v>
      </c>
      <c r="D4110">
        <v>4.8958079999999997</v>
      </c>
      <c r="E4110">
        <v>0.53508250000000002</v>
      </c>
      <c r="F4110" t="s">
        <v>40</v>
      </c>
      <c r="G4110">
        <v>-193.99529999999999</v>
      </c>
      <c r="H4110">
        <v>1.047382</v>
      </c>
      <c r="I4110">
        <v>174.86279999999999</v>
      </c>
      <c r="J4110">
        <v>-193.92339999999999</v>
      </c>
      <c r="K4110">
        <v>1.104886</v>
      </c>
      <c r="L4110">
        <v>175.52979999999999</v>
      </c>
      <c r="M4110">
        <v>3.552947E-2</v>
      </c>
      <c r="N4110">
        <v>0</v>
      </c>
      <c r="O4110">
        <v>-0.999274</v>
      </c>
      <c r="P4110">
        <v>6.7607329999999997E-3</v>
      </c>
      <c r="Q4110">
        <v>6.5281699999999998E-3</v>
      </c>
      <c r="R4110">
        <v>-0.99995579999999995</v>
      </c>
      <c r="S4110">
        <v>-0.2523956</v>
      </c>
      <c r="T4110">
        <v>-0.21589320000000001</v>
      </c>
      <c r="U4110">
        <v>-3.003387</v>
      </c>
      <c r="V4110">
        <v>2.8778339999999999E-2</v>
      </c>
      <c r="W4110">
        <v>2.0270699999999999E-2</v>
      </c>
      <c r="X4110">
        <v>0.9993803</v>
      </c>
      <c r="Y4110">
        <v>0.11888360000000001</v>
      </c>
      <c r="Z4110">
        <v>7.1251030000000007E-2</v>
      </c>
      <c r="AA4110">
        <v>0.99034840000000002</v>
      </c>
      <c r="AB4110">
        <v>23</v>
      </c>
      <c r="AC4110">
        <v>-7.1899999999999395E-2</v>
      </c>
      <c r="AD4110">
        <v>-5.7504E-2</v>
      </c>
      <c r="AE4110">
        <v>-0.66700000000000104</v>
      </c>
      <c r="AF4110">
        <v>9.4858044333362604E-2</v>
      </c>
      <c r="AG4110">
        <v>-5.7504E-2</v>
      </c>
      <c r="AH4110">
        <v>0.65918079456379497</v>
      </c>
      <c r="AI4110">
        <v>94.9350269344136</v>
      </c>
      <c r="AJ4110">
        <v>81.811185746576996</v>
      </c>
      <c r="AK4110">
        <v>0.66844900965780896</v>
      </c>
    </row>
    <row r="4111" spans="1:37" x14ac:dyDescent="0.2">
      <c r="A4111" t="str">
        <f>"20200111155630799"</f>
        <v>20200111155630799</v>
      </c>
      <c r="B4111" t="str">
        <f>"1578729390786423"</f>
        <v>1578729390786423</v>
      </c>
      <c r="C4111" t="s">
        <v>37</v>
      </c>
      <c r="D4111">
        <v>4.8693970000000002</v>
      </c>
      <c r="E4111">
        <v>0.5349429</v>
      </c>
      <c r="F4111" t="s">
        <v>40</v>
      </c>
      <c r="G4111">
        <v>-193.99610000000001</v>
      </c>
      <c r="H4111">
        <v>1.041749</v>
      </c>
      <c r="I4111">
        <v>174.66059999999999</v>
      </c>
      <c r="J4111">
        <v>-193.91849999999999</v>
      </c>
      <c r="K4111">
        <v>1.104951</v>
      </c>
      <c r="L4111">
        <v>175.38810000000001</v>
      </c>
      <c r="M4111">
        <v>3.5474499999999999E-2</v>
      </c>
      <c r="N4111">
        <v>0</v>
      </c>
      <c r="O4111">
        <v>-0.99927630000000001</v>
      </c>
      <c r="P4111">
        <v>7.0239580000000003E-3</v>
      </c>
      <c r="Q4111">
        <v>6.0424709999999998E-3</v>
      </c>
      <c r="R4111">
        <v>-0.99995730000000005</v>
      </c>
      <c r="S4111">
        <v>-0.2511292</v>
      </c>
      <c r="T4111">
        <v>-0.21816189999999999</v>
      </c>
      <c r="U4111">
        <v>-3.0032649999999999</v>
      </c>
      <c r="V4111">
        <v>2.8456929999999998E-2</v>
      </c>
      <c r="W4111">
        <v>1.97868E-2</v>
      </c>
      <c r="X4111">
        <v>0.99939920000000004</v>
      </c>
      <c r="Y4111">
        <v>0.11841309999999999</v>
      </c>
      <c r="Z4111">
        <v>7.2002280000000002E-2</v>
      </c>
      <c r="AA4111">
        <v>0.99035039999999996</v>
      </c>
      <c r="AB4111">
        <v>23</v>
      </c>
      <c r="AC4111">
        <v>-7.7600000000018099E-2</v>
      </c>
      <c r="AD4111">
        <v>-6.3201999999999897E-2</v>
      </c>
      <c r="AE4111">
        <v>-0.72750000000002002</v>
      </c>
      <c r="AF4111">
        <v>0.10259566216638399</v>
      </c>
      <c r="AG4111">
        <v>-6.3201999999999897E-2</v>
      </c>
      <c r="AH4111">
        <v>0.71892398708794203</v>
      </c>
      <c r="AI4111">
        <v>94.973930622080104</v>
      </c>
      <c r="AJ4111">
        <v>81.878314519472696</v>
      </c>
      <c r="AK4111">
        <v>0.72895271582578103</v>
      </c>
    </row>
    <row r="4112" spans="1:37" x14ac:dyDescent="0.2">
      <c r="A4112" t="str">
        <f>"20200111155630811"</f>
        <v>20200111155630811</v>
      </c>
      <c r="B4112" t="str">
        <f>"1578729390806918"</f>
        <v>1578729390806918</v>
      </c>
      <c r="C4112" t="s">
        <v>37</v>
      </c>
      <c r="D4112">
        <v>4.9322780000000002</v>
      </c>
      <c r="E4112">
        <v>0.5347906</v>
      </c>
      <c r="F4112" t="s">
        <v>40</v>
      </c>
      <c r="G4112">
        <v>-193.99599999999899</v>
      </c>
      <c r="H4112">
        <v>1.036761</v>
      </c>
      <c r="I4112">
        <v>174.4564</v>
      </c>
      <c r="J4112">
        <v>-193.9136</v>
      </c>
      <c r="K4112">
        <v>1.1050009999999999</v>
      </c>
      <c r="L4112">
        <v>175.2473</v>
      </c>
      <c r="M4112">
        <v>3.5488329999999998E-2</v>
      </c>
      <c r="N4112">
        <v>0</v>
      </c>
      <c r="O4112">
        <v>-0.99927579999999905</v>
      </c>
      <c r="P4112">
        <v>7.4240219999999997E-3</v>
      </c>
      <c r="Q4112">
        <v>5.4384740000000004E-3</v>
      </c>
      <c r="R4112">
        <v>-0.99995789999999996</v>
      </c>
      <c r="S4112">
        <v>-0.24932860000000001</v>
      </c>
      <c r="T4112">
        <v>-0.2198812</v>
      </c>
      <c r="U4112">
        <v>-3.0032199999999998</v>
      </c>
      <c r="V4112">
        <v>2.806846E-2</v>
      </c>
      <c r="W4112">
        <v>1.9183240000000001E-2</v>
      </c>
      <c r="X4112">
        <v>0.99942189999999997</v>
      </c>
      <c r="Y4112">
        <v>0.117835</v>
      </c>
      <c r="Z4112">
        <v>7.2572049999999999E-2</v>
      </c>
      <c r="AA4112">
        <v>0.99037779999999997</v>
      </c>
      <c r="AB4112">
        <v>23</v>
      </c>
      <c r="AC4112">
        <v>-8.2399999999978393E-2</v>
      </c>
      <c r="AD4112">
        <v>-6.8239999999999995E-2</v>
      </c>
      <c r="AE4112">
        <v>-0.79089999999999305</v>
      </c>
      <c r="AF4112">
        <v>0.10961121372991001</v>
      </c>
      <c r="AG4112">
        <v>-6.8239999999999995E-2</v>
      </c>
      <c r="AH4112">
        <v>0.78172017950018402</v>
      </c>
      <c r="AI4112">
        <v>94.940876578298997</v>
      </c>
      <c r="AJ4112">
        <v>82.018141497528305</v>
      </c>
      <c r="AK4112">
        <v>0.79231165257942804</v>
      </c>
    </row>
    <row r="4113" spans="1:37" x14ac:dyDescent="0.2">
      <c r="A4113" t="str">
        <f>"20200111155630825"</f>
        <v>20200111155630825</v>
      </c>
      <c r="B4113" t="str">
        <f>"1578729390816679"</f>
        <v>1578729390816679</v>
      </c>
      <c r="C4113" t="s">
        <v>37</v>
      </c>
      <c r="D4113">
        <v>4.9872899999999998</v>
      </c>
      <c r="E4113">
        <v>0.53465909999999905</v>
      </c>
      <c r="F4113" t="s">
        <v>40</v>
      </c>
      <c r="G4113">
        <v>-193.97919999999999</v>
      </c>
      <c r="H4113">
        <v>1.046316</v>
      </c>
      <c r="I4113">
        <v>174.45089999999999</v>
      </c>
      <c r="J4113">
        <v>-193.90889999999999</v>
      </c>
      <c r="K4113">
        <v>1.1050420000000001</v>
      </c>
      <c r="L4113">
        <v>175.1138</v>
      </c>
      <c r="M4113">
        <v>3.552487E-2</v>
      </c>
      <c r="N4113">
        <v>0</v>
      </c>
      <c r="O4113">
        <v>-0.99927440000000001</v>
      </c>
      <c r="P4113">
        <v>7.8160690000000001E-3</v>
      </c>
      <c r="Q4113">
        <v>4.9469329999999997E-3</v>
      </c>
      <c r="R4113">
        <v>-0.99995730000000005</v>
      </c>
      <c r="S4113">
        <v>-0.2469025</v>
      </c>
      <c r="T4113">
        <v>-0.2213976</v>
      </c>
      <c r="U4113">
        <v>-3.0031430000000001</v>
      </c>
      <c r="V4113">
        <v>2.7711280000000001E-2</v>
      </c>
      <c r="W4113">
        <v>1.8692179999999999E-2</v>
      </c>
      <c r="X4113">
        <v>0.99944120000000003</v>
      </c>
      <c r="Y4113">
        <v>0.1170757</v>
      </c>
      <c r="Z4113">
        <v>7.3077260000000005E-2</v>
      </c>
      <c r="AA4113">
        <v>0.990430699999999</v>
      </c>
      <c r="AB4113">
        <v>23</v>
      </c>
      <c r="AC4113">
        <v>-7.0300000000003096E-2</v>
      </c>
      <c r="AD4113">
        <v>-5.8726E-2</v>
      </c>
      <c r="AE4113">
        <v>-0.66290000000000704</v>
      </c>
      <c r="AF4113">
        <v>9.30848605980409E-2</v>
      </c>
      <c r="AG4113">
        <v>-5.8726E-2</v>
      </c>
      <c r="AH4113">
        <v>0.65490128641133805</v>
      </c>
      <c r="AI4113">
        <v>95.073374047038101</v>
      </c>
      <c r="AJ4113">
        <v>81.910409978375597</v>
      </c>
      <c r="AK4113">
        <v>0.66408525754739001</v>
      </c>
    </row>
    <row r="4114" spans="1:37" x14ac:dyDescent="0.2">
      <c r="A4114" t="str">
        <f>"20200111155630838"</f>
        <v>20200111155630838</v>
      </c>
      <c r="B4114" t="str">
        <f>"1578729390827415"</f>
        <v>1578729390827415</v>
      </c>
      <c r="C4114" t="s">
        <v>37</v>
      </c>
      <c r="D4114">
        <v>4.9203960000000002</v>
      </c>
      <c r="E4114">
        <v>0.53454659999999998</v>
      </c>
      <c r="F4114" t="s">
        <v>40</v>
      </c>
      <c r="G4114">
        <v>-193.9795</v>
      </c>
      <c r="H4114">
        <v>1.0413729999999899</v>
      </c>
      <c r="I4114">
        <v>174.2484</v>
      </c>
      <c r="J4114">
        <v>-193.904</v>
      </c>
      <c r="K4114">
        <v>1.1050719999999901</v>
      </c>
      <c r="L4114">
        <v>174.97720000000001</v>
      </c>
      <c r="M4114">
        <v>3.5584909999999997E-2</v>
      </c>
      <c r="N4114">
        <v>0</v>
      </c>
      <c r="O4114">
        <v>-0.99927250000000001</v>
      </c>
      <c r="P4114">
        <v>9.0206130000000002E-3</v>
      </c>
      <c r="Q4114">
        <v>4.2936279999999999E-3</v>
      </c>
      <c r="R4114">
        <v>-0.99995029999999996</v>
      </c>
      <c r="S4114">
        <v>-0.24470520000000001</v>
      </c>
      <c r="T4114">
        <v>-0.22102329999999901</v>
      </c>
      <c r="U4114">
        <v>-3.0031279999999998</v>
      </c>
      <c r="V4114">
        <v>2.6565800000000001E-2</v>
      </c>
      <c r="W4114">
        <v>1.8039030000000001E-2</v>
      </c>
      <c r="X4114">
        <v>0.99948429999999999</v>
      </c>
      <c r="Y4114">
        <v>0.1164166</v>
      </c>
      <c r="Z4114">
        <v>7.2959510000000005E-2</v>
      </c>
      <c r="AA4114">
        <v>0.99051710000000004</v>
      </c>
      <c r="AB4114">
        <v>23</v>
      </c>
      <c r="AC4114">
        <v>-7.5499999999976794E-2</v>
      </c>
      <c r="AD4114">
        <v>-6.3698999999999895E-2</v>
      </c>
      <c r="AE4114">
        <v>-0.728800000000006</v>
      </c>
      <c r="AF4114">
        <v>0.100628337693736</v>
      </c>
      <c r="AG4114">
        <v>-6.3698999999999895E-2</v>
      </c>
      <c r="AH4114">
        <v>0.72020801602671702</v>
      </c>
      <c r="AI4114">
        <v>95.006012373124193</v>
      </c>
      <c r="AJ4114">
        <v>82.046056458394006</v>
      </c>
      <c r="AK4114">
        <v>0.72998850079788502</v>
      </c>
    </row>
    <row r="4115" spans="1:37" x14ac:dyDescent="0.2">
      <c r="A4115" t="str">
        <f>"20200111155630851"</f>
        <v>20200111155630851</v>
      </c>
      <c r="B4115" t="str">
        <f>"1578729390846934"</f>
        <v>1578729390846934</v>
      </c>
      <c r="C4115" t="s">
        <v>37</v>
      </c>
      <c r="D4115">
        <v>4.9405479999999997</v>
      </c>
      <c r="E4115">
        <v>0.5344004</v>
      </c>
      <c r="F4115" t="s">
        <v>40</v>
      </c>
      <c r="G4115">
        <v>-193.96299999999999</v>
      </c>
      <c r="H4115">
        <v>1.050403</v>
      </c>
      <c r="I4115">
        <v>174.24180000000001</v>
      </c>
      <c r="J4115">
        <v>-193.8991</v>
      </c>
      <c r="K4115">
        <v>1.1050949999999999</v>
      </c>
      <c r="L4115">
        <v>174.8408</v>
      </c>
      <c r="M4115">
        <v>3.5683369999999999E-2</v>
      </c>
      <c r="N4115">
        <v>0</v>
      </c>
      <c r="O4115">
        <v>-0.99926890000000002</v>
      </c>
      <c r="P4115">
        <v>9.5182200000000008E-3</v>
      </c>
      <c r="Q4115">
        <v>4.42851099999999E-3</v>
      </c>
      <c r="R4115">
        <v>-0.99994519999999998</v>
      </c>
      <c r="S4115">
        <v>-0.240264899999999</v>
      </c>
      <c r="T4115">
        <v>-0.22332829999999901</v>
      </c>
      <c r="U4115">
        <v>-3.0032649999999999</v>
      </c>
      <c r="V4115">
        <v>2.6165600000000001E-2</v>
      </c>
      <c r="W4115">
        <v>1.8172520000000001E-2</v>
      </c>
      <c r="X4115">
        <v>0.99949239999999995</v>
      </c>
      <c r="Y4115">
        <v>0.1150513</v>
      </c>
      <c r="Z4115">
        <v>7.3722770000000007E-2</v>
      </c>
      <c r="AA4115">
        <v>0.990620099999999</v>
      </c>
      <c r="AB4115">
        <v>23</v>
      </c>
      <c r="AC4115">
        <v>-6.3899999999989604E-2</v>
      </c>
      <c r="AD4115">
        <v>-5.4692000000000102E-2</v>
      </c>
      <c r="AE4115">
        <v>-0.59899999999998899</v>
      </c>
      <c r="AF4115">
        <v>8.4538805194782393E-2</v>
      </c>
      <c r="AG4115">
        <v>-5.4692000000000102E-2</v>
      </c>
      <c r="AH4115">
        <v>0.59146270786785404</v>
      </c>
      <c r="AI4115">
        <v>95.230207491667201</v>
      </c>
      <c r="AJ4115">
        <v>81.865708005597</v>
      </c>
      <c r="AK4115">
        <v>0.59997179870901995</v>
      </c>
    </row>
    <row r="4116" spans="1:37" x14ac:dyDescent="0.2">
      <c r="A4116" t="str">
        <f>"20200111155630865"</f>
        <v>20200111155630865</v>
      </c>
      <c r="B4116" t="str">
        <f>"1578729390856695"</f>
        <v>1578729390856695</v>
      </c>
      <c r="C4116" t="s">
        <v>37</v>
      </c>
      <c r="D4116">
        <v>4.9711939999999997</v>
      </c>
      <c r="E4116">
        <v>0.53429869999999902</v>
      </c>
      <c r="F4116" t="s">
        <v>40</v>
      </c>
      <c r="G4116">
        <v>-193.96270000000001</v>
      </c>
      <c r="H4116">
        <v>1.0457889999999901</v>
      </c>
      <c r="I4116">
        <v>174.03960000000001</v>
      </c>
      <c r="J4116">
        <v>-193.89400000000001</v>
      </c>
      <c r="K4116">
        <v>1.105119</v>
      </c>
      <c r="L4116">
        <v>174.6996</v>
      </c>
      <c r="M4116">
        <v>3.5802390000000003E-2</v>
      </c>
      <c r="N4116">
        <v>0</v>
      </c>
      <c r="O4116">
        <v>-0.99926440000000005</v>
      </c>
      <c r="P4116">
        <v>9.8875819999999903E-3</v>
      </c>
      <c r="Q4116">
        <v>4.1225109999999997E-3</v>
      </c>
      <c r="R4116">
        <v>-0.99994240000000001</v>
      </c>
      <c r="S4116">
        <v>-0.23757929999999899</v>
      </c>
      <c r="T4116">
        <v>-0.22247420000000001</v>
      </c>
      <c r="U4116">
        <v>-3.003403</v>
      </c>
      <c r="V4116">
        <v>2.5914530000000002E-2</v>
      </c>
      <c r="W4116">
        <v>1.7865010000000001E-2</v>
      </c>
      <c r="X4116">
        <v>0.99950450000000002</v>
      </c>
      <c r="Y4116">
        <v>0.11428729999999999</v>
      </c>
      <c r="Z4116">
        <v>7.3444399999999896E-2</v>
      </c>
      <c r="AA4116">
        <v>0.99072919999999998</v>
      </c>
      <c r="AB4116">
        <v>23</v>
      </c>
      <c r="AC4116">
        <v>-6.8700000000006797E-2</v>
      </c>
      <c r="AD4116">
        <v>-5.9330000000000098E-2</v>
      </c>
      <c r="AE4116">
        <v>-0.65999999999999603</v>
      </c>
      <c r="AF4116">
        <v>9.1555831228048903E-2</v>
      </c>
      <c r="AG4116">
        <v>-5.9330000000000098E-2</v>
      </c>
      <c r="AH4116">
        <v>0.65190540113952</v>
      </c>
      <c r="AI4116">
        <v>95.149905406428999</v>
      </c>
      <c r="AJ4116">
        <v>82.005472798339895</v>
      </c>
      <c r="AK4116">
        <v>0.66097138452941895</v>
      </c>
    </row>
    <row r="4117" spans="1:37" x14ac:dyDescent="0.2">
      <c r="A4117" t="str">
        <f>"20200111155630884"</f>
        <v>20200111155630884</v>
      </c>
      <c r="B4117" t="str">
        <f>"1578729390877190"</f>
        <v>1578729390877190</v>
      </c>
      <c r="C4117" t="s">
        <v>37</v>
      </c>
      <c r="D4117">
        <v>5.1248300000000002</v>
      </c>
      <c r="E4117">
        <v>0.53432100000000005</v>
      </c>
      <c r="F4117" t="s">
        <v>40</v>
      </c>
      <c r="G4117">
        <v>-193.96170000000001</v>
      </c>
      <c r="H4117">
        <v>1.0408059999999999</v>
      </c>
      <c r="I4117">
        <v>173.8374</v>
      </c>
      <c r="J4117">
        <v>-193.887</v>
      </c>
      <c r="K4117">
        <v>1.105137</v>
      </c>
      <c r="L4117">
        <v>174.50899999999999</v>
      </c>
      <c r="M4117">
        <v>3.599463E-2</v>
      </c>
      <c r="N4117">
        <v>0</v>
      </c>
      <c r="O4117">
        <v>-0.99925769999999903</v>
      </c>
      <c r="P4117">
        <v>1.027366E-2</v>
      </c>
      <c r="Q4117">
        <v>3.3377809999999902E-3</v>
      </c>
      <c r="R4117">
        <v>-0.99994169999999905</v>
      </c>
      <c r="S4117">
        <v>-0.23571779999999901</v>
      </c>
      <c r="T4117">
        <v>-0.22405720000000001</v>
      </c>
      <c r="U4117">
        <v>-3.0034329999999998</v>
      </c>
      <c r="V4117">
        <v>2.572029E-2</v>
      </c>
      <c r="W4117">
        <v>1.707883E-2</v>
      </c>
      <c r="X4117">
        <v>0.9995233</v>
      </c>
      <c r="Y4117">
        <v>0.1138643</v>
      </c>
      <c r="Z4117">
        <v>7.3966190000000001E-2</v>
      </c>
      <c r="AA4117">
        <v>0.99073899999999904</v>
      </c>
      <c r="AB4117">
        <v>23</v>
      </c>
      <c r="AC4117">
        <v>-7.4700000000007094E-2</v>
      </c>
      <c r="AD4117">
        <v>-6.4331000000000096E-2</v>
      </c>
      <c r="AE4117">
        <v>-0.67160000000001197</v>
      </c>
      <c r="AF4117">
        <v>9.7940208308193596E-2</v>
      </c>
      <c r="AG4117">
        <v>-6.4331000000000096E-2</v>
      </c>
      <c r="AH4117">
        <v>0.66247157594766204</v>
      </c>
      <c r="AI4117">
        <v>95.487190676423495</v>
      </c>
      <c r="AJ4117">
        <v>81.590273412122599</v>
      </c>
      <c r="AK4117">
        <v>0.67275504524531904</v>
      </c>
    </row>
    <row r="4118" spans="1:37" x14ac:dyDescent="0.2">
      <c r="A4118" t="str">
        <f>"20200111155630896"</f>
        <v>20200111155630896</v>
      </c>
      <c r="B4118" t="str">
        <f>"1578729390886951"</f>
        <v>1578729390886951</v>
      </c>
      <c r="C4118" t="s">
        <v>37</v>
      </c>
      <c r="D4118">
        <v>5.2343099999999998</v>
      </c>
      <c r="E4118">
        <v>0.55301699999999998</v>
      </c>
      <c r="F4118" t="s">
        <v>40</v>
      </c>
      <c r="G4118">
        <v>-193.9556</v>
      </c>
      <c r="H4118">
        <v>1.0390820000000001</v>
      </c>
      <c r="I4118">
        <v>173.63290000000001</v>
      </c>
      <c r="J4118">
        <v>-193.88200000000001</v>
      </c>
      <c r="K4118">
        <v>1.1051530000000001</v>
      </c>
      <c r="L4118">
        <v>174.37459999999999</v>
      </c>
      <c r="M4118">
        <v>3.6145259999999999E-2</v>
      </c>
      <c r="N4118">
        <v>0</v>
      </c>
      <c r="O4118">
        <v>-0.99925229999999998</v>
      </c>
      <c r="P4118">
        <v>1.002104E-2</v>
      </c>
      <c r="Q4118">
        <v>3.045088E-3</v>
      </c>
      <c r="R4118">
        <v>-0.99994550000000004</v>
      </c>
      <c r="S4118">
        <v>-0.23468020000000001</v>
      </c>
      <c r="T4118">
        <v>-0.226523799999999</v>
      </c>
      <c r="U4118">
        <v>-3.0033569999999998</v>
      </c>
      <c r="V4118">
        <v>2.6123170000000001E-2</v>
      </c>
      <c r="W4118">
        <v>1.678466E-2</v>
      </c>
      <c r="X4118">
        <v>0.99951780000000001</v>
      </c>
      <c r="Y4118">
        <v>0.1136711</v>
      </c>
      <c r="Z4118">
        <v>7.4778990000000004E-2</v>
      </c>
      <c r="AA4118">
        <v>0.99070020000000003</v>
      </c>
      <c r="AB4118">
        <v>23</v>
      </c>
      <c r="AC4118">
        <v>-7.3599999999999E-2</v>
      </c>
      <c r="AD4118">
        <v>-6.6070999999999894E-2</v>
      </c>
      <c r="AE4118">
        <v>-0.74169999999998004</v>
      </c>
      <c r="AF4118">
        <v>9.9580859195964405E-2</v>
      </c>
      <c r="AG4118">
        <v>-6.6070999999999894E-2</v>
      </c>
      <c r="AH4118">
        <v>0.73279641751815605</v>
      </c>
      <c r="AI4118">
        <v>95.105347050442106</v>
      </c>
      <c r="AJ4118">
        <v>82.261389031153996</v>
      </c>
      <c r="AK4118">
        <v>0.742477147181414</v>
      </c>
    </row>
    <row r="4119" spans="1:37" x14ac:dyDescent="0.2">
      <c r="A4119" t="str">
        <f>"20200111155630917"</f>
        <v>20200111155630917</v>
      </c>
      <c r="B4119" t="str">
        <f>"1578729390906470"</f>
        <v>1578729390906470</v>
      </c>
      <c r="C4119" t="s">
        <v>37</v>
      </c>
      <c r="D4119">
        <v>4.9126539999999999</v>
      </c>
      <c r="E4119">
        <v>0.57355179999999995</v>
      </c>
      <c r="F4119" t="s">
        <v>72</v>
      </c>
      <c r="G4119">
        <v>-196.1345</v>
      </c>
      <c r="H4119" s="1">
        <v>-1.427932E-5</v>
      </c>
      <c r="I4119">
        <v>156.8415</v>
      </c>
      <c r="J4119">
        <v>-193.87459999999999</v>
      </c>
      <c r="K4119">
        <v>1.105164</v>
      </c>
      <c r="L4119">
        <v>174.1748</v>
      </c>
      <c r="M4119">
        <v>3.63845E-2</v>
      </c>
      <c r="N4119">
        <v>0</v>
      </c>
      <c r="O4119">
        <v>-0.99924389999999996</v>
      </c>
      <c r="P4119">
        <v>9.1251609999999997E-3</v>
      </c>
      <c r="Q4119">
        <v>2.7096939999999999E-3</v>
      </c>
      <c r="R4119">
        <v>-0.99995509999999999</v>
      </c>
      <c r="S4119">
        <v>-0.386001599999999</v>
      </c>
      <c r="T4119">
        <v>-0.1893889</v>
      </c>
      <c r="U4119">
        <v>-3.0045929999999998</v>
      </c>
      <c r="V4119">
        <v>2.7257819999999999E-2</v>
      </c>
      <c r="W4119">
        <v>1.6447110000000001E-2</v>
      </c>
      <c r="X4119">
        <v>0.99949310000000002</v>
      </c>
      <c r="Y4119">
        <v>0.1631831</v>
      </c>
      <c r="Z4119">
        <v>6.2169549999999997E-2</v>
      </c>
      <c r="AA4119">
        <v>0.98463509999999999</v>
      </c>
      <c r="AB4119">
        <v>23</v>
      </c>
      <c r="AC4119">
        <v>-2.2599000000000098</v>
      </c>
      <c r="AD4119">
        <v>-1.10517827932</v>
      </c>
      <c r="AE4119">
        <v>-17.333300000000001</v>
      </c>
      <c r="AF4119">
        <v>2.8776229198699101</v>
      </c>
      <c r="AG4119">
        <v>-1.10517827932</v>
      </c>
      <c r="AH4119">
        <v>17.1709479974792</v>
      </c>
      <c r="AI4119">
        <v>93.632150331455904</v>
      </c>
      <c r="AJ4119">
        <v>80.4863948052474</v>
      </c>
      <c r="AK4119">
        <v>17.4454460484728</v>
      </c>
    </row>
    <row r="4120" spans="1:37" x14ac:dyDescent="0.2">
      <c r="A4120" t="str">
        <f>"20200111155630930"</f>
        <v>20200111155630930</v>
      </c>
      <c r="B4120" t="str">
        <f>"1578729390926967"</f>
        <v>1578729390926967</v>
      </c>
      <c r="C4120" t="s">
        <v>37</v>
      </c>
      <c r="D4120">
        <v>5.0101360000000001</v>
      </c>
      <c r="E4120">
        <v>0.58145930000000001</v>
      </c>
      <c r="F4120" t="s">
        <v>72</v>
      </c>
      <c r="G4120">
        <v>-197.11609999999999</v>
      </c>
      <c r="H4120" s="1">
        <v>-1.4203429999999901E-5</v>
      </c>
      <c r="I4120">
        <v>156.53989999999999</v>
      </c>
      <c r="J4120">
        <v>-193.86920000000001</v>
      </c>
      <c r="K4120">
        <v>1.105162</v>
      </c>
      <c r="L4120">
        <v>174.0325</v>
      </c>
      <c r="M4120">
        <v>3.6559899999999999E-2</v>
      </c>
      <c r="N4120">
        <v>0</v>
      </c>
      <c r="O4120">
        <v>-0.99923719999999905</v>
      </c>
      <c r="P4120">
        <v>8.5373769999999901E-3</v>
      </c>
      <c r="Q4120">
        <v>2.7103299999999999E-3</v>
      </c>
      <c r="R4120">
        <v>-0.99995990000000001</v>
      </c>
      <c r="S4120">
        <v>-0.55249019999999904</v>
      </c>
      <c r="T4120">
        <v>-0.18836610000000001</v>
      </c>
      <c r="U4120">
        <v>-3.0056919999999998</v>
      </c>
      <c r="V4120">
        <v>2.8020759999999999E-2</v>
      </c>
      <c r="W4120">
        <v>1.644615E-2</v>
      </c>
      <c r="X4120">
        <v>0.99947199999999903</v>
      </c>
      <c r="Y4120">
        <v>0.21628559999999999</v>
      </c>
      <c r="Z4120">
        <v>6.123294E-2</v>
      </c>
      <c r="AA4120">
        <v>0.9744081</v>
      </c>
      <c r="AB4120">
        <v>23</v>
      </c>
      <c r="AC4120">
        <v>-3.2468999999999801</v>
      </c>
      <c r="AD4120">
        <v>-1.1051762034299999</v>
      </c>
      <c r="AE4120">
        <v>-17.492599999999999</v>
      </c>
      <c r="AF4120">
        <v>3.8693859907343602</v>
      </c>
      <c r="AG4120">
        <v>-1.1051762034299999</v>
      </c>
      <c r="AH4120">
        <v>17.2954475062885</v>
      </c>
      <c r="AI4120">
        <v>93.568247685654995</v>
      </c>
      <c r="AJ4120">
        <v>77.389287416327093</v>
      </c>
      <c r="AK4120">
        <v>17.757422865627198</v>
      </c>
    </row>
    <row r="4121" spans="1:37" x14ac:dyDescent="0.2">
      <c r="A4121" t="str">
        <f>"20200111155630943"</f>
        <v>20200111155630943</v>
      </c>
      <c r="B4121" t="str">
        <f>"1578729390936726"</f>
        <v>1578729390936726</v>
      </c>
      <c r="C4121" t="s">
        <v>37</v>
      </c>
      <c r="D4121">
        <v>5.0973879999999996</v>
      </c>
      <c r="E4121">
        <v>0.58313490000000001</v>
      </c>
      <c r="F4121" t="s">
        <v>72</v>
      </c>
      <c r="G4121">
        <v>-197.4307</v>
      </c>
      <c r="H4121" s="1">
        <v>-1.424016E-5</v>
      </c>
      <c r="I4121">
        <v>156.6859</v>
      </c>
      <c r="J4121">
        <v>-193.86429999999999</v>
      </c>
      <c r="K4121">
        <v>1.1051599999999999</v>
      </c>
      <c r="L4121">
        <v>173.90270000000001</v>
      </c>
      <c r="M4121">
        <v>3.6720660000000002E-2</v>
      </c>
      <c r="N4121">
        <v>0</v>
      </c>
      <c r="O4121">
        <v>-0.99923130000000004</v>
      </c>
      <c r="P4121">
        <v>7.9732199999999996E-3</v>
      </c>
      <c r="Q4121">
        <v>2.5623389999999998E-3</v>
      </c>
      <c r="R4121">
        <v>-0.99996489999999905</v>
      </c>
      <c r="S4121">
        <v>-0.61715699999999996</v>
      </c>
      <c r="T4121">
        <v>-0.19151009999999999</v>
      </c>
      <c r="U4121">
        <v>-3.0059049999999998</v>
      </c>
      <c r="V4121">
        <v>2.8745659999999999E-2</v>
      </c>
      <c r="W4121">
        <v>1.6296450000000001E-2</v>
      </c>
      <c r="X4121">
        <v>0.99945390000000001</v>
      </c>
      <c r="Y4121">
        <v>0.2365698</v>
      </c>
      <c r="Z4121">
        <v>6.1971600000000002E-2</v>
      </c>
      <c r="AA4121">
        <v>0.969636099999999</v>
      </c>
      <c r="AB4121">
        <v>23</v>
      </c>
      <c r="AC4121">
        <v>-3.56640000000001</v>
      </c>
      <c r="AD4121">
        <v>-1.10517424016</v>
      </c>
      <c r="AE4121">
        <v>-17.216799999999999</v>
      </c>
      <c r="AF4121">
        <v>4.1797517690041301</v>
      </c>
      <c r="AG4121">
        <v>-1.10517424016</v>
      </c>
      <c r="AH4121">
        <v>17.007018190304301</v>
      </c>
      <c r="AI4121">
        <v>93.610893050270306</v>
      </c>
      <c r="AJ4121">
        <v>76.192287635165997</v>
      </c>
      <c r="AK4121">
        <v>17.547945824994699</v>
      </c>
    </row>
    <row r="4122" spans="1:37" x14ac:dyDescent="0.2">
      <c r="A4122" t="str">
        <f>"20200111155630954"</f>
        <v>20200111155630954</v>
      </c>
      <c r="B4122" t="str">
        <f>"1578729390946994"</f>
        <v>1578729390946994</v>
      </c>
      <c r="C4122" t="s">
        <v>37</v>
      </c>
      <c r="D4122">
        <v>4.9760369999999998</v>
      </c>
      <c r="E4122">
        <v>0.58501729999999996</v>
      </c>
      <c r="F4122" t="s">
        <v>72</v>
      </c>
      <c r="G4122">
        <v>-197.5155</v>
      </c>
      <c r="H4122" s="1">
        <v>-1.4205539999999999E-5</v>
      </c>
      <c r="I4122">
        <v>156.54830000000001</v>
      </c>
      <c r="J4122">
        <v>-193.85939999999999</v>
      </c>
      <c r="K4122">
        <v>1.1051569999999999</v>
      </c>
      <c r="L4122">
        <v>173.7747</v>
      </c>
      <c r="M4122">
        <v>3.6879410000000001E-2</v>
      </c>
      <c r="N4122">
        <v>0</v>
      </c>
      <c r="O4122">
        <v>-0.99922579999999905</v>
      </c>
      <c r="P4122">
        <v>7.479566E-3</v>
      </c>
      <c r="Q4122">
        <v>2.2256820000000001E-3</v>
      </c>
      <c r="R4122">
        <v>-0.99996989999999997</v>
      </c>
      <c r="S4122">
        <v>-0.63235469999999905</v>
      </c>
      <c r="T4122">
        <v>-0.1914052</v>
      </c>
      <c r="U4122">
        <v>-3.0056150000000001</v>
      </c>
      <c r="V4122">
        <v>2.939831E-2</v>
      </c>
      <c r="W4122">
        <v>1.595746E-2</v>
      </c>
      <c r="X4122">
        <v>0.99944040000000001</v>
      </c>
      <c r="Y4122">
        <v>0.24144060000000001</v>
      </c>
      <c r="Z4122">
        <v>6.1873980000000002E-2</v>
      </c>
      <c r="AA4122">
        <v>0.968441</v>
      </c>
      <c r="AB4122">
        <v>23</v>
      </c>
      <c r="AC4122">
        <v>-3.6560999999999999</v>
      </c>
      <c r="AD4122">
        <v>-1.10517120553999</v>
      </c>
      <c r="AE4122">
        <v>-17.226399999999899</v>
      </c>
      <c r="AF4122">
        <v>4.2721454676980102</v>
      </c>
      <c r="AG4122">
        <v>-1.10517120553999</v>
      </c>
      <c r="AH4122">
        <v>17.012825946989398</v>
      </c>
      <c r="AI4122">
        <v>93.605152247324398</v>
      </c>
      <c r="AJ4122">
        <v>75.903741513925794</v>
      </c>
      <c r="AK4122">
        <v>17.575803736765099</v>
      </c>
    </row>
    <row r="4123" spans="1:37" x14ac:dyDescent="0.2">
      <c r="A4123" t="str">
        <f>"20200111155630968"</f>
        <v>20200111155630968</v>
      </c>
      <c r="B4123" t="str">
        <f>"1578729390956754"</f>
        <v>1578729390956754</v>
      </c>
      <c r="C4123" t="s">
        <v>37</v>
      </c>
      <c r="D4123">
        <v>4.9833889999999998</v>
      </c>
      <c r="E4123">
        <v>0.58682469999999998</v>
      </c>
      <c r="F4123" t="s">
        <v>72</v>
      </c>
      <c r="G4123">
        <v>-197.584</v>
      </c>
      <c r="H4123" s="1">
        <v>-1.419991E-5</v>
      </c>
      <c r="I4123">
        <v>156.52590000000001</v>
      </c>
      <c r="J4123">
        <v>-193.8544</v>
      </c>
      <c r="K4123">
        <v>1.105154</v>
      </c>
      <c r="L4123">
        <v>173.64439999999999</v>
      </c>
      <c r="M4123">
        <v>3.7040259999999998E-2</v>
      </c>
      <c r="N4123">
        <v>0</v>
      </c>
      <c r="O4123">
        <v>-0.99921979999999999</v>
      </c>
      <c r="P4123">
        <v>7.0695430000000002E-3</v>
      </c>
      <c r="Q4123">
        <v>2.3857729999999999E-3</v>
      </c>
      <c r="R4123">
        <v>-0.99997230000000004</v>
      </c>
      <c r="S4123">
        <v>-0.64895630000000004</v>
      </c>
      <c r="T4123">
        <v>-0.19256010000000001</v>
      </c>
      <c r="U4123">
        <v>-3.0053559999999999</v>
      </c>
      <c r="V4123">
        <v>2.9969260000000001E-2</v>
      </c>
      <c r="W4123">
        <v>1.6115270000000001E-2</v>
      </c>
      <c r="X4123">
        <v>0.99942089999999995</v>
      </c>
      <c r="Y4123">
        <v>0.2467232</v>
      </c>
      <c r="Z4123">
        <v>6.217317E-2</v>
      </c>
      <c r="AA4123">
        <v>0.96708950000000005</v>
      </c>
      <c r="AB4123">
        <v>23</v>
      </c>
      <c r="AC4123">
        <v>-3.7296</v>
      </c>
      <c r="AD4123">
        <v>-1.10516819991</v>
      </c>
      <c r="AE4123">
        <v>-17.118499999999901</v>
      </c>
      <c r="AF4123">
        <v>4.3438886424428098</v>
      </c>
      <c r="AG4123">
        <v>-1.10516819991</v>
      </c>
      <c r="AH4123">
        <v>16.901340171191102</v>
      </c>
      <c r="AI4123">
        <v>93.623766056646801</v>
      </c>
      <c r="AJ4123">
        <v>75.586127989006798</v>
      </c>
      <c r="AK4123">
        <v>17.485595925514101</v>
      </c>
    </row>
    <row r="4124" spans="1:37" x14ac:dyDescent="0.2">
      <c r="A4124" t="str">
        <f>"20200111155630985"</f>
        <v>20200111155630985</v>
      </c>
      <c r="B4124" t="str">
        <f>"1578729390977250"</f>
        <v>1578729390977250</v>
      </c>
      <c r="C4124" t="s">
        <v>37</v>
      </c>
      <c r="D4124">
        <v>5.1923589999999997</v>
      </c>
      <c r="E4124">
        <v>0.58855279999999999</v>
      </c>
      <c r="F4124" t="s">
        <v>72</v>
      </c>
      <c r="G4124">
        <v>-197.72280000000001</v>
      </c>
      <c r="H4124" s="1">
        <v>-1.410622E-5</v>
      </c>
      <c r="I4124">
        <v>156.15360000000001</v>
      </c>
      <c r="J4124">
        <v>-193.84799999999899</v>
      </c>
      <c r="K4124">
        <v>1.105146</v>
      </c>
      <c r="L4124">
        <v>173.47810000000001</v>
      </c>
      <c r="M4124">
        <v>3.7243980000000003E-2</v>
      </c>
      <c r="N4124">
        <v>0</v>
      </c>
      <c r="O4124">
        <v>-0.999212199999999</v>
      </c>
      <c r="P4124">
        <v>6.2216490000000001E-3</v>
      </c>
      <c r="Q4124">
        <v>3.0945980000000001E-3</v>
      </c>
      <c r="R4124">
        <v>-0.99997569999999902</v>
      </c>
      <c r="S4124">
        <v>-0.66465759999999996</v>
      </c>
      <c r="T4124">
        <v>-0.18988679999999999</v>
      </c>
      <c r="U4124">
        <v>-3.0052340000000002</v>
      </c>
      <c r="V4124">
        <v>3.1020590000000001E-2</v>
      </c>
      <c r="W4124">
        <v>1.6820890000000002E-2</v>
      </c>
      <c r="X4124">
        <v>0.99937719999999897</v>
      </c>
      <c r="Y4124">
        <v>0.25176019999999999</v>
      </c>
      <c r="Z4124">
        <v>6.1241049999999998E-2</v>
      </c>
      <c r="AA4124">
        <v>0.96585010000000004</v>
      </c>
      <c r="AB4124">
        <v>23</v>
      </c>
      <c r="AC4124">
        <v>-3.87480000000002</v>
      </c>
      <c r="AD4124">
        <v>-1.10516010622</v>
      </c>
      <c r="AE4124">
        <v>-17.3245</v>
      </c>
      <c r="AF4124">
        <v>4.4999654166748204</v>
      </c>
      <c r="AG4124">
        <v>-1.10516010622</v>
      </c>
      <c r="AH4124">
        <v>17.101872886388801</v>
      </c>
      <c r="AI4124">
        <v>93.576044887431493</v>
      </c>
      <c r="AJ4124">
        <v>75.258089817521807</v>
      </c>
      <c r="AK4124">
        <v>17.7184966584033</v>
      </c>
    </row>
    <row r="4125" spans="1:37" x14ac:dyDescent="0.2">
      <c r="A4125" t="str">
        <f>"20200111155630998"</f>
        <v>20200111155630998</v>
      </c>
      <c r="B4125" t="str">
        <f>"1578729390987010"</f>
        <v>1578729390987010</v>
      </c>
      <c r="C4125" t="s">
        <v>37</v>
      </c>
      <c r="D4125">
        <v>5.0262900000000004</v>
      </c>
      <c r="E4125">
        <v>0.58936599999999995</v>
      </c>
      <c r="F4125" t="s">
        <v>72</v>
      </c>
      <c r="G4125">
        <v>-197.81880000000001</v>
      </c>
      <c r="H4125" s="1">
        <v>-1.40565E-5</v>
      </c>
      <c r="I4125">
        <v>155.95590000000001</v>
      </c>
      <c r="J4125">
        <v>-193.8426</v>
      </c>
      <c r="K4125">
        <v>1.1051389999999901</v>
      </c>
      <c r="L4125">
        <v>173.33709999999999</v>
      </c>
      <c r="M4125">
        <v>3.741477E-2</v>
      </c>
      <c r="N4125">
        <v>0</v>
      </c>
      <c r="O4125">
        <v>-0.99920589999999998</v>
      </c>
      <c r="P4125">
        <v>5.8018409999999899E-3</v>
      </c>
      <c r="Q4125">
        <v>3.5172089999999999E-3</v>
      </c>
      <c r="R4125">
        <v>-0.99997719999999901</v>
      </c>
      <c r="S4125">
        <v>-0.68095399999999995</v>
      </c>
      <c r="T4125">
        <v>-0.189526</v>
      </c>
      <c r="U4125">
        <v>-3.0049130000000002</v>
      </c>
      <c r="V4125">
        <v>3.1611239999999999E-2</v>
      </c>
      <c r="W4125">
        <v>1.7240450000000001E-2</v>
      </c>
      <c r="X4125">
        <v>0.99935160000000001</v>
      </c>
      <c r="Y4125">
        <v>0.2569342</v>
      </c>
      <c r="Z4125">
        <v>6.1052950000000002E-2</v>
      </c>
      <c r="AA4125">
        <v>0.96449850000000004</v>
      </c>
      <c r="AB4125">
        <v>23</v>
      </c>
      <c r="AC4125">
        <v>-3.9762</v>
      </c>
      <c r="AD4125">
        <v>-1.1051530564999901</v>
      </c>
      <c r="AE4125">
        <v>-17.3811999999999</v>
      </c>
      <c r="AF4125">
        <v>4.6060944877729604</v>
      </c>
      <c r="AG4125">
        <v>-1.1051530564999901</v>
      </c>
      <c r="AH4125">
        <v>17.154342066842599</v>
      </c>
      <c r="AI4125">
        <v>93.560364364779602</v>
      </c>
      <c r="AJ4125">
        <v>74.970080495711898</v>
      </c>
      <c r="AK4125">
        <v>17.796317637501001</v>
      </c>
    </row>
    <row r="4126" spans="1:37" x14ac:dyDescent="0.2">
      <c r="A4126" t="str">
        <f>"20200111155631012"</f>
        <v>20200111155631012</v>
      </c>
      <c r="B4126" t="str">
        <f>"1578729391006530"</f>
        <v>1578729391006530</v>
      </c>
      <c r="C4126" t="s">
        <v>37</v>
      </c>
      <c r="D4126">
        <v>4.9906759999999997</v>
      </c>
      <c r="E4126">
        <v>0.59093619999999902</v>
      </c>
      <c r="F4126" t="s">
        <v>72</v>
      </c>
      <c r="G4126">
        <v>-197.83940000000001</v>
      </c>
      <c r="H4126" s="1">
        <v>-1.404119E-5</v>
      </c>
      <c r="I4126">
        <v>155.89510000000001</v>
      </c>
      <c r="J4126">
        <v>-193.83680000000001</v>
      </c>
      <c r="K4126">
        <v>1.105132</v>
      </c>
      <c r="L4126">
        <v>173.18770000000001</v>
      </c>
      <c r="M4126">
        <v>3.7590510000000001E-2</v>
      </c>
      <c r="N4126">
        <v>0</v>
      </c>
      <c r="O4126">
        <v>-0.99919950000000002</v>
      </c>
      <c r="P4126">
        <v>5.5726430000000004E-3</v>
      </c>
      <c r="Q4126">
        <v>3.8900789999999998E-3</v>
      </c>
      <c r="R4126">
        <v>-0.99997749999999996</v>
      </c>
      <c r="S4126">
        <v>-0.68853759999999997</v>
      </c>
      <c r="T4126">
        <v>-0.1903859</v>
      </c>
      <c r="U4126">
        <v>-3.0047450000000002</v>
      </c>
      <c r="V4126">
        <v>3.20164E-2</v>
      </c>
      <c r="W4126">
        <v>1.7609940000000001E-2</v>
      </c>
      <c r="X4126">
        <v>0.9993322</v>
      </c>
      <c r="Y4126">
        <v>0.25942559999999998</v>
      </c>
      <c r="Z4126">
        <v>6.129387E-2</v>
      </c>
      <c r="AA4126">
        <v>0.96381600000000001</v>
      </c>
      <c r="AB4126">
        <v>23</v>
      </c>
      <c r="AC4126">
        <v>-4.0026000000000002</v>
      </c>
      <c r="AD4126">
        <v>-1.10514604119</v>
      </c>
      <c r="AE4126">
        <v>-17.292599999999901</v>
      </c>
      <c r="AF4126">
        <v>4.6319129167030901</v>
      </c>
      <c r="AG4126">
        <v>-1.10514604119</v>
      </c>
      <c r="AH4126">
        <v>17.063752217667801</v>
      </c>
      <c r="AI4126">
        <v>93.576555565578303</v>
      </c>
      <c r="AJ4126">
        <v>74.813152519160596</v>
      </c>
      <c r="AK4126">
        <v>17.7157445450719</v>
      </c>
    </row>
    <row r="4127" spans="1:37" x14ac:dyDescent="0.2">
      <c r="A4127" t="str">
        <f>"20200111155631027"</f>
        <v>20200111155631027</v>
      </c>
      <c r="B4127" t="str">
        <f>"1578729391017266"</f>
        <v>1578729391017266</v>
      </c>
      <c r="C4127" t="s">
        <v>37</v>
      </c>
      <c r="D4127">
        <v>4.9841730000000002</v>
      </c>
      <c r="E4127">
        <v>0.59157950000000004</v>
      </c>
      <c r="F4127" t="s">
        <v>72</v>
      </c>
      <c r="G4127">
        <v>-197.91839999999999</v>
      </c>
      <c r="H4127" s="1">
        <v>-1.399259E-5</v>
      </c>
      <c r="I4127">
        <v>155.70189999999999</v>
      </c>
      <c r="J4127">
        <v>-193.8314</v>
      </c>
      <c r="K4127">
        <v>1.1051260000000001</v>
      </c>
      <c r="L4127">
        <v>173.05</v>
      </c>
      <c r="M4127">
        <v>3.7748629999999998E-2</v>
      </c>
      <c r="N4127">
        <v>0</v>
      </c>
      <c r="O4127">
        <v>-0.99919349999999996</v>
      </c>
      <c r="P4127">
        <v>4.84750799999999E-3</v>
      </c>
      <c r="Q4127">
        <v>4.1999100000000003E-3</v>
      </c>
      <c r="R4127">
        <v>-0.99997999999999998</v>
      </c>
      <c r="S4127">
        <v>-0.7013855</v>
      </c>
      <c r="T4127">
        <v>-0.189906399999999</v>
      </c>
      <c r="U4127">
        <v>-3.004715</v>
      </c>
      <c r="V4127">
        <v>3.2899570000000003E-2</v>
      </c>
      <c r="W4127">
        <v>1.7917450000000001E-2</v>
      </c>
      <c r="X4127">
        <v>0.99929799999999902</v>
      </c>
      <c r="Y4127">
        <v>0.26349319999999998</v>
      </c>
      <c r="Z4127">
        <v>6.107688E-2</v>
      </c>
      <c r="AA4127">
        <v>0.96272579999999996</v>
      </c>
      <c r="AB4127">
        <v>23</v>
      </c>
      <c r="AC4127">
        <v>-4.0869999999999802</v>
      </c>
      <c r="AD4127">
        <v>-1.1051399925900001</v>
      </c>
      <c r="AE4127">
        <v>-17.348099999999999</v>
      </c>
      <c r="AF4127">
        <v>4.7208641869032002</v>
      </c>
      <c r="AG4127">
        <v>-1.1051399925900001</v>
      </c>
      <c r="AH4127">
        <v>17.115634097493899</v>
      </c>
      <c r="AI4127">
        <v>93.561764432799606</v>
      </c>
      <c r="AJ4127">
        <v>74.579985325848597</v>
      </c>
      <c r="AK4127">
        <v>17.789120934821401</v>
      </c>
    </row>
    <row r="4128" spans="1:37" x14ac:dyDescent="0.2">
      <c r="A4128" t="str">
        <f>"20200111155631040"</f>
        <v>20200111155631040</v>
      </c>
      <c r="B4128" t="str">
        <f>"1578729391036785"</f>
        <v>1578729391036785</v>
      </c>
      <c r="C4128" t="s">
        <v>37</v>
      </c>
      <c r="D4128">
        <v>5.0029469999999998</v>
      </c>
      <c r="E4128">
        <v>0.59262159999999997</v>
      </c>
      <c r="F4128" t="s">
        <v>72</v>
      </c>
      <c r="G4128">
        <v>-197.94749999999999</v>
      </c>
      <c r="H4128" s="1">
        <v>-1.3963979999999901E-5</v>
      </c>
      <c r="I4128">
        <v>155.602</v>
      </c>
      <c r="J4128">
        <v>-193.8262</v>
      </c>
      <c r="K4128">
        <v>1.105121</v>
      </c>
      <c r="L4128">
        <v>172.91489999999999</v>
      </c>
      <c r="M4128">
        <v>3.7900690000000001E-2</v>
      </c>
      <c r="N4128">
        <v>0</v>
      </c>
      <c r="O4128">
        <v>-0.99918759999999995</v>
      </c>
      <c r="P4128">
        <v>4.1716219999999998E-3</v>
      </c>
      <c r="Q4128">
        <v>4.5294300000000001E-3</v>
      </c>
      <c r="R4128">
        <v>-0.99998120000000001</v>
      </c>
      <c r="S4128">
        <v>-0.70874019999999904</v>
      </c>
      <c r="T4128">
        <v>-0.190290299999999</v>
      </c>
      <c r="U4128">
        <v>-3.004318</v>
      </c>
      <c r="V4128">
        <v>3.3727390000000003E-2</v>
      </c>
      <c r="W4128">
        <v>1.8244509999999999E-2</v>
      </c>
      <c r="X4128">
        <v>0.9992645</v>
      </c>
      <c r="Y4128">
        <v>0.26589970000000002</v>
      </c>
      <c r="Z4128">
        <v>6.1169750000000002E-2</v>
      </c>
      <c r="AA4128">
        <v>0.96205799999999997</v>
      </c>
      <c r="AB4128">
        <v>23</v>
      </c>
      <c r="AC4128">
        <v>-4.12129999999999</v>
      </c>
      <c r="AD4128">
        <v>-1.1051349639800001</v>
      </c>
      <c r="AE4128">
        <v>-17.3128999999999</v>
      </c>
      <c r="AF4128">
        <v>4.7562300782765998</v>
      </c>
      <c r="AG4128">
        <v>-1.1051349639800001</v>
      </c>
      <c r="AH4128">
        <v>17.0783870858907</v>
      </c>
      <c r="AI4128">
        <v>93.567048173126494</v>
      </c>
      <c r="AJ4128">
        <v>74.4377936781827</v>
      </c>
      <c r="AK4128">
        <v>17.762723701663401</v>
      </c>
    </row>
    <row r="4129" spans="1:37" x14ac:dyDescent="0.2">
      <c r="A4129" t="str">
        <f>"20200111155631054"</f>
        <v>20200111155631054</v>
      </c>
      <c r="B4129" t="str">
        <f>"1578729391046546"</f>
        <v>1578729391046546</v>
      </c>
      <c r="C4129" t="s">
        <v>37</v>
      </c>
      <c r="D4129">
        <v>4.97966</v>
      </c>
      <c r="E4129">
        <v>0.59304899999999905</v>
      </c>
      <c r="F4129" t="s">
        <v>72</v>
      </c>
      <c r="G4129">
        <v>-197.9581</v>
      </c>
      <c r="H4129" s="1">
        <v>-1.3977590000000001E-5</v>
      </c>
      <c r="I4129">
        <v>155.64230000000001</v>
      </c>
      <c r="J4129">
        <v>-193.8203</v>
      </c>
      <c r="K4129">
        <v>1.1051120000000001</v>
      </c>
      <c r="L4129">
        <v>172.7664</v>
      </c>
      <c r="M4129">
        <v>3.8061749999999998E-2</v>
      </c>
      <c r="N4129">
        <v>0</v>
      </c>
      <c r="O4129">
        <v>-0.999181599999999</v>
      </c>
      <c r="P4129">
        <v>3.831484E-3</v>
      </c>
      <c r="Q4129">
        <v>4.7747099999999997E-3</v>
      </c>
      <c r="R4129">
        <v>-0.99998180000000003</v>
      </c>
      <c r="S4129">
        <v>-0.71859740000000005</v>
      </c>
      <c r="T4129">
        <v>-0.19219549999999999</v>
      </c>
      <c r="U4129">
        <v>-3.0039060000000002</v>
      </c>
      <c r="V4129">
        <v>3.4228660000000001E-2</v>
      </c>
      <c r="W4129">
        <v>1.8487179999999999E-2</v>
      </c>
      <c r="X4129">
        <v>0.99924299999999999</v>
      </c>
      <c r="Y4129">
        <v>0.2690632</v>
      </c>
      <c r="Z4129">
        <v>6.1736760000000002E-2</v>
      </c>
      <c r="AA4129">
        <v>0.96114179999999905</v>
      </c>
      <c r="AB4129">
        <v>23</v>
      </c>
      <c r="AC4129">
        <v>-4.1377999999999897</v>
      </c>
      <c r="AD4129">
        <v>-1.10512597759</v>
      </c>
      <c r="AE4129">
        <v>-17.124099999999999</v>
      </c>
      <c r="AF4129">
        <v>4.7678730697555398</v>
      </c>
      <c r="AG4129">
        <v>-1.10512597759</v>
      </c>
      <c r="AH4129">
        <v>16.887726667817699</v>
      </c>
      <c r="AI4129">
        <v>93.603601012759398</v>
      </c>
      <c r="AJ4129">
        <v>74.234156765582</v>
      </c>
      <c r="AK4129">
        <v>17.582639990700098</v>
      </c>
    </row>
    <row r="4130" spans="1:37" x14ac:dyDescent="0.2">
      <c r="A4130" t="str">
        <f>"20200111155631068"</f>
        <v>20200111155631068</v>
      </c>
      <c r="B4130" t="str">
        <f>"1578729391057282"</f>
        <v>1578729391057282</v>
      </c>
      <c r="C4130" t="s">
        <v>37</v>
      </c>
      <c r="D4130">
        <v>4.9744400000000004</v>
      </c>
      <c r="E4130">
        <v>0.59344399999999997</v>
      </c>
      <c r="F4130" t="s">
        <v>72</v>
      </c>
      <c r="G4130">
        <v>-197.97829999999999</v>
      </c>
      <c r="H4130" s="1">
        <v>-1.3920249999999999E-5</v>
      </c>
      <c r="I4130">
        <v>155.49369999999999</v>
      </c>
      <c r="J4130">
        <v>-193.815</v>
      </c>
      <c r="K4130">
        <v>1.1051040000000001</v>
      </c>
      <c r="L4130">
        <v>172.63079999999999</v>
      </c>
      <c r="M4130">
        <v>3.820494E-2</v>
      </c>
      <c r="N4130">
        <v>0</v>
      </c>
      <c r="O4130">
        <v>-0.99917610000000001</v>
      </c>
      <c r="P4130">
        <v>3.8321609999999902E-3</v>
      </c>
      <c r="Q4130">
        <v>4.9962009999999996E-3</v>
      </c>
      <c r="R4130">
        <v>-0.99998039999999999</v>
      </c>
      <c r="S4130">
        <v>-0.72306819999999905</v>
      </c>
      <c r="T4130">
        <v>-0.19218199999999999</v>
      </c>
      <c r="U4130">
        <v>-3.0037379999999998</v>
      </c>
      <c r="V4130">
        <v>3.4371359999999997E-2</v>
      </c>
      <c r="W4130">
        <v>1.8706009999999999E-2</v>
      </c>
      <c r="X4130">
        <v>0.99923410000000001</v>
      </c>
      <c r="Y4130">
        <v>0.27056599999999997</v>
      </c>
      <c r="Z4130">
        <v>6.1711460000000003E-2</v>
      </c>
      <c r="AA4130">
        <v>0.96072139999999995</v>
      </c>
      <c r="AB4130">
        <v>23</v>
      </c>
      <c r="AC4130">
        <v>-4.1632999999999898</v>
      </c>
      <c r="AD4130">
        <v>-1.1051179202500001</v>
      </c>
      <c r="AE4130">
        <v>-17.1371</v>
      </c>
      <c r="AF4130">
        <v>4.7962094391656898</v>
      </c>
      <c r="AG4130">
        <v>-1.1051179202500001</v>
      </c>
      <c r="AH4130">
        <v>16.8991532136668</v>
      </c>
      <c r="AI4130">
        <v>93.599746266443105</v>
      </c>
      <c r="AJ4130">
        <v>74.155337099799297</v>
      </c>
      <c r="AK4130">
        <v>17.601315006015401</v>
      </c>
    </row>
    <row r="4131" spans="1:37" x14ac:dyDescent="0.2">
      <c r="A4131" t="str">
        <f>"20200111155631082"</f>
        <v>20200111155631082</v>
      </c>
      <c r="B4131" t="str">
        <f>"1578729391076802"</f>
        <v>1578729391076802</v>
      </c>
      <c r="C4131" t="s">
        <v>37</v>
      </c>
      <c r="D4131">
        <v>4.9660529999999996</v>
      </c>
      <c r="E4131">
        <v>0.59429849999999995</v>
      </c>
      <c r="F4131" t="s">
        <v>72</v>
      </c>
      <c r="G4131">
        <v>-197.9616</v>
      </c>
      <c r="H4131" s="1">
        <v>-1.391311E-5</v>
      </c>
      <c r="I4131">
        <v>155.48050000000001</v>
      </c>
      <c r="J4131">
        <v>-193.8092</v>
      </c>
      <c r="K4131">
        <v>1.105097</v>
      </c>
      <c r="L4131">
        <v>172.4845</v>
      </c>
      <c r="M4131">
        <v>3.8356479999999998E-2</v>
      </c>
      <c r="N4131">
        <v>0</v>
      </c>
      <c r="O4131">
        <v>-0.99917040000000001</v>
      </c>
      <c r="P4131">
        <v>3.8032819999999998E-3</v>
      </c>
      <c r="Q4131">
        <v>4.7694510000000001E-3</v>
      </c>
      <c r="R4131">
        <v>-0.99998180000000003</v>
      </c>
      <c r="S4131">
        <v>-0.72627259999999905</v>
      </c>
      <c r="T4131">
        <v>-0.1935576</v>
      </c>
      <c r="U4131">
        <v>-3.0038149999999999</v>
      </c>
      <c r="V4131">
        <v>3.4552230000000003E-2</v>
      </c>
      <c r="W4131">
        <v>1.8477170000000001E-2</v>
      </c>
      <c r="X4131">
        <v>0.99923209999999996</v>
      </c>
      <c r="Y4131">
        <v>0.27166869999999999</v>
      </c>
      <c r="Z4131">
        <v>6.2131850000000002E-2</v>
      </c>
      <c r="AA4131">
        <v>0.96038310000000005</v>
      </c>
      <c r="AB4131">
        <v>23</v>
      </c>
      <c r="AC4131">
        <v>-4.1524000000000001</v>
      </c>
      <c r="AD4131">
        <v>-1.1051109131100001</v>
      </c>
      <c r="AE4131">
        <v>-17.003999999999898</v>
      </c>
      <c r="AF4131">
        <v>4.7825544539633604</v>
      </c>
      <c r="AG4131">
        <v>-1.1051109131100001</v>
      </c>
      <c r="AH4131">
        <v>16.765369117695499</v>
      </c>
      <c r="AI4131">
        <v>93.626990903356102</v>
      </c>
      <c r="AJ4131">
        <v>74.078464971238205</v>
      </c>
      <c r="AK4131">
        <v>17.469164229807301</v>
      </c>
    </row>
    <row r="4132" spans="1:37" x14ac:dyDescent="0.2">
      <c r="A4132" t="str">
        <f>"20200111155631095"</f>
        <v>20200111155631095</v>
      </c>
      <c r="B4132" t="str">
        <f>"1578729391086561"</f>
        <v>1578729391086561</v>
      </c>
      <c r="C4132" t="s">
        <v>37</v>
      </c>
      <c r="D4132">
        <v>4.9468920000000001</v>
      </c>
      <c r="E4132">
        <v>0.59477910000000001</v>
      </c>
      <c r="F4132" t="s">
        <v>72</v>
      </c>
      <c r="G4132">
        <v>-197.93639999999999</v>
      </c>
      <c r="H4132" s="1">
        <v>-1.394787E-5</v>
      </c>
      <c r="I4132">
        <v>155.5667</v>
      </c>
      <c r="J4132">
        <v>-193.8039</v>
      </c>
      <c r="K4132">
        <v>1.105081</v>
      </c>
      <c r="L4132">
        <v>172.3492</v>
      </c>
      <c r="M4132">
        <v>3.849379E-2</v>
      </c>
      <c r="N4132">
        <v>0</v>
      </c>
      <c r="O4132">
        <v>-0.99916519999999998</v>
      </c>
      <c r="P4132">
        <v>3.9408170000000001E-3</v>
      </c>
      <c r="Q4132">
        <v>4.0169849999999998E-3</v>
      </c>
      <c r="R4132">
        <v>-0.99998449999999905</v>
      </c>
      <c r="S4132">
        <v>-0.73278809999999905</v>
      </c>
      <c r="T4132">
        <v>-0.19621379999999999</v>
      </c>
      <c r="U4132">
        <v>-3.0037689999999899</v>
      </c>
      <c r="V4132">
        <v>3.455275E-2</v>
      </c>
      <c r="W4132">
        <v>1.7722459999999999E-2</v>
      </c>
      <c r="X4132">
        <v>0.99924570000000001</v>
      </c>
      <c r="Y4132">
        <v>0.27375850000000002</v>
      </c>
      <c r="Z4132">
        <v>6.2946539999999995E-2</v>
      </c>
      <c r="AA4132">
        <v>0.95973639999999905</v>
      </c>
      <c r="AB4132">
        <v>23</v>
      </c>
      <c r="AC4132">
        <v>-4.1324999999999896</v>
      </c>
      <c r="AD4132">
        <v>-1.1050949478700001</v>
      </c>
      <c r="AE4132">
        <v>-16.782499999999999</v>
      </c>
      <c r="AF4132">
        <v>4.7560757946270904</v>
      </c>
      <c r="AG4132">
        <v>-1.1050949478700001</v>
      </c>
      <c r="AH4132">
        <v>16.543337999965502</v>
      </c>
      <c r="AI4132">
        <v>93.673323058771601</v>
      </c>
      <c r="AJ4132">
        <v>73.960484972887798</v>
      </c>
      <c r="AK4132">
        <v>17.248870223558001</v>
      </c>
    </row>
    <row r="4133" spans="1:37" x14ac:dyDescent="0.2">
      <c r="A4133" t="str">
        <f>"20200111155631109"</f>
        <v>20200111155631109</v>
      </c>
      <c r="B4133" t="str">
        <f>"1578729391097298"</f>
        <v>1578729391097298</v>
      </c>
      <c r="C4133" t="s">
        <v>37</v>
      </c>
      <c r="D4133">
        <v>4.9906230000000003</v>
      </c>
      <c r="E4133">
        <v>0.59497900000000004</v>
      </c>
      <c r="F4133" t="s">
        <v>72</v>
      </c>
      <c r="G4133">
        <v>-197.8766</v>
      </c>
      <c r="H4133" s="1">
        <v>-1.400001E-5</v>
      </c>
      <c r="I4133">
        <v>155.73140000000001</v>
      </c>
      <c r="J4133">
        <v>-193.7987</v>
      </c>
      <c r="K4133">
        <v>1.105075</v>
      </c>
      <c r="L4133">
        <v>172.22020000000001</v>
      </c>
      <c r="M4133">
        <v>3.8622660000000003E-2</v>
      </c>
      <c r="N4133">
        <v>0</v>
      </c>
      <c r="O4133">
        <v>-0.99915989999999999</v>
      </c>
      <c r="P4133">
        <v>4.0287830000000002E-3</v>
      </c>
      <c r="Q4133">
        <v>3.4918140000000002E-3</v>
      </c>
      <c r="R4133">
        <v>-0.99998580000000004</v>
      </c>
      <c r="S4133">
        <v>-0.73617549999999998</v>
      </c>
      <c r="T4133">
        <v>-0.19975300000000001</v>
      </c>
      <c r="U4133">
        <v>-3.0037689999999899</v>
      </c>
      <c r="V4133">
        <v>3.4594199999999901E-2</v>
      </c>
      <c r="W4133">
        <v>1.719563E-2</v>
      </c>
      <c r="X4133">
        <v>0.99925350000000002</v>
      </c>
      <c r="Y4133">
        <v>0.27488669999999998</v>
      </c>
      <c r="Z4133">
        <v>6.4057680000000006E-2</v>
      </c>
      <c r="AA4133">
        <v>0.95934030000000003</v>
      </c>
      <c r="AB4133">
        <v>23</v>
      </c>
      <c r="AC4133">
        <v>-4.0778999999999996</v>
      </c>
      <c r="AD4133">
        <v>-1.10508900001</v>
      </c>
      <c r="AE4133">
        <v>-16.488799999999902</v>
      </c>
      <c r="AF4133">
        <v>4.6918977420020704</v>
      </c>
      <c r="AG4133">
        <v>-1.10508900001</v>
      </c>
      <c r="AH4133">
        <v>16.250195898927501</v>
      </c>
      <c r="AI4133">
        <v>93.738154170101893</v>
      </c>
      <c r="AJ4133">
        <v>73.8950539327071</v>
      </c>
      <c r="AK4133">
        <v>16.9500440374905</v>
      </c>
    </row>
    <row r="4134" spans="1:37" x14ac:dyDescent="0.2">
      <c r="A4134" t="str">
        <f>"20200111155631122"</f>
        <v>20200111155631122</v>
      </c>
      <c r="B4134" t="str">
        <f>"1578729391116818"</f>
        <v>1578729391116818</v>
      </c>
      <c r="C4134" t="s">
        <v>37</v>
      </c>
      <c r="D4134">
        <v>4.9824019999999898</v>
      </c>
      <c r="E4134">
        <v>0.59551969999999899</v>
      </c>
      <c r="F4134" t="s">
        <v>72</v>
      </c>
      <c r="G4134">
        <v>-197.80279999999999</v>
      </c>
      <c r="H4134" s="1">
        <v>-1.4043849999999999E-5</v>
      </c>
      <c r="I4134">
        <v>155.9057</v>
      </c>
      <c r="J4134">
        <v>-193.79310000000001</v>
      </c>
      <c r="K4134">
        <v>1.1050690000000001</v>
      </c>
      <c r="L4134">
        <v>172.07740000000001</v>
      </c>
      <c r="M4134">
        <v>3.8763800000000001E-2</v>
      </c>
      <c r="N4134">
        <v>0</v>
      </c>
      <c r="O4134">
        <v>-0.99915469999999895</v>
      </c>
      <c r="P4134">
        <v>4.2786279999999996E-3</v>
      </c>
      <c r="Q4134">
        <v>2.8961759999999999E-3</v>
      </c>
      <c r="R4134">
        <v>-0.99998679999999995</v>
      </c>
      <c r="S4134">
        <v>-0.73719789999999996</v>
      </c>
      <c r="T4134">
        <v>-0.203461</v>
      </c>
      <c r="U4134">
        <v>-3.003708</v>
      </c>
      <c r="V4134">
        <v>3.4486169999999997E-2</v>
      </c>
      <c r="W4134">
        <v>1.659776E-2</v>
      </c>
      <c r="X4134">
        <v>0.99926729999999997</v>
      </c>
      <c r="Y4134">
        <v>0.27531669999999903</v>
      </c>
      <c r="Z4134">
        <v>6.5235580000000001E-2</v>
      </c>
      <c r="AA4134">
        <v>0.95913760000000003</v>
      </c>
      <c r="AB4134">
        <v>23</v>
      </c>
      <c r="AC4134">
        <v>-4.0096999999999801</v>
      </c>
      <c r="AD4134">
        <v>-1.1050830438499999</v>
      </c>
      <c r="AE4134">
        <v>-16.171700000000001</v>
      </c>
      <c r="AF4134">
        <v>4.6133263216940801</v>
      </c>
      <c r="AG4134">
        <v>-1.1050830438499999</v>
      </c>
      <c r="AH4134">
        <v>15.9340014105689</v>
      </c>
      <c r="AI4134">
        <v>93.811287348954593</v>
      </c>
      <c r="AJ4134">
        <v>73.852833731402995</v>
      </c>
      <c r="AK4134">
        <v>16.625173359584899</v>
      </c>
    </row>
    <row r="4135" spans="1:37" x14ac:dyDescent="0.2">
      <c r="A4135" t="str">
        <f>"20200111155631142"</f>
        <v>20200111155631142</v>
      </c>
      <c r="B4135" t="str">
        <f>"1578729391137314"</f>
        <v>1578729391137314</v>
      </c>
      <c r="C4135" t="s">
        <v>37</v>
      </c>
      <c r="D4135">
        <v>4.9651309999999897</v>
      </c>
      <c r="E4135">
        <v>0.59613559999999999</v>
      </c>
      <c r="F4135" t="s">
        <v>72</v>
      </c>
      <c r="G4135">
        <v>-197.74019999999999</v>
      </c>
      <c r="H4135" s="1">
        <v>-1.408421E-5</v>
      </c>
      <c r="I4135">
        <v>156.06610000000001</v>
      </c>
      <c r="J4135">
        <v>-193.78559999999999</v>
      </c>
      <c r="K4135">
        <v>1.105059</v>
      </c>
      <c r="L4135">
        <v>171.88919999999999</v>
      </c>
      <c r="M4135">
        <v>3.8946719999999997E-2</v>
      </c>
      <c r="N4135">
        <v>0</v>
      </c>
      <c r="O4135">
        <v>-0.99914780000000003</v>
      </c>
      <c r="P4135">
        <v>5.0529329999999999E-3</v>
      </c>
      <c r="Q4135">
        <v>2.014741E-3</v>
      </c>
      <c r="R4135">
        <v>-0.99998539999999903</v>
      </c>
      <c r="S4135">
        <v>-0.74050899999999997</v>
      </c>
      <c r="T4135">
        <v>-0.20732100000000001</v>
      </c>
      <c r="U4135">
        <v>-3.0038299999999998</v>
      </c>
      <c r="V4135">
        <v>3.3895880000000003E-2</v>
      </c>
      <c r="W4135">
        <v>1.5713830000000002E-2</v>
      </c>
      <c r="X4135">
        <v>0.99930189999999997</v>
      </c>
      <c r="Y4135">
        <v>0.27646129999999902</v>
      </c>
      <c r="Z4135">
        <v>6.6444489999999995E-2</v>
      </c>
      <c r="AA4135">
        <v>0.9587253</v>
      </c>
      <c r="AB4135">
        <v>23</v>
      </c>
      <c r="AC4135">
        <v>-3.9545999999999899</v>
      </c>
      <c r="AD4135">
        <v>-1.1050730842100001</v>
      </c>
      <c r="AE4135">
        <v>-15.823099999999901</v>
      </c>
      <c r="AF4135">
        <v>4.5470400655101999</v>
      </c>
      <c r="AG4135">
        <v>-1.1050730842100001</v>
      </c>
      <c r="AH4135">
        <v>15.5855100831778</v>
      </c>
      <c r="AI4135">
        <v>93.893901897151807</v>
      </c>
      <c r="AJ4135">
        <v>73.735505183952995</v>
      </c>
      <c r="AK4135">
        <v>16.272826565524401</v>
      </c>
    </row>
    <row r="4136" spans="1:37" x14ac:dyDescent="0.2">
      <c r="A4136" t="str">
        <f>"20200111155631153"</f>
        <v>20200111155631153</v>
      </c>
      <c r="B4136" t="str">
        <f>"1578729391147074"</f>
        <v>1578729391147074</v>
      </c>
      <c r="C4136" t="s">
        <v>37</v>
      </c>
      <c r="D4136">
        <v>4.970313</v>
      </c>
      <c r="E4136">
        <v>0.59635229999999995</v>
      </c>
      <c r="F4136" t="s">
        <v>72</v>
      </c>
      <c r="G4136">
        <v>-197.66929999999999</v>
      </c>
      <c r="H4136" s="1">
        <v>-1.411384E-5</v>
      </c>
      <c r="I4136">
        <v>156.18379999999999</v>
      </c>
      <c r="J4136">
        <v>-193.78039999999999</v>
      </c>
      <c r="K4136">
        <v>1.1050549999999999</v>
      </c>
      <c r="L4136">
        <v>171.7604</v>
      </c>
      <c r="M4136">
        <v>3.9070290000000001E-2</v>
      </c>
      <c r="N4136">
        <v>0</v>
      </c>
      <c r="O4136">
        <v>-0.9991428</v>
      </c>
      <c r="P4136">
        <v>5.5786819999999997E-3</v>
      </c>
      <c r="Q4136">
        <v>1.802379E-3</v>
      </c>
      <c r="R4136">
        <v>-0.99998290000000001</v>
      </c>
      <c r="S4136">
        <v>-0.74290469999999997</v>
      </c>
      <c r="T4136">
        <v>-0.21138579999999901</v>
      </c>
      <c r="U4136">
        <v>-3.0042270000000002</v>
      </c>
      <c r="V4136">
        <v>3.3494259999999998E-2</v>
      </c>
      <c r="W4136">
        <v>1.549975E-2</v>
      </c>
      <c r="X4136">
        <v>0.9993187</v>
      </c>
      <c r="Y4136">
        <v>0.27725050000000001</v>
      </c>
      <c r="Z4136">
        <v>6.7717669999999994E-2</v>
      </c>
      <c r="AA4136">
        <v>0.95840829999999999</v>
      </c>
      <c r="AB4136">
        <v>23</v>
      </c>
      <c r="AC4136">
        <v>-3.8889</v>
      </c>
      <c r="AD4136">
        <v>-1.10506911384</v>
      </c>
      <c r="AE4136">
        <v>-15.576599999999999</v>
      </c>
      <c r="AF4136">
        <v>4.4733755762451297</v>
      </c>
      <c r="AG4136">
        <v>-1.10506911384</v>
      </c>
      <c r="AH4136">
        <v>15.3400721702832</v>
      </c>
      <c r="AI4136">
        <v>93.956135318975498</v>
      </c>
      <c r="AJ4136">
        <v>73.742590890348296</v>
      </c>
      <c r="AK4136">
        <v>16.017180806309401</v>
      </c>
    </row>
    <row r="4137" spans="1:37" x14ac:dyDescent="0.2">
      <c r="A4137" t="str">
        <f>"20200111155631166"</f>
        <v>20200111155631166</v>
      </c>
      <c r="B4137" t="str">
        <f>"1578729391156833"</f>
        <v>1578729391156833</v>
      </c>
      <c r="C4137" t="s">
        <v>37</v>
      </c>
      <c r="D4137">
        <v>4.9513559999999996</v>
      </c>
      <c r="E4137">
        <v>0.59664649999999997</v>
      </c>
      <c r="F4137" t="s">
        <v>72</v>
      </c>
      <c r="G4137">
        <v>-197.63050000000001</v>
      </c>
      <c r="H4137" s="1">
        <v>-1.411532E-5</v>
      </c>
      <c r="I4137">
        <v>156.18969999999999</v>
      </c>
      <c r="J4137">
        <v>-193.77529999999999</v>
      </c>
      <c r="K4137">
        <v>1.105057</v>
      </c>
      <c r="L4137">
        <v>171.63470000000001</v>
      </c>
      <c r="M4137">
        <v>3.9189939999999999E-2</v>
      </c>
      <c r="N4137">
        <v>0</v>
      </c>
      <c r="O4137">
        <v>-0.99913819999999998</v>
      </c>
      <c r="P4137">
        <v>5.9021580000000002E-3</v>
      </c>
      <c r="Q4137">
        <v>1.887634E-3</v>
      </c>
      <c r="R4137">
        <v>-0.99998109999999996</v>
      </c>
      <c r="S4137">
        <v>-0.74293520000000002</v>
      </c>
      <c r="T4137">
        <v>-0.21323909999999999</v>
      </c>
      <c r="U4137">
        <v>-3.0045929999999998</v>
      </c>
      <c r="V4137">
        <v>3.3290720000000003E-2</v>
      </c>
      <c r="W4137">
        <v>1.558319E-2</v>
      </c>
      <c r="X4137">
        <v>0.9993242</v>
      </c>
      <c r="Y4137">
        <v>0.27733790000000003</v>
      </c>
      <c r="Z4137">
        <v>6.8298999999999999E-2</v>
      </c>
      <c r="AA4137">
        <v>0.95834180000000002</v>
      </c>
      <c r="AB4137">
        <v>23</v>
      </c>
      <c r="AC4137">
        <v>-3.8552000000000199</v>
      </c>
      <c r="AD4137">
        <v>-1.1050711153199999</v>
      </c>
      <c r="AE4137">
        <v>-15.445</v>
      </c>
      <c r="AF4137">
        <v>4.4362050174202796</v>
      </c>
      <c r="AG4137">
        <v>-1.1050711153199999</v>
      </c>
      <c r="AH4137">
        <v>15.2087427017207</v>
      </c>
      <c r="AI4137">
        <v>93.990115173480604</v>
      </c>
      <c r="AJ4137">
        <v>73.738678273897307</v>
      </c>
      <c r="AK4137">
        <v>15.8810248943084</v>
      </c>
    </row>
    <row r="4138" spans="1:37" x14ac:dyDescent="0.2">
      <c r="A4138" t="str">
        <f>"20200111155631180"</f>
        <v>20200111155631180</v>
      </c>
      <c r="B4138" t="str">
        <f>"1578729391177329"</f>
        <v>1578729391177329</v>
      </c>
      <c r="C4138" t="s">
        <v>37</v>
      </c>
      <c r="D4138">
        <v>4.9973669999999997</v>
      </c>
      <c r="E4138">
        <v>0.59722449999999905</v>
      </c>
      <c r="F4138" t="s">
        <v>72</v>
      </c>
      <c r="G4138">
        <v>-197.61060000000001</v>
      </c>
      <c r="H4138" s="1">
        <v>-1.410426E-5</v>
      </c>
      <c r="I4138">
        <v>156.14580000000001</v>
      </c>
      <c r="J4138">
        <v>-193.77</v>
      </c>
      <c r="K4138">
        <v>1.1050599999999999</v>
      </c>
      <c r="L4138">
        <v>171.5016</v>
      </c>
      <c r="M4138">
        <v>3.9315820000000001E-2</v>
      </c>
      <c r="N4138">
        <v>0</v>
      </c>
      <c r="O4138">
        <v>-0.99913320000000005</v>
      </c>
      <c r="P4138">
        <v>6.2765759999999999E-3</v>
      </c>
      <c r="Q4138">
        <v>2.6433979999999999E-3</v>
      </c>
      <c r="R4138">
        <v>-0.99997719999999901</v>
      </c>
      <c r="S4138">
        <v>-0.74404910000000002</v>
      </c>
      <c r="T4138">
        <v>-0.21438499999999999</v>
      </c>
      <c r="U4138">
        <v>-3.0048680000000001</v>
      </c>
      <c r="V4138">
        <v>3.304224E-2</v>
      </c>
      <c r="W4138">
        <v>1.633745E-2</v>
      </c>
      <c r="X4138">
        <v>0.9993204</v>
      </c>
      <c r="Y4138">
        <v>0.2777674</v>
      </c>
      <c r="Z4138">
        <v>6.8650290000000003E-2</v>
      </c>
      <c r="AA4138">
        <v>0.9581923</v>
      </c>
      <c r="AB4138">
        <v>23</v>
      </c>
      <c r="AC4138">
        <v>-3.84059999999999</v>
      </c>
      <c r="AD4138">
        <v>-1.1050741042600001</v>
      </c>
      <c r="AE4138">
        <v>-15.355799999999901</v>
      </c>
      <c r="AF4138">
        <v>4.4198698642299199</v>
      </c>
      <c r="AG4138">
        <v>-1.1050741042600001</v>
      </c>
      <c r="AH4138">
        <v>15.119223385317101</v>
      </c>
      <c r="AI4138">
        <v>94.012978069731702</v>
      </c>
      <c r="AJ4138">
        <v>73.704540093283399</v>
      </c>
      <c r="AK4138">
        <v>15.790736340264599</v>
      </c>
    </row>
    <row r="4139" spans="1:37" x14ac:dyDescent="0.2">
      <c r="A4139" t="str">
        <f>"20200111155631192"</f>
        <v>20200111155631192</v>
      </c>
      <c r="B4139" t="str">
        <f>"1578729391187090"</f>
        <v>1578729391187090</v>
      </c>
      <c r="C4139" t="s">
        <v>37</v>
      </c>
      <c r="D4139">
        <v>4.9721539999999997</v>
      </c>
      <c r="E4139">
        <v>0.59743819999999903</v>
      </c>
      <c r="F4139" t="s">
        <v>72</v>
      </c>
      <c r="G4139">
        <v>-197.65549999999999</v>
      </c>
      <c r="H4139" s="1">
        <v>-1.40368799999999E-5</v>
      </c>
      <c r="I4139">
        <v>155.87799999999999</v>
      </c>
      <c r="J4139">
        <v>-193.7646</v>
      </c>
      <c r="K4139">
        <v>1.1050629999999999</v>
      </c>
      <c r="L4139">
        <v>171.36879999999999</v>
      </c>
      <c r="M4139">
        <v>3.9440570000000001E-2</v>
      </c>
      <c r="N4139">
        <v>0</v>
      </c>
      <c r="O4139">
        <v>-0.99912819999999902</v>
      </c>
      <c r="P4139">
        <v>6.4628799999999998E-3</v>
      </c>
      <c r="Q4139">
        <v>3.557709E-3</v>
      </c>
      <c r="R4139">
        <v>-0.99997309999999995</v>
      </c>
      <c r="S4139">
        <v>-0.74740600000000001</v>
      </c>
      <c r="T4139">
        <v>-0.2125679</v>
      </c>
      <c r="U4139">
        <v>-3.0053099999999899</v>
      </c>
      <c r="V4139">
        <v>3.2980549999999997E-2</v>
      </c>
      <c r="W4139">
        <v>1.7249980000000002E-2</v>
      </c>
      <c r="X4139">
        <v>0.9993071</v>
      </c>
      <c r="Y4139">
        <v>0.27887259999999903</v>
      </c>
      <c r="Z4139">
        <v>6.8040950000000003E-2</v>
      </c>
      <c r="AA4139">
        <v>0.95791469999999901</v>
      </c>
      <c r="AB4139">
        <v>23</v>
      </c>
      <c r="AC4139">
        <v>-3.8908999999999798</v>
      </c>
      <c r="AD4139">
        <v>-1.10507703687999</v>
      </c>
      <c r="AE4139">
        <v>-15.4908</v>
      </c>
      <c r="AF4139">
        <v>4.4774613681357502</v>
      </c>
      <c r="AG4139">
        <v>-1.10507703687999</v>
      </c>
      <c r="AH4139">
        <v>15.2522576402082</v>
      </c>
      <c r="AI4139">
        <v>93.976787691932302</v>
      </c>
      <c r="AJ4139">
        <v>73.639841274869397</v>
      </c>
      <c r="AK4139">
        <v>15.9342467247083</v>
      </c>
    </row>
    <row r="4140" spans="1:37" x14ac:dyDescent="0.2">
      <c r="A4140" t="str">
        <f>"20200111155631207"</f>
        <v>20200111155631207</v>
      </c>
      <c r="B4140" t="str">
        <f>"1578729391196849"</f>
        <v>1578729391196849</v>
      </c>
      <c r="C4140" t="s">
        <v>37</v>
      </c>
      <c r="D4140">
        <v>4.9646019999999904</v>
      </c>
      <c r="E4140">
        <v>0.59768840000000001</v>
      </c>
      <c r="F4140" t="s">
        <v>72</v>
      </c>
      <c r="G4140">
        <v>-197.69409999999999</v>
      </c>
      <c r="H4140" s="1">
        <v>-1.3934629999999901E-5</v>
      </c>
      <c r="I4140">
        <v>155.58600000000001</v>
      </c>
      <c r="J4140">
        <v>-193.7586</v>
      </c>
      <c r="K4140">
        <v>1.1050679999999999</v>
      </c>
      <c r="L4140">
        <v>171.22</v>
      </c>
      <c r="M4140">
        <v>3.9579629999999998E-2</v>
      </c>
      <c r="N4140">
        <v>0</v>
      </c>
      <c r="O4140">
        <v>-0.99912299999999998</v>
      </c>
      <c r="P4140">
        <v>6.3392869999999999E-3</v>
      </c>
      <c r="Q4140">
        <v>5.0646709999999998E-3</v>
      </c>
      <c r="R4140">
        <v>-0.99996749999999901</v>
      </c>
      <c r="S4140">
        <v>-0.74832149999999997</v>
      </c>
      <c r="T4140">
        <v>-0.21044930000000001</v>
      </c>
      <c r="U4140">
        <v>-3.0056609999999999</v>
      </c>
      <c r="V4140">
        <v>3.3242559999999997E-2</v>
      </c>
      <c r="W4140">
        <v>1.875464E-2</v>
      </c>
      <c r="X4140">
        <v>0.99927129999999997</v>
      </c>
      <c r="Y4140">
        <v>0.27926609999999902</v>
      </c>
      <c r="Z4140">
        <v>6.7351510000000003E-2</v>
      </c>
      <c r="AA4140">
        <v>0.95784879999999994</v>
      </c>
      <c r="AB4140">
        <v>23</v>
      </c>
      <c r="AC4140">
        <v>-3.93549999999999</v>
      </c>
      <c r="AD4140">
        <v>-1.10508193463</v>
      </c>
      <c r="AE4140">
        <v>-15.633999999999901</v>
      </c>
      <c r="AF4140">
        <v>4.5299769277321902</v>
      </c>
      <c r="AG4140">
        <v>-1.10508193463</v>
      </c>
      <c r="AH4140">
        <v>15.3936389355828</v>
      </c>
      <c r="AI4140">
        <v>93.939636177006506</v>
      </c>
      <c r="AJ4140">
        <v>73.602114794035202</v>
      </c>
      <c r="AK4140">
        <v>16.084340730260699</v>
      </c>
    </row>
    <row r="4141" spans="1:37" x14ac:dyDescent="0.2">
      <c r="A4141" t="str">
        <f>"20200111155631222"</f>
        <v>20200111155631222</v>
      </c>
      <c r="B4141" t="str">
        <f>"1578729391217345"</f>
        <v>1578729391217345</v>
      </c>
      <c r="C4141" t="s">
        <v>37</v>
      </c>
      <c r="D4141">
        <v>5.0484269999999896</v>
      </c>
      <c r="E4141">
        <v>0.59822299999999995</v>
      </c>
      <c r="F4141" t="s">
        <v>72</v>
      </c>
      <c r="G4141">
        <v>-197.74860000000001</v>
      </c>
      <c r="H4141" s="1">
        <v>-1.378944E-5</v>
      </c>
      <c r="I4141">
        <v>155.2362</v>
      </c>
      <c r="J4141">
        <v>-193.7527</v>
      </c>
      <c r="K4141">
        <v>1.1050709999999999</v>
      </c>
      <c r="L4141">
        <v>171.07499999999999</v>
      </c>
      <c r="M4141">
        <v>3.971475E-2</v>
      </c>
      <c r="N4141">
        <v>0</v>
      </c>
      <c r="O4141">
        <v>-0.99911749999999899</v>
      </c>
      <c r="P4141">
        <v>6.0825280000000002E-3</v>
      </c>
      <c r="Q4141">
        <v>5.46254599999999E-3</v>
      </c>
      <c r="R4141">
        <v>-0.99996689999999999</v>
      </c>
      <c r="S4141">
        <v>-0.75035099999999999</v>
      </c>
      <c r="T4141">
        <v>-0.2078199</v>
      </c>
      <c r="U4141">
        <v>-3.00589</v>
      </c>
      <c r="V4141">
        <v>3.3634190000000001E-2</v>
      </c>
      <c r="W4141">
        <v>1.9150819999999999E-2</v>
      </c>
      <c r="X4141">
        <v>0.99925069999999905</v>
      </c>
      <c r="Y4141">
        <v>0.28000159999999902</v>
      </c>
      <c r="Z4141">
        <v>6.6495869999999999E-2</v>
      </c>
      <c r="AA4141">
        <v>0.95769380000000004</v>
      </c>
      <c r="AB4141">
        <v>23</v>
      </c>
      <c r="AC4141">
        <v>-3.9958999999999998</v>
      </c>
      <c r="AD4141">
        <v>-1.10508478944</v>
      </c>
      <c r="AE4141">
        <v>-15.8387999999999</v>
      </c>
      <c r="AF4141">
        <v>4.6007834444645601</v>
      </c>
      <c r="AG4141">
        <v>-1.10508478944</v>
      </c>
      <c r="AH4141">
        <v>15.596212189284699</v>
      </c>
      <c r="AI4141">
        <v>93.887879518680407</v>
      </c>
      <c r="AJ4141">
        <v>73.564275866896196</v>
      </c>
      <c r="AK4141">
        <v>16.298167238923</v>
      </c>
    </row>
    <row r="4142" spans="1:37" x14ac:dyDescent="0.2">
      <c r="A4142" t="str">
        <f>"20200111155631233"</f>
        <v>20200111155631233</v>
      </c>
      <c r="B4142" t="str">
        <f>"1578729391227106"</f>
        <v>1578729391227106</v>
      </c>
      <c r="C4142" t="s">
        <v>37</v>
      </c>
      <c r="D4142">
        <v>4.9635350000000003</v>
      </c>
      <c r="E4142">
        <v>0.59848049999999997</v>
      </c>
      <c r="F4142" t="s">
        <v>72</v>
      </c>
      <c r="G4142">
        <v>-197.76060000000001</v>
      </c>
      <c r="H4142" s="1">
        <v>-1.374065E-5</v>
      </c>
      <c r="I4142">
        <v>155.12</v>
      </c>
      <c r="J4142">
        <v>-193.7475</v>
      </c>
      <c r="K4142">
        <v>1.1050759999999999</v>
      </c>
      <c r="L4142">
        <v>170.94640000000001</v>
      </c>
      <c r="M4142">
        <v>3.9834349999999998E-2</v>
      </c>
      <c r="N4142">
        <v>0</v>
      </c>
      <c r="O4142">
        <v>-0.99911269999999996</v>
      </c>
      <c r="P4142">
        <v>5.8503189999999997E-3</v>
      </c>
      <c r="Q4142">
        <v>5.6464509999999898E-3</v>
      </c>
      <c r="R4142">
        <v>-0.99996719999999895</v>
      </c>
      <c r="S4142">
        <v>-0.75505069999999996</v>
      </c>
      <c r="T4142">
        <v>-0.2081913</v>
      </c>
      <c r="U4142">
        <v>-3.0058289999999999</v>
      </c>
      <c r="V4142">
        <v>3.3985799999999997E-2</v>
      </c>
      <c r="W4142">
        <v>1.933294E-2</v>
      </c>
      <c r="X4142">
        <v>0.99923530000000005</v>
      </c>
      <c r="Y4142">
        <v>0.28152820000000001</v>
      </c>
      <c r="Z4142">
        <v>6.6587399999999894E-2</v>
      </c>
      <c r="AA4142">
        <v>0.95723979999999997</v>
      </c>
      <c r="AB4142">
        <v>23</v>
      </c>
      <c r="AC4142">
        <v>-4.0130999999999997</v>
      </c>
      <c r="AD4142">
        <v>-1.10508974065</v>
      </c>
      <c r="AE4142">
        <v>-15.8264</v>
      </c>
      <c r="AF4142">
        <v>4.6192463903770999</v>
      </c>
      <c r="AG4142">
        <v>-1.10508974065</v>
      </c>
      <c r="AH4142">
        <v>15.582577011236401</v>
      </c>
      <c r="AI4142">
        <v>93.889766518139098</v>
      </c>
      <c r="AJ4142">
        <v>73.488248054574598</v>
      </c>
      <c r="AK4142">
        <v>16.290345817723299</v>
      </c>
    </row>
    <row r="4143" spans="1:37" x14ac:dyDescent="0.2">
      <c r="A4143" t="str">
        <f>"20200111155631247"</f>
        <v>20200111155631247</v>
      </c>
      <c r="B4143" t="str">
        <f>"1578729391236866"</f>
        <v>1578729391236866</v>
      </c>
      <c r="C4143" t="s">
        <v>37</v>
      </c>
      <c r="D4143">
        <v>5.0082629999999897</v>
      </c>
      <c r="E4143">
        <v>0.59869300000000003</v>
      </c>
      <c r="F4143" t="s">
        <v>72</v>
      </c>
      <c r="G4143">
        <v>-197.76230000000001</v>
      </c>
      <c r="H4143" s="1">
        <v>-1.3695979999999999E-5</v>
      </c>
      <c r="I4143">
        <v>155.01560000000001</v>
      </c>
      <c r="J4143">
        <v>-193.74250000000001</v>
      </c>
      <c r="K4143">
        <v>1.1050770000000001</v>
      </c>
      <c r="L4143">
        <v>170.8235</v>
      </c>
      <c r="M4143">
        <v>3.9947870000000003E-2</v>
      </c>
      <c r="N4143">
        <v>0</v>
      </c>
      <c r="O4143">
        <v>-0.9991082</v>
      </c>
      <c r="P4143">
        <v>5.3769639999999997E-3</v>
      </c>
      <c r="Q4143">
        <v>5.676703E-3</v>
      </c>
      <c r="R4143">
        <v>-0.99996969999999996</v>
      </c>
      <c r="S4143">
        <v>-0.75747679999999995</v>
      </c>
      <c r="T4143">
        <v>-0.20849949999999901</v>
      </c>
      <c r="U4143">
        <v>-3.0057070000000001</v>
      </c>
      <c r="V4143">
        <v>3.4572440000000003E-2</v>
      </c>
      <c r="W4143">
        <v>1.936154E-2</v>
      </c>
      <c r="X4143">
        <v>0.99921459999999995</v>
      </c>
      <c r="Y4143">
        <v>0.2823715</v>
      </c>
      <c r="Z4143">
        <v>6.6672759999999998E-2</v>
      </c>
      <c r="AA4143">
        <v>0.95698539999999999</v>
      </c>
      <c r="AB4143">
        <v>23</v>
      </c>
      <c r="AC4143">
        <v>-4.0198</v>
      </c>
      <c r="AD4143">
        <v>-1.10509069598</v>
      </c>
      <c r="AE4143">
        <v>-15.807899999999901</v>
      </c>
      <c r="AF4143">
        <v>4.6269030557060704</v>
      </c>
      <c r="AG4143">
        <v>-1.10509069598</v>
      </c>
      <c r="AH4143">
        <v>15.5632428006355</v>
      </c>
      <c r="AI4143">
        <v>93.893676160515298</v>
      </c>
      <c r="AJ4143">
        <v>73.442952187318397</v>
      </c>
      <c r="AK4143">
        <v>16.274027891237498</v>
      </c>
    </row>
    <row r="4144" spans="1:37" x14ac:dyDescent="0.2">
      <c r="A4144" t="str">
        <f>"20200111155631263"</f>
        <v>20200111155631263</v>
      </c>
      <c r="B4144" t="str">
        <f>"1578729391257362"</f>
        <v>1578729391257362</v>
      </c>
      <c r="C4144" t="s">
        <v>37</v>
      </c>
      <c r="D4144">
        <v>4.997795</v>
      </c>
      <c r="E4144">
        <v>0.59916849999999999</v>
      </c>
      <c r="F4144" t="s">
        <v>72</v>
      </c>
      <c r="G4144">
        <v>-197.7422</v>
      </c>
      <c r="H4144" s="1">
        <v>-1.3693919999999999E-5</v>
      </c>
      <c r="I4144">
        <v>155.01490000000001</v>
      </c>
      <c r="J4144">
        <v>-193.73570000000001</v>
      </c>
      <c r="K4144">
        <v>1.1050850000000001</v>
      </c>
      <c r="L4144">
        <v>170.6584</v>
      </c>
      <c r="M4144">
        <v>4.0096640000000003E-2</v>
      </c>
      <c r="N4144">
        <v>0</v>
      </c>
      <c r="O4144">
        <v>-0.99910219999999905</v>
      </c>
      <c r="P4144">
        <v>4.3892640000000004E-3</v>
      </c>
      <c r="Q4144">
        <v>6.0846110000000002E-3</v>
      </c>
      <c r="R4144">
        <v>-0.99997199999999997</v>
      </c>
      <c r="S4144">
        <v>-0.76039119999999905</v>
      </c>
      <c r="T4144">
        <v>-0.2100891</v>
      </c>
      <c r="U4144">
        <v>-3.0053709999999998</v>
      </c>
      <c r="V4144">
        <v>3.5708240000000002E-2</v>
      </c>
      <c r="W4144">
        <v>1.976725E-2</v>
      </c>
      <c r="X4144">
        <v>0.99916669999999996</v>
      </c>
      <c r="Y4144">
        <v>0.28340369999999998</v>
      </c>
      <c r="Z4144">
        <v>6.7167050000000006E-2</v>
      </c>
      <c r="AA4144">
        <v>0.95664570000000004</v>
      </c>
      <c r="AB4144">
        <v>22</v>
      </c>
      <c r="AC4144">
        <v>-4.0064999999999804</v>
      </c>
      <c r="AD4144">
        <v>-1.10509869392</v>
      </c>
      <c r="AE4144">
        <v>-15.6434999999999</v>
      </c>
      <c r="AF4144">
        <v>4.6090029777723496</v>
      </c>
      <c r="AG4144">
        <v>-1.10509869392</v>
      </c>
      <c r="AH4144">
        <v>15.3981424614412</v>
      </c>
      <c r="AI4144">
        <v>93.933146742736497</v>
      </c>
      <c r="AJ4144">
        <v>73.336400824787404</v>
      </c>
      <c r="AK4144">
        <v>16.111081367656801</v>
      </c>
    </row>
    <row r="4145" spans="1:37" x14ac:dyDescent="0.2">
      <c r="A4145" t="str">
        <f>"20200111155631276"</f>
        <v>20200111155631276</v>
      </c>
      <c r="B4145" t="str">
        <f>"1578729391267121"</f>
        <v>1578729391267121</v>
      </c>
      <c r="C4145" t="s">
        <v>37</v>
      </c>
      <c r="D4145">
        <v>5.0063529999999998</v>
      </c>
      <c r="E4145">
        <v>0.59940490000000002</v>
      </c>
      <c r="F4145" t="s">
        <v>72</v>
      </c>
      <c r="G4145">
        <v>-197.7379</v>
      </c>
      <c r="H4145" s="1">
        <v>-1.36748E-5</v>
      </c>
      <c r="I4145">
        <v>154.97120000000001</v>
      </c>
      <c r="J4145">
        <v>-193.7302</v>
      </c>
      <c r="K4145">
        <v>1.105083</v>
      </c>
      <c r="L4145">
        <v>170.5239</v>
      </c>
      <c r="M4145">
        <v>4.0211919999999998E-2</v>
      </c>
      <c r="N4145">
        <v>0</v>
      </c>
      <c r="O4145">
        <v>-0.99909769999999898</v>
      </c>
      <c r="P4145">
        <v>3.508312E-3</v>
      </c>
      <c r="Q4145">
        <v>6.8511149999999996E-3</v>
      </c>
      <c r="R4145">
        <v>-0.99997060000000004</v>
      </c>
      <c r="S4145">
        <v>-0.766571</v>
      </c>
      <c r="T4145">
        <v>-0.21167150000000001</v>
      </c>
      <c r="U4145">
        <v>-3.0047299999999999</v>
      </c>
      <c r="V4145">
        <v>3.6703729999999997E-2</v>
      </c>
      <c r="W4145">
        <v>2.053147E-2</v>
      </c>
      <c r="X4145">
        <v>0.99911519999999998</v>
      </c>
      <c r="Y4145">
        <v>0.2854024</v>
      </c>
      <c r="Z4145">
        <v>6.7646659999999997E-2</v>
      </c>
      <c r="AA4145">
        <v>0.95601749999999996</v>
      </c>
      <c r="AB4145">
        <v>22</v>
      </c>
      <c r="AC4145">
        <v>-4.0076999999999998</v>
      </c>
      <c r="AD4145">
        <v>-1.1050966748</v>
      </c>
      <c r="AE4145">
        <v>-15.5526999999999</v>
      </c>
      <c r="AF4145">
        <v>4.6081034401606198</v>
      </c>
      <c r="AG4145">
        <v>-1.1050966748</v>
      </c>
      <c r="AH4145">
        <v>15.306478325107401</v>
      </c>
      <c r="AI4145">
        <v>93.9547363707144</v>
      </c>
      <c r="AJ4145">
        <v>73.245276033892694</v>
      </c>
      <c r="AK4145">
        <v>16.023237334972499</v>
      </c>
    </row>
    <row r="4146" spans="1:37" x14ac:dyDescent="0.2">
      <c r="A4146" t="str">
        <f>"20200111155631290"</f>
        <v>20200111155631290</v>
      </c>
      <c r="B4146" t="str">
        <f>"1578729391286642"</f>
        <v>1578729391286642</v>
      </c>
      <c r="C4146" t="s">
        <v>37</v>
      </c>
      <c r="D4146">
        <v>5.1487819999999997</v>
      </c>
      <c r="E4146">
        <v>0.59979150000000003</v>
      </c>
      <c r="F4146" t="s">
        <v>72</v>
      </c>
      <c r="G4146">
        <v>-197.77680000000001</v>
      </c>
      <c r="H4146" s="1">
        <v>-1.3584530000000001E-5</v>
      </c>
      <c r="I4146">
        <v>154.7527</v>
      </c>
      <c r="J4146">
        <v>-193.72479999999999</v>
      </c>
      <c r="K4146">
        <v>1.105078</v>
      </c>
      <c r="L4146">
        <v>170.3922</v>
      </c>
      <c r="M4146">
        <v>4.031179E-2</v>
      </c>
      <c r="N4146">
        <v>0</v>
      </c>
      <c r="O4146">
        <v>-0.99909369999999997</v>
      </c>
      <c r="P4146">
        <v>2.526674E-3</v>
      </c>
      <c r="Q4146">
        <v>7.8569290000000003E-3</v>
      </c>
      <c r="R4146">
        <v>-0.99996629999999997</v>
      </c>
      <c r="S4146">
        <v>-0.77084350000000001</v>
      </c>
      <c r="T4146">
        <v>-0.21051</v>
      </c>
      <c r="U4146">
        <v>-3.0042419999999899</v>
      </c>
      <c r="V4146">
        <v>3.7784489999999997E-2</v>
      </c>
      <c r="W4146">
        <v>2.153499E-2</v>
      </c>
      <c r="X4146">
        <v>0.99905379999999999</v>
      </c>
      <c r="Y4146">
        <v>0.2868175</v>
      </c>
      <c r="Z4146">
        <v>6.7261210000000002E-2</v>
      </c>
      <c r="AA4146">
        <v>0.955621099999999</v>
      </c>
      <c r="AB4146">
        <v>22</v>
      </c>
      <c r="AC4146">
        <v>-4.05200000000002</v>
      </c>
      <c r="AD4146">
        <v>-1.10509158453</v>
      </c>
      <c r="AE4146">
        <v>-15.6394999999999</v>
      </c>
      <c r="AF4146">
        <v>4.6574296212370898</v>
      </c>
      <c r="AG4146">
        <v>-1.10509158453</v>
      </c>
      <c r="AH4146">
        <v>15.391412998603901</v>
      </c>
      <c r="AI4146">
        <v>93.931289898088096</v>
      </c>
      <c r="AJ4146">
        <v>73.1642256830783</v>
      </c>
      <c r="AK4146">
        <v>16.118575376892601</v>
      </c>
    </row>
    <row r="4147" spans="1:37" x14ac:dyDescent="0.2">
      <c r="A4147" t="str">
        <f>"20200111155631303"</f>
        <v>20200111155631303</v>
      </c>
      <c r="B4147" t="str">
        <f>"1578729391297378"</f>
        <v>1578729391297378</v>
      </c>
      <c r="C4147" t="s">
        <v>37</v>
      </c>
      <c r="D4147">
        <v>4.9901499999999999</v>
      </c>
      <c r="E4147">
        <v>0.60001930000000003</v>
      </c>
      <c r="F4147" t="s">
        <v>72</v>
      </c>
      <c r="G4147">
        <v>-197.84530000000001</v>
      </c>
      <c r="H4147" s="1">
        <v>-1.3491639999999899E-5</v>
      </c>
      <c r="I4147">
        <v>154.4556</v>
      </c>
      <c r="J4147">
        <v>-193.7191</v>
      </c>
      <c r="K4147">
        <v>1.1050739999999999</v>
      </c>
      <c r="L4147">
        <v>170.25489999999999</v>
      </c>
      <c r="M4147">
        <v>4.0403559999999998E-2</v>
      </c>
      <c r="N4147">
        <v>0</v>
      </c>
      <c r="O4147">
        <v>-0.99908980000000003</v>
      </c>
      <c r="P4147">
        <v>1.1357030000000001E-3</v>
      </c>
      <c r="Q4147">
        <v>8.6864290000000007E-3</v>
      </c>
      <c r="R4147">
        <v>-0.99996160000000001</v>
      </c>
      <c r="S4147">
        <v>-0.77664180000000005</v>
      </c>
      <c r="T4147">
        <v>-0.2082869</v>
      </c>
      <c r="U4147">
        <v>-3.0037229999999999</v>
      </c>
      <c r="V4147">
        <v>3.9266479999999999E-2</v>
      </c>
      <c r="W4147">
        <v>2.2360669999999999E-2</v>
      </c>
      <c r="X4147">
        <v>0.99897860000000005</v>
      </c>
      <c r="Y4147">
        <v>0.28868699999999903</v>
      </c>
      <c r="Z4147">
        <v>6.653009E-2</v>
      </c>
      <c r="AA4147">
        <v>0.95510919999999899</v>
      </c>
      <c r="AB4147">
        <v>22</v>
      </c>
      <c r="AC4147">
        <v>-4.1262000000000096</v>
      </c>
      <c r="AD4147">
        <v>-1.10508749164</v>
      </c>
      <c r="AE4147">
        <v>-15.799299999999899</v>
      </c>
      <c r="AF4147">
        <v>4.7395308882857599</v>
      </c>
      <c r="AG4147">
        <v>-1.10508749164</v>
      </c>
      <c r="AH4147">
        <v>15.548456344690701</v>
      </c>
      <c r="AI4147">
        <v>93.889292584826606</v>
      </c>
      <c r="AJ4147">
        <v>73.047560071203307</v>
      </c>
      <c r="AK4147">
        <v>16.2922946851555</v>
      </c>
    </row>
    <row r="4148" spans="1:37" x14ac:dyDescent="0.2">
      <c r="A4148" t="str">
        <f>"20200111155631318"</f>
        <v>20200111155631318</v>
      </c>
      <c r="B4148" t="str">
        <f>"1578729391307138"</f>
        <v>1578729391307138</v>
      </c>
      <c r="C4148" t="s">
        <v>37</v>
      </c>
      <c r="D4148">
        <v>5.0022399999999996</v>
      </c>
      <c r="E4148">
        <v>0.60026499999999905</v>
      </c>
      <c r="F4148" t="s">
        <v>72</v>
      </c>
      <c r="G4148">
        <v>-197.90940000000001</v>
      </c>
      <c r="H4148" s="1">
        <v>-1.34260799999999E-5</v>
      </c>
      <c r="I4148">
        <v>154.17250000000001</v>
      </c>
      <c r="J4148">
        <v>-193.71299999999999</v>
      </c>
      <c r="K4148">
        <v>1.105065</v>
      </c>
      <c r="L4148">
        <v>170.10640000000001</v>
      </c>
      <c r="M4148">
        <v>4.0483970000000001E-2</v>
      </c>
      <c r="N4148">
        <v>0</v>
      </c>
      <c r="O4148">
        <v>-0.99908669999999999</v>
      </c>
      <c r="P4148">
        <v>-2.1191999999999899E-3</v>
      </c>
      <c r="Q4148">
        <v>9.4879219999999993E-3</v>
      </c>
      <c r="R4148">
        <v>-0.99995309999999904</v>
      </c>
      <c r="S4148">
        <v>-0.78237919999999905</v>
      </c>
      <c r="T4148">
        <v>-0.2063343</v>
      </c>
      <c r="U4148">
        <v>-3.0027919999999999</v>
      </c>
      <c r="V4148">
        <v>4.2599789999999998E-2</v>
      </c>
      <c r="W4148">
        <v>2.3157259999999999E-2</v>
      </c>
      <c r="X4148">
        <v>0.99882380000000004</v>
      </c>
      <c r="Y4148">
        <v>0.29055549999999902</v>
      </c>
      <c r="Z4148">
        <v>6.5894060000000004E-2</v>
      </c>
      <c r="AA4148">
        <v>0.95458659999999995</v>
      </c>
      <c r="AB4148">
        <v>22</v>
      </c>
      <c r="AC4148">
        <v>-4.1964000000000103</v>
      </c>
      <c r="AD4148">
        <v>-1.10507842608</v>
      </c>
      <c r="AE4148">
        <v>-15.9338999999999</v>
      </c>
      <c r="AF4148">
        <v>4.8164226900653304</v>
      </c>
      <c r="AG4148">
        <v>-1.10507842608</v>
      </c>
      <c r="AH4148">
        <v>15.6804017329474</v>
      </c>
      <c r="AI4148">
        <v>93.854117933946299</v>
      </c>
      <c r="AJ4148">
        <v>72.925034614990395</v>
      </c>
      <c r="AK4148">
        <v>16.4406242084595</v>
      </c>
    </row>
    <row r="4149" spans="1:37" x14ac:dyDescent="0.2">
      <c r="A4149" t="str">
        <f>"20200111155631333"</f>
        <v>20200111155631333</v>
      </c>
      <c r="B4149" t="str">
        <f>"1578729391326658"</f>
        <v>1578729391326658</v>
      </c>
      <c r="C4149" t="s">
        <v>37</v>
      </c>
      <c r="D4149">
        <v>5.0781400000000003</v>
      </c>
      <c r="E4149">
        <v>0.60057289999999997</v>
      </c>
      <c r="F4149" t="s">
        <v>72</v>
      </c>
      <c r="G4149">
        <v>-198.0257</v>
      </c>
      <c r="H4149" s="1">
        <v>-1.3347069999999999E-5</v>
      </c>
      <c r="I4149">
        <v>153.8175</v>
      </c>
      <c r="J4149">
        <v>-193.70699999999999</v>
      </c>
      <c r="K4149">
        <v>1.105029</v>
      </c>
      <c r="L4149">
        <v>169.9588</v>
      </c>
      <c r="M4149">
        <v>4.0514429999999997E-2</v>
      </c>
      <c r="N4149">
        <v>0</v>
      </c>
      <c r="O4149">
        <v>-0.99908549999999996</v>
      </c>
      <c r="P4149">
        <v>-3.6568239999999999E-3</v>
      </c>
      <c r="Q4149">
        <v>9.4246880000000005E-3</v>
      </c>
      <c r="R4149">
        <v>-0.99994919999999998</v>
      </c>
      <c r="S4149">
        <v>-0.79438779999999998</v>
      </c>
      <c r="T4149">
        <v>-0.2035545</v>
      </c>
      <c r="U4149">
        <v>-3.000397</v>
      </c>
      <c r="V4149">
        <v>4.4168449999999998E-2</v>
      </c>
      <c r="W4149">
        <v>2.308814E-2</v>
      </c>
      <c r="X4149">
        <v>0.99875720000000001</v>
      </c>
      <c r="Y4149">
        <v>0.29435739999999999</v>
      </c>
      <c r="Z4149">
        <v>6.4989069999999996E-2</v>
      </c>
      <c r="AA4149">
        <v>0.95348319999999998</v>
      </c>
      <c r="AB4149">
        <v>22</v>
      </c>
      <c r="AC4149">
        <v>-4.3186999999999998</v>
      </c>
      <c r="AD4149">
        <v>-1.1050423470699999</v>
      </c>
      <c r="AE4149">
        <v>-16.141300000000001</v>
      </c>
      <c r="AF4149">
        <v>4.9475308705967098</v>
      </c>
      <c r="AG4149">
        <v>-1.1050423470699999</v>
      </c>
      <c r="AH4149">
        <v>15.8835879495337</v>
      </c>
      <c r="AI4149">
        <v>93.800207858623395</v>
      </c>
      <c r="AJ4149">
        <v>72.698868421151701</v>
      </c>
      <c r="AK4149">
        <v>16.6729585393504</v>
      </c>
    </row>
    <row r="4150" spans="1:37" x14ac:dyDescent="0.2">
      <c r="A4150" t="str">
        <f>"20200111155631347"</f>
        <v>20200111155631347</v>
      </c>
      <c r="B4150" t="str">
        <f>"1578729391337394"</f>
        <v>1578729391337394</v>
      </c>
      <c r="C4150" t="s">
        <v>37</v>
      </c>
      <c r="D4150">
        <v>5.0194080000000003</v>
      </c>
      <c r="E4150">
        <v>0.60076649999999998</v>
      </c>
      <c r="F4150" t="s">
        <v>72</v>
      </c>
      <c r="G4150">
        <v>-198.0626</v>
      </c>
      <c r="H4150" s="1">
        <v>-1.3312149999999999E-5</v>
      </c>
      <c r="I4150">
        <v>153.66560000000001</v>
      </c>
      <c r="J4150">
        <v>-193.70160000000001</v>
      </c>
      <c r="K4150">
        <v>1.1049879999999901</v>
      </c>
      <c r="L4150">
        <v>169.8271</v>
      </c>
      <c r="M4150">
        <v>4.0501040000000002E-2</v>
      </c>
      <c r="N4150">
        <v>0</v>
      </c>
      <c r="O4150">
        <v>-0.99908609999999898</v>
      </c>
      <c r="P4150">
        <v>-5.0385730000000002E-3</v>
      </c>
      <c r="Q4150">
        <v>8.8110859999999992E-3</v>
      </c>
      <c r="R4150">
        <v>-0.99994859999999897</v>
      </c>
      <c r="S4150">
        <v>-0.80175779999999996</v>
      </c>
      <c r="T4150">
        <v>-0.20340899999999901</v>
      </c>
      <c r="U4150">
        <v>-2.9991460000000001</v>
      </c>
      <c r="V4150">
        <v>4.5537920000000003E-2</v>
      </c>
      <c r="W4150">
        <v>2.2467930000000001E-2</v>
      </c>
      <c r="X4150">
        <v>0.99870990000000004</v>
      </c>
      <c r="Y4150">
        <v>0.29663129999999999</v>
      </c>
      <c r="Z4150">
        <v>6.4925460000000004E-2</v>
      </c>
      <c r="AA4150">
        <v>0.95278259999999904</v>
      </c>
      <c r="AB4150">
        <v>22</v>
      </c>
      <c r="AC4150">
        <v>-4.36099999999999</v>
      </c>
      <c r="AD4150">
        <v>-1.10500131215</v>
      </c>
      <c r="AE4150">
        <v>-16.161499999999901</v>
      </c>
      <c r="AF4150">
        <v>4.9902945115088002</v>
      </c>
      <c r="AG4150">
        <v>-1.10500131215</v>
      </c>
      <c r="AH4150">
        <v>15.9023010228162</v>
      </c>
      <c r="AI4150">
        <v>93.793105870760797</v>
      </c>
      <c r="AJ4150">
        <v>72.5776426865161</v>
      </c>
      <c r="AK4150">
        <v>16.7035099614335</v>
      </c>
    </row>
    <row r="4151" spans="1:37" x14ac:dyDescent="0.2">
      <c r="A4151" t="str">
        <f>"20200111155631361"</f>
        <v>20200111155631361</v>
      </c>
      <c r="B4151" t="str">
        <f>"1578729391356914"</f>
        <v>1578729391356914</v>
      </c>
      <c r="C4151" t="s">
        <v>37</v>
      </c>
      <c r="D4151">
        <v>5.1834600000000002</v>
      </c>
      <c r="E4151">
        <v>0.60094479999999995</v>
      </c>
      <c r="F4151" t="s">
        <v>72</v>
      </c>
      <c r="G4151">
        <v>-198.08760000000001</v>
      </c>
      <c r="H4151" s="1">
        <v>-1.328635E-5</v>
      </c>
      <c r="I4151">
        <v>153.55430000000001</v>
      </c>
      <c r="J4151">
        <v>-193.69579999999999</v>
      </c>
      <c r="K4151">
        <v>1.1049309999999899</v>
      </c>
      <c r="L4151">
        <v>169.6824</v>
      </c>
      <c r="M4151">
        <v>4.0434930000000001E-2</v>
      </c>
      <c r="N4151">
        <v>0</v>
      </c>
      <c r="O4151">
        <v>-0.99908899999999901</v>
      </c>
      <c r="P4151">
        <v>-5.9029E-3</v>
      </c>
      <c r="Q4151">
        <v>8.3900929999999995E-3</v>
      </c>
      <c r="R4151">
        <v>-0.999947699999999</v>
      </c>
      <c r="S4151">
        <v>-0.80801389999999995</v>
      </c>
      <c r="T4151">
        <v>-0.2035708</v>
      </c>
      <c r="U4151">
        <v>-2.9978790000000002</v>
      </c>
      <c r="V4151">
        <v>4.6338459999999998E-2</v>
      </c>
      <c r="W4151">
        <v>2.2038410000000001E-2</v>
      </c>
      <c r="X4151">
        <v>0.99868269999999904</v>
      </c>
      <c r="Y4151">
        <v>0.29852190000000001</v>
      </c>
      <c r="Z4151">
        <v>6.4966769999999993E-2</v>
      </c>
      <c r="AA4151">
        <v>0.95218910000000001</v>
      </c>
      <c r="AB4151">
        <v>22</v>
      </c>
      <c r="AC4151">
        <v>-4.3918000000000097</v>
      </c>
      <c r="AD4151">
        <v>-1.1049442863500001</v>
      </c>
      <c r="AE4151">
        <v>-16.1280999999999</v>
      </c>
      <c r="AF4151">
        <v>5.01847780978256</v>
      </c>
      <c r="AG4151">
        <v>-1.1049442863500001</v>
      </c>
      <c r="AH4151">
        <v>15.8679710629286</v>
      </c>
      <c r="AI4151">
        <v>93.798426871184802</v>
      </c>
      <c r="AJ4151">
        <v>72.449679884357707</v>
      </c>
      <c r="AK4151">
        <v>16.6792843688558</v>
      </c>
    </row>
    <row r="4152" spans="1:37" x14ac:dyDescent="0.2">
      <c r="A4152" t="str">
        <f>"20200111155631375"</f>
        <v>20200111155631375</v>
      </c>
      <c r="B4152" t="str">
        <f>"1578729391366674"</f>
        <v>1578729391366674</v>
      </c>
      <c r="C4152" t="s">
        <v>37</v>
      </c>
      <c r="D4152">
        <v>5.0343530000000003</v>
      </c>
      <c r="E4152">
        <v>0.60108660000000003</v>
      </c>
      <c r="F4152" t="s">
        <v>72</v>
      </c>
      <c r="G4152">
        <v>-198.09639999999999</v>
      </c>
      <c r="H4152" s="1">
        <v>-1.3261800000000001E-5</v>
      </c>
      <c r="I4152">
        <v>153.45359999999999</v>
      </c>
      <c r="J4152">
        <v>-193.69</v>
      </c>
      <c r="K4152">
        <v>1.1048439999999999</v>
      </c>
      <c r="L4152">
        <v>169.535</v>
      </c>
      <c r="M4152">
        <v>4.0260560000000001E-2</v>
      </c>
      <c r="N4152">
        <v>0</v>
      </c>
      <c r="O4152">
        <v>-0.99909579999999998</v>
      </c>
      <c r="P4152">
        <v>-6.2501269999999899E-3</v>
      </c>
      <c r="Q4152">
        <v>7.0123069999999997E-3</v>
      </c>
      <c r="R4152">
        <v>-0.99995630000000002</v>
      </c>
      <c r="S4152">
        <v>-0.81269840000000004</v>
      </c>
      <c r="T4152">
        <v>-0.2040592</v>
      </c>
      <c r="U4152">
        <v>-2.9971009999999998</v>
      </c>
      <c r="V4152">
        <v>4.6515479999999998E-2</v>
      </c>
      <c r="W4152">
        <v>2.06497E-2</v>
      </c>
      <c r="X4152">
        <v>0.99870409999999898</v>
      </c>
      <c r="Y4152">
        <v>0.2998015</v>
      </c>
      <c r="Z4152">
        <v>6.5112500000000004E-2</v>
      </c>
      <c r="AA4152">
        <v>0.95177699999999998</v>
      </c>
      <c r="AB4152">
        <v>22</v>
      </c>
      <c r="AC4152">
        <v>-4.4063999999999899</v>
      </c>
      <c r="AD4152">
        <v>-1.1048572618000001</v>
      </c>
      <c r="AE4152">
        <v>-16.081399999999999</v>
      </c>
      <c r="AF4152">
        <v>5.0282562212332103</v>
      </c>
      <c r="AG4152">
        <v>-1.1048572618000001</v>
      </c>
      <c r="AH4152">
        <v>15.821472513443201</v>
      </c>
      <c r="AI4152">
        <v>93.807565430194202</v>
      </c>
      <c r="AJ4152">
        <v>72.369111007697697</v>
      </c>
      <c r="AK4152">
        <v>16.638000561634801</v>
      </c>
    </row>
    <row r="4153" spans="1:37" x14ac:dyDescent="0.2">
      <c r="A4153" t="str">
        <f>"20200111155631391"</f>
        <v>20200111155631391</v>
      </c>
      <c r="B4153" t="str">
        <f>"1578729391387169"</f>
        <v>1578729391387169</v>
      </c>
      <c r="C4153" t="s">
        <v>37</v>
      </c>
      <c r="D4153">
        <v>5.079294</v>
      </c>
      <c r="E4153">
        <v>0.60137640000000003</v>
      </c>
      <c r="F4153" t="s">
        <v>72</v>
      </c>
      <c r="G4153">
        <v>-198.0959</v>
      </c>
      <c r="H4153" s="1">
        <v>-1.323661E-5</v>
      </c>
      <c r="I4153">
        <v>153.3537</v>
      </c>
      <c r="J4153">
        <v>-193.68450000000001</v>
      </c>
      <c r="K4153">
        <v>1.104738</v>
      </c>
      <c r="L4153">
        <v>169.39320000000001</v>
      </c>
      <c r="M4153">
        <v>3.9964119999999999E-2</v>
      </c>
      <c r="N4153">
        <v>0</v>
      </c>
      <c r="O4153">
        <v>-0.99910789999999905</v>
      </c>
      <c r="P4153">
        <v>-6.6089119999999998E-3</v>
      </c>
      <c r="Q4153">
        <v>6.5944619999999997E-3</v>
      </c>
      <c r="R4153">
        <v>-0.99995669999999903</v>
      </c>
      <c r="S4153">
        <v>-0.81590269999999898</v>
      </c>
      <c r="T4153">
        <v>-0.20459920000000001</v>
      </c>
      <c r="U4153">
        <v>-2.9964750000000002</v>
      </c>
      <c r="V4153">
        <v>4.6582659999999998E-2</v>
      </c>
      <c r="W4153">
        <v>2.021968E-2</v>
      </c>
      <c r="X4153">
        <v>0.99870979999999998</v>
      </c>
      <c r="Y4153">
        <v>0.30051349999999999</v>
      </c>
      <c r="Z4153">
        <v>6.528188E-2</v>
      </c>
      <c r="AA4153">
        <v>0.95154079999999996</v>
      </c>
      <c r="AB4153">
        <v>22</v>
      </c>
      <c r="AC4153">
        <v>-4.41139999999998</v>
      </c>
      <c r="AD4153">
        <v>-1.1047512366100001</v>
      </c>
      <c r="AE4153">
        <v>-16.0395</v>
      </c>
      <c r="AF4153">
        <v>5.02676924019854</v>
      </c>
      <c r="AG4153">
        <v>-1.1047512366100001</v>
      </c>
      <c r="AH4153">
        <v>15.780770088201701</v>
      </c>
      <c r="AI4153">
        <v>93.816194184429307</v>
      </c>
      <c r="AJ4153">
        <v>72.331364899975895</v>
      </c>
      <c r="AK4153">
        <v>16.598842997801899</v>
      </c>
    </row>
    <row r="4154" spans="1:37" x14ac:dyDescent="0.2">
      <c r="A4154" t="str">
        <f>"20200111155631410"</f>
        <v>20200111155631410</v>
      </c>
      <c r="B4154" t="str">
        <f>"1578729391406692"</f>
        <v>1578729391406692</v>
      </c>
      <c r="C4154" t="s">
        <v>37</v>
      </c>
      <c r="D4154">
        <v>5.142722</v>
      </c>
      <c r="E4154">
        <v>0.60144399999999998</v>
      </c>
      <c r="F4154" t="s">
        <v>72</v>
      </c>
      <c r="G4154">
        <v>-198.09540000000001</v>
      </c>
      <c r="H4154" s="1">
        <v>-1.321609E-5</v>
      </c>
      <c r="I4154">
        <v>153.2723</v>
      </c>
      <c r="J4154">
        <v>-193.6772</v>
      </c>
      <c r="K4154">
        <v>1.1045529999999999</v>
      </c>
      <c r="L4154">
        <v>169.19759999999999</v>
      </c>
      <c r="M4154">
        <v>3.9349309999999998E-2</v>
      </c>
      <c r="N4154">
        <v>0</v>
      </c>
      <c r="O4154">
        <v>-0.99913200000000002</v>
      </c>
      <c r="P4154">
        <v>-8.020625E-3</v>
      </c>
      <c r="Q4154">
        <v>6.6505999999999996E-3</v>
      </c>
      <c r="R4154">
        <v>-0.99994590000000005</v>
      </c>
      <c r="S4154">
        <v>-0.81976319999999903</v>
      </c>
      <c r="T4154">
        <v>-0.20531649999999901</v>
      </c>
      <c r="U4154">
        <v>-2.996048</v>
      </c>
      <c r="V4154">
        <v>4.738742E-2</v>
      </c>
      <c r="W4154">
        <v>2.0253529999999999E-2</v>
      </c>
      <c r="X4154">
        <v>0.99867119999999998</v>
      </c>
      <c r="Y4154">
        <v>0.30109829999999999</v>
      </c>
      <c r="Z4154">
        <v>6.5504099999999996E-2</v>
      </c>
      <c r="AA4154">
        <v>0.95134069999999904</v>
      </c>
      <c r="AB4154">
        <v>22</v>
      </c>
      <c r="AC4154">
        <v>-4.4182000000000103</v>
      </c>
      <c r="AD4154">
        <v>-1.1045662160900001</v>
      </c>
      <c r="AE4154">
        <v>-15.925299999999901</v>
      </c>
      <c r="AF4154">
        <v>5.0190660560065297</v>
      </c>
      <c r="AG4154">
        <v>-1.1045662160900001</v>
      </c>
      <c r="AH4154">
        <v>15.669102305842401</v>
      </c>
      <c r="AI4154">
        <v>93.840693360139497</v>
      </c>
      <c r="AJ4154">
        <v>72.238899959672594</v>
      </c>
      <c r="AK4154">
        <v>16.4903565052803</v>
      </c>
    </row>
    <row r="4155" spans="1:37" x14ac:dyDescent="0.2">
      <c r="A4155" t="str">
        <f>"20200111155631426"</f>
        <v>20200111155631426</v>
      </c>
      <c r="B4155" t="str">
        <f>"1578729391417427"</f>
        <v>1578729391417427</v>
      </c>
      <c r="C4155" t="s">
        <v>37</v>
      </c>
      <c r="D4155">
        <v>5.1348019999999996</v>
      </c>
      <c r="E4155">
        <v>0.60145209999999905</v>
      </c>
      <c r="F4155" t="s">
        <v>72</v>
      </c>
      <c r="G4155">
        <v>-198.12119999999999</v>
      </c>
      <c r="H4155" s="1">
        <v>-1.3166199999999999E-5</v>
      </c>
      <c r="I4155">
        <v>153.06489999999999</v>
      </c>
      <c r="J4155">
        <v>-193.67189999999999</v>
      </c>
      <c r="K4155">
        <v>1.1043799999999999</v>
      </c>
      <c r="L4155">
        <v>169.047</v>
      </c>
      <c r="M4155">
        <v>3.8674020000000003E-2</v>
      </c>
      <c r="N4155">
        <v>0</v>
      </c>
      <c r="O4155">
        <v>-0.99915869999999996</v>
      </c>
      <c r="P4155">
        <v>-9.4873909999999995E-3</v>
      </c>
      <c r="Q4155">
        <v>6.8587880000000002E-3</v>
      </c>
      <c r="R4155">
        <v>-0.99993199999999904</v>
      </c>
      <c r="S4155">
        <v>-0.82498169999999904</v>
      </c>
      <c r="T4155">
        <v>-0.20505229999999899</v>
      </c>
      <c r="U4155">
        <v>-2.994888</v>
      </c>
      <c r="V4155">
        <v>4.8186420000000001E-2</v>
      </c>
      <c r="W4155">
        <v>2.044089E-2</v>
      </c>
      <c r="X4155">
        <v>0.99862919999999999</v>
      </c>
      <c r="Y4155">
        <v>0.30209049999999998</v>
      </c>
      <c r="Z4155">
        <v>6.5421880000000002E-2</v>
      </c>
      <c r="AA4155">
        <v>0.95103169999999904</v>
      </c>
      <c r="AB4155">
        <v>22</v>
      </c>
      <c r="AC4155">
        <v>-4.4492999999999903</v>
      </c>
      <c r="AD4155">
        <v>-1.1043931661999999</v>
      </c>
      <c r="AE4155">
        <v>-15.982100000000001</v>
      </c>
      <c r="AF4155">
        <v>5.0417771960153903</v>
      </c>
      <c r="AG4155">
        <v>-1.1043931661999999</v>
      </c>
      <c r="AH4155">
        <v>15.728351003207401</v>
      </c>
      <c r="AI4155">
        <v>93.825407798319006</v>
      </c>
      <c r="AJ4155">
        <v>72.226568104068605</v>
      </c>
      <c r="AK4155">
        <v>16.553556320014899</v>
      </c>
    </row>
    <row r="4156" spans="1:37" x14ac:dyDescent="0.2">
      <c r="A4156" t="str">
        <f>"20200111155631440"</f>
        <v>20200111155631440</v>
      </c>
      <c r="B4156" t="str">
        <f>"1578729391436947"</f>
        <v>1578729391436947</v>
      </c>
      <c r="C4156" t="s">
        <v>37</v>
      </c>
      <c r="D4156">
        <v>5.0917449999999898</v>
      </c>
      <c r="E4156">
        <v>0.60162530000000003</v>
      </c>
      <c r="F4156" t="s">
        <v>72</v>
      </c>
      <c r="G4156">
        <v>-198.13910000000001</v>
      </c>
      <c r="H4156" s="1">
        <v>-1.31332E-5</v>
      </c>
      <c r="I4156">
        <v>152.92750000000001</v>
      </c>
      <c r="J4156">
        <v>-193.6669</v>
      </c>
      <c r="K4156">
        <v>1.1041809999999901</v>
      </c>
      <c r="L4156">
        <v>168.8947</v>
      </c>
      <c r="M4156">
        <v>3.7815179999999997E-2</v>
      </c>
      <c r="N4156">
        <v>0</v>
      </c>
      <c r="O4156">
        <v>-0.9991911</v>
      </c>
      <c r="P4156">
        <v>-1.129542E-2</v>
      </c>
      <c r="Q4156">
        <v>6.9209419999999898E-3</v>
      </c>
      <c r="R4156">
        <v>-0.99991240000000003</v>
      </c>
      <c r="S4156">
        <v>-0.82965089999999997</v>
      </c>
      <c r="T4156">
        <v>-0.20511099999999999</v>
      </c>
      <c r="U4156">
        <v>-2.9937589999999998</v>
      </c>
      <c r="V4156">
        <v>4.9143880000000001E-2</v>
      </c>
      <c r="W4156">
        <v>2.0479979999999998E-2</v>
      </c>
      <c r="X4156">
        <v>0.99858169999999902</v>
      </c>
      <c r="Y4156">
        <v>0.30274059999999903</v>
      </c>
      <c r="Z4156">
        <v>6.5447320000000003E-2</v>
      </c>
      <c r="AA4156">
        <v>0.95082319999999998</v>
      </c>
      <c r="AB4156">
        <v>22</v>
      </c>
      <c r="AC4156">
        <v>-4.4722000000000097</v>
      </c>
      <c r="AD4156">
        <v>-1.10419413319999</v>
      </c>
      <c r="AE4156">
        <v>-15.967199999999901</v>
      </c>
      <c r="AF4156">
        <v>5.0504639862122502</v>
      </c>
      <c r="AG4156">
        <v>-1.10419413319999</v>
      </c>
      <c r="AH4156">
        <v>15.716949363198299</v>
      </c>
      <c r="AI4156">
        <v>93.826614951848995</v>
      </c>
      <c r="AJ4156">
        <v>72.185778574577299</v>
      </c>
      <c r="AK4156">
        <v>16.5453597254687</v>
      </c>
    </row>
    <row r="4157" spans="1:37" x14ac:dyDescent="0.2">
      <c r="A4157" t="str">
        <f>"20200111155631454"</f>
        <v>20200111155631454</v>
      </c>
      <c r="B4157" t="str">
        <f>"1578729391446705"</f>
        <v>1578729391446705</v>
      </c>
      <c r="C4157" t="s">
        <v>37</v>
      </c>
      <c r="D4157">
        <v>5.1090169999999997</v>
      </c>
      <c r="E4157">
        <v>0.60173149999999997</v>
      </c>
      <c r="F4157" t="s">
        <v>72</v>
      </c>
      <c r="G4157">
        <v>-198.15610000000001</v>
      </c>
      <c r="H4157" s="1">
        <v>-1.311211E-5</v>
      </c>
      <c r="I4157">
        <v>152.83760000000001</v>
      </c>
      <c r="J4157">
        <v>-193.6626</v>
      </c>
      <c r="K4157">
        <v>1.1039920000000001</v>
      </c>
      <c r="L4157">
        <v>168.75579999999999</v>
      </c>
      <c r="M4157">
        <v>3.6815399999999998E-2</v>
      </c>
      <c r="N4157">
        <v>0</v>
      </c>
      <c r="O4157">
        <v>-0.99922849999999996</v>
      </c>
      <c r="P4157">
        <v>-1.3481740000000001E-2</v>
      </c>
      <c r="Q4157">
        <v>7.2517950000000001E-3</v>
      </c>
      <c r="R4157">
        <v>-0.99988290000000002</v>
      </c>
      <c r="S4157">
        <v>-0.83657839999999895</v>
      </c>
      <c r="T4157">
        <v>-0.205766799999999</v>
      </c>
      <c r="U4157">
        <v>-2.9922330000000001</v>
      </c>
      <c r="V4157">
        <v>5.0338769999999998E-2</v>
      </c>
      <c r="W4157">
        <v>2.078843E-2</v>
      </c>
      <c r="X4157">
        <v>0.99851579999999995</v>
      </c>
      <c r="Y4157">
        <v>0.30395100000000003</v>
      </c>
      <c r="Z4157">
        <v>6.5658640000000004E-2</v>
      </c>
      <c r="AA4157">
        <v>0.9504224</v>
      </c>
      <c r="AB4157">
        <v>22</v>
      </c>
      <c r="AC4157">
        <v>-4.4935000000000098</v>
      </c>
      <c r="AD4157">
        <v>-1.1040051121100001</v>
      </c>
      <c r="AE4157">
        <v>-15.918199999999899</v>
      </c>
      <c r="AF4157">
        <v>5.0540267614527403</v>
      </c>
      <c r="AG4157">
        <v>-1.1040051121100001</v>
      </c>
      <c r="AH4157">
        <v>15.6721404456869</v>
      </c>
      <c r="AI4157">
        <v>93.835589583331199</v>
      </c>
      <c r="AJ4157">
        <v>72.126278532320796</v>
      </c>
      <c r="AK4157">
        <v>16.5038783303313</v>
      </c>
    </row>
    <row r="4158" spans="1:37" x14ac:dyDescent="0.2">
      <c r="A4158" t="str">
        <f>"20200111155631468"</f>
        <v>20200111155631468</v>
      </c>
      <c r="B4158" t="str">
        <f>"1578729391456467"</f>
        <v>1578729391456467</v>
      </c>
      <c r="C4158" t="s">
        <v>37</v>
      </c>
      <c r="D4158">
        <v>5.1285860000000003</v>
      </c>
      <c r="E4158">
        <v>0.60179519999999997</v>
      </c>
      <c r="F4158" t="s">
        <v>72</v>
      </c>
      <c r="G4158">
        <v>-198.2176</v>
      </c>
      <c r="H4158" s="1">
        <v>-1.306275E-5</v>
      </c>
      <c r="I4158">
        <v>152.6198</v>
      </c>
      <c r="J4158">
        <v>-193.65880000000001</v>
      </c>
      <c r="K4158">
        <v>1.103809</v>
      </c>
      <c r="L4158">
        <v>168.6216</v>
      </c>
      <c r="M4158">
        <v>3.5684819999999999E-2</v>
      </c>
      <c r="N4158">
        <v>0</v>
      </c>
      <c r="O4158">
        <v>-0.99926959999999998</v>
      </c>
      <c r="P4158">
        <v>-1.466541E-2</v>
      </c>
      <c r="Q4158">
        <v>7.0979889999999999E-3</v>
      </c>
      <c r="R4158">
        <v>-0.99986749999999902</v>
      </c>
      <c r="S4158">
        <v>-0.84416199999999997</v>
      </c>
      <c r="T4158">
        <v>-0.20460339999999999</v>
      </c>
      <c r="U4158">
        <v>-2.9904630000000001</v>
      </c>
      <c r="V4158">
        <v>5.0399970000000002E-2</v>
      </c>
      <c r="W4158">
        <v>2.0616800000000001E-2</v>
      </c>
      <c r="X4158">
        <v>0.99851630000000002</v>
      </c>
      <c r="Y4158">
        <v>0.30525920000000001</v>
      </c>
      <c r="Z4158">
        <v>6.5294389999999994E-2</v>
      </c>
      <c r="AA4158">
        <v>0.95002809999999904</v>
      </c>
      <c r="AB4158">
        <v>22</v>
      </c>
      <c r="AC4158">
        <v>-4.55879999999999</v>
      </c>
      <c r="AD4158">
        <v>-1.1038220627499999</v>
      </c>
      <c r="AE4158">
        <v>-16.001799999999999</v>
      </c>
      <c r="AF4158">
        <v>5.1045048086764604</v>
      </c>
      <c r="AG4158">
        <v>-1.1038220627499999</v>
      </c>
      <c r="AH4158">
        <v>15.759550712094599</v>
      </c>
      <c r="AI4158">
        <v>93.812174466260899</v>
      </c>
      <c r="AJ4158">
        <v>72.0529060638045</v>
      </c>
      <c r="AK4158">
        <v>16.602344145785398</v>
      </c>
    </row>
    <row r="4159" spans="1:37" x14ac:dyDescent="0.2">
      <c r="A4159" t="str">
        <f>"20200111155631487"</f>
        <v>20200111155631487</v>
      </c>
      <c r="B4159" t="str">
        <f>"1578729391476962"</f>
        <v>1578729391476962</v>
      </c>
      <c r="C4159" t="s">
        <v>37</v>
      </c>
      <c r="D4159">
        <v>5.1853369999999996</v>
      </c>
      <c r="E4159">
        <v>0.60189740000000003</v>
      </c>
      <c r="F4159" t="s">
        <v>72</v>
      </c>
      <c r="G4159">
        <v>-198.2261</v>
      </c>
      <c r="H4159" s="1">
        <v>-1.3039829999999901E-5</v>
      </c>
      <c r="I4159">
        <v>152.5257</v>
      </c>
      <c r="J4159">
        <v>-193.654</v>
      </c>
      <c r="K4159">
        <v>1.103559</v>
      </c>
      <c r="L4159">
        <v>168.43360000000001</v>
      </c>
      <c r="M4159">
        <v>3.3853870000000001E-2</v>
      </c>
      <c r="N4159">
        <v>0</v>
      </c>
      <c r="O4159">
        <v>-0.99933329999999998</v>
      </c>
      <c r="P4159">
        <v>-1.492334E-2</v>
      </c>
      <c r="Q4159">
        <v>5.9575419999999997E-3</v>
      </c>
      <c r="R4159">
        <v>-0.99987109999999901</v>
      </c>
      <c r="S4159">
        <v>-0.84826659999999898</v>
      </c>
      <c r="T4159">
        <v>-0.2050072</v>
      </c>
      <c r="U4159">
        <v>-2.9894099999999999</v>
      </c>
      <c r="V4159">
        <v>4.8836280000000003E-2</v>
      </c>
      <c r="W4159">
        <v>1.9461180000000002E-2</v>
      </c>
      <c r="X4159">
        <v>0.99861719999999898</v>
      </c>
      <c r="Y4159">
        <v>0.30480740000000001</v>
      </c>
      <c r="Z4159">
        <v>6.5444089999999996E-2</v>
      </c>
      <c r="AA4159">
        <v>0.95016290000000003</v>
      </c>
      <c r="AB4159">
        <v>22</v>
      </c>
      <c r="AC4159">
        <v>-4.5720999999999696</v>
      </c>
      <c r="AD4159">
        <v>-1.10357203983</v>
      </c>
      <c r="AE4159">
        <v>-15.9079</v>
      </c>
      <c r="AF4159">
        <v>5.0854663932042996</v>
      </c>
      <c r="AG4159">
        <v>-1.10357203983</v>
      </c>
      <c r="AH4159">
        <v>15.674304314298899</v>
      </c>
      <c r="AI4159">
        <v>93.831367253558795</v>
      </c>
      <c r="AJ4159">
        <v>72.024549004920004</v>
      </c>
      <c r="AK4159">
        <v>16.5155579809086</v>
      </c>
    </row>
    <row r="4160" spans="1:37" x14ac:dyDescent="0.2">
      <c r="A4160" t="str">
        <f>"20200111155631501"</f>
        <v>20200111155631501</v>
      </c>
      <c r="B4160" t="str">
        <f>"1578729391496481"</f>
        <v>1578729391496481</v>
      </c>
      <c r="C4160" t="s">
        <v>37</v>
      </c>
      <c r="D4160">
        <v>5.1767849999999997</v>
      </c>
      <c r="E4160">
        <v>0.60190369999999904</v>
      </c>
      <c r="F4160" t="s">
        <v>72</v>
      </c>
      <c r="G4160">
        <v>-198.1386</v>
      </c>
      <c r="H4160" s="1">
        <v>-1.3067780000000001E-5</v>
      </c>
      <c r="I4160">
        <v>152.66759999999999</v>
      </c>
      <c r="J4160">
        <v>-193.6508</v>
      </c>
      <c r="K4160">
        <v>1.103389</v>
      </c>
      <c r="L4160">
        <v>168.29169999999999</v>
      </c>
      <c r="M4160">
        <v>3.2290350000000002E-2</v>
      </c>
      <c r="N4160">
        <v>0</v>
      </c>
      <c r="O4160">
        <v>-0.99938470000000001</v>
      </c>
      <c r="P4160">
        <v>-1.520174E-2</v>
      </c>
      <c r="Q4160">
        <v>5.0087609999999996E-3</v>
      </c>
      <c r="R4160">
        <v>-0.99987209999999904</v>
      </c>
      <c r="S4160">
        <v>-0.85020450000000003</v>
      </c>
      <c r="T4160">
        <v>-0.20921809999999999</v>
      </c>
      <c r="U4160">
        <v>-2.988953</v>
      </c>
      <c r="V4160">
        <v>4.7556309999999997E-2</v>
      </c>
      <c r="W4160">
        <v>1.8503869999999999E-2</v>
      </c>
      <c r="X4160">
        <v>0.99869719999999995</v>
      </c>
      <c r="Y4160">
        <v>0.30390109999999998</v>
      </c>
      <c r="Z4160">
        <v>6.6801349999999995E-2</v>
      </c>
      <c r="AA4160">
        <v>0.9503587</v>
      </c>
      <c r="AB4160">
        <v>22</v>
      </c>
      <c r="AC4160">
        <v>-4.4877999999999902</v>
      </c>
      <c r="AD4160">
        <v>-1.1034020677800001</v>
      </c>
      <c r="AE4160">
        <v>-15.6241</v>
      </c>
      <c r="AF4160">
        <v>4.9671291575894401</v>
      </c>
      <c r="AG4160">
        <v>-1.1034020677800001</v>
      </c>
      <c r="AH4160">
        <v>15.400071776300299</v>
      </c>
      <c r="AI4160">
        <v>93.900956770389598</v>
      </c>
      <c r="AJ4160">
        <v>72.123446410694896</v>
      </c>
      <c r="AK4160">
        <v>16.218880322221899</v>
      </c>
    </row>
    <row r="4161" spans="1:37" x14ac:dyDescent="0.2">
      <c r="A4161" t="str">
        <f>"20200111155631515"</f>
        <v>20200111155631515</v>
      </c>
      <c r="B4161" t="str">
        <f>"1578729391507219"</f>
        <v>1578729391507219</v>
      </c>
      <c r="C4161" t="s">
        <v>37</v>
      </c>
      <c r="D4161">
        <v>5.2967909999999998</v>
      </c>
      <c r="E4161">
        <v>0.60191090000000003</v>
      </c>
      <c r="F4161" t="s">
        <v>72</v>
      </c>
      <c r="G4161">
        <v>-198.0359</v>
      </c>
      <c r="H4161" s="1">
        <v>-1.3114639999999999E-5</v>
      </c>
      <c r="I4161">
        <v>152.89009999999999</v>
      </c>
      <c r="J4161">
        <v>-193.648</v>
      </c>
      <c r="K4161">
        <v>1.1032360000000001</v>
      </c>
      <c r="L4161">
        <v>168.14830000000001</v>
      </c>
      <c r="M4161">
        <v>3.0527439999999999E-2</v>
      </c>
      <c r="N4161">
        <v>0</v>
      </c>
      <c r="O4161">
        <v>-0.99944009999999905</v>
      </c>
      <c r="P4161">
        <v>-1.6102700000000001E-2</v>
      </c>
      <c r="Q4161">
        <v>4.582015E-3</v>
      </c>
      <c r="R4161">
        <v>-0.99985999999999997</v>
      </c>
      <c r="S4161">
        <v>-0.85089110000000001</v>
      </c>
      <c r="T4161">
        <v>-0.214105499999999</v>
      </c>
      <c r="U4161">
        <v>-2.9885410000000001</v>
      </c>
      <c r="V4161">
        <v>4.6699560000000001E-2</v>
      </c>
      <c r="W4161">
        <v>1.806907E-2</v>
      </c>
      <c r="X4161">
        <v>0.99874560000000001</v>
      </c>
      <c r="Y4161">
        <v>0.30242779999999903</v>
      </c>
      <c r="Z4161">
        <v>6.8383440000000004E-2</v>
      </c>
      <c r="AA4161">
        <v>0.95071609999999995</v>
      </c>
      <c r="AB4161">
        <v>22</v>
      </c>
      <c r="AC4161">
        <v>-4.3879000000000001</v>
      </c>
      <c r="AD4161">
        <v>-1.1032491146400001</v>
      </c>
      <c r="AE4161">
        <v>-15.2582</v>
      </c>
      <c r="AF4161">
        <v>4.8283771197837204</v>
      </c>
      <c r="AG4161">
        <v>-1.1032491146400001</v>
      </c>
      <c r="AH4161">
        <v>15.044477722722</v>
      </c>
      <c r="AI4161">
        <v>93.994169849605498</v>
      </c>
      <c r="AJ4161">
        <v>72.206478036181693</v>
      </c>
      <c r="AK4161">
        <v>15.8387718642982</v>
      </c>
    </row>
    <row r="4162" spans="1:37" x14ac:dyDescent="0.2">
      <c r="A4162" t="str">
        <f>"20200111155631528"</f>
        <v>20200111155631528</v>
      </c>
      <c r="B4162" t="str">
        <f>"1578729391516977"</f>
        <v>1578729391516977</v>
      </c>
      <c r="C4162" t="s">
        <v>37</v>
      </c>
      <c r="D4162">
        <v>5.16038</v>
      </c>
      <c r="E4162">
        <v>0.60195659999999995</v>
      </c>
      <c r="F4162" t="s">
        <v>72</v>
      </c>
      <c r="G4162">
        <v>-197.99789999999999</v>
      </c>
      <c r="H4162" s="1">
        <v>-1.311904E-5</v>
      </c>
      <c r="I4162">
        <v>152.92099999999999</v>
      </c>
      <c r="J4162">
        <v>-193.64599999999999</v>
      </c>
      <c r="K4162">
        <v>1.1031219999999999</v>
      </c>
      <c r="L4162">
        <v>168.02170000000001</v>
      </c>
      <c r="M4162">
        <v>2.884569E-2</v>
      </c>
      <c r="N4162">
        <v>0</v>
      </c>
      <c r="O4162">
        <v>-0.99948979999999998</v>
      </c>
      <c r="P4162">
        <v>-1.699517E-2</v>
      </c>
      <c r="Q4162">
        <v>4.0811770000000001E-3</v>
      </c>
      <c r="R4162">
        <v>-0.99984740000000005</v>
      </c>
      <c r="S4162">
        <v>-0.85346979999999995</v>
      </c>
      <c r="T4162">
        <v>-0.21646309999999999</v>
      </c>
      <c r="U4162">
        <v>-2.98767099999999</v>
      </c>
      <c r="V4162">
        <v>4.591319E-2</v>
      </c>
      <c r="W4162">
        <v>1.756417E-2</v>
      </c>
      <c r="X4162">
        <v>0.99879099999999998</v>
      </c>
      <c r="Y4162">
        <v>0.3016413</v>
      </c>
      <c r="Z4162">
        <v>6.9158109999999995E-2</v>
      </c>
      <c r="AA4162">
        <v>0.95090989999999997</v>
      </c>
      <c r="AB4162">
        <v>22</v>
      </c>
      <c r="AC4162">
        <v>-4.3518999999999997</v>
      </c>
      <c r="AD4162">
        <v>-1.1031351190399901</v>
      </c>
      <c r="AE4162">
        <v>-15.1007</v>
      </c>
      <c r="AF4162">
        <v>4.7622545400495602</v>
      </c>
      <c r="AG4162">
        <v>-1.1031351190399901</v>
      </c>
      <c r="AH4162">
        <v>14.895474565071501</v>
      </c>
      <c r="AI4162">
        <v>94.035013096528999</v>
      </c>
      <c r="AJ4162">
        <v>72.270323953199096</v>
      </c>
      <c r="AK4162">
        <v>15.6770895868389</v>
      </c>
    </row>
    <row r="4163" spans="1:37" x14ac:dyDescent="0.2">
      <c r="A4163" t="str">
        <f>"20200111155631543"</f>
        <v>20200111155631543</v>
      </c>
      <c r="B4163" t="str">
        <f>"1578729391537475"</f>
        <v>1578729391537475</v>
      </c>
      <c r="C4163" t="s">
        <v>37</v>
      </c>
      <c r="D4163">
        <v>5.1667949999999996</v>
      </c>
      <c r="E4163">
        <v>0.60213570000000005</v>
      </c>
      <c r="F4163" t="s">
        <v>72</v>
      </c>
      <c r="G4163">
        <v>-197.94069999999999</v>
      </c>
      <c r="H4163" s="1">
        <v>-1.314335E-5</v>
      </c>
      <c r="I4163">
        <v>153.0378</v>
      </c>
      <c r="J4163">
        <v>-193.6439</v>
      </c>
      <c r="K4163">
        <v>1.1029929999999999</v>
      </c>
      <c r="L4163">
        <v>167.87700000000001</v>
      </c>
      <c r="M4163">
        <v>2.6834569999999999E-2</v>
      </c>
      <c r="N4163">
        <v>0</v>
      </c>
      <c r="O4163">
        <v>-0.99954589999999999</v>
      </c>
      <c r="P4163">
        <v>-1.8617809999999999E-2</v>
      </c>
      <c r="Q4163">
        <v>4.0467419999999999E-3</v>
      </c>
      <c r="R4163">
        <v>-0.9998186</v>
      </c>
      <c r="S4163">
        <v>-0.85607909999999898</v>
      </c>
      <c r="T4163">
        <v>-0.21989259999999999</v>
      </c>
      <c r="U4163">
        <v>-2.9868009999999998</v>
      </c>
      <c r="V4163">
        <v>4.5529210000000001E-2</v>
      </c>
      <c r="W4163">
        <v>1.7524129999999999E-2</v>
      </c>
      <c r="X4163">
        <v>0.99880930000000001</v>
      </c>
      <c r="Y4163">
        <v>0.3005427</v>
      </c>
      <c r="Z4163">
        <v>7.0278049999999995E-2</v>
      </c>
      <c r="AA4163">
        <v>0.95117559999999901</v>
      </c>
      <c r="AB4163">
        <v>22</v>
      </c>
      <c r="AC4163">
        <v>-4.2967999999999904</v>
      </c>
      <c r="AD4163">
        <v>-1.10300614335</v>
      </c>
      <c r="AE4163">
        <v>-14.8392</v>
      </c>
      <c r="AF4163">
        <v>4.6696890007622596</v>
      </c>
      <c r="AG4163">
        <v>-1.10300614335</v>
      </c>
      <c r="AH4163">
        <v>14.643892461632699</v>
      </c>
      <c r="AI4163">
        <v>94.104603371457003</v>
      </c>
      <c r="AJ4163">
        <v>72.313399503633505</v>
      </c>
      <c r="AK4163">
        <v>15.4099384925434</v>
      </c>
    </row>
    <row r="4164" spans="1:37" x14ac:dyDescent="0.2">
      <c r="A4164" t="str">
        <f>"20200111155631557"</f>
        <v>20200111155631557</v>
      </c>
      <c r="B4164" t="str">
        <f>"1578729391546484"</f>
        <v>1578729391546484</v>
      </c>
      <c r="C4164" t="s">
        <v>37</v>
      </c>
      <c r="D4164">
        <v>5.1204150000000004</v>
      </c>
      <c r="E4164">
        <v>0.60220869999999904</v>
      </c>
      <c r="F4164" t="s">
        <v>72</v>
      </c>
      <c r="G4164">
        <v>-197.84979999999999</v>
      </c>
      <c r="H4164" s="1">
        <v>-1.3199489999999901E-5</v>
      </c>
      <c r="I4164">
        <v>153.2929</v>
      </c>
      <c r="J4164">
        <v>-193.64230000000001</v>
      </c>
      <c r="K4164">
        <v>1.1028910000000001</v>
      </c>
      <c r="L4164">
        <v>167.73339999999999</v>
      </c>
      <c r="M4164">
        <v>2.4733290000000002E-2</v>
      </c>
      <c r="N4164">
        <v>0</v>
      </c>
      <c r="O4164">
        <v>-0.99960000000000004</v>
      </c>
      <c r="P4164">
        <v>-2.1049229999999999E-2</v>
      </c>
      <c r="Q4164">
        <v>4.0027869999999998E-3</v>
      </c>
      <c r="R4164">
        <v>-0.99977059999999995</v>
      </c>
      <c r="S4164">
        <v>-0.86096189999999995</v>
      </c>
      <c r="T4164">
        <v>-0.2257902</v>
      </c>
      <c r="U4164">
        <v>-2.98542799999999</v>
      </c>
      <c r="V4164">
        <v>4.5862510000000002E-2</v>
      </c>
      <c r="W4164">
        <v>1.7472640000000001E-2</v>
      </c>
      <c r="X4164">
        <v>0.99879490000000004</v>
      </c>
      <c r="Y4164">
        <v>0.30005329999999902</v>
      </c>
      <c r="Z4164">
        <v>7.2180320000000006E-2</v>
      </c>
      <c r="AA4164">
        <v>0.95118769999999997</v>
      </c>
      <c r="AB4164">
        <v>22</v>
      </c>
      <c r="AC4164">
        <v>-4.20749999999998</v>
      </c>
      <c r="AD4164">
        <v>-1.10290419949</v>
      </c>
      <c r="AE4164">
        <v>-14.440499999999901</v>
      </c>
      <c r="AF4164">
        <v>4.5390020206186001</v>
      </c>
      <c r="AG4164">
        <v>-1.10290419949</v>
      </c>
      <c r="AH4164">
        <v>14.2553583974499</v>
      </c>
      <c r="AI4164">
        <v>94.216268037118994</v>
      </c>
      <c r="AJ4164">
        <v>72.338174845747105</v>
      </c>
      <c r="AK4164">
        <v>15.001139291939699</v>
      </c>
    </row>
    <row r="4165" spans="1:37" x14ac:dyDescent="0.2">
      <c r="A4165" t="str">
        <f>"20200111155631572"</f>
        <v>20200111155631572</v>
      </c>
      <c r="B4165" t="str">
        <f>"1578729391566981"</f>
        <v>1578729391566981</v>
      </c>
      <c r="C4165" t="s">
        <v>37</v>
      </c>
      <c r="D4165">
        <v>5.1688369999999999</v>
      </c>
      <c r="E4165">
        <v>0.60238319999999901</v>
      </c>
      <c r="F4165" t="s">
        <v>72</v>
      </c>
      <c r="G4165">
        <v>-197.82419999999999</v>
      </c>
      <c r="H4165" s="1">
        <v>-1.3214509999999999E-5</v>
      </c>
      <c r="I4165">
        <v>153.36160000000001</v>
      </c>
      <c r="J4165">
        <v>-193.64109999999999</v>
      </c>
      <c r="K4165">
        <v>1.1028199999999999</v>
      </c>
      <c r="L4165">
        <v>167.584</v>
      </c>
      <c r="M4165">
        <v>2.2440290000000002E-2</v>
      </c>
      <c r="N4165">
        <v>0</v>
      </c>
      <c r="O4165">
        <v>-0.99965409999999899</v>
      </c>
      <c r="P4165">
        <v>-2.3923940000000001E-2</v>
      </c>
      <c r="Q4165">
        <v>3.9928050000000003E-3</v>
      </c>
      <c r="R4165">
        <v>-0.99970599999999998</v>
      </c>
      <c r="S4165">
        <v>-0.86808779999999997</v>
      </c>
      <c r="T4165">
        <v>-0.22894249999999999</v>
      </c>
      <c r="U4165">
        <v>-2.9833069999999999</v>
      </c>
      <c r="V4165">
        <v>4.6446660000000001E-2</v>
      </c>
      <c r="W4165">
        <v>1.7455470000000001E-2</v>
      </c>
      <c r="X4165">
        <v>0.99876830000000005</v>
      </c>
      <c r="Y4165">
        <v>0.30012080000000002</v>
      </c>
      <c r="Z4165">
        <v>7.3213730000000005E-2</v>
      </c>
      <c r="AA4165">
        <v>0.95108740000000003</v>
      </c>
      <c r="AB4165">
        <v>22</v>
      </c>
      <c r="AC4165">
        <v>-4.1830999999999898</v>
      </c>
      <c r="AD4165">
        <v>-1.1028332145099999</v>
      </c>
      <c r="AE4165">
        <v>-14.222399999999899</v>
      </c>
      <c r="AF4165">
        <v>4.4764583884074698</v>
      </c>
      <c r="AG4165">
        <v>-1.1028332145099999</v>
      </c>
      <c r="AH4165">
        <v>14.047201487856899</v>
      </c>
      <c r="AI4165">
        <v>94.277913939574205</v>
      </c>
      <c r="AJ4165">
        <v>72.324344170465494</v>
      </c>
      <c r="AK4165">
        <v>14.784410385355899</v>
      </c>
    </row>
    <row r="4166" spans="1:37" x14ac:dyDescent="0.2">
      <c r="A4166" t="str">
        <f>"20200111155631587"</f>
        <v>20200111155631587</v>
      </c>
      <c r="B4166" t="str">
        <f>"1578729391576739"</f>
        <v>1578729391576739</v>
      </c>
      <c r="C4166" t="s">
        <v>37</v>
      </c>
      <c r="D4166">
        <v>5.2270560000000001</v>
      </c>
      <c r="E4166">
        <v>0.60242949999999995</v>
      </c>
      <c r="F4166" t="s">
        <v>72</v>
      </c>
      <c r="G4166">
        <v>-197.81809999999999</v>
      </c>
      <c r="H4166" s="1">
        <v>-1.3222279999999901E-5</v>
      </c>
      <c r="I4166">
        <v>153.3947</v>
      </c>
      <c r="J4166">
        <v>-193.6403</v>
      </c>
      <c r="K4166">
        <v>1.102751</v>
      </c>
      <c r="L4166">
        <v>167.4383</v>
      </c>
      <c r="M4166">
        <v>2.0149230000000001E-2</v>
      </c>
      <c r="N4166">
        <v>0</v>
      </c>
      <c r="O4166">
        <v>-0.99970270000000006</v>
      </c>
      <c r="P4166">
        <v>-2.8412070000000001E-2</v>
      </c>
      <c r="Q4166">
        <v>3.2436229999999902E-3</v>
      </c>
      <c r="R4166">
        <v>-0.99959089999999995</v>
      </c>
      <c r="S4166">
        <v>-0.87748719999999902</v>
      </c>
      <c r="T4166">
        <v>-0.23167789999999999</v>
      </c>
      <c r="U4166">
        <v>-2.98082</v>
      </c>
      <c r="V4166">
        <v>4.8640549999999998E-2</v>
      </c>
      <c r="W4166">
        <v>1.6690259999999998E-2</v>
      </c>
      <c r="X4166">
        <v>0.99867689999999998</v>
      </c>
      <c r="Y4166">
        <v>0.30089169999999998</v>
      </c>
      <c r="Z4166">
        <v>7.4106859999999997E-2</v>
      </c>
      <c r="AA4166">
        <v>0.95077459999999903</v>
      </c>
      <c r="AB4166">
        <v>22</v>
      </c>
      <c r="AC4166">
        <v>-4.1777999999999897</v>
      </c>
      <c r="AD4166">
        <v>-1.10276422227999</v>
      </c>
      <c r="AE4166">
        <v>-14.0435999999999</v>
      </c>
      <c r="AF4166">
        <v>4.43482393260674</v>
      </c>
      <c r="AG4166">
        <v>-1.10276422227999</v>
      </c>
      <c r="AH4166">
        <v>13.8779459623289</v>
      </c>
      <c r="AI4166">
        <v>94.328513089843796</v>
      </c>
      <c r="AJ4166">
        <v>72.278246458884496</v>
      </c>
      <c r="AK4166">
        <v>14.610993682035501</v>
      </c>
    </row>
    <row r="4167" spans="1:37" x14ac:dyDescent="0.2">
      <c r="A4167" t="str">
        <f>"20200111155631602"</f>
        <v>20200111155631602</v>
      </c>
      <c r="B4167" t="str">
        <f>"1578729391597235"</f>
        <v>1578729391597235</v>
      </c>
      <c r="C4167" t="s">
        <v>37</v>
      </c>
      <c r="D4167">
        <v>5.1896969999999998</v>
      </c>
      <c r="E4167">
        <v>0.60249629999999998</v>
      </c>
      <c r="F4167" t="s">
        <v>72</v>
      </c>
      <c r="G4167">
        <v>-197.7876</v>
      </c>
      <c r="H4167" s="1">
        <v>-1.3265289999999999E-5</v>
      </c>
      <c r="I4167">
        <v>153.5763</v>
      </c>
      <c r="J4167">
        <v>-193.63990000000001</v>
      </c>
      <c r="K4167">
        <v>1.1027020000000001</v>
      </c>
      <c r="L4167">
        <v>167.292</v>
      </c>
      <c r="M4167">
        <v>1.7803030000000001E-2</v>
      </c>
      <c r="N4167">
        <v>0</v>
      </c>
      <c r="O4167">
        <v>-0.99974730000000001</v>
      </c>
      <c r="P4167">
        <v>-3.2303640000000002E-2</v>
      </c>
      <c r="Q4167">
        <v>2.210619E-3</v>
      </c>
      <c r="R4167">
        <v>-0.99947580000000003</v>
      </c>
      <c r="S4167">
        <v>-0.89057919999999902</v>
      </c>
      <c r="T4167">
        <v>-0.23680399999999999</v>
      </c>
      <c r="U4167">
        <v>-2.9766689999999998</v>
      </c>
      <c r="V4167">
        <v>5.0181360000000001E-2</v>
      </c>
      <c r="W4167">
        <v>1.5646119999999999E-2</v>
      </c>
      <c r="X4167">
        <v>0.99861759999999999</v>
      </c>
      <c r="Y4167">
        <v>0.30281959999999902</v>
      </c>
      <c r="Z4167">
        <v>7.5772800000000001E-2</v>
      </c>
      <c r="AA4167">
        <v>0.95003090000000001</v>
      </c>
      <c r="AB4167">
        <v>22</v>
      </c>
      <c r="AC4167">
        <v>-4.14769999999998</v>
      </c>
      <c r="AD4167">
        <v>-1.1027152652900001</v>
      </c>
      <c r="AE4167">
        <v>-13.715699999999901</v>
      </c>
      <c r="AF4167">
        <v>4.3653935529549797</v>
      </c>
      <c r="AG4167">
        <v>-1.1027152652900001</v>
      </c>
      <c r="AH4167">
        <v>13.5593751227068</v>
      </c>
      <c r="AI4167">
        <v>94.426550992407996</v>
      </c>
      <c r="AJ4167">
        <v>72.154218122811898</v>
      </c>
      <c r="AK4167">
        <v>14.2873823896039</v>
      </c>
    </row>
    <row r="4168" spans="1:37" x14ac:dyDescent="0.2">
      <c r="A4168" t="str">
        <f>"20200111155631616"</f>
        <v>20200111155631616</v>
      </c>
      <c r="B4168" t="str">
        <f>"1578729391606996"</f>
        <v>1578729391606996</v>
      </c>
      <c r="C4168" t="s">
        <v>37</v>
      </c>
      <c r="D4168">
        <v>5.1753790000000004</v>
      </c>
      <c r="E4168">
        <v>0.60251030000000005</v>
      </c>
      <c r="F4168" t="s">
        <v>72</v>
      </c>
      <c r="G4168">
        <v>-197.76939999999999</v>
      </c>
      <c r="H4168" s="1">
        <v>-1.3292360000000001E-5</v>
      </c>
      <c r="I4168">
        <v>153.69040000000001</v>
      </c>
      <c r="J4168">
        <v>-193.63990000000001</v>
      </c>
      <c r="K4168">
        <v>1.1026670000000001</v>
      </c>
      <c r="L4168">
        <v>167.14570000000001</v>
      </c>
      <c r="M4168">
        <v>1.541795E-2</v>
      </c>
      <c r="N4168">
        <v>0</v>
      </c>
      <c r="O4168">
        <v>-0.99978679999999998</v>
      </c>
      <c r="P4168">
        <v>-3.6004960000000003E-2</v>
      </c>
      <c r="Q4168">
        <v>1.453541E-3</v>
      </c>
      <c r="R4168">
        <v>-0.99935069999999904</v>
      </c>
      <c r="S4168">
        <v>-0.9025879</v>
      </c>
      <c r="T4168">
        <v>-0.2410235</v>
      </c>
      <c r="U4168">
        <v>-2.9729459999999999</v>
      </c>
      <c r="V4168">
        <v>5.1494449999999997E-2</v>
      </c>
      <c r="W4168">
        <v>1.4879460000000001E-2</v>
      </c>
      <c r="X4168">
        <v>0.99856250000000002</v>
      </c>
      <c r="Y4168">
        <v>0.30435999999999902</v>
      </c>
      <c r="Z4168">
        <v>7.7148140000000004E-2</v>
      </c>
      <c r="AA4168">
        <v>0.94942780000000004</v>
      </c>
      <c r="AB4168">
        <v>22</v>
      </c>
      <c r="AC4168">
        <v>-4.12949999999997</v>
      </c>
      <c r="AD4168">
        <v>-1.1026802923600001</v>
      </c>
      <c r="AE4168">
        <v>-13.4552999999999</v>
      </c>
      <c r="AF4168">
        <v>4.3100272794791303</v>
      </c>
      <c r="AG4168">
        <v>-1.1026802923600001</v>
      </c>
      <c r="AH4168">
        <v>13.308340729376001</v>
      </c>
      <c r="AI4168">
        <v>94.507054094801902</v>
      </c>
      <c r="AJ4168">
        <v>72.054981900624696</v>
      </c>
      <c r="AK4168">
        <v>14.032254699305501</v>
      </c>
    </row>
    <row r="4169" spans="1:37" x14ac:dyDescent="0.2">
      <c r="A4169" t="str">
        <f>"20200111155631632"</f>
        <v>20200111155631632</v>
      </c>
      <c r="B4169" t="str">
        <f>"1578729391626515"</f>
        <v>1578729391626515</v>
      </c>
      <c r="C4169" t="s">
        <v>37</v>
      </c>
      <c r="D4169">
        <v>5.0950850000000001</v>
      </c>
      <c r="E4169">
        <v>0.60273639999999995</v>
      </c>
      <c r="F4169" t="s">
        <v>72</v>
      </c>
      <c r="G4169">
        <v>-197.77250000000001</v>
      </c>
      <c r="H4169" s="1">
        <v>-1.329884E-5</v>
      </c>
      <c r="I4169">
        <v>153.715</v>
      </c>
      <c r="J4169">
        <v>-193.6405</v>
      </c>
      <c r="K4169">
        <v>1.1026479999999901</v>
      </c>
      <c r="L4169">
        <v>166.995</v>
      </c>
      <c r="M4169">
        <v>1.2934849999999999E-2</v>
      </c>
      <c r="N4169">
        <v>0</v>
      </c>
      <c r="O4169">
        <v>-0.99982219999999999</v>
      </c>
      <c r="P4169">
        <v>-4.1742969999999997E-2</v>
      </c>
      <c r="Q4169">
        <v>7.9193299999999998E-4</v>
      </c>
      <c r="R4169">
        <v>-0.99912829999999997</v>
      </c>
      <c r="S4169">
        <v>-0.91366579999999997</v>
      </c>
      <c r="T4169">
        <v>-0.24379329999999999</v>
      </c>
      <c r="U4169">
        <v>-2.9694060000000002</v>
      </c>
      <c r="V4169">
        <v>5.4745420000000003E-2</v>
      </c>
      <c r="W4169">
        <v>1.419813E-2</v>
      </c>
      <c r="X4169">
        <v>0.99839940000000005</v>
      </c>
      <c r="Y4169">
        <v>0.30552750000000001</v>
      </c>
      <c r="Z4169">
        <v>7.8065430000000005E-2</v>
      </c>
      <c r="AA4169">
        <v>0.94897770000000004</v>
      </c>
      <c r="AB4169">
        <v>22</v>
      </c>
      <c r="AC4169">
        <v>-4.1319999999999997</v>
      </c>
      <c r="AD4169">
        <v>-1.10266129883999</v>
      </c>
      <c r="AE4169">
        <v>-13.28</v>
      </c>
      <c r="AF4169">
        <v>4.2765638726767303</v>
      </c>
      <c r="AG4169">
        <v>-1.10266129883999</v>
      </c>
      <c r="AH4169">
        <v>13.142824607984901</v>
      </c>
      <c r="AI4169">
        <v>94.561453174922093</v>
      </c>
      <c r="AJ4169">
        <v>71.975550577496307</v>
      </c>
      <c r="AK4169">
        <v>13.8650170996395</v>
      </c>
    </row>
    <row r="4170" spans="1:37" x14ac:dyDescent="0.2">
      <c r="A4170" t="str">
        <f>"20200111155631654"</f>
        <v>20200111155631654</v>
      </c>
      <c r="B4170" t="str">
        <f>"1578729391646543"</f>
        <v>1578729391646543</v>
      </c>
      <c r="C4170" t="s">
        <v>37</v>
      </c>
      <c r="D4170">
        <v>5.2507209999999898</v>
      </c>
      <c r="E4170">
        <v>0.60281169999999995</v>
      </c>
      <c r="F4170" t="s">
        <v>72</v>
      </c>
      <c r="G4170">
        <v>-197.8502</v>
      </c>
      <c r="H4170" s="1">
        <v>-1.328187E-5</v>
      </c>
      <c r="I4170">
        <v>153.62020000000001</v>
      </c>
      <c r="J4170">
        <v>-193.64179999999999</v>
      </c>
      <c r="K4170">
        <v>1.102643</v>
      </c>
      <c r="L4170">
        <v>166.7775</v>
      </c>
      <c r="M4170">
        <v>9.3306209999999903E-3</v>
      </c>
      <c r="N4170">
        <v>0</v>
      </c>
      <c r="O4170">
        <v>-0.99986219999999904</v>
      </c>
      <c r="P4170">
        <v>-4.9235220000000003E-2</v>
      </c>
      <c r="Q4170">
        <v>1.610324E-3</v>
      </c>
      <c r="R4170">
        <v>-0.9987859</v>
      </c>
      <c r="S4170">
        <v>-0.93287659999999994</v>
      </c>
      <c r="T4170">
        <v>-0.24434789999999901</v>
      </c>
      <c r="U4170">
        <v>-2.9638369999999998</v>
      </c>
      <c r="V4170">
        <v>5.8639209999999997E-2</v>
      </c>
      <c r="W4170">
        <v>1.4992449999999999E-2</v>
      </c>
      <c r="X4170">
        <v>0.99816669999999996</v>
      </c>
      <c r="Y4170">
        <v>0.30819829999999998</v>
      </c>
      <c r="Z4170">
        <v>7.8278529999999999E-2</v>
      </c>
      <c r="AA4170">
        <v>0.94809619999999994</v>
      </c>
      <c r="AB4170">
        <v>22</v>
      </c>
      <c r="AC4170">
        <v>-4.2084000000000099</v>
      </c>
      <c r="AD4170">
        <v>-1.1026562818700001</v>
      </c>
      <c r="AE4170">
        <v>-13.1572999999999</v>
      </c>
      <c r="AF4170">
        <v>4.30357371536501</v>
      </c>
      <c r="AG4170">
        <v>-1.1026562818700001</v>
      </c>
      <c r="AH4170">
        <v>13.0344071609506</v>
      </c>
      <c r="AI4170">
        <v>94.592738709668296</v>
      </c>
      <c r="AJ4170">
        <v>71.728312883540895</v>
      </c>
      <c r="AK4170">
        <v>13.7707068677308</v>
      </c>
    </row>
    <row r="4171" spans="1:37" x14ac:dyDescent="0.2">
      <c r="A4171" t="str">
        <f>"20200111155631668"</f>
        <v>20200111155631668</v>
      </c>
      <c r="B4171" t="str">
        <f>"1578729391657280"</f>
        <v>1578729391657280</v>
      </c>
      <c r="C4171" t="s">
        <v>37</v>
      </c>
      <c r="D4171">
        <v>5.2180309999999999</v>
      </c>
      <c r="E4171">
        <v>0.60284269999999995</v>
      </c>
      <c r="F4171" t="s">
        <v>72</v>
      </c>
      <c r="G4171">
        <v>-197.97540000000001</v>
      </c>
      <c r="H4171" s="1">
        <v>-1.3228840000000001E-5</v>
      </c>
      <c r="I4171">
        <v>153.36529999999999</v>
      </c>
      <c r="J4171">
        <v>-193.6431</v>
      </c>
      <c r="K4171">
        <v>1.102654</v>
      </c>
      <c r="L4171">
        <v>166.6413</v>
      </c>
      <c r="M4171">
        <v>7.0679139999999998E-3</v>
      </c>
      <c r="N4171">
        <v>0</v>
      </c>
      <c r="O4171">
        <v>-0.99988089999999996</v>
      </c>
      <c r="P4171">
        <v>-5.3547419999999998E-2</v>
      </c>
      <c r="Q4171">
        <v>2.7779909999999901E-3</v>
      </c>
      <c r="R4171">
        <v>-0.9985617</v>
      </c>
      <c r="S4171">
        <v>-0.95541379999999998</v>
      </c>
      <c r="T4171">
        <v>-0.2430976</v>
      </c>
      <c r="U4171">
        <v>-2.9569239999999999</v>
      </c>
      <c r="V4171">
        <v>6.069679E-2</v>
      </c>
      <c r="W4171">
        <v>1.6148650000000001E-2</v>
      </c>
      <c r="X4171">
        <v>0.99802559999999996</v>
      </c>
      <c r="Y4171">
        <v>0.3132432</v>
      </c>
      <c r="Z4171">
        <v>7.7901739999999997E-2</v>
      </c>
      <c r="AA4171">
        <v>0.94647239999999999</v>
      </c>
      <c r="AB4171">
        <v>22</v>
      </c>
      <c r="AC4171">
        <v>-4.3323</v>
      </c>
      <c r="AD4171">
        <v>-1.1026672288399999</v>
      </c>
      <c r="AE4171">
        <v>-13.276</v>
      </c>
      <c r="AF4171">
        <v>4.3986107132093597</v>
      </c>
      <c r="AG4171">
        <v>-1.1026672288399999</v>
      </c>
      <c r="AH4171">
        <v>13.162979407990299</v>
      </c>
      <c r="AI4171">
        <v>94.542702583599095</v>
      </c>
      <c r="AJ4171">
        <v>71.522161506492196</v>
      </c>
      <c r="AK4171">
        <v>13.9222009078699</v>
      </c>
    </row>
    <row r="4172" spans="1:37" x14ac:dyDescent="0.2">
      <c r="A4172" t="str">
        <f>"20200111155631681"</f>
        <v>20200111155631681</v>
      </c>
      <c r="B4172" t="str">
        <f>"1578729391676800"</f>
        <v>1578729391676800</v>
      </c>
      <c r="C4172" t="s">
        <v>37</v>
      </c>
      <c r="D4172">
        <v>5.2239620000000002</v>
      </c>
      <c r="E4172">
        <v>0.60292500000000004</v>
      </c>
      <c r="F4172" t="s">
        <v>72</v>
      </c>
      <c r="G4172">
        <v>-198.0787</v>
      </c>
      <c r="H4172" s="1">
        <v>-1.317492E-5</v>
      </c>
      <c r="I4172">
        <v>153.1146</v>
      </c>
      <c r="J4172">
        <v>-193.6447</v>
      </c>
      <c r="K4172">
        <v>1.10267</v>
      </c>
      <c r="L4172">
        <v>166.5061</v>
      </c>
      <c r="M4172">
        <v>4.8217700000000004E-3</v>
      </c>
      <c r="N4172">
        <v>0</v>
      </c>
      <c r="O4172">
        <v>-0.99989419999999996</v>
      </c>
      <c r="P4172">
        <v>-5.7885140000000002E-2</v>
      </c>
      <c r="Q4172">
        <v>3.7866419999999998E-3</v>
      </c>
      <c r="R4172">
        <v>-0.99831619999999999</v>
      </c>
      <c r="S4172">
        <v>-0.96833799999999903</v>
      </c>
      <c r="T4172">
        <v>-0.24072789999999999</v>
      </c>
      <c r="U4172">
        <v>-2.9530639999999999</v>
      </c>
      <c r="V4172">
        <v>6.2796089999999999E-2</v>
      </c>
      <c r="W4172">
        <v>1.7145569999999999E-2</v>
      </c>
      <c r="X4172">
        <v>0.99787909999999902</v>
      </c>
      <c r="Y4172">
        <v>0.31523469999999998</v>
      </c>
      <c r="Z4172">
        <v>7.7167330000000006E-2</v>
      </c>
      <c r="AA4172">
        <v>0.94587119999999902</v>
      </c>
      <c r="AB4172">
        <v>22</v>
      </c>
      <c r="AC4172">
        <v>-4.4339999999999904</v>
      </c>
      <c r="AD4172">
        <v>-1.1026831749199999</v>
      </c>
      <c r="AE4172">
        <v>-13.391500000000001</v>
      </c>
      <c r="AF4172">
        <v>4.4712047338516498</v>
      </c>
      <c r="AG4172">
        <v>-1.1026831749199999</v>
      </c>
      <c r="AH4172">
        <v>13.288763852453201</v>
      </c>
      <c r="AI4172">
        <v>94.496840470331605</v>
      </c>
      <c r="AJ4172">
        <v>71.403711909742697</v>
      </c>
      <c r="AK4172">
        <v>14.0640970802443</v>
      </c>
    </row>
    <row r="4173" spans="1:37" x14ac:dyDescent="0.2">
      <c r="A4173" t="str">
        <f>"20200111155631694"</f>
        <v>20200111155631694</v>
      </c>
      <c r="B4173" t="str">
        <f>"1578729391686560"</f>
        <v>1578729391686560</v>
      </c>
      <c r="C4173" t="s">
        <v>37</v>
      </c>
      <c r="D4173">
        <v>5.1901140000000003</v>
      </c>
      <c r="E4173">
        <v>0.60295750000000004</v>
      </c>
      <c r="F4173" t="s">
        <v>72</v>
      </c>
      <c r="G4173">
        <v>-198.16900000000001</v>
      </c>
      <c r="H4173" s="1">
        <v>-1.31324799999999E-5</v>
      </c>
      <c r="I4173">
        <v>152.91409999999999</v>
      </c>
      <c r="J4173">
        <v>-193.6465</v>
      </c>
      <c r="K4173">
        <v>1.102692</v>
      </c>
      <c r="L4173">
        <v>166.37710000000001</v>
      </c>
      <c r="M4173">
        <v>2.6775990000000001E-3</v>
      </c>
      <c r="N4173">
        <v>0</v>
      </c>
      <c r="O4173">
        <v>-0.99990199999999996</v>
      </c>
      <c r="P4173">
        <v>-6.1875920000000001E-2</v>
      </c>
      <c r="Q4173">
        <v>5.1416889999999996E-3</v>
      </c>
      <c r="R4173">
        <v>-0.99807040000000002</v>
      </c>
      <c r="S4173">
        <v>-0.98164370000000001</v>
      </c>
      <c r="T4173">
        <v>-0.239249499999999</v>
      </c>
      <c r="U4173">
        <v>-2.9490660000000002</v>
      </c>
      <c r="V4173">
        <v>6.4652890000000005E-2</v>
      </c>
      <c r="W4173">
        <v>1.8490989999999999E-2</v>
      </c>
      <c r="X4173">
        <v>0.99773650000000003</v>
      </c>
      <c r="Y4173">
        <v>0.31743739999999998</v>
      </c>
      <c r="Z4173">
        <v>7.6713980000000001E-2</v>
      </c>
      <c r="AA4173">
        <v>0.94517109999999904</v>
      </c>
      <c r="AB4173">
        <v>22</v>
      </c>
      <c r="AC4173">
        <v>-4.5225</v>
      </c>
      <c r="AD4173">
        <v>-1.1027051324799999</v>
      </c>
      <c r="AE4173">
        <v>-13.462999999999999</v>
      </c>
      <c r="AF4173">
        <v>4.5312197454692802</v>
      </c>
      <c r="AG4173">
        <v>-1.1027051324799999</v>
      </c>
      <c r="AH4173">
        <v>13.3702401261319</v>
      </c>
      <c r="AI4173">
        <v>94.466348457509596</v>
      </c>
      <c r="AJ4173">
        <v>71.278305906320398</v>
      </c>
      <c r="AK4173">
        <v>14.160198869414099</v>
      </c>
    </row>
    <row r="4174" spans="1:37" x14ac:dyDescent="0.2">
      <c r="A4174" t="str">
        <f>"20200111155631710"</f>
        <v>20200111155631710</v>
      </c>
      <c r="B4174" t="str">
        <f>"1578729391707056"</f>
        <v>1578729391707056</v>
      </c>
      <c r="C4174" t="s">
        <v>37</v>
      </c>
      <c r="D4174">
        <v>5.1573890000000002</v>
      </c>
      <c r="E4174">
        <v>0.60301349999999998</v>
      </c>
      <c r="F4174" t="s">
        <v>72</v>
      </c>
      <c r="G4174">
        <v>-198.28899999999999</v>
      </c>
      <c r="H4174" s="1">
        <v>-1.306733E-5</v>
      </c>
      <c r="I4174">
        <v>152.6129</v>
      </c>
      <c r="J4174">
        <v>-193.649</v>
      </c>
      <c r="K4174">
        <v>1.1027209999999901</v>
      </c>
      <c r="L4174">
        <v>166.22739999999999</v>
      </c>
      <c r="M4174">
        <v>1.9403849999999901E-4</v>
      </c>
      <c r="N4174">
        <v>0</v>
      </c>
      <c r="O4174">
        <v>-0.99990579999999996</v>
      </c>
      <c r="P4174">
        <v>-6.7753170000000001E-2</v>
      </c>
      <c r="Q4174">
        <v>7.4009490000000004E-3</v>
      </c>
      <c r="R4174">
        <v>-0.99767450000000002</v>
      </c>
      <c r="S4174">
        <v>-0.99345399999999995</v>
      </c>
      <c r="T4174">
        <v>-0.23596809999999999</v>
      </c>
      <c r="U4174">
        <v>-2.9454039999999999</v>
      </c>
      <c r="V4174">
        <v>6.8062910000000004E-2</v>
      </c>
      <c r="W4174">
        <v>2.0730740000000001E-2</v>
      </c>
      <c r="X4174">
        <v>0.99746559999999995</v>
      </c>
      <c r="Y4174">
        <v>0.318866599999999</v>
      </c>
      <c r="Z4174">
        <v>7.5692029999999993E-2</v>
      </c>
      <c r="AA4174">
        <v>0.94477239999999996</v>
      </c>
      <c r="AB4174">
        <v>22</v>
      </c>
      <c r="AC4174">
        <v>-4.6400000000000103</v>
      </c>
      <c r="AD4174">
        <v>-1.1027340673299999</v>
      </c>
      <c r="AE4174">
        <v>-13.6144999999999</v>
      </c>
      <c r="AF4174">
        <v>4.6155128724774102</v>
      </c>
      <c r="AG4174">
        <v>-1.1027340673299999</v>
      </c>
      <c r="AH4174">
        <v>13.534048990919199</v>
      </c>
      <c r="AI4174">
        <v>94.409773181536394</v>
      </c>
      <c r="AJ4174">
        <v>71.169098538677204</v>
      </c>
      <c r="AK4174">
        <v>14.3418779658682</v>
      </c>
    </row>
    <row r="4175" spans="1:37" x14ac:dyDescent="0.2">
      <c r="A4175" t="str">
        <f>"20200111155631723"</f>
        <v>20200111155631723</v>
      </c>
      <c r="B4175" t="str">
        <f>"1578729391716816"</f>
        <v>1578729391716816</v>
      </c>
      <c r="C4175" t="s">
        <v>37</v>
      </c>
      <c r="D4175">
        <v>5.1702899999999996</v>
      </c>
      <c r="E4175">
        <v>0.6030219</v>
      </c>
      <c r="F4175" t="s">
        <v>72</v>
      </c>
      <c r="G4175">
        <v>-198.4751</v>
      </c>
      <c r="H4175" s="1">
        <v>-1.297739E-5</v>
      </c>
      <c r="I4175">
        <v>152.18979999999999</v>
      </c>
      <c r="J4175">
        <v>-193.6514</v>
      </c>
      <c r="K4175">
        <v>1.1027400000000001</v>
      </c>
      <c r="L4175">
        <v>166.10079999999999</v>
      </c>
      <c r="M4175">
        <v>-1.906816E-3</v>
      </c>
      <c r="N4175">
        <v>0</v>
      </c>
      <c r="O4175">
        <v>-0.99990380000000001</v>
      </c>
      <c r="P4175">
        <v>-7.1161810000000006E-2</v>
      </c>
      <c r="Q4175">
        <v>8.4015059999999996E-3</v>
      </c>
      <c r="R4175">
        <v>-0.99742940000000002</v>
      </c>
      <c r="S4175">
        <v>-1.0107729999999999</v>
      </c>
      <c r="T4175">
        <v>-0.23095749999999901</v>
      </c>
      <c r="U4175">
        <v>-2.940048</v>
      </c>
      <c r="V4175">
        <v>6.9380430000000007E-2</v>
      </c>
      <c r="W4175">
        <v>2.1724719999999999E-2</v>
      </c>
      <c r="X4175">
        <v>0.99735370000000001</v>
      </c>
      <c r="Y4175">
        <v>0.32241959999999997</v>
      </c>
      <c r="Z4175">
        <v>7.4107190000000003E-2</v>
      </c>
      <c r="AA4175">
        <v>0.94369150000000002</v>
      </c>
      <c r="AB4175">
        <v>22</v>
      </c>
      <c r="AC4175">
        <v>-4.8236999999999997</v>
      </c>
      <c r="AD4175">
        <v>-1.10275297739</v>
      </c>
      <c r="AE4175">
        <v>-13.911</v>
      </c>
      <c r="AF4175">
        <v>4.7704031176010302</v>
      </c>
      <c r="AG4175">
        <v>-1.10275297739</v>
      </c>
      <c r="AH4175">
        <v>13.84252293854</v>
      </c>
      <c r="AI4175">
        <v>94.307224013859894</v>
      </c>
      <c r="AJ4175">
        <v>70.985050907956804</v>
      </c>
      <c r="AK4175">
        <v>14.6829238007137</v>
      </c>
    </row>
    <row r="4176" spans="1:37" x14ac:dyDescent="0.2">
      <c r="A4176" t="str">
        <f>"20200111155631736"</f>
        <v>20200111155631736</v>
      </c>
      <c r="B4176" t="str">
        <f>"1578729391726576"</f>
        <v>1578729391726576</v>
      </c>
      <c r="C4176" t="s">
        <v>37</v>
      </c>
      <c r="D4176">
        <v>5.1055979999999996</v>
      </c>
      <c r="E4176">
        <v>0.60306280000000001</v>
      </c>
      <c r="F4176" t="s">
        <v>72</v>
      </c>
      <c r="G4176">
        <v>-198.55449999999999</v>
      </c>
      <c r="H4176" s="1">
        <v>-1.2934279999999999E-5</v>
      </c>
      <c r="I4176">
        <v>151.99039999999999</v>
      </c>
      <c r="J4176">
        <v>-193.6541</v>
      </c>
      <c r="K4176">
        <v>1.102759</v>
      </c>
      <c r="L4176">
        <v>165.9692</v>
      </c>
      <c r="M4176">
        <v>-4.0903759999999997E-3</v>
      </c>
      <c r="N4176">
        <v>0</v>
      </c>
      <c r="O4176">
        <v>-0.99989729999999999</v>
      </c>
      <c r="P4176">
        <v>-7.4743459999999998E-2</v>
      </c>
      <c r="Q4176">
        <v>9.2092700000000003E-3</v>
      </c>
      <c r="R4176">
        <v>-0.99716070000000001</v>
      </c>
      <c r="S4176">
        <v>-1.020508</v>
      </c>
      <c r="T4176">
        <v>-0.22952069999999999</v>
      </c>
      <c r="U4176">
        <v>-2.9368439999999998</v>
      </c>
      <c r="V4176">
        <v>7.0788149999999994E-2</v>
      </c>
      <c r="W4176">
        <v>2.252562E-2</v>
      </c>
      <c r="X4176">
        <v>0.99723700000000004</v>
      </c>
      <c r="Y4176">
        <v>0.32347429999999999</v>
      </c>
      <c r="Z4176">
        <v>7.3671490000000006E-2</v>
      </c>
      <c r="AA4176">
        <v>0.94336469999999994</v>
      </c>
      <c r="AB4176">
        <v>22</v>
      </c>
      <c r="AC4176">
        <v>-4.9003999999999897</v>
      </c>
      <c r="AD4176">
        <v>-1.10277193428</v>
      </c>
      <c r="AE4176">
        <v>-13.9788</v>
      </c>
      <c r="AF4176">
        <v>4.8164804512978501</v>
      </c>
      <c r="AG4176">
        <v>-1.10277193428</v>
      </c>
      <c r="AH4176">
        <v>13.9215712342631</v>
      </c>
      <c r="AI4176">
        <v>94.281150970838695</v>
      </c>
      <c r="AJ4176">
        <v>70.915788401444701</v>
      </c>
      <c r="AK4176">
        <v>14.7724316044256</v>
      </c>
    </row>
    <row r="4177" spans="1:37" x14ac:dyDescent="0.2">
      <c r="A4177" t="str">
        <f>"20200111155631749"</f>
        <v>20200111155631749</v>
      </c>
      <c r="B4177" t="str">
        <f>"1578729391746606"</f>
        <v>1578729391746606</v>
      </c>
      <c r="C4177" t="s">
        <v>37</v>
      </c>
      <c r="D4177">
        <v>5.0814370000000002</v>
      </c>
      <c r="E4177">
        <v>0.60313909999999904</v>
      </c>
      <c r="F4177" t="s">
        <v>72</v>
      </c>
      <c r="G4177">
        <v>-198.636</v>
      </c>
      <c r="H4177" s="1">
        <v>-1.28923499999999E-5</v>
      </c>
      <c r="I4177">
        <v>151.79509999999999</v>
      </c>
      <c r="J4177">
        <v>-193.65719999999999</v>
      </c>
      <c r="K4177">
        <v>1.102776</v>
      </c>
      <c r="L4177">
        <v>165.8391</v>
      </c>
      <c r="M4177">
        <v>-6.2536989999999997E-3</v>
      </c>
      <c r="N4177">
        <v>0</v>
      </c>
      <c r="O4177">
        <v>-0.999886099999999</v>
      </c>
      <c r="P4177">
        <v>-7.7876059999999997E-2</v>
      </c>
      <c r="Q4177">
        <v>9.6561670000000002E-3</v>
      </c>
      <c r="R4177">
        <v>-0.99691659999999904</v>
      </c>
      <c r="S4177">
        <v>-1.031021</v>
      </c>
      <c r="T4177">
        <v>-0.22822139999999999</v>
      </c>
      <c r="U4177">
        <v>-2.9333649999999998</v>
      </c>
      <c r="V4177">
        <v>7.1765819999999994E-2</v>
      </c>
      <c r="W4177">
        <v>2.2968490000000001E-2</v>
      </c>
      <c r="X4177">
        <v>0.99715699999999996</v>
      </c>
      <c r="Y4177">
        <v>0.32479659999999999</v>
      </c>
      <c r="Z4177">
        <v>7.3278220000000005E-2</v>
      </c>
      <c r="AA4177">
        <v>0.94294080000000002</v>
      </c>
      <c r="AB4177">
        <v>22</v>
      </c>
      <c r="AC4177">
        <v>-4.9787999999999997</v>
      </c>
      <c r="AD4177">
        <v>-1.10278889235</v>
      </c>
      <c r="AE4177">
        <v>-14.044</v>
      </c>
      <c r="AF4177">
        <v>4.8642232604823299</v>
      </c>
      <c r="AG4177">
        <v>-1.10278889235</v>
      </c>
      <c r="AH4177">
        <v>13.9981881113622</v>
      </c>
      <c r="AI4177">
        <v>94.255878955677801</v>
      </c>
      <c r="AJ4177">
        <v>70.838197896954696</v>
      </c>
      <c r="AK4177">
        <v>14.860218089583601</v>
      </c>
    </row>
    <row r="4178" spans="1:37" x14ac:dyDescent="0.2">
      <c r="A4178" t="str">
        <f>"20200111155631766"</f>
        <v>20200111155631766</v>
      </c>
      <c r="B4178" t="str">
        <f>"1578729391757341"</f>
        <v>1578729391757341</v>
      </c>
      <c r="C4178" t="s">
        <v>37</v>
      </c>
      <c r="D4178">
        <v>5.1626440000000002</v>
      </c>
      <c r="E4178">
        <v>0.60310719999999995</v>
      </c>
      <c r="F4178" t="s">
        <v>72</v>
      </c>
      <c r="G4178">
        <v>-198.6875</v>
      </c>
      <c r="H4178" s="1">
        <v>-1.286682E-5</v>
      </c>
      <c r="I4178">
        <v>151.6755</v>
      </c>
      <c r="J4178">
        <v>-193.6611</v>
      </c>
      <c r="K4178">
        <v>1.1028009999999999</v>
      </c>
      <c r="L4178">
        <v>165.68620000000001</v>
      </c>
      <c r="M4178">
        <v>-8.8045999999999992E-3</v>
      </c>
      <c r="N4178">
        <v>0</v>
      </c>
      <c r="O4178">
        <v>-0.99986679999999994</v>
      </c>
      <c r="P4178">
        <v>-8.1753160000000005E-2</v>
      </c>
      <c r="Q4178">
        <v>1.062199E-2</v>
      </c>
      <c r="R4178">
        <v>-0.99659609999999998</v>
      </c>
      <c r="S4178">
        <v>-1.0406799999999901</v>
      </c>
      <c r="T4178">
        <v>-0.22814389999999901</v>
      </c>
      <c r="U4178">
        <v>-2.930161</v>
      </c>
      <c r="V4178">
        <v>7.3105550000000005E-2</v>
      </c>
      <c r="W4178">
        <v>2.392619E-2</v>
      </c>
      <c r="X4178">
        <v>0.99703719999999996</v>
      </c>
      <c r="Y4178">
        <v>0.32547009999999998</v>
      </c>
      <c r="Z4178">
        <v>7.3278910000000003E-2</v>
      </c>
      <c r="AA4178">
        <v>0.94270859999999901</v>
      </c>
      <c r="AB4178">
        <v>22</v>
      </c>
      <c r="AC4178">
        <v>-5.02639999999999</v>
      </c>
      <c r="AD4178">
        <v>-1.1028138668199901</v>
      </c>
      <c r="AE4178">
        <v>-14.0107</v>
      </c>
      <c r="AF4178">
        <v>4.8760694384578498</v>
      </c>
      <c r="AG4178">
        <v>-1.1028138668199901</v>
      </c>
      <c r="AH4178">
        <v>13.977690921870099</v>
      </c>
      <c r="AI4178">
        <v>94.260403933845197</v>
      </c>
      <c r="AJ4178">
        <v>70.768849832792597</v>
      </c>
      <c r="AK4178">
        <v>14.8448002715039</v>
      </c>
    </row>
    <row r="4179" spans="1:37" x14ac:dyDescent="0.2">
      <c r="A4179" t="str">
        <f>"20200111155631779"</f>
        <v>20200111155631779</v>
      </c>
      <c r="B4179" t="str">
        <f>"1578729391776862"</f>
        <v>1578729391776862</v>
      </c>
      <c r="C4179" t="s">
        <v>37</v>
      </c>
      <c r="D4179">
        <v>5.1373829999999998</v>
      </c>
      <c r="E4179">
        <v>0.60305920000000002</v>
      </c>
      <c r="F4179" t="s">
        <v>72</v>
      </c>
      <c r="G4179">
        <v>-198.76320000000001</v>
      </c>
      <c r="H4179" s="1">
        <v>-1.282512E-5</v>
      </c>
      <c r="I4179">
        <v>151.48310000000001</v>
      </c>
      <c r="J4179">
        <v>-193.66470000000001</v>
      </c>
      <c r="K4179">
        <v>1.102806</v>
      </c>
      <c r="L4179">
        <v>165.5523</v>
      </c>
      <c r="M4179">
        <v>-1.10469E-2</v>
      </c>
      <c r="N4179">
        <v>0</v>
      </c>
      <c r="O4179">
        <v>-0.99984479999999998</v>
      </c>
      <c r="P4179">
        <v>-8.4183240000000006E-2</v>
      </c>
      <c r="Q4179">
        <v>1.130745E-2</v>
      </c>
      <c r="R4179">
        <v>-0.99638660000000001</v>
      </c>
      <c r="S4179">
        <v>-1.0512539999999999</v>
      </c>
      <c r="T4179">
        <v>-0.2272248</v>
      </c>
      <c r="U4179">
        <v>-2.9264220000000001</v>
      </c>
      <c r="V4179">
        <v>7.3304649999999999E-2</v>
      </c>
      <c r="W4179">
        <v>2.46112E-2</v>
      </c>
      <c r="X4179">
        <v>0.9970059</v>
      </c>
      <c r="Y4179">
        <v>0.32675709999999902</v>
      </c>
      <c r="Z4179">
        <v>7.3010759999999994E-2</v>
      </c>
      <c r="AA4179">
        <v>0.94228400000000001</v>
      </c>
      <c r="AB4179">
        <v>22</v>
      </c>
      <c r="AC4179">
        <v>-5.0984999999999996</v>
      </c>
      <c r="AD4179">
        <v>-1.10281882512</v>
      </c>
      <c r="AE4179">
        <v>-14.069199999999899</v>
      </c>
      <c r="AF4179">
        <v>4.9160539101277498</v>
      </c>
      <c r="AG4179">
        <v>-1.10281882512</v>
      </c>
      <c r="AH4179">
        <v>14.0483721266289</v>
      </c>
      <c r="AI4179">
        <v>94.237631335140307</v>
      </c>
      <c r="AJ4179">
        <v>70.713137893899301</v>
      </c>
      <c r="AK4179">
        <v>14.924495127694099</v>
      </c>
    </row>
    <row r="4180" spans="1:37" x14ac:dyDescent="0.2">
      <c r="A4180" t="str">
        <f>"20200111155631792"</f>
        <v>20200111155631792</v>
      </c>
      <c r="B4180" t="str">
        <f>"1578729391786621"</f>
        <v>1578729391786621</v>
      </c>
      <c r="C4180" t="s">
        <v>37</v>
      </c>
      <c r="D4180">
        <v>5.1858740000000001</v>
      </c>
      <c r="E4180">
        <v>0.60297509999999999</v>
      </c>
      <c r="F4180" t="s">
        <v>72</v>
      </c>
      <c r="G4180">
        <v>-198.80680000000001</v>
      </c>
      <c r="H4180" s="1">
        <v>-1.279269E-5</v>
      </c>
      <c r="I4180">
        <v>151.33879999999999</v>
      </c>
      <c r="J4180">
        <v>-193.66890000000001</v>
      </c>
      <c r="K4180">
        <v>1.102803</v>
      </c>
      <c r="L4180">
        <v>165.416</v>
      </c>
      <c r="M4180">
        <v>-1.3348769999999999E-2</v>
      </c>
      <c r="N4180">
        <v>0</v>
      </c>
      <c r="O4180">
        <v>-0.99981659999999895</v>
      </c>
      <c r="P4180">
        <v>-8.6576360000000005E-2</v>
      </c>
      <c r="Q4180">
        <v>1.168042E-2</v>
      </c>
      <c r="R4180">
        <v>-0.99617699999999998</v>
      </c>
      <c r="S4180">
        <v>-1.0578609999999999</v>
      </c>
      <c r="T4180">
        <v>-0.226879</v>
      </c>
      <c r="U4180">
        <v>-2.9240879999999998</v>
      </c>
      <c r="V4180">
        <v>7.3406460000000007E-2</v>
      </c>
      <c r="W4180">
        <v>2.498206E-2</v>
      </c>
      <c r="X4180">
        <v>0.99698920000000002</v>
      </c>
      <c r="Y4180">
        <v>0.32670759999999899</v>
      </c>
      <c r="Z4180">
        <v>7.2925299999999998E-2</v>
      </c>
      <c r="AA4180">
        <v>0.94230780000000003</v>
      </c>
      <c r="AB4180">
        <v>22</v>
      </c>
      <c r="AC4180">
        <v>-5.1379000000000001</v>
      </c>
      <c r="AD4180">
        <v>-1.10281579269</v>
      </c>
      <c r="AE4180">
        <v>-14.077199999999999</v>
      </c>
      <c r="AF4180">
        <v>4.9228499273966504</v>
      </c>
      <c r="AG4180">
        <v>-1.10281579269</v>
      </c>
      <c r="AH4180">
        <v>14.068345244048</v>
      </c>
      <c r="AI4180">
        <v>94.231643422463904</v>
      </c>
      <c r="AJ4180">
        <v>70.713839359814898</v>
      </c>
      <c r="AK4180">
        <v>14.945534182022501</v>
      </c>
    </row>
    <row r="4181" spans="1:37" x14ac:dyDescent="0.2">
      <c r="A4181" t="str">
        <f>"20200111155631806"</f>
        <v>20200111155631806</v>
      </c>
      <c r="B4181" t="str">
        <f>"1578729391797357"</f>
        <v>1578729391797357</v>
      </c>
      <c r="C4181" t="s">
        <v>37</v>
      </c>
      <c r="D4181">
        <v>5.1187459999999998</v>
      </c>
      <c r="E4181">
        <v>0.602935</v>
      </c>
      <c r="F4181" t="s">
        <v>72</v>
      </c>
      <c r="G4181">
        <v>-198.8391</v>
      </c>
      <c r="H4181" s="1">
        <v>-1.276506E-5</v>
      </c>
      <c r="I4181">
        <v>151.2176</v>
      </c>
      <c r="J4181">
        <v>-193.6729</v>
      </c>
      <c r="K4181">
        <v>1.1028</v>
      </c>
      <c r="L4181">
        <v>165.29400000000001</v>
      </c>
      <c r="M4181">
        <v>-1.542026E-2</v>
      </c>
      <c r="N4181">
        <v>0</v>
      </c>
      <c r="O4181">
        <v>-0.99978679999999998</v>
      </c>
      <c r="P4181">
        <v>-8.839379E-2</v>
      </c>
      <c r="Q4181">
        <v>1.2358330000000001E-2</v>
      </c>
      <c r="R4181">
        <v>-0.99600909999999998</v>
      </c>
      <c r="S4181">
        <v>-1.0639190000000001</v>
      </c>
      <c r="T4181">
        <v>-0.22693629999999901</v>
      </c>
      <c r="U4181">
        <v>-2.9217219999999999</v>
      </c>
      <c r="V4181">
        <v>7.3163930000000002E-2</v>
      </c>
      <c r="W4181">
        <v>2.5660860000000001E-2</v>
      </c>
      <c r="X4181">
        <v>0.99698969999999898</v>
      </c>
      <c r="Y4181">
        <v>0.32671919999999999</v>
      </c>
      <c r="Z4181">
        <v>7.2970499999999994E-2</v>
      </c>
      <c r="AA4181">
        <v>0.94230029999999998</v>
      </c>
      <c r="AB4181">
        <v>22</v>
      </c>
      <c r="AC4181">
        <v>-5.1661999999999999</v>
      </c>
      <c r="AD4181">
        <v>-1.1028127650599999</v>
      </c>
      <c r="AE4181">
        <v>-14.0764</v>
      </c>
      <c r="AF4181">
        <v>4.9218795338808601</v>
      </c>
      <c r="AG4181">
        <v>-1.1028127650599999</v>
      </c>
      <c r="AH4181">
        <v>14.078244356008501</v>
      </c>
      <c r="AI4181">
        <v>94.2290807742597</v>
      </c>
      <c r="AJ4181">
        <v>70.729919097588606</v>
      </c>
      <c r="AK4181">
        <v>14.9545330347791</v>
      </c>
    </row>
    <row r="4182" spans="1:37" x14ac:dyDescent="0.2">
      <c r="A4182" t="str">
        <f>"20200111155631820"</f>
        <v>20200111155631820</v>
      </c>
      <c r="B4182" t="str">
        <f>"1578729391816877"</f>
        <v>1578729391816877</v>
      </c>
      <c r="C4182" t="s">
        <v>37</v>
      </c>
      <c r="D4182">
        <v>3.9043059999999898</v>
      </c>
      <c r="E4182">
        <v>0.602935</v>
      </c>
      <c r="F4182" t="s">
        <v>72</v>
      </c>
      <c r="G4182">
        <v>-198.88</v>
      </c>
      <c r="H4182" s="1">
        <v>-1.27307E-5</v>
      </c>
      <c r="I4182">
        <v>151.06659999999999</v>
      </c>
      <c r="J4182">
        <v>-193.678</v>
      </c>
      <c r="K4182">
        <v>1.1027910000000001</v>
      </c>
      <c r="L4182">
        <v>165.14840000000001</v>
      </c>
      <c r="M4182">
        <v>-1.7910800000000001E-2</v>
      </c>
      <c r="N4182">
        <v>0</v>
      </c>
      <c r="O4182">
        <v>-0.99974540000000001</v>
      </c>
      <c r="P4182">
        <v>-9.051903E-2</v>
      </c>
      <c r="Q4182">
        <v>1.325109E-2</v>
      </c>
      <c r="R4182">
        <v>-0.99580650000000004</v>
      </c>
      <c r="S4182">
        <v>-1.0686799999999901</v>
      </c>
      <c r="T4182">
        <v>-0.2263387</v>
      </c>
      <c r="U4182">
        <v>-2.9199980000000001</v>
      </c>
      <c r="V4182">
        <v>7.2813399999999903E-2</v>
      </c>
      <c r="W4182">
        <v>2.6554149999999999E-2</v>
      </c>
      <c r="X4182">
        <v>0.99699199999999999</v>
      </c>
      <c r="Y4182">
        <v>0.32590409999999997</v>
      </c>
      <c r="Z4182">
        <v>7.2805869999999995E-2</v>
      </c>
      <c r="AA4182">
        <v>0.94259519999999997</v>
      </c>
      <c r="AB4182">
        <v>22</v>
      </c>
      <c r="AC4182">
        <v>-5.2019999999999902</v>
      </c>
      <c r="AD4182">
        <v>-1.10280373069999</v>
      </c>
      <c r="AE4182">
        <v>-14.081799999999999</v>
      </c>
      <c r="AF4182">
        <v>4.9223611009803401</v>
      </c>
      <c r="AG4182">
        <v>-1.10280373069999</v>
      </c>
      <c r="AH4182">
        <v>14.0966468838997</v>
      </c>
      <c r="AI4182">
        <v>94.224098748551299</v>
      </c>
      <c r="AJ4182">
        <v>70.7514794153916</v>
      </c>
      <c r="AK4182">
        <v>14.972016171720099</v>
      </c>
    </row>
    <row r="4183" spans="1:37" x14ac:dyDescent="0.2">
      <c r="A4183" t="str">
        <f>"20200111155631833"</f>
        <v>20200111155631833</v>
      </c>
      <c r="B4183" t="str">
        <f>"1578729391826636"</f>
        <v>1578729391826636</v>
      </c>
      <c r="C4183" t="s">
        <v>37</v>
      </c>
      <c r="D4183">
        <v>4.0250529999999998</v>
      </c>
      <c r="E4183">
        <v>0.602935</v>
      </c>
      <c r="F4183" t="s">
        <v>72</v>
      </c>
      <c r="G4183">
        <v>-198.96010000000001</v>
      </c>
      <c r="H4183" s="1">
        <v>-1.2672549999999999E-5</v>
      </c>
      <c r="I4183">
        <v>150.8073</v>
      </c>
      <c r="J4183">
        <v>-193.68270000000001</v>
      </c>
      <c r="K4183">
        <v>1.1027879999999901</v>
      </c>
      <c r="L4183">
        <v>165.0223</v>
      </c>
      <c r="M4183">
        <v>-2.0089039999999999E-2</v>
      </c>
      <c r="N4183">
        <v>0</v>
      </c>
      <c r="O4183">
        <v>-0.99970389999999998</v>
      </c>
      <c r="P4183">
        <v>-9.1942979999999994E-2</v>
      </c>
      <c r="Q4183">
        <v>1.4641360000000001E-2</v>
      </c>
      <c r="R4183">
        <v>-0.99565700000000001</v>
      </c>
      <c r="S4183">
        <v>-1.074722</v>
      </c>
      <c r="T4183">
        <v>-0.2243831</v>
      </c>
      <c r="U4183">
        <v>-2.917923</v>
      </c>
      <c r="V4183">
        <v>7.2075330000000007E-2</v>
      </c>
      <c r="W4183">
        <v>2.7947429999999999E-2</v>
      </c>
      <c r="X4183">
        <v>0.99700750000000005</v>
      </c>
      <c r="Y4183">
        <v>0.32579649999999999</v>
      </c>
      <c r="Z4183">
        <v>7.2200230000000004E-2</v>
      </c>
      <c r="AA4183">
        <v>0.94267900000000004</v>
      </c>
      <c r="AB4183">
        <v>22</v>
      </c>
      <c r="AC4183">
        <v>-5.2774000000000001</v>
      </c>
      <c r="AD4183">
        <v>-1.1028006725499999</v>
      </c>
      <c r="AE4183">
        <v>-14.215</v>
      </c>
      <c r="AF4183">
        <v>4.9644820527126701</v>
      </c>
      <c r="AG4183">
        <v>-1.1028006725499999</v>
      </c>
      <c r="AH4183">
        <v>14.2428199097531</v>
      </c>
      <c r="AI4183">
        <v>94.181701725204803</v>
      </c>
      <c r="AJ4183">
        <v>70.783471672741399</v>
      </c>
      <c r="AK4183">
        <v>15.123497292516101</v>
      </c>
    </row>
    <row r="4184" spans="1:37" x14ac:dyDescent="0.2">
      <c r="A4184" t="str">
        <f>"20200111155631846"</f>
        <v>20200111155631846</v>
      </c>
      <c r="B4184" t="str">
        <f>"1578729391837373"</f>
        <v>1578729391837373</v>
      </c>
      <c r="C4184" t="s">
        <v>37</v>
      </c>
      <c r="D4184">
        <v>3.945916</v>
      </c>
      <c r="E4184">
        <v>0.66912249999999995</v>
      </c>
      <c r="F4184" t="s">
        <v>72</v>
      </c>
      <c r="G4184">
        <v>-199.0633</v>
      </c>
      <c r="H4184" s="1">
        <v>-1.2597089999999899E-5</v>
      </c>
      <c r="I4184">
        <v>150.471</v>
      </c>
      <c r="J4184">
        <v>-193.68780000000001</v>
      </c>
      <c r="K4184">
        <v>1.102779</v>
      </c>
      <c r="L4184">
        <v>164.89449999999999</v>
      </c>
      <c r="M4184">
        <v>-2.2311419999999998E-2</v>
      </c>
      <c r="N4184">
        <v>0</v>
      </c>
      <c r="O4184">
        <v>-0.99965669999999995</v>
      </c>
      <c r="P4184">
        <v>-9.4083169999999994E-2</v>
      </c>
      <c r="Q4184">
        <v>1.491108E-2</v>
      </c>
      <c r="R4184">
        <v>-0.99545289999999997</v>
      </c>
      <c r="S4184">
        <v>-1.078506</v>
      </c>
      <c r="T4184">
        <v>-0.22105029999999901</v>
      </c>
      <c r="U4184">
        <v>-2.9167179999999999</v>
      </c>
      <c r="V4184">
        <v>7.2004440000000003E-2</v>
      </c>
      <c r="W4184">
        <v>2.8215779999999999E-2</v>
      </c>
      <c r="X4184">
        <v>0.99700509999999998</v>
      </c>
      <c r="Y4184">
        <v>0.3249242</v>
      </c>
      <c r="Z4184">
        <v>7.1151510000000001E-2</v>
      </c>
      <c r="AA4184">
        <v>0.9430598</v>
      </c>
      <c r="AB4184">
        <v>22</v>
      </c>
      <c r="AC4184">
        <v>-5.3754999999999802</v>
      </c>
      <c r="AD4184">
        <v>-1.10279159709</v>
      </c>
      <c r="AE4184">
        <v>-14.423499999999899</v>
      </c>
      <c r="AF4184">
        <v>5.02652198030838</v>
      </c>
      <c r="AG4184">
        <v>-1.10279159709</v>
      </c>
      <c r="AH4184">
        <v>14.465605080617101</v>
      </c>
      <c r="AI4184">
        <v>94.118863815656198</v>
      </c>
      <c r="AJ4184">
        <v>70.838635294364295</v>
      </c>
      <c r="AK4184">
        <v>15.3536902037754</v>
      </c>
    </row>
    <row r="4185" spans="1:37" x14ac:dyDescent="0.2">
      <c r="A4185" t="str">
        <f>"20200111155631862"</f>
        <v>20200111155631862</v>
      </c>
      <c r="B4185" t="str">
        <f>"1578729391857402"</f>
        <v>1578729391857402</v>
      </c>
      <c r="C4185" t="s">
        <v>37</v>
      </c>
      <c r="D4185">
        <v>3.9107529999999899</v>
      </c>
      <c r="E4185">
        <v>0.66945759999999999</v>
      </c>
      <c r="F4185" t="s">
        <v>73</v>
      </c>
      <c r="G4185">
        <v>-221.01920000000001</v>
      </c>
      <c r="H4185">
        <v>3.7105299999999999</v>
      </c>
      <c r="I4185">
        <v>117.1277</v>
      </c>
      <c r="J4185">
        <v>-193.69390000000001</v>
      </c>
      <c r="K4185">
        <v>1.1027719999999901</v>
      </c>
      <c r="L4185">
        <v>164.75110000000001</v>
      </c>
      <c r="M4185">
        <v>-2.4821309999999999E-2</v>
      </c>
      <c r="N4185">
        <v>0</v>
      </c>
      <c r="O4185">
        <v>-0.99959739999999997</v>
      </c>
      <c r="P4185">
        <v>-9.6588510000000002E-2</v>
      </c>
      <c r="Q4185">
        <v>1.5373619999999999E-2</v>
      </c>
      <c r="R4185">
        <v>-0.99520549999999997</v>
      </c>
      <c r="S4185">
        <v>-1.6346590000000001</v>
      </c>
      <c r="T4185">
        <v>0.1559672</v>
      </c>
      <c r="U4185">
        <v>-2.8568880000000001</v>
      </c>
      <c r="V4185">
        <v>7.20142E-2</v>
      </c>
      <c r="W4185">
        <v>2.8676219999999999E-2</v>
      </c>
      <c r="X4185">
        <v>0.99699130000000002</v>
      </c>
      <c r="Y4185">
        <v>0.47437069999999998</v>
      </c>
      <c r="Z4185">
        <v>-4.7613919999999997E-2</v>
      </c>
      <c r="AA4185">
        <v>0.87903659999999995</v>
      </c>
      <c r="AB4185">
        <v>22</v>
      </c>
      <c r="AC4185">
        <v>-27.325299999999999</v>
      </c>
      <c r="AD4185">
        <v>2.607758</v>
      </c>
      <c r="AE4185">
        <v>-47.623399999999997</v>
      </c>
      <c r="AF4185">
        <v>26.0758713713929</v>
      </c>
      <c r="AG4185">
        <v>2.607758</v>
      </c>
      <c r="AH4185">
        <v>48.1783588226698</v>
      </c>
      <c r="AI4185">
        <v>87.274654358145995</v>
      </c>
      <c r="AJ4185">
        <v>61.5761442745981</v>
      </c>
      <c r="AK4185">
        <v>54.844377363681701</v>
      </c>
    </row>
    <row r="4186" spans="1:37" x14ac:dyDescent="0.2">
      <c r="A4186" t="str">
        <f>"20200111155631876"</f>
        <v>20200111155631876</v>
      </c>
      <c r="B4186" t="str">
        <f>"1578729391867162"</f>
        <v>1578729391867162</v>
      </c>
      <c r="C4186" t="s">
        <v>37</v>
      </c>
      <c r="D4186">
        <v>3.9195410000000002</v>
      </c>
      <c r="E4186">
        <v>0.66965399999999997</v>
      </c>
      <c r="F4186" t="s">
        <v>73</v>
      </c>
      <c r="G4186">
        <v>-221.0771</v>
      </c>
      <c r="H4186">
        <v>3.72731699999999</v>
      </c>
      <c r="I4186">
        <v>117.25879999999999</v>
      </c>
      <c r="J4186">
        <v>-193.70079999999999</v>
      </c>
      <c r="K4186">
        <v>1.1027639999999901</v>
      </c>
      <c r="L4186">
        <v>164.59719999999999</v>
      </c>
      <c r="M4186">
        <v>-2.7536459999999999E-2</v>
      </c>
      <c r="N4186">
        <v>0</v>
      </c>
      <c r="O4186">
        <v>-0.99952640000000004</v>
      </c>
      <c r="P4186">
        <v>-0.1003124</v>
      </c>
      <c r="Q4186">
        <v>1.507093E-2</v>
      </c>
      <c r="R4186">
        <v>-0.99484209999999995</v>
      </c>
      <c r="S4186">
        <v>-1.6446529999999999</v>
      </c>
      <c r="T4186">
        <v>0.15763199999999999</v>
      </c>
      <c r="U4186">
        <v>-2.852417</v>
      </c>
      <c r="V4186">
        <v>7.303635E-2</v>
      </c>
      <c r="W4186">
        <v>2.836545E-2</v>
      </c>
      <c r="X4186">
        <v>0.99692579999999997</v>
      </c>
      <c r="Y4186">
        <v>0.47487659999999998</v>
      </c>
      <c r="Z4186">
        <v>-4.8134709999999997E-2</v>
      </c>
      <c r="AA4186">
        <v>0.87873500000000004</v>
      </c>
      <c r="AB4186">
        <v>22</v>
      </c>
      <c r="AC4186">
        <v>-27.376300000000001</v>
      </c>
      <c r="AD4186">
        <v>2.6245529999999899</v>
      </c>
      <c r="AE4186">
        <v>-47.338399999999901</v>
      </c>
      <c r="AF4186">
        <v>26.002366171353898</v>
      </c>
      <c r="AG4186">
        <v>2.6245529999999899</v>
      </c>
      <c r="AH4186">
        <v>47.9638798262893</v>
      </c>
      <c r="AI4186">
        <v>87.245904905615205</v>
      </c>
      <c r="AJ4186">
        <v>61.536819975493799</v>
      </c>
      <c r="AK4186">
        <v>54.621837143670803</v>
      </c>
    </row>
    <row r="4187" spans="1:37" x14ac:dyDescent="0.2">
      <c r="A4187" t="str">
        <f>"20200111155631890"</f>
        <v>20200111155631890</v>
      </c>
      <c r="B4187" t="str">
        <f>"1578729391886683"</f>
        <v>1578729391886683</v>
      </c>
      <c r="C4187" t="s">
        <v>37</v>
      </c>
      <c r="D4187">
        <v>3.9975589999999999</v>
      </c>
      <c r="E4187">
        <v>0.66963879999999998</v>
      </c>
      <c r="F4187" t="s">
        <v>73</v>
      </c>
      <c r="G4187">
        <v>-221.15889999999999</v>
      </c>
      <c r="H4187">
        <v>3.74880999999999</v>
      </c>
      <c r="I4187">
        <v>117.44159999999999</v>
      </c>
      <c r="J4187">
        <v>-193.70679999999999</v>
      </c>
      <c r="K4187">
        <v>1.102762</v>
      </c>
      <c r="L4187">
        <v>164.47229999999999</v>
      </c>
      <c r="M4187">
        <v>-2.9753040000000001E-2</v>
      </c>
      <c r="N4187">
        <v>0</v>
      </c>
      <c r="O4187">
        <v>-0.99946299999999899</v>
      </c>
      <c r="P4187">
        <v>-0.1034128</v>
      </c>
      <c r="Q4187">
        <v>1.462631E-2</v>
      </c>
      <c r="R4187">
        <v>-0.99453119999999995</v>
      </c>
      <c r="S4187">
        <v>-1.657211</v>
      </c>
      <c r="T4187">
        <v>0.15970029999999999</v>
      </c>
      <c r="U4187">
        <v>-2.84603899999999</v>
      </c>
      <c r="V4187">
        <v>7.3930579999999996E-2</v>
      </c>
      <c r="W4187">
        <v>2.7913589999999999E-2</v>
      </c>
      <c r="X4187">
        <v>0.99687269999999994</v>
      </c>
      <c r="Y4187">
        <v>0.47666190000000003</v>
      </c>
      <c r="Z4187">
        <v>-4.8778969999999998E-2</v>
      </c>
      <c r="AA4187">
        <v>0.87773230000000002</v>
      </c>
      <c r="AB4187">
        <v>22</v>
      </c>
      <c r="AC4187">
        <v>-27.452100000000002</v>
      </c>
      <c r="AD4187">
        <v>2.6460479999999902</v>
      </c>
      <c r="AE4187">
        <v>-47.030700000000003</v>
      </c>
      <c r="AF4187">
        <v>25.979169004815301</v>
      </c>
      <c r="AG4187">
        <v>2.6460479999999902</v>
      </c>
      <c r="AH4187">
        <v>47.714081896686302</v>
      </c>
      <c r="AI4187">
        <v>87.211618689821606</v>
      </c>
      <c r="AJ4187">
        <v>61.432771810040897</v>
      </c>
      <c r="AK4187">
        <v>54.392576731046198</v>
      </c>
    </row>
    <row r="4188" spans="1:37" x14ac:dyDescent="0.2">
      <c r="A4188" t="str">
        <f>"20200111155631903"</f>
        <v>20200111155631903</v>
      </c>
      <c r="B4188" t="str">
        <f>"1578729391897419"</f>
        <v>1578729391897419</v>
      </c>
      <c r="C4188" t="s">
        <v>37</v>
      </c>
      <c r="D4188">
        <v>3.9128699999999998</v>
      </c>
      <c r="E4188">
        <v>0.669840199999999</v>
      </c>
      <c r="F4188" t="s">
        <v>73</v>
      </c>
      <c r="G4188">
        <v>-221.2124</v>
      </c>
      <c r="H4188">
        <v>3.778454</v>
      </c>
      <c r="I4188">
        <v>117.57729999999999</v>
      </c>
      <c r="J4188">
        <v>-193.71299999999999</v>
      </c>
      <c r="K4188">
        <v>1.10276</v>
      </c>
      <c r="L4188">
        <v>164.34790000000001</v>
      </c>
      <c r="M4188">
        <v>-3.1966519999999998E-2</v>
      </c>
      <c r="N4188">
        <v>0</v>
      </c>
      <c r="O4188">
        <v>-0.99939469999999997</v>
      </c>
      <c r="P4188">
        <v>-0.10719969999999999</v>
      </c>
      <c r="Q4188">
        <v>1.416538E-2</v>
      </c>
      <c r="R4188">
        <v>-0.99413689999999999</v>
      </c>
      <c r="S4188">
        <v>-1.666245</v>
      </c>
      <c r="T4188">
        <v>0.16208910000000001</v>
      </c>
      <c r="U4188">
        <v>-2.8408199999999999</v>
      </c>
      <c r="V4188">
        <v>7.5516929999999996E-2</v>
      </c>
      <c r="W4188">
        <v>2.7442169999999998E-2</v>
      </c>
      <c r="X4188">
        <v>0.99676679999999995</v>
      </c>
      <c r="Y4188">
        <v>0.47747719999999999</v>
      </c>
      <c r="Z4188">
        <v>-4.953113E-2</v>
      </c>
      <c r="AA4188">
        <v>0.87724690000000005</v>
      </c>
      <c r="AB4188">
        <v>22</v>
      </c>
      <c r="AC4188">
        <v>-27.499400000000001</v>
      </c>
      <c r="AD4188">
        <v>2.675694</v>
      </c>
      <c r="AE4188">
        <v>-46.770600000000002</v>
      </c>
      <c r="AF4188">
        <v>25.927052601631601</v>
      </c>
      <c r="AG4188">
        <v>2.675694</v>
      </c>
      <c r="AH4188">
        <v>47.510286873417698</v>
      </c>
      <c r="AI4188">
        <v>87.169824310310801</v>
      </c>
      <c r="AJ4188">
        <v>61.378062398648702</v>
      </c>
      <c r="AK4188">
        <v>54.190393556274003</v>
      </c>
    </row>
    <row r="4189" spans="1:37" x14ac:dyDescent="0.2">
      <c r="A4189" t="str">
        <f>"20200111155631922"</f>
        <v>20200111155631922</v>
      </c>
      <c r="B4189" t="str">
        <f>"1578729391916938"</f>
        <v>1578729391916938</v>
      </c>
      <c r="C4189" t="s">
        <v>37</v>
      </c>
      <c r="D4189">
        <v>3.8511229999999999</v>
      </c>
      <c r="E4189">
        <v>0.67037599999999997</v>
      </c>
      <c r="F4189" t="s">
        <v>73</v>
      </c>
      <c r="G4189">
        <v>-221.31280000000001</v>
      </c>
      <c r="H4189">
        <v>3.7518359999999999</v>
      </c>
      <c r="I4189">
        <v>117.7471</v>
      </c>
      <c r="J4189">
        <v>-193.72290000000001</v>
      </c>
      <c r="K4189">
        <v>1.102759</v>
      </c>
      <c r="L4189">
        <v>164.16069999999999</v>
      </c>
      <c r="M4189">
        <v>-3.5309319999999998E-2</v>
      </c>
      <c r="N4189">
        <v>0</v>
      </c>
      <c r="O4189">
        <v>-0.99928209999999995</v>
      </c>
      <c r="P4189">
        <v>-0.1136446</v>
      </c>
      <c r="Q4189">
        <v>1.3189380000000001E-2</v>
      </c>
      <c r="R4189">
        <v>-0.99343400000000004</v>
      </c>
      <c r="S4189">
        <v>-1.6786799999999999</v>
      </c>
      <c r="T4189">
        <v>0.16112279999999901</v>
      </c>
      <c r="U4189">
        <v>-2.8343660000000002</v>
      </c>
      <c r="V4189">
        <v>7.8641450000000002E-2</v>
      </c>
      <c r="W4189">
        <v>2.6445469999999999E-2</v>
      </c>
      <c r="X4189">
        <v>0.99655210000000005</v>
      </c>
      <c r="Y4189">
        <v>0.47827219999999998</v>
      </c>
      <c r="Z4189">
        <v>-4.9262199999999999E-2</v>
      </c>
      <c r="AA4189">
        <v>0.87682890000000002</v>
      </c>
      <c r="AB4189">
        <v>22</v>
      </c>
      <c r="AC4189">
        <v>-27.5899</v>
      </c>
      <c r="AD4189">
        <v>2.6490770000000001</v>
      </c>
      <c r="AE4189">
        <v>-46.413599999999903</v>
      </c>
      <c r="AF4189">
        <v>25.871431252550899</v>
      </c>
      <c r="AG4189">
        <v>2.6490770000000001</v>
      </c>
      <c r="AH4189">
        <v>47.2452027969372</v>
      </c>
      <c r="AI4189">
        <v>87.184466910936393</v>
      </c>
      <c r="AJ4189">
        <v>61.294926032321598</v>
      </c>
      <c r="AK4189">
        <v>53.930119148126501</v>
      </c>
    </row>
    <row r="4190" spans="1:37" x14ac:dyDescent="0.2">
      <c r="A4190" t="str">
        <f>"20200111155631935"</f>
        <v>20200111155631935</v>
      </c>
      <c r="B4190" t="str">
        <f>"1578729391926698"</f>
        <v>1578729391926698</v>
      </c>
      <c r="C4190" t="s">
        <v>37</v>
      </c>
      <c r="D4190">
        <v>3.8601629999999898</v>
      </c>
      <c r="E4190">
        <v>0.6704734</v>
      </c>
      <c r="F4190" t="s">
        <v>55</v>
      </c>
      <c r="G4190">
        <v>-226.39750000000001</v>
      </c>
      <c r="H4190">
        <v>4.1062310000000002</v>
      </c>
      <c r="I4190">
        <v>109.9336</v>
      </c>
      <c r="J4190">
        <v>-193.73009999999999</v>
      </c>
      <c r="K4190">
        <v>1.1027629999999999</v>
      </c>
      <c r="L4190">
        <v>164.0291</v>
      </c>
      <c r="M4190">
        <v>-3.7661470000000002E-2</v>
      </c>
      <c r="N4190">
        <v>0</v>
      </c>
      <c r="O4190">
        <v>-0.99919609999999903</v>
      </c>
      <c r="P4190">
        <v>-0.11748550000000001</v>
      </c>
      <c r="Q4190">
        <v>1.2661510000000001E-2</v>
      </c>
      <c r="R4190">
        <v>-0.99299380000000004</v>
      </c>
      <c r="S4190">
        <v>-1.7010959999999999</v>
      </c>
      <c r="T4190">
        <v>0.15636610000000001</v>
      </c>
      <c r="U4190">
        <v>-2.82315099999999</v>
      </c>
      <c r="V4190">
        <v>8.0146259999999997E-2</v>
      </c>
      <c r="W4190">
        <v>2.5907779999999998E-2</v>
      </c>
      <c r="X4190">
        <v>0.99644639999999995</v>
      </c>
      <c r="Y4190">
        <v>0.4828867</v>
      </c>
      <c r="Z4190">
        <v>-4.781349E-2</v>
      </c>
      <c r="AA4190">
        <v>0.874376499999999</v>
      </c>
      <c r="AB4190">
        <v>22</v>
      </c>
      <c r="AC4190">
        <v>-32.667400000000001</v>
      </c>
      <c r="AD4190">
        <v>3.0034679999999998</v>
      </c>
      <c r="AE4190">
        <v>-54.095500000000001</v>
      </c>
      <c r="AF4190">
        <v>30.537730293389799</v>
      </c>
      <c r="AG4190">
        <v>3.0034679999999998</v>
      </c>
      <c r="AH4190">
        <v>55.162926670831901</v>
      </c>
      <c r="AI4190">
        <v>87.272771543324396</v>
      </c>
      <c r="AJ4190">
        <v>61.031456737514802</v>
      </c>
      <c r="AK4190">
        <v>63.123072409305401</v>
      </c>
    </row>
    <row r="4191" spans="1:37" x14ac:dyDescent="0.2">
      <c r="A4191" t="str">
        <f>"20200111155631949"</f>
        <v>20200111155631949</v>
      </c>
      <c r="B4191" t="str">
        <f>"1578729391936458"</f>
        <v>1578729391936458</v>
      </c>
      <c r="C4191" t="s">
        <v>37</v>
      </c>
      <c r="D4191">
        <v>3.8977529999999998</v>
      </c>
      <c r="E4191">
        <v>0.67021790000000003</v>
      </c>
      <c r="F4191" t="s">
        <v>55</v>
      </c>
      <c r="G4191">
        <v>-226.3974</v>
      </c>
      <c r="H4191">
        <v>4.0521379999999896</v>
      </c>
      <c r="I4191">
        <v>110.3066</v>
      </c>
      <c r="J4191">
        <v>-193.73740000000001</v>
      </c>
      <c r="K4191">
        <v>1.102768</v>
      </c>
      <c r="L4191">
        <v>163.90520000000001</v>
      </c>
      <c r="M4191">
        <v>-3.9878419999999998E-2</v>
      </c>
      <c r="N4191">
        <v>0</v>
      </c>
      <c r="O4191">
        <v>-0.99911019999999995</v>
      </c>
      <c r="P4191">
        <v>-0.12135070000000001</v>
      </c>
      <c r="Q4191">
        <v>1.256475E-2</v>
      </c>
      <c r="R4191">
        <v>-0.99253049999999998</v>
      </c>
      <c r="S4191">
        <v>-1.712677</v>
      </c>
      <c r="T4191">
        <v>0.15462970000000001</v>
      </c>
      <c r="U4191">
        <v>-2.8165589999999998</v>
      </c>
      <c r="V4191">
        <v>8.1814159999999997E-2</v>
      </c>
      <c r="W4191">
        <v>2.5800050000000001E-2</v>
      </c>
      <c r="X4191">
        <v>0.99631360000000002</v>
      </c>
      <c r="Y4191">
        <v>0.48448999999999998</v>
      </c>
      <c r="Z4191">
        <v>-4.7303129999999999E-2</v>
      </c>
      <c r="AA4191">
        <v>0.87351699999999999</v>
      </c>
      <c r="AB4191">
        <v>22</v>
      </c>
      <c r="AC4191">
        <v>-32.659999999999997</v>
      </c>
      <c r="AD4191">
        <v>2.9493699999999898</v>
      </c>
      <c r="AE4191">
        <v>-53.598599999999998</v>
      </c>
      <c r="AF4191">
        <v>30.4291956240518</v>
      </c>
      <c r="AG4191">
        <v>2.9493699999999898</v>
      </c>
      <c r="AH4191">
        <v>54.737642103420001</v>
      </c>
      <c r="AI4191">
        <v>87.303693336244805</v>
      </c>
      <c r="AJ4191">
        <v>60.9298853237052</v>
      </c>
      <c r="AK4191">
        <v>62.696444817595598</v>
      </c>
    </row>
    <row r="4192" spans="1:37" x14ac:dyDescent="0.2">
      <c r="A4192" t="str">
        <f>"20200111155631962"</f>
        <v>20200111155631962</v>
      </c>
      <c r="B4192" t="str">
        <f>"1578729391956490"</f>
        <v>1578729391956490</v>
      </c>
      <c r="C4192" t="s">
        <v>37</v>
      </c>
      <c r="D4192">
        <v>3.875899</v>
      </c>
      <c r="E4192">
        <v>0.67007850000000002</v>
      </c>
      <c r="F4192" t="s">
        <v>55</v>
      </c>
      <c r="G4192">
        <v>-226.18539999999999</v>
      </c>
      <c r="H4192">
        <v>3.9656199999999999</v>
      </c>
      <c r="I4192">
        <v>110.937</v>
      </c>
      <c r="J4192">
        <v>-193.74549999999999</v>
      </c>
      <c r="K4192">
        <v>1.1027690000000001</v>
      </c>
      <c r="L4192">
        <v>163.7698</v>
      </c>
      <c r="M4192">
        <v>-4.2297330000000001E-2</v>
      </c>
      <c r="N4192">
        <v>0</v>
      </c>
      <c r="O4192">
        <v>-0.99901059999999997</v>
      </c>
      <c r="P4192">
        <v>-0.1252673</v>
      </c>
      <c r="Q4192">
        <v>1.25103E-2</v>
      </c>
      <c r="R4192">
        <v>-0.99204429999999999</v>
      </c>
      <c r="S4192">
        <v>-1.7215119999999999</v>
      </c>
      <c r="T4192">
        <v>0.151887299999999</v>
      </c>
      <c r="U4192">
        <v>-2.8101959999999999</v>
      </c>
      <c r="V4192">
        <v>8.3333909999999997E-2</v>
      </c>
      <c r="W4192">
        <v>2.57357E-2</v>
      </c>
      <c r="X4192">
        <v>0.99618930000000006</v>
      </c>
      <c r="Y4192">
        <v>0.48526930000000001</v>
      </c>
      <c r="Z4192">
        <v>-4.6502790000000002E-2</v>
      </c>
      <c r="AA4192">
        <v>0.87312719999999899</v>
      </c>
      <c r="AB4192">
        <v>21</v>
      </c>
      <c r="AC4192">
        <v>-32.439899999999902</v>
      </c>
      <c r="AD4192">
        <v>2.862851</v>
      </c>
      <c r="AE4192">
        <v>-52.832799999999899</v>
      </c>
      <c r="AF4192">
        <v>30.111757622274499</v>
      </c>
      <c r="AG4192">
        <v>2.862851</v>
      </c>
      <c r="AH4192">
        <v>54.0425237147616</v>
      </c>
      <c r="AI4192">
        <v>87.350495204051896</v>
      </c>
      <c r="AJ4192">
        <v>60.874043994611696</v>
      </c>
      <c r="AK4192">
        <v>61.931480140647203</v>
      </c>
    </row>
    <row r="4193" spans="1:37" x14ac:dyDescent="0.2">
      <c r="A4193" t="str">
        <f>"20200111155631977"</f>
        <v>20200111155631977</v>
      </c>
      <c r="B4193" t="str">
        <f>"1578729391967225"</f>
        <v>1578729391967225</v>
      </c>
      <c r="C4193" t="s">
        <v>37</v>
      </c>
      <c r="D4193">
        <v>5.1474390000000003</v>
      </c>
      <c r="E4193">
        <v>0.67007850000000002</v>
      </c>
      <c r="F4193" t="s">
        <v>55</v>
      </c>
      <c r="G4193">
        <v>-226.18539999999999</v>
      </c>
      <c r="H4193">
        <v>3.9115629999999899</v>
      </c>
      <c r="I4193">
        <v>111.2371</v>
      </c>
      <c r="J4193">
        <v>-193.75460000000001</v>
      </c>
      <c r="K4193">
        <v>1.1027769999999999</v>
      </c>
      <c r="L4193">
        <v>163.62360000000001</v>
      </c>
      <c r="M4193">
        <v>-4.49074E-2</v>
      </c>
      <c r="N4193">
        <v>0</v>
      </c>
      <c r="O4193">
        <v>-0.99889669999999897</v>
      </c>
      <c r="P4193">
        <v>-0.12976650000000001</v>
      </c>
      <c r="Q4193">
        <v>1.3085660000000001E-2</v>
      </c>
      <c r="R4193">
        <v>-0.99145839999999996</v>
      </c>
      <c r="S4193">
        <v>-1.731247</v>
      </c>
      <c r="T4193">
        <v>0.14989959999999999</v>
      </c>
      <c r="U4193">
        <v>-2.8035580000000002</v>
      </c>
      <c r="V4193">
        <v>8.5253659999999995E-2</v>
      </c>
      <c r="W4193">
        <v>2.6298180000000001E-2</v>
      </c>
      <c r="X4193">
        <v>0.99601219999999901</v>
      </c>
      <c r="Y4193">
        <v>0.48611769999999999</v>
      </c>
      <c r="Z4193">
        <v>-4.5929789999999998E-2</v>
      </c>
      <c r="AA4193">
        <v>0.87268559999999995</v>
      </c>
      <c r="AB4193">
        <v>21</v>
      </c>
      <c r="AC4193">
        <v>-32.430799999999898</v>
      </c>
      <c r="AD4193">
        <v>2.808786</v>
      </c>
      <c r="AE4193">
        <v>-52.386499999999998</v>
      </c>
      <c r="AF4193">
        <v>29.983000216896301</v>
      </c>
      <c r="AG4193">
        <v>2.808786</v>
      </c>
      <c r="AH4193">
        <v>53.678602470758698</v>
      </c>
      <c r="AI4193">
        <v>87.384395116922306</v>
      </c>
      <c r="AJ4193">
        <v>60.813793420718099</v>
      </c>
      <c r="AK4193">
        <v>61.5488581861105</v>
      </c>
    </row>
    <row r="4194" spans="1:37" x14ac:dyDescent="0.2">
      <c r="A4194" t="str">
        <f>"20200111155631991"</f>
        <v>20200111155631991</v>
      </c>
      <c r="B4194" t="str">
        <f>"1578729391986745"</f>
        <v>1578729391986745</v>
      </c>
      <c r="C4194" t="s">
        <v>37</v>
      </c>
      <c r="D4194">
        <v>5.1652250000000004</v>
      </c>
      <c r="E4194">
        <v>0.61424469999999898</v>
      </c>
      <c r="F4194" t="s">
        <v>55</v>
      </c>
      <c r="G4194">
        <v>-226.25989999999999</v>
      </c>
      <c r="H4194">
        <v>3.9241320000000002</v>
      </c>
      <c r="I4194">
        <v>111.51519999999999</v>
      </c>
      <c r="J4194">
        <v>-193.76169999999999</v>
      </c>
      <c r="K4194">
        <v>1.1027830000000001</v>
      </c>
      <c r="L4194">
        <v>163.51509999999999</v>
      </c>
      <c r="M4194">
        <v>-4.6842130000000003E-2</v>
      </c>
      <c r="N4194">
        <v>0</v>
      </c>
      <c r="O4194">
        <v>-0.99880789999999997</v>
      </c>
      <c r="P4194">
        <v>-0.1320769</v>
      </c>
      <c r="Q4194">
        <v>1.3899160000000001E-2</v>
      </c>
      <c r="R4194">
        <v>-0.99114199999999997</v>
      </c>
      <c r="S4194">
        <v>-1.7438959999999999</v>
      </c>
      <c r="T4194">
        <v>0.15136469999999999</v>
      </c>
      <c r="U4194">
        <v>-2.7955930000000002</v>
      </c>
      <c r="V4194">
        <v>8.5650539999999997E-2</v>
      </c>
      <c r="W4194">
        <v>2.7109459999999998E-2</v>
      </c>
      <c r="X4194">
        <v>0.99595639999999996</v>
      </c>
      <c r="Y4194">
        <v>0.48837170000000002</v>
      </c>
      <c r="Z4194">
        <v>-4.6401070000000003E-2</v>
      </c>
      <c r="AA4194">
        <v>0.87140119999999899</v>
      </c>
      <c r="AB4194">
        <v>21</v>
      </c>
      <c r="AC4194">
        <v>-32.498199999999997</v>
      </c>
      <c r="AD4194">
        <v>2.8213490000000001</v>
      </c>
      <c r="AE4194">
        <v>-51.999899999999997</v>
      </c>
      <c r="AF4194">
        <v>29.9630738813524</v>
      </c>
      <c r="AG4194">
        <v>2.8213490000000001</v>
      </c>
      <c r="AH4194">
        <v>53.352293269413899</v>
      </c>
      <c r="AI4194">
        <v>87.360088458168804</v>
      </c>
      <c r="AJ4194">
        <v>60.681085694258101</v>
      </c>
      <c r="AK4194">
        <v>61.255310004151802</v>
      </c>
    </row>
    <row r="4195" spans="1:37" x14ac:dyDescent="0.2">
      <c r="A4195" t="str">
        <f>"20200111155632004"</f>
        <v>20200111155632004</v>
      </c>
      <c r="B4195" t="str">
        <f>"1578729391997481"</f>
        <v>1578729391997481</v>
      </c>
      <c r="C4195" t="s">
        <v>37</v>
      </c>
      <c r="D4195">
        <v>5.1881079999999997</v>
      </c>
      <c r="E4195">
        <v>0.61689659999999902</v>
      </c>
      <c r="F4195" t="s">
        <v>72</v>
      </c>
      <c r="G4195">
        <v>-198.99199999999999</v>
      </c>
      <c r="H4195" s="1">
        <v>-1.293647E-5</v>
      </c>
      <c r="I4195">
        <v>151.8449</v>
      </c>
      <c r="J4195">
        <v>-193.77160000000001</v>
      </c>
      <c r="K4195">
        <v>1.1027940000000001</v>
      </c>
      <c r="L4195">
        <v>163.36850000000001</v>
      </c>
      <c r="M4195">
        <v>-4.9451559999999999E-2</v>
      </c>
      <c r="N4195">
        <v>0</v>
      </c>
      <c r="O4195">
        <v>-0.99868210000000002</v>
      </c>
      <c r="P4195">
        <v>-0.13493579999999999</v>
      </c>
      <c r="Q4195">
        <v>1.475955E-2</v>
      </c>
      <c r="R4195">
        <v>-0.99074430000000002</v>
      </c>
      <c r="S4195">
        <v>-1.2817080000000001</v>
      </c>
      <c r="T4195">
        <v>-0.27024379999999998</v>
      </c>
      <c r="U4195">
        <v>-2.8598020000000002</v>
      </c>
      <c r="V4195">
        <v>8.5926619999999995E-2</v>
      </c>
      <c r="W4195">
        <v>2.7967450000000001E-2</v>
      </c>
      <c r="X4195">
        <v>0.99590889999999999</v>
      </c>
      <c r="Y4195">
        <v>0.36181950000000002</v>
      </c>
      <c r="Z4195">
        <v>8.6606530000000001E-2</v>
      </c>
      <c r="AA4195">
        <v>0.9282165</v>
      </c>
      <c r="AB4195">
        <v>21</v>
      </c>
      <c r="AC4195">
        <v>-5.2204000000000104</v>
      </c>
      <c r="AD4195">
        <v>-1.1028069364699999</v>
      </c>
      <c r="AE4195">
        <v>-11.5236</v>
      </c>
      <c r="AF4195">
        <v>4.6090738299396898</v>
      </c>
      <c r="AG4195">
        <v>-1.1028069364699999</v>
      </c>
      <c r="AH4195">
        <v>11.678931980201</v>
      </c>
      <c r="AI4195">
        <v>95.019660942872306</v>
      </c>
      <c r="AJ4195">
        <v>68.463399903050004</v>
      </c>
      <c r="AK4195">
        <v>12.6038564299632</v>
      </c>
    </row>
    <row r="4196" spans="1:37" x14ac:dyDescent="0.2">
      <c r="A4196" t="str">
        <f>"20200111155632018"</f>
        <v>20200111155632018</v>
      </c>
      <c r="B4196" t="str">
        <f>"1578729392007241"</f>
        <v>1578729392007241</v>
      </c>
      <c r="C4196" t="s">
        <v>37</v>
      </c>
      <c r="D4196">
        <v>5.1223479999999997</v>
      </c>
      <c r="E4196">
        <v>0.61793310000000001</v>
      </c>
      <c r="F4196" t="s">
        <v>72</v>
      </c>
      <c r="G4196">
        <v>-199.2165</v>
      </c>
      <c r="H4196" s="1">
        <v>-1.2874530000000001E-5</v>
      </c>
      <c r="I4196">
        <v>151.5197</v>
      </c>
      <c r="J4196">
        <v>-193.7807</v>
      </c>
      <c r="K4196">
        <v>1.102803</v>
      </c>
      <c r="L4196">
        <v>163.23670000000001</v>
      </c>
      <c r="M4196">
        <v>-5.1794180000000002E-2</v>
      </c>
      <c r="N4196">
        <v>0</v>
      </c>
      <c r="O4196">
        <v>-0.99856339999999999</v>
      </c>
      <c r="P4196">
        <v>-0.1373955</v>
      </c>
      <c r="Q4196">
        <v>1.5808050000000001E-2</v>
      </c>
      <c r="R4196">
        <v>-0.9903902</v>
      </c>
      <c r="S4196">
        <v>-1.311234</v>
      </c>
      <c r="T4196">
        <v>-0.26557629999999999</v>
      </c>
      <c r="U4196">
        <v>-2.8534090000000001</v>
      </c>
      <c r="V4196">
        <v>8.6069439999999997E-2</v>
      </c>
      <c r="W4196">
        <v>2.9015579999999999E-2</v>
      </c>
      <c r="X4196">
        <v>0.99586649999999999</v>
      </c>
      <c r="Y4196">
        <v>0.36842029999999998</v>
      </c>
      <c r="Z4196">
        <v>8.4992830000000005E-2</v>
      </c>
      <c r="AA4196">
        <v>0.92576599999999998</v>
      </c>
      <c r="AB4196">
        <v>21</v>
      </c>
      <c r="AC4196">
        <v>-5.4358000000000004</v>
      </c>
      <c r="AD4196">
        <v>-1.1028158745300001</v>
      </c>
      <c r="AE4196">
        <v>-11.717000000000001</v>
      </c>
      <c r="AF4196">
        <v>4.7866789937743803</v>
      </c>
      <c r="AG4196">
        <v>-1.1028158745300001</v>
      </c>
      <c r="AH4196">
        <v>11.8961191411725</v>
      </c>
      <c r="AI4196">
        <v>94.915501692491603</v>
      </c>
      <c r="AJ4196">
        <v>68.081469470021304</v>
      </c>
      <c r="AK4196">
        <v>12.870359329231199</v>
      </c>
    </row>
    <row r="4197" spans="1:37" x14ac:dyDescent="0.2">
      <c r="A4197" t="str">
        <f>"20200111155632034"</f>
        <v>20200111155632034</v>
      </c>
      <c r="B4197" t="str">
        <f>"1578729392026760"</f>
        <v>1578729392026760</v>
      </c>
      <c r="C4197" t="s">
        <v>37</v>
      </c>
      <c r="D4197">
        <v>5.0467649999999997</v>
      </c>
      <c r="E4197">
        <v>0.61991949999999996</v>
      </c>
      <c r="F4197" t="s">
        <v>72</v>
      </c>
      <c r="G4197">
        <v>-199.33539999999999</v>
      </c>
      <c r="H4197" s="1">
        <v>-1.283113E-5</v>
      </c>
      <c r="I4197">
        <v>151.30529999999999</v>
      </c>
      <c r="J4197">
        <v>-193.79179999999999</v>
      </c>
      <c r="K4197">
        <v>1.102832</v>
      </c>
      <c r="L4197">
        <v>163.08430000000001</v>
      </c>
      <c r="M4197">
        <v>-5.4499279999999997E-2</v>
      </c>
      <c r="N4197">
        <v>0</v>
      </c>
      <c r="O4197">
        <v>-0.99841959999999996</v>
      </c>
      <c r="P4197">
        <v>-0.13898160000000001</v>
      </c>
      <c r="Q4197">
        <v>1.8448699999999998E-2</v>
      </c>
      <c r="R4197">
        <v>-0.99012330000000004</v>
      </c>
      <c r="S4197">
        <v>-1.326508</v>
      </c>
      <c r="T4197">
        <v>-0.26336129999999902</v>
      </c>
      <c r="U4197">
        <v>-2.8493189999999999</v>
      </c>
      <c r="V4197">
        <v>8.4982429999999998E-2</v>
      </c>
      <c r="W4197">
        <v>3.1661769999999999E-2</v>
      </c>
      <c r="X4197">
        <v>0.99587929999999902</v>
      </c>
      <c r="Y4197">
        <v>0.37052009999999902</v>
      </c>
      <c r="Z4197">
        <v>8.425357E-2</v>
      </c>
      <c r="AA4197">
        <v>0.92499519999999902</v>
      </c>
      <c r="AB4197">
        <v>21</v>
      </c>
      <c r="AC4197">
        <v>-5.5435999999999899</v>
      </c>
      <c r="AD4197">
        <v>-1.1028448311300001</v>
      </c>
      <c r="AE4197">
        <v>-11.779</v>
      </c>
      <c r="AF4197">
        <v>4.8584847104499502</v>
      </c>
      <c r="AG4197">
        <v>-1.1028448311300001</v>
      </c>
      <c r="AH4197">
        <v>11.9776822688676</v>
      </c>
      <c r="AI4197">
        <v>94.876829370637395</v>
      </c>
      <c r="AJ4197">
        <v>67.921142020181605</v>
      </c>
      <c r="AK4197">
        <v>12.972509893508301</v>
      </c>
    </row>
    <row r="4198" spans="1:37" x14ac:dyDescent="0.2">
      <c r="A4198" t="str">
        <f>"20200111155632047"</f>
        <v>20200111155632047</v>
      </c>
      <c r="B4198" t="str">
        <f>"1578729392036521"</f>
        <v>1578729392036521</v>
      </c>
      <c r="C4198" t="s">
        <v>37</v>
      </c>
      <c r="D4198">
        <v>5.0760399999999999</v>
      </c>
      <c r="E4198">
        <v>0.62066480000000002</v>
      </c>
      <c r="F4198" t="s">
        <v>72</v>
      </c>
      <c r="G4198">
        <v>-199.70070000000001</v>
      </c>
      <c r="H4198" s="1">
        <v>-1.2686979999999999E-5</v>
      </c>
      <c r="I4198">
        <v>150.6036</v>
      </c>
      <c r="J4198">
        <v>-193.80119999999999</v>
      </c>
      <c r="K4198">
        <v>1.1028450000000001</v>
      </c>
      <c r="L4198">
        <v>162.95920000000001</v>
      </c>
      <c r="M4198">
        <v>-5.6717669999999998E-2</v>
      </c>
      <c r="N4198">
        <v>0</v>
      </c>
      <c r="O4198">
        <v>-0.99829599999999996</v>
      </c>
      <c r="P4198">
        <v>-0.1401965</v>
      </c>
      <c r="Q4198">
        <v>1.9805819999999998E-2</v>
      </c>
      <c r="R4198">
        <v>-0.98992590000000003</v>
      </c>
      <c r="S4198">
        <v>-1.347183</v>
      </c>
      <c r="T4198">
        <v>-0.25144</v>
      </c>
      <c r="U4198">
        <v>-2.8454899999999999</v>
      </c>
      <c r="V4198">
        <v>8.3999599999999994E-2</v>
      </c>
      <c r="W4198">
        <v>3.3024810000000002E-2</v>
      </c>
      <c r="X4198">
        <v>0.99591839999999998</v>
      </c>
      <c r="Y4198">
        <v>0.37457360000000001</v>
      </c>
      <c r="Z4198">
        <v>8.0363729999999994E-2</v>
      </c>
      <c r="AA4198">
        <v>0.92370790000000003</v>
      </c>
      <c r="AB4198">
        <v>21</v>
      </c>
      <c r="AC4198">
        <v>-5.8995000000000104</v>
      </c>
      <c r="AD4198">
        <v>-1.10285768698</v>
      </c>
      <c r="AE4198">
        <v>-12.355600000000001</v>
      </c>
      <c r="AF4198">
        <v>5.1557039119352801</v>
      </c>
      <c r="AG4198">
        <v>-1.10285768698</v>
      </c>
      <c r="AH4198">
        <v>12.5886675179212</v>
      </c>
      <c r="AI4198">
        <v>94.634916750383098</v>
      </c>
      <c r="AJ4198">
        <v>67.728388038002194</v>
      </c>
      <c r="AK4198">
        <v>13.648154739086101</v>
      </c>
    </row>
    <row r="4199" spans="1:37" x14ac:dyDescent="0.2">
      <c r="A4199" t="str">
        <f>"20200111155632061"</f>
        <v>20200111155632061</v>
      </c>
      <c r="B4199" t="str">
        <f>"1578729392056550"</f>
        <v>1578729392056550</v>
      </c>
      <c r="C4199" t="s">
        <v>37</v>
      </c>
      <c r="D4199">
        <v>5.1730320000000001</v>
      </c>
      <c r="E4199">
        <v>0.62198730000000002</v>
      </c>
      <c r="F4199" t="s">
        <v>72</v>
      </c>
      <c r="G4199">
        <v>-199.9024</v>
      </c>
      <c r="H4199" s="1">
        <v>-1.2596530000000001E-5</v>
      </c>
      <c r="I4199">
        <v>150.173</v>
      </c>
      <c r="J4199">
        <v>-193.8116</v>
      </c>
      <c r="K4199">
        <v>1.102857</v>
      </c>
      <c r="L4199">
        <v>162.8235</v>
      </c>
      <c r="M4199">
        <v>-5.912162E-2</v>
      </c>
      <c r="N4199">
        <v>0</v>
      </c>
      <c r="O4199">
        <v>-0.99815640000000005</v>
      </c>
      <c r="P4199">
        <v>-0.14148089999999999</v>
      </c>
      <c r="Q4199">
        <v>2.0261459999999998E-2</v>
      </c>
      <c r="R4199">
        <v>-0.98973389999999895</v>
      </c>
      <c r="S4199">
        <v>-1.356735</v>
      </c>
      <c r="T4199">
        <v>-0.245244299999999</v>
      </c>
      <c r="U4199">
        <v>-2.8432770000000001</v>
      </c>
      <c r="V4199">
        <v>8.2895510000000006E-2</v>
      </c>
      <c r="W4199">
        <v>3.3487080000000002E-2</v>
      </c>
      <c r="X4199">
        <v>0.99599550000000003</v>
      </c>
      <c r="Y4199">
        <v>0.37521909999999897</v>
      </c>
      <c r="Z4199">
        <v>7.8370670000000003E-2</v>
      </c>
      <c r="AA4199">
        <v>0.92361709999999997</v>
      </c>
      <c r="AB4199">
        <v>21</v>
      </c>
      <c r="AC4199">
        <v>-6.0907999999999998</v>
      </c>
      <c r="AD4199">
        <v>-1.1028695965299999</v>
      </c>
      <c r="AE4199">
        <v>-12.6504999999999</v>
      </c>
      <c r="AF4199">
        <v>5.2994574121081603</v>
      </c>
      <c r="AG4199">
        <v>-1.1028695965299999</v>
      </c>
      <c r="AH4199">
        <v>12.908850988352199</v>
      </c>
      <c r="AI4199">
        <v>94.518941298912694</v>
      </c>
      <c r="AJ4199">
        <v>67.680429039831793</v>
      </c>
      <c r="AK4199">
        <v>13.9978214036749</v>
      </c>
    </row>
    <row r="4200" spans="1:37" x14ac:dyDescent="0.2">
      <c r="A4200" t="str">
        <f>"20200111155632074"</f>
        <v>20200111155632074</v>
      </c>
      <c r="B4200" t="str">
        <f>"1578729392067286"</f>
        <v>1578729392067286</v>
      </c>
      <c r="C4200" t="s">
        <v>37</v>
      </c>
      <c r="D4200">
        <v>4.267474</v>
      </c>
      <c r="E4200">
        <v>0.62198730000000002</v>
      </c>
      <c r="F4200" t="s">
        <v>72</v>
      </c>
      <c r="G4200">
        <v>-200.02279999999999</v>
      </c>
      <c r="H4200" s="1">
        <v>-1.251546E-5</v>
      </c>
      <c r="I4200">
        <v>149.9572</v>
      </c>
      <c r="J4200">
        <v>-193.82149999999999</v>
      </c>
      <c r="K4200">
        <v>1.102865</v>
      </c>
      <c r="L4200">
        <v>162.6985</v>
      </c>
      <c r="M4200">
        <v>-6.133657E-2</v>
      </c>
      <c r="N4200">
        <v>0</v>
      </c>
      <c r="O4200">
        <v>-0.99802299999999999</v>
      </c>
      <c r="P4200">
        <v>-0.1424002</v>
      </c>
      <c r="Q4200">
        <v>2.066513E-2</v>
      </c>
      <c r="R4200">
        <v>-0.98959370000000002</v>
      </c>
      <c r="S4200">
        <v>-1.3710629999999999</v>
      </c>
      <c r="T4200">
        <v>-0.24344779999999999</v>
      </c>
      <c r="U4200">
        <v>-2.840103</v>
      </c>
      <c r="V4200">
        <v>8.1612130000000005E-2</v>
      </c>
      <c r="W4200">
        <v>3.389884E-2</v>
      </c>
      <c r="X4200">
        <v>0.99608750000000001</v>
      </c>
      <c r="Y4200">
        <v>0.37737100000000001</v>
      </c>
      <c r="Z4200">
        <v>7.7746819999999994E-2</v>
      </c>
      <c r="AA4200">
        <v>0.92279279999999997</v>
      </c>
      <c r="AB4200">
        <v>21</v>
      </c>
      <c r="AC4200">
        <v>-6.2012999999999998</v>
      </c>
      <c r="AD4200">
        <v>-1.1028775154599999</v>
      </c>
      <c r="AE4200">
        <v>-12.741299999999899</v>
      </c>
      <c r="AF4200">
        <v>5.3754782664006902</v>
      </c>
      <c r="AG4200">
        <v>-1.1028775154599999</v>
      </c>
      <c r="AH4200">
        <v>13.018845190929399</v>
      </c>
      <c r="AI4200">
        <v>94.477226550167103</v>
      </c>
      <c r="AJ4200">
        <v>67.564280550196699</v>
      </c>
      <c r="AK4200">
        <v>14.128072604288199</v>
      </c>
    </row>
    <row r="4201" spans="1:37" x14ac:dyDescent="0.2">
      <c r="A4201" t="str">
        <f>"20200111155632090"</f>
        <v>20200111155632090</v>
      </c>
      <c r="B4201" t="str">
        <f>"1578729392086806"</f>
        <v>1578729392086806</v>
      </c>
      <c r="C4201" t="s">
        <v>37</v>
      </c>
      <c r="D4201">
        <v>4.1734309999999999</v>
      </c>
      <c r="E4201">
        <v>0.62198730000000002</v>
      </c>
      <c r="F4201" t="s">
        <v>72</v>
      </c>
      <c r="G4201">
        <v>-200.06870000000001</v>
      </c>
      <c r="H4201" s="1">
        <v>-1.244999E-5</v>
      </c>
      <c r="I4201">
        <v>149.786</v>
      </c>
      <c r="J4201">
        <v>-193.83349999999999</v>
      </c>
      <c r="K4201">
        <v>1.102875</v>
      </c>
      <c r="L4201">
        <v>162.55240000000001</v>
      </c>
      <c r="M4201">
        <v>-6.3924460000000002E-2</v>
      </c>
      <c r="N4201">
        <v>0</v>
      </c>
      <c r="O4201">
        <v>-0.99786059999999999</v>
      </c>
      <c r="P4201">
        <v>-0.1428615</v>
      </c>
      <c r="Q4201">
        <v>2.0142420000000001E-2</v>
      </c>
      <c r="R4201">
        <v>-0.98953809999999998</v>
      </c>
      <c r="S4201">
        <v>-1.373535</v>
      </c>
      <c r="T4201">
        <v>-0.24248330000000001</v>
      </c>
      <c r="U4201">
        <v>-2.83898899999999</v>
      </c>
      <c r="V4201">
        <v>7.9488420000000004E-2</v>
      </c>
      <c r="W4201">
        <v>3.338986E-2</v>
      </c>
      <c r="X4201">
        <v>0.99627639999999995</v>
      </c>
      <c r="Y4201">
        <v>0.37577300000000002</v>
      </c>
      <c r="Z4201">
        <v>7.7460929999999997E-2</v>
      </c>
      <c r="AA4201">
        <v>0.92346870000000003</v>
      </c>
      <c r="AB4201">
        <v>21</v>
      </c>
      <c r="AC4201">
        <v>-6.2352000000000096</v>
      </c>
      <c r="AD4201">
        <v>-1.1028874499900001</v>
      </c>
      <c r="AE4201">
        <v>-12.766400000000001</v>
      </c>
      <c r="AF4201">
        <v>5.3739010243489496</v>
      </c>
      <c r="AG4201">
        <v>-1.1028874499900001</v>
      </c>
      <c r="AH4201">
        <v>13.0602054973231</v>
      </c>
      <c r="AI4201">
        <v>94.465382639793106</v>
      </c>
      <c r="AJ4201">
        <v>67.634235425361993</v>
      </c>
      <c r="AK4201">
        <v>14.165597078102801</v>
      </c>
    </row>
    <row r="4202" spans="1:37" x14ac:dyDescent="0.2">
      <c r="A4202" t="str">
        <f>"20200111155632112"</f>
        <v>20200111155632112</v>
      </c>
      <c r="B4202" t="str">
        <f>"1578729392107302"</f>
        <v>1578729392107302</v>
      </c>
      <c r="C4202" t="s">
        <v>37</v>
      </c>
      <c r="D4202">
        <v>4.208704</v>
      </c>
      <c r="E4202">
        <v>0.62198730000000002</v>
      </c>
      <c r="F4202" t="s">
        <v>72</v>
      </c>
      <c r="G4202">
        <v>-200.03450000000001</v>
      </c>
      <c r="H4202" s="1">
        <v>-1.2457409999999999E-5</v>
      </c>
      <c r="I4202">
        <v>149.7491</v>
      </c>
      <c r="J4202">
        <v>-193.85149999999999</v>
      </c>
      <c r="K4202">
        <v>1.1028799999999901</v>
      </c>
      <c r="L4202">
        <v>162.3408</v>
      </c>
      <c r="M4202">
        <v>-6.7672709999999997E-2</v>
      </c>
      <c r="N4202">
        <v>0</v>
      </c>
      <c r="O4202">
        <v>-0.99761330000000004</v>
      </c>
      <c r="P4202">
        <v>-0.1453072</v>
      </c>
      <c r="Q4202">
        <v>1.9198150000000001E-2</v>
      </c>
      <c r="R4202">
        <v>-0.98920049999999904</v>
      </c>
      <c r="S4202">
        <v>-1.3746339999999999</v>
      </c>
      <c r="T4202">
        <v>-0.244489399999999</v>
      </c>
      <c r="U4202">
        <v>-2.8382419999999899</v>
      </c>
      <c r="V4202">
        <v>7.8200939999999997E-2</v>
      </c>
      <c r="W4202">
        <v>3.2453389999999999E-2</v>
      </c>
      <c r="X4202">
        <v>0.996409199999999</v>
      </c>
      <c r="Y4202">
        <v>0.37265369999999998</v>
      </c>
      <c r="Z4202">
        <v>7.8131229999999996E-2</v>
      </c>
      <c r="AA4202">
        <v>0.92467549999999898</v>
      </c>
      <c r="AB4202">
        <v>21</v>
      </c>
      <c r="AC4202">
        <v>-6.1830000000000203</v>
      </c>
      <c r="AD4202">
        <v>-1.1028924574099901</v>
      </c>
      <c r="AE4202">
        <v>-12.591699999999999</v>
      </c>
      <c r="AF4202">
        <v>5.2839665111256497</v>
      </c>
      <c r="AG4202">
        <v>-1.1028924574099901</v>
      </c>
      <c r="AH4202">
        <v>12.9015396093859</v>
      </c>
      <c r="AI4202">
        <v>94.523115295839801</v>
      </c>
      <c r="AJ4202">
        <v>67.727910909828694</v>
      </c>
      <c r="AK4202">
        <v>13.9852207045817</v>
      </c>
    </row>
    <row r="4203" spans="1:37" x14ac:dyDescent="0.2">
      <c r="A4203" t="str">
        <f>"20200111155632129"</f>
        <v>20200111155632129</v>
      </c>
      <c r="B4203" t="str">
        <f>"1578729392126823"</f>
        <v>1578729392126823</v>
      </c>
      <c r="C4203" t="s">
        <v>37</v>
      </c>
      <c r="D4203">
        <v>4.2016970000000002</v>
      </c>
      <c r="E4203">
        <v>0.62198730000000002</v>
      </c>
      <c r="F4203" t="s">
        <v>72</v>
      </c>
      <c r="G4203">
        <v>-200.0155</v>
      </c>
      <c r="H4203" s="1">
        <v>-1.245291E-5</v>
      </c>
      <c r="I4203">
        <v>149.69460000000001</v>
      </c>
      <c r="J4203">
        <v>-193.8656</v>
      </c>
      <c r="K4203">
        <v>1.1028830000000001</v>
      </c>
      <c r="L4203">
        <v>162.1814</v>
      </c>
      <c r="M4203">
        <v>-7.0496899999999904E-2</v>
      </c>
      <c r="N4203">
        <v>0</v>
      </c>
      <c r="O4203">
        <v>-0.99741769999999996</v>
      </c>
      <c r="P4203">
        <v>-0.14798639999999999</v>
      </c>
      <c r="Q4203">
        <v>1.8752459999999999E-2</v>
      </c>
      <c r="R4203">
        <v>-0.98881160000000001</v>
      </c>
      <c r="S4203">
        <v>-1.3816679999999999</v>
      </c>
      <c r="T4203">
        <v>-0.247211499999999</v>
      </c>
      <c r="U4203">
        <v>-2.8346100000000001</v>
      </c>
      <c r="V4203">
        <v>7.8075629999999993E-2</v>
      </c>
      <c r="W4203">
        <v>3.200778E-2</v>
      </c>
      <c r="X4203">
        <v>0.99643349999999897</v>
      </c>
      <c r="Y4203">
        <v>0.37231759999999903</v>
      </c>
      <c r="Z4203">
        <v>7.9027120000000006E-2</v>
      </c>
      <c r="AA4203">
        <v>0.92473470000000002</v>
      </c>
      <c r="AB4203">
        <v>21</v>
      </c>
      <c r="AC4203">
        <v>-6.1498999999999997</v>
      </c>
      <c r="AD4203">
        <v>-1.1028954529099999</v>
      </c>
      <c r="AE4203">
        <v>-12.486799999999899</v>
      </c>
      <c r="AF4203">
        <v>5.2214505136706304</v>
      </c>
      <c r="AG4203">
        <v>-1.1028954529099999</v>
      </c>
      <c r="AH4203">
        <v>12.8088977789059</v>
      </c>
      <c r="AI4203">
        <v>94.558752732802802</v>
      </c>
      <c r="AJ4203">
        <v>67.822105079393907</v>
      </c>
      <c r="AK4203">
        <v>13.876158912221401</v>
      </c>
    </row>
    <row r="4204" spans="1:37" x14ac:dyDescent="0.2">
      <c r="A4204" t="str">
        <f>"20200111155632142"</f>
        <v>20200111155632142</v>
      </c>
      <c r="B4204" t="str">
        <f>"1578729392136582"</f>
        <v>1578729392136582</v>
      </c>
      <c r="C4204" t="s">
        <v>37</v>
      </c>
      <c r="D4204">
        <v>4.1488519999999998</v>
      </c>
      <c r="E4204">
        <v>0.62198730000000002</v>
      </c>
      <c r="F4204" t="s">
        <v>72</v>
      </c>
      <c r="G4204">
        <v>-200.03319999999999</v>
      </c>
      <c r="H4204" s="1">
        <v>-1.242722E-5</v>
      </c>
      <c r="I4204">
        <v>149.614</v>
      </c>
      <c r="J4204">
        <v>-193.87809999999999</v>
      </c>
      <c r="K4204">
        <v>1.1028849999999999</v>
      </c>
      <c r="L4204">
        <v>162.04320000000001</v>
      </c>
      <c r="M4204">
        <v>-7.2946670000000005E-2</v>
      </c>
      <c r="N4204">
        <v>0</v>
      </c>
      <c r="O4204">
        <v>-0.99724139999999994</v>
      </c>
      <c r="P4204">
        <v>-0.15039</v>
      </c>
      <c r="Q4204">
        <v>1.8362690000000001E-2</v>
      </c>
      <c r="R4204">
        <v>-0.98845609999999995</v>
      </c>
      <c r="S4204">
        <v>-1.3892359999999999</v>
      </c>
      <c r="T4204">
        <v>-0.248420899999999</v>
      </c>
      <c r="U4204">
        <v>-2.83071899999999</v>
      </c>
      <c r="V4204">
        <v>7.8047649999999996E-2</v>
      </c>
      <c r="W4204">
        <v>3.1617920000000001E-2</v>
      </c>
      <c r="X4204">
        <v>0.99644809999999995</v>
      </c>
      <c r="Y4204">
        <v>0.37251999999999902</v>
      </c>
      <c r="Z4204">
        <v>7.9439739999999995E-2</v>
      </c>
      <c r="AA4204">
        <v>0.92461789999999999</v>
      </c>
      <c r="AB4204">
        <v>21</v>
      </c>
      <c r="AC4204">
        <v>-6.1551</v>
      </c>
      <c r="AD4204">
        <v>-1.1028974272200001</v>
      </c>
      <c r="AE4204">
        <v>-12.4292</v>
      </c>
      <c r="AF4204">
        <v>5.1990701826944603</v>
      </c>
      <c r="AG4204">
        <v>-1.1028974272200001</v>
      </c>
      <c r="AH4204">
        <v>12.7644057227942</v>
      </c>
      <c r="AI4204">
        <v>94.575112932517001</v>
      </c>
      <c r="AJ4204">
        <v>67.838440559840507</v>
      </c>
      <c r="AK4204">
        <v>13.8266686861172</v>
      </c>
    </row>
    <row r="4205" spans="1:37" x14ac:dyDescent="0.2">
      <c r="A4205" t="str">
        <f>"20200111155632156"</f>
        <v>20200111155632156</v>
      </c>
      <c r="B4205" t="str">
        <f>"1578729392146851"</f>
        <v>1578729392146851</v>
      </c>
      <c r="C4205" t="s">
        <v>37</v>
      </c>
      <c r="D4205">
        <v>4.158156</v>
      </c>
      <c r="E4205">
        <v>0.62198730000000002</v>
      </c>
      <c r="F4205" t="s">
        <v>72</v>
      </c>
      <c r="G4205">
        <v>-200.04750000000001</v>
      </c>
      <c r="H4205" s="1">
        <v>-1.24018699999999E-5</v>
      </c>
      <c r="I4205">
        <v>149.55000000000001</v>
      </c>
      <c r="J4205">
        <v>-193.8895</v>
      </c>
      <c r="K4205">
        <v>1.102878</v>
      </c>
      <c r="L4205">
        <v>161.9212</v>
      </c>
      <c r="M4205">
        <v>-7.5108380000000002E-2</v>
      </c>
      <c r="N4205">
        <v>0</v>
      </c>
      <c r="O4205">
        <v>-0.997081</v>
      </c>
      <c r="P4205">
        <v>-0.15266759999999999</v>
      </c>
      <c r="Q4205">
        <v>1.7824059999999999E-2</v>
      </c>
      <c r="R4205">
        <v>-0.98811680000000002</v>
      </c>
      <c r="S4205">
        <v>-1.396164</v>
      </c>
      <c r="T4205">
        <v>-0.24959249999999999</v>
      </c>
      <c r="U4205">
        <v>-2.8272710000000001</v>
      </c>
      <c r="V4205">
        <v>7.8179899999999997E-2</v>
      </c>
      <c r="W4205">
        <v>3.1077919999999998E-2</v>
      </c>
      <c r="X4205">
        <v>0.99645479999999997</v>
      </c>
      <c r="Y4205">
        <v>0.372764599999999</v>
      </c>
      <c r="Z4205">
        <v>7.9834160000000001E-2</v>
      </c>
      <c r="AA4205">
        <v>0.92448529999999995</v>
      </c>
      <c r="AB4205">
        <v>21</v>
      </c>
      <c r="AC4205">
        <v>-6.1580000000000101</v>
      </c>
      <c r="AD4205">
        <v>-1.1028904018700001</v>
      </c>
      <c r="AE4205">
        <v>-12.3711999999999</v>
      </c>
      <c r="AF4205">
        <v>5.1783509545323803</v>
      </c>
      <c r="AG4205">
        <v>-1.1028904018700001</v>
      </c>
      <c r="AH4205">
        <v>12.7178043490968</v>
      </c>
      <c r="AI4205">
        <v>94.591994927643199</v>
      </c>
      <c r="AJ4205">
        <v>67.845156777094999</v>
      </c>
      <c r="AK4205">
        <v>13.775856899254901</v>
      </c>
    </row>
    <row r="4206" spans="1:37" x14ac:dyDescent="0.2">
      <c r="A4206" t="str">
        <f>"20200111155632169"</f>
        <v>20200111155632169</v>
      </c>
      <c r="B4206" t="str">
        <f>"1578729392156612"</f>
        <v>1578729392156612</v>
      </c>
      <c r="C4206" t="s">
        <v>37</v>
      </c>
      <c r="D4206">
        <v>4.2532949999999996</v>
      </c>
      <c r="E4206">
        <v>0.62198730000000002</v>
      </c>
      <c r="F4206" t="s">
        <v>72</v>
      </c>
      <c r="G4206">
        <v>-200.05950000000001</v>
      </c>
      <c r="H4206" s="1">
        <v>-1.238208E-5</v>
      </c>
      <c r="I4206">
        <v>149.50139999999999</v>
      </c>
      <c r="J4206">
        <v>-193.9008</v>
      </c>
      <c r="K4206">
        <v>1.102875</v>
      </c>
      <c r="L4206">
        <v>161.80369999999999</v>
      </c>
      <c r="M4206">
        <v>-7.7194170000000006E-2</v>
      </c>
      <c r="N4206">
        <v>0</v>
      </c>
      <c r="O4206">
        <v>-0.99692179999999997</v>
      </c>
      <c r="P4206">
        <v>-0.15500520000000001</v>
      </c>
      <c r="Q4206">
        <v>1.7215850000000001E-2</v>
      </c>
      <c r="R4206">
        <v>-0.98776379999999997</v>
      </c>
      <c r="S4206">
        <v>-1.402847</v>
      </c>
      <c r="T4206">
        <v>-0.25075929999999902</v>
      </c>
      <c r="U4206">
        <v>-2.8238369999999899</v>
      </c>
      <c r="V4206">
        <v>7.8448770000000001E-2</v>
      </c>
      <c r="W4206">
        <v>3.046739E-2</v>
      </c>
      <c r="X4206">
        <v>0.99645249999999996</v>
      </c>
      <c r="Y4206">
        <v>0.37301309999999999</v>
      </c>
      <c r="Z4206">
        <v>8.0228129999999995E-2</v>
      </c>
      <c r="AA4206">
        <v>0.92435089999999998</v>
      </c>
      <c r="AB4206">
        <v>21</v>
      </c>
      <c r="AC4206">
        <v>-6.1586999999999996</v>
      </c>
      <c r="AD4206">
        <v>-1.10288738207999</v>
      </c>
      <c r="AE4206">
        <v>-12.302300000000001</v>
      </c>
      <c r="AF4206">
        <v>5.1574208033075699</v>
      </c>
      <c r="AG4206">
        <v>-1.10288738207999</v>
      </c>
      <c r="AH4206">
        <v>12.6596884454126</v>
      </c>
      <c r="AI4206">
        <v>94.612625328865306</v>
      </c>
      <c r="AJ4206">
        <v>67.834547120306297</v>
      </c>
      <c r="AK4206">
        <v>13.7143378059189</v>
      </c>
    </row>
    <row r="4207" spans="1:37" x14ac:dyDescent="0.2">
      <c r="A4207" t="str">
        <f>"20200111155632182"</f>
        <v>20200111155632182</v>
      </c>
      <c r="B4207" t="str">
        <f>"1578729392177106"</f>
        <v>1578729392177106</v>
      </c>
      <c r="C4207" t="s">
        <v>37</v>
      </c>
      <c r="D4207">
        <v>4.1653699999999896</v>
      </c>
      <c r="E4207">
        <v>0.62198730000000002</v>
      </c>
      <c r="F4207" t="s">
        <v>72</v>
      </c>
      <c r="G4207">
        <v>-200.05879999999999</v>
      </c>
      <c r="H4207" s="1">
        <v>-1.23767E-5</v>
      </c>
      <c r="I4207">
        <v>149.48220000000001</v>
      </c>
      <c r="J4207">
        <v>-193.91390000000001</v>
      </c>
      <c r="K4207">
        <v>1.102873</v>
      </c>
      <c r="L4207">
        <v>161.6688</v>
      </c>
      <c r="M4207">
        <v>-7.9587459999999999E-2</v>
      </c>
      <c r="N4207">
        <v>0</v>
      </c>
      <c r="O4207">
        <v>-0.99673369999999994</v>
      </c>
      <c r="P4207">
        <v>-0.15746840000000001</v>
      </c>
      <c r="Q4207">
        <v>1.6370510000000001E-2</v>
      </c>
      <c r="R4207">
        <v>-0.98738809999999999</v>
      </c>
      <c r="S4207">
        <v>-1.4095610000000001</v>
      </c>
      <c r="T4207">
        <v>-0.25245109999999998</v>
      </c>
      <c r="U4207">
        <v>-2.8203740000000002</v>
      </c>
      <c r="V4207">
        <v>7.8535930000000004E-2</v>
      </c>
      <c r="W4207">
        <v>2.962091E-2</v>
      </c>
      <c r="X4207">
        <v>0.99647109999999905</v>
      </c>
      <c r="Y4207">
        <v>0.37298120000000001</v>
      </c>
      <c r="Z4207">
        <v>8.079066E-2</v>
      </c>
      <c r="AA4207">
        <v>0.92431479999999999</v>
      </c>
      <c r="AB4207">
        <v>21</v>
      </c>
      <c r="AC4207">
        <v>-6.1448999999999696</v>
      </c>
      <c r="AD4207">
        <v>-1.1028853767</v>
      </c>
      <c r="AE4207">
        <v>-12.1866</v>
      </c>
      <c r="AF4207">
        <v>5.1219661488141899</v>
      </c>
      <c r="AG4207">
        <v>-1.1028853767</v>
      </c>
      <c r="AH4207">
        <v>12.5550543023747</v>
      </c>
      <c r="AI4207">
        <v>94.6499660887103</v>
      </c>
      <c r="AJ4207">
        <v>67.806481027025697</v>
      </c>
      <c r="AK4207">
        <v>13.6044214106781</v>
      </c>
    </row>
    <row r="4208" spans="1:37" x14ac:dyDescent="0.2">
      <c r="A4208" t="str">
        <f>"20200111155632195"</f>
        <v>20200111155632195</v>
      </c>
      <c r="B4208" t="str">
        <f>"1578729392186867"</f>
        <v>1578729392186867</v>
      </c>
      <c r="C4208" t="s">
        <v>37</v>
      </c>
      <c r="D4208">
        <v>4.1836279999999997</v>
      </c>
      <c r="E4208">
        <v>0.62198730000000002</v>
      </c>
      <c r="F4208" t="s">
        <v>72</v>
      </c>
      <c r="G4208">
        <v>-200.0479</v>
      </c>
      <c r="H4208" s="1">
        <v>-1.2379019999999999E-5</v>
      </c>
      <c r="I4208">
        <v>149.47380000000001</v>
      </c>
      <c r="J4208">
        <v>-193.9263</v>
      </c>
      <c r="K4208">
        <v>1.1028659999999999</v>
      </c>
      <c r="L4208">
        <v>161.54519999999999</v>
      </c>
      <c r="M4208">
        <v>-8.1784010000000004E-2</v>
      </c>
      <c r="N4208">
        <v>0</v>
      </c>
      <c r="O4208">
        <v>-0.99655590000000005</v>
      </c>
      <c r="P4208">
        <v>-0.15986510000000001</v>
      </c>
      <c r="Q4208">
        <v>1.5262039999999999E-2</v>
      </c>
      <c r="R4208">
        <v>-0.98702089999999998</v>
      </c>
      <c r="S4208">
        <v>-1.4167019999999999</v>
      </c>
      <c r="T4208">
        <v>-0.25472519999999998</v>
      </c>
      <c r="U4208">
        <v>-2.816605</v>
      </c>
      <c r="V4208">
        <v>7.8751539999999995E-2</v>
      </c>
      <c r="W4208">
        <v>2.8510819999999999E-2</v>
      </c>
      <c r="X4208">
        <v>0.99648649999999905</v>
      </c>
      <c r="Y4208">
        <v>0.37327690000000002</v>
      </c>
      <c r="Z4208">
        <v>8.1539239999999999E-2</v>
      </c>
      <c r="AA4208">
        <v>0.92412969999999905</v>
      </c>
      <c r="AB4208">
        <v>21</v>
      </c>
      <c r="AC4208">
        <v>-6.1215999999999999</v>
      </c>
      <c r="AD4208">
        <v>-1.1028783790200001</v>
      </c>
      <c r="AE4208">
        <v>-12.071399999999899</v>
      </c>
      <c r="AF4208">
        <v>5.0800193817602599</v>
      </c>
      <c r="AG4208">
        <v>-1.1028783790200001</v>
      </c>
      <c r="AH4208">
        <v>12.448992801660101</v>
      </c>
      <c r="AI4208">
        <v>94.689203351925499</v>
      </c>
      <c r="AJ4208">
        <v>67.801264412018696</v>
      </c>
      <c r="AK4208">
        <v>13.4907508839855</v>
      </c>
    </row>
    <row r="4209" spans="1:37" x14ac:dyDescent="0.2">
      <c r="A4209" t="str">
        <f>"20200111155632208"</f>
        <v>20200111155632208</v>
      </c>
      <c r="B4209" t="str">
        <f>"1578729392196627"</f>
        <v>1578729392196627</v>
      </c>
      <c r="C4209" t="s">
        <v>37</v>
      </c>
      <c r="D4209">
        <v>4.1906600000000003</v>
      </c>
      <c r="E4209">
        <v>0.62198730000000002</v>
      </c>
      <c r="F4209" t="s">
        <v>72</v>
      </c>
      <c r="G4209">
        <v>-200.01320000000001</v>
      </c>
      <c r="H4209" s="1">
        <v>-1.2406839999999901E-5</v>
      </c>
      <c r="I4209">
        <v>149.51570000000001</v>
      </c>
      <c r="J4209">
        <v>-193.9383</v>
      </c>
      <c r="K4209">
        <v>1.102859</v>
      </c>
      <c r="L4209">
        <v>161.4282</v>
      </c>
      <c r="M4209">
        <v>-8.3868670000000006E-2</v>
      </c>
      <c r="N4209">
        <v>0</v>
      </c>
      <c r="O4209">
        <v>-0.99638269999999995</v>
      </c>
      <c r="P4209">
        <v>-0.1621011</v>
      </c>
      <c r="Q4209">
        <v>1.39508999999999E-2</v>
      </c>
      <c r="R4209">
        <v>-0.98667559999999999</v>
      </c>
      <c r="S4209">
        <v>-1.423325</v>
      </c>
      <c r="T4209">
        <v>-0.2578897</v>
      </c>
      <c r="U4209">
        <v>-2.8129119999999999</v>
      </c>
      <c r="V4209">
        <v>7.8916150000000004E-2</v>
      </c>
      <c r="W4209">
        <v>2.719765E-2</v>
      </c>
      <c r="X4209">
        <v>0.99651009999999995</v>
      </c>
      <c r="Y4209">
        <v>0.37351970000000001</v>
      </c>
      <c r="Z4209">
        <v>8.2573610000000006E-2</v>
      </c>
      <c r="AA4209">
        <v>0.92393979999999998</v>
      </c>
      <c r="AB4209">
        <v>21</v>
      </c>
      <c r="AC4209">
        <v>-6.0749000000000102</v>
      </c>
      <c r="AD4209">
        <v>-1.1028714068400001</v>
      </c>
      <c r="AE4209">
        <v>-11.9124999999999</v>
      </c>
      <c r="AF4209">
        <v>5.0201653055292601</v>
      </c>
      <c r="AG4209">
        <v>-1.1028714068400001</v>
      </c>
      <c r="AH4209">
        <v>12.296420370569001</v>
      </c>
      <c r="AI4209">
        <v>94.746768797161494</v>
      </c>
      <c r="AJ4209">
        <v>67.791655916722107</v>
      </c>
      <c r="AK4209">
        <v>13.3274280701345</v>
      </c>
    </row>
    <row r="4210" spans="1:37" x14ac:dyDescent="0.2">
      <c r="A4210" t="str">
        <f>"20200111155632224"</f>
        <v>20200111155632224</v>
      </c>
      <c r="B4210" t="str">
        <f>"1578729392217122"</f>
        <v>1578729392217122</v>
      </c>
      <c r="C4210" t="s">
        <v>37</v>
      </c>
      <c r="D4210">
        <v>5.1006869999999997</v>
      </c>
      <c r="E4210">
        <v>0.62611430000000001</v>
      </c>
      <c r="F4210" t="s">
        <v>72</v>
      </c>
      <c r="G4210">
        <v>-199.96690000000001</v>
      </c>
      <c r="H4210" s="1">
        <v>-1.2447500000000001E-5</v>
      </c>
      <c r="I4210">
        <v>149.58340000000001</v>
      </c>
      <c r="J4210">
        <v>-193.95439999999999</v>
      </c>
      <c r="K4210">
        <v>1.1028389999999999</v>
      </c>
      <c r="L4210">
        <v>161.2748</v>
      </c>
      <c r="M4210">
        <v>-8.6608539999999998E-2</v>
      </c>
      <c r="N4210">
        <v>0</v>
      </c>
      <c r="O4210">
        <v>-0.99614820000000004</v>
      </c>
      <c r="P4210">
        <v>-0.1652536</v>
      </c>
      <c r="Q4210">
        <v>1.0871219999999999E-2</v>
      </c>
      <c r="R4210">
        <v>-0.98619129999999999</v>
      </c>
      <c r="S4210">
        <v>-1.42984</v>
      </c>
      <c r="T4210">
        <v>-0.26157370000000002</v>
      </c>
      <c r="U4210">
        <v>-2.8092959999999998</v>
      </c>
      <c r="V4210">
        <v>7.9340880000000003E-2</v>
      </c>
      <c r="W4210">
        <v>2.4114E-2</v>
      </c>
      <c r="X4210">
        <v>0.99655590000000005</v>
      </c>
      <c r="Y4210">
        <v>0.37310739999999998</v>
      </c>
      <c r="Z4210">
        <v>8.3775580000000002E-2</v>
      </c>
      <c r="AA4210">
        <v>0.92399809999999905</v>
      </c>
      <c r="AB4210">
        <v>21</v>
      </c>
      <c r="AC4210">
        <v>-6.0125000000000099</v>
      </c>
      <c r="AD4210">
        <v>-1.1028514475</v>
      </c>
      <c r="AE4210">
        <v>-11.6913999999999</v>
      </c>
      <c r="AF4210">
        <v>4.9424527425660401</v>
      </c>
      <c r="AG4210">
        <v>-1.1028514475</v>
      </c>
      <c r="AH4210">
        <v>12.083212604343499</v>
      </c>
      <c r="AI4210">
        <v>94.828745563381801</v>
      </c>
      <c r="AJ4210">
        <v>67.753737265971296</v>
      </c>
      <c r="AK4210">
        <v>13.1014559217484</v>
      </c>
    </row>
    <row r="4211" spans="1:37" x14ac:dyDescent="0.2">
      <c r="A4211" t="str">
        <f>"20200111155632237"</f>
        <v>20200111155632237</v>
      </c>
      <c r="B4211" t="str">
        <f>"1578729392226882"</f>
        <v>1578729392226882</v>
      </c>
      <c r="C4211" t="s">
        <v>37</v>
      </c>
      <c r="D4211">
        <v>5.0675349999999897</v>
      </c>
      <c r="E4211">
        <v>0.62691929999999996</v>
      </c>
      <c r="F4211" t="s">
        <v>72</v>
      </c>
      <c r="G4211">
        <v>-199.72020000000001</v>
      </c>
      <c r="H4211" s="1">
        <v>-1.2613169999999999E-5</v>
      </c>
      <c r="I4211">
        <v>150.30340000000001</v>
      </c>
      <c r="J4211">
        <v>-193.96799999999999</v>
      </c>
      <c r="K4211">
        <v>1.10283</v>
      </c>
      <c r="L4211">
        <v>161.14779999999999</v>
      </c>
      <c r="M4211">
        <v>-8.8884710000000006E-2</v>
      </c>
      <c r="N4211">
        <v>0</v>
      </c>
      <c r="O4211">
        <v>-0.99594780000000005</v>
      </c>
      <c r="P4211">
        <v>-0.1676851</v>
      </c>
      <c r="Q4211">
        <v>9.3691529999999999E-3</v>
      </c>
      <c r="R4211">
        <v>-0.98579629999999996</v>
      </c>
      <c r="S4211">
        <v>-1.470764</v>
      </c>
      <c r="T4211">
        <v>-0.28132269999999998</v>
      </c>
      <c r="U4211">
        <v>-2.7986599999999999</v>
      </c>
      <c r="V4211">
        <v>7.9512029999999997E-2</v>
      </c>
      <c r="W4211">
        <v>2.2609520000000001E-2</v>
      </c>
      <c r="X4211">
        <v>0.99657739999999995</v>
      </c>
      <c r="Y4211">
        <v>0.3827912</v>
      </c>
      <c r="Z4211">
        <v>8.9853100000000005E-2</v>
      </c>
      <c r="AA4211">
        <v>0.91945489999999996</v>
      </c>
      <c r="AB4211">
        <v>21</v>
      </c>
      <c r="AC4211">
        <v>-5.75220000000001</v>
      </c>
      <c r="AD4211">
        <v>-1.10284261317</v>
      </c>
      <c r="AE4211">
        <v>-10.844399999999901</v>
      </c>
      <c r="AF4211">
        <v>4.7272808109681099</v>
      </c>
      <c r="AG4211">
        <v>-1.10284261317</v>
      </c>
      <c r="AH4211">
        <v>11.222221059896899</v>
      </c>
      <c r="AI4211">
        <v>95.174921252182102</v>
      </c>
      <c r="AJ4211">
        <v>67.157087099661297</v>
      </c>
      <c r="AK4211">
        <v>12.2270884192585</v>
      </c>
    </row>
    <row r="4212" spans="1:37" x14ac:dyDescent="0.2">
      <c r="A4212" t="str">
        <f>"20200111155632251"</f>
        <v>20200111155632251</v>
      </c>
      <c r="B4212" t="str">
        <f>"1578729392246911"</f>
        <v>1578729392246911</v>
      </c>
      <c r="C4212" t="s">
        <v>37</v>
      </c>
      <c r="D4212">
        <v>5.1018699999999999</v>
      </c>
      <c r="E4212">
        <v>0.62758610000000004</v>
      </c>
      <c r="F4212" t="s">
        <v>72</v>
      </c>
      <c r="G4212">
        <v>-199.6619</v>
      </c>
      <c r="H4212" s="1">
        <v>-1.2639469999999999E-5</v>
      </c>
      <c r="I4212">
        <v>150.42840000000001</v>
      </c>
      <c r="J4212">
        <v>-193.9819</v>
      </c>
      <c r="K4212">
        <v>1.102816</v>
      </c>
      <c r="L4212">
        <v>161.0215</v>
      </c>
      <c r="M4212">
        <v>-9.1169959999999994E-2</v>
      </c>
      <c r="N4212">
        <v>0</v>
      </c>
      <c r="O4212">
        <v>-0.99574110000000005</v>
      </c>
      <c r="P4212">
        <v>-0.17011589999999999</v>
      </c>
      <c r="Q4212">
        <v>8.1083690000000007E-3</v>
      </c>
      <c r="R4212">
        <v>-0.98539080000000001</v>
      </c>
      <c r="S4212">
        <v>-1.483887</v>
      </c>
      <c r="T4212">
        <v>-0.28741100000000003</v>
      </c>
      <c r="U4212">
        <v>-2.7935639999999999</v>
      </c>
      <c r="V4212">
        <v>7.9675889999999999E-2</v>
      </c>
      <c r="W4212">
        <v>2.134525E-2</v>
      </c>
      <c r="X4212">
        <v>0.99659229999999999</v>
      </c>
      <c r="Y4212">
        <v>0.3846562</v>
      </c>
      <c r="Z4212">
        <v>9.1766719999999996E-2</v>
      </c>
      <c r="AA4212">
        <v>0.918487099999999</v>
      </c>
      <c r="AB4212">
        <v>21</v>
      </c>
      <c r="AC4212">
        <v>-5.68</v>
      </c>
      <c r="AD4212">
        <v>-1.10282863947</v>
      </c>
      <c r="AE4212">
        <v>-10.5930999999999</v>
      </c>
      <c r="AF4212">
        <v>4.6513213577754797</v>
      </c>
      <c r="AG4212">
        <v>-1.10282863947</v>
      </c>
      <c r="AH4212">
        <v>10.9744835652721</v>
      </c>
      <c r="AI4212">
        <v>95.286138650148899</v>
      </c>
      <c r="AJ4212">
        <v>67.0312855421015</v>
      </c>
      <c r="AK4212">
        <v>11.970393097378301</v>
      </c>
    </row>
    <row r="4213" spans="1:37" x14ac:dyDescent="0.2">
      <c r="A4213" t="str">
        <f>"20200111155632265"</f>
        <v>20200111155632265</v>
      </c>
      <c r="B4213" t="str">
        <f>"1578729392256672"</f>
        <v>1578729392256672</v>
      </c>
      <c r="C4213" t="s">
        <v>37</v>
      </c>
      <c r="D4213">
        <v>5.1002349999999996</v>
      </c>
      <c r="E4213">
        <v>0.62765979999999999</v>
      </c>
      <c r="F4213" t="s">
        <v>72</v>
      </c>
      <c r="G4213">
        <v>-199.6748</v>
      </c>
      <c r="H4213" s="1">
        <v>-1.263621E-5</v>
      </c>
      <c r="I4213">
        <v>150.4109</v>
      </c>
      <c r="J4213">
        <v>-193.99629999999999</v>
      </c>
      <c r="K4213">
        <v>1.1027940000000001</v>
      </c>
      <c r="L4213">
        <v>160.8938</v>
      </c>
      <c r="M4213">
        <v>-9.3498899999999996E-2</v>
      </c>
      <c r="N4213">
        <v>0</v>
      </c>
      <c r="O4213">
        <v>-0.9955252</v>
      </c>
      <c r="P4213">
        <v>-0.17225190000000001</v>
      </c>
      <c r="Q4213">
        <v>7.1755259999999998E-3</v>
      </c>
      <c r="R4213">
        <v>-0.98502710000000004</v>
      </c>
      <c r="S4213">
        <v>-1.49614</v>
      </c>
      <c r="T4213">
        <v>-0.28983530000000002</v>
      </c>
      <c r="U4213">
        <v>-2.7885589999999998</v>
      </c>
      <c r="V4213">
        <v>7.9500370000000001E-2</v>
      </c>
      <c r="W4213">
        <v>2.0409420000000001E-2</v>
      </c>
      <c r="X4213">
        <v>0.99662589999999995</v>
      </c>
      <c r="Y4213">
        <v>0.3862874</v>
      </c>
      <c r="Z4213">
        <v>9.2525999999999997E-2</v>
      </c>
      <c r="AA4213">
        <v>0.91772600000000004</v>
      </c>
      <c r="AB4213">
        <v>21</v>
      </c>
      <c r="AC4213">
        <v>-5.6785000000000103</v>
      </c>
      <c r="AD4213">
        <v>-1.10280663621</v>
      </c>
      <c r="AE4213">
        <v>-10.482900000000001</v>
      </c>
      <c r="AF4213">
        <v>4.6337401488520298</v>
      </c>
      <c r="AG4213">
        <v>-1.10280663621</v>
      </c>
      <c r="AH4213">
        <v>10.874902671585099</v>
      </c>
      <c r="AI4213">
        <v>95.329838927909606</v>
      </c>
      <c r="AJ4213">
        <v>66.921395261247696</v>
      </c>
      <c r="AK4213">
        <v>11.872288674067899</v>
      </c>
    </row>
    <row r="4214" spans="1:37" x14ac:dyDescent="0.2">
      <c r="A4214" t="str">
        <f>"20200111155632280"</f>
        <v>20200111155632280</v>
      </c>
      <c r="B4214" t="str">
        <f>"1578729392277167"</f>
        <v>1578729392277167</v>
      </c>
      <c r="C4214" t="s">
        <v>37</v>
      </c>
      <c r="D4214">
        <v>5.1804860000000001</v>
      </c>
      <c r="E4214">
        <v>0.62789450000000002</v>
      </c>
      <c r="F4214" t="s">
        <v>72</v>
      </c>
      <c r="G4214">
        <v>-199.64009999999999</v>
      </c>
      <c r="H4214" s="1">
        <v>-1.263875E-5</v>
      </c>
      <c r="I4214">
        <v>150.4332</v>
      </c>
      <c r="J4214">
        <v>-194.01179999999999</v>
      </c>
      <c r="K4214">
        <v>1.1027629999999999</v>
      </c>
      <c r="L4214">
        <v>160.75790000000001</v>
      </c>
      <c r="M4214">
        <v>-9.600127E-2</v>
      </c>
      <c r="N4214">
        <v>0</v>
      </c>
      <c r="O4214">
        <v>-0.99528719999999904</v>
      </c>
      <c r="P4214">
        <v>-0.17439649999999901</v>
      </c>
      <c r="Q4214">
        <v>5.8618009999999998E-3</v>
      </c>
      <c r="R4214">
        <v>-0.98465849999999899</v>
      </c>
      <c r="S4214">
        <v>-1.502594</v>
      </c>
      <c r="T4214">
        <v>-0.29360589999999998</v>
      </c>
      <c r="U4214">
        <v>-2.784958</v>
      </c>
      <c r="V4214">
        <v>7.9158399999999907E-2</v>
      </c>
      <c r="W4214">
        <v>1.909361E-2</v>
      </c>
      <c r="X4214">
        <v>0.99667919999999999</v>
      </c>
      <c r="Y4214">
        <v>0.38605980000000001</v>
      </c>
      <c r="Z4214">
        <v>9.3746510000000005E-2</v>
      </c>
      <c r="AA4214">
        <v>0.91769789999999996</v>
      </c>
      <c r="AB4214">
        <v>21</v>
      </c>
      <c r="AC4214">
        <v>-5.6282999999999896</v>
      </c>
      <c r="AD4214">
        <v>-1.1027756387499901</v>
      </c>
      <c r="AE4214">
        <v>-10.3247</v>
      </c>
      <c r="AF4214">
        <v>4.5708228518092398</v>
      </c>
      <c r="AG4214">
        <v>-1.1027756387499901</v>
      </c>
      <c r="AH4214">
        <v>10.7230711709094</v>
      </c>
      <c r="AI4214">
        <v>95.404389867553306</v>
      </c>
      <c r="AJ4214">
        <v>66.913358338893801</v>
      </c>
      <c r="AK4214">
        <v>11.7086630743408</v>
      </c>
    </row>
    <row r="4215" spans="1:37" x14ac:dyDescent="0.2">
      <c r="A4215" t="str">
        <f>"20200111155632291"</f>
        <v>20200111155632291</v>
      </c>
      <c r="B4215" t="str">
        <f>"1578729392286927"</f>
        <v>1578729392286927</v>
      </c>
      <c r="C4215" t="s">
        <v>37</v>
      </c>
      <c r="D4215">
        <v>5.0788529999999996</v>
      </c>
      <c r="E4215">
        <v>0.62792519999999996</v>
      </c>
      <c r="F4215" t="s">
        <v>72</v>
      </c>
      <c r="G4215">
        <v>-199.6422</v>
      </c>
      <c r="H4215" s="1">
        <v>-1.262872E-5</v>
      </c>
      <c r="I4215">
        <v>150.39269999999999</v>
      </c>
      <c r="J4215">
        <v>-194.0256</v>
      </c>
      <c r="K4215">
        <v>1.102732</v>
      </c>
      <c r="L4215">
        <v>160.6414</v>
      </c>
      <c r="M4215">
        <v>-9.8188479999999995E-2</v>
      </c>
      <c r="N4215">
        <v>0</v>
      </c>
      <c r="O4215">
        <v>-0.99507350000000006</v>
      </c>
      <c r="P4215">
        <v>-0.1760544</v>
      </c>
      <c r="Q4215">
        <v>5.3133030000000001E-3</v>
      </c>
      <c r="R4215">
        <v>-0.98436619999999997</v>
      </c>
      <c r="S4215">
        <v>-1.510605</v>
      </c>
      <c r="T4215">
        <v>-0.29587229999999998</v>
      </c>
      <c r="U4215">
        <v>-2.7809599999999999</v>
      </c>
      <c r="V4215">
        <v>7.8644290000000006E-2</v>
      </c>
      <c r="W4215">
        <v>1.8542960000000001E-2</v>
      </c>
      <c r="X4215">
        <v>0.99673029999999996</v>
      </c>
      <c r="Y4215">
        <v>0.386596</v>
      </c>
      <c r="Z4215">
        <v>9.4479190000000005E-2</v>
      </c>
      <c r="AA4215">
        <v>0.91739699999999902</v>
      </c>
      <c r="AB4215">
        <v>21</v>
      </c>
      <c r="AC4215">
        <v>-5.6166</v>
      </c>
      <c r="AD4215">
        <v>-1.10274462872</v>
      </c>
      <c r="AE4215">
        <v>-10.248699999999999</v>
      </c>
      <c r="AF4215">
        <v>4.5426110835894802</v>
      </c>
      <c r="AG4215">
        <v>-1.10274462872</v>
      </c>
      <c r="AH4215">
        <v>10.655831261514701</v>
      </c>
      <c r="AI4215">
        <v>95.438054222780195</v>
      </c>
      <c r="AJ4215">
        <v>66.911310986006399</v>
      </c>
      <c r="AK4215">
        <v>11.6360689688054</v>
      </c>
    </row>
    <row r="4216" spans="1:37" x14ac:dyDescent="0.2">
      <c r="A4216" t="str">
        <f>"20200111155632304"</f>
        <v>20200111155632304</v>
      </c>
      <c r="B4216" t="str">
        <f>"1578729392296686"</f>
        <v>1578729392296686</v>
      </c>
      <c r="C4216" t="s">
        <v>37</v>
      </c>
      <c r="D4216">
        <v>5.1549629999999897</v>
      </c>
      <c r="E4216">
        <v>0.62783440000000001</v>
      </c>
      <c r="F4216" t="s">
        <v>72</v>
      </c>
      <c r="G4216">
        <v>-199.66810000000001</v>
      </c>
      <c r="H4216" s="1">
        <v>-1.260729E-5</v>
      </c>
      <c r="I4216">
        <v>150.29839999999999</v>
      </c>
      <c r="J4216">
        <v>-194.0401</v>
      </c>
      <c r="K4216">
        <v>1.102695</v>
      </c>
      <c r="L4216">
        <v>160.52080000000001</v>
      </c>
      <c r="M4216">
        <v>-0.1004799</v>
      </c>
      <c r="N4216">
        <v>0</v>
      </c>
      <c r="O4216">
        <v>-0.99484470000000003</v>
      </c>
      <c r="P4216">
        <v>-0.1776655</v>
      </c>
      <c r="Q4216">
        <v>5.2863729999999996E-3</v>
      </c>
      <c r="R4216">
        <v>-0.98407690000000003</v>
      </c>
      <c r="S4216">
        <v>-1.515579</v>
      </c>
      <c r="T4216">
        <v>-0.2962014</v>
      </c>
      <c r="U4216">
        <v>-2.7781829999999998</v>
      </c>
      <c r="V4216">
        <v>7.7981620000000001E-2</v>
      </c>
      <c r="W4216">
        <v>1.8514829999999999E-2</v>
      </c>
      <c r="X4216">
        <v>0.99678279999999997</v>
      </c>
      <c r="Y4216">
        <v>0.38611970000000001</v>
      </c>
      <c r="Z4216">
        <v>9.4604510000000003E-2</v>
      </c>
      <c r="AA4216">
        <v>0.91758469999999903</v>
      </c>
      <c r="AB4216">
        <v>21</v>
      </c>
      <c r="AC4216">
        <v>-5.6280000000000099</v>
      </c>
      <c r="AD4216">
        <v>-1.1027076072899999</v>
      </c>
      <c r="AE4216">
        <v>-10.2224</v>
      </c>
      <c r="AF4216">
        <v>4.5318023133720402</v>
      </c>
      <c r="AG4216">
        <v>-1.1027076072899999</v>
      </c>
      <c r="AH4216">
        <v>10.6411877245864</v>
      </c>
      <c r="AI4216">
        <v>95.446148582394301</v>
      </c>
      <c r="AJ4216">
        <v>66.932119153961494</v>
      </c>
      <c r="AK4216">
        <v>11.618436747882599</v>
      </c>
    </row>
    <row r="4217" spans="1:37" x14ac:dyDescent="0.2">
      <c r="A4217" t="str">
        <f>"20200111155632317"</f>
        <v>20200111155632317</v>
      </c>
      <c r="B4217" t="str">
        <f>"1578729392306447"</f>
        <v>1578729392306447</v>
      </c>
      <c r="C4217" t="s">
        <v>37</v>
      </c>
      <c r="D4217">
        <v>5.0666580000000003</v>
      </c>
      <c r="E4217">
        <v>0.62802590000000003</v>
      </c>
      <c r="F4217" t="s">
        <v>72</v>
      </c>
      <c r="G4217">
        <v>-199.745</v>
      </c>
      <c r="H4217" s="1">
        <v>-1.2564489999999901E-5</v>
      </c>
      <c r="I4217">
        <v>150.10120000000001</v>
      </c>
      <c r="J4217">
        <v>-194.05459999999999</v>
      </c>
      <c r="K4217">
        <v>1.102657</v>
      </c>
      <c r="L4217">
        <v>160.4025</v>
      </c>
      <c r="M4217">
        <v>-0.102753199999999</v>
      </c>
      <c r="N4217">
        <v>0</v>
      </c>
      <c r="O4217">
        <v>-0.99461250000000001</v>
      </c>
      <c r="P4217">
        <v>-0.17944760000000001</v>
      </c>
      <c r="Q4217">
        <v>5.0965589999999996E-3</v>
      </c>
      <c r="R4217">
        <v>-0.98375440000000003</v>
      </c>
      <c r="S4217">
        <v>-1.5197449999999999</v>
      </c>
      <c r="T4217">
        <v>-0.29375580000000001</v>
      </c>
      <c r="U4217">
        <v>-2.7757419999999899</v>
      </c>
      <c r="V4217">
        <v>7.7509529999999993E-2</v>
      </c>
      <c r="W4217">
        <v>1.8322700000000001E-2</v>
      </c>
      <c r="X4217">
        <v>0.99682329999999997</v>
      </c>
      <c r="Y4217">
        <v>0.38544679999999998</v>
      </c>
      <c r="Z4217">
        <v>9.3851569999999995E-2</v>
      </c>
      <c r="AA4217">
        <v>0.91794480000000001</v>
      </c>
      <c r="AB4217">
        <v>21</v>
      </c>
      <c r="AC4217">
        <v>-5.6904000000000101</v>
      </c>
      <c r="AD4217">
        <v>-1.10266956449</v>
      </c>
      <c r="AE4217">
        <v>-10.3012999999999</v>
      </c>
      <c r="AF4217">
        <v>4.5616364696953102</v>
      </c>
      <c r="AG4217">
        <v>-1.10266956449</v>
      </c>
      <c r="AH4217">
        <v>10.7372621459273</v>
      </c>
      <c r="AI4217">
        <v>95.399516704445503</v>
      </c>
      <c r="AJ4217">
        <v>66.982191791206105</v>
      </c>
      <c r="AK4217">
        <v>11.7180717628999</v>
      </c>
    </row>
    <row r="4218" spans="1:37" x14ac:dyDescent="0.2">
      <c r="A4218" t="str">
        <f>"20200111155632329"</f>
        <v>20200111155632329</v>
      </c>
      <c r="B4218" t="str">
        <f>"1578729392326943"</f>
        <v>1578729392326943</v>
      </c>
      <c r="C4218" t="s">
        <v>37</v>
      </c>
      <c r="D4218">
        <v>5.1053750000000004</v>
      </c>
      <c r="E4218">
        <v>0.62803880000000001</v>
      </c>
      <c r="F4218" t="s">
        <v>72</v>
      </c>
      <c r="G4218">
        <v>-199.8365</v>
      </c>
      <c r="H4218" s="1">
        <v>-1.2522329999999901E-5</v>
      </c>
      <c r="I4218">
        <v>149.9014</v>
      </c>
      <c r="J4218">
        <v>-194.06870000000001</v>
      </c>
      <c r="K4218">
        <v>1.102622</v>
      </c>
      <c r="L4218">
        <v>160.29040000000001</v>
      </c>
      <c r="M4218">
        <v>-0.104967</v>
      </c>
      <c r="N4218">
        <v>0</v>
      </c>
      <c r="O4218">
        <v>-0.99438119999999997</v>
      </c>
      <c r="P4218">
        <v>-0.1809702</v>
      </c>
      <c r="Q4218">
        <v>5.2807359999999899E-3</v>
      </c>
      <c r="R4218">
        <v>-0.98347439999999997</v>
      </c>
      <c r="S4218">
        <v>-1.5265660000000001</v>
      </c>
      <c r="T4218">
        <v>-0.29113449999999902</v>
      </c>
      <c r="U4218">
        <v>-2.772583</v>
      </c>
      <c r="V4218">
        <v>7.6836589999999996E-2</v>
      </c>
      <c r="W4218">
        <v>1.8505299999999999E-2</v>
      </c>
      <c r="X4218">
        <v>0.99687190000000003</v>
      </c>
      <c r="Y4218">
        <v>0.38560689999999997</v>
      </c>
      <c r="Z4218">
        <v>9.3026590000000006E-2</v>
      </c>
      <c r="AA4218">
        <v>0.91796149999999999</v>
      </c>
      <c r="AB4218">
        <v>21</v>
      </c>
      <c r="AC4218">
        <v>-5.7677999999999896</v>
      </c>
      <c r="AD4218">
        <v>-1.10263452233</v>
      </c>
      <c r="AE4218">
        <v>-10.388999999999999</v>
      </c>
      <c r="AF4218">
        <v>4.6056688584273502</v>
      </c>
      <c r="AG4218">
        <v>-1.10263452233</v>
      </c>
      <c r="AH4218">
        <v>10.8437122784716</v>
      </c>
      <c r="AI4218">
        <v>95.346861001194796</v>
      </c>
      <c r="AJ4218">
        <v>66.987527584587795</v>
      </c>
      <c r="AK4218">
        <v>11.832754730053299</v>
      </c>
    </row>
    <row r="4219" spans="1:37" x14ac:dyDescent="0.2">
      <c r="A4219" t="str">
        <f>"20200111155632342"</f>
        <v>20200111155632342</v>
      </c>
      <c r="B4219" t="str">
        <f>"1578729392336704"</f>
        <v>1578729392336704</v>
      </c>
      <c r="C4219" t="s">
        <v>37</v>
      </c>
      <c r="D4219">
        <v>5.1502489999999996</v>
      </c>
      <c r="E4219">
        <v>0.62809429999999999</v>
      </c>
      <c r="F4219" t="s">
        <v>72</v>
      </c>
      <c r="G4219">
        <v>-199.9537</v>
      </c>
      <c r="H4219" s="1">
        <v>-1.246825E-5</v>
      </c>
      <c r="I4219">
        <v>149.64510000000001</v>
      </c>
      <c r="J4219">
        <v>-194.08439999999999</v>
      </c>
      <c r="K4219">
        <v>1.102568</v>
      </c>
      <c r="L4219">
        <v>160.16759999999999</v>
      </c>
      <c r="M4219">
        <v>-0.10742699999999999</v>
      </c>
      <c r="N4219">
        <v>0</v>
      </c>
      <c r="O4219">
        <v>-0.99411849999999902</v>
      </c>
      <c r="P4219">
        <v>-0.182999</v>
      </c>
      <c r="Q4219">
        <v>5.5077969999999896E-3</v>
      </c>
      <c r="R4219">
        <v>-0.98309760000000002</v>
      </c>
      <c r="S4219">
        <v>-1.5313870000000001</v>
      </c>
      <c r="T4219">
        <v>-0.28693020000000002</v>
      </c>
      <c r="U4219">
        <v>-2.77015699999999</v>
      </c>
      <c r="V4219">
        <v>7.6430750000000006E-2</v>
      </c>
      <c r="W4219">
        <v>1.8727939999999998E-2</v>
      </c>
      <c r="X4219">
        <v>0.99689899999999998</v>
      </c>
      <c r="Y4219">
        <v>0.38494929999999999</v>
      </c>
      <c r="Z4219">
        <v>9.1705549999999997E-2</v>
      </c>
      <c r="AA4219">
        <v>0.91837039999999903</v>
      </c>
      <c r="AB4219">
        <v>21</v>
      </c>
      <c r="AC4219">
        <v>-5.8693000000000097</v>
      </c>
      <c r="AD4219">
        <v>-1.10258046825</v>
      </c>
      <c r="AE4219">
        <v>-10.5224999999999</v>
      </c>
      <c r="AF4219">
        <v>4.6657495203702002</v>
      </c>
      <c r="AG4219">
        <v>-1.10258046825</v>
      </c>
      <c r="AH4219">
        <v>11.000059368622001</v>
      </c>
      <c r="AI4219">
        <v>95.272122698889802</v>
      </c>
      <c r="AJ4219">
        <v>67.015442975635494</v>
      </c>
      <c r="AK4219">
        <v>11.999425335782099</v>
      </c>
    </row>
    <row r="4220" spans="1:37" x14ac:dyDescent="0.2">
      <c r="A4220" t="str">
        <f>"20200111155632357"</f>
        <v>20200111155632357</v>
      </c>
      <c r="B4220" t="str">
        <f>"1578729392346969"</f>
        <v>1578729392346969</v>
      </c>
      <c r="C4220" t="s">
        <v>37</v>
      </c>
      <c r="D4220">
        <v>5.1679959999999996</v>
      </c>
      <c r="E4220">
        <v>0.62788140000000003</v>
      </c>
      <c r="F4220" t="s">
        <v>72</v>
      </c>
      <c r="G4220">
        <v>-200.05860000000001</v>
      </c>
      <c r="H4220" s="1">
        <v>-1.235838E-5</v>
      </c>
      <c r="I4220">
        <v>149.4205</v>
      </c>
      <c r="J4220">
        <v>-194.1027</v>
      </c>
      <c r="K4220">
        <v>1.102501</v>
      </c>
      <c r="L4220">
        <v>160.02809999999999</v>
      </c>
      <c r="M4220">
        <v>-0.11029460000000001</v>
      </c>
      <c r="N4220">
        <v>0</v>
      </c>
      <c r="O4220">
        <v>-0.99380429999999997</v>
      </c>
      <c r="P4220">
        <v>-0.1854391</v>
      </c>
      <c r="Q4220">
        <v>4.9627909999999898E-3</v>
      </c>
      <c r="R4220">
        <v>-0.98264339999999994</v>
      </c>
      <c r="S4220">
        <v>-1.5380549999999999</v>
      </c>
      <c r="T4220">
        <v>-0.28385959999999899</v>
      </c>
      <c r="U4220">
        <v>-2.766861</v>
      </c>
      <c r="V4220">
        <v>7.6028940000000003E-2</v>
      </c>
      <c r="W4220">
        <v>1.8177289999999999E-2</v>
      </c>
      <c r="X4220">
        <v>0.99693989999999999</v>
      </c>
      <c r="Y4220">
        <v>0.38448709999999903</v>
      </c>
      <c r="Z4220">
        <v>9.0742799999999998E-2</v>
      </c>
      <c r="AA4220">
        <v>0.91865959999999902</v>
      </c>
      <c r="AB4220">
        <v>21</v>
      </c>
      <c r="AC4220">
        <v>-5.9559000000000104</v>
      </c>
      <c r="AD4220">
        <v>-1.10251335838</v>
      </c>
      <c r="AE4220">
        <v>-10.6075999999999</v>
      </c>
      <c r="AF4220">
        <v>4.7107930710301096</v>
      </c>
      <c r="AG4220">
        <v>-1.10251335838</v>
      </c>
      <c r="AH4220">
        <v>11.1085960515788</v>
      </c>
      <c r="AI4220">
        <v>95.220748218405205</v>
      </c>
      <c r="AJ4220">
        <v>67.019783933415994</v>
      </c>
      <c r="AK4220">
        <v>12.1164356681585</v>
      </c>
    </row>
    <row r="4221" spans="1:37" x14ac:dyDescent="0.2">
      <c r="A4221" t="str">
        <f>"20200111155632370"</f>
        <v>20200111155632370</v>
      </c>
      <c r="B4221" t="str">
        <f>"1578729392366490"</f>
        <v>1578729392366490</v>
      </c>
      <c r="C4221" t="s">
        <v>37</v>
      </c>
      <c r="D4221">
        <v>5.1727559999999997</v>
      </c>
      <c r="E4221">
        <v>0.62803350000000002</v>
      </c>
      <c r="F4221" t="s">
        <v>72</v>
      </c>
      <c r="G4221">
        <v>-200.04220000000001</v>
      </c>
      <c r="H4221" s="1">
        <v>-1.235656E-5</v>
      </c>
      <c r="I4221">
        <v>149.38990000000001</v>
      </c>
      <c r="J4221">
        <v>-194.11879999999999</v>
      </c>
      <c r="K4221">
        <v>1.1024350000000001</v>
      </c>
      <c r="L4221">
        <v>159.90960000000001</v>
      </c>
      <c r="M4221">
        <v>-0.11281629999999999</v>
      </c>
      <c r="N4221">
        <v>0</v>
      </c>
      <c r="O4221">
        <v>-0.99352129999999905</v>
      </c>
      <c r="P4221">
        <v>-0.1877559</v>
      </c>
      <c r="Q4221">
        <v>4.8108129999999997E-3</v>
      </c>
      <c r="R4221">
        <v>-0.98220399999999997</v>
      </c>
      <c r="S4221">
        <v>-1.5428010000000001</v>
      </c>
      <c r="T4221">
        <v>-0.28638039999999998</v>
      </c>
      <c r="U4221">
        <v>-2.76329</v>
      </c>
      <c r="V4221">
        <v>7.5851699999999994E-2</v>
      </c>
      <c r="W4221">
        <v>1.8019480000000001E-2</v>
      </c>
      <c r="X4221">
        <v>0.99695630000000002</v>
      </c>
      <c r="Y4221">
        <v>0.3838165</v>
      </c>
      <c r="Z4221">
        <v>9.1581800000000005E-2</v>
      </c>
      <c r="AA4221">
        <v>0.91885669999999897</v>
      </c>
      <c r="AB4221">
        <v>21</v>
      </c>
      <c r="AC4221">
        <v>-5.9234000000000098</v>
      </c>
      <c r="AD4221">
        <v>-1.1024473565599999</v>
      </c>
      <c r="AE4221">
        <v>-10.5197</v>
      </c>
      <c r="AF4221">
        <v>4.6598145371061799</v>
      </c>
      <c r="AG4221">
        <v>-1.1024473565599999</v>
      </c>
      <c r="AH4221">
        <v>11.0288790907397</v>
      </c>
      <c r="AI4221">
        <v>95.260883395656805</v>
      </c>
      <c r="AJ4221">
        <v>67.095443539228796</v>
      </c>
      <c r="AK4221">
        <v>12.023536738096899</v>
      </c>
    </row>
    <row r="4222" spans="1:37" x14ac:dyDescent="0.2">
      <c r="A4222" t="str">
        <f>"20200111155632383"</f>
        <v>20200111155632383</v>
      </c>
      <c r="B4222" t="str">
        <f>"1578729392377226"</f>
        <v>1578729392377226</v>
      </c>
      <c r="C4222" t="s">
        <v>37</v>
      </c>
      <c r="D4222">
        <v>5.1168019999999999</v>
      </c>
      <c r="E4222">
        <v>0.62806499999999998</v>
      </c>
      <c r="F4222" t="s">
        <v>72</v>
      </c>
      <c r="G4222">
        <v>-200.06790000000001</v>
      </c>
      <c r="H4222" s="1">
        <v>-1.2324919999999999E-5</v>
      </c>
      <c r="I4222">
        <v>149.3218</v>
      </c>
      <c r="J4222">
        <v>-194.1354</v>
      </c>
      <c r="K4222">
        <v>1.1023700000000001</v>
      </c>
      <c r="L4222">
        <v>159.78970000000001</v>
      </c>
      <c r="M4222">
        <v>-0.11541129999999999</v>
      </c>
      <c r="N4222">
        <v>0</v>
      </c>
      <c r="O4222">
        <v>-0.99322310000000003</v>
      </c>
      <c r="P4222">
        <v>-0.19047700000000001</v>
      </c>
      <c r="Q4222">
        <v>3.9976959999999898E-3</v>
      </c>
      <c r="R4222">
        <v>-0.9816838</v>
      </c>
      <c r="S4222">
        <v>-1.5504610000000001</v>
      </c>
      <c r="T4222">
        <v>-0.28732239999999998</v>
      </c>
      <c r="U4222">
        <v>-2.7593990000000002</v>
      </c>
      <c r="V4222">
        <v>7.6007279999999997E-2</v>
      </c>
      <c r="W4222">
        <v>1.7198020000000001E-2</v>
      </c>
      <c r="X4222">
        <v>0.99695889999999998</v>
      </c>
      <c r="Y4222">
        <v>0.38388449999999902</v>
      </c>
      <c r="Z4222">
        <v>9.1891100000000003E-2</v>
      </c>
      <c r="AA4222">
        <v>0.91879739999999999</v>
      </c>
      <c r="AB4222">
        <v>21</v>
      </c>
      <c r="AC4222">
        <v>-5.9325000000000001</v>
      </c>
      <c r="AD4222">
        <v>-1.10238232492</v>
      </c>
      <c r="AE4222">
        <v>-10.4679</v>
      </c>
      <c r="AF4222">
        <v>4.6456262084379896</v>
      </c>
      <c r="AG4222">
        <v>-1.10238232492</v>
      </c>
      <c r="AH4222">
        <v>10.9904237621778</v>
      </c>
      <c r="AI4222">
        <v>95.278524997367896</v>
      </c>
      <c r="AJ4222">
        <v>67.086334060752407</v>
      </c>
      <c r="AK4222">
        <v>11.9827586194108</v>
      </c>
    </row>
    <row r="4223" spans="1:37" x14ac:dyDescent="0.2">
      <c r="A4223" t="str">
        <f>"20200111155632395"</f>
        <v>20200111155632395</v>
      </c>
      <c r="B4223" t="str">
        <f>"1578729392386986"</f>
        <v>1578729392386986</v>
      </c>
      <c r="C4223" t="s">
        <v>37</v>
      </c>
      <c r="D4223">
        <v>5.1394900000000003</v>
      </c>
      <c r="E4223">
        <v>0.6281156</v>
      </c>
      <c r="F4223" t="s">
        <v>72</v>
      </c>
      <c r="G4223">
        <v>-200.0634</v>
      </c>
      <c r="H4223" s="1">
        <v>-1.2323219999999901E-5</v>
      </c>
      <c r="I4223">
        <v>149.30940000000001</v>
      </c>
      <c r="J4223">
        <v>-194.15299999999999</v>
      </c>
      <c r="K4223">
        <v>1.102295</v>
      </c>
      <c r="L4223">
        <v>159.66470000000001</v>
      </c>
      <c r="M4223">
        <v>-0.11818339999999899</v>
      </c>
      <c r="N4223">
        <v>0</v>
      </c>
      <c r="O4223">
        <v>-0.99289689999999997</v>
      </c>
      <c r="P4223">
        <v>-0.19377359999999999</v>
      </c>
      <c r="Q4223">
        <v>3.8112799999999998E-3</v>
      </c>
      <c r="R4223">
        <v>-0.9810392</v>
      </c>
      <c r="S4223">
        <v>-1.558243</v>
      </c>
      <c r="T4223">
        <v>-0.2897711</v>
      </c>
      <c r="U4223">
        <v>-2.7548219999999999</v>
      </c>
      <c r="V4223">
        <v>7.657506E-2</v>
      </c>
      <c r="W4223">
        <v>1.6999210000000001E-2</v>
      </c>
      <c r="X4223">
        <v>0.99691890000000005</v>
      </c>
      <c r="Y4223">
        <v>0.38389299999999998</v>
      </c>
      <c r="Z4223">
        <v>9.2693739999999997E-2</v>
      </c>
      <c r="AA4223">
        <v>0.91871320000000001</v>
      </c>
      <c r="AB4223">
        <v>21</v>
      </c>
      <c r="AC4223">
        <v>-5.9104000000000099</v>
      </c>
      <c r="AD4223">
        <v>-1.10230732322</v>
      </c>
      <c r="AE4223">
        <v>-10.3553</v>
      </c>
      <c r="AF4223">
        <v>4.6056664067252404</v>
      </c>
      <c r="AG4223">
        <v>-1.10230732322</v>
      </c>
      <c r="AH4223">
        <v>10.888229647219999</v>
      </c>
      <c r="AI4223">
        <v>95.326858796062297</v>
      </c>
      <c r="AJ4223">
        <v>67.0718822167686</v>
      </c>
      <c r="AK4223">
        <v>11.873533144581</v>
      </c>
    </row>
    <row r="4224" spans="1:37" x14ac:dyDescent="0.2">
      <c r="A4224" t="str">
        <f>"20200111155632408"</f>
        <v>20200111155632408</v>
      </c>
      <c r="B4224" t="str">
        <f>"1578729392396746"</f>
        <v>1578729392396746</v>
      </c>
      <c r="C4224" t="s">
        <v>37</v>
      </c>
      <c r="D4224">
        <v>5.1383419999999997</v>
      </c>
      <c r="E4224">
        <v>0.62816459999999996</v>
      </c>
      <c r="F4224" t="s">
        <v>72</v>
      </c>
      <c r="G4224">
        <v>-200.108</v>
      </c>
      <c r="H4224" s="1">
        <v>-1.22773E-5</v>
      </c>
      <c r="I4224">
        <v>149.2216</v>
      </c>
      <c r="J4224">
        <v>-194.1688</v>
      </c>
      <c r="K4224">
        <v>1.102233</v>
      </c>
      <c r="L4224">
        <v>159.55600000000001</v>
      </c>
      <c r="M4224">
        <v>-0.1206719</v>
      </c>
      <c r="N4224">
        <v>0</v>
      </c>
      <c r="O4224">
        <v>-0.99259759999999997</v>
      </c>
      <c r="P4224">
        <v>-0.1970083</v>
      </c>
      <c r="Q4224">
        <v>3.4633200000000002E-3</v>
      </c>
      <c r="R4224">
        <v>-0.98039599999999905</v>
      </c>
      <c r="S4224">
        <v>-1.567825</v>
      </c>
      <c r="T4224">
        <v>-0.2902132</v>
      </c>
      <c r="U4224">
        <v>-2.7494509999999899</v>
      </c>
      <c r="V4224">
        <v>7.7364489999999994E-2</v>
      </c>
      <c r="W4224">
        <v>1.6639250000000001E-2</v>
      </c>
      <c r="X4224">
        <v>0.99686399999999997</v>
      </c>
      <c r="Y4224">
        <v>0.38476139999999998</v>
      </c>
      <c r="Z4224">
        <v>9.2855859999999998E-2</v>
      </c>
      <c r="AA4224">
        <v>0.91833349999999903</v>
      </c>
      <c r="AB4224">
        <v>21</v>
      </c>
      <c r="AC4224">
        <v>-5.9391999999999996</v>
      </c>
      <c r="AD4224">
        <v>-1.1022452773</v>
      </c>
      <c r="AE4224">
        <v>-10.3344</v>
      </c>
      <c r="AF4224">
        <v>4.6091862215495203</v>
      </c>
      <c r="AG4224">
        <v>-1.1022452773</v>
      </c>
      <c r="AH4224">
        <v>10.8825663440055</v>
      </c>
      <c r="AI4224">
        <v>95.328282929765507</v>
      </c>
      <c r="AJ4224">
        <v>67.045470176673405</v>
      </c>
      <c r="AK4224">
        <v>11.869700607341899</v>
      </c>
    </row>
    <row r="4225" spans="1:37" x14ac:dyDescent="0.2">
      <c r="A4225" t="str">
        <f>"20200111155632421"</f>
        <v>20200111155632421</v>
      </c>
      <c r="B4225" t="str">
        <f>"1578729392417242"</f>
        <v>1578729392417242</v>
      </c>
      <c r="C4225" t="s">
        <v>37</v>
      </c>
      <c r="D4225">
        <v>5.145391</v>
      </c>
      <c r="E4225">
        <v>0.62831000000000004</v>
      </c>
      <c r="F4225" t="s">
        <v>72</v>
      </c>
      <c r="G4225">
        <v>-200.1422</v>
      </c>
      <c r="H4225" s="1">
        <v>-1.2244469999999901E-5</v>
      </c>
      <c r="I4225">
        <v>149.16210000000001</v>
      </c>
      <c r="J4225">
        <v>-194.1865</v>
      </c>
      <c r="K4225">
        <v>1.1021609999999999</v>
      </c>
      <c r="L4225">
        <v>159.43559999999999</v>
      </c>
      <c r="M4225">
        <v>-0.12346509999999999</v>
      </c>
      <c r="N4225">
        <v>0</v>
      </c>
      <c r="O4225">
        <v>-0.99225390000000002</v>
      </c>
      <c r="P4225">
        <v>-0.2002987</v>
      </c>
      <c r="Q4225">
        <v>3.3378320000000002E-3</v>
      </c>
      <c r="R4225">
        <v>-0.97972950000000003</v>
      </c>
      <c r="S4225">
        <v>-1.5770420000000001</v>
      </c>
      <c r="T4225">
        <v>-0.29100599999999999</v>
      </c>
      <c r="U4225">
        <v>-2.74411</v>
      </c>
      <c r="V4225">
        <v>7.7907439999999994E-2</v>
      </c>
      <c r="W4225">
        <v>1.6502409999999999E-2</v>
      </c>
      <c r="X4225">
        <v>0.99682399999999904</v>
      </c>
      <c r="Y4225">
        <v>0.38524350000000002</v>
      </c>
      <c r="Z4225">
        <v>9.3132149999999997E-2</v>
      </c>
      <c r="AA4225">
        <v>0.91810340000000001</v>
      </c>
      <c r="AB4225">
        <v>21</v>
      </c>
      <c r="AC4225">
        <v>-5.9557000000000002</v>
      </c>
      <c r="AD4225">
        <v>-1.1021732444700001</v>
      </c>
      <c r="AE4225">
        <v>-10.273499999999901</v>
      </c>
      <c r="AF4225">
        <v>4.6019417160872198</v>
      </c>
      <c r="AG4225">
        <v>-1.1021732444700001</v>
      </c>
      <c r="AH4225">
        <v>10.836916687758499</v>
      </c>
      <c r="AI4225">
        <v>95.348117654999697</v>
      </c>
      <c r="AJ4225">
        <v>66.991293875547996</v>
      </c>
      <c r="AK4225">
        <v>11.825033476337699</v>
      </c>
    </row>
    <row r="4226" spans="1:37" x14ac:dyDescent="0.2">
      <c r="A4226" t="str">
        <f>"20200111155632436"</f>
        <v>20200111155632436</v>
      </c>
      <c r="B4226" t="str">
        <f>"1578729392427002"</f>
        <v>1578729392427002</v>
      </c>
      <c r="C4226" t="s">
        <v>37</v>
      </c>
      <c r="D4226">
        <v>5.1076879999999996</v>
      </c>
      <c r="E4226">
        <v>0.62843530000000003</v>
      </c>
      <c r="F4226" t="s">
        <v>72</v>
      </c>
      <c r="G4226">
        <v>-200.19030000000001</v>
      </c>
      <c r="H4226" s="1">
        <v>-1.21979399999999E-5</v>
      </c>
      <c r="I4226">
        <v>149.07740000000001</v>
      </c>
      <c r="J4226">
        <v>-194.20849999999999</v>
      </c>
      <c r="K4226">
        <v>1.102074</v>
      </c>
      <c r="L4226">
        <v>159.29060000000001</v>
      </c>
      <c r="M4226">
        <v>-0.1269315</v>
      </c>
      <c r="N4226">
        <v>0</v>
      </c>
      <c r="O4226">
        <v>-0.99181620000000004</v>
      </c>
      <c r="P4226">
        <v>-0.20637440000000001</v>
      </c>
      <c r="Q4226">
        <v>3.2222639999999999E-3</v>
      </c>
      <c r="R4226">
        <v>-0.97846789999999995</v>
      </c>
      <c r="S4226">
        <v>-1.58729599999999</v>
      </c>
      <c r="T4226">
        <v>-0.29139779999999998</v>
      </c>
      <c r="U4226">
        <v>-2.738556</v>
      </c>
      <c r="V4226">
        <v>8.0612409999999995E-2</v>
      </c>
      <c r="W4226">
        <v>1.6356519999999999E-2</v>
      </c>
      <c r="X4226">
        <v>0.99661129999999998</v>
      </c>
      <c r="Y4226">
        <v>0.38539649999999998</v>
      </c>
      <c r="Z4226">
        <v>9.3272229999999998E-2</v>
      </c>
      <c r="AA4226">
        <v>0.91802499999999998</v>
      </c>
      <c r="AB4226">
        <v>21</v>
      </c>
      <c r="AC4226">
        <v>-5.9818000000000202</v>
      </c>
      <c r="AD4226">
        <v>-1.1020861979400001</v>
      </c>
      <c r="AE4226">
        <v>-10.213200000000001</v>
      </c>
      <c r="AF4226">
        <v>4.59705111541723</v>
      </c>
      <c r="AG4226">
        <v>-1.1020861979400001</v>
      </c>
      <c r="AH4226">
        <v>10.796321081617201</v>
      </c>
      <c r="AI4226">
        <v>95.365491042041498</v>
      </c>
      <c r="AJ4226">
        <v>66.935795778509899</v>
      </c>
      <c r="AK4226">
        <v>11.785924734310001</v>
      </c>
    </row>
    <row r="4227" spans="1:37" x14ac:dyDescent="0.2">
      <c r="A4227" t="str">
        <f>"20200111155632451"</f>
        <v>20200111155632451</v>
      </c>
      <c r="B4227" t="str">
        <f>"1578729392447033"</f>
        <v>1578729392447033</v>
      </c>
      <c r="C4227" t="s">
        <v>37</v>
      </c>
      <c r="D4227">
        <v>5.1946430000000001</v>
      </c>
      <c r="E4227">
        <v>0.62850709999999999</v>
      </c>
      <c r="F4227" t="s">
        <v>72</v>
      </c>
      <c r="G4227">
        <v>-200.27520000000001</v>
      </c>
      <c r="H4227" s="1">
        <v>-1.213013E-5</v>
      </c>
      <c r="I4227">
        <v>148.9761</v>
      </c>
      <c r="J4227">
        <v>-194.22980000000001</v>
      </c>
      <c r="K4227">
        <v>1.1020000000000001</v>
      </c>
      <c r="L4227">
        <v>159.155</v>
      </c>
      <c r="M4227">
        <v>-0.1302721</v>
      </c>
      <c r="N4227">
        <v>0</v>
      </c>
      <c r="O4227">
        <v>-0.99138289999999996</v>
      </c>
      <c r="P4227">
        <v>-0.21100369999999999</v>
      </c>
      <c r="Q4227">
        <v>2.8215240000000002E-3</v>
      </c>
      <c r="R4227">
        <v>-0.97748139999999994</v>
      </c>
      <c r="S4227">
        <v>-1.6048129999999901</v>
      </c>
      <c r="T4227">
        <v>-0.29153420000000002</v>
      </c>
      <c r="U4227">
        <v>-2.7284999999999999</v>
      </c>
      <c r="V4227">
        <v>8.1972379999999997E-2</v>
      </c>
      <c r="W4227">
        <v>1.593791E-2</v>
      </c>
      <c r="X4227">
        <v>0.99650720000000004</v>
      </c>
      <c r="Y4227">
        <v>0.38814309999999902</v>
      </c>
      <c r="Z4227">
        <v>9.3351779999999995E-2</v>
      </c>
      <c r="AA4227">
        <v>0.91685899999999998</v>
      </c>
      <c r="AB4227">
        <v>21</v>
      </c>
      <c r="AC4227">
        <v>-6.0453999999999999</v>
      </c>
      <c r="AD4227">
        <v>-1.1020121301300001</v>
      </c>
      <c r="AE4227">
        <v>-10.178900000000001</v>
      </c>
      <c r="AF4227">
        <v>4.6276235022343002</v>
      </c>
      <c r="AG4227">
        <v>-1.1020121301300001</v>
      </c>
      <c r="AH4227">
        <v>10.7863021098737</v>
      </c>
      <c r="AI4227">
        <v>95.363858853523993</v>
      </c>
      <c r="AJ4227">
        <v>66.779322282888401</v>
      </c>
      <c r="AK4227">
        <v>11.7887082930595</v>
      </c>
    </row>
    <row r="4228" spans="1:37" x14ac:dyDescent="0.2">
      <c r="A4228" t="str">
        <f>"20200111155632466"</f>
        <v>20200111155632466</v>
      </c>
      <c r="B4228" t="str">
        <f>"1578729392456793"</f>
        <v>1578729392456793</v>
      </c>
      <c r="C4228" t="s">
        <v>37</v>
      </c>
      <c r="D4228">
        <v>5.1607180000000001</v>
      </c>
      <c r="E4228">
        <v>0.62840249999999997</v>
      </c>
      <c r="F4228" t="s">
        <v>72</v>
      </c>
      <c r="G4228">
        <v>-200.3484</v>
      </c>
      <c r="H4228" s="1">
        <v>-1.206587E-5</v>
      </c>
      <c r="I4228">
        <v>148.8691</v>
      </c>
      <c r="J4228">
        <v>-194.2516</v>
      </c>
      <c r="K4228">
        <v>1.1019239999999999</v>
      </c>
      <c r="L4228">
        <v>159.01849999999999</v>
      </c>
      <c r="M4228">
        <v>-0.133709299999999</v>
      </c>
      <c r="N4228">
        <v>0</v>
      </c>
      <c r="O4228">
        <v>-0.99092499999999994</v>
      </c>
      <c r="P4228">
        <v>-0.21574209999999999</v>
      </c>
      <c r="Q4228">
        <v>1.915681E-3</v>
      </c>
      <c r="R4228">
        <v>-0.97644850000000005</v>
      </c>
      <c r="S4228">
        <v>-1.6183620000000001</v>
      </c>
      <c r="T4228">
        <v>-0.29148049999999998</v>
      </c>
      <c r="U4228">
        <v>-2.720596</v>
      </c>
      <c r="V4228">
        <v>8.3345740000000001E-2</v>
      </c>
      <c r="W4228">
        <v>1.501391E-2</v>
      </c>
      <c r="X4228">
        <v>0.99640759999999995</v>
      </c>
      <c r="Y4228">
        <v>0.38949250000000002</v>
      </c>
      <c r="Z4228">
        <v>9.3363360000000006E-2</v>
      </c>
      <c r="AA4228">
        <v>0.91628529999999997</v>
      </c>
      <c r="AB4228">
        <v>21</v>
      </c>
      <c r="AC4228">
        <v>-6.0968</v>
      </c>
      <c r="AD4228">
        <v>-1.1019360658699999</v>
      </c>
      <c r="AE4228">
        <v>-10.149399999999901</v>
      </c>
      <c r="AF4228">
        <v>4.6446141343674503</v>
      </c>
      <c r="AG4228">
        <v>-1.1019360658699999</v>
      </c>
      <c r="AH4228">
        <v>10.7801446001589</v>
      </c>
      <c r="AI4228">
        <v>95.363011936358802</v>
      </c>
      <c r="AJ4228">
        <v>66.691256222114006</v>
      </c>
      <c r="AK4228">
        <v>11.7897506822988</v>
      </c>
    </row>
    <row r="4229" spans="1:37" x14ac:dyDescent="0.2">
      <c r="A4229" t="str">
        <f>"20200111155632482"</f>
        <v>20200111155632482</v>
      </c>
      <c r="B4229" t="str">
        <f>"1578729392477289"</f>
        <v>1578729392477289</v>
      </c>
      <c r="C4229" t="s">
        <v>37</v>
      </c>
      <c r="D4229">
        <v>5.1730279999999897</v>
      </c>
      <c r="E4229">
        <v>0.62814159999999997</v>
      </c>
      <c r="F4229" t="s">
        <v>72</v>
      </c>
      <c r="G4229">
        <v>-200.3623</v>
      </c>
      <c r="H4229" s="1">
        <v>-1.2054489999999901E-5</v>
      </c>
      <c r="I4229">
        <v>148.85169999999999</v>
      </c>
      <c r="J4229">
        <v>-194.27449999999999</v>
      </c>
      <c r="K4229">
        <v>1.101847</v>
      </c>
      <c r="L4229">
        <v>158.87899999999999</v>
      </c>
      <c r="M4229">
        <v>-0.13730290000000001</v>
      </c>
      <c r="N4229">
        <v>0</v>
      </c>
      <c r="O4229">
        <v>-0.99043349999999997</v>
      </c>
      <c r="P4229">
        <v>-0.22169369999999999</v>
      </c>
      <c r="Q4229">
        <v>3.917161E-4</v>
      </c>
      <c r="R4229">
        <v>-0.97511650000000005</v>
      </c>
      <c r="S4229">
        <v>-1.630463</v>
      </c>
      <c r="T4229">
        <v>-0.294018</v>
      </c>
      <c r="U4229">
        <v>-2.7127080000000001</v>
      </c>
      <c r="V4229">
        <v>8.5799570000000006E-2</v>
      </c>
      <c r="W4229">
        <v>1.346196E-2</v>
      </c>
      <c r="X4229">
        <v>0.99622149999999998</v>
      </c>
      <c r="Y4229">
        <v>0.39029150000000001</v>
      </c>
      <c r="Z4229">
        <v>9.4214010000000001E-2</v>
      </c>
      <c r="AA4229">
        <v>0.91585819999999996</v>
      </c>
      <c r="AB4229">
        <v>21</v>
      </c>
      <c r="AC4229">
        <v>-6.0878000000000103</v>
      </c>
      <c r="AD4229">
        <v>-1.10185905449</v>
      </c>
      <c r="AE4229">
        <v>-10.027299999999901</v>
      </c>
      <c r="AF4229">
        <v>4.6125287757221596</v>
      </c>
      <c r="AG4229">
        <v>-1.10185905449</v>
      </c>
      <c r="AH4229">
        <v>10.6740904533867</v>
      </c>
      <c r="AI4229">
        <v>95.413109491868894</v>
      </c>
      <c r="AJ4229">
        <v>66.629677028658193</v>
      </c>
      <c r="AK4229">
        <v>11.6801422118871</v>
      </c>
    </row>
    <row r="4230" spans="1:37" x14ac:dyDescent="0.2">
      <c r="A4230" t="str">
        <f>"20200111155632495"</f>
        <v>20200111155632495</v>
      </c>
      <c r="B4230" t="str">
        <f>"1578729392487050"</f>
        <v>1578729392487050</v>
      </c>
      <c r="C4230" t="s">
        <v>37</v>
      </c>
      <c r="D4230">
        <v>5.1912099999999999</v>
      </c>
      <c r="E4230">
        <v>0.62805630000000001</v>
      </c>
      <c r="F4230" t="s">
        <v>72</v>
      </c>
      <c r="G4230">
        <v>-200.37569999999999</v>
      </c>
      <c r="H4230" s="1">
        <v>-1.20497399999999E-5</v>
      </c>
      <c r="I4230">
        <v>148.85570000000001</v>
      </c>
      <c r="J4230">
        <v>-194.29750000000001</v>
      </c>
      <c r="K4230">
        <v>1.1017729999999999</v>
      </c>
      <c r="L4230">
        <v>158.74250000000001</v>
      </c>
      <c r="M4230">
        <v>-0.1409097</v>
      </c>
      <c r="N4230">
        <v>0</v>
      </c>
      <c r="O4230">
        <v>-0.98992659999999999</v>
      </c>
      <c r="P4230">
        <v>-0.22615389999999899</v>
      </c>
      <c r="Q4230">
        <v>-2.8522310000000001E-4</v>
      </c>
      <c r="R4230">
        <v>-0.97409179999999995</v>
      </c>
      <c r="S4230">
        <v>-1.645111</v>
      </c>
      <c r="T4230">
        <v>-0.29710159999999902</v>
      </c>
      <c r="U4230">
        <v>-2.70263699999999</v>
      </c>
      <c r="V4230">
        <v>8.672697E-2</v>
      </c>
      <c r="W4230">
        <v>1.2770129999999999E-2</v>
      </c>
      <c r="X4230">
        <v>0.99615030000000004</v>
      </c>
      <c r="Y4230">
        <v>0.392024599999999</v>
      </c>
      <c r="Z4230">
        <v>9.5259150000000001E-2</v>
      </c>
      <c r="AA4230">
        <v>0.91500949999999903</v>
      </c>
      <c r="AB4230">
        <v>21</v>
      </c>
      <c r="AC4230">
        <v>-6.0781999999999803</v>
      </c>
      <c r="AD4230">
        <v>-1.1017850497399999</v>
      </c>
      <c r="AE4230">
        <v>-9.8867999999999903</v>
      </c>
      <c r="AF4230">
        <v>4.5829605042420596</v>
      </c>
      <c r="AG4230">
        <v>-1.1017850497399999</v>
      </c>
      <c r="AH4230">
        <v>10.549614860750101</v>
      </c>
      <c r="AI4230">
        <v>95.471670790682296</v>
      </c>
      <c r="AJ4230">
        <v>66.518924121277905</v>
      </c>
      <c r="AK4230">
        <v>11.5547319739331</v>
      </c>
    </row>
    <row r="4231" spans="1:37" x14ac:dyDescent="0.2">
      <c r="A4231" t="str">
        <f>"20200111155632510"</f>
        <v>20200111155632510</v>
      </c>
      <c r="B4231" t="str">
        <f>"1578729392506569"</f>
        <v>1578729392506569</v>
      </c>
      <c r="C4231" t="s">
        <v>37</v>
      </c>
      <c r="D4231">
        <v>5.1687690000000002</v>
      </c>
      <c r="E4231">
        <v>0.62790519999999905</v>
      </c>
      <c r="F4231" t="s">
        <v>72</v>
      </c>
      <c r="G4231">
        <v>-200.4255</v>
      </c>
      <c r="H4231" s="1">
        <v>-1.2003589999999901E-5</v>
      </c>
      <c r="I4231">
        <v>148.7747</v>
      </c>
      <c r="J4231">
        <v>-194.31979999999999</v>
      </c>
      <c r="K4231">
        <v>1.10171</v>
      </c>
      <c r="L4231">
        <v>158.6146</v>
      </c>
      <c r="M4231">
        <v>-0.144373</v>
      </c>
      <c r="N4231">
        <v>0</v>
      </c>
      <c r="O4231">
        <v>-0.98942739999999996</v>
      </c>
      <c r="P4231">
        <v>-0.23068049999999901</v>
      </c>
      <c r="Q4231">
        <v>-3.8149249999999999E-4</v>
      </c>
      <c r="R4231">
        <v>-0.973029699999999</v>
      </c>
      <c r="S4231">
        <v>-1.65685999999999</v>
      </c>
      <c r="T4231">
        <v>-0.2978982</v>
      </c>
      <c r="U4231">
        <v>-2.6950529999999899</v>
      </c>
      <c r="V4231">
        <v>8.7873899999999894E-2</v>
      </c>
      <c r="W4231">
        <v>1.265808E-2</v>
      </c>
      <c r="X4231">
        <v>0.99605119999999903</v>
      </c>
      <c r="Y4231">
        <v>0.39283679999999999</v>
      </c>
      <c r="Z4231">
        <v>9.5548659999999994E-2</v>
      </c>
      <c r="AA4231">
        <v>0.91463090000000002</v>
      </c>
      <c r="AB4231">
        <v>21</v>
      </c>
      <c r="AC4231">
        <v>-6.1057000000000103</v>
      </c>
      <c r="AD4231">
        <v>-1.1017220035899999</v>
      </c>
      <c r="AE4231">
        <v>-9.8399000000000001</v>
      </c>
      <c r="AF4231">
        <v>4.57951964905239</v>
      </c>
      <c r="AG4231">
        <v>-1.1017220035899999</v>
      </c>
      <c r="AH4231">
        <v>10.523126291413</v>
      </c>
      <c r="AI4231">
        <v>95.483520219797896</v>
      </c>
      <c r="AJ4231">
        <v>66.481988038506501</v>
      </c>
      <c r="AK4231">
        <v>11.529179438896699</v>
      </c>
    </row>
    <row r="4232" spans="1:37" x14ac:dyDescent="0.2">
      <c r="A4232" t="str">
        <f>"20200111155632525"</f>
        <v>20200111155632525</v>
      </c>
      <c r="B4232" t="str">
        <f>"1578729392517305"</f>
        <v>1578729392517305</v>
      </c>
      <c r="C4232" t="s">
        <v>37</v>
      </c>
      <c r="D4232">
        <v>5.1435079999999997</v>
      </c>
      <c r="E4232">
        <v>0.62783279999999997</v>
      </c>
      <c r="F4232" t="s">
        <v>72</v>
      </c>
      <c r="G4232">
        <v>-200.53620000000001</v>
      </c>
      <c r="H4232" s="1">
        <v>-1.1902919999999901E-5</v>
      </c>
      <c r="I4232">
        <v>148.60140000000001</v>
      </c>
      <c r="J4232">
        <v>-194.34469999999999</v>
      </c>
      <c r="K4232">
        <v>1.101645</v>
      </c>
      <c r="L4232">
        <v>158.47389999999999</v>
      </c>
      <c r="M4232">
        <v>-0.14825849999999999</v>
      </c>
      <c r="N4232">
        <v>0</v>
      </c>
      <c r="O4232">
        <v>-0.98885249999999902</v>
      </c>
      <c r="P4232">
        <v>-0.23642569999999999</v>
      </c>
      <c r="Q4232">
        <v>6.9487140000000004E-4</v>
      </c>
      <c r="R4232">
        <v>-0.97164930000000005</v>
      </c>
      <c r="S4232">
        <v>-1.6684570000000001</v>
      </c>
      <c r="T4232">
        <v>-0.29569440000000002</v>
      </c>
      <c r="U4232">
        <v>-2.6874689999999899</v>
      </c>
      <c r="V4232">
        <v>8.9857500000000007E-2</v>
      </c>
      <c r="W4232">
        <v>1.37098999999999E-2</v>
      </c>
      <c r="X4232">
        <v>0.99586030000000003</v>
      </c>
      <c r="Y4232">
        <v>0.39326640000000002</v>
      </c>
      <c r="Z4232">
        <v>9.4882739999999993E-2</v>
      </c>
      <c r="AA4232">
        <v>0.91451559999999898</v>
      </c>
      <c r="AB4232">
        <v>21</v>
      </c>
      <c r="AC4232">
        <v>-6.1915000000000102</v>
      </c>
      <c r="AD4232">
        <v>-1.1016569029200001</v>
      </c>
      <c r="AE4232">
        <v>-9.8724999999999703</v>
      </c>
      <c r="AF4232">
        <v>4.6179705777267896</v>
      </c>
      <c r="AG4232">
        <v>-1.1016569029200001</v>
      </c>
      <c r="AH4232">
        <v>10.586790633324499</v>
      </c>
      <c r="AI4232">
        <v>95.448410650244</v>
      </c>
      <c r="AJ4232">
        <v>66.433113400757193</v>
      </c>
      <c r="AK4232">
        <v>11.602561618123399</v>
      </c>
    </row>
    <row r="4233" spans="1:37" x14ac:dyDescent="0.2">
      <c r="A4233" t="str">
        <f>"20200111155632537"</f>
        <v>20200111155632537</v>
      </c>
      <c r="B4233" t="str">
        <f>"1578729392527065"</f>
        <v>1578729392527065</v>
      </c>
      <c r="C4233" t="s">
        <v>37</v>
      </c>
      <c r="D4233">
        <v>5.1289689999999997</v>
      </c>
      <c r="E4233">
        <v>0.62774249999999998</v>
      </c>
      <c r="F4233" t="s">
        <v>72</v>
      </c>
      <c r="G4233">
        <v>-200.70650000000001</v>
      </c>
      <c r="H4233" s="1">
        <v>-1.1754620000000001E-5</v>
      </c>
      <c r="I4233">
        <v>148.35679999999999</v>
      </c>
      <c r="J4233">
        <v>-194.36590000000001</v>
      </c>
      <c r="K4233">
        <v>1.101586</v>
      </c>
      <c r="L4233">
        <v>158.3569</v>
      </c>
      <c r="M4233">
        <v>-0.15154379999999901</v>
      </c>
      <c r="N4233">
        <v>0</v>
      </c>
      <c r="O4233">
        <v>-0.98835409999999901</v>
      </c>
      <c r="P4233">
        <v>-0.24061649999999901</v>
      </c>
      <c r="Q4233">
        <v>1.0011149999999999E-3</v>
      </c>
      <c r="R4233">
        <v>-0.97061989999999998</v>
      </c>
      <c r="S4233">
        <v>-1.683975</v>
      </c>
      <c r="T4233">
        <v>-0.2916088</v>
      </c>
      <c r="U4233">
        <v>-2.677994</v>
      </c>
      <c r="V4233">
        <v>9.0850260000000002E-2</v>
      </c>
      <c r="W4233">
        <v>1.400121E-2</v>
      </c>
      <c r="X4233">
        <v>0.99576620000000005</v>
      </c>
      <c r="Y4233">
        <v>0.39553329999999998</v>
      </c>
      <c r="Z4233">
        <v>9.3611459999999994E-2</v>
      </c>
      <c r="AA4233">
        <v>0.91366859999999905</v>
      </c>
      <c r="AB4233">
        <v>21</v>
      </c>
      <c r="AC4233">
        <v>-6.3405999999999896</v>
      </c>
      <c r="AD4233">
        <v>-1.10159775462</v>
      </c>
      <c r="AE4233">
        <v>-10.0001</v>
      </c>
      <c r="AF4233">
        <v>4.7109828818326704</v>
      </c>
      <c r="AG4233">
        <v>-1.10159775462</v>
      </c>
      <c r="AH4233">
        <v>10.752486398486299</v>
      </c>
      <c r="AI4233">
        <v>95.360884446118703</v>
      </c>
      <c r="AJ4233">
        <v>66.340349832908203</v>
      </c>
      <c r="AK4233">
        <v>11.790794760131201</v>
      </c>
    </row>
    <row r="4234" spans="1:37" x14ac:dyDescent="0.2">
      <c r="A4234" t="str">
        <f>"20200111155632559"</f>
        <v>20200111155632559</v>
      </c>
      <c r="B4234" t="str">
        <f>"1578729392556854"</f>
        <v>1578729392556854</v>
      </c>
      <c r="C4234" t="s">
        <v>37</v>
      </c>
      <c r="D4234">
        <v>5.1267870000000002</v>
      </c>
      <c r="E4234">
        <v>0.62754480000000001</v>
      </c>
      <c r="F4234" t="s">
        <v>72</v>
      </c>
      <c r="G4234">
        <v>-200.81970000000001</v>
      </c>
      <c r="H4234" s="1">
        <v>-1.165395E-5</v>
      </c>
      <c r="I4234">
        <v>148.18700000000001</v>
      </c>
      <c r="J4234">
        <v>-194.40170000000001</v>
      </c>
      <c r="K4234">
        <v>1.101488</v>
      </c>
      <c r="L4234">
        <v>158.166</v>
      </c>
      <c r="M4234">
        <v>-0.157079</v>
      </c>
      <c r="N4234">
        <v>0</v>
      </c>
      <c r="O4234">
        <v>-0.98748930000000001</v>
      </c>
      <c r="P4234">
        <v>-0.24801239999999899</v>
      </c>
      <c r="Q4234">
        <v>2.8047300000000001E-3</v>
      </c>
      <c r="R4234">
        <v>-0.96875290000000003</v>
      </c>
      <c r="S4234">
        <v>-1.6949459999999901</v>
      </c>
      <c r="T4234">
        <v>-0.28931220000000002</v>
      </c>
      <c r="U4234">
        <v>-2.6709139999999998</v>
      </c>
      <c r="V4234">
        <v>9.2885480000000006E-2</v>
      </c>
      <c r="W4234">
        <v>1.5775330000000001E-2</v>
      </c>
      <c r="X4234">
        <v>0.99555179999999999</v>
      </c>
      <c r="Y4234">
        <v>0.3941981</v>
      </c>
      <c r="Z4234">
        <v>9.289878E-2</v>
      </c>
      <c r="AA4234">
        <v>0.91431810000000002</v>
      </c>
      <c r="AB4234">
        <v>21</v>
      </c>
      <c r="AC4234">
        <v>-6.4180000000000001</v>
      </c>
      <c r="AD4234">
        <v>-1.1014996539499999</v>
      </c>
      <c r="AE4234">
        <v>-9.9789999999999797</v>
      </c>
      <c r="AF4234">
        <v>4.7299039069409101</v>
      </c>
      <c r="AG4234">
        <v>-1.1014996539499999</v>
      </c>
      <c r="AH4234">
        <v>10.7704961155451</v>
      </c>
      <c r="AI4234">
        <v>95.349494529380095</v>
      </c>
      <c r="AJ4234">
        <v>66.291139627024805</v>
      </c>
      <c r="AK4234">
        <v>11.8147737613345</v>
      </c>
    </row>
    <row r="4235" spans="1:37" x14ac:dyDescent="0.2">
      <c r="A4235" t="str">
        <f>"20200111155632571"</f>
        <v>20200111155632571</v>
      </c>
      <c r="B4235" t="str">
        <f>"1578729392566614"</f>
        <v>1578729392566614</v>
      </c>
      <c r="C4235" t="s">
        <v>37</v>
      </c>
      <c r="D4235">
        <v>5.1572170000000002</v>
      </c>
      <c r="E4235">
        <v>0.62739709999999904</v>
      </c>
      <c r="F4235" t="s">
        <v>72</v>
      </c>
      <c r="G4235">
        <v>-201.11250000000001</v>
      </c>
      <c r="H4235" s="1">
        <v>-1.1395639999999999E-5</v>
      </c>
      <c r="I4235">
        <v>147.75530000000001</v>
      </c>
      <c r="J4235">
        <v>-194.42349999999999</v>
      </c>
      <c r="K4235">
        <v>1.1014250000000001</v>
      </c>
      <c r="L4235">
        <v>158.054</v>
      </c>
      <c r="M4235">
        <v>-0.1604341</v>
      </c>
      <c r="N4235">
        <v>0</v>
      </c>
      <c r="O4235">
        <v>-0.98694969999999904</v>
      </c>
      <c r="P4235">
        <v>-0.25208750000000002</v>
      </c>
      <c r="Q4235">
        <v>3.7402259999999902E-3</v>
      </c>
      <c r="R4235">
        <v>-0.96769729999999998</v>
      </c>
      <c r="S4235">
        <v>-1.7138819999999999</v>
      </c>
      <c r="T4235">
        <v>-0.28131279999999997</v>
      </c>
      <c r="U4235">
        <v>-2.658798</v>
      </c>
      <c r="V4235">
        <v>9.3703480000000006E-2</v>
      </c>
      <c r="W4235">
        <v>1.6696929999999999E-2</v>
      </c>
      <c r="X4235">
        <v>0.99546019999999902</v>
      </c>
      <c r="Y4235">
        <v>0.3976982</v>
      </c>
      <c r="Z4235">
        <v>9.0391970000000002E-2</v>
      </c>
      <c r="AA4235">
        <v>0.91305289999999995</v>
      </c>
      <c r="AB4235">
        <v>21</v>
      </c>
      <c r="AC4235">
        <v>-6.6890000000000196</v>
      </c>
      <c r="AD4235">
        <v>-1.10143639564</v>
      </c>
      <c r="AE4235">
        <v>-10.298699999999901</v>
      </c>
      <c r="AF4235">
        <v>4.9104151297713798</v>
      </c>
      <c r="AG4235">
        <v>-1.10143639564</v>
      </c>
      <c r="AH4235">
        <v>11.148829925416001</v>
      </c>
      <c r="AI4235">
        <v>95.1662252455871</v>
      </c>
      <c r="AJ4235">
        <v>66.229282479084603</v>
      </c>
      <c r="AK4235">
        <v>12.231996876478499</v>
      </c>
    </row>
    <row r="4236" spans="1:37" x14ac:dyDescent="0.2">
      <c r="A4236" t="str">
        <f>"20200111155632584"</f>
        <v>20200111155632584</v>
      </c>
      <c r="B4236" t="str">
        <f>"1578729392577349"</f>
        <v>1578729392577349</v>
      </c>
      <c r="C4236" t="s">
        <v>37</v>
      </c>
      <c r="D4236">
        <v>5.137416</v>
      </c>
      <c r="E4236">
        <v>0.62725540000000002</v>
      </c>
      <c r="F4236" t="s">
        <v>72</v>
      </c>
      <c r="G4236">
        <v>-201.2439</v>
      </c>
      <c r="H4236" s="1">
        <v>-1.128007E-5</v>
      </c>
      <c r="I4236">
        <v>147.56270000000001</v>
      </c>
      <c r="J4236">
        <v>-194.4468</v>
      </c>
      <c r="K4236">
        <v>1.101359</v>
      </c>
      <c r="L4236">
        <v>157.93559999999999</v>
      </c>
      <c r="M4236">
        <v>-0.16402809999999901</v>
      </c>
      <c r="N4236">
        <v>0</v>
      </c>
      <c r="O4236">
        <v>-0.98635849999999903</v>
      </c>
      <c r="P4236">
        <v>-0.25647219999999998</v>
      </c>
      <c r="Q4236">
        <v>4.5031000000000003E-3</v>
      </c>
      <c r="R4236">
        <v>-0.96654119999999999</v>
      </c>
      <c r="S4236">
        <v>-1.724121</v>
      </c>
      <c r="T4236">
        <v>-0.27842810000000001</v>
      </c>
      <c r="U4236">
        <v>-2.652069</v>
      </c>
      <c r="V4236">
        <v>9.4600879999999998E-2</v>
      </c>
      <c r="W4236">
        <v>1.744451E-2</v>
      </c>
      <c r="X4236">
        <v>0.99536239999999998</v>
      </c>
      <c r="Y4236">
        <v>0.39793959999999901</v>
      </c>
      <c r="Z4236">
        <v>8.9490260000000002E-2</v>
      </c>
      <c r="AA4236">
        <v>0.91303650000000003</v>
      </c>
      <c r="AB4236">
        <v>21</v>
      </c>
      <c r="AC4236">
        <v>-6.7971000000000004</v>
      </c>
      <c r="AD4236">
        <v>-1.10137028007</v>
      </c>
      <c r="AE4236">
        <v>-10.3728999999999</v>
      </c>
      <c r="AF4236">
        <v>4.9642562993200601</v>
      </c>
      <c r="AG4236">
        <v>-1.10137028007</v>
      </c>
      <c r="AH4236">
        <v>11.2586034602697</v>
      </c>
      <c r="AI4236">
        <v>95.114900741654793</v>
      </c>
      <c r="AJ4236">
        <v>66.205877319886298</v>
      </c>
      <c r="AK4236">
        <v>12.3536637875068</v>
      </c>
    </row>
    <row r="4237" spans="1:37" x14ac:dyDescent="0.2">
      <c r="A4237" t="str">
        <f>"20200111155632596"</f>
        <v>20200111155632596</v>
      </c>
      <c r="B4237" t="str">
        <f>"1578729392587109"</f>
        <v>1578729392587109</v>
      </c>
      <c r="C4237" t="s">
        <v>37</v>
      </c>
      <c r="D4237">
        <v>5.1845989999999897</v>
      </c>
      <c r="E4237">
        <v>0.62700529999999999</v>
      </c>
      <c r="F4237" t="s">
        <v>72</v>
      </c>
      <c r="G4237">
        <v>-201.3767</v>
      </c>
      <c r="H4237" s="1">
        <v>-1.116492E-5</v>
      </c>
      <c r="I4237">
        <v>147.37350000000001</v>
      </c>
      <c r="J4237">
        <v>-194.47049999999999</v>
      </c>
      <c r="K4237">
        <v>1.1012949999999999</v>
      </c>
      <c r="L4237">
        <v>157.81780000000001</v>
      </c>
      <c r="M4237">
        <v>-0.16765579999999999</v>
      </c>
      <c r="N4237">
        <v>0</v>
      </c>
      <c r="O4237">
        <v>-0.98574850000000003</v>
      </c>
      <c r="P4237">
        <v>-0.2609262</v>
      </c>
      <c r="Q4237">
        <v>5.2969860000000001E-3</v>
      </c>
      <c r="R4237">
        <v>-0.96534449999999905</v>
      </c>
      <c r="S4237">
        <v>-1.7351989999999999</v>
      </c>
      <c r="T4237">
        <v>-0.27577779999999902</v>
      </c>
      <c r="U4237">
        <v>-2.6446839999999998</v>
      </c>
      <c r="V4237">
        <v>9.5539390000000002E-2</v>
      </c>
      <c r="W4237">
        <v>1.8223050000000001E-2</v>
      </c>
      <c r="X4237">
        <v>0.9952588</v>
      </c>
      <c r="Y4237">
        <v>0.39845069999999999</v>
      </c>
      <c r="Z4237">
        <v>8.8665140000000003E-2</v>
      </c>
      <c r="AA4237">
        <v>0.91289409999999904</v>
      </c>
      <c r="AB4237">
        <v>21</v>
      </c>
      <c r="AC4237">
        <v>-6.9062000000000099</v>
      </c>
      <c r="AD4237">
        <v>-1.10130616492</v>
      </c>
      <c r="AE4237">
        <v>-10.444299999999901</v>
      </c>
      <c r="AF4237">
        <v>5.0183895712750202</v>
      </c>
      <c r="AG4237">
        <v>-1.10130616492</v>
      </c>
      <c r="AH4237">
        <v>11.3664804623564</v>
      </c>
      <c r="AI4237">
        <v>95.0652413968253</v>
      </c>
      <c r="AJ4237">
        <v>66.178168480733703</v>
      </c>
      <c r="AK4237">
        <v>12.4737318898196</v>
      </c>
    </row>
    <row r="4238" spans="1:37" x14ac:dyDescent="0.2">
      <c r="A4238" t="str">
        <f>"20200111155632610"</f>
        <v>20200111155632610</v>
      </c>
      <c r="B4238" t="str">
        <f>"1578729392607606"</f>
        <v>1578729392607606</v>
      </c>
      <c r="C4238" t="s">
        <v>37</v>
      </c>
      <c r="D4238">
        <v>5.1948359999999996</v>
      </c>
      <c r="E4238">
        <v>0.62683509999999998</v>
      </c>
      <c r="F4238" t="s">
        <v>72</v>
      </c>
      <c r="G4238">
        <v>-201.4956</v>
      </c>
      <c r="H4238" s="1">
        <v>-1.1061429999999999E-5</v>
      </c>
      <c r="I4238">
        <v>147.2029</v>
      </c>
      <c r="J4238">
        <v>-194.49590000000001</v>
      </c>
      <c r="K4238">
        <v>1.101229</v>
      </c>
      <c r="L4238">
        <v>157.69540000000001</v>
      </c>
      <c r="M4238">
        <v>-0.17153470000000001</v>
      </c>
      <c r="N4238">
        <v>0</v>
      </c>
      <c r="O4238">
        <v>-0.98508069999999903</v>
      </c>
      <c r="P4238">
        <v>-0.26584799999999997</v>
      </c>
      <c r="Q4238">
        <v>6.0876940000000003E-3</v>
      </c>
      <c r="R4238">
        <v>-0.96399599999999996</v>
      </c>
      <c r="S4238">
        <v>-1.745468</v>
      </c>
      <c r="T4238">
        <v>-0.27363309999999902</v>
      </c>
      <c r="U4238">
        <v>-2.63740499999999</v>
      </c>
      <c r="V4238">
        <v>9.6711019999999995E-2</v>
      </c>
      <c r="W4238">
        <v>1.899588E-2</v>
      </c>
      <c r="X4238">
        <v>0.99513119999999999</v>
      </c>
      <c r="Y4238">
        <v>0.39850639999999998</v>
      </c>
      <c r="Z4238">
        <v>8.8005200000000006E-2</v>
      </c>
      <c r="AA4238">
        <v>0.91293359999999901</v>
      </c>
      <c r="AB4238">
        <v>21</v>
      </c>
      <c r="AC4238">
        <v>-6.99969999999999</v>
      </c>
      <c r="AD4238">
        <v>-1.10124006143</v>
      </c>
      <c r="AE4238">
        <v>-10.4925</v>
      </c>
      <c r="AF4238">
        <v>5.0573780498136598</v>
      </c>
      <c r="AG4238">
        <v>-1.10124006143</v>
      </c>
      <c r="AH4238">
        <v>11.450470685744101</v>
      </c>
      <c r="AI4238">
        <v>95.027670605749293</v>
      </c>
      <c r="AJ4238">
        <v>66.170186962015293</v>
      </c>
      <c r="AK4238">
        <v>12.5659492811614</v>
      </c>
    </row>
    <row r="4239" spans="1:37" x14ac:dyDescent="0.2">
      <c r="A4239" t="str">
        <f>"20200111155632626"</f>
        <v>20200111155632626</v>
      </c>
      <c r="B4239" t="str">
        <f>"1578729392617365"</f>
        <v>1578729392617365</v>
      </c>
      <c r="C4239" t="s">
        <v>37</v>
      </c>
      <c r="D4239">
        <v>5.2900039999999997</v>
      </c>
      <c r="E4239">
        <v>0.61528799999999995</v>
      </c>
      <c r="F4239" t="s">
        <v>72</v>
      </c>
      <c r="G4239">
        <v>-201.6223</v>
      </c>
      <c r="H4239" s="1">
        <v>-1.095556E-5</v>
      </c>
      <c r="I4239">
        <v>147.0359</v>
      </c>
      <c r="J4239">
        <v>-194.52610000000001</v>
      </c>
      <c r="K4239">
        <v>1.1011420000000001</v>
      </c>
      <c r="L4239">
        <v>157.55289999999999</v>
      </c>
      <c r="M4239">
        <v>-0.1761374</v>
      </c>
      <c r="N4239">
        <v>0</v>
      </c>
      <c r="O4239">
        <v>-0.98426769999999997</v>
      </c>
      <c r="P4239">
        <v>-0.27342339999999998</v>
      </c>
      <c r="Q4239">
        <v>7.7711069999999898E-3</v>
      </c>
      <c r="R4239">
        <v>-0.96186240000000001</v>
      </c>
      <c r="S4239">
        <v>-1.7576290000000001</v>
      </c>
      <c r="T4239">
        <v>-0.27160689999999998</v>
      </c>
      <c r="U4239">
        <v>-2.6290279999999999</v>
      </c>
      <c r="V4239">
        <v>9.9910009999999994E-2</v>
      </c>
      <c r="W4239">
        <v>2.0638259999999999E-2</v>
      </c>
      <c r="X4239">
        <v>0.99478239999999996</v>
      </c>
      <c r="Y4239">
        <v>0.39851569999999997</v>
      </c>
      <c r="Z4239">
        <v>8.7377590000000005E-2</v>
      </c>
      <c r="AA4239">
        <v>0.91298979999999996</v>
      </c>
      <c r="AB4239">
        <v>21</v>
      </c>
      <c r="AC4239">
        <v>-7.0961999999999801</v>
      </c>
      <c r="AD4239">
        <v>-1.1011529555599999</v>
      </c>
      <c r="AE4239">
        <v>-10.5169999999999</v>
      </c>
      <c r="AF4239">
        <v>5.0942430335655597</v>
      </c>
      <c r="AG4239">
        <v>-1.1011529555599999</v>
      </c>
      <c r="AH4239">
        <v>11.5158189112627</v>
      </c>
      <c r="AI4239">
        <v>94.997614079609505</v>
      </c>
      <c r="AJ4239">
        <v>66.136879734255402</v>
      </c>
      <c r="AK4239">
        <v>12.6403297074707</v>
      </c>
    </row>
    <row r="4240" spans="1:37" x14ac:dyDescent="0.2">
      <c r="A4240" t="str">
        <f>"20200111155632640"</f>
        <v>20200111155632640</v>
      </c>
      <c r="B4240" t="str">
        <f>"1578729392636886"</f>
        <v>1578729392636886</v>
      </c>
      <c r="C4240" t="s">
        <v>37</v>
      </c>
      <c r="D4240">
        <v>5.2058559999999998</v>
      </c>
      <c r="E4240">
        <v>0.6146045</v>
      </c>
      <c r="F4240" t="s">
        <v>72</v>
      </c>
      <c r="G4240">
        <v>-201.0804</v>
      </c>
      <c r="H4240" s="1">
        <v>-1.1274679999999999E-5</v>
      </c>
      <c r="I4240">
        <v>147.30080000000001</v>
      </c>
      <c r="J4240">
        <v>-194.55279999999999</v>
      </c>
      <c r="K4240">
        <v>1.1010659999999901</v>
      </c>
      <c r="L4240">
        <v>157.42930000000001</v>
      </c>
      <c r="M4240">
        <v>-0.18021180000000001</v>
      </c>
      <c r="N4240">
        <v>0</v>
      </c>
      <c r="O4240">
        <v>-0.98352999999999902</v>
      </c>
      <c r="P4240">
        <v>-0.27908070000000001</v>
      </c>
      <c r="Q4240">
        <v>8.2972180000000003E-3</v>
      </c>
      <c r="R4240">
        <v>-0.96023189999999903</v>
      </c>
      <c r="S4240">
        <v>-1.6885829999999999</v>
      </c>
      <c r="T4240">
        <v>-0.28368929999999998</v>
      </c>
      <c r="U4240">
        <v>-2.641235</v>
      </c>
      <c r="V4240">
        <v>0.1016563</v>
      </c>
      <c r="W4240">
        <v>2.113835E-2</v>
      </c>
      <c r="X4240">
        <v>0.99459500000000001</v>
      </c>
      <c r="Y4240">
        <v>0.37568770000000001</v>
      </c>
      <c r="Z4240">
        <v>9.1831780000000002E-2</v>
      </c>
      <c r="AA4240">
        <v>0.92218519999999904</v>
      </c>
      <c r="AB4240">
        <v>20</v>
      </c>
      <c r="AC4240">
        <v>-6.5275999999999996</v>
      </c>
      <c r="AD4240">
        <v>-1.1010772746799999</v>
      </c>
      <c r="AE4240">
        <v>-10.128500000000001</v>
      </c>
      <c r="AF4240">
        <v>4.55720524305596</v>
      </c>
      <c r="AG4240">
        <v>-1.1010772746799999</v>
      </c>
      <c r="AH4240">
        <v>11.0468659326205</v>
      </c>
      <c r="AI4240">
        <v>95.264410023272006</v>
      </c>
      <c r="AJ4240">
        <v>67.582199049073395</v>
      </c>
      <c r="AK4240">
        <v>12.000572391575499</v>
      </c>
    </row>
    <row r="4241" spans="1:37" x14ac:dyDescent="0.2">
      <c r="A4241" t="str">
        <f>"20200111155632660"</f>
        <v>20200111155632660</v>
      </c>
      <c r="B4241" t="str">
        <f>"1578729392657890"</f>
        <v>1578729392657890</v>
      </c>
      <c r="C4241" t="s">
        <v>37</v>
      </c>
      <c r="D4241">
        <v>6.7516809999999996</v>
      </c>
      <c r="E4241">
        <v>0.61390180000000005</v>
      </c>
      <c r="F4241" t="s">
        <v>72</v>
      </c>
      <c r="G4241">
        <v>-201.0812</v>
      </c>
      <c r="H4241" s="1">
        <v>-1.1276880000000001E-5</v>
      </c>
      <c r="I4241">
        <v>147.30940000000001</v>
      </c>
      <c r="J4241">
        <v>-194.5941</v>
      </c>
      <c r="K4241">
        <v>1.100951</v>
      </c>
      <c r="L4241">
        <v>157.24510000000001</v>
      </c>
      <c r="M4241">
        <v>-0.186477</v>
      </c>
      <c r="N4241">
        <v>0</v>
      </c>
      <c r="O4241">
        <v>-0.98236100000000004</v>
      </c>
      <c r="P4241">
        <v>-0.28925879999999998</v>
      </c>
      <c r="Q4241">
        <v>8.9464090000000007E-3</v>
      </c>
      <c r="R4241">
        <v>-0.95720919999999898</v>
      </c>
      <c r="S4241">
        <v>-1.698593</v>
      </c>
      <c r="T4241">
        <v>-0.28648420000000002</v>
      </c>
      <c r="U4241">
        <v>-2.633041</v>
      </c>
      <c r="V4241">
        <v>0.10588879999999901</v>
      </c>
      <c r="W4241">
        <v>2.1730920000000001E-2</v>
      </c>
      <c r="X4241">
        <v>0.99414049999999998</v>
      </c>
      <c r="Y4241">
        <v>0.37351780000000001</v>
      </c>
      <c r="Z4241">
        <v>9.2757839999999994E-2</v>
      </c>
      <c r="AA4241">
        <v>0.92297369999999901</v>
      </c>
      <c r="AB4241">
        <v>20</v>
      </c>
      <c r="AC4241">
        <v>-6.4870999999999901</v>
      </c>
      <c r="AD4241">
        <v>-1.10096227688</v>
      </c>
      <c r="AE4241">
        <v>-9.93569999999999</v>
      </c>
      <c r="AF4241">
        <v>4.48174890591</v>
      </c>
      <c r="AG4241">
        <v>-1.10096227688</v>
      </c>
      <c r="AH4241">
        <v>10.877556745808199</v>
      </c>
      <c r="AI4241">
        <v>95.346290358721404</v>
      </c>
      <c r="AJ4241">
        <v>67.607458493619603</v>
      </c>
      <c r="AK4241">
        <v>11.8160666868893</v>
      </c>
    </row>
    <row r="4242" spans="1:37" x14ac:dyDescent="0.2">
      <c r="A4242" t="str">
        <f>"20200111155632673"</f>
        <v>20200111155632673</v>
      </c>
      <c r="B4242" t="str">
        <f>"1578729392666673"</f>
        <v>1578729392666673</v>
      </c>
      <c r="C4242" t="s">
        <v>37</v>
      </c>
      <c r="D4242">
        <v>5.1857100000000003</v>
      </c>
      <c r="E4242">
        <v>0.61412140000000004</v>
      </c>
      <c r="F4242" t="s">
        <v>72</v>
      </c>
      <c r="G4242">
        <v>-201.1644</v>
      </c>
      <c r="H4242" s="1">
        <v>-1.122311E-5</v>
      </c>
      <c r="I4242">
        <v>147.2526</v>
      </c>
      <c r="J4242">
        <v>-194.62129999999999</v>
      </c>
      <c r="K4242">
        <v>1.1008799999999901</v>
      </c>
      <c r="L4242">
        <v>157.12729999999999</v>
      </c>
      <c r="M4242">
        <v>-0.19058710000000001</v>
      </c>
      <c r="N4242">
        <v>0</v>
      </c>
      <c r="O4242">
        <v>-0.98157159999999999</v>
      </c>
      <c r="P4242">
        <v>-0.295713</v>
      </c>
      <c r="Q4242">
        <v>9.1066759999999993E-3</v>
      </c>
      <c r="R4242">
        <v>-0.95523349999999996</v>
      </c>
      <c r="S4242">
        <v>-1.7206729999999999</v>
      </c>
      <c r="T4242">
        <v>-0.28832770000000002</v>
      </c>
      <c r="U4242">
        <v>-2.6168819999999999</v>
      </c>
      <c r="V4242">
        <v>0.1084436</v>
      </c>
      <c r="W4242">
        <v>2.1856779999999999E-2</v>
      </c>
      <c r="X4242">
        <v>0.99386229999999998</v>
      </c>
      <c r="Y4242">
        <v>0.37764910000000002</v>
      </c>
      <c r="Z4242">
        <v>9.3435749999999998E-2</v>
      </c>
      <c r="AA4242">
        <v>0.92122250000000006</v>
      </c>
      <c r="AB4242">
        <v>20</v>
      </c>
      <c r="AC4242">
        <v>-6.5431000000000097</v>
      </c>
      <c r="AD4242">
        <v>-1.1008912231100001</v>
      </c>
      <c r="AE4242">
        <v>-9.87469999999999</v>
      </c>
      <c r="AF4242">
        <v>4.5020860619228804</v>
      </c>
      <c r="AG4242">
        <v>-1.1008912231100001</v>
      </c>
      <c r="AH4242">
        <v>10.8471287086098</v>
      </c>
      <c r="AI4242">
        <v>95.355155296705206</v>
      </c>
      <c r="AJ4242">
        <v>67.459172387853201</v>
      </c>
      <c r="AK4242">
        <v>11.795801864020399</v>
      </c>
    </row>
    <row r="4243" spans="1:37" x14ac:dyDescent="0.2">
      <c r="A4243" t="str">
        <f>"20200111155632686"</f>
        <v>20200111155632686</v>
      </c>
      <c r="B4243" t="str">
        <f>"1578729392676434"</f>
        <v>1578729392676434</v>
      </c>
      <c r="C4243" t="s">
        <v>37</v>
      </c>
      <c r="D4243">
        <v>5.1838009999999999</v>
      </c>
      <c r="E4243">
        <v>0.61408189999999996</v>
      </c>
      <c r="F4243" t="s">
        <v>72</v>
      </c>
      <c r="G4243">
        <v>-201.61179999999999</v>
      </c>
      <c r="H4243" s="1">
        <v>-1.085085E-5</v>
      </c>
      <c r="I4243">
        <v>146.66829999999999</v>
      </c>
      <c r="J4243">
        <v>-194.64750000000001</v>
      </c>
      <c r="K4243">
        <v>1.1008180000000001</v>
      </c>
      <c r="L4243">
        <v>157.01589999999999</v>
      </c>
      <c r="M4243">
        <v>-0.194529799999999</v>
      </c>
      <c r="N4243">
        <v>0</v>
      </c>
      <c r="O4243">
        <v>-0.980797899999999</v>
      </c>
      <c r="P4243">
        <v>-0.30252129999999999</v>
      </c>
      <c r="Q4243">
        <v>8.6112610000000003E-3</v>
      </c>
      <c r="R4243">
        <v>-0.95310399999999995</v>
      </c>
      <c r="S4243">
        <v>-1.7406919999999999</v>
      </c>
      <c r="T4243">
        <v>-0.27412900000000001</v>
      </c>
      <c r="U4243">
        <v>-2.6043400000000001</v>
      </c>
      <c r="V4243">
        <v>0.1115389</v>
      </c>
      <c r="W4243">
        <v>2.1321420000000001E-2</v>
      </c>
      <c r="X4243">
        <v>0.99353130000000001</v>
      </c>
      <c r="Y4243">
        <v>0.38110840000000001</v>
      </c>
      <c r="Z4243">
        <v>8.8885240000000004E-2</v>
      </c>
      <c r="AA4243">
        <v>0.920247699999999</v>
      </c>
      <c r="AB4243">
        <v>20</v>
      </c>
      <c r="AC4243">
        <v>-6.9642999999999802</v>
      </c>
      <c r="AD4243">
        <v>-1.1008288508499999</v>
      </c>
      <c r="AE4243">
        <v>-10.3476</v>
      </c>
      <c r="AF4243">
        <v>4.78088076139578</v>
      </c>
      <c r="AG4243">
        <v>-1.1008288508499999</v>
      </c>
      <c r="AH4243">
        <v>11.4158599243073</v>
      </c>
      <c r="AI4243">
        <v>95.082787142602001</v>
      </c>
      <c r="AJ4243">
        <v>67.276411975209697</v>
      </c>
      <c r="AK4243">
        <v>12.4253974916279</v>
      </c>
    </row>
    <row r="4244" spans="1:37" x14ac:dyDescent="0.2">
      <c r="A4244" t="str">
        <f>"20200111155632834"</f>
        <v>20200111155632834</v>
      </c>
      <c r="B4244" t="str">
        <f>"1578729392827248"</f>
        <v>1578729392827248</v>
      </c>
      <c r="C4244" t="s">
        <v>37</v>
      </c>
      <c r="D4244">
        <v>6.2712949999999896</v>
      </c>
      <c r="E4244">
        <v>0.61408189999999996</v>
      </c>
      <c r="F4244" t="s">
        <v>72</v>
      </c>
      <c r="G4244">
        <v>-201.6567</v>
      </c>
      <c r="H4244" s="1">
        <v>-1.08366699999999E-5</v>
      </c>
      <c r="I4244">
        <v>146.6876</v>
      </c>
      <c r="J4244">
        <v>-195.00450000000001</v>
      </c>
      <c r="K4244">
        <v>1.100071</v>
      </c>
      <c r="L4244">
        <v>155.68899999999999</v>
      </c>
      <c r="M4244">
        <v>-0.2463767</v>
      </c>
      <c r="N4244">
        <v>0</v>
      </c>
      <c r="O4244">
        <v>-0.96907180000000004</v>
      </c>
      <c r="P4244">
        <v>-0.39257540000000002</v>
      </c>
      <c r="Q4244">
        <v>-4.3552499999999997E-3</v>
      </c>
      <c r="R4244">
        <v>-0.91970959999999902</v>
      </c>
      <c r="S4244">
        <v>-1.758896</v>
      </c>
      <c r="T4244">
        <v>-0.27624320000000002</v>
      </c>
      <c r="U4244">
        <v>-2.5917970000000001</v>
      </c>
      <c r="V4244">
        <v>0.15395639999999999</v>
      </c>
      <c r="W4244">
        <v>7.7454910000000002E-3</v>
      </c>
      <c r="X4244">
        <v>0.98804729999999996</v>
      </c>
      <c r="Y4244">
        <v>0.3380745</v>
      </c>
      <c r="Z4244">
        <v>8.8932369999999997E-2</v>
      </c>
      <c r="AA4244">
        <v>0.93690799999999996</v>
      </c>
      <c r="AB4244">
        <v>20</v>
      </c>
      <c r="AC4244">
        <v>-6.6521999999999899</v>
      </c>
      <c r="AD4244">
        <v>-1.10008183667</v>
      </c>
      <c r="AE4244">
        <v>-9.0013999999999896</v>
      </c>
      <c r="AF4244">
        <v>4.1886808757448604</v>
      </c>
      <c r="AG4244">
        <v>-1.10008183667</v>
      </c>
      <c r="AH4244">
        <v>10.2638289176063</v>
      </c>
      <c r="AI4244">
        <v>95.667188306656499</v>
      </c>
      <c r="AJ4244">
        <v>67.799569890030099</v>
      </c>
      <c r="AK4244">
        <v>11.140081309222699</v>
      </c>
    </row>
    <row r="4245" spans="1:37" x14ac:dyDescent="0.2">
      <c r="A4245" t="str">
        <f>"20200111155632889"</f>
        <v>20200111155632889</v>
      </c>
      <c r="B4245" t="str">
        <f>"1578729392877023"</f>
        <v>1578729392877023</v>
      </c>
      <c r="C4245" t="s">
        <v>37</v>
      </c>
      <c r="D4245">
        <v>5.3348610000000001</v>
      </c>
      <c r="E4245">
        <v>0.62075789999999997</v>
      </c>
      <c r="F4245" t="s">
        <v>72</v>
      </c>
      <c r="G4245">
        <v>-202.02350000000001</v>
      </c>
      <c r="H4245" s="1">
        <v>-1.083684E-5</v>
      </c>
      <c r="I4245">
        <v>147.23490000000001</v>
      </c>
      <c r="J4245">
        <v>-195.15440000000001</v>
      </c>
      <c r="K4245">
        <v>1.099828</v>
      </c>
      <c r="L4245">
        <v>155.21440000000001</v>
      </c>
      <c r="M4245">
        <v>-0.26719999999999999</v>
      </c>
      <c r="N4245">
        <v>0</v>
      </c>
      <c r="O4245">
        <v>-0.96353709999999904</v>
      </c>
      <c r="P4245">
        <v>-0.419853799999999</v>
      </c>
      <c r="Q4245">
        <v>-3.1338159999999898E-3</v>
      </c>
      <c r="R4245">
        <v>-0.90758629999999996</v>
      </c>
      <c r="S4245">
        <v>-1.99864199999999</v>
      </c>
      <c r="T4245">
        <v>-0.313245099999999</v>
      </c>
      <c r="U4245">
        <v>-2.4072879999999999</v>
      </c>
      <c r="V4245">
        <v>0.16217609999999999</v>
      </c>
      <c r="W4245">
        <v>8.8169089999999995E-3</v>
      </c>
      <c r="X4245">
        <v>0.98672249999999995</v>
      </c>
      <c r="Y4245">
        <v>0.40657169999999998</v>
      </c>
      <c r="Z4245">
        <v>0.10168729999999999</v>
      </c>
      <c r="AA4245">
        <v>0.90794219999999903</v>
      </c>
      <c r="AB4245">
        <v>20</v>
      </c>
      <c r="AC4245">
        <v>-6.8691000000000004</v>
      </c>
      <c r="AD4245">
        <v>-1.0998388368400001</v>
      </c>
      <c r="AE4245">
        <v>-7.9794999999999998</v>
      </c>
      <c r="AF4245">
        <v>4.4385277586389797</v>
      </c>
      <c r="AG4245">
        <v>-1.0998388368400001</v>
      </c>
      <c r="AH4245">
        <v>9.4221104440204293</v>
      </c>
      <c r="AI4245">
        <v>96.028050879501606</v>
      </c>
      <c r="AJ4245">
        <v>64.776012297855601</v>
      </c>
      <c r="AK4245">
        <v>10.4731246221244</v>
      </c>
    </row>
    <row r="4246" spans="1:37" x14ac:dyDescent="0.2">
      <c r="A4246" t="str">
        <f>"20200111155632906"</f>
        <v>20200111155632906</v>
      </c>
      <c r="B4246" t="str">
        <f>"1578729392896542"</f>
        <v>1578729392896542</v>
      </c>
      <c r="C4246" t="s">
        <v>37</v>
      </c>
      <c r="D4246">
        <v>5.2368389999999998</v>
      </c>
      <c r="E4246">
        <v>0.63012800000000002</v>
      </c>
      <c r="F4246" t="s">
        <v>72</v>
      </c>
      <c r="G4246">
        <v>-202.95339999999999</v>
      </c>
      <c r="H4246" s="1">
        <v>-1.025392E-5</v>
      </c>
      <c r="I4246">
        <v>146.66149999999999</v>
      </c>
      <c r="J4246">
        <v>-195.2021</v>
      </c>
      <c r="K4246">
        <v>1.0997569999999901</v>
      </c>
      <c r="L4246">
        <v>155.07130000000001</v>
      </c>
      <c r="M4246">
        <v>-0.27373179999999903</v>
      </c>
      <c r="N4246">
        <v>0</v>
      </c>
      <c r="O4246">
        <v>-0.96170180000000005</v>
      </c>
      <c r="P4246">
        <v>-0.42760169999999997</v>
      </c>
      <c r="Q4246">
        <v>-2.0107139999999998E-3</v>
      </c>
      <c r="R4246">
        <v>-0.90396540000000003</v>
      </c>
      <c r="S4246">
        <v>-2.119202</v>
      </c>
      <c r="T4246">
        <v>-0.29885899999999999</v>
      </c>
      <c r="U4246">
        <v>-2.3240660000000002</v>
      </c>
      <c r="V4246">
        <v>0.16393579999999999</v>
      </c>
      <c r="W4246">
        <v>9.9035719999999994E-3</v>
      </c>
      <c r="X4246">
        <v>0.98642129999999995</v>
      </c>
      <c r="Y4246">
        <v>0.44251669999999999</v>
      </c>
      <c r="Z4246">
        <v>9.7057450000000003E-2</v>
      </c>
      <c r="AA4246">
        <v>0.89149249999999902</v>
      </c>
      <c r="AB4246">
        <v>20</v>
      </c>
      <c r="AC4246">
        <v>-7.7512999999999801</v>
      </c>
      <c r="AD4246">
        <v>-1.0997672539200001</v>
      </c>
      <c r="AE4246">
        <v>-8.4098000000000095</v>
      </c>
      <c r="AF4246">
        <v>5.1057170703656496</v>
      </c>
      <c r="AG4246">
        <v>-1.0997672539200001</v>
      </c>
      <c r="AH4246">
        <v>10.1169761282635</v>
      </c>
      <c r="AI4246">
        <v>95.543021714407303</v>
      </c>
      <c r="AJ4246">
        <v>63.221369856353597</v>
      </c>
      <c r="AK4246">
        <v>11.385562822947</v>
      </c>
    </row>
    <row r="4247" spans="1:37" x14ac:dyDescent="0.2">
      <c r="A4247" t="str">
        <f>"20200111155632918"</f>
        <v>20200111155632918</v>
      </c>
      <c r="B4247" t="str">
        <f>"1578729392907279"</f>
        <v>1578729392907279</v>
      </c>
      <c r="C4247" t="s">
        <v>37</v>
      </c>
      <c r="D4247">
        <v>5.2547809999999897</v>
      </c>
      <c r="E4247">
        <v>0.63333950000000006</v>
      </c>
      <c r="F4247" t="s">
        <v>72</v>
      </c>
      <c r="G4247">
        <v>-203.9289</v>
      </c>
      <c r="H4247" s="1">
        <v>-9.6993019999999992E-6</v>
      </c>
      <c r="I4247">
        <v>146.0855</v>
      </c>
      <c r="J4247">
        <v>-195.24170000000001</v>
      </c>
      <c r="K4247">
        <v>1.0996950000000001</v>
      </c>
      <c r="L4247">
        <v>154.95509999999999</v>
      </c>
      <c r="M4247">
        <v>-0.27911259999999999</v>
      </c>
      <c r="N4247">
        <v>0</v>
      </c>
      <c r="O4247">
        <v>-0.96015360000000005</v>
      </c>
      <c r="P4247">
        <v>-0.43322829999999901</v>
      </c>
      <c r="Q4247">
        <v>-1.4460110000000001E-3</v>
      </c>
      <c r="R4247">
        <v>-0.90128339999999996</v>
      </c>
      <c r="S4247">
        <v>-2.2080380000000002</v>
      </c>
      <c r="T4247">
        <v>-0.27826230000000002</v>
      </c>
      <c r="U4247">
        <v>-2.27359</v>
      </c>
      <c r="V4247">
        <v>0.16456970000000001</v>
      </c>
      <c r="W4247">
        <v>1.044952E-2</v>
      </c>
      <c r="X4247">
        <v>0.98631009999999997</v>
      </c>
      <c r="Y4247">
        <v>0.46586139999999998</v>
      </c>
      <c r="Z4247">
        <v>9.0049560000000001E-2</v>
      </c>
      <c r="AA4247">
        <v>0.88026369999999898</v>
      </c>
      <c r="AB4247">
        <v>20</v>
      </c>
      <c r="AC4247">
        <v>-8.68719999999999</v>
      </c>
      <c r="AD4247">
        <v>-1.0997046993020001</v>
      </c>
      <c r="AE4247">
        <v>-8.8695999999999895</v>
      </c>
      <c r="AF4247">
        <v>5.8203533507506497</v>
      </c>
      <c r="AG4247">
        <v>-1.0997046993020001</v>
      </c>
      <c r="AH4247">
        <v>10.856804528744901</v>
      </c>
      <c r="AI4247">
        <v>95.101399288020005</v>
      </c>
      <c r="AJ4247">
        <v>61.804157147909599</v>
      </c>
      <c r="AK4247">
        <v>12.3675409087109</v>
      </c>
    </row>
    <row r="4248" spans="1:37" x14ac:dyDescent="0.2">
      <c r="A4248" t="str">
        <f>"20200111155632939"</f>
        <v>20200111155632939</v>
      </c>
      <c r="B4248" t="str">
        <f>"1578729392926799"</f>
        <v>1578729392926799</v>
      </c>
      <c r="C4248" t="s">
        <v>37</v>
      </c>
      <c r="D4248">
        <v>5.2635649999999998</v>
      </c>
      <c r="E4248">
        <v>0.63797199999999998</v>
      </c>
      <c r="F4248" t="s">
        <v>72</v>
      </c>
      <c r="G4248">
        <v>-204.36750000000001</v>
      </c>
      <c r="H4248" s="1">
        <v>-9.4633010000000008E-6</v>
      </c>
      <c r="I4248">
        <v>145.8169</v>
      </c>
      <c r="J4248">
        <v>-195.3013</v>
      </c>
      <c r="K4248">
        <v>1.0995950000000001</v>
      </c>
      <c r="L4248">
        <v>154.78460000000001</v>
      </c>
      <c r="M4248">
        <v>-0.287186</v>
      </c>
      <c r="N4248">
        <v>0</v>
      </c>
      <c r="O4248">
        <v>-0.95776949999999905</v>
      </c>
      <c r="P4248">
        <v>-0.44216469999999902</v>
      </c>
      <c r="Q4248">
        <v>-6.2017050000000003E-4</v>
      </c>
      <c r="R4248">
        <v>-0.89693400000000001</v>
      </c>
      <c r="S4248">
        <v>-2.2456509999999898</v>
      </c>
      <c r="T4248">
        <v>-0.27061220000000002</v>
      </c>
      <c r="U4248">
        <v>-2.2487180000000002</v>
      </c>
      <c r="V4248">
        <v>0.16608220000000001</v>
      </c>
      <c r="W4248">
        <v>1.1239590000000001E-2</v>
      </c>
      <c r="X4248">
        <v>0.98604789999999998</v>
      </c>
      <c r="Y4248">
        <v>0.47085850000000001</v>
      </c>
      <c r="Z4248">
        <v>8.7394819999999998E-2</v>
      </c>
      <c r="AA4248">
        <v>0.87786919999999902</v>
      </c>
      <c r="AB4248">
        <v>20</v>
      </c>
      <c r="AC4248">
        <v>-9.0662000000000091</v>
      </c>
      <c r="AD4248">
        <v>-1.099604463301</v>
      </c>
      <c r="AE4248">
        <v>-8.9677000000000007</v>
      </c>
      <c r="AF4248">
        <v>6.0634633530510698</v>
      </c>
      <c r="AG4248">
        <v>-1.099604463301</v>
      </c>
      <c r="AH4248">
        <v>11.111187357948699</v>
      </c>
      <c r="AI4248">
        <v>94.964852294974307</v>
      </c>
      <c r="AJ4248">
        <v>61.3783514056272</v>
      </c>
      <c r="AK4248">
        <v>12.7056366354836</v>
      </c>
    </row>
    <row r="4249" spans="1:37" x14ac:dyDescent="0.2">
      <c r="A4249" t="str">
        <f>"20200111155632988"</f>
        <v>20200111155632988</v>
      </c>
      <c r="B4249" t="str">
        <f>"1578729392976575"</f>
        <v>1578729392976575</v>
      </c>
      <c r="C4249" t="s">
        <v>37</v>
      </c>
      <c r="D4249">
        <v>5.2321039999999996</v>
      </c>
      <c r="E4249">
        <v>0.64038219999999901</v>
      </c>
      <c r="F4249" t="s">
        <v>72</v>
      </c>
      <c r="G4249">
        <v>-205.0138</v>
      </c>
      <c r="H4249" s="1">
        <v>-9.1217859999999997E-6</v>
      </c>
      <c r="I4249">
        <v>145.459</v>
      </c>
      <c r="J4249">
        <v>-195.45580000000001</v>
      </c>
      <c r="K4249">
        <v>1.099351</v>
      </c>
      <c r="L4249">
        <v>154.36660000000001</v>
      </c>
      <c r="M4249">
        <v>-0.30773590000000001</v>
      </c>
      <c r="N4249">
        <v>0</v>
      </c>
      <c r="O4249">
        <v>-0.95136449999999995</v>
      </c>
      <c r="P4249">
        <v>-0.46248019999999901</v>
      </c>
      <c r="Q4249">
        <v>-1.6353429999999901E-3</v>
      </c>
      <c r="R4249">
        <v>-0.88662819999999998</v>
      </c>
      <c r="S4249">
        <v>-2.30159</v>
      </c>
      <c r="T4249">
        <v>-0.26057659999999999</v>
      </c>
      <c r="U4249">
        <v>-2.2099150000000001</v>
      </c>
      <c r="V4249">
        <v>0.16731089999999901</v>
      </c>
      <c r="W4249">
        <v>1.017917E-2</v>
      </c>
      <c r="X4249">
        <v>0.98585159999999905</v>
      </c>
      <c r="Y4249">
        <v>0.47055340000000001</v>
      </c>
      <c r="Z4249">
        <v>8.3734210000000003E-2</v>
      </c>
      <c r="AA4249">
        <v>0.87838950000000005</v>
      </c>
      <c r="AB4249">
        <v>20</v>
      </c>
      <c r="AC4249">
        <v>-9.5579999999999892</v>
      </c>
      <c r="AD4249">
        <v>-1.0993601217860001</v>
      </c>
      <c r="AE4249">
        <v>-8.9076000000000004</v>
      </c>
      <c r="AF4249">
        <v>6.3079408417343599</v>
      </c>
      <c r="AG4249">
        <v>-1.0993601217860001</v>
      </c>
      <c r="AH4249">
        <v>11.3366145611823</v>
      </c>
      <c r="AI4249">
        <v>94.843649437100495</v>
      </c>
      <c r="AJ4249">
        <v>60.907478138756296</v>
      </c>
      <c r="AK4249">
        <v>13.0198901703895</v>
      </c>
    </row>
    <row r="4250" spans="1:37" x14ac:dyDescent="0.2">
      <c r="A4250" t="str">
        <f>"20200111155633096"</f>
        <v>20200111155633096</v>
      </c>
      <c r="B4250" t="str">
        <f>"1578729393086863"</f>
        <v>1578729393086863</v>
      </c>
      <c r="C4250" t="s">
        <v>37</v>
      </c>
      <c r="D4250">
        <v>4.9399940000000004</v>
      </c>
      <c r="E4250">
        <v>0.64095599999999997</v>
      </c>
      <c r="F4250" t="s">
        <v>72</v>
      </c>
      <c r="G4250">
        <v>-205.57599999999999</v>
      </c>
      <c r="H4250" s="1">
        <v>-8.8026369999999904E-6</v>
      </c>
      <c r="I4250">
        <v>145.19460000000001</v>
      </c>
      <c r="J4250">
        <v>-195.8349</v>
      </c>
      <c r="K4250">
        <v>1.098768</v>
      </c>
      <c r="L4250">
        <v>153.45570000000001</v>
      </c>
      <c r="M4250">
        <v>-0.35666300000000001</v>
      </c>
      <c r="N4250">
        <v>0</v>
      </c>
      <c r="O4250">
        <v>-0.93412109999999904</v>
      </c>
      <c r="P4250">
        <v>-0.50313419999999998</v>
      </c>
      <c r="Q4250">
        <v>4.8796120000000002E-3</v>
      </c>
      <c r="R4250">
        <v>-0.86419500000000005</v>
      </c>
      <c r="S4250">
        <v>-2.3692630000000001</v>
      </c>
      <c r="T4250">
        <v>-0.25737270000000001</v>
      </c>
      <c r="U4250">
        <v>-2.147278</v>
      </c>
      <c r="V4250">
        <v>0.16204969999999999</v>
      </c>
      <c r="W4250">
        <v>1.672506E-2</v>
      </c>
      <c r="X4250">
        <v>0.98664089999999904</v>
      </c>
      <c r="Y4250">
        <v>0.45009009999999999</v>
      </c>
      <c r="Z4250">
        <v>8.1790719999999997E-2</v>
      </c>
      <c r="AA4250">
        <v>0.88922950000000001</v>
      </c>
      <c r="AB4250">
        <v>20</v>
      </c>
      <c r="AC4250">
        <v>-9.7410999999999799</v>
      </c>
      <c r="AD4250">
        <v>-1.0987768026369999</v>
      </c>
      <c r="AE4250">
        <v>-8.2610999999999901</v>
      </c>
      <c r="AF4250">
        <v>6.1083760558471498</v>
      </c>
      <c r="AG4250">
        <v>-1.0987768026369999</v>
      </c>
      <c r="AH4250">
        <v>11.110106488340699</v>
      </c>
      <c r="AI4250">
        <v>94.953102266824999</v>
      </c>
      <c r="AJ4250">
        <v>61.1978483610579</v>
      </c>
      <c r="AK4250">
        <v>12.726116245105199</v>
      </c>
    </row>
    <row r="4251" spans="1:37" x14ac:dyDescent="0.2">
      <c r="A4251" t="str">
        <f>"20200111155633110"</f>
        <v>20200111155633110</v>
      </c>
      <c r="B4251" t="str">
        <f>"1578729393107360"</f>
        <v>1578729393107360</v>
      </c>
      <c r="C4251" t="s">
        <v>37</v>
      </c>
      <c r="D4251">
        <v>5.2035879999999999</v>
      </c>
      <c r="E4251">
        <v>0.64119769999999998</v>
      </c>
      <c r="F4251" t="s">
        <v>72</v>
      </c>
      <c r="G4251">
        <v>-207.8323</v>
      </c>
      <c r="H4251" s="1">
        <v>-7.3796679999999998E-6</v>
      </c>
      <c r="I4251">
        <v>143.59450000000001</v>
      </c>
      <c r="J4251">
        <v>-195.8844</v>
      </c>
      <c r="K4251">
        <v>1.0987009999999999</v>
      </c>
      <c r="L4251">
        <v>153.3477</v>
      </c>
      <c r="M4251">
        <v>-0.36288730000000002</v>
      </c>
      <c r="N4251">
        <v>0</v>
      </c>
      <c r="O4251">
        <v>-0.931720199999999</v>
      </c>
      <c r="P4251">
        <v>-0.50893129999999998</v>
      </c>
      <c r="Q4251">
        <v>4.720887E-3</v>
      </c>
      <c r="R4251">
        <v>-0.86079409999999901</v>
      </c>
      <c r="S4251">
        <v>-2.4731900000000002</v>
      </c>
      <c r="T4251">
        <v>-0.22650439999999999</v>
      </c>
      <c r="U4251">
        <v>-2.0328219999999999</v>
      </c>
      <c r="V4251">
        <v>0.16209899999999999</v>
      </c>
      <c r="W4251">
        <v>1.6562960000000002E-2</v>
      </c>
      <c r="X4251">
        <v>0.9866355</v>
      </c>
      <c r="Y4251">
        <v>0.48728830000000001</v>
      </c>
      <c r="Z4251">
        <v>7.2450260000000002E-2</v>
      </c>
      <c r="AA4251">
        <v>0.87023050000000002</v>
      </c>
      <c r="AB4251">
        <v>20</v>
      </c>
      <c r="AC4251">
        <v>-11.947900000000001</v>
      </c>
      <c r="AD4251">
        <v>-1.0987083796679999</v>
      </c>
      <c r="AE4251">
        <v>-9.7531999999999908</v>
      </c>
      <c r="AF4251">
        <v>7.55524503463361</v>
      </c>
      <c r="AG4251">
        <v>-1.0987083796679999</v>
      </c>
      <c r="AH4251">
        <v>13.3566249980341</v>
      </c>
      <c r="AI4251">
        <v>94.095307478539596</v>
      </c>
      <c r="AJ4251">
        <v>60.505101348806598</v>
      </c>
      <c r="AK4251">
        <v>15.384678058868101</v>
      </c>
    </row>
    <row r="4252" spans="1:37" x14ac:dyDescent="0.2">
      <c r="A4252" t="str">
        <f>"20200111155633130"</f>
        <v>20200111155633130</v>
      </c>
      <c r="B4252" t="str">
        <f>"1578729393117119"</f>
        <v>1578729393117119</v>
      </c>
      <c r="C4252" t="s">
        <v>37</v>
      </c>
      <c r="D4252">
        <v>4.9398059999999999</v>
      </c>
      <c r="E4252">
        <v>0.64136759999999904</v>
      </c>
      <c r="F4252" t="s">
        <v>72</v>
      </c>
      <c r="G4252">
        <v>-207.97630000000001</v>
      </c>
      <c r="H4252" s="1">
        <v>-7.3058100000000003E-6</v>
      </c>
      <c r="I4252">
        <v>143.5566</v>
      </c>
      <c r="J4252">
        <v>-195.96180000000001</v>
      </c>
      <c r="K4252">
        <v>1.0986089999999999</v>
      </c>
      <c r="L4252">
        <v>153.18209999999999</v>
      </c>
      <c r="M4252">
        <v>-0.37256</v>
      </c>
      <c r="N4252">
        <v>0</v>
      </c>
      <c r="O4252">
        <v>-0.92789429999999995</v>
      </c>
      <c r="P4252">
        <v>-0.51783970000000001</v>
      </c>
      <c r="Q4252">
        <v>4.9079950000000001E-3</v>
      </c>
      <c r="R4252">
        <v>-0.855463999999999</v>
      </c>
      <c r="S4252">
        <v>-2.4886020000000002</v>
      </c>
      <c r="T4252">
        <v>-0.22612070000000001</v>
      </c>
      <c r="U4252">
        <v>-2.0150600000000001</v>
      </c>
      <c r="V4252">
        <v>0.16208510000000001</v>
      </c>
      <c r="W4252">
        <v>1.6748430000000002E-2</v>
      </c>
      <c r="X4252">
        <v>0.98663459999999903</v>
      </c>
      <c r="Y4252">
        <v>0.48461120000000002</v>
      </c>
      <c r="Z4252">
        <v>7.2177679999999994E-2</v>
      </c>
      <c r="AA4252">
        <v>0.87174669999999899</v>
      </c>
      <c r="AB4252">
        <v>20</v>
      </c>
      <c r="AC4252">
        <v>-12.0144999999999</v>
      </c>
      <c r="AD4252">
        <v>-1.09861630581</v>
      </c>
      <c r="AE4252">
        <v>-9.6254999999999793</v>
      </c>
      <c r="AF4252">
        <v>7.5245881925841998</v>
      </c>
      <c r="AG4252">
        <v>-1.09861630581</v>
      </c>
      <c r="AH4252">
        <v>13.341043174886799</v>
      </c>
      <c r="AI4252">
        <v>94.102597463609996</v>
      </c>
      <c r="AJ4252">
        <v>60.576220256927499</v>
      </c>
      <c r="AK4252">
        <v>15.356100359452</v>
      </c>
    </row>
    <row r="4253" spans="1:37" x14ac:dyDescent="0.2">
      <c r="A4253" t="str">
        <f>"20200111155633144"</f>
        <v>20200111155633144</v>
      </c>
      <c r="B4253" t="str">
        <f>"1578729393137615"</f>
        <v>1578729393137615</v>
      </c>
      <c r="C4253" t="s">
        <v>37</v>
      </c>
      <c r="D4253">
        <v>4.9553390000000004</v>
      </c>
      <c r="E4253">
        <v>0.64120790000000005</v>
      </c>
      <c r="F4253" t="s">
        <v>72</v>
      </c>
      <c r="G4253">
        <v>-208.1978</v>
      </c>
      <c r="H4253" s="1">
        <v>-7.1902880000000001E-6</v>
      </c>
      <c r="I4253">
        <v>143.49109999999999</v>
      </c>
      <c r="J4253">
        <v>-196.01740000000001</v>
      </c>
      <c r="K4253">
        <v>1.098549</v>
      </c>
      <c r="L4253">
        <v>153.06630000000001</v>
      </c>
      <c r="M4253">
        <v>-0.37943470000000001</v>
      </c>
      <c r="N4253">
        <v>0</v>
      </c>
      <c r="O4253">
        <v>-0.92510380000000003</v>
      </c>
      <c r="P4253">
        <v>-0.52437140000000004</v>
      </c>
      <c r="Q4253">
        <v>5.421866E-3</v>
      </c>
      <c r="R4253">
        <v>-0.85147289999999998</v>
      </c>
      <c r="S4253">
        <v>-2.5105740000000001</v>
      </c>
      <c r="T4253">
        <v>-0.22541340000000001</v>
      </c>
      <c r="U4253">
        <v>-1.9884029999999999</v>
      </c>
      <c r="V4253">
        <v>0.1623271</v>
      </c>
      <c r="W4253">
        <v>1.7258570000000001E-2</v>
      </c>
      <c r="X4253">
        <v>0.98658599999999996</v>
      </c>
      <c r="Y4253">
        <v>0.487540799999999</v>
      </c>
      <c r="Z4253">
        <v>7.1919350000000007E-2</v>
      </c>
      <c r="AA4253">
        <v>0.87013300000000005</v>
      </c>
      <c r="AB4253">
        <v>20</v>
      </c>
      <c r="AC4253">
        <v>-12.180399999999899</v>
      </c>
      <c r="AD4253">
        <v>-1.0985561902879999</v>
      </c>
      <c r="AE4253">
        <v>-9.5752000000000201</v>
      </c>
      <c r="AF4253">
        <v>7.5975850563556397</v>
      </c>
      <c r="AG4253">
        <v>-1.0985561902879999</v>
      </c>
      <c r="AH4253">
        <v>13.4137142385887</v>
      </c>
      <c r="AI4253">
        <v>94.076069077279598</v>
      </c>
      <c r="AJ4253">
        <v>60.472598890554103</v>
      </c>
      <c r="AK4253">
        <v>15.455026821921001</v>
      </c>
    </row>
    <row r="4254" spans="1:37" x14ac:dyDescent="0.2">
      <c r="A4254" t="str">
        <f>"20200111155633156"</f>
        <v>20200111155633156</v>
      </c>
      <c r="B4254" t="str">
        <f>"1578729393147374"</f>
        <v>1578729393147374</v>
      </c>
      <c r="C4254" t="s">
        <v>37</v>
      </c>
      <c r="D4254">
        <v>4.9054269999999898</v>
      </c>
      <c r="E4254">
        <v>0.64120779999999999</v>
      </c>
      <c r="F4254" t="s">
        <v>72</v>
      </c>
      <c r="G4254">
        <v>-208.28229999999999</v>
      </c>
      <c r="H4254" s="1">
        <v>-7.1541949999999997E-6</v>
      </c>
      <c r="I4254">
        <v>143.49639999999999</v>
      </c>
      <c r="J4254">
        <v>-196.06659999999999</v>
      </c>
      <c r="K4254">
        <v>1.0984989999999999</v>
      </c>
      <c r="L4254">
        <v>152.96559999999999</v>
      </c>
      <c r="M4254">
        <v>-0.38548169999999998</v>
      </c>
      <c r="N4254">
        <v>0</v>
      </c>
      <c r="O4254">
        <v>-0.92260019999999998</v>
      </c>
      <c r="P4254">
        <v>-0.53026949999999995</v>
      </c>
      <c r="Q4254">
        <v>6.4254730000000001E-3</v>
      </c>
      <c r="R4254">
        <v>-0.84780499999999903</v>
      </c>
      <c r="S4254">
        <v>-2.524689</v>
      </c>
      <c r="T4254">
        <v>-0.226133</v>
      </c>
      <c r="U4254">
        <v>-1.96994</v>
      </c>
      <c r="V4254">
        <v>0.162739299999999</v>
      </c>
      <c r="W4254">
        <v>1.8256430000000001E-2</v>
      </c>
      <c r="X4254">
        <v>0.98650020000000005</v>
      </c>
      <c r="Y4254">
        <v>0.48813249999999903</v>
      </c>
      <c r="Z4254">
        <v>7.2100010000000006E-2</v>
      </c>
      <c r="AA4254">
        <v>0.86978630000000001</v>
      </c>
      <c r="AB4254">
        <v>20</v>
      </c>
      <c r="AC4254">
        <v>-12.215699999999901</v>
      </c>
      <c r="AD4254">
        <v>-1.0985061541949901</v>
      </c>
      <c r="AE4254">
        <v>-9.4692000000000007</v>
      </c>
      <c r="AF4254">
        <v>7.5825125462957397</v>
      </c>
      <c r="AG4254">
        <v>-1.0985061541949901</v>
      </c>
      <c r="AH4254">
        <v>13.379062424786101</v>
      </c>
      <c r="AI4254">
        <v>94.0858103251296</v>
      </c>
      <c r="AJ4254">
        <v>60.457834159598796</v>
      </c>
      <c r="AK4254">
        <v>15.417539481118901</v>
      </c>
    </row>
    <row r="4255" spans="1:37" x14ac:dyDescent="0.2">
      <c r="A4255" t="str">
        <f>"20200111155633169"</f>
        <v>20200111155633169</v>
      </c>
      <c r="B4255" t="str">
        <f>"1578729393166894"</f>
        <v>1578729393166894</v>
      </c>
      <c r="C4255" t="s">
        <v>37</v>
      </c>
      <c r="D4255">
        <v>4.8554349999999999</v>
      </c>
      <c r="E4255">
        <v>0.64137379999999999</v>
      </c>
      <c r="F4255" t="s">
        <v>72</v>
      </c>
      <c r="G4255">
        <v>-208.59899999999999</v>
      </c>
      <c r="H4255" s="1">
        <v>-6.9690729999999901E-6</v>
      </c>
      <c r="I4255">
        <v>143.3271</v>
      </c>
      <c r="J4255">
        <v>-196.11680000000001</v>
      </c>
      <c r="K4255">
        <v>1.098454</v>
      </c>
      <c r="L4255">
        <v>152.86529999999999</v>
      </c>
      <c r="M4255">
        <v>-0.391594</v>
      </c>
      <c r="N4255">
        <v>0</v>
      </c>
      <c r="O4255">
        <v>-0.92002199999999901</v>
      </c>
      <c r="P4255">
        <v>-0.53636660000000003</v>
      </c>
      <c r="Q4255">
        <v>7.26774E-3</v>
      </c>
      <c r="R4255">
        <v>-0.84395379999999998</v>
      </c>
      <c r="S4255">
        <v>-2.53865099999999</v>
      </c>
      <c r="T4255">
        <v>-0.2225202</v>
      </c>
      <c r="U4255">
        <v>-1.9524379999999999</v>
      </c>
      <c r="V4255">
        <v>0.16332369999999999</v>
      </c>
      <c r="W4255">
        <v>1.90917E-2</v>
      </c>
      <c r="X4255">
        <v>0.98638780000000004</v>
      </c>
      <c r="Y4255">
        <v>0.488498499999999</v>
      </c>
      <c r="Z4255">
        <v>7.0884290000000003E-2</v>
      </c>
      <c r="AA4255">
        <v>0.86968080000000003</v>
      </c>
      <c r="AB4255">
        <v>20</v>
      </c>
      <c r="AC4255">
        <v>-12.482200000000001</v>
      </c>
      <c r="AD4255">
        <v>-1.0984609690730001</v>
      </c>
      <c r="AE4255">
        <v>-9.5381999999999891</v>
      </c>
      <c r="AF4255">
        <v>7.7119180665087397</v>
      </c>
      <c r="AG4255">
        <v>-1.0984609690730001</v>
      </c>
      <c r="AH4255">
        <v>13.598281030801999</v>
      </c>
      <c r="AI4255">
        <v>94.019342833076607</v>
      </c>
      <c r="AJ4255">
        <v>60.441366530067299</v>
      </c>
      <c r="AK4255">
        <v>15.671424432954099</v>
      </c>
    </row>
    <row r="4256" spans="1:37" x14ac:dyDescent="0.2">
      <c r="A4256" t="str">
        <f>"20200111155633185"</f>
        <v>20200111155633185</v>
      </c>
      <c r="B4256" t="str">
        <f>"1578729393176654"</f>
        <v>1578729393176654</v>
      </c>
      <c r="C4256" t="s">
        <v>37</v>
      </c>
      <c r="D4256">
        <v>4.8964169999999996</v>
      </c>
      <c r="E4256">
        <v>0.64113830000000005</v>
      </c>
      <c r="F4256" t="s">
        <v>72</v>
      </c>
      <c r="G4256">
        <v>-208.8784</v>
      </c>
      <c r="H4256" s="1">
        <v>-6.8126249999999998E-6</v>
      </c>
      <c r="I4256">
        <v>143.2037</v>
      </c>
      <c r="J4256">
        <v>-196.18190000000001</v>
      </c>
      <c r="K4256">
        <v>1.0984</v>
      </c>
      <c r="L4256">
        <v>152.7373</v>
      </c>
      <c r="M4256">
        <v>-0.3994607</v>
      </c>
      <c r="N4256">
        <v>0</v>
      </c>
      <c r="O4256">
        <v>-0.91663349999999899</v>
      </c>
      <c r="P4256">
        <v>-0.54473739999999904</v>
      </c>
      <c r="Q4256">
        <v>8.7074839999999997E-3</v>
      </c>
      <c r="R4256">
        <v>-0.83856189999999997</v>
      </c>
      <c r="S4256">
        <v>-2.5538639999999999</v>
      </c>
      <c r="T4256">
        <v>-0.21982499999999999</v>
      </c>
      <c r="U4256">
        <v>-1.933487</v>
      </c>
      <c r="V4256">
        <v>0.16472000000000001</v>
      </c>
      <c r="W4256">
        <v>2.0511450000000001E-2</v>
      </c>
      <c r="X4256">
        <v>0.98612710000000003</v>
      </c>
      <c r="Y4256">
        <v>0.4876819</v>
      </c>
      <c r="Z4256">
        <v>6.9911680000000004E-2</v>
      </c>
      <c r="AA4256">
        <v>0.87021759999999904</v>
      </c>
      <c r="AB4256">
        <v>20</v>
      </c>
      <c r="AC4256">
        <v>-12.696499999999901</v>
      </c>
      <c r="AD4256">
        <v>-1.098406812625</v>
      </c>
      <c r="AE4256">
        <v>-9.5335999999999999</v>
      </c>
      <c r="AF4256">
        <v>7.7932789314384001</v>
      </c>
      <c r="AG4256">
        <v>-1.098406812625</v>
      </c>
      <c r="AH4256">
        <v>13.746259947462701</v>
      </c>
      <c r="AI4256">
        <v>93.976335520590794</v>
      </c>
      <c r="AJ4256">
        <v>60.449445842420701</v>
      </c>
      <c r="AK4256">
        <v>15.8398660528566</v>
      </c>
    </row>
    <row r="4257" spans="1:37" x14ac:dyDescent="0.2">
      <c r="A4257" t="str">
        <f>"20200111155633197"</f>
        <v>20200111155633197</v>
      </c>
      <c r="B4257" t="str">
        <f>"1578729393187391"</f>
        <v>1578729393187391</v>
      </c>
      <c r="C4257" t="s">
        <v>37</v>
      </c>
      <c r="D4257">
        <v>4.8338919999999996</v>
      </c>
      <c r="E4257">
        <v>0.64107669999999894</v>
      </c>
      <c r="F4257" t="s">
        <v>72</v>
      </c>
      <c r="G4257">
        <v>-209.26310000000001</v>
      </c>
      <c r="H4257" s="1">
        <v>-6.595402E-6</v>
      </c>
      <c r="I4257">
        <v>143.02709999999999</v>
      </c>
      <c r="J4257">
        <v>-196.23310000000001</v>
      </c>
      <c r="K4257">
        <v>1.0983609999999999</v>
      </c>
      <c r="L4257">
        <v>152.63839999999999</v>
      </c>
      <c r="M4257">
        <v>-0.40559539999999999</v>
      </c>
      <c r="N4257">
        <v>0</v>
      </c>
      <c r="O4257">
        <v>-0.9139351</v>
      </c>
      <c r="P4257">
        <v>-0.55110789999999998</v>
      </c>
      <c r="Q4257">
        <v>9.2487690000000004E-3</v>
      </c>
      <c r="R4257">
        <v>-0.83438269999999903</v>
      </c>
      <c r="S4257">
        <v>-2.571869</v>
      </c>
      <c r="T4257">
        <v>-0.21595629999999999</v>
      </c>
      <c r="U4257">
        <v>-1.90911899999999</v>
      </c>
      <c r="V4257">
        <v>0.16563439999999999</v>
      </c>
      <c r="W4257">
        <v>2.103967E-2</v>
      </c>
      <c r="X4257">
        <v>0.98596269999999997</v>
      </c>
      <c r="Y4257">
        <v>0.49013790000000002</v>
      </c>
      <c r="Z4257">
        <v>6.8658209999999997E-2</v>
      </c>
      <c r="AA4257">
        <v>0.86893670000000001</v>
      </c>
      <c r="AB4257">
        <v>20</v>
      </c>
      <c r="AC4257">
        <v>-13.03</v>
      </c>
      <c r="AD4257">
        <v>-1.098367595402</v>
      </c>
      <c r="AE4257">
        <v>-9.6113</v>
      </c>
      <c r="AF4257">
        <v>7.9744393835319203</v>
      </c>
      <c r="AG4257">
        <v>-1.098367595402</v>
      </c>
      <c r="AH4257">
        <v>14.006071362753801</v>
      </c>
      <c r="AI4257">
        <v>93.898627910519394</v>
      </c>
      <c r="AJ4257">
        <v>60.344721823251902</v>
      </c>
      <c r="AK4257">
        <v>16.154508035678699</v>
      </c>
    </row>
    <row r="4258" spans="1:37" x14ac:dyDescent="0.2">
      <c r="A4258" t="str">
        <f>"20200111155633211"</f>
        <v>20200111155633211</v>
      </c>
      <c r="B4258" t="str">
        <f>"1578729393206912"</f>
        <v>1578729393206912</v>
      </c>
      <c r="C4258" t="s">
        <v>37</v>
      </c>
      <c r="D4258">
        <v>4.8064269999999896</v>
      </c>
      <c r="E4258">
        <v>0.64077959999999901</v>
      </c>
      <c r="F4258" t="s">
        <v>72</v>
      </c>
      <c r="G4258">
        <v>-209.45750000000001</v>
      </c>
      <c r="H4258" s="1">
        <v>-6.4952699999999897E-6</v>
      </c>
      <c r="I4258">
        <v>142.9743</v>
      </c>
      <c r="J4258">
        <v>-196.2877</v>
      </c>
      <c r="K4258">
        <v>1.098322</v>
      </c>
      <c r="L4258">
        <v>152.53569999999999</v>
      </c>
      <c r="M4258">
        <v>-0.41205760000000002</v>
      </c>
      <c r="N4258">
        <v>0</v>
      </c>
      <c r="O4258">
        <v>-0.91103940000000005</v>
      </c>
      <c r="P4258">
        <v>-0.55751799999999996</v>
      </c>
      <c r="Q4258">
        <v>9.523686E-3</v>
      </c>
      <c r="R4258">
        <v>-0.83011029999999997</v>
      </c>
      <c r="S4258">
        <v>-2.5860439999999998</v>
      </c>
      <c r="T4258">
        <v>-0.2147876</v>
      </c>
      <c r="U4258">
        <v>-1.8898159999999999</v>
      </c>
      <c r="V4258">
        <v>0.16625379999999901</v>
      </c>
      <c r="W4258">
        <v>2.1309020000000001E-2</v>
      </c>
      <c r="X4258">
        <v>0.98585270000000003</v>
      </c>
      <c r="Y4258">
        <v>0.49049100000000001</v>
      </c>
      <c r="Z4258">
        <v>6.8214819999999995E-2</v>
      </c>
      <c r="AA4258">
        <v>0.86877229999999905</v>
      </c>
      <c r="AB4258">
        <v>20</v>
      </c>
      <c r="AC4258">
        <v>-13.1698</v>
      </c>
      <c r="AD4258">
        <v>-1.0983284952700001</v>
      </c>
      <c r="AE4258">
        <v>-9.5613999999999901</v>
      </c>
      <c r="AF4258">
        <v>8.0226891631795301</v>
      </c>
      <c r="AG4258">
        <v>-1.0983284952700001</v>
      </c>
      <c r="AH4258">
        <v>14.074949120961501</v>
      </c>
      <c r="AI4258">
        <v>93.878402621525495</v>
      </c>
      <c r="AJ4258">
        <v>60.316957636552502</v>
      </c>
      <c r="AK4258">
        <v>16.238043590598402</v>
      </c>
    </row>
    <row r="4259" spans="1:37" x14ac:dyDescent="0.2">
      <c r="A4259" t="str">
        <f>"20200111155633225"</f>
        <v>20200111155633225</v>
      </c>
      <c r="B4259" t="str">
        <f>"1578729393216671"</f>
        <v>1578729393216671</v>
      </c>
      <c r="C4259" t="s">
        <v>37</v>
      </c>
      <c r="D4259">
        <v>4.8331229999999996</v>
      </c>
      <c r="E4259">
        <v>0.64054730000000004</v>
      </c>
      <c r="F4259" t="s">
        <v>72</v>
      </c>
      <c r="G4259">
        <v>-209.559</v>
      </c>
      <c r="H4259" s="1">
        <v>-6.4514660000000003E-6</v>
      </c>
      <c r="I4259">
        <v>142.97899999999899</v>
      </c>
      <c r="J4259">
        <v>-196.3503</v>
      </c>
      <c r="K4259">
        <v>1.098279</v>
      </c>
      <c r="L4259">
        <v>152.41970000000001</v>
      </c>
      <c r="M4259">
        <v>-0.41940319999999998</v>
      </c>
      <c r="N4259">
        <v>0</v>
      </c>
      <c r="O4259">
        <v>-0.90768099999999996</v>
      </c>
      <c r="P4259">
        <v>-0.56464459999999905</v>
      </c>
      <c r="Q4259">
        <v>9.1927150000000006E-3</v>
      </c>
      <c r="R4259">
        <v>-0.82528319999999999</v>
      </c>
      <c r="S4259">
        <v>-2.598541</v>
      </c>
      <c r="T4259">
        <v>-0.215054</v>
      </c>
      <c r="U4259">
        <v>-1.871216</v>
      </c>
      <c r="V4259">
        <v>0.16677400000000001</v>
      </c>
      <c r="W4259">
        <v>2.097531E-2</v>
      </c>
      <c r="X4259">
        <v>0.98577199999999998</v>
      </c>
      <c r="Y4259">
        <v>0.48952990000000002</v>
      </c>
      <c r="Z4259">
        <v>6.8204280000000006E-2</v>
      </c>
      <c r="AA4259">
        <v>0.86931499999999995</v>
      </c>
      <c r="AB4259">
        <v>20</v>
      </c>
      <c r="AC4259">
        <v>-13.2087</v>
      </c>
      <c r="AD4259">
        <v>-1.0982854514660001</v>
      </c>
      <c r="AE4259">
        <v>-9.4407000000000192</v>
      </c>
      <c r="AF4259">
        <v>7.9941127761665802</v>
      </c>
      <c r="AG4259">
        <v>-1.0982854514660001</v>
      </c>
      <c r="AH4259">
        <v>14.046164248394</v>
      </c>
      <c r="AI4259">
        <v>93.887618230323298</v>
      </c>
      <c r="AJ4259">
        <v>60.354437848277797</v>
      </c>
      <c r="AK4259">
        <v>16.1989752794377</v>
      </c>
    </row>
    <row r="4260" spans="1:37" x14ac:dyDescent="0.2">
      <c r="A4260" t="str">
        <f>"20200111155633242"</f>
        <v>20200111155633242</v>
      </c>
      <c r="B4260" t="str">
        <f>"1578729393237166"</f>
        <v>1578729393237166</v>
      </c>
      <c r="C4260" t="s">
        <v>37</v>
      </c>
      <c r="D4260">
        <v>4.8132289999999998</v>
      </c>
      <c r="E4260">
        <v>0.64006719999999995</v>
      </c>
      <c r="F4260" t="s">
        <v>72</v>
      </c>
      <c r="G4260">
        <v>-209.58860000000001</v>
      </c>
      <c r="H4260" s="1">
        <v>-6.4567109999999996E-6</v>
      </c>
      <c r="I4260">
        <v>143.04849999999999</v>
      </c>
      <c r="J4260">
        <v>-196.42160000000001</v>
      </c>
      <c r="K4260">
        <v>1.098225</v>
      </c>
      <c r="L4260">
        <v>152.2903</v>
      </c>
      <c r="M4260">
        <v>-0.42767450000000001</v>
      </c>
      <c r="N4260">
        <v>0</v>
      </c>
      <c r="O4260">
        <v>-0.90381279999999997</v>
      </c>
      <c r="P4260">
        <v>-0.57269820000000005</v>
      </c>
      <c r="Q4260">
        <v>7.8281359999999994E-3</v>
      </c>
      <c r="R4260">
        <v>-0.81972909999999899</v>
      </c>
      <c r="S4260">
        <v>-2.6130369999999998</v>
      </c>
      <c r="T4260">
        <v>-0.21678510000000001</v>
      </c>
      <c r="U4260">
        <v>-1.849731</v>
      </c>
      <c r="V4260">
        <v>0.1673982</v>
      </c>
      <c r="W4260">
        <v>1.9607059999999999E-2</v>
      </c>
      <c r="X4260">
        <v>0.98569430000000002</v>
      </c>
      <c r="Y4260">
        <v>0.48857820000000002</v>
      </c>
      <c r="Z4260">
        <v>6.8634609999999999E-2</v>
      </c>
      <c r="AA4260">
        <v>0.86981640000000005</v>
      </c>
      <c r="AB4260">
        <v>20</v>
      </c>
      <c r="AC4260">
        <v>-13.167</v>
      </c>
      <c r="AD4260">
        <v>-1.0982314567110001</v>
      </c>
      <c r="AE4260">
        <v>-9.2418000000000102</v>
      </c>
      <c r="AF4260">
        <v>7.9120073380958598</v>
      </c>
      <c r="AG4260">
        <v>-1.0982314567110001</v>
      </c>
      <c r="AH4260">
        <v>13.920683583345101</v>
      </c>
      <c r="AI4260">
        <v>93.923650592478197</v>
      </c>
      <c r="AJ4260">
        <v>60.3876841207585</v>
      </c>
      <c r="AK4260">
        <v>16.0496543227014</v>
      </c>
    </row>
    <row r="4261" spans="1:37" x14ac:dyDescent="0.2">
      <c r="A4261" t="str">
        <f>"20200111155633254"</f>
        <v>20200111155633254</v>
      </c>
      <c r="B4261" t="str">
        <f>"1578729393246927"</f>
        <v>1578729393246927</v>
      </c>
      <c r="C4261" t="s">
        <v>37</v>
      </c>
      <c r="D4261">
        <v>4.821974</v>
      </c>
      <c r="E4261">
        <v>0.6397446</v>
      </c>
      <c r="F4261" t="s">
        <v>72</v>
      </c>
      <c r="G4261">
        <v>-209.49889999999999</v>
      </c>
      <c r="H4261" s="1">
        <v>-6.5375199999999901E-6</v>
      </c>
      <c r="I4261">
        <v>143.2039</v>
      </c>
      <c r="J4261">
        <v>-196.47919999999999</v>
      </c>
      <c r="K4261">
        <v>1.0981920000000001</v>
      </c>
      <c r="L4261">
        <v>152.18819999999999</v>
      </c>
      <c r="M4261">
        <v>-0.43426920000000002</v>
      </c>
      <c r="N4261">
        <v>0</v>
      </c>
      <c r="O4261">
        <v>-0.90066219999999997</v>
      </c>
      <c r="P4261">
        <v>-0.57879130000000001</v>
      </c>
      <c r="Q4261">
        <v>7.3835280000000003E-3</v>
      </c>
      <c r="R4261">
        <v>-0.81544229999999995</v>
      </c>
      <c r="S4261">
        <v>-2.6278990000000002</v>
      </c>
      <c r="T4261">
        <v>-0.220692</v>
      </c>
      <c r="U4261">
        <v>-1.82592799999999</v>
      </c>
      <c r="V4261">
        <v>0.16753180000000001</v>
      </c>
      <c r="W4261">
        <v>1.9167980000000001E-2</v>
      </c>
      <c r="X4261">
        <v>0.98568029999999995</v>
      </c>
      <c r="Y4261">
        <v>0.4897454</v>
      </c>
      <c r="Z4261">
        <v>6.9823120000000002E-2</v>
      </c>
      <c r="AA4261">
        <v>0.86906510000000003</v>
      </c>
      <c r="AB4261">
        <v>19</v>
      </c>
      <c r="AC4261">
        <v>-13.0197</v>
      </c>
      <c r="AD4261">
        <v>-1.0981985375200001</v>
      </c>
      <c r="AE4261">
        <v>-8.9842999999999904</v>
      </c>
      <c r="AF4261">
        <v>7.7880630795063697</v>
      </c>
      <c r="AG4261">
        <v>-1.0981985375200001</v>
      </c>
      <c r="AH4261">
        <v>13.681431026481199</v>
      </c>
      <c r="AI4261">
        <v>93.990421440708403</v>
      </c>
      <c r="AJ4261">
        <v>60.349593817509998</v>
      </c>
      <c r="AK4261">
        <v>15.7810494419903</v>
      </c>
    </row>
    <row r="4262" spans="1:37" x14ac:dyDescent="0.2">
      <c r="A4262" t="str">
        <f>"20200111155633269"</f>
        <v>20200111155633269</v>
      </c>
      <c r="B4262" t="str">
        <f>"1578729393256688"</f>
        <v>1578729393256688</v>
      </c>
      <c r="C4262" t="s">
        <v>37</v>
      </c>
      <c r="D4262">
        <v>4.7895979999999998</v>
      </c>
      <c r="E4262">
        <v>0.6394377</v>
      </c>
      <c r="F4262" t="s">
        <v>72</v>
      </c>
      <c r="G4262">
        <v>-209.4922</v>
      </c>
      <c r="H4262" s="1">
        <v>-6.5592779999999998E-6</v>
      </c>
      <c r="I4262">
        <v>143.27520000000001</v>
      </c>
      <c r="J4262">
        <v>-196.5385</v>
      </c>
      <c r="K4262">
        <v>1.098166</v>
      </c>
      <c r="L4262">
        <v>152.08500000000001</v>
      </c>
      <c r="M4262">
        <v>-0.44098609999999999</v>
      </c>
      <c r="N4262">
        <v>0</v>
      </c>
      <c r="O4262">
        <v>-0.89739219999999897</v>
      </c>
      <c r="P4262">
        <v>-0.58456269999999999</v>
      </c>
      <c r="Q4262">
        <v>6.711364E-3</v>
      </c>
      <c r="R4262">
        <v>-0.81132079999999995</v>
      </c>
      <c r="S4262">
        <v>-2.6392669999999998</v>
      </c>
      <c r="T4262">
        <v>-0.22273299999999999</v>
      </c>
      <c r="U4262">
        <v>-1.807693</v>
      </c>
      <c r="V4262">
        <v>0.1671492</v>
      </c>
      <c r="W4262">
        <v>1.851102E-2</v>
      </c>
      <c r="X4262">
        <v>0.98575780000000002</v>
      </c>
      <c r="Y4262">
        <v>0.48902979999999902</v>
      </c>
      <c r="Z4262">
        <v>7.0370329999999995E-2</v>
      </c>
      <c r="AA4262">
        <v>0.86942389999999903</v>
      </c>
      <c r="AB4262">
        <v>19</v>
      </c>
      <c r="AC4262">
        <v>-12.9536999999999</v>
      </c>
      <c r="AD4262">
        <v>-1.0981725592780001</v>
      </c>
      <c r="AE4262">
        <v>-8.8097999999999903</v>
      </c>
      <c r="AF4262">
        <v>7.70254431704174</v>
      </c>
      <c r="AG4262">
        <v>-1.0981725592780001</v>
      </c>
      <c r="AH4262">
        <v>13.553133517806501</v>
      </c>
      <c r="AI4262">
        <v>94.029566909045499</v>
      </c>
      <c r="AJ4262">
        <v>60.389476740415802</v>
      </c>
      <c r="AK4262">
        <v>15.6276229823167</v>
      </c>
    </row>
    <row r="4263" spans="1:37" x14ac:dyDescent="0.2">
      <c r="A4263" t="str">
        <f>"20200111155633282"</f>
        <v>20200111155633282</v>
      </c>
      <c r="B4263" t="str">
        <f>"1578729393277182"</f>
        <v>1578729393277182</v>
      </c>
      <c r="C4263" t="s">
        <v>37</v>
      </c>
      <c r="D4263">
        <v>4.805993</v>
      </c>
      <c r="E4263">
        <v>0.63883509999999999</v>
      </c>
      <c r="F4263" t="s">
        <v>72</v>
      </c>
      <c r="G4263">
        <v>-209.4683</v>
      </c>
      <c r="H4263" s="1">
        <v>-6.5896889999999997E-6</v>
      </c>
      <c r="I4263">
        <v>143.3502</v>
      </c>
      <c r="J4263">
        <v>-196.60069999999999</v>
      </c>
      <c r="K4263">
        <v>1.098142</v>
      </c>
      <c r="L4263">
        <v>151.9785</v>
      </c>
      <c r="M4263">
        <v>-0.4479474</v>
      </c>
      <c r="N4263">
        <v>0</v>
      </c>
      <c r="O4263">
        <v>-0.8939376</v>
      </c>
      <c r="P4263">
        <v>-0.59046730000000003</v>
      </c>
      <c r="Q4263">
        <v>6.2912810000000001E-3</v>
      </c>
      <c r="R4263">
        <v>-0.80703740000000002</v>
      </c>
      <c r="S4263">
        <v>-2.6499790000000001</v>
      </c>
      <c r="T4263">
        <v>-0.2250721</v>
      </c>
      <c r="U4263">
        <v>-1.7902069999999899</v>
      </c>
      <c r="V4263">
        <v>0.1666734</v>
      </c>
      <c r="W4263">
        <v>1.8110060000000001E-2</v>
      </c>
      <c r="X4263">
        <v>0.98584590000000005</v>
      </c>
      <c r="Y4263">
        <v>0.48778080000000001</v>
      </c>
      <c r="Z4263">
        <v>7.0989800000000006E-2</v>
      </c>
      <c r="AA4263">
        <v>0.87007489999999998</v>
      </c>
      <c r="AB4263">
        <v>19</v>
      </c>
      <c r="AC4263">
        <v>-12.867599999999999</v>
      </c>
      <c r="AD4263">
        <v>-1.098148589689</v>
      </c>
      <c r="AE4263">
        <v>-8.6282999999999905</v>
      </c>
      <c r="AF4263">
        <v>7.6004557458547497</v>
      </c>
      <c r="AG4263">
        <v>-1.098148589689</v>
      </c>
      <c r="AH4263">
        <v>13.411262359724001</v>
      </c>
      <c r="AI4263">
        <v>94.074751009942702</v>
      </c>
      <c r="AJ4263">
        <v>60.458823460956502</v>
      </c>
      <c r="AK4263">
        <v>15.454281476376799</v>
      </c>
    </row>
    <row r="4264" spans="1:37" x14ac:dyDescent="0.2">
      <c r="A4264" t="str">
        <f>"20200111155633295"</f>
        <v>20200111155633295</v>
      </c>
      <c r="B4264" t="str">
        <f>"1578729393286942"</f>
        <v>1578729393286942</v>
      </c>
      <c r="C4264" t="s">
        <v>37</v>
      </c>
      <c r="D4264">
        <v>4.905805</v>
      </c>
      <c r="E4264">
        <v>0.63827250000000002</v>
      </c>
      <c r="F4264" t="s">
        <v>72</v>
      </c>
      <c r="G4264">
        <v>-209.4564</v>
      </c>
      <c r="H4264" s="1">
        <v>-6.6090049999999899E-6</v>
      </c>
      <c r="I4264">
        <v>143.4033</v>
      </c>
      <c r="J4264">
        <v>-196.66759999999999</v>
      </c>
      <c r="K4264">
        <v>1.098117</v>
      </c>
      <c r="L4264">
        <v>151.86600000000001</v>
      </c>
      <c r="M4264">
        <v>-0.45535720000000002</v>
      </c>
      <c r="N4264">
        <v>0</v>
      </c>
      <c r="O4264">
        <v>-0.89018569999999997</v>
      </c>
      <c r="P4264">
        <v>-0.59638849999999999</v>
      </c>
      <c r="Q4264">
        <v>5.4253410000000002E-3</v>
      </c>
      <c r="R4264">
        <v>-0.8026778</v>
      </c>
      <c r="S4264">
        <v>-2.6589969999999998</v>
      </c>
      <c r="T4264">
        <v>-0.22713409999999901</v>
      </c>
      <c r="U4264">
        <v>-1.773636</v>
      </c>
      <c r="V4264">
        <v>0.16572100000000001</v>
      </c>
      <c r="W4264">
        <v>1.7272389999999999E-2</v>
      </c>
      <c r="X4264">
        <v>0.98602140000000005</v>
      </c>
      <c r="Y4264">
        <v>0.48560909999999902</v>
      </c>
      <c r="Z4264">
        <v>7.1505260000000001E-2</v>
      </c>
      <c r="AA4264">
        <v>0.87124669999999904</v>
      </c>
      <c r="AB4264">
        <v>19</v>
      </c>
      <c r="AC4264">
        <v>-12.7888</v>
      </c>
      <c r="AD4264">
        <v>-1.0981236090049999</v>
      </c>
      <c r="AE4264">
        <v>-8.4627000000000105</v>
      </c>
      <c r="AF4264">
        <v>7.49325828805084</v>
      </c>
      <c r="AG4264">
        <v>-1.0981236090049999</v>
      </c>
      <c r="AH4264">
        <v>13.290163655152</v>
      </c>
      <c r="AI4264">
        <v>94.116756918353801</v>
      </c>
      <c r="AJ4264">
        <v>60.584832503836303</v>
      </c>
      <c r="AK4264">
        <v>15.2965108836237</v>
      </c>
    </row>
    <row r="4265" spans="1:37" x14ac:dyDescent="0.2">
      <c r="A4265" t="str">
        <f>"20200111155633308"</f>
        <v>20200111155633308</v>
      </c>
      <c r="B4265" t="str">
        <f>"1578729393296703"</f>
        <v>1578729393296703</v>
      </c>
      <c r="C4265" t="s">
        <v>37</v>
      </c>
      <c r="D4265">
        <v>4.8902779999999897</v>
      </c>
      <c r="E4265">
        <v>0.63774750000000002</v>
      </c>
      <c r="F4265" t="s">
        <v>72</v>
      </c>
      <c r="G4265">
        <v>-209.3116</v>
      </c>
      <c r="H4265" s="1">
        <v>-6.7096369999999996E-6</v>
      </c>
      <c r="I4265">
        <v>143.54140000000001</v>
      </c>
      <c r="J4265">
        <v>-196.72130000000001</v>
      </c>
      <c r="K4265">
        <v>1.098101</v>
      </c>
      <c r="L4265">
        <v>151.77789999999999</v>
      </c>
      <c r="M4265">
        <v>-0.46121640000000003</v>
      </c>
      <c r="N4265">
        <v>0</v>
      </c>
      <c r="O4265">
        <v>-0.88716390000000001</v>
      </c>
      <c r="P4265">
        <v>-0.60128839999999995</v>
      </c>
      <c r="Q4265">
        <v>4.5653250000000003E-3</v>
      </c>
      <c r="R4265">
        <v>-0.79901919999999904</v>
      </c>
      <c r="S4265">
        <v>-2.66812099999999</v>
      </c>
      <c r="T4265">
        <v>-0.23172489999999901</v>
      </c>
      <c r="U4265">
        <v>-1.7566679999999999</v>
      </c>
      <c r="V4265">
        <v>0.16523660000000001</v>
      </c>
      <c r="W4265">
        <v>1.6430420000000001E-2</v>
      </c>
      <c r="X4265">
        <v>0.98611709999999997</v>
      </c>
      <c r="Y4265">
        <v>0.48498839999999999</v>
      </c>
      <c r="Z4265">
        <v>7.2863819999999996E-2</v>
      </c>
      <c r="AA4265">
        <v>0.87147980000000003</v>
      </c>
      <c r="AB4265">
        <v>19</v>
      </c>
      <c r="AC4265">
        <v>-12.5902999999999</v>
      </c>
      <c r="AD4265">
        <v>-1.098107709637</v>
      </c>
      <c r="AE4265">
        <v>-8.2364999999999693</v>
      </c>
      <c r="AF4265">
        <v>7.3325982104220397</v>
      </c>
      <c r="AG4265">
        <v>-1.098107709637</v>
      </c>
      <c r="AH4265">
        <v>13.045920588837101</v>
      </c>
      <c r="AI4265">
        <v>94.196640612277903</v>
      </c>
      <c r="AJ4265">
        <v>60.661373808291501</v>
      </c>
      <c r="AK4265">
        <v>15.005628312992799</v>
      </c>
    </row>
    <row r="4266" spans="1:37" x14ac:dyDescent="0.2">
      <c r="A4266" t="str">
        <f>"20200111155633321"</f>
        <v>20200111155633321</v>
      </c>
      <c r="B4266" t="str">
        <f>"1578729393317199"</f>
        <v>1578729393317199</v>
      </c>
      <c r="C4266" t="s">
        <v>37</v>
      </c>
      <c r="D4266">
        <v>4.9866169999999999</v>
      </c>
      <c r="E4266">
        <v>0.63681109999999996</v>
      </c>
      <c r="F4266" t="s">
        <v>72</v>
      </c>
      <c r="G4266">
        <v>-209.16890000000001</v>
      </c>
      <c r="H4266" s="1">
        <v>-6.8067149999999998E-6</v>
      </c>
      <c r="I4266">
        <v>143.66929999999999</v>
      </c>
      <c r="J4266">
        <v>-196.77940000000001</v>
      </c>
      <c r="K4266">
        <v>1.098082</v>
      </c>
      <c r="L4266">
        <v>151.68340000000001</v>
      </c>
      <c r="M4266">
        <v>-0.46750959999999903</v>
      </c>
      <c r="N4266">
        <v>0</v>
      </c>
      <c r="O4266">
        <v>-0.88386330000000002</v>
      </c>
      <c r="P4266">
        <v>-0.60659249999999998</v>
      </c>
      <c r="Q4266">
        <v>3.5664959999999902E-3</v>
      </c>
      <c r="R4266">
        <v>-0.79500509999999902</v>
      </c>
      <c r="S4266">
        <v>-2.6752470000000002</v>
      </c>
      <c r="T4266">
        <v>-0.23600639999999901</v>
      </c>
      <c r="U4266">
        <v>-1.7427060000000001</v>
      </c>
      <c r="V4266">
        <v>0.16477249999999999</v>
      </c>
      <c r="W4266">
        <v>1.544969E-2</v>
      </c>
      <c r="X4266">
        <v>0.98621059999999905</v>
      </c>
      <c r="Y4266">
        <v>0.48294399999999998</v>
      </c>
      <c r="Z4266">
        <v>7.4077740000000003E-2</v>
      </c>
      <c r="AA4266">
        <v>0.87251229999999902</v>
      </c>
      <c r="AB4266">
        <v>19</v>
      </c>
      <c r="AC4266">
        <v>-12.3894999999999</v>
      </c>
      <c r="AD4266">
        <v>-1.0980888067150001</v>
      </c>
      <c r="AE4266">
        <v>-8.0141000000000098</v>
      </c>
      <c r="AF4266">
        <v>7.1650685177765503</v>
      </c>
      <c r="AG4266">
        <v>-1.0980888067150001</v>
      </c>
      <c r="AH4266">
        <v>12.8060763293776</v>
      </c>
      <c r="AI4266">
        <v>94.2795225731344</v>
      </c>
      <c r="AJ4266">
        <v>60.772752527239803</v>
      </c>
      <c r="AK4266">
        <v>14.715284463635401</v>
      </c>
    </row>
    <row r="4267" spans="1:37" x14ac:dyDescent="0.2">
      <c r="A4267" t="str">
        <f>"20200111155633332"</f>
        <v>20200111155633332</v>
      </c>
      <c r="B4267" t="str">
        <f>"1578729393326959"</f>
        <v>1578729393326959</v>
      </c>
      <c r="C4267" t="s">
        <v>37</v>
      </c>
      <c r="D4267">
        <v>4.8504759999999996</v>
      </c>
      <c r="E4267">
        <v>0.63631210000000005</v>
      </c>
      <c r="F4267" t="s">
        <v>72</v>
      </c>
      <c r="G4267">
        <v>-208.89349999999999</v>
      </c>
      <c r="H4267" s="1">
        <v>-6.98132399999999E-6</v>
      </c>
      <c r="I4267">
        <v>143.8682</v>
      </c>
      <c r="J4267">
        <v>-196.83840000000001</v>
      </c>
      <c r="K4267">
        <v>1.098069</v>
      </c>
      <c r="L4267">
        <v>151.58949999999999</v>
      </c>
      <c r="M4267">
        <v>-0.47381509999999999</v>
      </c>
      <c r="N4267">
        <v>0</v>
      </c>
      <c r="O4267">
        <v>-0.88049889999999997</v>
      </c>
      <c r="P4267">
        <v>-0.61199989999999904</v>
      </c>
      <c r="Q4267">
        <v>2.5663650000000001E-3</v>
      </c>
      <c r="R4267">
        <v>-0.79085369999999899</v>
      </c>
      <c r="S4267">
        <v>-2.6806179999999999</v>
      </c>
      <c r="T4267">
        <v>-0.2429859</v>
      </c>
      <c r="U4267">
        <v>-1.729355</v>
      </c>
      <c r="V4267">
        <v>0.16443099999999999</v>
      </c>
      <c r="W4267">
        <v>1.446513E-2</v>
      </c>
      <c r="X4267">
        <v>0.98628249999999995</v>
      </c>
      <c r="Y4267">
        <v>0.48040299999999903</v>
      </c>
      <c r="Z4267">
        <v>7.6136889999999999E-2</v>
      </c>
      <c r="AA4267">
        <v>0.87373690000000004</v>
      </c>
      <c r="AB4267">
        <v>19</v>
      </c>
      <c r="AC4267">
        <v>-12.0550999999999</v>
      </c>
      <c r="AD4267">
        <v>-1.098075981324</v>
      </c>
      <c r="AE4267">
        <v>-7.7212999999999798</v>
      </c>
      <c r="AF4267">
        <v>6.9161119283307597</v>
      </c>
      <c r="AG4267">
        <v>-1.098075981324</v>
      </c>
      <c r="AH4267">
        <v>12.438684826310601</v>
      </c>
      <c r="AI4267">
        <v>94.411899557828306</v>
      </c>
      <c r="AJ4267">
        <v>60.925225788117203</v>
      </c>
      <c r="AK4267">
        <v>14.274426618055401</v>
      </c>
    </row>
    <row r="4268" spans="1:37" x14ac:dyDescent="0.2">
      <c r="A4268" t="str">
        <f>"20200111155633345"</f>
        <v>20200111155633345</v>
      </c>
      <c r="B4268" t="str">
        <f>"1578729393336719"</f>
        <v>1578729393336719</v>
      </c>
      <c r="C4268" t="s">
        <v>37</v>
      </c>
      <c r="D4268">
        <v>4.7996999999999996</v>
      </c>
      <c r="E4268">
        <v>0.63591999999999904</v>
      </c>
      <c r="F4268" t="s">
        <v>72</v>
      </c>
      <c r="G4268">
        <v>-208.78290000000001</v>
      </c>
      <c r="H4268" s="1">
        <v>-7.0597789999999998E-6</v>
      </c>
      <c r="I4268">
        <v>143.9796</v>
      </c>
      <c r="J4268">
        <v>-196.89599999999999</v>
      </c>
      <c r="K4268">
        <v>1.0980510000000001</v>
      </c>
      <c r="L4268">
        <v>151.49940000000001</v>
      </c>
      <c r="M4268">
        <v>-0.47989680000000001</v>
      </c>
      <c r="N4268">
        <v>0</v>
      </c>
      <c r="O4268">
        <v>-0.87719879999999995</v>
      </c>
      <c r="P4268">
        <v>-0.61749359999999998</v>
      </c>
      <c r="Q4268">
        <v>1.3354199999999999E-3</v>
      </c>
      <c r="R4268">
        <v>-0.78657449999999995</v>
      </c>
      <c r="S4268">
        <v>-2.6890869999999998</v>
      </c>
      <c r="T4268">
        <v>-0.24721119999999999</v>
      </c>
      <c r="U4268">
        <v>-1.7132259999999999</v>
      </c>
      <c r="V4268">
        <v>0.16445389999999999</v>
      </c>
      <c r="W4268">
        <v>1.324263E-2</v>
      </c>
      <c r="X4268">
        <v>0.9862959</v>
      </c>
      <c r="Y4268">
        <v>0.47922120000000001</v>
      </c>
      <c r="Z4268">
        <v>7.7332059999999994E-2</v>
      </c>
      <c r="AA4268">
        <v>0.87428079999999997</v>
      </c>
      <c r="AB4268">
        <v>19</v>
      </c>
      <c r="AC4268">
        <v>-11.886900000000001</v>
      </c>
      <c r="AD4268">
        <v>-1.098058059779</v>
      </c>
      <c r="AE4268">
        <v>-7.5198</v>
      </c>
      <c r="AF4268">
        <v>6.7778946150259998</v>
      </c>
      <c r="AG4268">
        <v>-1.098058059779</v>
      </c>
      <c r="AH4268">
        <v>12.227687096445599</v>
      </c>
      <c r="AI4268">
        <v>94.490891649578799</v>
      </c>
      <c r="AJ4268">
        <v>61.000082516127399</v>
      </c>
      <c r="AK4268">
        <v>14.0236200263565</v>
      </c>
    </row>
    <row r="4269" spans="1:37" x14ac:dyDescent="0.2">
      <c r="A4269" t="str">
        <f>"20200111155633357"</f>
        <v>20200111155633357</v>
      </c>
      <c r="B4269" t="str">
        <f>"1578729393347456"</f>
        <v>1578729393347456</v>
      </c>
      <c r="C4269" t="s">
        <v>37</v>
      </c>
      <c r="D4269">
        <v>4.7682269999999898</v>
      </c>
      <c r="E4269">
        <v>0.63552810000000004</v>
      </c>
      <c r="F4269" t="s">
        <v>72</v>
      </c>
      <c r="G4269">
        <v>-208.673</v>
      </c>
      <c r="H4269" s="1">
        <v>-7.1391470000000002E-6</v>
      </c>
      <c r="I4269">
        <v>144.09559999999999</v>
      </c>
      <c r="J4269">
        <v>-196.9545</v>
      </c>
      <c r="K4269">
        <v>1.0980369999999999</v>
      </c>
      <c r="L4269">
        <v>151.40860000000001</v>
      </c>
      <c r="M4269">
        <v>-0.48603009999999902</v>
      </c>
      <c r="N4269">
        <v>0</v>
      </c>
      <c r="O4269">
        <v>-0.87381569999999997</v>
      </c>
      <c r="P4269">
        <v>-0.62296090000000004</v>
      </c>
      <c r="Q4269">
        <v>1.319293E-4</v>
      </c>
      <c r="R4269">
        <v>-0.78225330000000004</v>
      </c>
      <c r="S4269">
        <v>-2.6981959999999998</v>
      </c>
      <c r="T4269">
        <v>-0.25157239999999997</v>
      </c>
      <c r="U4269">
        <v>-1.696259</v>
      </c>
      <c r="V4269">
        <v>0.1643985</v>
      </c>
      <c r="W4269">
        <v>1.2048730000000001E-2</v>
      </c>
      <c r="X4269">
        <v>0.98632039999999999</v>
      </c>
      <c r="Y4269">
        <v>0.47825230000000002</v>
      </c>
      <c r="Z4269">
        <v>7.8558749999999997E-2</v>
      </c>
      <c r="AA4269">
        <v>0.87470179999999997</v>
      </c>
      <c r="AB4269">
        <v>19</v>
      </c>
      <c r="AC4269">
        <v>-11.718500000000001</v>
      </c>
      <c r="AD4269">
        <v>-1.0980441391469999</v>
      </c>
      <c r="AE4269">
        <v>-7.3130000000000104</v>
      </c>
      <c r="AF4269">
        <v>6.6442241822624801</v>
      </c>
      <c r="AG4269">
        <v>-1.0980441391469999</v>
      </c>
      <c r="AH4269">
        <v>12.011193117231301</v>
      </c>
      <c r="AI4269">
        <v>94.5736347477838</v>
      </c>
      <c r="AJ4269">
        <v>61.049974996637701</v>
      </c>
      <c r="AK4269">
        <v>13.7702641955447</v>
      </c>
    </row>
    <row r="4270" spans="1:37" x14ac:dyDescent="0.2">
      <c r="A4270" t="str">
        <f>"20200111155633370"</f>
        <v>20200111155633370</v>
      </c>
      <c r="B4270" t="str">
        <f>"1578729393366975"</f>
        <v>1578729393366975</v>
      </c>
      <c r="C4270" t="s">
        <v>37</v>
      </c>
      <c r="D4270">
        <v>4.8187069999999999</v>
      </c>
      <c r="E4270">
        <v>0.63478840000000003</v>
      </c>
      <c r="F4270" t="s">
        <v>72</v>
      </c>
      <c r="G4270">
        <v>-208.60040000000001</v>
      </c>
      <c r="H4270" s="1">
        <v>-7.195263E-6</v>
      </c>
      <c r="I4270">
        <v>144.18620000000001</v>
      </c>
      <c r="J4270">
        <v>-197.0188</v>
      </c>
      <c r="K4270">
        <v>1.0980240000000001</v>
      </c>
      <c r="L4270">
        <v>151.31139999999999</v>
      </c>
      <c r="M4270">
        <v>-0.49266799999999999</v>
      </c>
      <c r="N4270">
        <v>0</v>
      </c>
      <c r="O4270">
        <v>-0.87008999999999903</v>
      </c>
      <c r="P4270">
        <v>-0.62920799999999999</v>
      </c>
      <c r="Q4270">
        <v>-6.5572089999999905E-4</v>
      </c>
      <c r="R4270">
        <v>-0.77723719999999996</v>
      </c>
      <c r="S4270">
        <v>-2.7074129999999998</v>
      </c>
      <c r="T4270">
        <v>-0.25526989999999999</v>
      </c>
      <c r="U4270">
        <v>-1.679047</v>
      </c>
      <c r="V4270">
        <v>0.16477929999999999</v>
      </c>
      <c r="W4270">
        <v>1.1262960000000001E-2</v>
      </c>
      <c r="X4270">
        <v>0.98626610000000003</v>
      </c>
      <c r="Y4270">
        <v>0.47684110000000002</v>
      </c>
      <c r="Z4270">
        <v>7.9544619999999996E-2</v>
      </c>
      <c r="AA4270">
        <v>0.87538289999999996</v>
      </c>
      <c r="AB4270">
        <v>19</v>
      </c>
      <c r="AC4270">
        <v>-11.5816</v>
      </c>
      <c r="AD4270">
        <v>-1.098031195263</v>
      </c>
      <c r="AE4270">
        <v>-7.1251999999999702</v>
      </c>
      <c r="AF4270">
        <v>6.5248581061324202</v>
      </c>
      <c r="AG4270">
        <v>-1.098031195263</v>
      </c>
      <c r="AH4270">
        <v>11.829632159634601</v>
      </c>
      <c r="AI4270">
        <v>94.646604155423205</v>
      </c>
      <c r="AJ4270">
        <v>61.120234136962303</v>
      </c>
      <c r="AK4270">
        <v>13.5543219248767</v>
      </c>
    </row>
    <row r="4271" spans="1:37" x14ac:dyDescent="0.2">
      <c r="A4271" t="str">
        <f>"20200111155633386"</f>
        <v>20200111155633386</v>
      </c>
      <c r="B4271" t="str">
        <f>"1578729393376734"</f>
        <v>1578729393376734</v>
      </c>
      <c r="C4271" t="s">
        <v>37</v>
      </c>
      <c r="D4271">
        <v>4.8786459999999998</v>
      </c>
      <c r="E4271">
        <v>0.63478840000000003</v>
      </c>
      <c r="F4271" t="s">
        <v>72</v>
      </c>
      <c r="G4271">
        <v>-208.58529999999999</v>
      </c>
      <c r="H4271" s="1">
        <v>-7.2159419999999997E-6</v>
      </c>
      <c r="I4271">
        <v>144.23920000000001</v>
      </c>
      <c r="J4271">
        <v>-197.09739999999999</v>
      </c>
      <c r="K4271">
        <v>1.0980030000000001</v>
      </c>
      <c r="L4271">
        <v>151.1943</v>
      </c>
      <c r="M4271">
        <v>-0.50068939999999995</v>
      </c>
      <c r="N4271">
        <v>0</v>
      </c>
      <c r="O4271">
        <v>-0.86549869999999995</v>
      </c>
      <c r="P4271">
        <v>-0.63722500000000004</v>
      </c>
      <c r="Q4271">
        <v>-2.368958E-3</v>
      </c>
      <c r="R4271">
        <v>-0.77067430000000003</v>
      </c>
      <c r="S4271">
        <v>-2.7161710000000001</v>
      </c>
      <c r="T4271">
        <v>-0.25785029999999998</v>
      </c>
      <c r="U4271">
        <v>-1.6607669999999899</v>
      </c>
      <c r="V4271">
        <v>0.165852</v>
      </c>
      <c r="W4271">
        <v>9.5383320000000001E-3</v>
      </c>
      <c r="X4271">
        <v>0.98610450000000005</v>
      </c>
      <c r="Y4271">
        <v>0.4742112</v>
      </c>
      <c r="Z4271">
        <v>8.012843E-2</v>
      </c>
      <c r="AA4271">
        <v>0.87675720000000001</v>
      </c>
      <c r="AB4271">
        <v>19</v>
      </c>
      <c r="AC4271">
        <v>-11.4878999999999</v>
      </c>
      <c r="AD4271">
        <v>-1.098010215942</v>
      </c>
      <c r="AE4271">
        <v>-6.9550999999999803</v>
      </c>
      <c r="AF4271">
        <v>6.4182287868963899</v>
      </c>
      <c r="AG4271">
        <v>-1.098010215942</v>
      </c>
      <c r="AH4271">
        <v>11.6946275811892</v>
      </c>
      <c r="AI4271">
        <v>94.705355087309499</v>
      </c>
      <c r="AJ4271">
        <v>61.241202199483801</v>
      </c>
      <c r="AK4271">
        <v>13.385200837416299</v>
      </c>
    </row>
    <row r="4272" spans="1:37" x14ac:dyDescent="0.2">
      <c r="A4272" t="str">
        <f>"20200111155633400"</f>
        <v>20200111155633400</v>
      </c>
      <c r="B4272" t="str">
        <f>"1578729393397231"</f>
        <v>1578729393397231</v>
      </c>
      <c r="C4272" t="s">
        <v>37</v>
      </c>
      <c r="D4272">
        <v>4.7769279999999998</v>
      </c>
      <c r="E4272">
        <v>0.61807959999999995</v>
      </c>
      <c r="F4272" t="s">
        <v>72</v>
      </c>
      <c r="G4272">
        <v>-208.54339999999999</v>
      </c>
      <c r="H4272" s="1">
        <v>-7.2663049999999997E-6</v>
      </c>
      <c r="I4272">
        <v>144.3596</v>
      </c>
      <c r="J4272">
        <v>-197.16640000000001</v>
      </c>
      <c r="K4272">
        <v>1.097988</v>
      </c>
      <c r="L4272">
        <v>151.0932</v>
      </c>
      <c r="M4272">
        <v>-0.50765039999999995</v>
      </c>
      <c r="N4272">
        <v>0</v>
      </c>
      <c r="O4272">
        <v>-0.86143400000000003</v>
      </c>
      <c r="P4272">
        <v>-0.64390409999999998</v>
      </c>
      <c r="Q4272">
        <v>-2.7662920000000001E-3</v>
      </c>
      <c r="R4272">
        <v>-0.76510140000000004</v>
      </c>
      <c r="S4272">
        <v>-2.7331240000000001</v>
      </c>
      <c r="T4272">
        <v>-0.26218629999999998</v>
      </c>
      <c r="U4272">
        <v>-1.6320190000000001</v>
      </c>
      <c r="V4272">
        <v>0.1664737</v>
      </c>
      <c r="W4272">
        <v>9.1368519999999905E-3</v>
      </c>
      <c r="X4272">
        <v>0.98600359999999998</v>
      </c>
      <c r="Y4272">
        <v>0.47621069999999999</v>
      </c>
      <c r="Z4272">
        <v>8.1340190000000007E-2</v>
      </c>
      <c r="AA4272">
        <v>0.87556100000000003</v>
      </c>
      <c r="AB4272">
        <v>19</v>
      </c>
      <c r="AC4272">
        <v>-11.376999999999899</v>
      </c>
      <c r="AD4272">
        <v>-1.0979952663050001</v>
      </c>
      <c r="AE4272">
        <v>-6.7335999999999903</v>
      </c>
      <c r="AF4272">
        <v>6.3392030964400403</v>
      </c>
      <c r="AG4272">
        <v>-1.0979952663050001</v>
      </c>
      <c r="AH4272">
        <v>11.498066597050601</v>
      </c>
      <c r="AI4272">
        <v>94.780314033736701</v>
      </c>
      <c r="AJ4272">
        <v>61.130832844762203</v>
      </c>
      <c r="AK4272">
        <v>13.175607195607901</v>
      </c>
    </row>
    <row r="4273" spans="1:37" x14ac:dyDescent="0.2">
      <c r="A4273" t="str">
        <f>"20200111155633425"</f>
        <v>20200111155633425</v>
      </c>
      <c r="B4273" t="str">
        <f>"1578729393416751"</f>
        <v>1578729393416751</v>
      </c>
      <c r="C4273" t="s">
        <v>37</v>
      </c>
      <c r="D4273">
        <v>4.8862699999999997</v>
      </c>
      <c r="E4273">
        <v>0.61807959999999995</v>
      </c>
      <c r="F4273" t="s">
        <v>72</v>
      </c>
      <c r="G4273">
        <v>-207.6686</v>
      </c>
      <c r="H4273" s="1">
        <v>-7.6556330000000003E-6</v>
      </c>
      <c r="I4273">
        <v>144.3648</v>
      </c>
      <c r="J4273">
        <v>-197.29769999999999</v>
      </c>
      <c r="K4273">
        <v>1.0979649999999901</v>
      </c>
      <c r="L4273">
        <v>150.9067</v>
      </c>
      <c r="M4273">
        <v>-0.52061979999999997</v>
      </c>
      <c r="N4273">
        <v>0</v>
      </c>
      <c r="O4273">
        <v>-0.85365800000000003</v>
      </c>
      <c r="P4273">
        <v>-0.65640540000000003</v>
      </c>
      <c r="Q4273">
        <v>-3.3337800000000002E-3</v>
      </c>
      <c r="R4273">
        <v>-0.75440119999999999</v>
      </c>
      <c r="S4273">
        <v>-2.6446230000000002</v>
      </c>
      <c r="T4273">
        <v>-0.27649459999999998</v>
      </c>
      <c r="U4273">
        <v>-1.6943360000000001</v>
      </c>
      <c r="V4273">
        <v>0.1677775</v>
      </c>
      <c r="W4273">
        <v>8.5575169999999902E-3</v>
      </c>
      <c r="X4273">
        <v>0.98578770000000004</v>
      </c>
      <c r="Y4273">
        <v>0.43449939999999998</v>
      </c>
      <c r="Z4273">
        <v>8.5378209999999996E-2</v>
      </c>
      <c r="AA4273">
        <v>0.89661630000000003</v>
      </c>
      <c r="AB4273">
        <v>19</v>
      </c>
      <c r="AC4273">
        <v>-10.370900000000001</v>
      </c>
      <c r="AD4273">
        <v>-1.0979726556329901</v>
      </c>
      <c r="AE4273">
        <v>-6.5418999999999903</v>
      </c>
      <c r="AF4273">
        <v>5.4046315750170901</v>
      </c>
      <c r="AG4273">
        <v>-1.0979726556329901</v>
      </c>
      <c r="AH4273">
        <v>10.8976870839718</v>
      </c>
      <c r="AI4273">
        <v>95.1576584386858</v>
      </c>
      <c r="AJ4273">
        <v>63.621209826807203</v>
      </c>
      <c r="AK4273">
        <v>12.213728758833399</v>
      </c>
    </row>
    <row r="4274" spans="1:37" x14ac:dyDescent="0.2">
      <c r="A4274" t="str">
        <f>"20200111155633611"</f>
        <v>20200111155633611</v>
      </c>
      <c r="B4274" t="str">
        <f>"1578729393607071"</f>
        <v>1578729393607071</v>
      </c>
      <c r="C4274" t="s">
        <v>37</v>
      </c>
      <c r="D4274">
        <v>4.9249479999999997</v>
      </c>
      <c r="E4274">
        <v>0.66746559999999999</v>
      </c>
      <c r="F4274" t="s">
        <v>72</v>
      </c>
      <c r="G4274">
        <v>-207.84360000000001</v>
      </c>
      <c r="H4274" s="1">
        <v>-7.585445E-6</v>
      </c>
      <c r="I4274">
        <v>144.393</v>
      </c>
      <c r="J4274">
        <v>-198.31639999999999</v>
      </c>
      <c r="K4274">
        <v>1.0979319999999999</v>
      </c>
      <c r="L4274">
        <v>149.6403</v>
      </c>
      <c r="M4274">
        <v>-0.61198649999999999</v>
      </c>
      <c r="N4274">
        <v>0</v>
      </c>
      <c r="O4274">
        <v>-0.7907246</v>
      </c>
      <c r="P4274">
        <v>-0.74017659999999996</v>
      </c>
      <c r="Q4274">
        <v>6.227308E-3</v>
      </c>
      <c r="R4274">
        <v>-0.67238339999999996</v>
      </c>
      <c r="S4274">
        <v>-2.672104</v>
      </c>
      <c r="T4274">
        <v>-0.27820099999999998</v>
      </c>
      <c r="U4274">
        <v>-1.6504209999999999</v>
      </c>
      <c r="V4274">
        <v>0.17414209999999999</v>
      </c>
      <c r="W4274">
        <v>1.8081940000000001E-2</v>
      </c>
      <c r="X4274">
        <v>0.9845545</v>
      </c>
      <c r="Y4274">
        <v>0.34787180000000001</v>
      </c>
      <c r="Z4274">
        <v>7.9551499999999997E-2</v>
      </c>
      <c r="AA4274">
        <v>0.93416100000000002</v>
      </c>
      <c r="AB4274">
        <v>19</v>
      </c>
      <c r="AC4274">
        <v>-9.5272000000000201</v>
      </c>
      <c r="AD4274">
        <v>-1.09793958544499</v>
      </c>
      <c r="AE4274">
        <v>-5.2472999999999903</v>
      </c>
      <c r="AF4274">
        <v>4.2790033601655502</v>
      </c>
      <c r="AG4274">
        <v>-1.09793958544499</v>
      </c>
      <c r="AH4274">
        <v>9.8801437690578293</v>
      </c>
      <c r="AI4274">
        <v>95.822506327181202</v>
      </c>
      <c r="AJ4274">
        <v>66.582988010062294</v>
      </c>
      <c r="AK4274">
        <v>10.8227806956829</v>
      </c>
    </row>
    <row r="4275" spans="1:37" x14ac:dyDescent="0.2">
      <c r="A4275" t="str">
        <f>"20200111155633627"</f>
        <v>20200111155633627</v>
      </c>
      <c r="B4275" t="str">
        <f>"1578729393616830"</f>
        <v>1578729393616830</v>
      </c>
      <c r="C4275" t="s">
        <v>37</v>
      </c>
      <c r="D4275">
        <v>4.8870690000000003</v>
      </c>
      <c r="E4275">
        <v>0.66751559999999999</v>
      </c>
      <c r="F4275" t="s">
        <v>38</v>
      </c>
      <c r="G4275">
        <v>-222.04589999999999</v>
      </c>
      <c r="H4275" s="1">
        <v>-3.9616579999999998E-6</v>
      </c>
      <c r="I4275">
        <v>141.76910000000001</v>
      </c>
      <c r="J4275">
        <v>-198.41159999999999</v>
      </c>
      <c r="K4275">
        <v>1.0979369999999999</v>
      </c>
      <c r="L4275">
        <v>149.5361</v>
      </c>
      <c r="M4275">
        <v>-0.61974439999999997</v>
      </c>
      <c r="N4275">
        <v>0</v>
      </c>
      <c r="O4275">
        <v>-0.78465879999999999</v>
      </c>
      <c r="P4275">
        <v>-0.74715619999999905</v>
      </c>
      <c r="Q4275">
        <v>6.7005369999999899E-3</v>
      </c>
      <c r="R4275">
        <v>-0.6646147</v>
      </c>
      <c r="S4275">
        <v>-3.1155240000000002</v>
      </c>
      <c r="T4275">
        <v>-0.1441519</v>
      </c>
      <c r="U4275">
        <v>-1.0334319999999999</v>
      </c>
      <c r="V4275">
        <v>0.17473549999999999</v>
      </c>
      <c r="W4275">
        <v>1.8551539999999998E-2</v>
      </c>
      <c r="X4275">
        <v>0.984440599999999</v>
      </c>
      <c r="Y4275">
        <v>0.54866119999999996</v>
      </c>
      <c r="Z4275">
        <v>4.2570129999999998E-2</v>
      </c>
      <c r="AA4275">
        <v>0.83496029999999999</v>
      </c>
      <c r="AB4275">
        <v>19</v>
      </c>
      <c r="AC4275">
        <v>-23.6343</v>
      </c>
      <c r="AD4275">
        <v>-1.097940961658</v>
      </c>
      <c r="AE4275">
        <v>-7.7669999999999897</v>
      </c>
      <c r="AF4275">
        <v>13.706172372412301</v>
      </c>
      <c r="AG4275">
        <v>-1.097940961658</v>
      </c>
      <c r="AH4275">
        <v>20.7037035651339</v>
      </c>
      <c r="AI4275">
        <v>92.531928124930005</v>
      </c>
      <c r="AJ4275">
        <v>56.494823918999103</v>
      </c>
      <c r="AK4275">
        <v>24.853731646787001</v>
      </c>
    </row>
    <row r="4276" spans="1:37" x14ac:dyDescent="0.2">
      <c r="A4276" t="str">
        <f>"20200111155633769"</f>
        <v>20200111155633769</v>
      </c>
      <c r="B4276" t="str">
        <f>"1578729393757374"</f>
        <v>1578729393757374</v>
      </c>
      <c r="C4276" t="s">
        <v>37</v>
      </c>
      <c r="D4276">
        <v>4.8730139999999897</v>
      </c>
      <c r="E4276">
        <v>0.65981979999999996</v>
      </c>
      <c r="F4276" t="s">
        <v>38</v>
      </c>
      <c r="G4276">
        <v>-223.45959999999999</v>
      </c>
      <c r="H4276" s="1">
        <v>-3.2952019999999999E-6</v>
      </c>
      <c r="I4276">
        <v>141.52209999999999</v>
      </c>
      <c r="J4276">
        <v>-199.2679</v>
      </c>
      <c r="K4276">
        <v>1.0980620000000001</v>
      </c>
      <c r="L4276">
        <v>148.68450000000001</v>
      </c>
      <c r="M4276">
        <v>-0.6840231</v>
      </c>
      <c r="N4276">
        <v>0</v>
      </c>
      <c r="O4276">
        <v>-0.72930439999999996</v>
      </c>
      <c r="P4276">
        <v>-0.80063869999999904</v>
      </c>
      <c r="Q4276">
        <v>3.2272409999999901E-3</v>
      </c>
      <c r="R4276">
        <v>-0.59913930000000004</v>
      </c>
      <c r="S4276">
        <v>-3.126633</v>
      </c>
      <c r="T4276">
        <v>-0.13705149999999999</v>
      </c>
      <c r="U4276">
        <v>-1.000351</v>
      </c>
      <c r="V4276">
        <v>0.1743836</v>
      </c>
      <c r="W4276">
        <v>1.515742E-2</v>
      </c>
      <c r="X4276">
        <v>0.98456109999999897</v>
      </c>
      <c r="Y4276">
        <v>0.48534559999999999</v>
      </c>
      <c r="Z4276">
        <v>3.782568E-2</v>
      </c>
      <c r="AA4276">
        <v>0.87350380000000005</v>
      </c>
      <c r="AB4276">
        <v>19</v>
      </c>
      <c r="AC4276">
        <v>-24.191700000000001</v>
      </c>
      <c r="AD4276">
        <v>-1.098065295202</v>
      </c>
      <c r="AE4276">
        <v>-7.1624000000000096</v>
      </c>
      <c r="AF4276">
        <v>12.721219142523299</v>
      </c>
      <c r="AG4276">
        <v>-1.098065295202</v>
      </c>
      <c r="AH4276">
        <v>21.7325618830892</v>
      </c>
      <c r="AI4276">
        <v>92.496809243845306</v>
      </c>
      <c r="AJ4276">
        <v>59.657301894962401</v>
      </c>
      <c r="AK4276">
        <v>25.205939971898101</v>
      </c>
    </row>
    <row r="4277" spans="1:37" x14ac:dyDescent="0.2">
      <c r="A4277" t="str">
        <f>"20200111155633784"</f>
        <v>20200111155633784</v>
      </c>
      <c r="B4277" t="str">
        <f>"1578729393776895"</f>
        <v>1578729393776895</v>
      </c>
      <c r="C4277" t="s">
        <v>37</v>
      </c>
      <c r="D4277">
        <v>5.0048199999999996</v>
      </c>
      <c r="E4277">
        <v>0.65645310000000001</v>
      </c>
      <c r="F4277" t="s">
        <v>38</v>
      </c>
      <c r="G4277">
        <v>-220.89760000000001</v>
      </c>
      <c r="H4277" s="1">
        <v>-4.630139E-6</v>
      </c>
      <c r="I4277">
        <v>143.33459999999999</v>
      </c>
      <c r="J4277">
        <v>-199.38040000000001</v>
      </c>
      <c r="K4277">
        <v>1.0980859999999999</v>
      </c>
      <c r="L4277">
        <v>148.5829</v>
      </c>
      <c r="M4277">
        <v>-0.69176359999999903</v>
      </c>
      <c r="N4277">
        <v>0</v>
      </c>
      <c r="O4277">
        <v>-0.72196660000000001</v>
      </c>
      <c r="P4277">
        <v>-0.80685169999999995</v>
      </c>
      <c r="Q4277">
        <v>3.196703E-3</v>
      </c>
      <c r="R4277">
        <v>-0.59074579999999999</v>
      </c>
      <c r="S4277">
        <v>-3.1623380000000001</v>
      </c>
      <c r="T4277">
        <v>-0.16054160000000001</v>
      </c>
      <c r="U4277">
        <v>-0.78216549999999996</v>
      </c>
      <c r="V4277">
        <v>0.1741615</v>
      </c>
      <c r="W4277">
        <v>1.5138830000000001E-2</v>
      </c>
      <c r="X4277">
        <v>0.9846007</v>
      </c>
      <c r="Y4277">
        <v>0.53350940000000002</v>
      </c>
      <c r="Z4277">
        <v>4.5405569999999999E-2</v>
      </c>
      <c r="AA4277">
        <v>0.84457450000000001</v>
      </c>
      <c r="AB4277">
        <v>19</v>
      </c>
      <c r="AC4277">
        <v>-21.517199999999999</v>
      </c>
      <c r="AD4277">
        <v>-1.0980906301390001</v>
      </c>
      <c r="AE4277">
        <v>-5.2483000000000004</v>
      </c>
      <c r="AF4277">
        <v>11.876276694729301</v>
      </c>
      <c r="AG4277">
        <v>-1.0980906301390001</v>
      </c>
      <c r="AH4277">
        <v>18.630240405928198</v>
      </c>
      <c r="AI4277">
        <v>92.845345726211093</v>
      </c>
      <c r="AJ4277">
        <v>57.483586179004597</v>
      </c>
      <c r="AK4277">
        <v>22.120976667960399</v>
      </c>
    </row>
    <row r="4278" spans="1:37" x14ac:dyDescent="0.2">
      <c r="A4278" t="str">
        <f>"20200111155633813"</f>
        <v>20200111155633813</v>
      </c>
      <c r="B4278" t="str">
        <f>"1578729393807151"</f>
        <v>1578729393807151</v>
      </c>
      <c r="C4278" t="s">
        <v>37</v>
      </c>
      <c r="D4278">
        <v>5.8732139999999999</v>
      </c>
      <c r="E4278">
        <v>0.65645310000000001</v>
      </c>
      <c r="F4278" t="s">
        <v>38</v>
      </c>
      <c r="G4278">
        <v>-220.12139999999999</v>
      </c>
      <c r="H4278" s="1">
        <v>-4.9259569999999998E-6</v>
      </c>
      <c r="I4278">
        <v>143.51320000000001</v>
      </c>
      <c r="J4278">
        <v>-199.56739999999999</v>
      </c>
      <c r="K4278">
        <v>1.098131</v>
      </c>
      <c r="L4278">
        <v>148.4187</v>
      </c>
      <c r="M4278">
        <v>-0.70430179999999998</v>
      </c>
      <c r="N4278">
        <v>0</v>
      </c>
      <c r="O4278">
        <v>-0.709740699999999</v>
      </c>
      <c r="P4278">
        <v>-0.81710539999999998</v>
      </c>
      <c r="Q4278">
        <v>4.1178969999999997E-3</v>
      </c>
      <c r="R4278">
        <v>-0.57647419999999905</v>
      </c>
      <c r="S4278">
        <v>-3.1543269999999999</v>
      </c>
      <c r="T4278">
        <v>-0.1669996</v>
      </c>
      <c r="U4278">
        <v>-0.77101140000000001</v>
      </c>
      <c r="V4278">
        <v>0.1742329</v>
      </c>
      <c r="W4278">
        <v>1.607045E-2</v>
      </c>
      <c r="X4278">
        <v>0.98457340000000004</v>
      </c>
      <c r="Y4278">
        <v>0.52087229999999995</v>
      </c>
      <c r="Z4278">
        <v>4.6648000000000002E-2</v>
      </c>
      <c r="AA4278">
        <v>0.85235910000000004</v>
      </c>
      <c r="AB4278">
        <v>19</v>
      </c>
      <c r="AC4278">
        <v>-20.553999999999998</v>
      </c>
      <c r="AD4278">
        <v>-1.098135925957</v>
      </c>
      <c r="AE4278">
        <v>-4.9054999999999804</v>
      </c>
      <c r="AF4278">
        <v>11.1043339192078</v>
      </c>
      <c r="AG4278">
        <v>-1.098135925957</v>
      </c>
      <c r="AH4278">
        <v>17.9115198787567</v>
      </c>
      <c r="AI4278">
        <v>92.982851760803001</v>
      </c>
      <c r="AJ4278">
        <v>58.202955131977802</v>
      </c>
      <c r="AK4278">
        <v>21.102954263994501</v>
      </c>
    </row>
    <row r="4279" spans="1:37" x14ac:dyDescent="0.2">
      <c r="A4279" t="str">
        <f>"20200111155633848"</f>
        <v>20200111155633848</v>
      </c>
      <c r="B4279" t="str">
        <f>"1578729393837407"</f>
        <v>1578729393837407</v>
      </c>
      <c r="C4279" t="s">
        <v>37</v>
      </c>
      <c r="D4279">
        <v>5.9339909999999998</v>
      </c>
      <c r="E4279">
        <v>0.4933361</v>
      </c>
      <c r="F4279" t="s">
        <v>38</v>
      </c>
      <c r="G4279">
        <v>-220.64179999999999</v>
      </c>
      <c r="H4279" s="1">
        <v>-4.77438499999999E-6</v>
      </c>
      <c r="I4279">
        <v>143.65719999999999</v>
      </c>
      <c r="J4279">
        <v>-199.7936</v>
      </c>
      <c r="K4279">
        <v>1.098187</v>
      </c>
      <c r="L4279">
        <v>148.2278</v>
      </c>
      <c r="M4279">
        <v>-0.71893370000000001</v>
      </c>
      <c r="N4279">
        <v>0</v>
      </c>
      <c r="O4279">
        <v>-0.69491519999999996</v>
      </c>
      <c r="P4279">
        <v>-0.82879249999999904</v>
      </c>
      <c r="Q4279">
        <v>5.4216330000000004E-3</v>
      </c>
      <c r="R4279">
        <v>-0.55952969999999902</v>
      </c>
      <c r="S4279">
        <v>-3.1674349999999998</v>
      </c>
      <c r="T4279">
        <v>-0.16504669999999999</v>
      </c>
      <c r="U4279">
        <v>-0.71563719999999997</v>
      </c>
      <c r="V4279">
        <v>0.174007</v>
      </c>
      <c r="W4279">
        <v>1.7389680000000001E-2</v>
      </c>
      <c r="X4279">
        <v>0.98459089999999905</v>
      </c>
      <c r="Y4279">
        <v>0.51808529999999997</v>
      </c>
      <c r="Z4279">
        <v>4.5494399999999997E-2</v>
      </c>
      <c r="AA4279">
        <v>0.85411819999999905</v>
      </c>
      <c r="AB4279">
        <v>19</v>
      </c>
      <c r="AC4279">
        <v>-20.848199999999899</v>
      </c>
      <c r="AD4279">
        <v>-1.098191774385</v>
      </c>
      <c r="AE4279">
        <v>-4.5706000000000104</v>
      </c>
      <c r="AF4279">
        <v>11.173463970104301</v>
      </c>
      <c r="AG4279">
        <v>-1.098191774385</v>
      </c>
      <c r="AH4279">
        <v>18.118747893458998</v>
      </c>
      <c r="AI4279">
        <v>92.953262226265295</v>
      </c>
      <c r="AJ4279">
        <v>58.3387079921824</v>
      </c>
      <c r="AK4279">
        <v>21.315284363368701</v>
      </c>
    </row>
    <row r="4280" spans="1:37" x14ac:dyDescent="0.2">
      <c r="A4280" t="str">
        <f>"20200111155633861"</f>
        <v>20200111155633861</v>
      </c>
      <c r="B4280" t="str">
        <f>"1578729393856927"</f>
        <v>1578729393856927</v>
      </c>
      <c r="C4280" t="s">
        <v>37</v>
      </c>
      <c r="D4280">
        <v>5.9490949999999998</v>
      </c>
      <c r="E4280">
        <v>0.49121569999999998</v>
      </c>
      <c r="F4280" t="s">
        <v>55</v>
      </c>
      <c r="G4280">
        <v>-241.21770000000001</v>
      </c>
      <c r="H4280">
        <v>6.0695259999999998</v>
      </c>
      <c r="I4280">
        <v>119.4194</v>
      </c>
      <c r="J4280">
        <v>-199.88589999999999</v>
      </c>
      <c r="K4280">
        <v>1.098209</v>
      </c>
      <c r="L4280">
        <v>148.15199999999999</v>
      </c>
      <c r="M4280">
        <v>-0.72474919999999998</v>
      </c>
      <c r="N4280">
        <v>0</v>
      </c>
      <c r="O4280">
        <v>-0.68884820000000002</v>
      </c>
      <c r="P4280">
        <v>-0.83326829999999996</v>
      </c>
      <c r="Q4280">
        <v>5.2965019999999998E-3</v>
      </c>
      <c r="R4280">
        <v>-0.55284369999999905</v>
      </c>
      <c r="S4280">
        <v>-2.4618989999999998</v>
      </c>
      <c r="T4280">
        <v>0.29545459999999901</v>
      </c>
      <c r="U4280">
        <v>-1.7121279999999901</v>
      </c>
      <c r="V4280">
        <v>0.17365069999999999</v>
      </c>
      <c r="W4280">
        <v>1.7275249999999999E-2</v>
      </c>
      <c r="X4280">
        <v>0.98465579999999997</v>
      </c>
      <c r="Y4280">
        <v>0.14860090000000001</v>
      </c>
      <c r="Z4280">
        <v>-7.2961529999999997E-2</v>
      </c>
      <c r="AA4280">
        <v>0.98620200000000002</v>
      </c>
      <c r="AB4280">
        <v>19</v>
      </c>
      <c r="AC4280">
        <v>-41.331800000000001</v>
      </c>
      <c r="AD4280">
        <v>4.971317</v>
      </c>
      <c r="AE4280">
        <v>-28.732600000000001</v>
      </c>
      <c r="AF4280">
        <v>7.5743980816674998</v>
      </c>
      <c r="AG4280">
        <v>4.971317</v>
      </c>
      <c r="AH4280">
        <v>49.272653158438402</v>
      </c>
      <c r="AI4280">
        <v>84.305141498137701</v>
      </c>
      <c r="AJ4280">
        <v>81.260665001406494</v>
      </c>
      <c r="AK4280">
        <v>50.098701063858201</v>
      </c>
    </row>
    <row r="4281" spans="1:37" x14ac:dyDescent="0.2">
      <c r="A4281" t="str">
        <f>"20200111155633879"</f>
        <v>20200111155633879</v>
      </c>
      <c r="B4281" t="str">
        <f>"1578729393866688"</f>
        <v>1578729393866688</v>
      </c>
      <c r="C4281" t="s">
        <v>37</v>
      </c>
      <c r="D4281">
        <v>5.981439</v>
      </c>
      <c r="E4281">
        <v>0.4904654</v>
      </c>
      <c r="F4281" t="s">
        <v>55</v>
      </c>
      <c r="G4281">
        <v>-241.21780000000001</v>
      </c>
      <c r="H4281">
        <v>6.260955</v>
      </c>
      <c r="I4281">
        <v>119.565</v>
      </c>
      <c r="J4281">
        <v>-199.9958</v>
      </c>
      <c r="K4281">
        <v>1.098231</v>
      </c>
      <c r="L4281">
        <v>148.0634</v>
      </c>
      <c r="M4281">
        <v>-0.73155130000000002</v>
      </c>
      <c r="N4281">
        <v>0</v>
      </c>
      <c r="O4281">
        <v>-0.68162009999999995</v>
      </c>
      <c r="P4281">
        <v>-0.83863239999999994</v>
      </c>
      <c r="Q4281">
        <v>5.7669169999999999E-3</v>
      </c>
      <c r="R4281">
        <v>-0.54466729999999997</v>
      </c>
      <c r="S4281">
        <v>-2.4664919999999899</v>
      </c>
      <c r="T4281">
        <v>0.3080889</v>
      </c>
      <c r="U4281">
        <v>-1.7059329999999999</v>
      </c>
      <c r="V4281">
        <v>0.17351159999999999</v>
      </c>
      <c r="W4281">
        <v>1.775154E-2</v>
      </c>
      <c r="X4281">
        <v>0.98467179999999999</v>
      </c>
      <c r="Y4281">
        <v>0.1410959</v>
      </c>
      <c r="Z4281">
        <v>-7.5080659999999994E-2</v>
      </c>
      <c r="AA4281">
        <v>0.98714480000000004</v>
      </c>
      <c r="AB4281">
        <v>19</v>
      </c>
      <c r="AC4281">
        <v>-41.222000000000001</v>
      </c>
      <c r="AD4281">
        <v>5.1627239999999999</v>
      </c>
      <c r="AE4281">
        <v>-28.4984</v>
      </c>
      <c r="AF4281">
        <v>7.1743822022702597</v>
      </c>
      <c r="AG4281">
        <v>5.1627239999999999</v>
      </c>
      <c r="AH4281">
        <v>49.0659726080277</v>
      </c>
      <c r="AI4281">
        <v>84.056180794074905</v>
      </c>
      <c r="AJ4281">
        <v>81.681213875831403</v>
      </c>
      <c r="AK4281">
        <v>49.855743370810899</v>
      </c>
    </row>
    <row r="4282" spans="1:37" x14ac:dyDescent="0.2">
      <c r="A4282" t="str">
        <f>"20200111155633893"</f>
        <v>20200111155633893</v>
      </c>
      <c r="B4282" t="str">
        <f>"1578729393887183"</f>
        <v>1578729393887183</v>
      </c>
      <c r="C4282" t="s">
        <v>37</v>
      </c>
      <c r="D4282">
        <v>4.9611830000000001</v>
      </c>
      <c r="E4282">
        <v>0.4904654</v>
      </c>
      <c r="F4282" t="s">
        <v>74</v>
      </c>
      <c r="G4282">
        <v>-245.4195</v>
      </c>
      <c r="H4282">
        <v>6.9409839999999896</v>
      </c>
      <c r="I4282">
        <v>117.1737</v>
      </c>
      <c r="J4282">
        <v>-200.09530000000001</v>
      </c>
      <c r="K4282">
        <v>1.0982499999999999</v>
      </c>
      <c r="L4282">
        <v>147.98509999999999</v>
      </c>
      <c r="M4282">
        <v>-0.73759370000000002</v>
      </c>
      <c r="N4282">
        <v>0</v>
      </c>
      <c r="O4282">
        <v>-0.67507680000000003</v>
      </c>
      <c r="P4282">
        <v>-0.84342859999999997</v>
      </c>
      <c r="Q4282">
        <v>6.0089509999999898E-3</v>
      </c>
      <c r="R4282">
        <v>-0.53720780000000001</v>
      </c>
      <c r="S4282">
        <v>-2.479813</v>
      </c>
      <c r="T4282">
        <v>0.31897370000000003</v>
      </c>
      <c r="U4282">
        <v>-1.686356</v>
      </c>
      <c r="V4282">
        <v>0.1734762</v>
      </c>
      <c r="W4282">
        <v>1.7997550000000001E-2</v>
      </c>
      <c r="X4282">
        <v>0.98467359999999904</v>
      </c>
      <c r="Y4282">
        <v>0.1398634</v>
      </c>
      <c r="Z4282">
        <v>-7.7019829999999997E-2</v>
      </c>
      <c r="AA4282">
        <v>0.98717080000000001</v>
      </c>
      <c r="AB4282">
        <v>19</v>
      </c>
      <c r="AC4282">
        <v>-45.324199999999898</v>
      </c>
      <c r="AD4282">
        <v>5.8427339999999903</v>
      </c>
      <c r="AE4282">
        <v>-30.8113999999999</v>
      </c>
      <c r="AF4282">
        <v>7.7834518888055797</v>
      </c>
      <c r="AG4282">
        <v>5.8427339999999903</v>
      </c>
      <c r="AH4282">
        <v>53.6275567662328</v>
      </c>
      <c r="AI4282">
        <v>83.846113838944504</v>
      </c>
      <c r="AJ4282">
        <v>81.741810792537194</v>
      </c>
      <c r="AK4282">
        <v>54.503527487820698</v>
      </c>
    </row>
    <row r="4283" spans="1:37" x14ac:dyDescent="0.2">
      <c r="A4283" t="str">
        <f>"20200111155633959"</f>
        <v>20200111155633959</v>
      </c>
      <c r="B4283" t="str">
        <f>"1578729393957455"</f>
        <v>1578729393957455</v>
      </c>
      <c r="C4283" t="s">
        <v>37</v>
      </c>
      <c r="D4283">
        <v>5.0388599999999997</v>
      </c>
      <c r="E4283">
        <v>0.6731722</v>
      </c>
      <c r="F4283" t="s">
        <v>74</v>
      </c>
      <c r="G4283">
        <v>-245.4195</v>
      </c>
      <c r="H4283">
        <v>6.9070470000000004</v>
      </c>
      <c r="I4283">
        <v>117.7482</v>
      </c>
      <c r="J4283">
        <v>-200.5446</v>
      </c>
      <c r="K4283">
        <v>1.0983479999999901</v>
      </c>
      <c r="L4283">
        <v>147.64779999999999</v>
      </c>
      <c r="M4283">
        <v>-0.76369409999999904</v>
      </c>
      <c r="N4283">
        <v>0</v>
      </c>
      <c r="O4283">
        <v>-0.64540330000000001</v>
      </c>
      <c r="P4283">
        <v>-0.86230439999999997</v>
      </c>
      <c r="Q4283">
        <v>7.2058479999999999E-3</v>
      </c>
      <c r="R4283">
        <v>-0.5063396</v>
      </c>
      <c r="S4283">
        <v>-2.4946290000000002</v>
      </c>
      <c r="T4283">
        <v>0.31971509999999997</v>
      </c>
      <c r="U4283">
        <v>-1.6642299999999901</v>
      </c>
      <c r="V4283">
        <v>0.17019989999999999</v>
      </c>
      <c r="W4283">
        <v>1.926715E-2</v>
      </c>
      <c r="X4283">
        <v>0.98522119999999902</v>
      </c>
      <c r="Y4283">
        <v>0.1096597</v>
      </c>
      <c r="Z4283">
        <v>-7.3009060000000001E-2</v>
      </c>
      <c r="AA4283">
        <v>0.99128430000000001</v>
      </c>
      <c r="AB4283">
        <v>18</v>
      </c>
      <c r="AC4283">
        <v>-44.874899999999997</v>
      </c>
      <c r="AD4283">
        <v>5.8086989999999998</v>
      </c>
      <c r="AE4283">
        <v>-29.8995999999999</v>
      </c>
      <c r="AF4283">
        <v>6.0586491443222803</v>
      </c>
      <c r="AG4283">
        <v>5.8086989999999998</v>
      </c>
      <c r="AH4283">
        <v>52.959514676788103</v>
      </c>
      <c r="AI4283">
        <v>83.780954591147406</v>
      </c>
      <c r="AJ4283">
        <v>83.473648523320506</v>
      </c>
      <c r="AK4283">
        <v>53.620503618742099</v>
      </c>
    </row>
    <row r="4284" spans="1:37" x14ac:dyDescent="0.2">
      <c r="A4284" t="str">
        <f>"20200111155634057"</f>
        <v>20200111155634057</v>
      </c>
      <c r="B4284" t="str">
        <f>"1578729394047246"</f>
        <v>1578729394047246</v>
      </c>
      <c r="C4284" t="s">
        <v>37</v>
      </c>
      <c r="D4284">
        <v>5.0034339999999897</v>
      </c>
      <c r="E4284">
        <v>0.67034490000000002</v>
      </c>
      <c r="F4284" t="s">
        <v>38</v>
      </c>
      <c r="G4284">
        <v>-237.5874</v>
      </c>
      <c r="H4284" s="1">
        <v>-2.1591050000000001E-6</v>
      </c>
      <c r="I4284">
        <v>143.9075</v>
      </c>
      <c r="J4284">
        <v>-201.23099999999999</v>
      </c>
      <c r="K4284">
        <v>1.098484</v>
      </c>
      <c r="L4284">
        <v>147.18340000000001</v>
      </c>
      <c r="M4284">
        <v>-0.80001619999999996</v>
      </c>
      <c r="N4284">
        <v>0</v>
      </c>
      <c r="O4284">
        <v>-0.59979079999999996</v>
      </c>
      <c r="P4284">
        <v>-0.88506649999999998</v>
      </c>
      <c r="Q4284">
        <v>8.361996E-3</v>
      </c>
      <c r="R4284">
        <v>-0.46538970000000002</v>
      </c>
      <c r="S4284">
        <v>-3.2850949999999899</v>
      </c>
      <c r="T4284">
        <v>-9.740567E-2</v>
      </c>
      <c r="U4284">
        <v>-0.33169559999999998</v>
      </c>
      <c r="V4284">
        <v>0.15890299999999999</v>
      </c>
      <c r="W4284">
        <v>2.0644929999999999E-2</v>
      </c>
      <c r="X4284">
        <v>0.98707829999999996</v>
      </c>
      <c r="Y4284">
        <v>0.51599640000000002</v>
      </c>
      <c r="Z4284">
        <v>2.4250999999999901E-2</v>
      </c>
      <c r="AA4284">
        <v>0.85624739999999999</v>
      </c>
      <c r="AB4284">
        <v>18</v>
      </c>
      <c r="AC4284">
        <v>-36.356400000000001</v>
      </c>
      <c r="AD4284">
        <v>-1.0984861591049999</v>
      </c>
      <c r="AE4284">
        <v>-3.2759</v>
      </c>
      <c r="AF4284">
        <v>19.170260870731401</v>
      </c>
      <c r="AG4284">
        <v>-1.0984861591049999</v>
      </c>
      <c r="AH4284">
        <v>31.0259628442119</v>
      </c>
      <c r="AI4284">
        <v>91.725211253719806</v>
      </c>
      <c r="AJ4284">
        <v>58.288991936188303</v>
      </c>
      <c r="AK4284">
        <v>36.487202470236902</v>
      </c>
    </row>
    <row r="4285" spans="1:37" x14ac:dyDescent="0.2">
      <c r="A4285" t="str">
        <f>"20200111155634159"</f>
        <v>20200111155634159</v>
      </c>
      <c r="B4285" t="str">
        <f>"1578729394146802"</f>
        <v>1578729394146802</v>
      </c>
      <c r="C4285" t="s">
        <v>37</v>
      </c>
      <c r="D4285">
        <v>4.8556850000000003</v>
      </c>
      <c r="E4285">
        <v>0.61004890000000001</v>
      </c>
      <c r="F4285" t="s">
        <v>38</v>
      </c>
      <c r="G4285">
        <v>-239.34729999999999</v>
      </c>
      <c r="H4285" s="1">
        <v>-1.6677299999999999E-6</v>
      </c>
      <c r="I4285">
        <v>144.8982</v>
      </c>
      <c r="J4285">
        <v>-201.95920000000001</v>
      </c>
      <c r="K4285">
        <v>1.0988039999999999</v>
      </c>
      <c r="L4285">
        <v>146.75020000000001</v>
      </c>
      <c r="M4285">
        <v>-0.83395549999999996</v>
      </c>
      <c r="N4285">
        <v>0</v>
      </c>
      <c r="O4285">
        <v>-0.55162990000000001</v>
      </c>
      <c r="P4285">
        <v>-0.90447960000000005</v>
      </c>
      <c r="Q4285">
        <v>1.122136E-2</v>
      </c>
      <c r="R4285">
        <v>-0.42636949999999901</v>
      </c>
      <c r="S4285">
        <v>-3.2868499999999998</v>
      </c>
      <c r="T4285">
        <v>-9.4724890000000006E-2</v>
      </c>
      <c r="U4285">
        <v>-0.197052</v>
      </c>
      <c r="V4285">
        <v>0.1437602</v>
      </c>
      <c r="W4285">
        <v>2.380987E-2</v>
      </c>
      <c r="X4285">
        <v>0.98932609999999999</v>
      </c>
      <c r="Y4285">
        <v>0.50037849999999995</v>
      </c>
      <c r="Z4285">
        <v>2.2301049999999999E-2</v>
      </c>
      <c r="AA4285">
        <v>0.8655195</v>
      </c>
      <c r="AB4285">
        <v>18</v>
      </c>
      <c r="AC4285">
        <v>-37.388099999999902</v>
      </c>
      <c r="AD4285">
        <v>-1.09880566773</v>
      </c>
      <c r="AE4285">
        <v>-1.8520000000000001</v>
      </c>
      <c r="AF4285">
        <v>19.065605850815501</v>
      </c>
      <c r="AG4285">
        <v>-1.09880566773</v>
      </c>
      <c r="AH4285">
        <v>32.177491646102098</v>
      </c>
      <c r="AI4285">
        <v>91.682779086533202</v>
      </c>
      <c r="AJ4285">
        <v>59.3526759685465</v>
      </c>
      <c r="AK4285">
        <v>37.417852276541197</v>
      </c>
    </row>
    <row r="4286" spans="1:37" x14ac:dyDescent="0.2">
      <c r="A4286" t="str">
        <f>"20200111155634181"</f>
        <v>20200111155634181</v>
      </c>
      <c r="B4286" t="str">
        <f>"1578729394177063"</f>
        <v>1578729394177063</v>
      </c>
      <c r="C4286" t="s">
        <v>37</v>
      </c>
      <c r="D4286">
        <v>4.6370040000000001</v>
      </c>
      <c r="E4286">
        <v>0.60974799999999996</v>
      </c>
      <c r="F4286" t="s">
        <v>38</v>
      </c>
      <c r="G4286">
        <v>-233.13509999999999</v>
      </c>
      <c r="H4286" s="1">
        <v>-3.5106119999999998E-6</v>
      </c>
      <c r="I4286">
        <v>141.80850000000001</v>
      </c>
      <c r="J4286">
        <v>-202.1232</v>
      </c>
      <c r="K4286">
        <v>1.098927</v>
      </c>
      <c r="L4286">
        <v>146.6602</v>
      </c>
      <c r="M4286">
        <v>-0.84090279999999995</v>
      </c>
      <c r="N4286">
        <v>0</v>
      </c>
      <c r="O4286">
        <v>-0.54098109999999999</v>
      </c>
      <c r="P4286">
        <v>-0.90815990000000002</v>
      </c>
      <c r="Q4286">
        <v>1.3889210000000001E-2</v>
      </c>
      <c r="R4286">
        <v>-0.41839340000000003</v>
      </c>
      <c r="S4286">
        <v>-3.087494</v>
      </c>
      <c r="T4286">
        <v>-0.10882</v>
      </c>
      <c r="U4286">
        <v>-0.48939510000000003</v>
      </c>
      <c r="V4286">
        <v>0.13989779999999999</v>
      </c>
      <c r="W4286">
        <v>2.6552719999999998E-2</v>
      </c>
      <c r="X4286">
        <v>0.98980990000000002</v>
      </c>
      <c r="Y4286">
        <v>0.4021767</v>
      </c>
      <c r="Z4286">
        <v>2.4972390000000001E-2</v>
      </c>
      <c r="AA4286">
        <v>0.91522150000000002</v>
      </c>
      <c r="AB4286">
        <v>18</v>
      </c>
      <c r="AC4286">
        <v>-31.011900000000001</v>
      </c>
      <c r="AD4286">
        <v>-1.098930510612</v>
      </c>
      <c r="AE4286">
        <v>-4.8516999999999904</v>
      </c>
      <c r="AF4286">
        <v>12.6829074581778</v>
      </c>
      <c r="AG4286">
        <v>-1.098930510612</v>
      </c>
      <c r="AH4286">
        <v>28.670715543033602</v>
      </c>
      <c r="AI4286">
        <v>92.007557134144903</v>
      </c>
      <c r="AJ4286">
        <v>66.137101408022204</v>
      </c>
      <c r="AK4286">
        <v>31.3699493083653</v>
      </c>
    </row>
    <row r="4287" spans="1:37" x14ac:dyDescent="0.2">
      <c r="A4287" t="str">
        <f>"20200111155634225"</f>
        <v>20200111155634225</v>
      </c>
      <c r="B4287" t="str">
        <f>"1578729394217079"</f>
        <v>1578729394217079</v>
      </c>
      <c r="C4287" t="s">
        <v>37</v>
      </c>
      <c r="D4287">
        <v>4.754016</v>
      </c>
      <c r="E4287">
        <v>0.60971209999999998</v>
      </c>
      <c r="F4287" t="s">
        <v>38</v>
      </c>
      <c r="G4287">
        <v>-238.41669999999999</v>
      </c>
      <c r="H4287" s="1">
        <v>-1.084471E-6</v>
      </c>
      <c r="I4287">
        <v>141.20570000000001</v>
      </c>
      <c r="J4287">
        <v>-202.4485</v>
      </c>
      <c r="K4287">
        <v>1.09917</v>
      </c>
      <c r="L4287">
        <v>146.4888</v>
      </c>
      <c r="M4287">
        <v>-0.85389930000000003</v>
      </c>
      <c r="N4287">
        <v>0</v>
      </c>
      <c r="O4287">
        <v>-0.52022699999999999</v>
      </c>
      <c r="P4287">
        <v>-0.91572619999999905</v>
      </c>
      <c r="Q4287">
        <v>1.5843779999999998E-2</v>
      </c>
      <c r="R4287">
        <v>-0.40149089999999998</v>
      </c>
      <c r="S4287">
        <v>-3.090805</v>
      </c>
      <c r="T4287">
        <v>-9.3586440000000007E-2</v>
      </c>
      <c r="U4287">
        <v>-0.46450809999999998</v>
      </c>
      <c r="V4287">
        <v>0.13399169999999999</v>
      </c>
      <c r="W4287">
        <v>2.8621879999999999E-2</v>
      </c>
      <c r="X4287">
        <v>0.99056909999999898</v>
      </c>
      <c r="Y4287">
        <v>0.38720659999999901</v>
      </c>
      <c r="Z4287">
        <v>2.072527E-2</v>
      </c>
      <c r="AA4287">
        <v>0.92176000000000002</v>
      </c>
      <c r="AB4287">
        <v>18</v>
      </c>
      <c r="AC4287">
        <v>-35.968200000000003</v>
      </c>
      <c r="AD4287">
        <v>-1.0991710844710001</v>
      </c>
      <c r="AE4287">
        <v>-5.2830999999999904</v>
      </c>
      <c r="AF4287">
        <v>14.188983624018499</v>
      </c>
      <c r="AG4287">
        <v>-1.0991710844710001</v>
      </c>
      <c r="AH4287">
        <v>33.434746234957302</v>
      </c>
      <c r="AI4287">
        <v>91.733398883134697</v>
      </c>
      <c r="AJ4287">
        <v>67.004681721724893</v>
      </c>
      <c r="AK4287">
        <v>36.337552052272201</v>
      </c>
    </row>
    <row r="4288" spans="1:37" x14ac:dyDescent="0.2">
      <c r="A4288" t="str">
        <f>"20200111155634248"</f>
        <v>20200111155634248</v>
      </c>
      <c r="B4288" t="str">
        <f>"1578729394236598"</f>
        <v>1578729394236598</v>
      </c>
      <c r="C4288" t="s">
        <v>37</v>
      </c>
      <c r="D4288">
        <v>4.7318910000000001</v>
      </c>
      <c r="E4288">
        <v>0.60886379999999996</v>
      </c>
      <c r="F4288" t="s">
        <v>38</v>
      </c>
      <c r="G4288">
        <v>-244.7783</v>
      </c>
      <c r="H4288" s="1">
        <v>-2.5700419999999998E-6</v>
      </c>
      <c r="I4288">
        <v>140.92269999999999</v>
      </c>
      <c r="J4288">
        <v>-202.6163</v>
      </c>
      <c r="K4288">
        <v>1.099332</v>
      </c>
      <c r="L4288">
        <v>146.40389999999999</v>
      </c>
      <c r="M4288">
        <v>-0.86016019999999904</v>
      </c>
      <c r="N4288">
        <v>0</v>
      </c>
      <c r="O4288">
        <v>-0.50980959999999997</v>
      </c>
      <c r="P4288">
        <v>-0.92009660000000004</v>
      </c>
      <c r="Q4288">
        <v>1.45414999999999E-2</v>
      </c>
      <c r="R4288">
        <v>-0.39142149999999998</v>
      </c>
      <c r="S4288">
        <v>-3.098862</v>
      </c>
      <c r="T4288">
        <v>-8.0467940000000002E-2</v>
      </c>
      <c r="U4288">
        <v>-0.40747070000000002</v>
      </c>
      <c r="V4288">
        <v>0.132797</v>
      </c>
      <c r="W4288">
        <v>2.7348750000000002E-2</v>
      </c>
      <c r="X4288">
        <v>0.99076589999999998</v>
      </c>
      <c r="Y4288">
        <v>0.3930824</v>
      </c>
      <c r="Z4288">
        <v>1.7658989999999999E-2</v>
      </c>
      <c r="AA4288">
        <v>0.91933359999999997</v>
      </c>
      <c r="AB4288">
        <v>18</v>
      </c>
      <c r="AC4288">
        <v>-42.161999999999999</v>
      </c>
      <c r="AD4288">
        <v>-1.0993345700420001</v>
      </c>
      <c r="AE4288">
        <v>-5.4812000000000003</v>
      </c>
      <c r="AF4288">
        <v>16.770504580194402</v>
      </c>
      <c r="AG4288">
        <v>-1.0993345700420001</v>
      </c>
      <c r="AH4288">
        <v>39.0386132225685</v>
      </c>
      <c r="AI4288">
        <v>91.482126848293703</v>
      </c>
      <c r="AJ4288">
        <v>66.752239236530201</v>
      </c>
      <c r="AK4288">
        <v>42.5026079518953</v>
      </c>
    </row>
    <row r="4289" spans="1:37" x14ac:dyDescent="0.2">
      <c r="A4289" t="str">
        <f>"20200111155634270"</f>
        <v>20200111155634270</v>
      </c>
      <c r="B4289" t="str">
        <f>"1578729394266855"</f>
        <v>1578729394266855</v>
      </c>
      <c r="C4289" t="s">
        <v>37</v>
      </c>
      <c r="D4289">
        <v>4.8002529999999997</v>
      </c>
      <c r="E4289">
        <v>0.60740179999999999</v>
      </c>
      <c r="F4289" t="s">
        <v>38</v>
      </c>
      <c r="G4289">
        <v>-242.1651</v>
      </c>
      <c r="H4289" s="1">
        <v>-3.8608139999999902E-6</v>
      </c>
      <c r="I4289">
        <v>141.5607</v>
      </c>
      <c r="J4289">
        <v>-202.77940000000001</v>
      </c>
      <c r="K4289">
        <v>1.099531</v>
      </c>
      <c r="L4289">
        <v>146.32329999999999</v>
      </c>
      <c r="M4289">
        <v>-0.8659367</v>
      </c>
      <c r="N4289">
        <v>0</v>
      </c>
      <c r="O4289">
        <v>-0.49993670000000001</v>
      </c>
      <c r="P4289">
        <v>-0.92433149999999997</v>
      </c>
      <c r="Q4289">
        <v>1.375525E-2</v>
      </c>
      <c r="R4289">
        <v>-0.38134279999999998</v>
      </c>
      <c r="S4289">
        <v>-3.1003720000000001</v>
      </c>
      <c r="T4289">
        <v>-8.6180809999999997E-2</v>
      </c>
      <c r="U4289">
        <v>-0.37966919999999998</v>
      </c>
      <c r="V4289">
        <v>0.13227139999999901</v>
      </c>
      <c r="W4289">
        <v>2.6584179999999999E-2</v>
      </c>
      <c r="X4289">
        <v>0.99085699999999999</v>
      </c>
      <c r="Y4289">
        <v>0.39069619999999999</v>
      </c>
      <c r="Z4289">
        <v>1.865234E-2</v>
      </c>
      <c r="AA4289">
        <v>0.92033069999999895</v>
      </c>
      <c r="AB4289">
        <v>18</v>
      </c>
      <c r="AC4289">
        <v>-39.3856999999999</v>
      </c>
      <c r="AD4289">
        <v>-1.0995348608140001</v>
      </c>
      <c r="AE4289">
        <v>-4.7625999999999902</v>
      </c>
      <c r="AF4289">
        <v>15.555986337221899</v>
      </c>
      <c r="AG4289">
        <v>-1.0995348608140001</v>
      </c>
      <c r="AH4289">
        <v>36.462471688314899</v>
      </c>
      <c r="AI4289">
        <v>91.588777329462502</v>
      </c>
      <c r="AJ4289">
        <v>66.895447750190897</v>
      </c>
      <c r="AK4289">
        <v>39.657401950394402</v>
      </c>
    </row>
    <row r="4290" spans="1:37" x14ac:dyDescent="0.2">
      <c r="A4290" t="str">
        <f>"20200111155634293"</f>
        <v>20200111155634293</v>
      </c>
      <c r="B4290" t="str">
        <f>"1578729394287351"</f>
        <v>1578729394287351</v>
      </c>
      <c r="C4290" t="s">
        <v>37</v>
      </c>
      <c r="D4290">
        <v>4.7596280000000002</v>
      </c>
      <c r="E4290">
        <v>0.60697509999999999</v>
      </c>
      <c r="F4290" t="s">
        <v>38</v>
      </c>
      <c r="G4290">
        <v>-239.95310000000001</v>
      </c>
      <c r="H4290" s="1">
        <v>-6.4846729999999998E-7</v>
      </c>
      <c r="I4290">
        <v>142.04419999999999</v>
      </c>
      <c r="J4290">
        <v>-202.94820000000001</v>
      </c>
      <c r="K4290">
        <v>1.0997840000000001</v>
      </c>
      <c r="L4290">
        <v>146.24189999999999</v>
      </c>
      <c r="M4290">
        <v>-0.87157759999999995</v>
      </c>
      <c r="N4290">
        <v>0</v>
      </c>
      <c r="O4290">
        <v>-0.49003849999999999</v>
      </c>
      <c r="P4290">
        <v>-0.92871959999999998</v>
      </c>
      <c r="Q4290">
        <v>1.250473E-2</v>
      </c>
      <c r="R4290">
        <v>-0.37057230000000002</v>
      </c>
      <c r="S4290">
        <v>-3.0997469999999998</v>
      </c>
      <c r="T4290">
        <v>-9.1685059999999999E-2</v>
      </c>
      <c r="U4290">
        <v>-0.3568115</v>
      </c>
      <c r="V4290">
        <v>0.13247439999999999</v>
      </c>
      <c r="W4290">
        <v>2.5349590000000002E-2</v>
      </c>
      <c r="X4290">
        <v>0.99086219999999903</v>
      </c>
      <c r="Y4290">
        <v>0.3868375</v>
      </c>
      <c r="Z4290">
        <v>1.9551289999999999E-2</v>
      </c>
      <c r="AA4290">
        <v>0.921940599999999</v>
      </c>
      <c r="AB4290">
        <v>18</v>
      </c>
      <c r="AC4290">
        <v>-37.0048999999999</v>
      </c>
      <c r="AD4290">
        <v>-1.0997846484673</v>
      </c>
      <c r="AE4290">
        <v>-4.1976999999999904</v>
      </c>
      <c r="AF4290">
        <v>14.464145427815</v>
      </c>
      <c r="AG4290">
        <v>-1.0997846484673</v>
      </c>
      <c r="AH4290">
        <v>34.283464154654098</v>
      </c>
      <c r="AI4290">
        <v>91.692960466078105</v>
      </c>
      <c r="AJ4290">
        <v>67.125187081991498</v>
      </c>
      <c r="AK4290">
        <v>37.226025085596198</v>
      </c>
    </row>
    <row r="4291" spans="1:37" x14ac:dyDescent="0.2">
      <c r="A4291" t="str">
        <f>"20200111155634316"</f>
        <v>20200111155634316</v>
      </c>
      <c r="B4291" t="str">
        <f>"1578729394306871"</f>
        <v>1578729394306871</v>
      </c>
      <c r="C4291" t="s">
        <v>37</v>
      </c>
      <c r="D4291">
        <v>4.841926</v>
      </c>
      <c r="E4291">
        <v>0.60502809999999996</v>
      </c>
      <c r="F4291" t="s">
        <v>38</v>
      </c>
      <c r="G4291">
        <v>-238.3648</v>
      </c>
      <c r="H4291" s="1">
        <v>-1.4623110000000001E-6</v>
      </c>
      <c r="I4291">
        <v>142.5421</v>
      </c>
      <c r="J4291">
        <v>-203.12309999999999</v>
      </c>
      <c r="K4291">
        <v>1.100087</v>
      </c>
      <c r="L4291">
        <v>146.15940000000001</v>
      </c>
      <c r="M4291">
        <v>-0.87706620000000002</v>
      </c>
      <c r="N4291">
        <v>0</v>
      </c>
      <c r="O4291">
        <v>-0.48014799999999902</v>
      </c>
      <c r="P4291">
        <v>-0.933002</v>
      </c>
      <c r="Q4291">
        <v>1.053071E-2</v>
      </c>
      <c r="R4291">
        <v>-0.35971750000000002</v>
      </c>
      <c r="S4291">
        <v>-3.1022189999999998</v>
      </c>
      <c r="T4291">
        <v>-9.6332550000000003E-2</v>
      </c>
      <c r="U4291">
        <v>-0.32406620000000003</v>
      </c>
      <c r="V4291">
        <v>0.13278760000000001</v>
      </c>
      <c r="W4291">
        <v>2.3395610000000001E-2</v>
      </c>
      <c r="X4291">
        <v>0.99086830000000004</v>
      </c>
      <c r="Y4291">
        <v>0.38607259999999999</v>
      </c>
      <c r="Z4291">
        <v>2.026623E-2</v>
      </c>
      <c r="AA4291">
        <v>0.92224569999999995</v>
      </c>
      <c r="AB4291">
        <v>18</v>
      </c>
      <c r="AC4291">
        <v>-35.241700000000002</v>
      </c>
      <c r="AD4291">
        <v>-1.1000884623110001</v>
      </c>
      <c r="AE4291">
        <v>-3.6173000000000002</v>
      </c>
      <c r="AF4291">
        <v>13.7368373935752</v>
      </c>
      <c r="AG4291">
        <v>-1.1000884623110001</v>
      </c>
      <c r="AH4291">
        <v>32.618164933823302</v>
      </c>
      <c r="AI4291">
        <v>91.780313030139297</v>
      </c>
      <c r="AJ4291">
        <v>67.162059002513004</v>
      </c>
      <c r="AK4291">
        <v>35.409823211257802</v>
      </c>
    </row>
    <row r="4292" spans="1:37" x14ac:dyDescent="0.2">
      <c r="A4292" t="str">
        <f>"20200111155634337"</f>
        <v>20200111155634337</v>
      </c>
      <c r="B4292" t="str">
        <f>"1578729394327367"</f>
        <v>1578729394327367</v>
      </c>
      <c r="C4292" t="s">
        <v>37</v>
      </c>
      <c r="D4292">
        <v>4.8302800000000001</v>
      </c>
      <c r="E4292">
        <v>0.60338630000000004</v>
      </c>
      <c r="F4292" t="s">
        <v>38</v>
      </c>
      <c r="G4292">
        <v>-235.833</v>
      </c>
      <c r="H4292" s="1">
        <v>-2.6625470000000002E-6</v>
      </c>
      <c r="I4292">
        <v>142.9709</v>
      </c>
      <c r="J4292">
        <v>-203.279</v>
      </c>
      <c r="K4292">
        <v>1.100371</v>
      </c>
      <c r="L4292">
        <v>146.0873</v>
      </c>
      <c r="M4292">
        <v>-0.88163329999999995</v>
      </c>
      <c r="N4292">
        <v>0</v>
      </c>
      <c r="O4292">
        <v>-0.47171179999999902</v>
      </c>
      <c r="P4292">
        <v>-0.93624439999999998</v>
      </c>
      <c r="Q4292">
        <v>8.9896939999999995E-3</v>
      </c>
      <c r="R4292">
        <v>-0.35123399999999999</v>
      </c>
      <c r="S4292">
        <v>-3.100082</v>
      </c>
      <c r="T4292">
        <v>-0.1042613</v>
      </c>
      <c r="U4292">
        <v>-0.30218509999999998</v>
      </c>
      <c r="V4292">
        <v>0.13224710000000001</v>
      </c>
      <c r="W4292">
        <v>2.188586E-2</v>
      </c>
      <c r="X4292">
        <v>0.9909751</v>
      </c>
      <c r="Y4292">
        <v>0.38353700000000002</v>
      </c>
      <c r="Z4292">
        <v>2.1669979999999998E-2</v>
      </c>
      <c r="AA4292">
        <v>0.92327119999999996</v>
      </c>
      <c r="AB4292">
        <v>18</v>
      </c>
      <c r="AC4292">
        <v>-32.553999999999903</v>
      </c>
      <c r="AD4292">
        <v>-1.100373662547</v>
      </c>
      <c r="AE4292">
        <v>-3.1163999999999898</v>
      </c>
      <c r="AF4292">
        <v>12.595652099746699</v>
      </c>
      <c r="AG4292">
        <v>-1.100373662547</v>
      </c>
      <c r="AH4292">
        <v>30.1397889027198</v>
      </c>
      <c r="AI4292">
        <v>91.929322170649002</v>
      </c>
      <c r="AJ4292">
        <v>67.319570793838693</v>
      </c>
      <c r="AK4292">
        <v>32.684371634094397</v>
      </c>
    </row>
    <row r="4293" spans="1:37" x14ac:dyDescent="0.2">
      <c r="A4293" t="str">
        <f>"20200111155634359"</f>
        <v>20200111155634359</v>
      </c>
      <c r="B4293" t="str">
        <f>"1578729394356647"</f>
        <v>1578729394356647</v>
      </c>
      <c r="C4293" t="s">
        <v>37</v>
      </c>
      <c r="D4293">
        <v>5.0265079999999998</v>
      </c>
      <c r="E4293">
        <v>0.60179550000000004</v>
      </c>
      <c r="F4293" t="s">
        <v>38</v>
      </c>
      <c r="G4293">
        <v>-234.49930000000001</v>
      </c>
      <c r="H4293" s="1">
        <v>-3.296763E-6</v>
      </c>
      <c r="I4293">
        <v>143.20419999999999</v>
      </c>
      <c r="J4293">
        <v>-203.44460000000001</v>
      </c>
      <c r="K4293">
        <v>1.100687</v>
      </c>
      <c r="L4293">
        <v>146.012</v>
      </c>
      <c r="M4293">
        <v>-0.88614959999999898</v>
      </c>
      <c r="N4293">
        <v>0</v>
      </c>
      <c r="O4293">
        <v>-0.463174799999999</v>
      </c>
      <c r="P4293">
        <v>-0.93922039999999996</v>
      </c>
      <c r="Q4293">
        <v>9.06390199999999E-3</v>
      </c>
      <c r="R4293">
        <v>-0.3431958</v>
      </c>
      <c r="S4293">
        <v>-3.0979919999999899</v>
      </c>
      <c r="T4293">
        <v>-0.1091903</v>
      </c>
      <c r="U4293">
        <v>-0.28608699999999998</v>
      </c>
      <c r="V4293">
        <v>0.13115209999999999</v>
      </c>
      <c r="W4293">
        <v>2.1997409999999998E-2</v>
      </c>
      <c r="X4293">
        <v>0.99111819999999895</v>
      </c>
      <c r="Y4293">
        <v>0.379270099999999</v>
      </c>
      <c r="Z4293">
        <v>2.237753E-2</v>
      </c>
      <c r="AA4293">
        <v>0.92501540000000004</v>
      </c>
      <c r="AB4293">
        <v>18</v>
      </c>
      <c r="AC4293">
        <v>-31.0547</v>
      </c>
      <c r="AD4293">
        <v>-1.1006902967629999</v>
      </c>
      <c r="AE4293">
        <v>-2.8078000000000101</v>
      </c>
      <c r="AF4293">
        <v>11.8820551184383</v>
      </c>
      <c r="AG4293">
        <v>-1.1006902967629999</v>
      </c>
      <c r="AH4293">
        <v>28.786739693926801</v>
      </c>
      <c r="AI4293">
        <v>92.024196148915294</v>
      </c>
      <c r="AJ4293">
        <v>67.571054215305296</v>
      </c>
      <c r="AK4293">
        <v>31.162014299029099</v>
      </c>
    </row>
    <row r="4294" spans="1:37" x14ac:dyDescent="0.2">
      <c r="A4294" t="str">
        <f>"20200111155634382"</f>
        <v>20200111155634382</v>
      </c>
      <c r="B4294" t="str">
        <f>"1578729394377143"</f>
        <v>1578729394377143</v>
      </c>
      <c r="C4294" t="s">
        <v>37</v>
      </c>
      <c r="D4294">
        <v>4.9994649999999998</v>
      </c>
      <c r="E4294">
        <v>0.58326690000000003</v>
      </c>
      <c r="F4294" t="s">
        <v>38</v>
      </c>
      <c r="G4294">
        <v>-234.87389999999999</v>
      </c>
      <c r="H4294" s="1">
        <v>-3.1506369999999999E-6</v>
      </c>
      <c r="I4294">
        <v>143.25899999999999</v>
      </c>
      <c r="J4294">
        <v>-203.6206</v>
      </c>
      <c r="K4294">
        <v>1.10102099999999</v>
      </c>
      <c r="L4294">
        <v>145.93350000000001</v>
      </c>
      <c r="M4294">
        <v>-0.89056800000000003</v>
      </c>
      <c r="N4294">
        <v>0</v>
      </c>
      <c r="O4294">
        <v>-0.45462409999999998</v>
      </c>
      <c r="P4294">
        <v>-0.94197609999999998</v>
      </c>
      <c r="Q4294">
        <v>1.273796E-2</v>
      </c>
      <c r="R4294">
        <v>-0.33543840000000003</v>
      </c>
      <c r="S4294">
        <v>-3.0960999999999999</v>
      </c>
      <c r="T4294">
        <v>-0.1084291</v>
      </c>
      <c r="U4294">
        <v>-0.27119450000000001</v>
      </c>
      <c r="V4294">
        <v>0.1297827</v>
      </c>
      <c r="W4294">
        <v>2.570424E-2</v>
      </c>
      <c r="X4294">
        <v>0.99120919999999901</v>
      </c>
      <c r="Y4294">
        <v>0.3747357</v>
      </c>
      <c r="Z4294">
        <v>2.1897779999999999E-2</v>
      </c>
      <c r="AA4294">
        <v>0.92687310000000001</v>
      </c>
      <c r="AB4294">
        <v>18</v>
      </c>
      <c r="AC4294">
        <v>-31.253299999999999</v>
      </c>
      <c r="AD4294">
        <v>-1.10102415063699</v>
      </c>
      <c r="AE4294">
        <v>-2.6745000000000201</v>
      </c>
      <c r="AF4294">
        <v>11.813340244911201</v>
      </c>
      <c r="AG4294">
        <v>-1.10102415063699</v>
      </c>
      <c r="AH4294">
        <v>29.016317278575201</v>
      </c>
      <c r="AI4294">
        <v>92.012775100114297</v>
      </c>
      <c r="AJ4294">
        <v>67.847410841545596</v>
      </c>
      <c r="AK4294">
        <v>31.348268378544699</v>
      </c>
    </row>
    <row r="4295" spans="1:37" x14ac:dyDescent="0.2">
      <c r="A4295" t="str">
        <f>"20200111155634404"</f>
        <v>20200111155634404</v>
      </c>
      <c r="B4295" t="str">
        <f>"1578729394396663"</f>
        <v>1578729394396663</v>
      </c>
      <c r="C4295" t="s">
        <v>37</v>
      </c>
      <c r="D4295">
        <v>4.9451720000000003</v>
      </c>
      <c r="E4295">
        <v>0.58063769999999904</v>
      </c>
      <c r="F4295" t="s">
        <v>38</v>
      </c>
      <c r="G4295">
        <v>-237.29769999999999</v>
      </c>
      <c r="H4295" s="1">
        <v>-1.68992E-6</v>
      </c>
      <c r="I4295">
        <v>141.6771</v>
      </c>
      <c r="J4295">
        <v>-203.7834</v>
      </c>
      <c r="K4295">
        <v>1.1012789999999999</v>
      </c>
      <c r="L4295">
        <v>145.86199999999999</v>
      </c>
      <c r="M4295">
        <v>-0.89438220000000002</v>
      </c>
      <c r="N4295">
        <v>0</v>
      </c>
      <c r="O4295">
        <v>-0.44707599999999997</v>
      </c>
      <c r="P4295">
        <v>-0.94395149999999906</v>
      </c>
      <c r="Q4295">
        <v>1.409067E-2</v>
      </c>
      <c r="R4295">
        <v>-0.32978390000000002</v>
      </c>
      <c r="S4295">
        <v>-3.04893499999999</v>
      </c>
      <c r="T4295">
        <v>-9.9680299999999999E-2</v>
      </c>
      <c r="U4295">
        <v>-0.38534550000000001</v>
      </c>
      <c r="V4295">
        <v>0.1273292</v>
      </c>
      <c r="W4295">
        <v>2.7085149999999999E-2</v>
      </c>
      <c r="X4295">
        <v>0.991490599999999</v>
      </c>
      <c r="Y4295">
        <v>0.33104459999999902</v>
      </c>
      <c r="Z4295">
        <v>1.9438759999999999E-2</v>
      </c>
      <c r="AA4295">
        <v>0.94341489999999995</v>
      </c>
      <c r="AB4295">
        <v>18</v>
      </c>
      <c r="AC4295">
        <v>-33.514299999999899</v>
      </c>
      <c r="AD4295">
        <v>-1.1012806899200001</v>
      </c>
      <c r="AE4295">
        <v>-4.1848999999999901</v>
      </c>
      <c r="AF4295">
        <v>11.229743687767099</v>
      </c>
      <c r="AG4295">
        <v>-1.1012806899200001</v>
      </c>
      <c r="AH4295">
        <v>31.8149771936856</v>
      </c>
      <c r="AI4295">
        <v>91.869554516763699</v>
      </c>
      <c r="AJ4295">
        <v>70.558478734296102</v>
      </c>
      <c r="AK4295">
        <v>33.756669508197497</v>
      </c>
    </row>
    <row r="4296" spans="1:37" x14ac:dyDescent="0.2">
      <c r="A4296" t="str">
        <f>"20200111155634425"</f>
        <v>20200111155634425</v>
      </c>
      <c r="B4296" t="str">
        <f>"1578729394417159"</f>
        <v>1578729394417159</v>
      </c>
      <c r="C4296" t="s">
        <v>37</v>
      </c>
      <c r="D4296">
        <v>4.9528790000000003</v>
      </c>
      <c r="E4296">
        <v>0.58045859999999905</v>
      </c>
      <c r="F4296" t="s">
        <v>38</v>
      </c>
      <c r="G4296">
        <v>-235.0762</v>
      </c>
      <c r="H4296" s="1">
        <v>-2.6965299999999999E-6</v>
      </c>
      <c r="I4296">
        <v>141.8784</v>
      </c>
      <c r="J4296">
        <v>-203.94540000000001</v>
      </c>
      <c r="K4296">
        <v>1.1014870000000001</v>
      </c>
      <c r="L4296">
        <v>145.792</v>
      </c>
      <c r="M4296">
        <v>-0.89793369999999995</v>
      </c>
      <c r="N4296">
        <v>0</v>
      </c>
      <c r="O4296">
        <v>-0.43990200000000002</v>
      </c>
      <c r="P4296">
        <v>-0.94523179999999996</v>
      </c>
      <c r="Q4296">
        <v>1.20557999999999E-2</v>
      </c>
      <c r="R4296">
        <v>-0.32617800000000002</v>
      </c>
      <c r="S4296">
        <v>-3.0443419999999999</v>
      </c>
      <c r="T4296">
        <v>-0.1071391</v>
      </c>
      <c r="U4296">
        <v>-0.38754270000000002</v>
      </c>
      <c r="V4296">
        <v>0.1231551</v>
      </c>
      <c r="W4296">
        <v>2.5085980000000001E-2</v>
      </c>
      <c r="X4296">
        <v>0.99207029999999996</v>
      </c>
      <c r="Y4296">
        <v>0.32257789999999997</v>
      </c>
      <c r="Z4296">
        <v>2.0547869999999999E-2</v>
      </c>
      <c r="AA4296">
        <v>0.94631989999999999</v>
      </c>
      <c r="AB4296">
        <v>18</v>
      </c>
      <c r="AC4296">
        <v>-31.130799999999901</v>
      </c>
      <c r="AD4296">
        <v>-1.1014896965300001</v>
      </c>
      <c r="AE4296">
        <v>-3.9136000000000002</v>
      </c>
      <c r="AF4296">
        <v>10.1688400481587</v>
      </c>
      <c r="AG4296">
        <v>-1.1014896965300001</v>
      </c>
      <c r="AH4296">
        <v>29.641450456094699</v>
      </c>
      <c r="AI4296">
        <v>92.013093503874899</v>
      </c>
      <c r="AJ4296">
        <v>71.0648797489674</v>
      </c>
      <c r="AK4296">
        <v>31.356565064077301</v>
      </c>
    </row>
    <row r="4297" spans="1:37" x14ac:dyDescent="0.2">
      <c r="A4297" t="str">
        <f>"20200111155634449"</f>
        <v>20200111155634449</v>
      </c>
      <c r="B4297" t="str">
        <f>"1578729394447414"</f>
        <v>1578729394447414</v>
      </c>
      <c r="C4297" t="s">
        <v>37</v>
      </c>
      <c r="D4297">
        <v>4.8253789999999999</v>
      </c>
      <c r="E4297">
        <v>0.57837749999999999</v>
      </c>
      <c r="F4297" t="s">
        <v>38</v>
      </c>
      <c r="G4297">
        <v>-233.87970000000001</v>
      </c>
      <c r="H4297" s="1">
        <v>-3.2658370000000001E-6</v>
      </c>
      <c r="I4297">
        <v>142.089</v>
      </c>
      <c r="J4297">
        <v>-204.11539999999999</v>
      </c>
      <c r="K4297">
        <v>1.1016790000000001</v>
      </c>
      <c r="L4297">
        <v>145.71969999999999</v>
      </c>
      <c r="M4297">
        <v>-0.9014065</v>
      </c>
      <c r="N4297">
        <v>0</v>
      </c>
      <c r="O4297">
        <v>-0.43274359999999901</v>
      </c>
      <c r="P4297">
        <v>-0.94620629999999994</v>
      </c>
      <c r="Q4297">
        <v>9.4205090000000005E-3</v>
      </c>
      <c r="R4297">
        <v>-0.32342729999999997</v>
      </c>
      <c r="S4297">
        <v>-3.045258</v>
      </c>
      <c r="T4297">
        <v>-0.1120563</v>
      </c>
      <c r="U4297">
        <v>-0.37670900000000002</v>
      </c>
      <c r="V4297">
        <v>0.11812300000000001</v>
      </c>
      <c r="W4297">
        <v>2.2487E-2</v>
      </c>
      <c r="X4297">
        <v>0.99274430000000002</v>
      </c>
      <c r="Y4297">
        <v>0.318359</v>
      </c>
      <c r="Z4297">
        <v>2.1177749999999999E-2</v>
      </c>
      <c r="AA4297">
        <v>0.94773359999999995</v>
      </c>
      <c r="AB4297">
        <v>18</v>
      </c>
      <c r="AC4297">
        <v>-29.764299999999999</v>
      </c>
      <c r="AD4297">
        <v>-1.101682265837</v>
      </c>
      <c r="AE4297">
        <v>-3.6306999999999898</v>
      </c>
      <c r="AF4297">
        <v>9.5955780559459196</v>
      </c>
      <c r="AG4297">
        <v>-1.101682265837</v>
      </c>
      <c r="AH4297">
        <v>28.365435259954999</v>
      </c>
      <c r="AI4297">
        <v>92.107007601051805</v>
      </c>
      <c r="AJ4297">
        <v>71.310135031316506</v>
      </c>
      <c r="AK4297">
        <v>29.964758292522699</v>
      </c>
    </row>
    <row r="4298" spans="1:37" x14ac:dyDescent="0.2">
      <c r="A4298" t="str">
        <f>"20200111155634495"</f>
        <v>20200111155634495</v>
      </c>
      <c r="B4298" t="str">
        <f>"1578729394476696"</f>
        <v>1578729394476696</v>
      </c>
      <c r="C4298" t="s">
        <v>37</v>
      </c>
      <c r="D4298">
        <v>4.9895839999999998</v>
      </c>
      <c r="E4298">
        <v>0.57818319999999901</v>
      </c>
      <c r="F4298" t="s">
        <v>38</v>
      </c>
      <c r="G4298">
        <v>-232.1977</v>
      </c>
      <c r="H4298" s="1">
        <v>-3.9836919999999901E-6</v>
      </c>
      <c r="I4298">
        <v>142.18440000000001</v>
      </c>
      <c r="J4298">
        <v>-204.4598</v>
      </c>
      <c r="K4298">
        <v>1.102088</v>
      </c>
      <c r="L4298">
        <v>145.57640000000001</v>
      </c>
      <c r="M4298">
        <v>-0.90773340000000002</v>
      </c>
      <c r="N4298">
        <v>0</v>
      </c>
      <c r="O4298">
        <v>-0.41931449999999998</v>
      </c>
      <c r="P4298">
        <v>-0.94882350000000004</v>
      </c>
      <c r="Q4298">
        <v>1.224575E-2</v>
      </c>
      <c r="R4298">
        <v>-0.31557029999999903</v>
      </c>
      <c r="S4298">
        <v>-3.04089399999999</v>
      </c>
      <c r="T4298">
        <v>-0.11929579999999999</v>
      </c>
      <c r="U4298">
        <v>-0.3828125</v>
      </c>
      <c r="V4298">
        <v>0.11159619999999899</v>
      </c>
      <c r="W4298">
        <v>2.5345300000000001E-2</v>
      </c>
      <c r="X4298">
        <v>0.99343040000000005</v>
      </c>
      <c r="Y4298">
        <v>0.30215839999999999</v>
      </c>
      <c r="Z4298">
        <v>2.1780230000000001E-2</v>
      </c>
      <c r="AA4298">
        <v>0.95300890000000005</v>
      </c>
      <c r="AB4298">
        <v>18</v>
      </c>
      <c r="AC4298">
        <v>-27.7379</v>
      </c>
      <c r="AD4298">
        <v>-1.102091983692</v>
      </c>
      <c r="AE4298">
        <v>-3.3919999999999901</v>
      </c>
      <c r="AF4298">
        <v>8.5394255008444109</v>
      </c>
      <c r="AG4298">
        <v>-1.102091983692</v>
      </c>
      <c r="AH4298">
        <v>26.562217808591502</v>
      </c>
      <c r="AI4298">
        <v>92.262001697364695</v>
      </c>
      <c r="AJ4298">
        <v>72.178042143748101</v>
      </c>
      <c r="AK4298">
        <v>27.922890422304899</v>
      </c>
    </row>
    <row r="4299" spans="1:37" x14ac:dyDescent="0.2">
      <c r="A4299" t="str">
        <f>"20200111155634538"</f>
        <v>20200111155634538</v>
      </c>
      <c r="B4299" t="str">
        <f>"1578729394527446"</f>
        <v>1578729394527446</v>
      </c>
      <c r="C4299" t="s">
        <v>37</v>
      </c>
      <c r="D4299">
        <v>4.888128</v>
      </c>
      <c r="E4299">
        <v>0.60753789999999996</v>
      </c>
      <c r="F4299" t="s">
        <v>38</v>
      </c>
      <c r="G4299">
        <v>-234.07380000000001</v>
      </c>
      <c r="H4299" s="1">
        <v>-3.1804690000000001E-6</v>
      </c>
      <c r="I4299">
        <v>142.0812</v>
      </c>
      <c r="J4299">
        <v>-204.7773</v>
      </c>
      <c r="K4299">
        <v>1.1025199999999999</v>
      </c>
      <c r="L4299">
        <v>145.44739999999999</v>
      </c>
      <c r="M4299">
        <v>-0.91280229999999996</v>
      </c>
      <c r="N4299">
        <v>0</v>
      </c>
      <c r="O4299">
        <v>-0.40816659999999999</v>
      </c>
      <c r="P4299">
        <v>-0.95106849999999998</v>
      </c>
      <c r="Q4299">
        <v>1.431232E-2</v>
      </c>
      <c r="R4299">
        <v>-0.30864920000000001</v>
      </c>
      <c r="S4299">
        <v>-3.0438079999999998</v>
      </c>
      <c r="T4299">
        <v>-0.1132756</v>
      </c>
      <c r="U4299">
        <v>-0.35923769999999999</v>
      </c>
      <c r="V4299">
        <v>0.1066386</v>
      </c>
      <c r="W4299">
        <v>2.7447889999999999E-2</v>
      </c>
      <c r="X4299">
        <v>0.99391890000000005</v>
      </c>
      <c r="Y4299">
        <v>0.29792950000000001</v>
      </c>
      <c r="Z4299">
        <v>2.0222210000000001E-2</v>
      </c>
      <c r="AA4299">
        <v>0.95437369999999899</v>
      </c>
      <c r="AB4299">
        <v>18</v>
      </c>
      <c r="AC4299">
        <v>-29.296500000000002</v>
      </c>
      <c r="AD4299">
        <v>-1.1025231804690001</v>
      </c>
      <c r="AE4299">
        <v>-3.3661999999999899</v>
      </c>
      <c r="AF4299">
        <v>8.8736271044024395</v>
      </c>
      <c r="AG4299">
        <v>-1.1025231804690001</v>
      </c>
      <c r="AH4299">
        <v>28.079332788414199</v>
      </c>
      <c r="AI4299">
        <v>92.144126416403196</v>
      </c>
      <c r="AJ4299">
        <v>72.462428715320797</v>
      </c>
      <c r="AK4299">
        <v>29.468724865422502</v>
      </c>
    </row>
    <row r="4300" spans="1:37" x14ac:dyDescent="0.2">
      <c r="A4300" t="str">
        <f>"20200111155634561"</f>
        <v>20200111155634561</v>
      </c>
      <c r="B4300" t="str">
        <f>"1578729394557317"</f>
        <v>1578729394557317</v>
      </c>
      <c r="C4300" t="s">
        <v>37</v>
      </c>
      <c r="D4300">
        <v>4.8573769999999996</v>
      </c>
      <c r="E4300">
        <v>0.60817460000000001</v>
      </c>
      <c r="F4300" t="s">
        <v>38</v>
      </c>
      <c r="G4300">
        <v>-236.9787</v>
      </c>
      <c r="H4300" s="1">
        <v>-2.5158769999999999E-6</v>
      </c>
      <c r="I4300">
        <v>144.26689999999999</v>
      </c>
      <c r="J4300">
        <v>-204.9451</v>
      </c>
      <c r="K4300">
        <v>1.1027480000000001</v>
      </c>
      <c r="L4300">
        <v>145.38030000000001</v>
      </c>
      <c r="M4300">
        <v>-0.91518480000000002</v>
      </c>
      <c r="N4300">
        <v>0</v>
      </c>
      <c r="O4300">
        <v>-0.40279799999999999</v>
      </c>
      <c r="P4300">
        <v>-0.95188569999999995</v>
      </c>
      <c r="Q4300">
        <v>1.2707639999999999E-2</v>
      </c>
      <c r="R4300">
        <v>-0.30619069999999998</v>
      </c>
      <c r="S4300">
        <v>-3.1188660000000001</v>
      </c>
      <c r="T4300">
        <v>-0.10678509999999999</v>
      </c>
      <c r="U4300">
        <v>-0.11433409999999999</v>
      </c>
      <c r="V4300">
        <v>0.10335219999999901</v>
      </c>
      <c r="W4300">
        <v>2.586917E-2</v>
      </c>
      <c r="X4300">
        <v>0.99430839999999998</v>
      </c>
      <c r="Y4300">
        <v>0.36859639999999999</v>
      </c>
      <c r="Z4300">
        <v>1.9759700000000002E-2</v>
      </c>
      <c r="AA4300">
        <v>0.92937950000000003</v>
      </c>
      <c r="AB4300">
        <v>18</v>
      </c>
      <c r="AC4300">
        <v>-32.0336</v>
      </c>
      <c r="AD4300">
        <v>-1.1027505158769999</v>
      </c>
      <c r="AE4300">
        <v>-1.1134000000000099</v>
      </c>
      <c r="AF4300">
        <v>11.8711845156284</v>
      </c>
      <c r="AG4300">
        <v>-1.1027505158769999</v>
      </c>
      <c r="AH4300">
        <v>29.732782591418498</v>
      </c>
      <c r="AI4300">
        <v>91.972759122019099</v>
      </c>
      <c r="AJ4300">
        <v>68.235028035439498</v>
      </c>
      <c r="AK4300">
        <v>32.0340356672856</v>
      </c>
    </row>
    <row r="4301" spans="1:37" x14ac:dyDescent="0.2">
      <c r="A4301" t="str">
        <f>"20200111155634583"</f>
        <v>20200111155634583</v>
      </c>
      <c r="B4301" t="str">
        <f>"1578729394576837"</f>
        <v>1578729394576837</v>
      </c>
      <c r="C4301" t="s">
        <v>37</v>
      </c>
      <c r="D4301">
        <v>4.8855680000000001</v>
      </c>
      <c r="E4301">
        <v>0.60850979999999999</v>
      </c>
      <c r="F4301" t="s">
        <v>38</v>
      </c>
      <c r="G4301">
        <v>-236.15880000000001</v>
      </c>
      <c r="H4301" s="1">
        <v>-2.8950720000000001E-6</v>
      </c>
      <c r="I4301">
        <v>144.37010000000001</v>
      </c>
      <c r="J4301">
        <v>-205.11709999999999</v>
      </c>
      <c r="K4301">
        <v>1.1029469999999999</v>
      </c>
      <c r="L4301">
        <v>145.31219999999999</v>
      </c>
      <c r="M4301">
        <v>-0.91742630000000003</v>
      </c>
      <c r="N4301">
        <v>0</v>
      </c>
      <c r="O4301">
        <v>-0.39766760000000001</v>
      </c>
      <c r="P4301">
        <v>-0.95274890000000001</v>
      </c>
      <c r="Q4301">
        <v>1.231019E-2</v>
      </c>
      <c r="R4301">
        <v>-0.30350949999999999</v>
      </c>
      <c r="S4301">
        <v>-3.1206360000000002</v>
      </c>
      <c r="T4301">
        <v>-0.11024929999999999</v>
      </c>
      <c r="U4301">
        <v>-0.100997899999999</v>
      </c>
      <c r="V4301">
        <v>0.100569899999999</v>
      </c>
      <c r="W4301">
        <v>2.5488299999999998E-2</v>
      </c>
      <c r="X4301">
        <v>0.99460349999999997</v>
      </c>
      <c r="Y4301">
        <v>0.36735329999999999</v>
      </c>
      <c r="Z4301">
        <v>2.020334E-2</v>
      </c>
      <c r="AA4301">
        <v>0.92986199999999997</v>
      </c>
      <c r="AB4301">
        <v>18</v>
      </c>
      <c r="AC4301">
        <v>-31.041699999999999</v>
      </c>
      <c r="AD4301">
        <v>-1.10294989507199</v>
      </c>
      <c r="AE4301">
        <v>-0.94209999999998195</v>
      </c>
      <c r="AF4301">
        <v>11.4665958016676</v>
      </c>
      <c r="AG4301">
        <v>-1.10294989507199</v>
      </c>
      <c r="AH4301">
        <v>28.819498095617899</v>
      </c>
      <c r="AI4301">
        <v>92.036561259178001</v>
      </c>
      <c r="AJ4301">
        <v>68.303562086549803</v>
      </c>
      <c r="AK4301">
        <v>31.036475125780399</v>
      </c>
    </row>
    <row r="4302" spans="1:37" x14ac:dyDescent="0.2">
      <c r="A4302" t="str">
        <f>"20200111155634605"</f>
        <v>20200111155634605</v>
      </c>
      <c r="B4302" t="str">
        <f>"1578729394597331"</f>
        <v>1578729394597331</v>
      </c>
      <c r="C4302" t="s">
        <v>37</v>
      </c>
      <c r="D4302">
        <v>4.776484</v>
      </c>
      <c r="E4302">
        <v>0.60850530000000003</v>
      </c>
      <c r="F4302" t="s">
        <v>38</v>
      </c>
      <c r="G4302">
        <v>-237.2217</v>
      </c>
      <c r="H4302" s="1">
        <v>-2.4456910000000001E-6</v>
      </c>
      <c r="I4302">
        <v>144.39490000000001</v>
      </c>
      <c r="J4302">
        <v>-205.2808</v>
      </c>
      <c r="K4302">
        <v>1.1030879999999901</v>
      </c>
      <c r="L4302">
        <v>145.24799999999999</v>
      </c>
      <c r="M4302">
        <v>-0.91940689999999903</v>
      </c>
      <c r="N4302">
        <v>0</v>
      </c>
      <c r="O4302">
        <v>-0.39306839999999998</v>
      </c>
      <c r="P4302">
        <v>-0.95365309999999903</v>
      </c>
      <c r="Q4302">
        <v>1.434613E-2</v>
      </c>
      <c r="R4302">
        <v>-0.3005659</v>
      </c>
      <c r="S4302">
        <v>-3.12175</v>
      </c>
      <c r="T4302">
        <v>-0.1072475</v>
      </c>
      <c r="U4302">
        <v>-8.9187619999999995E-2</v>
      </c>
      <c r="V4302">
        <v>9.8648710000000001E-2</v>
      </c>
      <c r="W4302">
        <v>2.7525589999999999E-2</v>
      </c>
      <c r="X4302">
        <v>0.994741599999999</v>
      </c>
      <c r="Y4302">
        <v>0.36624950000000001</v>
      </c>
      <c r="Z4302">
        <v>1.948447E-2</v>
      </c>
      <c r="AA4302">
        <v>0.93031269999999999</v>
      </c>
      <c r="AB4302">
        <v>18</v>
      </c>
      <c r="AC4302">
        <v>-31.940899999999999</v>
      </c>
      <c r="AD4302">
        <v>-1.10309044569099</v>
      </c>
      <c r="AE4302">
        <v>-0.85309999999998298</v>
      </c>
      <c r="AF4302">
        <v>11.757706799965501</v>
      </c>
      <c r="AG4302">
        <v>-1.10309044569099</v>
      </c>
      <c r="AH4302">
        <v>29.669444382831699</v>
      </c>
      <c r="AI4302">
        <v>91.979594331283593</v>
      </c>
      <c r="AJ4302">
        <v>68.382067843881003</v>
      </c>
      <c r="AK4302">
        <v>31.9333118813454</v>
      </c>
    </row>
    <row r="4303" spans="1:37" x14ac:dyDescent="0.2">
      <c r="A4303" t="str">
        <f>"20200111155634628"</f>
        <v>20200111155634628</v>
      </c>
      <c r="B4303" t="str">
        <f>"1578729394616852"</f>
        <v>1578729394616852</v>
      </c>
      <c r="C4303" t="s">
        <v>37</v>
      </c>
      <c r="D4303">
        <v>4.8026650000000002</v>
      </c>
      <c r="E4303">
        <v>0.60883209999999999</v>
      </c>
      <c r="F4303" t="s">
        <v>38</v>
      </c>
      <c r="G4303">
        <v>-239.79589999999999</v>
      </c>
      <c r="H4303" s="1">
        <v>-1.3336889999999999E-6</v>
      </c>
      <c r="I4303">
        <v>144.36600000000001</v>
      </c>
      <c r="J4303">
        <v>-205.44980000000001</v>
      </c>
      <c r="K4303">
        <v>1.1032029999999999</v>
      </c>
      <c r="L4303">
        <v>145.18219999999999</v>
      </c>
      <c r="M4303">
        <v>-0.92130429999999996</v>
      </c>
      <c r="N4303">
        <v>0</v>
      </c>
      <c r="O4303">
        <v>-0.38860209999999901</v>
      </c>
      <c r="P4303">
        <v>-0.95496209999999904</v>
      </c>
      <c r="Q4303">
        <v>1.5976600000000001E-2</v>
      </c>
      <c r="R4303">
        <v>-0.29629709999999998</v>
      </c>
      <c r="S4303">
        <v>-3.1221619999999999</v>
      </c>
      <c r="T4303">
        <v>-9.9783300000000005E-2</v>
      </c>
      <c r="U4303">
        <v>-7.9772949999999995E-2</v>
      </c>
      <c r="V4303">
        <v>9.8259490000000005E-2</v>
      </c>
      <c r="W4303">
        <v>2.9144280000000002E-2</v>
      </c>
      <c r="X4303">
        <v>0.99473400000000001</v>
      </c>
      <c r="Y4303">
        <v>0.36460199999999998</v>
      </c>
      <c r="Z4303">
        <v>1.7970030000000001E-2</v>
      </c>
      <c r="AA4303">
        <v>0.93098999999999998</v>
      </c>
      <c r="AB4303">
        <v>18</v>
      </c>
      <c r="AC4303">
        <v>-34.3460999999999</v>
      </c>
      <c r="AD4303">
        <v>-1.1032043336890001</v>
      </c>
      <c r="AE4303">
        <v>-0.81619999999998005</v>
      </c>
      <c r="AF4303">
        <v>12.5831996529999</v>
      </c>
      <c r="AG4303">
        <v>-1.1032043336890001</v>
      </c>
      <c r="AH4303">
        <v>31.930447760668901</v>
      </c>
      <c r="AI4303">
        <v>91.841096859479407</v>
      </c>
      <c r="AJ4303">
        <v>68.491516344751204</v>
      </c>
      <c r="AK4303">
        <v>34.338134304384297</v>
      </c>
    </row>
    <row r="4304" spans="1:37" x14ac:dyDescent="0.2">
      <c r="A4304" t="str">
        <f>"20200111155634650"</f>
        <v>20200111155634650</v>
      </c>
      <c r="B4304" t="str">
        <f>"1578729394647109"</f>
        <v>1578729394647109</v>
      </c>
      <c r="C4304" t="s">
        <v>37</v>
      </c>
      <c r="D4304">
        <v>4.8024809999999896</v>
      </c>
      <c r="E4304">
        <v>0.60791189999999995</v>
      </c>
      <c r="F4304" t="s">
        <v>38</v>
      </c>
      <c r="G4304">
        <v>-242.26900000000001</v>
      </c>
      <c r="H4304" s="1">
        <v>-4.358076E-6</v>
      </c>
      <c r="I4304">
        <v>144.43190000000001</v>
      </c>
      <c r="J4304">
        <v>-205.6113</v>
      </c>
      <c r="K4304">
        <v>1.103305</v>
      </c>
      <c r="L4304">
        <v>145.1199</v>
      </c>
      <c r="M4304">
        <v>-0.9229733</v>
      </c>
      <c r="N4304">
        <v>0</v>
      </c>
      <c r="O4304">
        <v>-0.38462279999999999</v>
      </c>
      <c r="P4304">
        <v>-0.95628009999999997</v>
      </c>
      <c r="Q4304">
        <v>1.6181279999999999E-2</v>
      </c>
      <c r="R4304">
        <v>-0.29200479999999901</v>
      </c>
      <c r="S4304">
        <v>-3.1233059999999999</v>
      </c>
      <c r="T4304">
        <v>-9.3583109999999997E-2</v>
      </c>
      <c r="U4304">
        <v>-6.3644409999999998E-2</v>
      </c>
      <c r="V4304">
        <v>9.8426420000000001E-2</v>
      </c>
      <c r="W4304">
        <v>2.9337309999999998E-2</v>
      </c>
      <c r="X4304">
        <v>0.99471180000000003</v>
      </c>
      <c r="Y4304">
        <v>0.3654442</v>
      </c>
      <c r="Z4304">
        <v>1.6752969999999999E-2</v>
      </c>
      <c r="AA4304">
        <v>0.93068249999999997</v>
      </c>
      <c r="AB4304">
        <v>18</v>
      </c>
      <c r="AC4304">
        <v>-36.657699999999998</v>
      </c>
      <c r="AD4304">
        <v>-1.1033093580760001</v>
      </c>
      <c r="AE4304">
        <v>-0.68799999999998795</v>
      </c>
      <c r="AF4304">
        <v>13.4534484447077</v>
      </c>
      <c r="AG4304">
        <v>-1.1033093580760001</v>
      </c>
      <c r="AH4304">
        <v>34.071010523815303</v>
      </c>
      <c r="AI4304">
        <v>91.725202443630707</v>
      </c>
      <c r="AJ4304">
        <v>68.452672997373696</v>
      </c>
      <c r="AK4304">
        <v>36.6475964383472</v>
      </c>
    </row>
    <row r="4305" spans="1:37" x14ac:dyDescent="0.2">
      <c r="A4305" t="str">
        <f>"20200111155634672"</f>
        <v>20200111155634672</v>
      </c>
      <c r="B4305" t="str">
        <f>"1578729394667137"</f>
        <v>1578729394667137</v>
      </c>
      <c r="C4305" t="s">
        <v>37</v>
      </c>
      <c r="D4305">
        <v>4.7773789999999998</v>
      </c>
      <c r="E4305">
        <v>0.60738890000000001</v>
      </c>
      <c r="F4305" t="s">
        <v>38</v>
      </c>
      <c r="G4305">
        <v>-242.4299</v>
      </c>
      <c r="H4305" s="1">
        <v>-4.3068869999999996E-6</v>
      </c>
      <c r="I4305">
        <v>144.45189999999999</v>
      </c>
      <c r="J4305">
        <v>-205.77879999999999</v>
      </c>
      <c r="K4305">
        <v>1.1034469999999901</v>
      </c>
      <c r="L4305">
        <v>145.0557</v>
      </c>
      <c r="M4305">
        <v>-0.92454910000000001</v>
      </c>
      <c r="N4305">
        <v>0</v>
      </c>
      <c r="O4305">
        <v>-0.3808203</v>
      </c>
      <c r="P4305">
        <v>-0.95730130000000002</v>
      </c>
      <c r="Q4305">
        <v>1.464905E-2</v>
      </c>
      <c r="R4305">
        <v>-0.28872100000000001</v>
      </c>
      <c r="S4305">
        <v>-3.121445</v>
      </c>
      <c r="T4305">
        <v>-9.3537690000000007E-2</v>
      </c>
      <c r="U4305">
        <v>-5.6625370000000001E-2</v>
      </c>
      <c r="V4305">
        <v>9.7738409999999998E-2</v>
      </c>
      <c r="W4305">
        <v>2.7807289999999998E-2</v>
      </c>
      <c r="X4305">
        <v>0.99482359999999903</v>
      </c>
      <c r="Y4305">
        <v>0.3636952</v>
      </c>
      <c r="Z4305">
        <v>1.662363E-2</v>
      </c>
      <c r="AA4305">
        <v>0.93136969999999997</v>
      </c>
      <c r="AB4305">
        <v>18</v>
      </c>
      <c r="AC4305">
        <v>-36.6511</v>
      </c>
      <c r="AD4305">
        <v>-1.10345130688699</v>
      </c>
      <c r="AE4305">
        <v>-0.603800000000006</v>
      </c>
      <c r="AF4305">
        <v>13.388346567850901</v>
      </c>
      <c r="AG4305">
        <v>-1.10345130688699</v>
      </c>
      <c r="AH4305">
        <v>34.087944765975102</v>
      </c>
      <c r="AI4305">
        <v>91.725805575593</v>
      </c>
      <c r="AJ4305">
        <v>68.557135952242703</v>
      </c>
      <c r="AK4305">
        <v>36.639506096230697</v>
      </c>
    </row>
    <row r="4306" spans="1:37" x14ac:dyDescent="0.2">
      <c r="A4306" t="str">
        <f>"20200111155634695"</f>
        <v>20200111155634695</v>
      </c>
      <c r="B4306" t="str">
        <f>"1578729394686656"</f>
        <v>1578729394686656</v>
      </c>
      <c r="C4306" t="s">
        <v>37</v>
      </c>
      <c r="D4306">
        <v>4.8550699999999898</v>
      </c>
      <c r="E4306">
        <v>0.60711329999999997</v>
      </c>
      <c r="F4306" t="s">
        <v>38</v>
      </c>
      <c r="G4306">
        <v>-240.84379999999999</v>
      </c>
      <c r="H4306" s="1">
        <v>-4.85443E-6</v>
      </c>
      <c r="I4306">
        <v>144.4958</v>
      </c>
      <c r="J4306">
        <v>-205.94909999999999</v>
      </c>
      <c r="K4306">
        <v>1.1036520000000001</v>
      </c>
      <c r="L4306">
        <v>144.99080000000001</v>
      </c>
      <c r="M4306">
        <v>-0.92598789999999997</v>
      </c>
      <c r="N4306">
        <v>0</v>
      </c>
      <c r="O4306">
        <v>-0.37730979999999997</v>
      </c>
      <c r="P4306">
        <v>-0.9580668</v>
      </c>
      <c r="Q4306">
        <v>1.405197E-2</v>
      </c>
      <c r="R4306">
        <v>-0.28620069999999997</v>
      </c>
      <c r="S4306">
        <v>-3.1202999999999999</v>
      </c>
      <c r="T4306">
        <v>-9.8191979999999998E-2</v>
      </c>
      <c r="U4306">
        <v>-4.9819950000000002E-2</v>
      </c>
      <c r="V4306">
        <v>9.6568630000000003E-2</v>
      </c>
      <c r="W4306">
        <v>2.7227669999999999E-2</v>
      </c>
      <c r="X4306">
        <v>0.99495389999999995</v>
      </c>
      <c r="Y4306">
        <v>0.36215399999999998</v>
      </c>
      <c r="Z4306">
        <v>1.7330580000000002E-2</v>
      </c>
      <c r="AA4306">
        <v>0.93195720000000004</v>
      </c>
      <c r="AB4306">
        <v>18</v>
      </c>
      <c r="AC4306">
        <v>-34.8947</v>
      </c>
      <c r="AD4306">
        <v>-1.1036568544299901</v>
      </c>
      <c r="AE4306">
        <v>-0.49500000000000399</v>
      </c>
      <c r="AF4306">
        <v>12.6962177620414</v>
      </c>
      <c r="AG4306">
        <v>-1.1036568544299901</v>
      </c>
      <c r="AH4306">
        <v>32.469350171385898</v>
      </c>
      <c r="AI4306">
        <v>91.813187278571505</v>
      </c>
      <c r="AJ4306">
        <v>68.643427377809104</v>
      </c>
      <c r="AK4306">
        <v>34.8808071074277</v>
      </c>
    </row>
    <row r="4307" spans="1:37" x14ac:dyDescent="0.2">
      <c r="A4307" t="str">
        <f>"20200111155634716"</f>
        <v>20200111155634716</v>
      </c>
      <c r="B4307" t="str">
        <f>"1578729394707153"</f>
        <v>1578729394707153</v>
      </c>
      <c r="C4307" t="s">
        <v>37</v>
      </c>
      <c r="D4307">
        <v>4.8899800000000004</v>
      </c>
      <c r="E4307">
        <v>0.58750869999999999</v>
      </c>
      <c r="F4307" t="s">
        <v>38</v>
      </c>
      <c r="G4307">
        <v>-240.93379999999999</v>
      </c>
      <c r="H4307" s="1">
        <v>-4.8252690000000004E-6</v>
      </c>
      <c r="I4307">
        <v>144.50409999999999</v>
      </c>
      <c r="J4307">
        <v>-206.10730000000001</v>
      </c>
      <c r="K4307">
        <v>1.1038939999999999</v>
      </c>
      <c r="L4307">
        <v>144.9306</v>
      </c>
      <c r="M4307">
        <v>-0.9271663</v>
      </c>
      <c r="N4307">
        <v>0</v>
      </c>
      <c r="O4307">
        <v>-0.37440609999999902</v>
      </c>
      <c r="P4307">
        <v>-0.95867169999999902</v>
      </c>
      <c r="Q4307">
        <v>1.6395570000000002E-2</v>
      </c>
      <c r="R4307">
        <v>-0.28404239999999997</v>
      </c>
      <c r="S4307">
        <v>-3.119812</v>
      </c>
      <c r="T4307">
        <v>-9.8420380000000002E-2</v>
      </c>
      <c r="U4307">
        <v>-4.3395999999999997E-2</v>
      </c>
      <c r="V4307">
        <v>9.566761E-2</v>
      </c>
      <c r="W4307">
        <v>2.9598030000000001E-2</v>
      </c>
      <c r="X4307">
        <v>0.9949732</v>
      </c>
      <c r="Y4307">
        <v>0.3611492</v>
      </c>
      <c r="Z4307">
        <v>1.7273199999999999E-2</v>
      </c>
      <c r="AA4307">
        <v>0.93234810000000001</v>
      </c>
      <c r="AB4307">
        <v>18</v>
      </c>
      <c r="AC4307">
        <v>-34.826499999999903</v>
      </c>
      <c r="AD4307">
        <v>-1.1038988252690001</v>
      </c>
      <c r="AE4307">
        <v>-0.42650000000000399</v>
      </c>
      <c r="AF4307">
        <v>12.6322831160762</v>
      </c>
      <c r="AG4307">
        <v>-1.1038988252690001</v>
      </c>
      <c r="AH4307">
        <v>32.420038711573397</v>
      </c>
      <c r="AI4307">
        <v>91.817188205133405</v>
      </c>
      <c r="AJ4307">
        <v>68.711908309400997</v>
      </c>
      <c r="AK4307">
        <v>34.811665852140003</v>
      </c>
    </row>
    <row r="4308" spans="1:37" x14ac:dyDescent="0.2">
      <c r="A4308" t="str">
        <f>"20200111155634739"</f>
        <v>20200111155634739</v>
      </c>
      <c r="B4308" t="str">
        <f>"1578729394726672"</f>
        <v>1578729394726672</v>
      </c>
      <c r="C4308" t="s">
        <v>37</v>
      </c>
      <c r="D4308">
        <v>4.9246980000000002</v>
      </c>
      <c r="E4308">
        <v>0.58369159999999998</v>
      </c>
      <c r="F4308" t="s">
        <v>38</v>
      </c>
      <c r="G4308">
        <v>-236.7303</v>
      </c>
      <c r="H4308" s="1">
        <v>-2.3043320000000001E-6</v>
      </c>
      <c r="I4308">
        <v>143.07140000000001</v>
      </c>
      <c r="J4308">
        <v>-206.26949999999999</v>
      </c>
      <c r="K4308">
        <v>1.1041669999999999</v>
      </c>
      <c r="L4308">
        <v>144.8689</v>
      </c>
      <c r="M4308">
        <v>-0.92820509999999901</v>
      </c>
      <c r="N4308">
        <v>0</v>
      </c>
      <c r="O4308">
        <v>-0.3718245</v>
      </c>
      <c r="P4308">
        <v>-0.95929129999999996</v>
      </c>
      <c r="Q4308">
        <v>1.8577099999999999E-2</v>
      </c>
      <c r="R4308">
        <v>-0.2818078</v>
      </c>
      <c r="S4308">
        <v>-3.0758969999999999</v>
      </c>
      <c r="T4308">
        <v>-0.1108798</v>
      </c>
      <c r="U4308">
        <v>-0.18673709999999999</v>
      </c>
      <c r="V4308">
        <v>9.518712E-2</v>
      </c>
      <c r="W4308">
        <v>3.1812849999999997E-2</v>
      </c>
      <c r="X4308">
        <v>0.99495100000000003</v>
      </c>
      <c r="Y4308">
        <v>0.31448949999999998</v>
      </c>
      <c r="Z4308">
        <v>1.8762899999999999E-2</v>
      </c>
      <c r="AA4308">
        <v>0.94907549999999996</v>
      </c>
      <c r="AB4308">
        <v>18</v>
      </c>
      <c r="AC4308">
        <v>-30.460799999999999</v>
      </c>
      <c r="AD4308">
        <v>-1.104169304332</v>
      </c>
      <c r="AE4308">
        <v>-1.7974999999999799</v>
      </c>
      <c r="AF4308">
        <v>9.6458707235869099</v>
      </c>
      <c r="AG4308">
        <v>-1.104169304332</v>
      </c>
      <c r="AH4308">
        <v>28.907004724050399</v>
      </c>
      <c r="AI4308">
        <v>92.075107084193903</v>
      </c>
      <c r="AJ4308">
        <v>71.546853250880602</v>
      </c>
      <c r="AK4308">
        <v>30.493883550395001</v>
      </c>
    </row>
    <row r="4309" spans="1:37" x14ac:dyDescent="0.2">
      <c r="A4309" t="str">
        <f>"20200111155634761"</f>
        <v>20200111155634761</v>
      </c>
      <c r="B4309" t="str">
        <f>"1578729394756929"</f>
        <v>1578729394756929</v>
      </c>
      <c r="C4309" t="s">
        <v>37</v>
      </c>
      <c r="D4309">
        <v>5.0392099999999997</v>
      </c>
      <c r="E4309">
        <v>0.58004979999999995</v>
      </c>
      <c r="F4309" t="s">
        <v>38</v>
      </c>
      <c r="G4309">
        <v>-237.154</v>
      </c>
      <c r="H4309" s="1">
        <v>-2.040991E-6</v>
      </c>
      <c r="I4309">
        <v>142.76480000000001</v>
      </c>
      <c r="J4309">
        <v>-206.4392</v>
      </c>
      <c r="K4309">
        <v>1.1044499999999999</v>
      </c>
      <c r="L4309">
        <v>144.80430000000001</v>
      </c>
      <c r="M4309">
        <v>-0.92909149999999996</v>
      </c>
      <c r="N4309">
        <v>0</v>
      </c>
      <c r="O4309">
        <v>-0.36960500000000002</v>
      </c>
      <c r="P4309">
        <v>-0.95992119999999903</v>
      </c>
      <c r="Q4309">
        <v>1.9574299999999999E-2</v>
      </c>
      <c r="R4309">
        <v>-0.279586</v>
      </c>
      <c r="S4309">
        <v>-3.0680239999999999</v>
      </c>
      <c r="T4309">
        <v>-0.1096867</v>
      </c>
      <c r="U4309">
        <v>-0.209014899999999</v>
      </c>
      <c r="V4309">
        <v>9.5085020000000006E-2</v>
      </c>
      <c r="W4309">
        <v>3.2845609999999997E-2</v>
      </c>
      <c r="X4309">
        <v>0.99492709999999995</v>
      </c>
      <c r="Y4309">
        <v>0.30521039999999999</v>
      </c>
      <c r="Z4309">
        <v>1.8360049999999999E-2</v>
      </c>
      <c r="AA4309">
        <v>0.95210799999999995</v>
      </c>
      <c r="AB4309">
        <v>18</v>
      </c>
      <c r="AC4309">
        <v>-30.7148</v>
      </c>
      <c r="AD4309">
        <v>-1.1044520409909999</v>
      </c>
      <c r="AE4309">
        <v>-2.0394999999999999</v>
      </c>
      <c r="AF4309">
        <v>9.4461579035930292</v>
      </c>
      <c r="AG4309">
        <v>-1.1044520409909999</v>
      </c>
      <c r="AH4309">
        <v>29.2556605521495</v>
      </c>
      <c r="AI4309">
        <v>92.057493452533805</v>
      </c>
      <c r="AJ4309">
        <v>72.105609542683396</v>
      </c>
      <c r="AK4309">
        <v>30.762694742058301</v>
      </c>
    </row>
    <row r="4310" spans="1:37" x14ac:dyDescent="0.2">
      <c r="A4310" t="str">
        <f>"20200111155634785"</f>
        <v>20200111155634785</v>
      </c>
      <c r="B4310" t="str">
        <f>"1578729394776448"</f>
        <v>1578729394776448</v>
      </c>
      <c r="C4310" t="s">
        <v>37</v>
      </c>
      <c r="D4310">
        <v>5.0392089999999996</v>
      </c>
      <c r="E4310">
        <v>0.57751770000000002</v>
      </c>
      <c r="F4310" t="s">
        <v>38</v>
      </c>
      <c r="G4310">
        <v>-236.9881</v>
      </c>
      <c r="H4310" s="1">
        <v>-2.0434740000000001E-6</v>
      </c>
      <c r="I4310">
        <v>142.50659999999999</v>
      </c>
      <c r="J4310">
        <v>-206.6069</v>
      </c>
      <c r="K4310">
        <v>1.1046670000000001</v>
      </c>
      <c r="L4310">
        <v>144.74029999999999</v>
      </c>
      <c r="M4310">
        <v>-0.92980750000000001</v>
      </c>
      <c r="N4310">
        <v>0</v>
      </c>
      <c r="O4310">
        <v>-0.36780040000000003</v>
      </c>
      <c r="P4310">
        <v>-0.96050919999999895</v>
      </c>
      <c r="Q4310">
        <v>1.975143E-2</v>
      </c>
      <c r="R4310">
        <v>-0.27754629999999902</v>
      </c>
      <c r="S4310">
        <v>-3.0604550000000001</v>
      </c>
      <c r="T4310">
        <v>-0.1106466</v>
      </c>
      <c r="U4310">
        <v>-0.23017879999999999</v>
      </c>
      <c r="V4310">
        <v>9.5248570000000005E-2</v>
      </c>
      <c r="W4310">
        <v>3.304721E-2</v>
      </c>
      <c r="X4310">
        <v>0.99490480000000003</v>
      </c>
      <c r="Y4310">
        <v>0.29663689999999998</v>
      </c>
      <c r="Z4310">
        <v>1.834175E-2</v>
      </c>
      <c r="AA4310">
        <v>0.95481419999999995</v>
      </c>
      <c r="AB4310">
        <v>17</v>
      </c>
      <c r="AC4310">
        <v>-30.3812</v>
      </c>
      <c r="AD4310">
        <v>-1.1046690434740001</v>
      </c>
      <c r="AE4310">
        <v>-2.23369999999999</v>
      </c>
      <c r="AF4310">
        <v>9.0861813815345993</v>
      </c>
      <c r="AG4310">
        <v>-1.1046690434740001</v>
      </c>
      <c r="AH4310">
        <v>29.0346733257716</v>
      </c>
      <c r="AI4310">
        <v>92.079501351190103</v>
      </c>
      <c r="AJ4310">
        <v>72.622883902313305</v>
      </c>
      <c r="AK4310">
        <v>30.443246228482799</v>
      </c>
    </row>
    <row r="4311" spans="1:37" x14ac:dyDescent="0.2">
      <c r="A4311" t="str">
        <f>"20200111155634828"</f>
        <v>20200111155634828</v>
      </c>
      <c r="B4311" t="str">
        <f>"1578729394816464"</f>
        <v>1578729394816464</v>
      </c>
      <c r="C4311" t="s">
        <v>37</v>
      </c>
      <c r="D4311">
        <v>5.0409499999999996</v>
      </c>
      <c r="E4311">
        <v>0.57640009999999997</v>
      </c>
      <c r="F4311" t="s">
        <v>38</v>
      </c>
      <c r="G4311">
        <v>-235.5273</v>
      </c>
      <c r="H4311" s="1">
        <v>-2.65141599999999E-6</v>
      </c>
      <c r="I4311">
        <v>142.43629999999999</v>
      </c>
      <c r="J4311">
        <v>-206.92179999999999</v>
      </c>
      <c r="K4311">
        <v>1.104948</v>
      </c>
      <c r="L4311">
        <v>144.61969999999999</v>
      </c>
      <c r="M4311">
        <v>-0.93076289999999995</v>
      </c>
      <c r="N4311">
        <v>0</v>
      </c>
      <c r="O4311">
        <v>-0.36537770000000003</v>
      </c>
      <c r="P4311">
        <v>-0.96165499999999904</v>
      </c>
      <c r="Q4311">
        <v>2.3183390000000002E-2</v>
      </c>
      <c r="R4311">
        <v>-0.273281099999999</v>
      </c>
      <c r="S4311">
        <v>-3.0554049999999999</v>
      </c>
      <c r="T4311">
        <v>-0.11670709999999999</v>
      </c>
      <c r="U4311">
        <v>-0.24340819999999999</v>
      </c>
      <c r="V4311">
        <v>9.7025940000000005E-2</v>
      </c>
      <c r="W4311">
        <v>3.6493129999999999E-2</v>
      </c>
      <c r="X4311">
        <v>0.99461259999999996</v>
      </c>
      <c r="Y4311">
        <v>0.28987299999999999</v>
      </c>
      <c r="Z4311">
        <v>1.915611E-2</v>
      </c>
      <c r="AA4311">
        <v>0.95687339999999999</v>
      </c>
      <c r="AB4311">
        <v>17</v>
      </c>
      <c r="AC4311">
        <v>-28.605499999999999</v>
      </c>
      <c r="AD4311">
        <v>-1.1049506514159999</v>
      </c>
      <c r="AE4311">
        <v>-2.1833999999999998</v>
      </c>
      <c r="AF4311">
        <v>8.4078677042292096</v>
      </c>
      <c r="AG4311">
        <v>-1.1049506514159999</v>
      </c>
      <c r="AH4311">
        <v>27.384543400557199</v>
      </c>
      <c r="AI4311">
        <v>92.208935672247094</v>
      </c>
      <c r="AJ4311">
        <v>72.931959527037804</v>
      </c>
      <c r="AK4311">
        <v>28.667514237039899</v>
      </c>
    </row>
    <row r="4312" spans="1:37" x14ac:dyDescent="0.2">
      <c r="A4312" t="str">
        <f>"20200111155634852"</f>
        <v>20200111155634852</v>
      </c>
      <c r="B4312" t="str">
        <f>"1578729394846721"</f>
        <v>1578729394846721</v>
      </c>
      <c r="C4312" t="s">
        <v>37</v>
      </c>
      <c r="D4312">
        <v>5.081709</v>
      </c>
      <c r="E4312">
        <v>0.57592119999999902</v>
      </c>
      <c r="F4312" t="s">
        <v>38</v>
      </c>
      <c r="G4312">
        <v>-237.0102</v>
      </c>
      <c r="H4312" s="1">
        <v>-1.9681030000000001E-6</v>
      </c>
      <c r="I4312">
        <v>142.25899999999999</v>
      </c>
      <c r="J4312">
        <v>-207.09030000000001</v>
      </c>
      <c r="K4312">
        <v>1.1050659999999899</v>
      </c>
      <c r="L4312">
        <v>144.55500000000001</v>
      </c>
      <c r="M4312">
        <v>-0.93109039999999998</v>
      </c>
      <c r="N4312">
        <v>0</v>
      </c>
      <c r="O4312">
        <v>-0.36454309999999901</v>
      </c>
      <c r="P4312">
        <v>-0.96215699999999904</v>
      </c>
      <c r="Q4312">
        <v>2.5720110000000001E-2</v>
      </c>
      <c r="R4312">
        <v>-0.27128029999999997</v>
      </c>
      <c r="S4312">
        <v>-3.05423</v>
      </c>
      <c r="T4312">
        <v>-0.1121621</v>
      </c>
      <c r="U4312">
        <v>-0.239623999999999</v>
      </c>
      <c r="V4312">
        <v>9.8170690000000005E-2</v>
      </c>
      <c r="W4312">
        <v>3.9034760000000002E-2</v>
      </c>
      <c r="X4312">
        <v>0.9944037</v>
      </c>
      <c r="Y4312">
        <v>0.29019909999999999</v>
      </c>
      <c r="Z4312">
        <v>1.8396590000000001E-2</v>
      </c>
      <c r="AA4312">
        <v>0.95678940000000001</v>
      </c>
      <c r="AB4312">
        <v>17</v>
      </c>
      <c r="AC4312">
        <v>-29.919899999999899</v>
      </c>
      <c r="AD4312">
        <v>-1.10506796810299</v>
      </c>
      <c r="AE4312">
        <v>-2.2960000000000198</v>
      </c>
      <c r="AF4312">
        <v>8.7582170204591492</v>
      </c>
      <c r="AG4312">
        <v>-1.10506796810299</v>
      </c>
      <c r="AH4312">
        <v>28.658825438709101</v>
      </c>
      <c r="AI4312">
        <v>92.111875628418403</v>
      </c>
      <c r="AJ4312">
        <v>73.006701489672693</v>
      </c>
      <c r="AK4312">
        <v>29.987594370305601</v>
      </c>
    </row>
    <row r="4313" spans="1:37" x14ac:dyDescent="0.2">
      <c r="A4313" t="str">
        <f>"20200111155634964"</f>
        <v>20200111155634964</v>
      </c>
      <c r="B4313" t="str">
        <f>"1578729394956540"</f>
        <v>1578729394956540</v>
      </c>
      <c r="C4313" t="s">
        <v>37</v>
      </c>
      <c r="D4313">
        <v>4.8863580000000004</v>
      </c>
      <c r="E4313">
        <v>0.57535119999999995</v>
      </c>
      <c r="F4313" t="s">
        <v>38</v>
      </c>
      <c r="G4313">
        <v>-238.3013</v>
      </c>
      <c r="H4313" s="1">
        <v>-1.380041E-6</v>
      </c>
      <c r="I4313">
        <v>142.13059999999999</v>
      </c>
      <c r="J4313">
        <v>-207.90260000000001</v>
      </c>
      <c r="K4313">
        <v>1.1056889999999999</v>
      </c>
      <c r="L4313">
        <v>144.23910000000001</v>
      </c>
      <c r="M4313">
        <v>-0.93122609999999995</v>
      </c>
      <c r="N4313">
        <v>0</v>
      </c>
      <c r="O4313">
        <v>-0.36419790000000002</v>
      </c>
      <c r="P4313">
        <v>-0.96392889999999998</v>
      </c>
      <c r="Q4313">
        <v>2.1752529999999999E-2</v>
      </c>
      <c r="R4313">
        <v>-0.26526939999999999</v>
      </c>
      <c r="S4313">
        <v>-3.054001</v>
      </c>
      <c r="T4313">
        <v>-0.10813109999999999</v>
      </c>
      <c r="U4313">
        <v>-0.23722840000000001</v>
      </c>
      <c r="V4313">
        <v>0.1039901</v>
      </c>
      <c r="W4313">
        <v>3.5177420000000001E-2</v>
      </c>
      <c r="X4313">
        <v>0.99395599999999995</v>
      </c>
      <c r="Y4313">
        <v>0.2906146</v>
      </c>
      <c r="Z4313">
        <v>1.7734079999999999E-2</v>
      </c>
      <c r="AA4313">
        <v>0.95667579999999997</v>
      </c>
      <c r="AB4313">
        <v>17</v>
      </c>
      <c r="AC4313">
        <v>-30.398699999999899</v>
      </c>
      <c r="AD4313">
        <v>-1.1056903800409901</v>
      </c>
      <c r="AE4313">
        <v>-2.1085000000000198</v>
      </c>
      <c r="AF4313">
        <v>9.0964854815917295</v>
      </c>
      <c r="AG4313">
        <v>-1.1056903800409901</v>
      </c>
      <c r="AH4313">
        <v>29.040323757980399</v>
      </c>
      <c r="AI4313">
        <v>92.080843409943299</v>
      </c>
      <c r="AJ4313">
        <v>72.607546379308701</v>
      </c>
      <c r="AK4313">
        <v>30.4517487724703</v>
      </c>
    </row>
    <row r="4314" spans="1:37" x14ac:dyDescent="0.2">
      <c r="A4314" t="str">
        <f>"20200111155634985"</f>
        <v>20200111155634985</v>
      </c>
      <c r="B4314" t="str">
        <f>"1578729394977036"</f>
        <v>1578729394977036</v>
      </c>
      <c r="C4314" t="s">
        <v>37</v>
      </c>
      <c r="D4314">
        <v>4.9260859999999997</v>
      </c>
      <c r="E4314">
        <v>0.5749244</v>
      </c>
      <c r="F4314" t="s">
        <v>38</v>
      </c>
      <c r="G4314">
        <v>-236.2903</v>
      </c>
      <c r="H4314" s="1">
        <v>-2.2552040000000001E-6</v>
      </c>
      <c r="I4314">
        <v>142.17740000000001</v>
      </c>
      <c r="J4314">
        <v>-208.05889999999999</v>
      </c>
      <c r="K4314">
        <v>1.105756</v>
      </c>
      <c r="L4314">
        <v>144.1772</v>
      </c>
      <c r="M4314">
        <v>-0.93098349999999996</v>
      </c>
      <c r="N4314">
        <v>0</v>
      </c>
      <c r="O4314">
        <v>-0.36481760000000002</v>
      </c>
      <c r="P4314">
        <v>-0.96412710000000001</v>
      </c>
      <c r="Q4314">
        <v>1.891578E-2</v>
      </c>
      <c r="R4314">
        <v>-0.26476679999999903</v>
      </c>
      <c r="S4314">
        <v>-3.053909</v>
      </c>
      <c r="T4314">
        <v>-0.1189486</v>
      </c>
      <c r="U4314">
        <v>-0.221786499999999</v>
      </c>
      <c r="V4314">
        <v>0.10519049999999899</v>
      </c>
      <c r="W4314">
        <v>3.2358070000000003E-2</v>
      </c>
      <c r="X4314">
        <v>0.99392549999999902</v>
      </c>
      <c r="Y4314">
        <v>0.29596640000000002</v>
      </c>
      <c r="Z4314">
        <v>1.964103E-2</v>
      </c>
      <c r="AA4314">
        <v>0.95499639999999997</v>
      </c>
      <c r="AB4314">
        <v>17</v>
      </c>
      <c r="AC4314">
        <v>-28.231400000000001</v>
      </c>
      <c r="AD4314">
        <v>-1.105758255204</v>
      </c>
      <c r="AE4314">
        <v>-1.99979999999999</v>
      </c>
      <c r="AF4314">
        <v>8.4254202007108603</v>
      </c>
      <c r="AG4314">
        <v>-1.105758255204</v>
      </c>
      <c r="AH4314">
        <v>26.973758091836899</v>
      </c>
      <c r="AI4314">
        <v>92.240807044977004</v>
      </c>
      <c r="AJ4314">
        <v>72.653482513928594</v>
      </c>
      <c r="AK4314">
        <v>28.280629987226799</v>
      </c>
    </row>
    <row r="4315" spans="1:37" x14ac:dyDescent="0.2">
      <c r="A4315" t="str">
        <f>"20200111155635007"</f>
        <v>20200111155635007</v>
      </c>
      <c r="B4315" t="str">
        <f>"1578729394996555"</f>
        <v>1578729394996555</v>
      </c>
      <c r="C4315" t="s">
        <v>37</v>
      </c>
      <c r="D4315">
        <v>5.1874079999999996</v>
      </c>
      <c r="E4315">
        <v>0.574596</v>
      </c>
      <c r="F4315" t="s">
        <v>38</v>
      </c>
      <c r="G4315">
        <v>-234.16390000000001</v>
      </c>
      <c r="H4315" s="1">
        <v>-3.1911700000000001E-6</v>
      </c>
      <c r="I4315">
        <v>142.26669999999999</v>
      </c>
      <c r="J4315">
        <v>-208.2098</v>
      </c>
      <c r="K4315">
        <v>1.1057840000000001</v>
      </c>
      <c r="L4315">
        <v>144.11709999999999</v>
      </c>
      <c r="M4315">
        <v>-0.93068430000000002</v>
      </c>
      <c r="N4315">
        <v>0</v>
      </c>
      <c r="O4315">
        <v>-0.36558069999999998</v>
      </c>
      <c r="P4315">
        <v>-0.96428749999999996</v>
      </c>
      <c r="Q4315">
        <v>1.629452E-2</v>
      </c>
      <c r="R4315">
        <v>-0.26435700000000001</v>
      </c>
      <c r="S4315">
        <v>-3.0527950000000001</v>
      </c>
      <c r="T4315">
        <v>-0.1293106</v>
      </c>
      <c r="U4315">
        <v>-0.22341920000000001</v>
      </c>
      <c r="V4315">
        <v>0.1064469</v>
      </c>
      <c r="W4315">
        <v>2.974626E-2</v>
      </c>
      <c r="X4315">
        <v>0.99387340000000002</v>
      </c>
      <c r="Y4315">
        <v>0.29612680000000002</v>
      </c>
      <c r="Z4315">
        <v>2.1391130000000001E-2</v>
      </c>
      <c r="AA4315">
        <v>0.95490909999999996</v>
      </c>
      <c r="AB4315">
        <v>17</v>
      </c>
      <c r="AC4315">
        <v>-25.9541</v>
      </c>
      <c r="AD4315">
        <v>-1.1057871911699999</v>
      </c>
      <c r="AE4315">
        <v>-1.8504</v>
      </c>
      <c r="AF4315">
        <v>7.7528670526858496</v>
      </c>
      <c r="AG4315">
        <v>-1.1057871911699999</v>
      </c>
      <c r="AH4315">
        <v>24.7889777524022</v>
      </c>
      <c r="AI4315">
        <v>92.437859709019094</v>
      </c>
      <c r="AJ4315">
        <v>72.632686155472797</v>
      </c>
      <c r="AK4315">
        <v>25.996598447832898</v>
      </c>
    </row>
    <row r="4316" spans="1:37" x14ac:dyDescent="0.2">
      <c r="A4316" t="str">
        <f>"20200111155635029"</f>
        <v>20200111155635029</v>
      </c>
      <c r="B4316" t="str">
        <f>"1578729395017052"</f>
        <v>1578729395017052</v>
      </c>
      <c r="C4316" t="s">
        <v>37</v>
      </c>
      <c r="D4316">
        <v>4.9939039999999997</v>
      </c>
      <c r="E4316">
        <v>0.574596</v>
      </c>
      <c r="F4316" t="s">
        <v>38</v>
      </c>
      <c r="G4316">
        <v>-232.7319</v>
      </c>
      <c r="H4316" s="1">
        <v>-3.8175770000000001E-6</v>
      </c>
      <c r="I4316">
        <v>142.31200000000001</v>
      </c>
      <c r="J4316">
        <v>-208.36879999999999</v>
      </c>
      <c r="K4316">
        <v>1.1057969999999999</v>
      </c>
      <c r="L4316">
        <v>144.05340000000001</v>
      </c>
      <c r="M4316">
        <v>-0.93031070000000005</v>
      </c>
      <c r="N4316">
        <v>0</v>
      </c>
      <c r="O4316">
        <v>-0.36653009999999903</v>
      </c>
      <c r="P4316">
        <v>-0.96425209999999995</v>
      </c>
      <c r="Q4316">
        <v>1.364275E-2</v>
      </c>
      <c r="R4316">
        <v>-0.26463540000000002</v>
      </c>
      <c r="S4316">
        <v>-3.0518190000000001</v>
      </c>
      <c r="T4316">
        <v>-0.137617299999999</v>
      </c>
      <c r="U4316">
        <v>-0.224639899999999</v>
      </c>
      <c r="V4316">
        <v>0.1071921</v>
      </c>
      <c r="W4316">
        <v>2.7100409999999998E-2</v>
      </c>
      <c r="X4316">
        <v>0.99386890000000006</v>
      </c>
      <c r="Y4316">
        <v>0.29662109999999903</v>
      </c>
      <c r="Z4316">
        <v>2.282168E-2</v>
      </c>
      <c r="AA4316">
        <v>0.95472250000000003</v>
      </c>
      <c r="AB4316">
        <v>17</v>
      </c>
      <c r="AC4316">
        <v>-24.363099999999999</v>
      </c>
      <c r="AD4316">
        <v>-1.105800817577</v>
      </c>
      <c r="AE4316">
        <v>-1.7413999999999901</v>
      </c>
      <c r="AF4316">
        <v>7.2954629356969596</v>
      </c>
      <c r="AG4316">
        <v>-1.105800817577</v>
      </c>
      <c r="AH4316">
        <v>23.257928617330599</v>
      </c>
      <c r="AI4316">
        <v>92.597478646685005</v>
      </c>
      <c r="AJ4316">
        <v>72.5845907399558</v>
      </c>
      <c r="AK4316">
        <v>24.400365129709201</v>
      </c>
    </row>
    <row r="4317" spans="1:37" x14ac:dyDescent="0.2">
      <c r="A4317" t="str">
        <f>"20200111155635053"</f>
        <v>20200111155635053</v>
      </c>
      <c r="B4317" t="str">
        <f>"1578729395047309"</f>
        <v>1578729395047309</v>
      </c>
      <c r="C4317" t="s">
        <v>37</v>
      </c>
      <c r="D4317">
        <v>5.1469879999999897</v>
      </c>
      <c r="E4317">
        <v>0.574596</v>
      </c>
      <c r="F4317" t="s">
        <v>38</v>
      </c>
      <c r="G4317">
        <v>-231.51509999999999</v>
      </c>
      <c r="H4317" s="1">
        <v>-4.2441139999999997E-6</v>
      </c>
      <c r="I4317">
        <v>142.34309999999999</v>
      </c>
      <c r="J4317">
        <v>-208.53530000000001</v>
      </c>
      <c r="K4317">
        <v>1.1057900000000001</v>
      </c>
      <c r="L4317">
        <v>143.9864</v>
      </c>
      <c r="M4317">
        <v>-0.92987600000000004</v>
      </c>
      <c r="N4317">
        <v>0</v>
      </c>
      <c r="O4317">
        <v>-0.36763109999999999</v>
      </c>
      <c r="P4317">
        <v>-0.96433060000000004</v>
      </c>
      <c r="Q4317">
        <v>1.1323349999999999E-2</v>
      </c>
      <c r="R4317">
        <v>-0.26445839999999998</v>
      </c>
      <c r="S4317">
        <v>-3.0513759999999999</v>
      </c>
      <c r="T4317">
        <v>-0.14577770000000001</v>
      </c>
      <c r="U4317">
        <v>-0.22546389999999999</v>
      </c>
      <c r="V4317">
        <v>0.1085658</v>
      </c>
      <c r="W4317">
        <v>2.478472E-2</v>
      </c>
      <c r="X4317">
        <v>0.99378029999999995</v>
      </c>
      <c r="Y4317">
        <v>0.29740299999999997</v>
      </c>
      <c r="Z4317">
        <v>2.424428E-2</v>
      </c>
      <c r="AA4317">
        <v>0.95444419999999996</v>
      </c>
      <c r="AB4317">
        <v>17</v>
      </c>
      <c r="AC4317">
        <v>-22.979799999999901</v>
      </c>
      <c r="AD4317">
        <v>-1.1057942441140001</v>
      </c>
      <c r="AE4317">
        <v>-1.64330000000001</v>
      </c>
      <c r="AF4317">
        <v>6.9047328985144496</v>
      </c>
      <c r="AG4317">
        <v>-1.1057942441140001</v>
      </c>
      <c r="AH4317">
        <v>21.923940564557999</v>
      </c>
      <c r="AI4317">
        <v>92.754277918306201</v>
      </c>
      <c r="AJ4317">
        <v>72.518683379561494</v>
      </c>
      <c r="AK4317">
        <v>23.012111749868001</v>
      </c>
    </row>
    <row r="4318" spans="1:37" x14ac:dyDescent="0.2">
      <c r="A4318" t="str">
        <f>"20200111155635075"</f>
        <v>20200111155635075</v>
      </c>
      <c r="B4318" t="str">
        <f>"1578729395066828"</f>
        <v>1578729395066828</v>
      </c>
      <c r="C4318" t="s">
        <v>37</v>
      </c>
      <c r="D4318">
        <v>5.3416579999999998</v>
      </c>
      <c r="E4318">
        <v>0.574596</v>
      </c>
      <c r="F4318" t="s">
        <v>38</v>
      </c>
      <c r="G4318">
        <v>-230.68860000000001</v>
      </c>
      <c r="H4318" s="1">
        <v>-4.5275210000000002E-6</v>
      </c>
      <c r="I4318">
        <v>142.35509999999999</v>
      </c>
      <c r="J4318">
        <v>-208.69290000000001</v>
      </c>
      <c r="K4318">
        <v>1.105756</v>
      </c>
      <c r="L4318">
        <v>143.92259999999999</v>
      </c>
      <c r="M4318">
        <v>-0.92944159999999998</v>
      </c>
      <c r="N4318">
        <v>0</v>
      </c>
      <c r="O4318">
        <v>-0.36872890000000003</v>
      </c>
      <c r="P4318">
        <v>-0.96412180000000003</v>
      </c>
      <c r="Q4318">
        <v>8.9056759999999995E-3</v>
      </c>
      <c r="R4318">
        <v>-0.26531120000000002</v>
      </c>
      <c r="S4318">
        <v>-3.0511469999999998</v>
      </c>
      <c r="T4318">
        <v>-0.15230009999999999</v>
      </c>
      <c r="U4318">
        <v>-0.22467039999999899</v>
      </c>
      <c r="V4318">
        <v>0.108874499999999</v>
      </c>
      <c r="W4318">
        <v>2.2364490000000001E-2</v>
      </c>
      <c r="X4318">
        <v>0.99380389999999996</v>
      </c>
      <c r="Y4318">
        <v>0.2987012</v>
      </c>
      <c r="Z4318">
        <v>2.5413560000000002E-2</v>
      </c>
      <c r="AA4318">
        <v>0.95400819999999997</v>
      </c>
      <c r="AB4318">
        <v>17</v>
      </c>
      <c r="AC4318">
        <v>-21.995699999999999</v>
      </c>
      <c r="AD4318">
        <v>-1.1057605275210001</v>
      </c>
      <c r="AE4318">
        <v>-1.5674999999999899</v>
      </c>
      <c r="AF4318">
        <v>6.6374508324281001</v>
      </c>
      <c r="AG4318">
        <v>-1.1057605275210001</v>
      </c>
      <c r="AH4318">
        <v>20.970834533966102</v>
      </c>
      <c r="AI4318">
        <v>92.877869762587906</v>
      </c>
      <c r="AJ4318">
        <v>72.436969386770002</v>
      </c>
      <c r="AK4318">
        <v>22.023949712713002</v>
      </c>
    </row>
    <row r="4319" spans="1:37" x14ac:dyDescent="0.2">
      <c r="A4319" t="str">
        <f>"20200111155635119"</f>
        <v>20200111155635119</v>
      </c>
      <c r="B4319" t="str">
        <f>"1578729395106843"</f>
        <v>1578729395106843</v>
      </c>
      <c r="C4319" t="s">
        <v>37</v>
      </c>
      <c r="D4319">
        <v>4.9640019999999998</v>
      </c>
      <c r="E4319">
        <v>0.56522620000000001</v>
      </c>
      <c r="F4319" t="s">
        <v>38</v>
      </c>
      <c r="G4319">
        <v>-229.98169999999999</v>
      </c>
      <c r="H4319" s="1">
        <v>-4.7652419999999996E-6</v>
      </c>
      <c r="I4319">
        <v>142.3391</v>
      </c>
      <c r="J4319">
        <v>-209.0033</v>
      </c>
      <c r="K4319">
        <v>1.105639</v>
      </c>
      <c r="L4319">
        <v>143.7962</v>
      </c>
      <c r="M4319">
        <v>-0.92858980000000002</v>
      </c>
      <c r="N4319">
        <v>0</v>
      </c>
      <c r="O4319">
        <v>-0.37086929999999901</v>
      </c>
      <c r="P4319">
        <v>-0.96402199999999905</v>
      </c>
      <c r="Q4319">
        <v>7.0389719999999897E-3</v>
      </c>
      <c r="R4319">
        <v>-0.26573039999999998</v>
      </c>
      <c r="S4319">
        <v>-3.050659</v>
      </c>
      <c r="T4319">
        <v>-0.15845409999999999</v>
      </c>
      <c r="U4319">
        <v>-0.22689819999999999</v>
      </c>
      <c r="V4319">
        <v>0.11074629999999901</v>
      </c>
      <c r="W4319">
        <v>2.046806E-2</v>
      </c>
      <c r="X4319">
        <v>0.99363789999999996</v>
      </c>
      <c r="Y4319">
        <v>0.300124</v>
      </c>
      <c r="Z4319">
        <v>2.6582580000000001E-2</v>
      </c>
      <c r="AA4319">
        <v>0.95352969999999904</v>
      </c>
      <c r="AB4319">
        <v>17</v>
      </c>
      <c r="AC4319">
        <v>-20.978399999999901</v>
      </c>
      <c r="AD4319">
        <v>-1.1056437652419999</v>
      </c>
      <c r="AE4319">
        <v>-1.4570999999999901</v>
      </c>
      <c r="AF4319">
        <v>6.4100453199350804</v>
      </c>
      <c r="AG4319">
        <v>-1.1056437652419999</v>
      </c>
      <c r="AH4319">
        <v>19.9672965205786</v>
      </c>
      <c r="AI4319">
        <v>93.017987286056496</v>
      </c>
      <c r="AJ4319">
        <v>72.201956876488396</v>
      </c>
      <c r="AK4319">
        <v>21.000096654062101</v>
      </c>
    </row>
    <row r="4320" spans="1:37" x14ac:dyDescent="0.2">
      <c r="A4320" t="str">
        <f>"20200111155635141"</f>
        <v>20200111155635141</v>
      </c>
      <c r="B4320" t="str">
        <f>"1578729395137101"</f>
        <v>1578729395137101</v>
      </c>
      <c r="C4320" t="s">
        <v>37</v>
      </c>
      <c r="D4320">
        <v>4.8253680000000001</v>
      </c>
      <c r="E4320">
        <v>0.55883989999999995</v>
      </c>
      <c r="F4320" t="s">
        <v>38</v>
      </c>
      <c r="G4320">
        <v>-230.01240000000001</v>
      </c>
      <c r="H4320" s="1">
        <v>-4.6447949999999996E-6</v>
      </c>
      <c r="I4320">
        <v>141.71899999999999</v>
      </c>
      <c r="J4320">
        <v>-209.1661</v>
      </c>
      <c r="K4320">
        <v>1.105521</v>
      </c>
      <c r="L4320">
        <v>143.7296</v>
      </c>
      <c r="M4320">
        <v>-0.92819549999999995</v>
      </c>
      <c r="N4320">
        <v>0</v>
      </c>
      <c r="O4320">
        <v>-0.37185449999999998</v>
      </c>
      <c r="P4320">
        <v>-0.96406329999999996</v>
      </c>
      <c r="Q4320">
        <v>7.1942619999999999E-3</v>
      </c>
      <c r="R4320">
        <v>-0.26557509999999901</v>
      </c>
      <c r="S4320">
        <v>-3.030548</v>
      </c>
      <c r="T4320">
        <v>-0.1594882</v>
      </c>
      <c r="U4320">
        <v>-0.29962159999999999</v>
      </c>
      <c r="V4320">
        <v>0.1119658</v>
      </c>
      <c r="W4320">
        <v>2.0589150000000001E-2</v>
      </c>
      <c r="X4320">
        <v>0.99349869999999996</v>
      </c>
      <c r="Y4320">
        <v>0.27788889999999999</v>
      </c>
      <c r="Z4320">
        <v>2.634819E-2</v>
      </c>
      <c r="AA4320">
        <v>0.96025179999999999</v>
      </c>
      <c r="AB4320">
        <v>17</v>
      </c>
      <c r="AC4320">
        <v>-20.846299999999999</v>
      </c>
      <c r="AD4320">
        <v>-1.1055256447949999</v>
      </c>
      <c r="AE4320">
        <v>-2.0106000000000099</v>
      </c>
      <c r="AF4320">
        <v>5.8697265785412602</v>
      </c>
      <c r="AG4320">
        <v>-1.1055256447949999</v>
      </c>
      <c r="AH4320">
        <v>20.043024997978801</v>
      </c>
      <c r="AI4320">
        <v>93.030087400124401</v>
      </c>
      <c r="AJ4320">
        <v>73.676997098392505</v>
      </c>
      <c r="AK4320">
        <v>20.914079662460299</v>
      </c>
    </row>
    <row r="4321" spans="1:37" x14ac:dyDescent="0.2">
      <c r="A4321" t="str">
        <f>"20200111155635165"</f>
        <v>20200111155635165</v>
      </c>
      <c r="B4321" t="str">
        <f>"1578729395157595"</f>
        <v>1578729395157595</v>
      </c>
      <c r="C4321" t="s">
        <v>37</v>
      </c>
      <c r="D4321">
        <v>5.0313699999999999</v>
      </c>
      <c r="E4321">
        <v>0.55604299999999995</v>
      </c>
      <c r="F4321" t="s">
        <v>38</v>
      </c>
      <c r="G4321">
        <v>-228.42699999999999</v>
      </c>
      <c r="H4321" s="1">
        <v>-1.15935E-6</v>
      </c>
      <c r="I4321">
        <v>141.50370000000001</v>
      </c>
      <c r="J4321">
        <v>-209.32570000000001</v>
      </c>
      <c r="K4321">
        <v>1.1053919999999999</v>
      </c>
      <c r="L4321">
        <v>143.6644</v>
      </c>
      <c r="M4321">
        <v>-0.92786159999999995</v>
      </c>
      <c r="N4321">
        <v>0</v>
      </c>
      <c r="O4321">
        <v>-0.3726875</v>
      </c>
      <c r="P4321">
        <v>-0.96424560000000004</v>
      </c>
      <c r="Q4321">
        <v>6.6798179999999997E-3</v>
      </c>
      <c r="R4321">
        <v>-0.26492659999999901</v>
      </c>
      <c r="S4321">
        <v>-3.01709</v>
      </c>
      <c r="T4321">
        <v>-0.1731733</v>
      </c>
      <c r="U4321">
        <v>-0.34866329999999901</v>
      </c>
      <c r="V4321">
        <v>0.1135347</v>
      </c>
      <c r="W4321">
        <v>2.0033749999999999E-2</v>
      </c>
      <c r="X4321">
        <v>0.99333199999999999</v>
      </c>
      <c r="Y4321">
        <v>0.26273099999999999</v>
      </c>
      <c r="Z4321">
        <v>2.8302569999999999E-2</v>
      </c>
      <c r="AA4321">
        <v>0.96445389999999998</v>
      </c>
      <c r="AB4321">
        <v>17</v>
      </c>
      <c r="AC4321">
        <v>-19.101299999999998</v>
      </c>
      <c r="AD4321">
        <v>-1.1053931593499999</v>
      </c>
      <c r="AE4321">
        <v>-2.1606999999999901</v>
      </c>
      <c r="AF4321">
        <v>5.0975816953887403</v>
      </c>
      <c r="AG4321">
        <v>-1.1053931593499999</v>
      </c>
      <c r="AH4321">
        <v>18.469196701727299</v>
      </c>
      <c r="AI4321">
        <v>93.301931678172394</v>
      </c>
      <c r="AJ4321">
        <v>74.570254522681594</v>
      </c>
      <c r="AK4321">
        <v>19.191624735415001</v>
      </c>
    </row>
    <row r="4322" spans="1:37" x14ac:dyDescent="0.2">
      <c r="A4322" t="str">
        <f>"20200111155635186"</f>
        <v>20200111155635186</v>
      </c>
      <c r="B4322" t="str">
        <f>"1578729395177116"</f>
        <v>1578729395177116</v>
      </c>
      <c r="C4322" t="s">
        <v>37</v>
      </c>
      <c r="D4322">
        <v>5.0253399999999999</v>
      </c>
      <c r="E4322">
        <v>0.55418350000000005</v>
      </c>
      <c r="F4322" t="s">
        <v>38</v>
      </c>
      <c r="G4322">
        <v>-228.57050000000001</v>
      </c>
      <c r="H4322" s="1">
        <v>-1.0468299999999899E-6</v>
      </c>
      <c r="I4322">
        <v>141.31219999999999</v>
      </c>
      <c r="J4322">
        <v>-209.47829999999999</v>
      </c>
      <c r="K4322">
        <v>1.1052420000000001</v>
      </c>
      <c r="L4322">
        <v>143.602</v>
      </c>
      <c r="M4322">
        <v>-0.92761190000000004</v>
      </c>
      <c r="N4322">
        <v>0</v>
      </c>
      <c r="O4322">
        <v>-0.37330839999999998</v>
      </c>
      <c r="P4322">
        <v>-0.96445110000000001</v>
      </c>
      <c r="Q4322">
        <v>6.0914139999999999E-3</v>
      </c>
      <c r="R4322">
        <v>-0.26419130000000002</v>
      </c>
      <c r="S4322">
        <v>-3.011307</v>
      </c>
      <c r="T4322">
        <v>-0.17296520000000001</v>
      </c>
      <c r="U4322">
        <v>-0.36804199999999998</v>
      </c>
      <c r="V4322">
        <v>0.11496629999999999</v>
      </c>
      <c r="W4322">
        <v>1.9398729999999999E-2</v>
      </c>
      <c r="X4322">
        <v>0.99317999999999995</v>
      </c>
      <c r="Y4322">
        <v>0.25704899999999897</v>
      </c>
      <c r="Z4322">
        <v>2.8175929999999998E-2</v>
      </c>
      <c r="AA4322">
        <v>0.96598759999999995</v>
      </c>
      <c r="AB4322">
        <v>17</v>
      </c>
      <c r="AC4322">
        <v>-19.092199999999998</v>
      </c>
      <c r="AD4322">
        <v>-1.1052430468300001</v>
      </c>
      <c r="AE4322">
        <v>-2.2898000000000098</v>
      </c>
      <c r="AF4322">
        <v>4.98719952101444</v>
      </c>
      <c r="AG4322">
        <v>-1.1052430468300001</v>
      </c>
      <c r="AH4322">
        <v>18.505460149980699</v>
      </c>
      <c r="AI4322">
        <v>93.300463326912904</v>
      </c>
      <c r="AJ4322">
        <v>74.917193069081193</v>
      </c>
      <c r="AK4322">
        <v>19.1975461092686</v>
      </c>
    </row>
    <row r="4323" spans="1:37" x14ac:dyDescent="0.2">
      <c r="A4323" t="str">
        <f>"20200111155635208"</f>
        <v>20200111155635208</v>
      </c>
      <c r="B4323" t="str">
        <f>"1578729395197612"</f>
        <v>1578729395197612</v>
      </c>
      <c r="C4323" t="s">
        <v>37</v>
      </c>
      <c r="D4323">
        <v>4.9849500000000004</v>
      </c>
      <c r="E4323">
        <v>0.5522937</v>
      </c>
      <c r="F4323" t="s">
        <v>38</v>
      </c>
      <c r="G4323">
        <v>-227.89869999999999</v>
      </c>
      <c r="H4323" s="1">
        <v>-1.3251199999999999E-6</v>
      </c>
      <c r="I4323">
        <v>141.27500000000001</v>
      </c>
      <c r="J4323">
        <v>-209.6267</v>
      </c>
      <c r="K4323">
        <v>1.105057</v>
      </c>
      <c r="L4323">
        <v>143.54159999999999</v>
      </c>
      <c r="M4323">
        <v>-0.92746360000000005</v>
      </c>
      <c r="N4323">
        <v>0</v>
      </c>
      <c r="O4323">
        <v>-0.37367719999999999</v>
      </c>
      <c r="P4323">
        <v>-0.96430869999999902</v>
      </c>
      <c r="Q4323">
        <v>5.6949339999999996E-3</v>
      </c>
      <c r="R4323">
        <v>-0.26472030000000002</v>
      </c>
      <c r="S4323">
        <v>-3.00766</v>
      </c>
      <c r="T4323">
        <v>-0.18046280000000001</v>
      </c>
      <c r="U4323">
        <v>-0.3799438</v>
      </c>
      <c r="V4323">
        <v>0.1148257</v>
      </c>
      <c r="W4323">
        <v>1.8950109999999999E-2</v>
      </c>
      <c r="X4323">
        <v>0.99320489999999995</v>
      </c>
      <c r="Y4323">
        <v>0.25344240000000001</v>
      </c>
      <c r="Z4323">
        <v>2.933202E-2</v>
      </c>
      <c r="AA4323">
        <v>0.96690569999999898</v>
      </c>
      <c r="AB4323">
        <v>17</v>
      </c>
      <c r="AC4323">
        <v>-18.271999999999899</v>
      </c>
      <c r="AD4323">
        <v>-1.1050583251199999</v>
      </c>
      <c r="AE4323">
        <v>-2.26659999999998</v>
      </c>
      <c r="AF4323">
        <v>4.7090951393915299</v>
      </c>
      <c r="AG4323">
        <v>-1.1050583251199999</v>
      </c>
      <c r="AH4323">
        <v>17.7312917775768</v>
      </c>
      <c r="AI4323">
        <v>93.447013286898695</v>
      </c>
      <c r="AJ4323">
        <v>75.126670056416899</v>
      </c>
      <c r="AK4323">
        <v>18.379212144031602</v>
      </c>
    </row>
    <row r="4324" spans="1:37" x14ac:dyDescent="0.2">
      <c r="A4324" t="str">
        <f>"20200111155635230"</f>
        <v>20200111155635230</v>
      </c>
      <c r="B4324" t="str">
        <f>"1578729395226892"</f>
        <v>1578729395226892</v>
      </c>
      <c r="C4324" t="s">
        <v>37</v>
      </c>
      <c r="D4324">
        <v>5.1053649999999999</v>
      </c>
      <c r="E4324">
        <v>0.55057049999999996</v>
      </c>
      <c r="F4324" t="s">
        <v>38</v>
      </c>
      <c r="G4324">
        <v>-227.58539999999999</v>
      </c>
      <c r="H4324" s="1">
        <v>-1.4325999999999901E-6</v>
      </c>
      <c r="I4324">
        <v>141.1739</v>
      </c>
      <c r="J4324">
        <v>-209.78360000000001</v>
      </c>
      <c r="K4324">
        <v>1.104811</v>
      </c>
      <c r="L4324">
        <v>143.47799999999901</v>
      </c>
      <c r="M4324">
        <v>-0.92743549999999997</v>
      </c>
      <c r="N4324">
        <v>0</v>
      </c>
      <c r="O4324">
        <v>-0.37374679999999999</v>
      </c>
      <c r="P4324">
        <v>-0.96368169999999898</v>
      </c>
      <c r="Q4324">
        <v>3.781618E-3</v>
      </c>
      <c r="R4324">
        <v>-0.26702720000000002</v>
      </c>
      <c r="S4324">
        <v>-3.0034329999999998</v>
      </c>
      <c r="T4324">
        <v>-0.18481110000000001</v>
      </c>
      <c r="U4324">
        <v>-0.39596559999999997</v>
      </c>
      <c r="V4324">
        <v>0.112535999999999</v>
      </c>
      <c r="W4324">
        <v>1.6975839999999999E-2</v>
      </c>
      <c r="X4324">
        <v>0.99350260000000001</v>
      </c>
      <c r="Y4324">
        <v>0.24822420000000001</v>
      </c>
      <c r="Z4324">
        <v>2.9907699999999999E-2</v>
      </c>
      <c r="AA4324">
        <v>0.96824080000000001</v>
      </c>
      <c r="AB4324">
        <v>17</v>
      </c>
      <c r="AC4324">
        <v>-17.801799999999901</v>
      </c>
      <c r="AD4324">
        <v>-1.1048124325999999</v>
      </c>
      <c r="AE4324">
        <v>-2.3040999999999698</v>
      </c>
      <c r="AF4324">
        <v>4.4998145379545997</v>
      </c>
      <c r="AG4324">
        <v>-1.1048124325999999</v>
      </c>
      <c r="AH4324">
        <v>17.307143328832201</v>
      </c>
      <c r="AI4324">
        <v>93.5353313371604</v>
      </c>
      <c r="AJ4324">
        <v>75.425916296154696</v>
      </c>
      <c r="AK4324">
        <v>17.916644540537099</v>
      </c>
    </row>
    <row r="4325" spans="1:37" x14ac:dyDescent="0.2">
      <c r="A4325" t="str">
        <f>"20200111155635254"</f>
        <v>20200111155635254</v>
      </c>
      <c r="B4325" t="str">
        <f>"1578729395247388"</f>
        <v>1578729395247388</v>
      </c>
      <c r="C4325" t="s">
        <v>37</v>
      </c>
      <c r="D4325">
        <v>5.1024820000000002</v>
      </c>
      <c r="E4325">
        <v>0.54983130000000002</v>
      </c>
      <c r="F4325" t="s">
        <v>38</v>
      </c>
      <c r="G4325">
        <v>-226.7929</v>
      </c>
      <c r="H4325" s="1">
        <v>-1.757742E-6</v>
      </c>
      <c r="I4325">
        <v>141.1182</v>
      </c>
      <c r="J4325">
        <v>-209.9486</v>
      </c>
      <c r="K4325">
        <v>1.1044889999999901</v>
      </c>
      <c r="L4325">
        <v>143.41159999999999</v>
      </c>
      <c r="M4325">
        <v>-0.92757509999999999</v>
      </c>
      <c r="N4325">
        <v>0</v>
      </c>
      <c r="O4325">
        <v>-0.37340029999999902</v>
      </c>
      <c r="P4325">
        <v>-0.96265409999999996</v>
      </c>
      <c r="Q4325">
        <v>-3.0253290000000002E-3</v>
      </c>
      <c r="R4325">
        <v>-0.27071840000000003</v>
      </c>
      <c r="S4325">
        <v>-2.9985499999999998</v>
      </c>
      <c r="T4325">
        <v>-0.19476650000000001</v>
      </c>
      <c r="U4325">
        <v>-0.41600039999999999</v>
      </c>
      <c r="V4325">
        <v>0.1083628</v>
      </c>
      <c r="W4325">
        <v>1.01005E-2</v>
      </c>
      <c r="X4325">
        <v>0.9940601</v>
      </c>
      <c r="Y4325">
        <v>0.2411884</v>
      </c>
      <c r="Z4325">
        <v>3.1296820000000003E-2</v>
      </c>
      <c r="AA4325">
        <v>0.96997359999999899</v>
      </c>
      <c r="AB4325">
        <v>17</v>
      </c>
      <c r="AC4325">
        <v>-16.8443</v>
      </c>
      <c r="AD4325">
        <v>-1.10449075774199</v>
      </c>
      <c r="AE4325">
        <v>-2.2933999999999899</v>
      </c>
      <c r="AF4325">
        <v>4.1452355489090298</v>
      </c>
      <c r="AG4325">
        <v>-1.10449075774199</v>
      </c>
      <c r="AH4325">
        <v>16.412882459920102</v>
      </c>
      <c r="AI4325">
        <v>93.732995779890203</v>
      </c>
      <c r="AJ4325">
        <v>75.825797489127595</v>
      </c>
      <c r="AK4325">
        <v>16.9642444050134</v>
      </c>
    </row>
    <row r="4326" spans="1:37" x14ac:dyDescent="0.2">
      <c r="A4326" t="str">
        <f>"20200111155635275"</f>
        <v>20200111155635275</v>
      </c>
      <c r="B4326" t="str">
        <f>"1578729395266907"</f>
        <v>1578729395266907</v>
      </c>
      <c r="C4326" t="s">
        <v>37</v>
      </c>
      <c r="D4326">
        <v>5.0645959999999999</v>
      </c>
      <c r="E4326">
        <v>0.54915449999999999</v>
      </c>
      <c r="F4326" t="s">
        <v>38</v>
      </c>
      <c r="G4326">
        <v>-225.29230000000001</v>
      </c>
      <c r="H4326" s="1">
        <v>-2.4225519999999998E-6</v>
      </c>
      <c r="I4326">
        <v>141.19720000000001</v>
      </c>
      <c r="J4326">
        <v>-210.10130000000001</v>
      </c>
      <c r="K4326">
        <v>1.104136</v>
      </c>
      <c r="L4326">
        <v>143.3509</v>
      </c>
      <c r="M4326">
        <v>-0.92788250000000005</v>
      </c>
      <c r="N4326">
        <v>0</v>
      </c>
      <c r="O4326">
        <v>-0.37263570000000001</v>
      </c>
      <c r="P4326">
        <v>-0.96123959999999997</v>
      </c>
      <c r="Q4326">
        <v>-1.2293439999999999E-2</v>
      </c>
      <c r="R4326">
        <v>-0.27544190000000002</v>
      </c>
      <c r="S4326">
        <v>-2.994202</v>
      </c>
      <c r="T4326">
        <v>-0.21553359999999999</v>
      </c>
      <c r="U4326">
        <v>-0.43212889999999998</v>
      </c>
      <c r="V4326">
        <v>0.1026252</v>
      </c>
      <c r="W4326">
        <v>7.7230140000000001E-4</v>
      </c>
      <c r="X4326">
        <v>0.99471980000000004</v>
      </c>
      <c r="Y4326">
        <v>0.23481050000000001</v>
      </c>
      <c r="Z4326">
        <v>3.4376959999999998E-2</v>
      </c>
      <c r="AA4326">
        <v>0.97143310000000005</v>
      </c>
      <c r="AB4326">
        <v>17</v>
      </c>
      <c r="AC4326">
        <v>-15.191000000000001</v>
      </c>
      <c r="AD4326">
        <v>-1.1041384225519999</v>
      </c>
      <c r="AE4326">
        <v>-2.1536999999999802</v>
      </c>
      <c r="AF4326">
        <v>3.6437814706510201</v>
      </c>
      <c r="AG4326">
        <v>-1.1041384225519999</v>
      </c>
      <c r="AH4326">
        <v>14.8225614821104</v>
      </c>
      <c r="AI4326">
        <v>94.137385128848095</v>
      </c>
      <c r="AJ4326">
        <v>76.189023261220498</v>
      </c>
      <c r="AK4326">
        <v>15.3037444422259</v>
      </c>
    </row>
    <row r="4327" spans="1:37" x14ac:dyDescent="0.2">
      <c r="A4327" t="str">
        <f>"20200111155635297"</f>
        <v>20200111155635297</v>
      </c>
      <c r="B4327" t="str">
        <f>"1578729395287404"</f>
        <v>1578729395287404</v>
      </c>
      <c r="C4327" t="s">
        <v>37</v>
      </c>
      <c r="D4327">
        <v>5.1687089999999998</v>
      </c>
      <c r="E4327">
        <v>0.54857</v>
      </c>
      <c r="F4327" t="s">
        <v>38</v>
      </c>
      <c r="G4327">
        <v>-223.60769999999999</v>
      </c>
      <c r="H4327" s="1">
        <v>-3.1760739999999899E-6</v>
      </c>
      <c r="I4327">
        <v>141.31319999999999</v>
      </c>
      <c r="J4327">
        <v>-210.25319999999999</v>
      </c>
      <c r="K4327">
        <v>1.1037680000000001</v>
      </c>
      <c r="L4327">
        <v>143.2911</v>
      </c>
      <c r="M4327">
        <v>-0.92837080000000005</v>
      </c>
      <c r="N4327">
        <v>0</v>
      </c>
      <c r="O4327">
        <v>-0.37141689999999999</v>
      </c>
      <c r="P4327">
        <v>-0.95914509999999897</v>
      </c>
      <c r="Q4327">
        <v>-1.9619279999999999E-2</v>
      </c>
      <c r="R4327">
        <v>-0.2822344</v>
      </c>
      <c r="S4327">
        <v>-2.9886469999999998</v>
      </c>
      <c r="T4327">
        <v>-0.24431929999999999</v>
      </c>
      <c r="U4327">
        <v>-0.45088199999999901</v>
      </c>
      <c r="V4327">
        <v>9.4217060000000005E-2</v>
      </c>
      <c r="W4327">
        <v>-6.5971600000000004E-3</v>
      </c>
      <c r="X4327">
        <v>0.99552980000000002</v>
      </c>
      <c r="Y4327">
        <v>0.22690969999999999</v>
      </c>
      <c r="Z4327">
        <v>3.8586549999999997E-2</v>
      </c>
      <c r="AA4327">
        <v>0.97315110000000005</v>
      </c>
      <c r="AB4327">
        <v>17</v>
      </c>
      <c r="AC4327">
        <v>-13.3545</v>
      </c>
      <c r="AD4327">
        <v>-1.1037711760740001</v>
      </c>
      <c r="AE4327">
        <v>-1.9779</v>
      </c>
      <c r="AF4327">
        <v>3.1033939806550501</v>
      </c>
      <c r="AG4327">
        <v>-1.1037711760740001</v>
      </c>
      <c r="AH4327">
        <v>13.046505235629301</v>
      </c>
      <c r="AI4327">
        <v>94.705197696391906</v>
      </c>
      <c r="AJ4327">
        <v>76.619625190458095</v>
      </c>
      <c r="AK4327">
        <v>13.4558784132289</v>
      </c>
    </row>
    <row r="4328" spans="1:37" x14ac:dyDescent="0.2">
      <c r="A4328" t="str">
        <f>"20200111155635313"</f>
        <v>20200111155635313</v>
      </c>
      <c r="B4328" t="str">
        <f>"1578729395306924"</f>
        <v>1578729395306924</v>
      </c>
      <c r="C4328" t="s">
        <v>37</v>
      </c>
      <c r="D4328">
        <v>5.0423249999999999</v>
      </c>
      <c r="E4328">
        <v>0.5483209</v>
      </c>
      <c r="F4328" t="s">
        <v>38</v>
      </c>
      <c r="G4328">
        <v>-222.57159999999999</v>
      </c>
      <c r="H4328" s="1">
        <v>-3.6238849999999999E-6</v>
      </c>
      <c r="I4328">
        <v>141.32570000000001</v>
      </c>
      <c r="J4328">
        <v>-210.3691</v>
      </c>
      <c r="K4328">
        <v>1.103512</v>
      </c>
      <c r="L4328">
        <v>143.24619999999999</v>
      </c>
      <c r="M4328">
        <v>-0.92888210000000004</v>
      </c>
      <c r="N4328">
        <v>0</v>
      </c>
      <c r="O4328">
        <v>-0.37013620000000003</v>
      </c>
      <c r="P4328">
        <v>-0.95811659999999899</v>
      </c>
      <c r="Q4328">
        <v>-2.1658489999999999E-2</v>
      </c>
      <c r="R4328">
        <v>-0.2855588</v>
      </c>
      <c r="S4328">
        <v>-2.9823</v>
      </c>
      <c r="T4328">
        <v>-0.26722420000000002</v>
      </c>
      <c r="U4328">
        <v>-0.47583009999999898</v>
      </c>
      <c r="V4328">
        <v>8.9365150000000004E-2</v>
      </c>
      <c r="W4328">
        <v>-8.6639009999999999E-3</v>
      </c>
      <c r="X4328">
        <v>0.99596119999999899</v>
      </c>
      <c r="Y4328">
        <v>0.21697139999999901</v>
      </c>
      <c r="Z4328">
        <v>4.1692220000000002E-2</v>
      </c>
      <c r="AA4328">
        <v>0.97528719999999902</v>
      </c>
      <c r="AB4328">
        <v>17</v>
      </c>
      <c r="AC4328">
        <v>-12.202499999999899</v>
      </c>
      <c r="AD4328">
        <v>-1.1035156238849999</v>
      </c>
      <c r="AE4328">
        <v>-1.9204999999999699</v>
      </c>
      <c r="AF4328">
        <v>2.7112736510625699</v>
      </c>
      <c r="AG4328">
        <v>-1.1035156238849999</v>
      </c>
      <c r="AH4328">
        <v>11.9512206877209</v>
      </c>
      <c r="AI4328">
        <v>95.145427701890696</v>
      </c>
      <c r="AJ4328">
        <v>77.218132060530394</v>
      </c>
      <c r="AK4328">
        <v>12.3044881027092</v>
      </c>
    </row>
    <row r="4329" spans="1:37" x14ac:dyDescent="0.2">
      <c r="A4329" t="str">
        <f>"20200111155635331"</f>
        <v>20200111155635331</v>
      </c>
      <c r="B4329" t="str">
        <f>"1578729395327420"</f>
        <v>1578729395327420</v>
      </c>
      <c r="C4329" t="s">
        <v>37</v>
      </c>
      <c r="D4329">
        <v>5.0450220000000003</v>
      </c>
      <c r="E4329">
        <v>0.54859290000000005</v>
      </c>
      <c r="F4329" t="s">
        <v>38</v>
      </c>
      <c r="G4329">
        <v>-222.44919999999999</v>
      </c>
      <c r="H4329" s="1">
        <v>-3.660932E-6</v>
      </c>
      <c r="I4329">
        <v>141.26750000000001</v>
      </c>
      <c r="J4329">
        <v>-210.4924</v>
      </c>
      <c r="K4329">
        <v>1.103267</v>
      </c>
      <c r="L4329">
        <v>143.19909999999999</v>
      </c>
      <c r="M4329">
        <v>-0.92953129999999995</v>
      </c>
      <c r="N4329">
        <v>0</v>
      </c>
      <c r="O4329">
        <v>-0.3685021</v>
      </c>
      <c r="P4329">
        <v>-0.95547320000000002</v>
      </c>
      <c r="Q4329">
        <v>-2.0899629999999999E-2</v>
      </c>
      <c r="R4329">
        <v>-0.29433709999999902</v>
      </c>
      <c r="S4329">
        <v>-2.9795379999999998</v>
      </c>
      <c r="T4329">
        <v>-0.2721828</v>
      </c>
      <c r="U4329">
        <v>-0.4880524</v>
      </c>
      <c r="V4329">
        <v>7.8477229999999995E-2</v>
      </c>
      <c r="W4329">
        <v>-7.8951960000000002E-3</v>
      </c>
      <c r="X4329">
        <v>0.99688460000000001</v>
      </c>
      <c r="Y4329">
        <v>0.21115690000000001</v>
      </c>
      <c r="Z4329">
        <v>4.2080869999999999E-2</v>
      </c>
      <c r="AA4329">
        <v>0.97654589999999997</v>
      </c>
      <c r="AB4329">
        <v>17</v>
      </c>
      <c r="AC4329">
        <v>-11.9567999999999</v>
      </c>
      <c r="AD4329">
        <v>-1.103270660932</v>
      </c>
      <c r="AE4329">
        <v>-1.93159999999997</v>
      </c>
      <c r="AF4329">
        <v>2.58937011106533</v>
      </c>
      <c r="AG4329">
        <v>-1.103270660932</v>
      </c>
      <c r="AH4329">
        <v>11.7297426372552</v>
      </c>
      <c r="AI4329">
        <v>95.247679109356397</v>
      </c>
      <c r="AJ4329">
        <v>77.551462867474697</v>
      </c>
      <c r="AK4329">
        <v>12.0627072442132</v>
      </c>
    </row>
    <row r="4330" spans="1:37" x14ac:dyDescent="0.2">
      <c r="A4330" t="str">
        <f>"20200111155635354"</f>
        <v>20200111155635354</v>
      </c>
      <c r="B4330" t="str">
        <f>"1578729395346943"</f>
        <v>1578729395346943</v>
      </c>
      <c r="C4330" t="s">
        <v>37</v>
      </c>
      <c r="D4330">
        <v>5.0122970000000002</v>
      </c>
      <c r="E4330">
        <v>0.54905780000000004</v>
      </c>
      <c r="F4330" t="s">
        <v>38</v>
      </c>
      <c r="G4330">
        <v>-222.68</v>
      </c>
      <c r="H4330" s="1">
        <v>-3.5151379999999998E-6</v>
      </c>
      <c r="I4330">
        <v>141.09180000000001</v>
      </c>
      <c r="J4330">
        <v>-210.65889999999999</v>
      </c>
      <c r="K4330">
        <v>1.1030120000000001</v>
      </c>
      <c r="L4330">
        <v>143.13630000000001</v>
      </c>
      <c r="M4330">
        <v>-0.9305639</v>
      </c>
      <c r="N4330">
        <v>0</v>
      </c>
      <c r="O4330">
        <v>-0.36588619999999999</v>
      </c>
      <c r="P4330">
        <v>-0.95343069999999897</v>
      </c>
      <c r="Q4330">
        <v>-1.616739E-2</v>
      </c>
      <c r="R4330">
        <v>-0.30117830000000001</v>
      </c>
      <c r="S4330">
        <v>-2.9754330000000002</v>
      </c>
      <c r="T4330">
        <v>-0.2693487</v>
      </c>
      <c r="U4330">
        <v>-0.51445010000000002</v>
      </c>
      <c r="V4330">
        <v>6.8574720000000006E-2</v>
      </c>
      <c r="W4330">
        <v>-3.147983E-3</v>
      </c>
      <c r="X4330">
        <v>0.997641</v>
      </c>
      <c r="Y4330">
        <v>0.1998537</v>
      </c>
      <c r="Z4330">
        <v>4.0933070000000002E-2</v>
      </c>
      <c r="AA4330">
        <v>0.97897029999999996</v>
      </c>
      <c r="AB4330">
        <v>17</v>
      </c>
      <c r="AC4330">
        <v>-12.021100000000001</v>
      </c>
      <c r="AD4330">
        <v>-1.1030155151379999</v>
      </c>
      <c r="AE4330">
        <v>-2.0445000000000002</v>
      </c>
      <c r="AF4330">
        <v>2.4757807114911001</v>
      </c>
      <c r="AG4330">
        <v>-1.1030155151379999</v>
      </c>
      <c r="AH4330">
        <v>11.8386482425558</v>
      </c>
      <c r="AI4330">
        <v>95.210837187246398</v>
      </c>
      <c r="AJ4330">
        <v>78.1881371144909</v>
      </c>
      <c r="AK4330">
        <v>12.144946503340201</v>
      </c>
    </row>
    <row r="4331" spans="1:37" x14ac:dyDescent="0.2">
      <c r="A4331" t="str">
        <f>"20200111155635376"</f>
        <v>20200111155635376</v>
      </c>
      <c r="B4331" t="str">
        <f>"1578729395367436"</f>
        <v>1578729395367436</v>
      </c>
      <c r="C4331" t="s">
        <v>37</v>
      </c>
      <c r="D4331">
        <v>5.0561720000000001</v>
      </c>
      <c r="E4331">
        <v>0.54966280000000001</v>
      </c>
      <c r="F4331" t="s">
        <v>38</v>
      </c>
      <c r="G4331">
        <v>-223.4828</v>
      </c>
      <c r="H4331" s="1">
        <v>-3.1016180000000002E-6</v>
      </c>
      <c r="I4331">
        <v>140.83199999999999</v>
      </c>
      <c r="J4331">
        <v>-210.8134</v>
      </c>
      <c r="K4331">
        <v>1.1028389999999999</v>
      </c>
      <c r="L4331">
        <v>143.07910000000001</v>
      </c>
      <c r="M4331">
        <v>-0.93166469999999901</v>
      </c>
      <c r="N4331">
        <v>0</v>
      </c>
      <c r="O4331">
        <v>-0.3630738</v>
      </c>
      <c r="P4331">
        <v>-0.95111389999999996</v>
      </c>
      <c r="Q4331">
        <v>-1.156094E-2</v>
      </c>
      <c r="R4331">
        <v>-0.30862420000000002</v>
      </c>
      <c r="S4331">
        <v>-2.9734189999999998</v>
      </c>
      <c r="T4331">
        <v>-0.25575120000000001</v>
      </c>
      <c r="U4331">
        <v>-0.53427119999999995</v>
      </c>
      <c r="V4331">
        <v>5.7803189999999997E-2</v>
      </c>
      <c r="W4331">
        <v>1.500431E-3</v>
      </c>
      <c r="X4331">
        <v>0.99832690000000002</v>
      </c>
      <c r="Y4331">
        <v>0.19069920000000001</v>
      </c>
      <c r="Z4331">
        <v>3.8256640000000001E-2</v>
      </c>
      <c r="AA4331">
        <v>0.98090279999999996</v>
      </c>
      <c r="AB4331">
        <v>17</v>
      </c>
      <c r="AC4331">
        <v>-12.6693999999999</v>
      </c>
      <c r="AD4331">
        <v>-1.1028421016179999</v>
      </c>
      <c r="AE4331">
        <v>-2.2471000000000099</v>
      </c>
      <c r="AF4331">
        <v>2.4883271725901901</v>
      </c>
      <c r="AG4331">
        <v>-1.1028421016179999</v>
      </c>
      <c r="AH4331">
        <v>12.5285835507025</v>
      </c>
      <c r="AI4331">
        <v>94.934659523427001</v>
      </c>
      <c r="AJ4331">
        <v>78.7665551256393</v>
      </c>
      <c r="AK4331">
        <v>12.820820512193601</v>
      </c>
    </row>
    <row r="4332" spans="1:37" x14ac:dyDescent="0.2">
      <c r="A4332" t="str">
        <f>"20200111155635411"</f>
        <v>20200111155635411</v>
      </c>
      <c r="B4332" t="str">
        <f>"1578729395407453"</f>
        <v>1578729395407453</v>
      </c>
      <c r="C4332" t="s">
        <v>37</v>
      </c>
      <c r="D4332">
        <v>4.8273640000000002</v>
      </c>
      <c r="E4332">
        <v>0.55220909999999901</v>
      </c>
      <c r="F4332" t="s">
        <v>38</v>
      </c>
      <c r="G4332">
        <v>-224.1798</v>
      </c>
      <c r="H4332" s="1">
        <v>-2.73655399999999E-6</v>
      </c>
      <c r="I4332">
        <v>140.58369999999999</v>
      </c>
      <c r="J4332">
        <v>-211.0497</v>
      </c>
      <c r="K4332">
        <v>1.1026849999999999</v>
      </c>
      <c r="L4332">
        <v>142.99359999999999</v>
      </c>
      <c r="M4332">
        <v>-0.9335639</v>
      </c>
      <c r="N4332">
        <v>0</v>
      </c>
      <c r="O4332">
        <v>-0.35816110000000001</v>
      </c>
      <c r="P4332">
        <v>-0.95112169999999896</v>
      </c>
      <c r="Q4332">
        <v>-8.3001829999999992E-3</v>
      </c>
      <c r="R4332">
        <v>-0.3087048</v>
      </c>
      <c r="S4332">
        <v>-2.971222</v>
      </c>
      <c r="T4332">
        <v>-0.24515100000000001</v>
      </c>
      <c r="U4332">
        <v>-0.55470280000000005</v>
      </c>
      <c r="V4332">
        <v>5.2489580000000001E-2</v>
      </c>
      <c r="W4332">
        <v>4.7848689999999998E-3</v>
      </c>
      <c r="X4332">
        <v>0.99861</v>
      </c>
      <c r="Y4332">
        <v>0.17907029999999999</v>
      </c>
      <c r="Z4332">
        <v>3.5824090000000003E-2</v>
      </c>
      <c r="AA4332">
        <v>0.9831839</v>
      </c>
      <c r="AB4332">
        <v>17</v>
      </c>
      <c r="AC4332">
        <v>-13.130100000000001</v>
      </c>
      <c r="AD4332">
        <v>-1.102687736554</v>
      </c>
      <c r="AE4332">
        <v>-2.4098999999999902</v>
      </c>
      <c r="AF4332">
        <v>2.4364907147675199</v>
      </c>
      <c r="AG4332">
        <v>-1.102687736554</v>
      </c>
      <c r="AH4332">
        <v>13.033168492497101</v>
      </c>
      <c r="AI4332">
        <v>94.754091145808104</v>
      </c>
      <c r="AJ4332">
        <v>79.411045625681098</v>
      </c>
      <c r="AK4332">
        <v>13.304731797421301</v>
      </c>
    </row>
    <row r="4333" spans="1:37" x14ac:dyDescent="0.2">
      <c r="A4333" t="str">
        <f>"20200111155635431"</f>
        <v>20200111155635431</v>
      </c>
      <c r="B4333" t="str">
        <f>"1578729395426972"</f>
        <v>1578729395426972</v>
      </c>
      <c r="C4333" t="s">
        <v>37</v>
      </c>
      <c r="D4333">
        <v>4.9687019999999897</v>
      </c>
      <c r="E4333">
        <v>0.55331759999999997</v>
      </c>
      <c r="F4333" t="s">
        <v>38</v>
      </c>
      <c r="G4333">
        <v>-225.39269999999999</v>
      </c>
      <c r="H4333" s="1">
        <v>-2.169639E-6</v>
      </c>
      <c r="I4333">
        <v>140.4085</v>
      </c>
      <c r="J4333">
        <v>-211.2055</v>
      </c>
      <c r="K4333">
        <v>1.1026199999999999</v>
      </c>
      <c r="L4333">
        <v>142.9384</v>
      </c>
      <c r="M4333">
        <v>-0.9349035</v>
      </c>
      <c r="N4333">
        <v>0</v>
      </c>
      <c r="O4333">
        <v>-0.35464950000000001</v>
      </c>
      <c r="P4333">
        <v>-0.95217969999999896</v>
      </c>
      <c r="Q4333">
        <v>-6.5447980000000001E-3</v>
      </c>
      <c r="R4333">
        <v>-0.30546909999999999</v>
      </c>
      <c r="S4333">
        <v>-2.9779819999999999</v>
      </c>
      <c r="T4333">
        <v>-0.22894729999999999</v>
      </c>
      <c r="U4333">
        <v>-0.53671259999999998</v>
      </c>
      <c r="V4333">
        <v>5.2146989999999997E-2</v>
      </c>
      <c r="W4333">
        <v>6.5438919999999999E-3</v>
      </c>
      <c r="X4333">
        <v>0.99861800000000001</v>
      </c>
      <c r="Y4333">
        <v>0.18174409999999999</v>
      </c>
      <c r="Z4333">
        <v>3.3267049999999999E-2</v>
      </c>
      <c r="AA4333">
        <v>0.98278299999999996</v>
      </c>
      <c r="AB4333">
        <v>17</v>
      </c>
      <c r="AC4333">
        <v>-14.187199999999899</v>
      </c>
      <c r="AD4333">
        <v>-1.1026221696389999</v>
      </c>
      <c r="AE4333">
        <v>-2.5298999999999898</v>
      </c>
      <c r="AF4333">
        <v>2.6509905858552201</v>
      </c>
      <c r="AG4333">
        <v>-1.1026221696389999</v>
      </c>
      <c r="AH4333">
        <v>14.079734445864</v>
      </c>
      <c r="AI4333">
        <v>94.400833063846903</v>
      </c>
      <c r="AJ4333">
        <v>79.336949252330896</v>
      </c>
      <c r="AK4333">
        <v>14.369497165917799</v>
      </c>
    </row>
    <row r="4334" spans="1:37" x14ac:dyDescent="0.2">
      <c r="A4334" t="str">
        <f>"20200111155635456"</f>
        <v>20200111155635456</v>
      </c>
      <c r="B4334" t="str">
        <f>"1578729395447469"</f>
        <v>1578729395447469</v>
      </c>
      <c r="C4334" t="s">
        <v>37</v>
      </c>
      <c r="D4334">
        <v>4.9051559999999998</v>
      </c>
      <c r="E4334">
        <v>0.55376459999999905</v>
      </c>
      <c r="F4334" t="s">
        <v>38</v>
      </c>
      <c r="G4334">
        <v>-226.1705</v>
      </c>
      <c r="H4334" s="1">
        <v>-1.8180209999999999E-6</v>
      </c>
      <c r="I4334">
        <v>140.34110000000001</v>
      </c>
      <c r="J4334">
        <v>-211.37280000000001</v>
      </c>
      <c r="K4334">
        <v>1.102565</v>
      </c>
      <c r="L4334">
        <v>142.8801</v>
      </c>
      <c r="M4334">
        <v>-0.93639340000000004</v>
      </c>
      <c r="N4334">
        <v>0</v>
      </c>
      <c r="O4334">
        <v>-0.35069640000000002</v>
      </c>
      <c r="P4334">
        <v>-0.95379480000000005</v>
      </c>
      <c r="Q4334">
        <v>-6.9404169999999999E-3</v>
      </c>
      <c r="R4334">
        <v>-0.30037920000000001</v>
      </c>
      <c r="S4334">
        <v>-2.9830779999999999</v>
      </c>
      <c r="T4334">
        <v>-0.21979399999999999</v>
      </c>
      <c r="U4334">
        <v>-0.5177155</v>
      </c>
      <c r="V4334">
        <v>5.3259269999999997E-2</v>
      </c>
      <c r="W4334">
        <v>6.1462180000000002E-3</v>
      </c>
      <c r="X4334">
        <v>0.99856180000000005</v>
      </c>
      <c r="Y4334">
        <v>0.1840733</v>
      </c>
      <c r="Z4334">
        <v>3.1727430000000001E-2</v>
      </c>
      <c r="AA4334">
        <v>0.9824003</v>
      </c>
      <c r="AB4334">
        <v>17</v>
      </c>
      <c r="AC4334">
        <v>-14.797699999999899</v>
      </c>
      <c r="AD4334">
        <v>-1.102566818021</v>
      </c>
      <c r="AE4334">
        <v>-2.5389999999999802</v>
      </c>
      <c r="AF4334">
        <v>2.7971648342977602</v>
      </c>
      <c r="AG4334">
        <v>-1.102566818021</v>
      </c>
      <c r="AH4334">
        <v>14.6691013745062</v>
      </c>
      <c r="AI4334">
        <v>94.222613617735803</v>
      </c>
      <c r="AJ4334">
        <v>79.204205634154704</v>
      </c>
      <c r="AK4334">
        <v>14.9740548895071</v>
      </c>
    </row>
    <row r="4335" spans="1:37" x14ac:dyDescent="0.2">
      <c r="A4335" t="str">
        <f>"20200111155635478"</f>
        <v>20200111155635478</v>
      </c>
      <c r="B4335" t="str">
        <f>"1578729395466987"</f>
        <v>1578729395466987</v>
      </c>
      <c r="C4335" t="s">
        <v>37</v>
      </c>
      <c r="D4335">
        <v>5.0586880000000001</v>
      </c>
      <c r="E4335">
        <v>0.55395640000000002</v>
      </c>
      <c r="F4335" t="s">
        <v>38</v>
      </c>
      <c r="G4335">
        <v>-226.41810000000001</v>
      </c>
      <c r="H4335" s="1">
        <v>-1.720398E-6</v>
      </c>
      <c r="I4335">
        <v>140.3734</v>
      </c>
      <c r="J4335">
        <v>-211.5301</v>
      </c>
      <c r="K4335">
        <v>1.1025039999999999</v>
      </c>
      <c r="L4335">
        <v>142.8263</v>
      </c>
      <c r="M4335">
        <v>-0.93784339999999999</v>
      </c>
      <c r="N4335">
        <v>0</v>
      </c>
      <c r="O4335">
        <v>-0.34679969999999999</v>
      </c>
      <c r="P4335">
        <v>-0.95582319999999998</v>
      </c>
      <c r="Q4335">
        <v>-8.4828999999999998E-3</v>
      </c>
      <c r="R4335">
        <v>-0.29382029999999998</v>
      </c>
      <c r="S4335">
        <v>-2.9870299999999999</v>
      </c>
      <c r="T4335">
        <v>-0.21889909999999899</v>
      </c>
      <c r="U4335">
        <v>-0.49766539999999998</v>
      </c>
      <c r="V4335">
        <v>5.5953990000000002E-2</v>
      </c>
      <c r="W4335">
        <v>4.5903209999999996E-3</v>
      </c>
      <c r="X4335">
        <v>0.99842280000000005</v>
      </c>
      <c r="Y4335">
        <v>0.186629399999999</v>
      </c>
      <c r="Z4335">
        <v>3.1410430000000003E-2</v>
      </c>
      <c r="AA4335">
        <v>0.98192809999999897</v>
      </c>
      <c r="AB4335">
        <v>17</v>
      </c>
      <c r="AC4335">
        <v>-14.888</v>
      </c>
      <c r="AD4335">
        <v>-1.102505720398</v>
      </c>
      <c r="AE4335">
        <v>-2.4529000000000001</v>
      </c>
      <c r="AF4335">
        <v>2.8477709860016298</v>
      </c>
      <c r="AG4335">
        <v>-1.102505720398</v>
      </c>
      <c r="AH4335">
        <v>14.735934183829199</v>
      </c>
      <c r="AI4335">
        <v>94.2013073228444</v>
      </c>
      <c r="AJ4335">
        <v>79.062223475406896</v>
      </c>
      <c r="AK4335">
        <v>15.0490223842737</v>
      </c>
    </row>
    <row r="4336" spans="1:37" x14ac:dyDescent="0.2">
      <c r="A4336" t="str">
        <f>"20200111155635498"</f>
        <v>20200111155635498</v>
      </c>
      <c r="B4336" t="str">
        <f>"1578729395487484"</f>
        <v>1578729395487484</v>
      </c>
      <c r="C4336" t="s">
        <v>37</v>
      </c>
      <c r="D4336">
        <v>5.093585</v>
      </c>
      <c r="E4336">
        <v>0.5542897</v>
      </c>
      <c r="F4336" t="s">
        <v>38</v>
      </c>
      <c r="G4336">
        <v>-226.4049</v>
      </c>
      <c r="H4336" s="1">
        <v>-1.7503099999999899E-6</v>
      </c>
      <c r="I4336">
        <v>140.46459999999999</v>
      </c>
      <c r="J4336">
        <v>-211.67699999999999</v>
      </c>
      <c r="K4336">
        <v>1.1024290000000001</v>
      </c>
      <c r="L4336">
        <v>142.77709999999999</v>
      </c>
      <c r="M4336">
        <v>-0.93924240000000003</v>
      </c>
      <c r="N4336">
        <v>0</v>
      </c>
      <c r="O4336">
        <v>-0.34299209999999902</v>
      </c>
      <c r="P4336">
        <v>-0.95815709999999998</v>
      </c>
      <c r="Q4336">
        <v>-1.0911399999999899E-2</v>
      </c>
      <c r="R4336">
        <v>-0.2860355</v>
      </c>
      <c r="S4336">
        <v>-2.990723</v>
      </c>
      <c r="T4336">
        <v>-0.2216698</v>
      </c>
      <c r="U4336">
        <v>-0.47483829999999999</v>
      </c>
      <c r="V4336">
        <v>6.0002560000000003E-2</v>
      </c>
      <c r="W4336">
        <v>2.1379620000000002E-3</v>
      </c>
      <c r="X4336">
        <v>0.99819590000000002</v>
      </c>
      <c r="Y4336">
        <v>0.19010829999999901</v>
      </c>
      <c r="Z4336">
        <v>3.1661259999999997E-2</v>
      </c>
      <c r="AA4336">
        <v>0.98125239999999903</v>
      </c>
      <c r="AB4336">
        <v>17</v>
      </c>
      <c r="AC4336">
        <v>-14.727899999999901</v>
      </c>
      <c r="AD4336">
        <v>-1.1024307503099999</v>
      </c>
      <c r="AE4336">
        <v>-2.3125</v>
      </c>
      <c r="AF4336">
        <v>2.8641529440106201</v>
      </c>
      <c r="AG4336">
        <v>-1.1024307503099999</v>
      </c>
      <c r="AH4336">
        <v>14.548003589688401</v>
      </c>
      <c r="AI4336">
        <v>94.252208348598899</v>
      </c>
      <c r="AJ4336">
        <v>78.862277455821996</v>
      </c>
      <c r="AK4336">
        <v>14.868192024974</v>
      </c>
    </row>
    <row r="4337" spans="1:37" x14ac:dyDescent="0.2">
      <c r="A4337" t="str">
        <f>"20200111155635521"</f>
        <v>20200111155635521</v>
      </c>
      <c r="B4337" t="str">
        <f>"1578729395516764"</f>
        <v>1578729395516764</v>
      </c>
      <c r="C4337" t="s">
        <v>37</v>
      </c>
      <c r="D4337">
        <v>5.0394249999999996</v>
      </c>
      <c r="E4337">
        <v>0.58456960000000002</v>
      </c>
      <c r="F4337" t="s">
        <v>38</v>
      </c>
      <c r="G4337">
        <v>-226.21950000000001</v>
      </c>
      <c r="H4337" s="1">
        <v>-1.867304E-6</v>
      </c>
      <c r="I4337">
        <v>140.6053</v>
      </c>
      <c r="J4337">
        <v>-211.83930000000001</v>
      </c>
      <c r="K4337">
        <v>1.1023350000000001</v>
      </c>
      <c r="L4337">
        <v>142.72380000000001</v>
      </c>
      <c r="M4337">
        <v>-0.94084330000000005</v>
      </c>
      <c r="N4337">
        <v>0</v>
      </c>
      <c r="O4337">
        <v>-0.33857549999999997</v>
      </c>
      <c r="P4337">
        <v>-0.96043639999999997</v>
      </c>
      <c r="Q4337">
        <v>-1.3548620000000001E-2</v>
      </c>
      <c r="R4337">
        <v>-0.27817019999999998</v>
      </c>
      <c r="S4337">
        <v>-2.9949189999999999</v>
      </c>
      <c r="T4337">
        <v>-0.22703860000000001</v>
      </c>
      <c r="U4337">
        <v>-0.44725039999999999</v>
      </c>
      <c r="V4337">
        <v>6.3469419999999999E-2</v>
      </c>
      <c r="W4337">
        <v>-5.2053750000000001E-4</v>
      </c>
      <c r="X4337">
        <v>0.99798359999999997</v>
      </c>
      <c r="Y4337">
        <v>0.1944698</v>
      </c>
      <c r="Z4337">
        <v>3.2265469999999997E-2</v>
      </c>
      <c r="AA4337">
        <v>0.98037770000000002</v>
      </c>
      <c r="AB4337">
        <v>17</v>
      </c>
      <c r="AC4337">
        <v>-14.3802</v>
      </c>
      <c r="AD4337">
        <v>-1.1023368673039999</v>
      </c>
      <c r="AE4337">
        <v>-2.1185000000000098</v>
      </c>
      <c r="AF4337">
        <v>2.8594207668788201</v>
      </c>
      <c r="AG4337">
        <v>-1.1023368673039999</v>
      </c>
      <c r="AH4337">
        <v>14.166595243676699</v>
      </c>
      <c r="AI4337">
        <v>94.361744122123199</v>
      </c>
      <c r="AJ4337">
        <v>78.588597307522605</v>
      </c>
      <c r="AK4337">
        <v>14.4942697121738</v>
      </c>
    </row>
    <row r="4338" spans="1:37" x14ac:dyDescent="0.2">
      <c r="A4338" t="str">
        <f>"20200111155635545"</f>
        <v>20200111155635545</v>
      </c>
      <c r="B4338" t="str">
        <f>"1578729395537259"</f>
        <v>1578729395537259</v>
      </c>
      <c r="C4338" t="s">
        <v>37</v>
      </c>
      <c r="D4338">
        <v>5.0316510000000001</v>
      </c>
      <c r="E4338">
        <v>0.59384230000000005</v>
      </c>
      <c r="F4338" t="s">
        <v>38</v>
      </c>
      <c r="G4338">
        <v>-228.71690000000001</v>
      </c>
      <c r="H4338" s="1">
        <v>-1.0820500000000001E-6</v>
      </c>
      <c r="I4338">
        <v>141.6807</v>
      </c>
      <c r="J4338">
        <v>-212.00640000000001</v>
      </c>
      <c r="K4338">
        <v>1.102228</v>
      </c>
      <c r="L4338">
        <v>142.67009999999999</v>
      </c>
      <c r="M4338">
        <v>-0.94254550000000004</v>
      </c>
      <c r="N4338">
        <v>0</v>
      </c>
      <c r="O4338">
        <v>-0.33380690000000002</v>
      </c>
      <c r="P4338">
        <v>-0.96244089999999904</v>
      </c>
      <c r="Q4338">
        <v>-1.56072999999999E-2</v>
      </c>
      <c r="R4338">
        <v>-0.27104270000000003</v>
      </c>
      <c r="S4338">
        <v>-3.065903</v>
      </c>
      <c r="T4338">
        <v>-0.20024529999999999</v>
      </c>
      <c r="U4338">
        <v>-0.18946840000000001</v>
      </c>
      <c r="V4338">
        <v>6.5790269999999998E-2</v>
      </c>
      <c r="W4338">
        <v>-2.5932210000000002E-3</v>
      </c>
      <c r="X4338">
        <v>0.99783009999999905</v>
      </c>
      <c r="Y4338">
        <v>0.27379690000000001</v>
      </c>
      <c r="Z4338">
        <v>3.0306260000000002E-2</v>
      </c>
      <c r="AA4338">
        <v>0.96130990000000005</v>
      </c>
      <c r="AB4338">
        <v>17</v>
      </c>
      <c r="AC4338">
        <v>-16.7104999999999</v>
      </c>
      <c r="AD4338">
        <v>-1.10222908205</v>
      </c>
      <c r="AE4338">
        <v>-0.98939999999998895</v>
      </c>
      <c r="AF4338">
        <v>4.6258901917263699</v>
      </c>
      <c r="AG4338">
        <v>-1.10222908205</v>
      </c>
      <c r="AH4338">
        <v>16.0127060710191</v>
      </c>
      <c r="AI4338">
        <v>93.783485673046599</v>
      </c>
      <c r="AJ4338">
        <v>73.886590595339399</v>
      </c>
      <c r="AK4338">
        <v>16.703907468975</v>
      </c>
    </row>
    <row r="4339" spans="1:37" x14ac:dyDescent="0.2">
      <c r="A4339" t="str">
        <f>"20200111155635566"</f>
        <v>20200111155635566</v>
      </c>
      <c r="B4339" t="str">
        <f>"1578729395556779"</f>
        <v>1578729395556779</v>
      </c>
      <c r="C4339" t="s">
        <v>37</v>
      </c>
      <c r="D4339">
        <v>4.9980659999999997</v>
      </c>
      <c r="E4339">
        <v>0.59643630000000003</v>
      </c>
      <c r="F4339" t="s">
        <v>38</v>
      </c>
      <c r="G4339">
        <v>-232.09440000000001</v>
      </c>
      <c r="H4339" s="1">
        <v>-3.9957539999999999E-6</v>
      </c>
      <c r="I4339">
        <v>142.05430000000001</v>
      </c>
      <c r="J4339">
        <v>-212.16149999999999</v>
      </c>
      <c r="K4339">
        <v>1.102149</v>
      </c>
      <c r="L4339">
        <v>142.62129999999999</v>
      </c>
      <c r="M4339">
        <v>-0.94416199999999995</v>
      </c>
      <c r="N4339">
        <v>0</v>
      </c>
      <c r="O4339">
        <v>-0.32920630000000001</v>
      </c>
      <c r="P4339">
        <v>-0.96400239999999904</v>
      </c>
      <c r="Q4339">
        <v>-1.7216059999999998E-2</v>
      </c>
      <c r="R4339">
        <v>-0.26533689999999999</v>
      </c>
      <c r="S4339">
        <v>-3.0876619999999999</v>
      </c>
      <c r="T4339">
        <v>-0.16942079999999901</v>
      </c>
      <c r="U4339">
        <v>-9.4635010000000006E-2</v>
      </c>
      <c r="V4339">
        <v>6.6815189999999997E-2</v>
      </c>
      <c r="W4339">
        <v>-4.2056699999999999E-3</v>
      </c>
      <c r="X4339">
        <v>0.99775650000000005</v>
      </c>
      <c r="Y4339">
        <v>0.29922659999999901</v>
      </c>
      <c r="Z4339">
        <v>2.5967090000000002E-2</v>
      </c>
      <c r="AA4339">
        <v>0.95382869999999997</v>
      </c>
      <c r="AB4339">
        <v>17</v>
      </c>
      <c r="AC4339">
        <v>-19.9329</v>
      </c>
      <c r="AD4339">
        <v>-1.1021529957539999</v>
      </c>
      <c r="AE4339">
        <v>-0.56699999999997797</v>
      </c>
      <c r="AF4339">
        <v>6.0088865709263999</v>
      </c>
      <c r="AG4339">
        <v>-1.1021529957539999</v>
      </c>
      <c r="AH4339">
        <v>18.950379377790401</v>
      </c>
      <c r="AI4339">
        <v>93.173209412896</v>
      </c>
      <c r="AJ4339">
        <v>72.406944406647796</v>
      </c>
      <c r="AK4339">
        <v>19.910759342890302</v>
      </c>
    </row>
    <row r="4340" spans="1:37" x14ac:dyDescent="0.2">
      <c r="A4340" t="str">
        <f>"20200111155635588"</f>
        <v>20200111155635588</v>
      </c>
      <c r="B4340" t="str">
        <f>"1578729395577276"</f>
        <v>1578729395577276</v>
      </c>
      <c r="C4340" t="s">
        <v>37</v>
      </c>
      <c r="D4340">
        <v>5.0023799999999996</v>
      </c>
      <c r="E4340">
        <v>0.59794349999999996</v>
      </c>
      <c r="F4340" t="s">
        <v>38</v>
      </c>
      <c r="G4340">
        <v>-232.97</v>
      </c>
      <c r="H4340" s="1">
        <v>-3.69713199999999E-6</v>
      </c>
      <c r="I4340">
        <v>142.2433</v>
      </c>
      <c r="J4340">
        <v>-212.3167</v>
      </c>
      <c r="K4340">
        <v>1.1020809999999901</v>
      </c>
      <c r="L4340">
        <v>142.5737</v>
      </c>
      <c r="M4340">
        <v>-0.94581839999999995</v>
      </c>
      <c r="N4340">
        <v>0</v>
      </c>
      <c r="O4340">
        <v>-0.32441619999999999</v>
      </c>
      <c r="P4340">
        <v>-0.96525819999999996</v>
      </c>
      <c r="Q4340">
        <v>-1.7628979999999999E-2</v>
      </c>
      <c r="R4340">
        <v>-0.26070279999999901</v>
      </c>
      <c r="S4340">
        <v>-3.0936279999999998</v>
      </c>
      <c r="T4340">
        <v>-0.1638588</v>
      </c>
      <c r="U4340">
        <v>-5.6198119999999997E-2</v>
      </c>
      <c r="V4340">
        <v>6.6545030000000005E-2</v>
      </c>
      <c r="W4340">
        <v>-4.6118050000000001E-3</v>
      </c>
      <c r="X4340">
        <v>0.99777280000000002</v>
      </c>
      <c r="Y4340">
        <v>0.3063419</v>
      </c>
      <c r="Z4340">
        <v>2.5026449999999999E-2</v>
      </c>
      <c r="AA4340">
        <v>0.95159249999999995</v>
      </c>
      <c r="AB4340">
        <v>16</v>
      </c>
      <c r="AC4340">
        <v>-20.653300000000002</v>
      </c>
      <c r="AD4340">
        <v>-1.102084697132</v>
      </c>
      <c r="AE4340">
        <v>-0.33039999999999697</v>
      </c>
      <c r="AF4340">
        <v>6.3702130481773596</v>
      </c>
      <c r="AG4340">
        <v>-1.102084697132</v>
      </c>
      <c r="AH4340">
        <v>19.587483321339899</v>
      </c>
      <c r="AI4340">
        <v>93.062761605875096</v>
      </c>
      <c r="AJ4340">
        <v>71.984513079007201</v>
      </c>
      <c r="AK4340">
        <v>20.626771628701199</v>
      </c>
    </row>
    <row r="4341" spans="1:37" x14ac:dyDescent="0.2">
      <c r="A4341" t="str">
        <f>"20200111155635611"</f>
        <v>20200111155635611</v>
      </c>
      <c r="B4341" t="str">
        <f>"1578729395607531"</f>
        <v>1578729395607531</v>
      </c>
      <c r="C4341" t="s">
        <v>37</v>
      </c>
      <c r="D4341">
        <v>5.047123</v>
      </c>
      <c r="E4341">
        <v>0.59662680000000001</v>
      </c>
      <c r="F4341" t="s">
        <v>38</v>
      </c>
      <c r="G4341">
        <v>-233.703</v>
      </c>
      <c r="H4341" s="1">
        <v>-3.41577E-6</v>
      </c>
      <c r="I4341">
        <v>142.36760000000001</v>
      </c>
      <c r="J4341">
        <v>-212.48060000000001</v>
      </c>
      <c r="K4341">
        <v>1.102014</v>
      </c>
      <c r="L4341">
        <v>142.52449999999999</v>
      </c>
      <c r="M4341">
        <v>-0.94761629999999997</v>
      </c>
      <c r="N4341">
        <v>0</v>
      </c>
      <c r="O4341">
        <v>-0.31912600000000002</v>
      </c>
      <c r="P4341">
        <v>-0.96638289999999905</v>
      </c>
      <c r="Q4341">
        <v>-1.8644589999999999E-2</v>
      </c>
      <c r="R4341">
        <v>-0.25643139999999998</v>
      </c>
      <c r="S4341">
        <v>-3.0970149999999999</v>
      </c>
      <c r="T4341">
        <v>-0.1595964</v>
      </c>
      <c r="U4341">
        <v>-2.9830929999999999E-2</v>
      </c>
      <c r="V4341">
        <v>6.5368990000000002E-2</v>
      </c>
      <c r="W4341">
        <v>-5.6131359999999899E-3</v>
      </c>
      <c r="X4341">
        <v>0.99784539999999999</v>
      </c>
      <c r="Y4341">
        <v>0.30919059999999998</v>
      </c>
      <c r="Z4341">
        <v>2.4169619999999999E-2</v>
      </c>
      <c r="AA4341">
        <v>0.95069289999999995</v>
      </c>
      <c r="AB4341">
        <v>16</v>
      </c>
      <c r="AC4341">
        <v>-21.2224</v>
      </c>
      <c r="AD4341">
        <v>-1.10201741577</v>
      </c>
      <c r="AE4341">
        <v>-0.156899999999978</v>
      </c>
      <c r="AF4341">
        <v>6.6067277455044904</v>
      </c>
      <c r="AG4341">
        <v>-1.10201741577</v>
      </c>
      <c r="AH4341">
        <v>20.108379629213701</v>
      </c>
      <c r="AI4341">
        <v>92.980452152876495</v>
      </c>
      <c r="AJ4341">
        <v>71.811754814032398</v>
      </c>
      <c r="AK4341">
        <v>21.194580090213002</v>
      </c>
    </row>
    <row r="4342" spans="1:37" x14ac:dyDescent="0.2">
      <c r="A4342" t="str">
        <f>"20200111155635634"</f>
        <v>20200111155635634</v>
      </c>
      <c r="B4342" t="str">
        <f>"1578729395627052"</f>
        <v>1578729395627052</v>
      </c>
      <c r="C4342" t="s">
        <v>37</v>
      </c>
      <c r="D4342">
        <v>5.1588229999999999</v>
      </c>
      <c r="E4342">
        <v>0.5948445</v>
      </c>
      <c r="F4342" t="s">
        <v>38</v>
      </c>
      <c r="G4342">
        <v>-233.267</v>
      </c>
      <c r="H4342" s="1">
        <v>-3.5975199999999898E-6</v>
      </c>
      <c r="I4342">
        <v>142.34780000000001</v>
      </c>
      <c r="J4342">
        <v>-212.6474</v>
      </c>
      <c r="K4342">
        <v>1.101928</v>
      </c>
      <c r="L4342">
        <v>142.47569999999999</v>
      </c>
      <c r="M4342">
        <v>-0.94949499999999998</v>
      </c>
      <c r="N4342">
        <v>0</v>
      </c>
      <c r="O4342">
        <v>-0.31349070000000001</v>
      </c>
      <c r="P4342">
        <v>-0.96741010000000005</v>
      </c>
      <c r="Q4342">
        <v>-2.0203369999999998E-2</v>
      </c>
      <c r="R4342">
        <v>-0.2524073</v>
      </c>
      <c r="S4342">
        <v>-3.0942379999999998</v>
      </c>
      <c r="T4342">
        <v>-0.16404469999999999</v>
      </c>
      <c r="U4342">
        <v>-2.6290890000000001E-2</v>
      </c>
      <c r="V4342">
        <v>6.3572119999999996E-2</v>
      </c>
      <c r="W4342">
        <v>-7.1520580000000002E-3</v>
      </c>
      <c r="X4342">
        <v>0.99795159999999905</v>
      </c>
      <c r="Y4342">
        <v>0.30458400000000002</v>
      </c>
      <c r="Z4342">
        <v>2.4457329999999999E-2</v>
      </c>
      <c r="AA4342">
        <v>0.9521714</v>
      </c>
      <c r="AB4342">
        <v>16</v>
      </c>
      <c r="AC4342">
        <v>-20.619599999999899</v>
      </c>
      <c r="AD4342">
        <v>-1.1019315975199999</v>
      </c>
      <c r="AE4342">
        <v>-0.127899999999982</v>
      </c>
      <c r="AF4342">
        <v>6.3251288220974198</v>
      </c>
      <c r="AG4342">
        <v>-1.1019315975199999</v>
      </c>
      <c r="AH4342">
        <v>19.564224111558101</v>
      </c>
      <c r="AI4342">
        <v>93.067693099028105</v>
      </c>
      <c r="AJ4342">
        <v>72.083939680354405</v>
      </c>
      <c r="AK4342">
        <v>20.5907836895299</v>
      </c>
    </row>
    <row r="4343" spans="1:37" x14ac:dyDescent="0.2">
      <c r="A4343" t="str">
        <f>"20200111155635656"</f>
        <v>20200111155635656</v>
      </c>
      <c r="B4343" t="str">
        <f>"1578729395636812"</f>
        <v>1578729395636812</v>
      </c>
      <c r="C4343" t="s">
        <v>37</v>
      </c>
      <c r="D4343">
        <v>5.1145930000000002</v>
      </c>
      <c r="E4343">
        <v>0.594016199999999</v>
      </c>
      <c r="F4343" t="s">
        <v>38</v>
      </c>
      <c r="G4343">
        <v>-232.50210000000001</v>
      </c>
      <c r="H4343" s="1">
        <v>-3.9009140000000002E-6</v>
      </c>
      <c r="I4343">
        <v>142.30170000000001</v>
      </c>
      <c r="J4343">
        <v>-212.80070000000001</v>
      </c>
      <c r="K4343">
        <v>1.1018330000000001</v>
      </c>
      <c r="L4343">
        <v>142.43209999999999</v>
      </c>
      <c r="M4343">
        <v>-0.95126069999999996</v>
      </c>
      <c r="N4343">
        <v>0</v>
      </c>
      <c r="O4343">
        <v>-0.308091</v>
      </c>
      <c r="P4343">
        <v>-0.96845319999999901</v>
      </c>
      <c r="Q4343">
        <v>-2.1386289999999999E-2</v>
      </c>
      <c r="R4343">
        <v>-0.24827750000000001</v>
      </c>
      <c r="S4343">
        <v>-3.0904240000000001</v>
      </c>
      <c r="T4343">
        <v>-0.17151830000000001</v>
      </c>
      <c r="U4343">
        <v>-2.7069090000000001E-2</v>
      </c>
      <c r="V4343">
        <v>6.2142999999999997E-2</v>
      </c>
      <c r="W4343">
        <v>-8.3177300000000006E-3</v>
      </c>
      <c r="X4343">
        <v>0.99803259999999905</v>
      </c>
      <c r="Y4343">
        <v>0.29885319999999999</v>
      </c>
      <c r="Z4343">
        <v>2.515483E-2</v>
      </c>
      <c r="AA4343">
        <v>0.95396749999999997</v>
      </c>
      <c r="AB4343">
        <v>16</v>
      </c>
      <c r="AC4343">
        <v>-19.7014</v>
      </c>
      <c r="AD4343">
        <v>-1.1018369009140001</v>
      </c>
      <c r="AE4343">
        <v>-0.13039999999998</v>
      </c>
      <c r="AF4343">
        <v>5.92778362197964</v>
      </c>
      <c r="AG4343">
        <v>-1.1018369009140001</v>
      </c>
      <c r="AH4343">
        <v>18.724497387755999</v>
      </c>
      <c r="AI4343">
        <v>93.210957534106697</v>
      </c>
      <c r="AJ4343">
        <v>72.433303804465595</v>
      </c>
      <c r="AK4343">
        <v>19.671285307506199</v>
      </c>
    </row>
    <row r="4344" spans="1:37" x14ac:dyDescent="0.2">
      <c r="A4344" t="str">
        <f>"20200111155635700"</f>
        <v>20200111155635700</v>
      </c>
      <c r="B4344" t="str">
        <f>"1578729395697324"</f>
        <v>1578729395697324</v>
      </c>
      <c r="C4344" t="s">
        <v>37</v>
      </c>
      <c r="D4344">
        <v>4.8567109999999998</v>
      </c>
      <c r="E4344">
        <v>0.6068479</v>
      </c>
      <c r="F4344" t="s">
        <v>38</v>
      </c>
      <c r="G4344">
        <v>-232.09049999999999</v>
      </c>
      <c r="H4344" s="1">
        <v>-4.0415530000000002E-6</v>
      </c>
      <c r="I4344">
        <v>142.30510000000001</v>
      </c>
      <c r="J4344">
        <v>-213.11060000000001</v>
      </c>
      <c r="K4344">
        <v>1.1016250000000001</v>
      </c>
      <c r="L4344">
        <v>142.3476</v>
      </c>
      <c r="M4344">
        <v>-0.95492569999999999</v>
      </c>
      <c r="N4344">
        <v>0</v>
      </c>
      <c r="O4344">
        <v>-0.29653409999999902</v>
      </c>
      <c r="P4344">
        <v>-0.9709101</v>
      </c>
      <c r="Q4344">
        <v>-1.838333E-2</v>
      </c>
      <c r="R4344">
        <v>-0.23873749999999999</v>
      </c>
      <c r="S4344">
        <v>-3.0886230000000001</v>
      </c>
      <c r="T4344">
        <v>-0.17642260000000001</v>
      </c>
      <c r="U4344">
        <v>-2.0324709999999999E-2</v>
      </c>
      <c r="V4344">
        <v>5.9898020000000003E-2</v>
      </c>
      <c r="W4344">
        <v>-5.2843319999999897E-3</v>
      </c>
      <c r="X4344">
        <v>0.99819049999999998</v>
      </c>
      <c r="Y4344">
        <v>0.28932729999999901</v>
      </c>
      <c r="Z4344">
        <v>2.4983040000000001E-2</v>
      </c>
      <c r="AA4344">
        <v>0.95690419999999998</v>
      </c>
      <c r="AB4344">
        <v>16</v>
      </c>
      <c r="AC4344">
        <v>-18.979899999999901</v>
      </c>
      <c r="AD4344">
        <v>-1.1016290415529999</v>
      </c>
      <c r="AE4344">
        <v>-4.2499999999989699E-2</v>
      </c>
      <c r="AF4344">
        <v>5.5693562831148</v>
      </c>
      <c r="AG4344">
        <v>-1.1016290415529999</v>
      </c>
      <c r="AH4344">
        <v>18.077768613590699</v>
      </c>
      <c r="AI4344">
        <v>93.332984928012294</v>
      </c>
      <c r="AJ4344">
        <v>72.877104764989397</v>
      </c>
      <c r="AK4344">
        <v>18.948272586174902</v>
      </c>
    </row>
    <row r="4345" spans="1:37" x14ac:dyDescent="0.2">
      <c r="A4345" t="str">
        <f>"20200111155635723"</f>
        <v>20200111155635723</v>
      </c>
      <c r="B4345" t="str">
        <f>"1578729395716844"</f>
        <v>1578729395716844</v>
      </c>
      <c r="C4345" t="s">
        <v>37</v>
      </c>
      <c r="D4345">
        <v>4.9603080000000004</v>
      </c>
      <c r="E4345">
        <v>0.60258049999999996</v>
      </c>
      <c r="F4345" t="s">
        <v>38</v>
      </c>
      <c r="G4345">
        <v>-261.339</v>
      </c>
      <c r="H4345" s="1">
        <v>-4.6102399999999998E-6</v>
      </c>
      <c r="I4345">
        <v>144.06909999999999</v>
      </c>
      <c r="J4345">
        <v>-213.2841</v>
      </c>
      <c r="K4345">
        <v>1.1015090000000001</v>
      </c>
      <c r="L4345">
        <v>142.30279999999999</v>
      </c>
      <c r="M4345">
        <v>-0.95703139999999998</v>
      </c>
      <c r="N4345">
        <v>0</v>
      </c>
      <c r="O4345">
        <v>-0.28966599999999998</v>
      </c>
      <c r="P4345">
        <v>-0.97239819999999999</v>
      </c>
      <c r="Q4345">
        <v>-1.5837710000000001E-2</v>
      </c>
      <c r="R4345">
        <v>-0.2327902</v>
      </c>
      <c r="S4345">
        <v>-3.115891</v>
      </c>
      <c r="T4345">
        <v>-7.1173070000000005E-2</v>
      </c>
      <c r="U4345">
        <v>0.1112213</v>
      </c>
      <c r="V4345">
        <v>5.8868780000000002E-2</v>
      </c>
      <c r="W4345">
        <v>-2.7484929999999999E-3</v>
      </c>
      <c r="X4345">
        <v>0.99826190000000004</v>
      </c>
      <c r="Y4345">
        <v>0.32349229999999901</v>
      </c>
      <c r="Z4345">
        <v>1.0243220000000001E-2</v>
      </c>
      <c r="AA4345">
        <v>0.94617530000000005</v>
      </c>
      <c r="AB4345">
        <v>16</v>
      </c>
      <c r="AC4345">
        <v>-48.054900000000004</v>
      </c>
      <c r="AD4345">
        <v>-1.1015136102399901</v>
      </c>
      <c r="AE4345">
        <v>1.7663</v>
      </c>
      <c r="AF4345">
        <v>15.603528230872399</v>
      </c>
      <c r="AG4345">
        <v>-1.1015136102399901</v>
      </c>
      <c r="AH4345">
        <v>45.458754718787802</v>
      </c>
      <c r="AI4345">
        <v>91.312905452393196</v>
      </c>
      <c r="AJ4345">
        <v>71.055430073239407</v>
      </c>
      <c r="AK4345">
        <v>48.074752272560801</v>
      </c>
    </row>
    <row r="4346" spans="1:37" x14ac:dyDescent="0.2">
      <c r="A4346" t="str">
        <f>"20200111155635745"</f>
        <v>20200111155635745</v>
      </c>
      <c r="B4346" t="str">
        <f>"1578729395737340"</f>
        <v>1578729395737340</v>
      </c>
      <c r="C4346" t="s">
        <v>37</v>
      </c>
      <c r="D4346">
        <v>5.0212940000000001</v>
      </c>
      <c r="E4346">
        <v>0.59973669999999901</v>
      </c>
      <c r="F4346" t="s">
        <v>38</v>
      </c>
      <c r="G4346">
        <v>-253.72380000000001</v>
      </c>
      <c r="H4346" s="1">
        <v>-3.708818E-6</v>
      </c>
      <c r="I4346">
        <v>143.5625</v>
      </c>
      <c r="J4346">
        <v>-213.4419</v>
      </c>
      <c r="K4346">
        <v>1.1014299999999999</v>
      </c>
      <c r="L4346">
        <v>142.26339999999999</v>
      </c>
      <c r="M4346">
        <v>-0.95895569999999897</v>
      </c>
      <c r="N4346">
        <v>0</v>
      </c>
      <c r="O4346">
        <v>-0.28323219999999999</v>
      </c>
      <c r="P4346">
        <v>-0.97362969999999904</v>
      </c>
      <c r="Q4346">
        <v>-1.45662E-2</v>
      </c>
      <c r="R4346">
        <v>-0.22766939999999999</v>
      </c>
      <c r="S4346">
        <v>-3.1069339999999999</v>
      </c>
      <c r="T4346">
        <v>-8.4628110000000006E-2</v>
      </c>
      <c r="U4346">
        <v>9.6786499999999998E-2</v>
      </c>
      <c r="V4346">
        <v>5.7433240000000003E-2</v>
      </c>
      <c r="W4346">
        <v>-1.506175E-3</v>
      </c>
      <c r="X4346">
        <v>0.99834820000000002</v>
      </c>
      <c r="Y4346">
        <v>0.31276320000000002</v>
      </c>
      <c r="Z4346">
        <v>1.189788E-2</v>
      </c>
      <c r="AA4346">
        <v>0.94975659999999895</v>
      </c>
      <c r="AB4346">
        <v>16</v>
      </c>
      <c r="AC4346">
        <v>-40.2819</v>
      </c>
      <c r="AD4346">
        <v>-1.101433708818</v>
      </c>
      <c r="AE4346">
        <v>1.2991000000000099</v>
      </c>
      <c r="AF4346">
        <v>12.6466262748748</v>
      </c>
      <c r="AG4346">
        <v>-1.101433708818</v>
      </c>
      <c r="AH4346">
        <v>38.235564274136401</v>
      </c>
      <c r="AI4346">
        <v>91.566611500600203</v>
      </c>
      <c r="AJ4346">
        <v>71.698078710233901</v>
      </c>
      <c r="AK4346">
        <v>40.287823069916399</v>
      </c>
    </row>
    <row r="4347" spans="1:37" x14ac:dyDescent="0.2">
      <c r="A4347" t="str">
        <f>"20200111155635767"</f>
        <v>20200111155635767</v>
      </c>
      <c r="B4347" t="str">
        <f>"1578729395756859"</f>
        <v>1578729395756859</v>
      </c>
      <c r="C4347" t="s">
        <v>37</v>
      </c>
      <c r="D4347">
        <v>4.9725609999999998</v>
      </c>
      <c r="E4347">
        <v>0.59742340000000005</v>
      </c>
      <c r="F4347" t="s">
        <v>38</v>
      </c>
      <c r="G4347">
        <v>-250.785</v>
      </c>
      <c r="H4347" s="1">
        <v>-4.6721510000000001E-6</v>
      </c>
      <c r="I4347">
        <v>143.3553</v>
      </c>
      <c r="J4347">
        <v>-213.59809999999999</v>
      </c>
      <c r="K4347">
        <v>1.101353</v>
      </c>
      <c r="L4347">
        <v>142.22569999999999</v>
      </c>
      <c r="M4347">
        <v>-0.96086450000000001</v>
      </c>
      <c r="N4347">
        <v>0</v>
      </c>
      <c r="O4347">
        <v>-0.27669090000000002</v>
      </c>
      <c r="P4347">
        <v>-0.97472630000000005</v>
      </c>
      <c r="Q4347">
        <v>-1.312893E-2</v>
      </c>
      <c r="R4347">
        <v>-0.2230172</v>
      </c>
      <c r="S4347">
        <v>-3.1010740000000001</v>
      </c>
      <c r="T4347">
        <v>-9.1466309999999995E-2</v>
      </c>
      <c r="U4347">
        <v>9.0682979999999996E-2</v>
      </c>
      <c r="V4347">
        <v>5.5414409999999997E-2</v>
      </c>
      <c r="W4347">
        <v>-1.3709249999999999E-4</v>
      </c>
      <c r="X4347">
        <v>0.99846349999999995</v>
      </c>
      <c r="Y4347">
        <v>0.30443579999999998</v>
      </c>
      <c r="Z4347">
        <v>1.2572989999999999E-2</v>
      </c>
      <c r="AA4347">
        <v>0.95244989999999996</v>
      </c>
      <c r="AB4347">
        <v>16</v>
      </c>
      <c r="AC4347">
        <v>-37.186900000000001</v>
      </c>
      <c r="AD4347">
        <v>-1.1013576721509999</v>
      </c>
      <c r="AE4347">
        <v>1.1296000000000099</v>
      </c>
      <c r="AF4347">
        <v>11.3657417556166</v>
      </c>
      <c r="AG4347">
        <v>-1.1013576721509999</v>
      </c>
      <c r="AH4347">
        <v>35.391222781174498</v>
      </c>
      <c r="AI4347">
        <v>91.697126255256904</v>
      </c>
      <c r="AJ4347">
        <v>72.195797929723298</v>
      </c>
      <c r="AK4347">
        <v>37.187789989781599</v>
      </c>
    </row>
    <row r="4348" spans="1:37" x14ac:dyDescent="0.2">
      <c r="A4348" t="str">
        <f>"20200111155635789"</f>
        <v>20200111155635789</v>
      </c>
      <c r="B4348" t="str">
        <f>"1578729395777356"</f>
        <v>1578729395777356</v>
      </c>
      <c r="C4348" t="s">
        <v>37</v>
      </c>
      <c r="D4348">
        <v>4.9663979999999999</v>
      </c>
      <c r="E4348">
        <v>0.59595019999999999</v>
      </c>
      <c r="F4348" t="s">
        <v>38</v>
      </c>
      <c r="G4348">
        <v>-248.70939999999999</v>
      </c>
      <c r="H4348" s="1">
        <v>-1.4936889999999999E-6</v>
      </c>
      <c r="I4348">
        <v>143.2157</v>
      </c>
      <c r="J4348">
        <v>-213.75380000000001</v>
      </c>
      <c r="K4348">
        <v>1.1012660000000001</v>
      </c>
      <c r="L4348">
        <v>142.18940000000001</v>
      </c>
      <c r="M4348">
        <v>-0.96276479999999998</v>
      </c>
      <c r="N4348">
        <v>0</v>
      </c>
      <c r="O4348">
        <v>-0.27001239999999999</v>
      </c>
      <c r="P4348">
        <v>-0.97574810000000001</v>
      </c>
      <c r="Q4348">
        <v>-1.345959E-2</v>
      </c>
      <c r="R4348">
        <v>-0.21848310000000001</v>
      </c>
      <c r="S4348">
        <v>-3.0964659999999999</v>
      </c>
      <c r="T4348">
        <v>-9.7128510000000001E-2</v>
      </c>
      <c r="U4348">
        <v>8.7310789999999999E-2</v>
      </c>
      <c r="V4348">
        <v>5.3117669999999999E-2</v>
      </c>
      <c r="W4348">
        <v>-6.042062E-4</v>
      </c>
      <c r="X4348">
        <v>0.99858809999999998</v>
      </c>
      <c r="Y4348">
        <v>0.29679109999999997</v>
      </c>
      <c r="Z4348">
        <v>1.304727E-2</v>
      </c>
      <c r="AA4348">
        <v>0.95485330000000002</v>
      </c>
      <c r="AB4348">
        <v>16</v>
      </c>
      <c r="AC4348">
        <v>-34.955599999999897</v>
      </c>
      <c r="AD4348">
        <v>-1.1012674936889999</v>
      </c>
      <c r="AE4348">
        <v>1.02629999999999</v>
      </c>
      <c r="AF4348">
        <v>10.4171244999088</v>
      </c>
      <c r="AG4348">
        <v>-1.1012674936889999</v>
      </c>
      <c r="AH4348">
        <v>33.346795999089998</v>
      </c>
      <c r="AI4348">
        <v>91.805503258386295</v>
      </c>
      <c r="AJ4348">
        <v>72.651844314189503</v>
      </c>
      <c r="AK4348">
        <v>34.953370028427599</v>
      </c>
    </row>
    <row r="4349" spans="1:37" x14ac:dyDescent="0.2">
      <c r="A4349" t="str">
        <f>"20200111155635811"</f>
        <v>20200111155635811</v>
      </c>
      <c r="B4349" t="str">
        <f>"1578729395807612"</f>
        <v>1578729395807612</v>
      </c>
      <c r="C4349" t="s">
        <v>37</v>
      </c>
      <c r="D4349">
        <v>5.034618</v>
      </c>
      <c r="E4349">
        <v>0.58496759999999903</v>
      </c>
      <c r="F4349" t="s">
        <v>38</v>
      </c>
      <c r="G4349">
        <v>-246.0247</v>
      </c>
      <c r="H4349" s="1">
        <v>-2.6222979999999998E-6</v>
      </c>
      <c r="I4349">
        <v>143.12870000000001</v>
      </c>
      <c r="J4349">
        <v>-213.92060000000001</v>
      </c>
      <c r="K4349">
        <v>1.101164</v>
      </c>
      <c r="L4349">
        <v>142.15190000000001</v>
      </c>
      <c r="M4349">
        <v>-0.96478770000000003</v>
      </c>
      <c r="N4349">
        <v>0</v>
      </c>
      <c r="O4349">
        <v>-0.26270389999999999</v>
      </c>
      <c r="P4349">
        <v>-0.97683679999999995</v>
      </c>
      <c r="Q4349">
        <v>-1.3788750000000001E-2</v>
      </c>
      <c r="R4349">
        <v>-0.21354099999999901</v>
      </c>
      <c r="S4349">
        <v>-3.09326199999999</v>
      </c>
      <c r="T4349">
        <v>-0.1055599</v>
      </c>
      <c r="U4349">
        <v>9.0042109999999995E-2</v>
      </c>
      <c r="V4349">
        <v>5.0593409999999998E-2</v>
      </c>
      <c r="W4349">
        <v>-1.1531950000000001E-3</v>
      </c>
      <c r="X4349">
        <v>0.99871869999999996</v>
      </c>
      <c r="Y4349">
        <v>0.29037029999999903</v>
      </c>
      <c r="Z4349">
        <v>1.384175E-2</v>
      </c>
      <c r="AA4349">
        <v>0.95681419999999995</v>
      </c>
      <c r="AB4349">
        <v>16</v>
      </c>
      <c r="AC4349">
        <v>-32.104099999999903</v>
      </c>
      <c r="AD4349">
        <v>-1.1011666222980001</v>
      </c>
      <c r="AE4349">
        <v>0.976799999999997</v>
      </c>
      <c r="AF4349">
        <v>9.3660715219394906</v>
      </c>
      <c r="AG4349">
        <v>-1.1011666222980001</v>
      </c>
      <c r="AH4349">
        <v>30.683598427783501</v>
      </c>
      <c r="AI4349">
        <v>91.965866131480695</v>
      </c>
      <c r="AJ4349">
        <v>73.025355679570694</v>
      </c>
      <c r="AK4349">
        <v>32.1001413729227</v>
      </c>
    </row>
    <row r="4350" spans="1:37" x14ac:dyDescent="0.2">
      <c r="A4350" t="str">
        <f>"20200111155635834"</f>
        <v>20200111155635834</v>
      </c>
      <c r="B4350" t="str">
        <f>"1578729395827132"</f>
        <v>1578729395827132</v>
      </c>
      <c r="C4350" t="s">
        <v>37</v>
      </c>
      <c r="D4350">
        <v>4.9759199999999897</v>
      </c>
      <c r="E4350">
        <v>0.58352190000000004</v>
      </c>
      <c r="F4350" t="s">
        <v>38</v>
      </c>
      <c r="G4350">
        <v>-235.27269999999999</v>
      </c>
      <c r="H4350" s="1">
        <v>-2.720017E-6</v>
      </c>
      <c r="I4350">
        <v>142.28360000000001</v>
      </c>
      <c r="J4350">
        <v>-214.08959999999999</v>
      </c>
      <c r="K4350">
        <v>1.1010580000000001</v>
      </c>
      <c r="L4350">
        <v>142.11539999999999</v>
      </c>
      <c r="M4350">
        <v>-0.96680919999999904</v>
      </c>
      <c r="N4350">
        <v>0</v>
      </c>
      <c r="O4350">
        <v>-0.25517970000000001</v>
      </c>
      <c r="P4350">
        <v>-0.97782669999999905</v>
      </c>
      <c r="Q4350">
        <v>-1.4286729999999999E-2</v>
      </c>
      <c r="R4350">
        <v>-0.208928899999999</v>
      </c>
      <c r="S4350">
        <v>-3.073029</v>
      </c>
      <c r="T4350">
        <v>-0.1584817</v>
      </c>
      <c r="U4350">
        <v>1.8966670000000001E-2</v>
      </c>
      <c r="V4350">
        <v>4.7516199999999897E-2</v>
      </c>
      <c r="W4350">
        <v>-1.9242229999999901E-3</v>
      </c>
      <c r="X4350">
        <v>0.9988686</v>
      </c>
      <c r="Y4350">
        <v>0.26048339999999998</v>
      </c>
      <c r="Z4350">
        <v>1.975638E-2</v>
      </c>
      <c r="AA4350">
        <v>0.96527619999999903</v>
      </c>
      <c r="AB4350">
        <v>16</v>
      </c>
      <c r="AC4350">
        <v>-21.1831</v>
      </c>
      <c r="AD4350">
        <v>-1.1010607200169999</v>
      </c>
      <c r="AE4350">
        <v>0.16820000000001301</v>
      </c>
      <c r="AF4350">
        <v>5.5535657359224402</v>
      </c>
      <c r="AG4350">
        <v>-1.1010607200169999</v>
      </c>
      <c r="AH4350">
        <v>20.383695577441301</v>
      </c>
      <c r="AI4350">
        <v>92.983387349108298</v>
      </c>
      <c r="AJ4350">
        <v>74.759596115083298</v>
      </c>
      <c r="AK4350">
        <v>21.155365099335299</v>
      </c>
    </row>
    <row r="4351" spans="1:37" x14ac:dyDescent="0.2">
      <c r="A4351" t="str">
        <f>"20200111155635856"</f>
        <v>20200111155635856</v>
      </c>
      <c r="B4351" t="str">
        <f>"1578729395846651"</f>
        <v>1578729395846651</v>
      </c>
      <c r="C4351" t="s">
        <v>37</v>
      </c>
      <c r="D4351">
        <v>5.0141559999999998</v>
      </c>
      <c r="E4351">
        <v>0.58252060000000006</v>
      </c>
      <c r="F4351" t="s">
        <v>38</v>
      </c>
      <c r="G4351">
        <v>-234.70699999999999</v>
      </c>
      <c r="H4351" s="1">
        <v>-2.9577519999999998E-6</v>
      </c>
      <c r="I4351">
        <v>142.26490000000001</v>
      </c>
      <c r="J4351">
        <v>-214.2448</v>
      </c>
      <c r="K4351">
        <v>1.1009599999999999</v>
      </c>
      <c r="L4351">
        <v>142.08320000000001</v>
      </c>
      <c r="M4351">
        <v>-0.96863469999999996</v>
      </c>
      <c r="N4351">
        <v>0</v>
      </c>
      <c r="O4351">
        <v>-0.2481766</v>
      </c>
      <c r="P4351">
        <v>-0.97873319999999997</v>
      </c>
      <c r="Q4351">
        <v>-1.470778E-2</v>
      </c>
      <c r="R4351">
        <v>-0.2046096</v>
      </c>
      <c r="S4351">
        <v>-3.0703740000000002</v>
      </c>
      <c r="T4351">
        <v>-0.1639717</v>
      </c>
      <c r="U4351">
        <v>2.2277829999999998E-2</v>
      </c>
      <c r="V4351">
        <v>4.4688640000000002E-2</v>
      </c>
      <c r="W4351">
        <v>-2.6439509999999999E-3</v>
      </c>
      <c r="X4351">
        <v>0.99899740000000004</v>
      </c>
      <c r="Y4351">
        <v>0.25450679999999998</v>
      </c>
      <c r="Z4351">
        <v>1.9933780000000002E-2</v>
      </c>
      <c r="AA4351">
        <v>0.96686550000000004</v>
      </c>
      <c r="AB4351">
        <v>16</v>
      </c>
      <c r="AC4351">
        <v>-20.462199999999999</v>
      </c>
      <c r="AD4351">
        <v>-1.1009629577519999</v>
      </c>
      <c r="AE4351">
        <v>0.181700000000006</v>
      </c>
      <c r="AF4351">
        <v>5.2394810788120898</v>
      </c>
      <c r="AG4351">
        <v>-1.1009629577519999</v>
      </c>
      <c r="AH4351">
        <v>19.7197547815219</v>
      </c>
      <c r="AI4351">
        <v>93.088590172872998</v>
      </c>
      <c r="AJ4351">
        <v>75.120460875440799</v>
      </c>
      <c r="AK4351">
        <v>20.4336244962299</v>
      </c>
    </row>
    <row r="4352" spans="1:37" x14ac:dyDescent="0.2">
      <c r="A4352" t="str">
        <f>"20200111155635878"</f>
        <v>20200111155635878</v>
      </c>
      <c r="B4352" t="str">
        <f>"1578729395867147"</f>
        <v>1578729395867147</v>
      </c>
      <c r="C4352" t="s">
        <v>37</v>
      </c>
      <c r="D4352">
        <v>5.0374470000000002</v>
      </c>
      <c r="E4352">
        <v>0.58259090000000002</v>
      </c>
      <c r="F4352" t="s">
        <v>38</v>
      </c>
      <c r="G4352">
        <v>-234.83349999999999</v>
      </c>
      <c r="H4352" s="1">
        <v>-2.9054659999999999E-6</v>
      </c>
      <c r="I4352">
        <v>142.2724</v>
      </c>
      <c r="J4352">
        <v>-214.41</v>
      </c>
      <c r="K4352">
        <v>1.1008530000000001</v>
      </c>
      <c r="L4352">
        <v>142.05019999999999</v>
      </c>
      <c r="M4352">
        <v>-0.97053909999999999</v>
      </c>
      <c r="N4352">
        <v>0</v>
      </c>
      <c r="O4352">
        <v>-0.2406412</v>
      </c>
      <c r="P4352">
        <v>-0.97991319999999904</v>
      </c>
      <c r="Q4352">
        <v>-1.428658E-2</v>
      </c>
      <c r="R4352">
        <v>-0.19891300000000001</v>
      </c>
      <c r="S4352">
        <v>-3.068619</v>
      </c>
      <c r="T4352">
        <v>-0.1640915</v>
      </c>
      <c r="U4352">
        <v>2.8213499999999999E-2</v>
      </c>
      <c r="V4352">
        <v>4.2736509999999998E-2</v>
      </c>
      <c r="W4352">
        <v>-2.601342E-3</v>
      </c>
      <c r="X4352">
        <v>0.99908299999999906</v>
      </c>
      <c r="Y4352">
        <v>0.24887759999999901</v>
      </c>
      <c r="Z4352">
        <v>1.9416490000000002E-2</v>
      </c>
      <c r="AA4352">
        <v>0.96834030000000004</v>
      </c>
      <c r="AB4352">
        <v>16</v>
      </c>
      <c r="AC4352">
        <v>-20.423499999999901</v>
      </c>
      <c r="AD4352">
        <v>-1.1008559054660001</v>
      </c>
      <c r="AE4352">
        <v>0.222200000000015</v>
      </c>
      <c r="AF4352">
        <v>5.1159012461072102</v>
      </c>
      <c r="AG4352">
        <v>-1.1008559054660001</v>
      </c>
      <c r="AH4352">
        <v>19.712509555134901</v>
      </c>
      <c r="AI4352">
        <v>93.094101712183601</v>
      </c>
      <c r="AJ4352">
        <v>75.451245737803802</v>
      </c>
      <c r="AK4352">
        <v>20.395277939900801</v>
      </c>
    </row>
    <row r="4353" spans="1:37" x14ac:dyDescent="0.2">
      <c r="A4353" t="str">
        <f>"20200111155635901"</f>
        <v>20200111155635901</v>
      </c>
      <c r="B4353" t="str">
        <f>"1578729395897404"</f>
        <v>1578729395897404</v>
      </c>
      <c r="C4353" t="s">
        <v>37</v>
      </c>
      <c r="D4353">
        <v>5.0546850000000001</v>
      </c>
      <c r="E4353">
        <v>0.58225959999999999</v>
      </c>
      <c r="F4353" t="s">
        <v>38</v>
      </c>
      <c r="G4353">
        <v>-235.9186</v>
      </c>
      <c r="H4353" s="1">
        <v>-2.46812999999999E-6</v>
      </c>
      <c r="I4353">
        <v>142.3783</v>
      </c>
      <c r="J4353">
        <v>-214.5795</v>
      </c>
      <c r="K4353">
        <v>1.1007559999999901</v>
      </c>
      <c r="L4353">
        <v>142.018</v>
      </c>
      <c r="M4353">
        <v>-0.97244269999999999</v>
      </c>
      <c r="N4353">
        <v>0</v>
      </c>
      <c r="O4353">
        <v>-0.23285239999999999</v>
      </c>
      <c r="P4353">
        <v>-0.98162850000000001</v>
      </c>
      <c r="Q4353">
        <v>-1.1819669999999999E-2</v>
      </c>
      <c r="R4353">
        <v>-0.19043560000000001</v>
      </c>
      <c r="S4353">
        <v>-3.0687099999999998</v>
      </c>
      <c r="T4353">
        <v>-0.15706310000000001</v>
      </c>
      <c r="U4353">
        <v>4.6813960000000002E-2</v>
      </c>
      <c r="V4353">
        <v>4.3385989999999999E-2</v>
      </c>
      <c r="W4353">
        <v>-5.9444909999999997E-4</v>
      </c>
      <c r="X4353">
        <v>0.99905820000000001</v>
      </c>
      <c r="Y4353">
        <v>0.24705079999999999</v>
      </c>
      <c r="Z4353">
        <v>1.8150220000000002E-2</v>
      </c>
      <c r="AA4353">
        <v>0.96883259999999904</v>
      </c>
      <c r="AB4353">
        <v>16</v>
      </c>
      <c r="AC4353">
        <v>-21.339099999999998</v>
      </c>
      <c r="AD4353">
        <v>-1.10075846812999</v>
      </c>
      <c r="AE4353">
        <v>0.36029999999999501</v>
      </c>
      <c r="AF4353">
        <v>5.3054772896440099</v>
      </c>
      <c r="AG4353">
        <v>-1.10075846812999</v>
      </c>
      <c r="AH4353">
        <v>20.613714190899799</v>
      </c>
      <c r="AI4353">
        <v>92.960354566189196</v>
      </c>
      <c r="AJ4353">
        <v>75.566692786925401</v>
      </c>
      <c r="AK4353">
        <v>21.313961884647199</v>
      </c>
    </row>
    <row r="4354" spans="1:37" x14ac:dyDescent="0.2">
      <c r="A4354" t="str">
        <f>"20200111155635924"</f>
        <v>20200111155635924</v>
      </c>
      <c r="B4354" t="str">
        <f>"1578729395916923"</f>
        <v>1578729395916923</v>
      </c>
      <c r="C4354" t="s">
        <v>37</v>
      </c>
      <c r="D4354">
        <v>4.7609120000000003</v>
      </c>
      <c r="E4354">
        <v>0.58326579999999995</v>
      </c>
      <c r="F4354" t="s">
        <v>38</v>
      </c>
      <c r="G4354">
        <v>-238.57689999999999</v>
      </c>
      <c r="H4354" s="1">
        <v>-1.3790090000000001E-6</v>
      </c>
      <c r="I4354">
        <v>142.5711</v>
      </c>
      <c r="J4354">
        <v>-214.7559</v>
      </c>
      <c r="K4354">
        <v>1.1006689999999999</v>
      </c>
      <c r="L4354">
        <v>141.98589999999999</v>
      </c>
      <c r="M4354">
        <v>-0.97436029999999996</v>
      </c>
      <c r="N4354">
        <v>0</v>
      </c>
      <c r="O4354">
        <v>-0.22471759999999999</v>
      </c>
      <c r="P4354">
        <v>-0.98362989999999995</v>
      </c>
      <c r="Q4354">
        <v>-8.4048159999999903E-3</v>
      </c>
      <c r="R4354">
        <v>-0.18000450000000001</v>
      </c>
      <c r="S4354">
        <v>-3.0681919999999998</v>
      </c>
      <c r="T4354">
        <v>-0.140737</v>
      </c>
      <c r="U4354">
        <v>7.0724490000000001E-2</v>
      </c>
      <c r="V4354">
        <v>4.567512E-2</v>
      </c>
      <c r="W4354">
        <v>2.3058079999999999E-3</v>
      </c>
      <c r="X4354">
        <v>0.99895369999999994</v>
      </c>
      <c r="Y4354">
        <v>0.2466342</v>
      </c>
      <c r="Z4354">
        <v>1.5894289999999998E-2</v>
      </c>
      <c r="AA4354">
        <v>0.96897829999999996</v>
      </c>
      <c r="AB4354">
        <v>17</v>
      </c>
      <c r="AC4354">
        <v>-23.820999999999898</v>
      </c>
      <c r="AD4354">
        <v>-1.100670379009</v>
      </c>
      <c r="AE4354">
        <v>0.58520000000001404</v>
      </c>
      <c r="AF4354">
        <v>5.9109487192011798</v>
      </c>
      <c r="AG4354">
        <v>-1.100670379009</v>
      </c>
      <c r="AH4354">
        <v>23.0310218503129</v>
      </c>
      <c r="AI4354">
        <v>92.650358723466098</v>
      </c>
      <c r="AJ4354">
        <v>75.605630984469101</v>
      </c>
      <c r="AK4354">
        <v>23.802914895319901</v>
      </c>
    </row>
    <row r="4355" spans="1:37" x14ac:dyDescent="0.2">
      <c r="A4355" t="str">
        <f>"20200111155635946"</f>
        <v>20200111155635946</v>
      </c>
      <c r="B4355" t="str">
        <f>"1578729395937420"</f>
        <v>1578729395937420</v>
      </c>
      <c r="C4355" t="s">
        <v>37</v>
      </c>
      <c r="D4355">
        <v>4.7859069999999999</v>
      </c>
      <c r="E4355">
        <v>0.58436929999999998</v>
      </c>
      <c r="F4355" t="s">
        <v>38</v>
      </c>
      <c r="G4355">
        <v>-242.30940000000001</v>
      </c>
      <c r="H4355" s="1">
        <v>-4.0873010000000001E-6</v>
      </c>
      <c r="I4355">
        <v>142.9828</v>
      </c>
      <c r="J4355">
        <v>-214.92099999999999</v>
      </c>
      <c r="K4355">
        <v>1.1006049999999901</v>
      </c>
      <c r="L4355">
        <v>141.9572</v>
      </c>
      <c r="M4355">
        <v>-0.97609040000000002</v>
      </c>
      <c r="N4355">
        <v>0</v>
      </c>
      <c r="O4355">
        <v>-0.21710199999999999</v>
      </c>
      <c r="P4355">
        <v>-0.98582939999999997</v>
      </c>
      <c r="Q4355">
        <v>-5.6016030000000001E-3</v>
      </c>
      <c r="R4355">
        <v>-0.16765749999999999</v>
      </c>
      <c r="S4355">
        <v>-3.0691830000000002</v>
      </c>
      <c r="T4355">
        <v>-0.1226039</v>
      </c>
      <c r="U4355">
        <v>0.1110535</v>
      </c>
      <c r="V4355">
        <v>5.0423219999999998E-2</v>
      </c>
      <c r="W4355">
        <v>4.6122539999999997E-3</v>
      </c>
      <c r="X4355">
        <v>0.99871730000000003</v>
      </c>
      <c r="Y4355">
        <v>0.25189739999999999</v>
      </c>
      <c r="Z4355">
        <v>1.3650509999999999E-2</v>
      </c>
      <c r="AA4355">
        <v>0.96765769999999995</v>
      </c>
      <c r="AB4355">
        <v>17</v>
      </c>
      <c r="AC4355">
        <v>-27.388400000000001</v>
      </c>
      <c r="AD4355">
        <v>-1.1006090873009999</v>
      </c>
      <c r="AE4355">
        <v>1.0255999999999901</v>
      </c>
      <c r="AF4355">
        <v>6.9363661069172204</v>
      </c>
      <c r="AG4355">
        <v>-1.1006090873009999</v>
      </c>
      <c r="AH4355">
        <v>26.469724253203601</v>
      </c>
      <c r="AI4355">
        <v>92.303300090348699</v>
      </c>
      <c r="AJ4355">
        <v>75.315870684950696</v>
      </c>
      <c r="AK4355">
        <v>27.385595066985001</v>
      </c>
    </row>
    <row r="4356" spans="1:37" x14ac:dyDescent="0.2">
      <c r="A4356" t="str">
        <f>"20200111155635967"</f>
        <v>20200111155635967</v>
      </c>
      <c r="B4356" t="str">
        <f>"1578729395956939"</f>
        <v>1578729395956939</v>
      </c>
      <c r="C4356" t="s">
        <v>37</v>
      </c>
      <c r="D4356">
        <v>5.0743749999999999</v>
      </c>
      <c r="E4356">
        <v>0.584854599999999</v>
      </c>
      <c r="F4356" t="s">
        <v>38</v>
      </c>
      <c r="G4356">
        <v>-247.12190000000001</v>
      </c>
      <c r="H4356" s="1">
        <v>-2.2814389999999999E-6</v>
      </c>
      <c r="I4356">
        <v>143.61670000000001</v>
      </c>
      <c r="J4356">
        <v>-215.08449999999999</v>
      </c>
      <c r="K4356">
        <v>1.100552</v>
      </c>
      <c r="L4356">
        <v>141.93010000000001</v>
      </c>
      <c r="M4356">
        <v>-0.97773809999999906</v>
      </c>
      <c r="N4356">
        <v>0</v>
      </c>
      <c r="O4356">
        <v>-0.2095786</v>
      </c>
      <c r="P4356">
        <v>-0.98784969999999905</v>
      </c>
      <c r="Q4356">
        <v>-4.1148640000000002E-3</v>
      </c>
      <c r="R4356">
        <v>-0.15535739999999901</v>
      </c>
      <c r="S4356">
        <v>-3.0694430000000001</v>
      </c>
      <c r="T4356">
        <v>-0.104911899999999</v>
      </c>
      <c r="U4356">
        <v>0.15818789999999999</v>
      </c>
      <c r="V4356">
        <v>5.5189160000000001E-2</v>
      </c>
      <c r="W4356">
        <v>5.6112159999999996E-3</v>
      </c>
      <c r="X4356">
        <v>0.99846019999999902</v>
      </c>
      <c r="Y4356">
        <v>0.25936419999999999</v>
      </c>
      <c r="Z4356">
        <v>1.155454E-2</v>
      </c>
      <c r="AA4356">
        <v>0.96571049999999903</v>
      </c>
      <c r="AB4356">
        <v>17</v>
      </c>
      <c r="AC4356">
        <v>-32.037399999999998</v>
      </c>
      <c r="AD4356">
        <v>-1.1005542814389999</v>
      </c>
      <c r="AE4356">
        <v>1.6865999999999901</v>
      </c>
      <c r="AF4356">
        <v>8.3540146187868807</v>
      </c>
      <c r="AG4356">
        <v>-1.1005542814389999</v>
      </c>
      <c r="AH4356">
        <v>30.935931989256801</v>
      </c>
      <c r="AI4356">
        <v>91.967052537443195</v>
      </c>
      <c r="AJ4356">
        <v>74.888158385542098</v>
      </c>
      <c r="AK4356">
        <v>32.062948523509498</v>
      </c>
    </row>
    <row r="4357" spans="1:37" x14ac:dyDescent="0.2">
      <c r="A4357" t="str">
        <f>"20200111155635991"</f>
        <v>20200111155635991</v>
      </c>
      <c r="B4357" t="str">
        <f>"1578729395987196"</f>
        <v>1578729395987196</v>
      </c>
      <c r="C4357" t="s">
        <v>37</v>
      </c>
      <c r="D4357">
        <v>4.8402190000000003</v>
      </c>
      <c r="E4357">
        <v>0.58471770000000001</v>
      </c>
      <c r="F4357" t="s">
        <v>38</v>
      </c>
      <c r="G4357">
        <v>-249.762</v>
      </c>
      <c r="H4357" s="1">
        <v>-1.302161E-6</v>
      </c>
      <c r="I4357">
        <v>144.19280000000001</v>
      </c>
      <c r="J4357">
        <v>-215.25749999999999</v>
      </c>
      <c r="K4357">
        <v>1.100501</v>
      </c>
      <c r="L4357">
        <v>141.90270000000001</v>
      </c>
      <c r="M4357">
        <v>-0.97941209999999901</v>
      </c>
      <c r="N4357">
        <v>0</v>
      </c>
      <c r="O4357">
        <v>-0.20163439999999999</v>
      </c>
      <c r="P4357">
        <v>-0.98977719999999902</v>
      </c>
      <c r="Q4357">
        <v>-1.877068E-3</v>
      </c>
      <c r="R4357">
        <v>-0.1426096</v>
      </c>
      <c r="S4357">
        <v>-3.0679630000000002</v>
      </c>
      <c r="T4357">
        <v>-9.7367410000000001E-2</v>
      </c>
      <c r="U4357">
        <v>0.20019529999999999</v>
      </c>
      <c r="V4357">
        <v>5.9971389999999999E-2</v>
      </c>
      <c r="W4357">
        <v>7.3254100000000001E-3</v>
      </c>
      <c r="X4357">
        <v>0.99817319999999998</v>
      </c>
      <c r="Y4357">
        <v>0.26476</v>
      </c>
      <c r="Z4357">
        <v>1.056431E-2</v>
      </c>
      <c r="AA4357">
        <v>0.96425649999999996</v>
      </c>
      <c r="AB4357">
        <v>17</v>
      </c>
      <c r="AC4357">
        <v>-34.5045</v>
      </c>
      <c r="AD4357">
        <v>-1.1005023021610001</v>
      </c>
      <c r="AE4357">
        <v>2.29009999999999</v>
      </c>
      <c r="AF4357">
        <v>9.1913762017378193</v>
      </c>
      <c r="AG4357">
        <v>-1.1005023021610001</v>
      </c>
      <c r="AH4357">
        <v>33.300227416416597</v>
      </c>
      <c r="AI4357">
        <v>91.824635709600699</v>
      </c>
      <c r="AJ4357">
        <v>74.569674079025503</v>
      </c>
      <c r="AK4357">
        <v>34.562951954137198</v>
      </c>
    </row>
    <row r="4358" spans="1:37" x14ac:dyDescent="0.2">
      <c r="A4358" t="str">
        <f>"20200111155636014"</f>
        <v>20200111155636014</v>
      </c>
      <c r="B4358" t="str">
        <f>"1578729396006718"</f>
        <v>1578729396006718</v>
      </c>
      <c r="C4358" t="s">
        <v>37</v>
      </c>
      <c r="D4358">
        <v>4.971635</v>
      </c>
      <c r="E4358">
        <v>0.58420050000000001</v>
      </c>
      <c r="F4358" t="s">
        <v>38</v>
      </c>
      <c r="G4358">
        <v>-254.94130000000001</v>
      </c>
      <c r="H4358" s="1">
        <v>-3.54836799999999E-6</v>
      </c>
      <c r="I4358">
        <v>144.99379999999999</v>
      </c>
      <c r="J4358">
        <v>-215.4408</v>
      </c>
      <c r="K4358">
        <v>1.100447</v>
      </c>
      <c r="L4358">
        <v>141.8751</v>
      </c>
      <c r="M4358">
        <v>-0.98110540000000002</v>
      </c>
      <c r="N4358">
        <v>0</v>
      </c>
      <c r="O4358">
        <v>-0.19325309999999901</v>
      </c>
      <c r="P4358">
        <v>-0.99147249999999998</v>
      </c>
      <c r="Q4358">
        <v>2.2173409999999998E-3</v>
      </c>
      <c r="R4358">
        <v>-0.13029749999999901</v>
      </c>
      <c r="S4358">
        <v>-3.0652309999999998</v>
      </c>
      <c r="T4358">
        <v>-8.5004449999999995E-2</v>
      </c>
      <c r="U4358">
        <v>0.2387695</v>
      </c>
      <c r="V4358">
        <v>6.3873730000000004E-2</v>
      </c>
      <c r="W4358">
        <v>1.0862439999999999E-2</v>
      </c>
      <c r="X4358">
        <v>0.99789889999999903</v>
      </c>
      <c r="Y4358">
        <v>0.26869789999999999</v>
      </c>
      <c r="Z4358">
        <v>9.0543810000000002E-3</v>
      </c>
      <c r="AA4358">
        <v>0.96318189999999904</v>
      </c>
      <c r="AB4358">
        <v>17</v>
      </c>
      <c r="AC4358">
        <v>-39.500500000000002</v>
      </c>
      <c r="AD4358">
        <v>-1.100450548368</v>
      </c>
      <c r="AE4358">
        <v>3.1186999999999898</v>
      </c>
      <c r="AF4358">
        <v>10.685582252548199</v>
      </c>
      <c r="AG4358">
        <v>-1.100450548368</v>
      </c>
      <c r="AH4358">
        <v>38.1236794967066</v>
      </c>
      <c r="AI4358">
        <v>91.592077521933604</v>
      </c>
      <c r="AJ4358">
        <v>74.342491638812803</v>
      </c>
      <c r="AK4358">
        <v>39.608175896561903</v>
      </c>
    </row>
    <row r="4359" spans="1:37" x14ac:dyDescent="0.2">
      <c r="A4359" t="str">
        <f>"20200111155636035"</f>
        <v>20200111155636035</v>
      </c>
      <c r="B4359" t="str">
        <f>"1578729396027212"</f>
        <v>1578729396027212</v>
      </c>
      <c r="C4359" t="s">
        <v>37</v>
      </c>
      <c r="D4359">
        <v>4.9445079999999999</v>
      </c>
      <c r="E4359">
        <v>0.57063869999999906</v>
      </c>
      <c r="F4359" t="s">
        <v>38</v>
      </c>
      <c r="G4359">
        <v>-261.3897</v>
      </c>
      <c r="H4359" s="1">
        <v>-4.9292420000000001E-6</v>
      </c>
      <c r="I4359">
        <v>145.9648</v>
      </c>
      <c r="J4359">
        <v>-215.60939999999999</v>
      </c>
      <c r="K4359">
        <v>1.1004179999999999</v>
      </c>
      <c r="L4359">
        <v>141.8511</v>
      </c>
      <c r="M4359">
        <v>-0.98258429999999997</v>
      </c>
      <c r="N4359">
        <v>0</v>
      </c>
      <c r="O4359">
        <v>-0.18561069999999999</v>
      </c>
      <c r="P4359">
        <v>-0.99275679999999999</v>
      </c>
      <c r="Q4359">
        <v>6.6863449999999998E-3</v>
      </c>
      <c r="R4359">
        <v>-0.1199568</v>
      </c>
      <c r="S4359">
        <v>-3.061798</v>
      </c>
      <c r="T4359">
        <v>-7.3328499999999894E-2</v>
      </c>
      <c r="U4359">
        <v>0.27252199999999999</v>
      </c>
      <c r="V4359">
        <v>6.6539029999999999E-2</v>
      </c>
      <c r="W4359">
        <v>1.4830350000000001E-2</v>
      </c>
      <c r="X4359">
        <v>0.99767359999999905</v>
      </c>
      <c r="Y4359">
        <v>0.27187270000000002</v>
      </c>
      <c r="Z4359">
        <v>7.6745040000000004E-3</v>
      </c>
      <c r="AA4359">
        <v>0.96230260000000001</v>
      </c>
      <c r="AB4359">
        <v>17</v>
      </c>
      <c r="AC4359">
        <v>-45.780299999999997</v>
      </c>
      <c r="AD4359">
        <v>-1.100422929242</v>
      </c>
      <c r="AE4359">
        <v>4.1136999999999899</v>
      </c>
      <c r="AF4359">
        <v>12.5326687441252</v>
      </c>
      <c r="AG4359">
        <v>-1.100422929242</v>
      </c>
      <c r="AH4359">
        <v>44.195823662803903</v>
      </c>
      <c r="AI4359">
        <v>91.372218101425105</v>
      </c>
      <c r="AJ4359">
        <v>74.168183674778803</v>
      </c>
      <c r="AK4359">
        <v>45.951600034240698</v>
      </c>
    </row>
    <row r="4360" spans="1:37" x14ac:dyDescent="0.2">
      <c r="A4360" t="str">
        <f>"20200111155636057"</f>
        <v>20200111155636057</v>
      </c>
      <c r="B4360" t="str">
        <f>"1578729396046732"</f>
        <v>1578729396046732</v>
      </c>
      <c r="C4360" t="s">
        <v>37</v>
      </c>
      <c r="D4360">
        <v>4.8355139999999999</v>
      </c>
      <c r="E4360">
        <v>0.56975849999999995</v>
      </c>
      <c r="F4360" t="s">
        <v>38</v>
      </c>
      <c r="G4360">
        <v>-264.23439999999999</v>
      </c>
      <c r="H4360" s="1">
        <v>-3.7873970000000001E-6</v>
      </c>
      <c r="I4360">
        <v>144.98519999999999</v>
      </c>
      <c r="J4360">
        <v>-215.78110000000001</v>
      </c>
      <c r="K4360">
        <v>1.100387</v>
      </c>
      <c r="L4360">
        <v>141.8279</v>
      </c>
      <c r="M4360">
        <v>-0.98400810000000005</v>
      </c>
      <c r="N4360">
        <v>0</v>
      </c>
      <c r="O4360">
        <v>-0.1779309</v>
      </c>
      <c r="P4360">
        <v>-0.99374459999999998</v>
      </c>
      <c r="Q4360">
        <v>9.8975509999999992E-3</v>
      </c>
      <c r="R4360">
        <v>-0.11123769999999999</v>
      </c>
      <c r="S4360">
        <v>-3.0460820000000002</v>
      </c>
      <c r="T4360">
        <v>-6.8935280000000002E-2</v>
      </c>
      <c r="U4360">
        <v>0.1963348</v>
      </c>
      <c r="V4360">
        <v>6.7523520000000004E-2</v>
      </c>
      <c r="W4360">
        <v>1.756274E-2</v>
      </c>
      <c r="X4360">
        <v>0.99756309999999904</v>
      </c>
      <c r="Y4360">
        <v>0.24075679999999899</v>
      </c>
      <c r="Z4360">
        <v>6.7328569999999897E-3</v>
      </c>
      <c r="AA4360">
        <v>0.97056209999999898</v>
      </c>
      <c r="AB4360">
        <v>17</v>
      </c>
      <c r="AC4360">
        <v>-48.453299999999899</v>
      </c>
      <c r="AD4360">
        <v>-1.100390787397</v>
      </c>
      <c r="AE4360">
        <v>3.15729999999999</v>
      </c>
      <c r="AF4360">
        <v>11.7225302214202</v>
      </c>
      <c r="AG4360">
        <v>-1.100390787397</v>
      </c>
      <c r="AH4360">
        <v>47.094089373900097</v>
      </c>
      <c r="AI4360">
        <v>91.2988970508801</v>
      </c>
      <c r="AJ4360">
        <v>76.022160302400806</v>
      </c>
      <c r="AK4360">
        <v>48.543607495055298</v>
      </c>
    </row>
    <row r="4361" spans="1:37" x14ac:dyDescent="0.2">
      <c r="A4361" t="str">
        <f>"20200111155636079"</f>
        <v>20200111155636079</v>
      </c>
      <c r="B4361" t="str">
        <f>"1578729396076989"</f>
        <v>1578729396076989</v>
      </c>
      <c r="C4361" t="s">
        <v>37</v>
      </c>
      <c r="D4361">
        <v>4.8661379999999896</v>
      </c>
      <c r="E4361">
        <v>0.56044240000000001</v>
      </c>
      <c r="F4361" t="s">
        <v>38</v>
      </c>
      <c r="G4361">
        <v>-266.56459999999998</v>
      </c>
      <c r="H4361" s="1">
        <v>-3.001454E-6</v>
      </c>
      <c r="I4361">
        <v>145.42420000000001</v>
      </c>
      <c r="J4361">
        <v>-215.9581</v>
      </c>
      <c r="K4361">
        <v>1.1003639999999999</v>
      </c>
      <c r="L4361">
        <v>141.80520000000001</v>
      </c>
      <c r="M4361">
        <v>-0.98538680000000001</v>
      </c>
      <c r="N4361">
        <v>0</v>
      </c>
      <c r="O4361">
        <v>-0.17015239999999901</v>
      </c>
      <c r="P4361">
        <v>-0.99450339999999904</v>
      </c>
      <c r="Q4361">
        <v>1.135388E-2</v>
      </c>
      <c r="R4361">
        <v>-0.104085999999999</v>
      </c>
      <c r="S4361">
        <v>-3.0436709999999998</v>
      </c>
      <c r="T4361">
        <v>-6.5951109999999993E-2</v>
      </c>
      <c r="U4361">
        <v>0.21554570000000001</v>
      </c>
      <c r="V4361">
        <v>6.6823859999999999E-2</v>
      </c>
      <c r="W4361">
        <v>1.8558689999999999E-2</v>
      </c>
      <c r="X4361">
        <v>0.99759219999999904</v>
      </c>
      <c r="Y4361">
        <v>0.2392474</v>
      </c>
      <c r="Z4361">
        <v>6.2625060000000001E-3</v>
      </c>
      <c r="AA4361">
        <v>0.97093839999999998</v>
      </c>
      <c r="AB4361">
        <v>17</v>
      </c>
      <c r="AC4361">
        <v>-50.606499999999897</v>
      </c>
      <c r="AD4361">
        <v>-1.1003670014539999</v>
      </c>
      <c r="AE4361">
        <v>3.61899999999999</v>
      </c>
      <c r="AF4361">
        <v>12.171578520547801</v>
      </c>
      <c r="AG4361">
        <v>-1.1003670014539999</v>
      </c>
      <c r="AH4361">
        <v>49.229541659797498</v>
      </c>
      <c r="AI4361">
        <v>91.243031996112407</v>
      </c>
      <c r="AJ4361">
        <v>76.112614035624901</v>
      </c>
      <c r="AK4361">
        <v>50.7238198803431</v>
      </c>
    </row>
    <row r="4362" spans="1:37" x14ac:dyDescent="0.2">
      <c r="A4362" t="str">
        <f>"20200111155636102"</f>
        <v>20200111155636102</v>
      </c>
      <c r="B4362" t="str">
        <f>"1578729396097484"</f>
        <v>1578729396097484</v>
      </c>
      <c r="C4362" t="s">
        <v>37</v>
      </c>
      <c r="D4362">
        <v>4.833977</v>
      </c>
      <c r="E4362">
        <v>0.55928269999999902</v>
      </c>
      <c r="F4362" t="s">
        <v>38</v>
      </c>
      <c r="G4362">
        <v>-254.25530000000001</v>
      </c>
      <c r="H4362" s="1">
        <v>-3.5732989999999999E-6</v>
      </c>
      <c r="I4362">
        <v>143.8501</v>
      </c>
      <c r="J4362">
        <v>-216.13980000000001</v>
      </c>
      <c r="K4362">
        <v>1.100357</v>
      </c>
      <c r="L4362">
        <v>141.78319999999999</v>
      </c>
      <c r="M4362">
        <v>-0.98670769999999997</v>
      </c>
      <c r="N4362">
        <v>0</v>
      </c>
      <c r="O4362">
        <v>-0.1623386</v>
      </c>
      <c r="P4362">
        <v>-0.99512520000000004</v>
      </c>
      <c r="Q4362">
        <v>1.0975149999999999E-2</v>
      </c>
      <c r="R4362">
        <v>-9.8006430000000005E-2</v>
      </c>
      <c r="S4362">
        <v>-3.0345149999999999</v>
      </c>
      <c r="T4362">
        <v>-8.7188840000000004E-2</v>
      </c>
      <c r="U4362">
        <v>0.16203310000000001</v>
      </c>
      <c r="V4362">
        <v>6.500533E-2</v>
      </c>
      <c r="W4362">
        <v>1.7734860000000002E-2</v>
      </c>
      <c r="X4362">
        <v>0.99772729999999998</v>
      </c>
      <c r="Y4362">
        <v>0.2145705</v>
      </c>
      <c r="Z4362">
        <v>7.7294460000000001E-3</v>
      </c>
      <c r="AA4362">
        <v>0.97667800000000005</v>
      </c>
      <c r="AB4362">
        <v>18</v>
      </c>
      <c r="AC4362">
        <v>-38.115499999999997</v>
      </c>
      <c r="AD4362">
        <v>-1.1003605732990001</v>
      </c>
      <c r="AE4362">
        <v>2.0669</v>
      </c>
      <c r="AF4362">
        <v>8.2204345454144292</v>
      </c>
      <c r="AG4362">
        <v>-1.1003605732990001</v>
      </c>
      <c r="AH4362">
        <v>37.243379278248398</v>
      </c>
      <c r="AI4362">
        <v>91.652565621356104</v>
      </c>
      <c r="AJ4362">
        <v>77.553127629771595</v>
      </c>
      <c r="AK4362">
        <v>38.155676347958703</v>
      </c>
    </row>
    <row r="4363" spans="1:37" x14ac:dyDescent="0.2">
      <c r="A4363" t="str">
        <f>"20200111155636126"</f>
        <v>20200111155636126</v>
      </c>
      <c r="B4363" t="str">
        <f>"1578729396117005"</f>
        <v>1578729396117005</v>
      </c>
      <c r="C4363" t="s">
        <v>37</v>
      </c>
      <c r="D4363">
        <v>4.8203370000000003</v>
      </c>
      <c r="E4363">
        <v>0.55887319999999996</v>
      </c>
      <c r="F4363" t="s">
        <v>38</v>
      </c>
      <c r="G4363">
        <v>-250.77709999999999</v>
      </c>
      <c r="H4363" s="1">
        <v>-4.7417020000000003E-6</v>
      </c>
      <c r="I4363">
        <v>143.73230000000001</v>
      </c>
      <c r="J4363">
        <v>-216.3347</v>
      </c>
      <c r="K4363">
        <v>1.1003459999999901</v>
      </c>
      <c r="L4363">
        <v>141.7611</v>
      </c>
      <c r="M4363">
        <v>-0.98802500000000004</v>
      </c>
      <c r="N4363">
        <v>0</v>
      </c>
      <c r="O4363">
        <v>-0.1541402</v>
      </c>
      <c r="P4363">
        <v>-0.99558809999999998</v>
      </c>
      <c r="Q4363">
        <v>8.93990699999999E-3</v>
      </c>
      <c r="R4363">
        <v>-9.3404139999999997E-2</v>
      </c>
      <c r="S4363">
        <v>-3.0325470000000001</v>
      </c>
      <c r="T4363">
        <v>-9.6338510000000002E-2</v>
      </c>
      <c r="U4363">
        <v>0.17065429999999901</v>
      </c>
      <c r="V4363">
        <v>6.1311980000000002E-2</v>
      </c>
      <c r="W4363">
        <v>1.526136E-2</v>
      </c>
      <c r="X4363">
        <v>0.99800199999999994</v>
      </c>
      <c r="Y4363">
        <v>0.20923159999999999</v>
      </c>
      <c r="Z4363">
        <v>8.2023649999999997E-3</v>
      </c>
      <c r="AA4363">
        <v>0.97783169999999897</v>
      </c>
      <c r="AB4363">
        <v>18</v>
      </c>
      <c r="AC4363">
        <v>-34.4423999999999</v>
      </c>
      <c r="AD4363">
        <v>-1.10035074170199</v>
      </c>
      <c r="AE4363">
        <v>1.9712000000000101</v>
      </c>
      <c r="AF4363">
        <v>7.2493504141596397</v>
      </c>
      <c r="AG4363">
        <v>-1.10035074170199</v>
      </c>
      <c r="AH4363">
        <v>33.6926343948438</v>
      </c>
      <c r="AI4363">
        <v>91.828707945308906</v>
      </c>
      <c r="AJ4363">
        <v>77.857287620185204</v>
      </c>
      <c r="AK4363">
        <v>34.481262529766099</v>
      </c>
    </row>
    <row r="4364" spans="1:37" x14ac:dyDescent="0.2">
      <c r="A4364" t="str">
        <f>"20200111155636148"</f>
        <v>20200111155636148</v>
      </c>
      <c r="B4364" t="str">
        <f>"1578729396137500"</f>
        <v>1578729396137500</v>
      </c>
      <c r="C4364" t="s">
        <v>37</v>
      </c>
      <c r="D4364">
        <v>4.8627799999999999</v>
      </c>
      <c r="E4364">
        <v>0.55846240000000003</v>
      </c>
      <c r="F4364" t="s">
        <v>38</v>
      </c>
      <c r="G4364">
        <v>-249.4735</v>
      </c>
      <c r="H4364" s="1">
        <v>-1.307149E-6</v>
      </c>
      <c r="I4364">
        <v>143.7465</v>
      </c>
      <c r="J4364">
        <v>-216.51159999999999</v>
      </c>
      <c r="K4364">
        <v>1.1003289999999999</v>
      </c>
      <c r="L4364">
        <v>141.74209999999999</v>
      </c>
      <c r="M4364">
        <v>-0.98913510000000004</v>
      </c>
      <c r="N4364">
        <v>0</v>
      </c>
      <c r="O4364">
        <v>-0.14686759999999999</v>
      </c>
      <c r="P4364">
        <v>-0.99585869999999999</v>
      </c>
      <c r="Q4364">
        <v>5.5507909999999898E-3</v>
      </c>
      <c r="R4364">
        <v>-9.0746309999999997E-2</v>
      </c>
      <c r="S4364">
        <v>-3.0312189999999899</v>
      </c>
      <c r="T4364">
        <v>-0.10064919999999999</v>
      </c>
      <c r="U4364">
        <v>0.1816101</v>
      </c>
      <c r="V4364">
        <v>5.6601899999999997E-2</v>
      </c>
      <c r="W4364">
        <v>1.150518E-2</v>
      </c>
      <c r="X4364">
        <v>0.99833050000000001</v>
      </c>
      <c r="Y4364">
        <v>0.2055717</v>
      </c>
      <c r="Z4364">
        <v>8.2720290000000002E-3</v>
      </c>
      <c r="AA4364">
        <v>0.97860709999999995</v>
      </c>
      <c r="AB4364">
        <v>18</v>
      </c>
      <c r="AC4364">
        <v>-32.9619</v>
      </c>
      <c r="AD4364">
        <v>-1.100330307149</v>
      </c>
      <c r="AE4364">
        <v>2.0044</v>
      </c>
      <c r="AF4364">
        <v>6.8162320016926401</v>
      </c>
      <c r="AG4364">
        <v>-1.100330307149</v>
      </c>
      <c r="AH4364">
        <v>32.274231599637503</v>
      </c>
      <c r="AI4364">
        <v>91.910525700342703</v>
      </c>
      <c r="AJ4364">
        <v>78.074531553063807</v>
      </c>
      <c r="AK4364">
        <v>33.004511370913697</v>
      </c>
    </row>
    <row r="4365" spans="1:37" x14ac:dyDescent="0.2">
      <c r="A4365" t="str">
        <f>"20200111155636168"</f>
        <v>20200111155636168</v>
      </c>
      <c r="B4365" t="str">
        <f>"1578729396157020"</f>
        <v>1578729396157020</v>
      </c>
      <c r="C4365" t="s">
        <v>37</v>
      </c>
      <c r="D4365">
        <v>4.8003739999999997</v>
      </c>
      <c r="E4365">
        <v>0.55780160000000001</v>
      </c>
      <c r="F4365" t="s">
        <v>38</v>
      </c>
      <c r="G4365">
        <v>-246.5934</v>
      </c>
      <c r="H4365" s="1">
        <v>-2.50245399999999E-6</v>
      </c>
      <c r="I4365">
        <v>143.59530000000001</v>
      </c>
      <c r="J4365">
        <v>-216.68899999999999</v>
      </c>
      <c r="K4365">
        <v>1.1003160000000001</v>
      </c>
      <c r="L4365">
        <v>141.72409999999999</v>
      </c>
      <c r="M4365">
        <v>-0.99016569999999904</v>
      </c>
      <c r="N4365">
        <v>0</v>
      </c>
      <c r="O4365">
        <v>-0.1397698</v>
      </c>
      <c r="P4365">
        <v>-0.99602930000000001</v>
      </c>
      <c r="Q4365">
        <v>7.9802050000000004E-4</v>
      </c>
      <c r="R4365">
        <v>-8.9024899999999907E-2</v>
      </c>
      <c r="S4365">
        <v>-3.030106</v>
      </c>
      <c r="T4365">
        <v>-0.11083510000000001</v>
      </c>
      <c r="U4365">
        <v>0.18667600000000001</v>
      </c>
      <c r="V4365">
        <v>5.1122929999999997E-2</v>
      </c>
      <c r="W4365">
        <v>6.39893699999999E-3</v>
      </c>
      <c r="X4365">
        <v>0.99867189999999995</v>
      </c>
      <c r="Y4365">
        <v>0.20016829999999999</v>
      </c>
      <c r="Z4365">
        <v>8.7551360000000002E-3</v>
      </c>
      <c r="AA4365">
        <v>0.97972239999999999</v>
      </c>
      <c r="AB4365">
        <v>18</v>
      </c>
      <c r="AC4365">
        <v>-29.9043999999999</v>
      </c>
      <c r="AD4365">
        <v>-1.1003185024540001</v>
      </c>
      <c r="AE4365">
        <v>1.87120000000001</v>
      </c>
      <c r="AF4365">
        <v>6.0245151202334801</v>
      </c>
      <c r="AG4365">
        <v>-1.1003185024540001</v>
      </c>
      <c r="AH4365">
        <v>29.3097805187953</v>
      </c>
      <c r="AI4365">
        <v>92.1059451182754</v>
      </c>
      <c r="AJ4365">
        <v>78.384842094232994</v>
      </c>
      <c r="AK4365">
        <v>29.942757342982201</v>
      </c>
    </row>
    <row r="4366" spans="1:37" x14ac:dyDescent="0.2">
      <c r="A4366" t="str">
        <f>"20200111155636193"</f>
        <v>20200111155636193</v>
      </c>
      <c r="B4366" t="str">
        <f>"1578729396187279"</f>
        <v>1578729396187279</v>
      </c>
      <c r="C4366" t="s">
        <v>37</v>
      </c>
      <c r="D4366">
        <v>4.7907209999999996</v>
      </c>
      <c r="E4366">
        <v>0.55636240000000003</v>
      </c>
      <c r="F4366" t="s">
        <v>38</v>
      </c>
      <c r="G4366">
        <v>-243.31049999999999</v>
      </c>
      <c r="H4366" s="1">
        <v>-3.8145990000000001E-6</v>
      </c>
      <c r="I4366">
        <v>143.36609999999999</v>
      </c>
      <c r="J4366">
        <v>-216.8897</v>
      </c>
      <c r="K4366">
        <v>1.1003229999999999</v>
      </c>
      <c r="L4366">
        <v>141.70500000000001</v>
      </c>
      <c r="M4366">
        <v>-0.99123309999999998</v>
      </c>
      <c r="N4366">
        <v>0</v>
      </c>
      <c r="O4366">
        <v>-0.1320067</v>
      </c>
      <c r="P4366">
        <v>-0.99622849999999996</v>
      </c>
      <c r="Q4366">
        <v>-1.6006550000000001E-3</v>
      </c>
      <c r="R4366">
        <v>-8.6754419999999999E-2</v>
      </c>
      <c r="S4366">
        <v>-3.02874799999999</v>
      </c>
      <c r="T4366">
        <v>-0.12518409999999999</v>
      </c>
      <c r="U4366">
        <v>0.18681339999999999</v>
      </c>
      <c r="V4366">
        <v>4.5547169999999998E-2</v>
      </c>
      <c r="W4366">
        <v>3.5994619999999999E-3</v>
      </c>
      <c r="X4366">
        <v>0.998955699999999</v>
      </c>
      <c r="Y4366">
        <v>0.1925066</v>
      </c>
      <c r="Z4366">
        <v>9.415128E-3</v>
      </c>
      <c r="AA4366">
        <v>0.98125049999999903</v>
      </c>
      <c r="AB4366">
        <v>18</v>
      </c>
      <c r="AC4366">
        <v>-26.4207999999999</v>
      </c>
      <c r="AD4366">
        <v>-1.1003268145989999</v>
      </c>
      <c r="AE4366">
        <v>1.66109999999997</v>
      </c>
      <c r="AF4366">
        <v>5.1254852614913897</v>
      </c>
      <c r="AG4366">
        <v>-1.1003268145989999</v>
      </c>
      <c r="AH4366">
        <v>25.925511545704399</v>
      </c>
      <c r="AI4366">
        <v>92.384188506084101</v>
      </c>
      <c r="AJ4366">
        <v>78.816810476269595</v>
      </c>
      <c r="AK4366">
        <v>26.4502073181127</v>
      </c>
    </row>
    <row r="4367" spans="1:37" x14ac:dyDescent="0.2">
      <c r="A4367" t="str">
        <f>"20200111155636215"</f>
        <v>20200111155636215</v>
      </c>
      <c r="B4367" t="str">
        <f>"1578729396206799"</f>
        <v>1578729396206799</v>
      </c>
      <c r="C4367" t="s">
        <v>37</v>
      </c>
      <c r="D4367">
        <v>4.8701829999999999</v>
      </c>
      <c r="E4367">
        <v>0.55565609999999999</v>
      </c>
      <c r="F4367" t="s">
        <v>38</v>
      </c>
      <c r="G4367">
        <v>-242.31389999999999</v>
      </c>
      <c r="H4367" s="1">
        <v>-4.1309539999999999E-6</v>
      </c>
      <c r="I4367">
        <v>143.23750000000001</v>
      </c>
      <c r="J4367">
        <v>-217.08170000000001</v>
      </c>
      <c r="K4367">
        <v>1.1003559999999999</v>
      </c>
      <c r="L4367">
        <v>141.68780000000001</v>
      </c>
      <c r="M4367">
        <v>-0.99215810000000004</v>
      </c>
      <c r="N4367">
        <v>0</v>
      </c>
      <c r="O4367">
        <v>-0.1248833</v>
      </c>
      <c r="P4367">
        <v>-0.99644120000000003</v>
      </c>
      <c r="Q4367">
        <v>-1.8600769999999999E-3</v>
      </c>
      <c r="R4367">
        <v>-8.4272340000000001E-2</v>
      </c>
      <c r="S4367">
        <v>-3.0270389999999998</v>
      </c>
      <c r="T4367">
        <v>-0.13100680000000001</v>
      </c>
      <c r="U4367">
        <v>0.1824799</v>
      </c>
      <c r="V4367">
        <v>4.0853260000000002E-2</v>
      </c>
      <c r="W4367">
        <v>2.9600259999999902E-3</v>
      </c>
      <c r="X4367">
        <v>0.99916079999999996</v>
      </c>
      <c r="Y4367">
        <v>0.1840734</v>
      </c>
      <c r="Z4367">
        <v>9.3697109999999993E-3</v>
      </c>
      <c r="AA4367">
        <v>0.98286779999999996</v>
      </c>
      <c r="AB4367">
        <v>18</v>
      </c>
      <c r="AC4367">
        <v>-25.232199999999899</v>
      </c>
      <c r="AD4367">
        <v>-1.1003601309540001</v>
      </c>
      <c r="AE4367">
        <v>1.5497000000000001</v>
      </c>
      <c r="AF4367">
        <v>4.6798233236285904</v>
      </c>
      <c r="AG4367">
        <v>-1.1003601309540001</v>
      </c>
      <c r="AH4367">
        <v>24.794152948217398</v>
      </c>
      <c r="AI4367">
        <v>92.497075974428199</v>
      </c>
      <c r="AJ4367">
        <v>79.311336053327295</v>
      </c>
      <c r="AK4367">
        <v>25.255921269630399</v>
      </c>
    </row>
    <row r="4368" spans="1:37" x14ac:dyDescent="0.2">
      <c r="A4368" t="str">
        <f>"20200111155636237"</f>
        <v>20200111155636237</v>
      </c>
      <c r="B4368" t="str">
        <f>"1578729396227295"</f>
        <v>1578729396227295</v>
      </c>
      <c r="C4368" t="s">
        <v>37</v>
      </c>
      <c r="D4368">
        <v>4.9701409999999999</v>
      </c>
      <c r="E4368">
        <v>0.53911069999999905</v>
      </c>
      <c r="F4368" t="s">
        <v>38</v>
      </c>
      <c r="G4368">
        <v>-242.285</v>
      </c>
      <c r="H4368" s="1">
        <v>-4.1385049999999998E-6</v>
      </c>
      <c r="I4368">
        <v>143.22470000000001</v>
      </c>
      <c r="J4368">
        <v>-217.26429999999999</v>
      </c>
      <c r="K4368">
        <v>1.1004069999999999</v>
      </c>
      <c r="L4368">
        <v>141.67240000000001</v>
      </c>
      <c r="M4368">
        <v>-0.99295319999999898</v>
      </c>
      <c r="N4368">
        <v>0</v>
      </c>
      <c r="O4368">
        <v>-0.1184114</v>
      </c>
      <c r="P4368">
        <v>-0.99659370000000003</v>
      </c>
      <c r="Q4368">
        <v>-2.4100839999999998E-3</v>
      </c>
      <c r="R4368">
        <v>-8.2433119999999999E-2</v>
      </c>
      <c r="S4368">
        <v>-3.0260769999999999</v>
      </c>
      <c r="T4368">
        <v>-0.1321166</v>
      </c>
      <c r="U4368">
        <v>0.1845398</v>
      </c>
      <c r="V4368">
        <v>3.6173339999999998E-2</v>
      </c>
      <c r="W4368">
        <v>2.0607139999999999E-3</v>
      </c>
      <c r="X4368">
        <v>0.99934339999999999</v>
      </c>
      <c r="Y4368">
        <v>0.17835319999999999</v>
      </c>
      <c r="Z4368">
        <v>9.0460539999999996E-3</v>
      </c>
      <c r="AA4368">
        <v>0.98392489999999999</v>
      </c>
      <c r="AB4368">
        <v>19</v>
      </c>
      <c r="AC4368">
        <v>-25.020700000000001</v>
      </c>
      <c r="AD4368">
        <v>-1.1004111385049999</v>
      </c>
      <c r="AE4368">
        <v>1.5523</v>
      </c>
      <c r="AF4368">
        <v>4.4954864294478503</v>
      </c>
      <c r="AG4368">
        <v>-1.1004111385049999</v>
      </c>
      <c r="AH4368">
        <v>24.613427999076201</v>
      </c>
      <c r="AI4368">
        <v>92.518257738569602</v>
      </c>
      <c r="AJ4368">
        <v>79.649377588604693</v>
      </c>
      <c r="AK4368">
        <v>25.044782705721499</v>
      </c>
    </row>
    <row r="4369" spans="1:37" x14ac:dyDescent="0.2">
      <c r="A4369" t="str">
        <f>"20200111155636258"</f>
        <v>20200111155636258</v>
      </c>
      <c r="B4369" t="str">
        <f>"1578729396246815"</f>
        <v>1578729396246815</v>
      </c>
      <c r="C4369" t="s">
        <v>37</v>
      </c>
      <c r="D4369">
        <v>5.0426609999999998</v>
      </c>
      <c r="E4369">
        <v>0.53729869999999902</v>
      </c>
      <c r="F4369" t="s">
        <v>38</v>
      </c>
      <c r="G4369">
        <v>-237.25479999999999</v>
      </c>
      <c r="H4369" s="1">
        <v>-1.807298E-6</v>
      </c>
      <c r="I4369">
        <v>142.04900000000001</v>
      </c>
      <c r="J4369">
        <v>-217.44839999999999</v>
      </c>
      <c r="K4369">
        <v>1.100495</v>
      </c>
      <c r="L4369">
        <v>141.65770000000001</v>
      </c>
      <c r="M4369">
        <v>-0.99367320000000003</v>
      </c>
      <c r="N4369">
        <v>0</v>
      </c>
      <c r="O4369">
        <v>-0.11222559999999999</v>
      </c>
      <c r="P4369">
        <v>-0.99671799999999999</v>
      </c>
      <c r="Q4369">
        <v>-5.6515489999999996E-3</v>
      </c>
      <c r="R4369">
        <v>-8.0756399999999895E-2</v>
      </c>
      <c r="S4369">
        <v>-3.0145419999999898</v>
      </c>
      <c r="T4369">
        <v>-0.165940899999999</v>
      </c>
      <c r="U4369">
        <v>5.680847E-2</v>
      </c>
      <c r="V4369">
        <v>3.1601770000000001E-2</v>
      </c>
      <c r="W4369">
        <v>-1.5186189999999999E-3</v>
      </c>
      <c r="X4369">
        <v>0.99949940000000004</v>
      </c>
      <c r="Y4369">
        <v>0.13056209999999999</v>
      </c>
      <c r="Z4369">
        <v>9.7548240000000005E-3</v>
      </c>
      <c r="AA4369">
        <v>0.9913921</v>
      </c>
      <c r="AB4369">
        <v>19</v>
      </c>
      <c r="AC4369">
        <v>-19.8064</v>
      </c>
      <c r="AD4369">
        <v>-1.1004968072979999</v>
      </c>
      <c r="AE4369">
        <v>0.39130000000000098</v>
      </c>
      <c r="AF4369">
        <v>2.6035995115960899</v>
      </c>
      <c r="AG4369">
        <v>-1.1004968072979999</v>
      </c>
      <c r="AH4369">
        <v>19.576946803797998</v>
      </c>
      <c r="AI4369">
        <v>93.189410391411798</v>
      </c>
      <c r="AJ4369">
        <v>82.424508993118494</v>
      </c>
      <c r="AK4369">
        <v>19.779956263813901</v>
      </c>
    </row>
    <row r="4370" spans="1:37" x14ac:dyDescent="0.2">
      <c r="A4370" t="str">
        <f>"20200111155636281"</f>
        <v>20200111155636281</v>
      </c>
      <c r="B4370" t="str">
        <f>"1578729396277071"</f>
        <v>1578729396277071</v>
      </c>
      <c r="C4370" t="s">
        <v>37</v>
      </c>
      <c r="D4370">
        <v>5.0172639999999999</v>
      </c>
      <c r="E4370">
        <v>0.53562119999999902</v>
      </c>
      <c r="F4370" t="s">
        <v>40</v>
      </c>
      <c r="G4370">
        <v>-218.19040000000001</v>
      </c>
      <c r="H4370">
        <v>1.056427</v>
      </c>
      <c r="I4370">
        <v>141.6695</v>
      </c>
      <c r="J4370">
        <v>-217.64760000000001</v>
      </c>
      <c r="K4370">
        <v>1.100608</v>
      </c>
      <c r="L4370">
        <v>141.64259999999999</v>
      </c>
      <c r="M4370">
        <v>-0.99436190000000002</v>
      </c>
      <c r="N4370">
        <v>0</v>
      </c>
      <c r="O4370">
        <v>-0.1059652</v>
      </c>
      <c r="P4370">
        <v>-0.99684419999999996</v>
      </c>
      <c r="Q4370">
        <v>-1.028519E-2</v>
      </c>
      <c r="R4370">
        <v>-7.8713729999999996E-2</v>
      </c>
      <c r="S4370">
        <v>-3.0127109999999999</v>
      </c>
      <c r="T4370">
        <v>-0.17870429999999901</v>
      </c>
      <c r="U4370">
        <v>4.7286990000000001E-2</v>
      </c>
      <c r="V4370">
        <v>2.7316489999999999E-2</v>
      </c>
      <c r="W4370">
        <v>-6.4975010000000001E-3</v>
      </c>
      <c r="X4370">
        <v>0.99960569999999904</v>
      </c>
      <c r="Y4370">
        <v>0.1211598</v>
      </c>
      <c r="Z4370">
        <v>9.8621219999999992E-3</v>
      </c>
      <c r="AA4370">
        <v>0.99258400000000002</v>
      </c>
      <c r="AB4370">
        <v>19</v>
      </c>
      <c r="AC4370">
        <v>-0.54279999999999895</v>
      </c>
      <c r="AD4370">
        <v>-4.4180999999999998E-2</v>
      </c>
      <c r="AE4370">
        <v>2.6900000000011901E-2</v>
      </c>
      <c r="AF4370">
        <v>8.3713659611715896E-2</v>
      </c>
      <c r="AG4370">
        <v>-4.4180999999999998E-2</v>
      </c>
      <c r="AH4370">
        <v>0.53336845998816795</v>
      </c>
      <c r="AI4370">
        <v>94.6782110417534</v>
      </c>
      <c r="AJ4370">
        <v>81.080038685717795</v>
      </c>
      <c r="AK4370">
        <v>0.54170273368032396</v>
      </c>
    </row>
    <row r="4371" spans="1:37" x14ac:dyDescent="0.2">
      <c r="A4371" t="str">
        <f>"20200111155636304"</f>
        <v>20200111155636304</v>
      </c>
      <c r="B4371" t="str">
        <f>"1578729396297567"</f>
        <v>1578729396297567</v>
      </c>
      <c r="C4371" t="s">
        <v>37</v>
      </c>
      <c r="D4371">
        <v>5.0883440000000002</v>
      </c>
      <c r="E4371">
        <v>0.53470890000000004</v>
      </c>
      <c r="F4371" t="s">
        <v>40</v>
      </c>
      <c r="G4371">
        <v>-218.5317</v>
      </c>
      <c r="H4371">
        <v>1.044708</v>
      </c>
      <c r="I4371">
        <v>141.65469999999999</v>
      </c>
      <c r="J4371">
        <v>-217.84970000000001</v>
      </c>
      <c r="K4371">
        <v>1.1007450000000001</v>
      </c>
      <c r="L4371">
        <v>141.62809999999999</v>
      </c>
      <c r="M4371">
        <v>-0.99497599999999997</v>
      </c>
      <c r="N4371">
        <v>0</v>
      </c>
      <c r="O4371">
        <v>-0.10004780000000001</v>
      </c>
      <c r="P4371">
        <v>-0.99686719999999895</v>
      </c>
      <c r="Q4371">
        <v>-1.519677E-2</v>
      </c>
      <c r="R4371">
        <v>-7.7620190000000006E-2</v>
      </c>
      <c r="S4371">
        <v>-3.010742</v>
      </c>
      <c r="T4371">
        <v>-0.19012809999999999</v>
      </c>
      <c r="U4371">
        <v>4.0512079999999999E-2</v>
      </c>
      <c r="V4371">
        <v>2.242823E-2</v>
      </c>
      <c r="W4371">
        <v>-1.1724139999999999E-2</v>
      </c>
      <c r="X4371">
        <v>0.99967969999999895</v>
      </c>
      <c r="Y4371">
        <v>0.11300250000000001</v>
      </c>
      <c r="Z4371">
        <v>9.8689350000000006E-3</v>
      </c>
      <c r="AA4371">
        <v>0.99354569999999998</v>
      </c>
      <c r="AB4371">
        <v>19</v>
      </c>
      <c r="AC4371">
        <v>-0.68199999999998795</v>
      </c>
      <c r="AD4371">
        <v>-5.6037000000000101E-2</v>
      </c>
      <c r="AE4371">
        <v>2.66000000000019E-2</v>
      </c>
      <c r="AF4371">
        <v>9.4065495661605894E-2</v>
      </c>
      <c r="AG4371">
        <v>-5.6037000000000101E-2</v>
      </c>
      <c r="AH4371">
        <v>0.67139101010664703</v>
      </c>
      <c r="AI4371">
        <v>94.725139676212294</v>
      </c>
      <c r="AJ4371">
        <v>82.024467672407994</v>
      </c>
      <c r="AK4371">
        <v>0.68026050252464898</v>
      </c>
    </row>
    <row r="4372" spans="1:37" x14ac:dyDescent="0.2">
      <c r="A4372" t="str">
        <f>"20200111155636325"</f>
        <v>20200111155636325</v>
      </c>
      <c r="B4372" t="str">
        <f>"1578729396317087"</f>
        <v>1578729396317087</v>
      </c>
      <c r="C4372" t="s">
        <v>37</v>
      </c>
      <c r="D4372">
        <v>4.8356379999999897</v>
      </c>
      <c r="E4372">
        <v>0.53443669999999899</v>
      </c>
      <c r="F4372" t="s">
        <v>40</v>
      </c>
      <c r="G4372">
        <v>-218.70760000000001</v>
      </c>
      <c r="H4372">
        <v>1.0432319999999999</v>
      </c>
      <c r="I4372">
        <v>141.6388</v>
      </c>
      <c r="J4372">
        <v>-218.04820000000001</v>
      </c>
      <c r="K4372">
        <v>1.100865</v>
      </c>
      <c r="L4372">
        <v>141.61449999999999</v>
      </c>
      <c r="M4372">
        <v>-0.99551080000000003</v>
      </c>
      <c r="N4372">
        <v>0</v>
      </c>
      <c r="O4372">
        <v>-9.4590419999999995E-2</v>
      </c>
      <c r="P4372">
        <v>-0.99684759999999994</v>
      </c>
      <c r="Q4372">
        <v>-1.6342079999999998E-2</v>
      </c>
      <c r="R4372">
        <v>-7.7640039999999994E-2</v>
      </c>
      <c r="S4372">
        <v>-3.0092469999999998</v>
      </c>
      <c r="T4372">
        <v>-0.20158689999999899</v>
      </c>
      <c r="U4372">
        <v>3.7078859999999998E-2</v>
      </c>
      <c r="V4372">
        <v>1.6920230000000001E-2</v>
      </c>
      <c r="W4372">
        <v>-1.3144070000000001E-2</v>
      </c>
      <c r="X4372">
        <v>0.99977050000000001</v>
      </c>
      <c r="Y4372">
        <v>0.1063992</v>
      </c>
      <c r="Z4372">
        <v>9.8827089999999999E-3</v>
      </c>
      <c r="AA4372">
        <v>0.9942744</v>
      </c>
      <c r="AB4372">
        <v>20</v>
      </c>
      <c r="AC4372">
        <v>-0.65940000000000498</v>
      </c>
      <c r="AD4372">
        <v>-5.7632999999999997E-2</v>
      </c>
      <c r="AE4372">
        <v>2.4300000000010799E-2</v>
      </c>
      <c r="AF4372">
        <v>8.5908926714114195E-2</v>
      </c>
      <c r="AG4372">
        <v>-5.7632999999999997E-2</v>
      </c>
      <c r="AH4372">
        <v>0.64919229310745197</v>
      </c>
      <c r="AI4372">
        <v>95.029597557843701</v>
      </c>
      <c r="AJ4372">
        <v>82.461732991898501</v>
      </c>
      <c r="AK4372">
        <v>0.65738309972821996</v>
      </c>
    </row>
    <row r="4373" spans="1:37" x14ac:dyDescent="0.2">
      <c r="A4373" t="str">
        <f>"20200111155636628"</f>
        <v>20200111155636628</v>
      </c>
      <c r="B4373" t="str">
        <f>"1578729396616720"</f>
        <v>1578729396616720</v>
      </c>
      <c r="C4373" t="s">
        <v>37</v>
      </c>
      <c r="D4373">
        <v>4.7610000000000001</v>
      </c>
      <c r="E4373">
        <v>0.5222232</v>
      </c>
      <c r="F4373" t="s">
        <v>48</v>
      </c>
      <c r="G4373">
        <v>0</v>
      </c>
      <c r="H4373">
        <v>0</v>
      </c>
      <c r="I4373">
        <v>0</v>
      </c>
      <c r="J4373">
        <v>-220.93950000000001</v>
      </c>
      <c r="K4373">
        <v>1.1025780000000001</v>
      </c>
      <c r="L4373">
        <v>141.46469999999999</v>
      </c>
      <c r="M4373">
        <v>-0.99868939999999995</v>
      </c>
      <c r="N4373">
        <v>0</v>
      </c>
      <c r="O4373">
        <v>-5.1179189999999999E-2</v>
      </c>
      <c r="P4373">
        <v>-0.99593480000000001</v>
      </c>
      <c r="Q4373">
        <v>2.9227880000000001E-2</v>
      </c>
      <c r="R4373">
        <v>-8.5204269999999999E-2</v>
      </c>
      <c r="S4373">
        <v>-2.9896849999999899</v>
      </c>
      <c r="T4373">
        <v>1.144315</v>
      </c>
      <c r="U4373">
        <v>5.8425900000000003E-2</v>
      </c>
      <c r="V4373">
        <v>-3.407197E-2</v>
      </c>
      <c r="W4373">
        <v>2.9777720000000001E-2</v>
      </c>
      <c r="X4373">
        <v>0.99897569999999902</v>
      </c>
      <c r="Y4373">
        <v>6.2633900000000006E-2</v>
      </c>
      <c r="Z4373">
        <v>-3.0490219999999998E-2</v>
      </c>
      <c r="AA4373">
        <v>0.99757070000000003</v>
      </c>
      <c r="AB4373">
        <v>22</v>
      </c>
      <c r="AC4373">
        <v>-2.9896849999999899</v>
      </c>
      <c r="AD4373">
        <v>1.144315</v>
      </c>
      <c r="AE4373">
        <v>5.8425900000000003E-2</v>
      </c>
      <c r="AF4373">
        <v>0.184360353726891</v>
      </c>
      <c r="AG4373">
        <v>1.144315</v>
      </c>
      <c r="AH4373">
        <v>2.6017618288623199</v>
      </c>
      <c r="AI4373">
        <v>66.311830745204503</v>
      </c>
      <c r="AJ4373">
        <v>85.9468066304008</v>
      </c>
      <c r="AK4373">
        <v>2.8482644142312901</v>
      </c>
    </row>
    <row r="4374" spans="1:37" x14ac:dyDescent="0.2">
      <c r="A4374" t="str">
        <f>"20200111155636650"</f>
        <v>20200111155636650</v>
      </c>
      <c r="B4374" t="str">
        <f>"1578729396646977"</f>
        <v>1578729396646977</v>
      </c>
      <c r="C4374" t="s">
        <v>37</v>
      </c>
      <c r="D4374">
        <v>4.4903029999999999</v>
      </c>
      <c r="E4374">
        <v>0.51796030000000004</v>
      </c>
      <c r="F4374" t="s">
        <v>48</v>
      </c>
      <c r="G4374">
        <v>0</v>
      </c>
      <c r="H4374">
        <v>0</v>
      </c>
      <c r="I4374">
        <v>0</v>
      </c>
      <c r="J4374">
        <v>-221.16730000000001</v>
      </c>
      <c r="K4374">
        <v>1.1026339999999999</v>
      </c>
      <c r="L4374">
        <v>141.4546</v>
      </c>
      <c r="M4374">
        <v>-0.99875780000000003</v>
      </c>
      <c r="N4374">
        <v>0</v>
      </c>
      <c r="O4374">
        <v>-4.9827089999999997E-2</v>
      </c>
      <c r="P4374">
        <v>-0.99576089999999995</v>
      </c>
      <c r="Q4374">
        <v>3.2548809999999997E-2</v>
      </c>
      <c r="R4374">
        <v>-8.6027709999999993E-2</v>
      </c>
      <c r="S4374">
        <v>-3.004105</v>
      </c>
      <c r="T4374">
        <v>4.0418620000000002E-2</v>
      </c>
      <c r="U4374">
        <v>-8.1405640000000001E-2</v>
      </c>
      <c r="V4374">
        <v>-3.625515E-2</v>
      </c>
      <c r="W4374">
        <v>3.2986679999999997E-2</v>
      </c>
      <c r="X4374">
        <v>0.99879799999999996</v>
      </c>
      <c r="Y4374">
        <v>2.2747699999999999E-2</v>
      </c>
      <c r="Z4374">
        <v>-8.2291639999999995E-4</v>
      </c>
      <c r="AA4374">
        <v>0.99974089999999904</v>
      </c>
      <c r="AB4374">
        <v>23</v>
      </c>
      <c r="AC4374">
        <v>-3.004105</v>
      </c>
      <c r="AD4374">
        <v>4.0418620000000002E-2</v>
      </c>
      <c r="AE4374">
        <v>-8.1405640000000001E-2</v>
      </c>
      <c r="AF4374">
        <v>6.8368929087908897E-2</v>
      </c>
      <c r="AG4374">
        <v>4.0418620000000002E-2</v>
      </c>
      <c r="AH4374">
        <v>3.0038863120006098</v>
      </c>
      <c r="AI4374">
        <v>89.229306014926394</v>
      </c>
      <c r="AJ4374">
        <v>88.696164075857098</v>
      </c>
      <c r="AK4374">
        <v>3.00493609761206</v>
      </c>
    </row>
    <row r="4375" spans="1:37" x14ac:dyDescent="0.2">
      <c r="A4375" t="str">
        <f>"20200111155636673"</f>
        <v>20200111155636673</v>
      </c>
      <c r="B4375" t="str">
        <f>"1578729396667472"</f>
        <v>1578729396667472</v>
      </c>
      <c r="C4375" t="s">
        <v>37</v>
      </c>
      <c r="D4375">
        <v>4.5563029999999998</v>
      </c>
      <c r="E4375">
        <v>0.51897219999999999</v>
      </c>
      <c r="F4375" t="s">
        <v>48</v>
      </c>
      <c r="G4375">
        <v>0</v>
      </c>
      <c r="H4375">
        <v>0</v>
      </c>
      <c r="I4375">
        <v>0</v>
      </c>
      <c r="J4375">
        <v>-221.40639999999999</v>
      </c>
      <c r="K4375">
        <v>1.1026689999999999</v>
      </c>
      <c r="L4375">
        <v>141.4442</v>
      </c>
      <c r="M4375">
        <v>-0.99882109999999902</v>
      </c>
      <c r="N4375">
        <v>0</v>
      </c>
      <c r="O4375">
        <v>-4.8543910000000003E-2</v>
      </c>
      <c r="P4375">
        <v>-0.99570099999999995</v>
      </c>
      <c r="Q4375">
        <v>3.4863860000000003E-2</v>
      </c>
      <c r="R4375">
        <v>-8.5816020000000007E-2</v>
      </c>
      <c r="S4375">
        <v>-3.00061</v>
      </c>
      <c r="T4375">
        <v>6.1757329999999999E-2</v>
      </c>
      <c r="U4375">
        <v>-0.117218</v>
      </c>
      <c r="V4375">
        <v>-3.7330090000000003E-2</v>
      </c>
      <c r="W4375">
        <v>3.519982E-2</v>
      </c>
      <c r="X4375">
        <v>0.99868289999999904</v>
      </c>
      <c r="Y4375">
        <v>9.5057230000000006E-3</v>
      </c>
      <c r="Z4375">
        <v>-1.0958669999999999E-3</v>
      </c>
      <c r="AA4375">
        <v>0.99995419999999902</v>
      </c>
      <c r="AB4375">
        <v>23</v>
      </c>
      <c r="AC4375">
        <v>-3.00061</v>
      </c>
      <c r="AD4375">
        <v>6.1757329999999999E-2</v>
      </c>
      <c r="AE4375">
        <v>-0.117218</v>
      </c>
      <c r="AF4375">
        <v>2.8569445010421201E-2</v>
      </c>
      <c r="AG4375">
        <v>6.1757329999999999E-2</v>
      </c>
      <c r="AH4375">
        <v>3.0014931483376102</v>
      </c>
      <c r="AI4375">
        <v>88.821328329896403</v>
      </c>
      <c r="AJ4375">
        <v>89.454651698604707</v>
      </c>
      <c r="AK4375">
        <v>3.0022643621963998</v>
      </c>
    </row>
    <row r="4376" spans="1:37" x14ac:dyDescent="0.2">
      <c r="A4376" t="str">
        <f>"20200111155636695"</f>
        <v>20200111155636695</v>
      </c>
      <c r="B4376" t="str">
        <f>"1578729396686992"</f>
        <v>1578729396686992</v>
      </c>
      <c r="C4376" t="s">
        <v>37</v>
      </c>
      <c r="D4376">
        <v>4.5522989999999997</v>
      </c>
      <c r="E4376">
        <v>0.51865050000000001</v>
      </c>
      <c r="F4376" t="s">
        <v>48</v>
      </c>
      <c r="G4376">
        <v>0</v>
      </c>
      <c r="H4376">
        <v>0</v>
      </c>
      <c r="I4376">
        <v>0</v>
      </c>
      <c r="J4376">
        <v>-221.6361</v>
      </c>
      <c r="K4376">
        <v>1.1026879999999999</v>
      </c>
      <c r="L4376">
        <v>141.43430000000001</v>
      </c>
      <c r="M4376">
        <v>-0.99887610000000004</v>
      </c>
      <c r="N4376">
        <v>0</v>
      </c>
      <c r="O4376">
        <v>-4.7400820000000003E-2</v>
      </c>
      <c r="P4376">
        <v>-0.99578840000000002</v>
      </c>
      <c r="Q4376">
        <v>3.5531699999999902E-2</v>
      </c>
      <c r="R4376">
        <v>-8.4516699999999903E-2</v>
      </c>
      <c r="S4376">
        <v>-3.0014949999999998</v>
      </c>
      <c r="T4376">
        <v>5.9314369999999998E-2</v>
      </c>
      <c r="U4376">
        <v>-0.109024</v>
      </c>
      <c r="V4376">
        <v>-3.7172160000000003E-2</v>
      </c>
      <c r="W4376">
        <v>3.5783580000000002E-2</v>
      </c>
      <c r="X4376">
        <v>0.998668</v>
      </c>
      <c r="Y4376">
        <v>1.1099680000000001E-2</v>
      </c>
      <c r="Z4376">
        <v>-1.045479E-3</v>
      </c>
      <c r="AA4376">
        <v>0.99993779999999999</v>
      </c>
      <c r="AB4376">
        <v>23</v>
      </c>
      <c r="AC4376">
        <v>-3.0014949999999998</v>
      </c>
      <c r="AD4376">
        <v>5.9314369999999998E-2</v>
      </c>
      <c r="AE4376">
        <v>-0.109024</v>
      </c>
      <c r="AF4376">
        <v>3.3358841110157203E-2</v>
      </c>
      <c r="AG4376">
        <v>5.9314369999999998E-2</v>
      </c>
      <c r="AH4376">
        <v>3.0021181490010802</v>
      </c>
      <c r="AI4376">
        <v>88.868195358008194</v>
      </c>
      <c r="AJ4376">
        <v>89.363368777793895</v>
      </c>
      <c r="AK4376">
        <v>3.00288933984094</v>
      </c>
    </row>
    <row r="4377" spans="1:37" x14ac:dyDescent="0.2">
      <c r="A4377" t="str">
        <f>"20200111155636716"</f>
        <v>20200111155636716</v>
      </c>
      <c r="B4377" t="str">
        <f>"1578729396707487"</f>
        <v>1578729396707487</v>
      </c>
      <c r="C4377" t="s">
        <v>37</v>
      </c>
      <c r="D4377">
        <v>4.5934669999999898</v>
      </c>
      <c r="E4377">
        <v>0.51877090000000003</v>
      </c>
      <c r="F4377" t="s">
        <v>48</v>
      </c>
      <c r="G4377">
        <v>0</v>
      </c>
      <c r="H4377">
        <v>0</v>
      </c>
      <c r="I4377">
        <v>0</v>
      </c>
      <c r="J4377">
        <v>-221.8612</v>
      </c>
      <c r="K4377">
        <v>1.1026799999999899</v>
      </c>
      <c r="L4377">
        <v>141.4248</v>
      </c>
      <c r="M4377">
        <v>-0.99892630000000004</v>
      </c>
      <c r="N4377">
        <v>0</v>
      </c>
      <c r="O4377">
        <v>-4.6329049999999997E-2</v>
      </c>
      <c r="P4377">
        <v>-0.99598149999999996</v>
      </c>
      <c r="Q4377">
        <v>3.4901269999999998E-2</v>
      </c>
      <c r="R4377">
        <v>-8.2480810000000002E-2</v>
      </c>
      <c r="S4377">
        <v>-3.0020289999999998</v>
      </c>
      <c r="T4377">
        <v>3.98407E-2</v>
      </c>
      <c r="U4377">
        <v>-0.10884089999999901</v>
      </c>
      <c r="V4377">
        <v>-3.6202070000000003E-2</v>
      </c>
      <c r="W4377">
        <v>3.5083549999999998E-2</v>
      </c>
      <c r="X4377">
        <v>0.99872850000000002</v>
      </c>
      <c r="Y4377">
        <v>1.010059E-2</v>
      </c>
      <c r="Z4377">
        <v>-6.8132039999999896E-4</v>
      </c>
      <c r="AA4377">
        <v>0.99994869999999902</v>
      </c>
      <c r="AB4377">
        <v>23</v>
      </c>
      <c r="AC4377">
        <v>-3.0020289999999998</v>
      </c>
      <c r="AD4377">
        <v>3.98407E-2</v>
      </c>
      <c r="AE4377">
        <v>-0.10884089999999901</v>
      </c>
      <c r="AF4377">
        <v>3.0351773360147799E-2</v>
      </c>
      <c r="AG4377">
        <v>3.98407E-2</v>
      </c>
      <c r="AH4377">
        <v>3.0033197470204902</v>
      </c>
      <c r="AI4377">
        <v>89.240023131162005</v>
      </c>
      <c r="AJ4377">
        <v>89.420984290563993</v>
      </c>
      <c r="AK4377">
        <v>3.0037373411078701</v>
      </c>
    </row>
    <row r="4378" spans="1:37" x14ac:dyDescent="0.2">
      <c r="A4378" t="str">
        <f>"20200111155636738"</f>
        <v>20200111155636738</v>
      </c>
      <c r="B4378" t="str">
        <f>"1578729396727007"</f>
        <v>1578729396727007</v>
      </c>
      <c r="C4378" t="s">
        <v>37</v>
      </c>
      <c r="D4378">
        <v>4.5771350000000002</v>
      </c>
      <c r="E4378">
        <v>0.51910230000000002</v>
      </c>
      <c r="F4378" t="s">
        <v>48</v>
      </c>
      <c r="G4378">
        <v>0</v>
      </c>
      <c r="H4378">
        <v>0</v>
      </c>
      <c r="I4378">
        <v>0</v>
      </c>
      <c r="J4378">
        <v>-222.095</v>
      </c>
      <c r="K4378">
        <v>1.102649</v>
      </c>
      <c r="L4378">
        <v>141.4151</v>
      </c>
      <c r="M4378">
        <v>-0.99897619999999898</v>
      </c>
      <c r="N4378">
        <v>0</v>
      </c>
      <c r="O4378">
        <v>-4.5240250000000003E-2</v>
      </c>
      <c r="P4378">
        <v>-0.99614809999999998</v>
      </c>
      <c r="Q4378">
        <v>3.4847459999999997E-2</v>
      </c>
      <c r="R4378">
        <v>-8.0466560000000006E-2</v>
      </c>
      <c r="S4378">
        <v>-3.002853</v>
      </c>
      <c r="T4378">
        <v>2.1427990000000001E-2</v>
      </c>
      <c r="U4378">
        <v>-0.1026306</v>
      </c>
      <c r="V4378">
        <v>-3.5269740000000001E-2</v>
      </c>
      <c r="W4378">
        <v>3.4970130000000002E-2</v>
      </c>
      <c r="X4378">
        <v>0.99876580000000004</v>
      </c>
      <c r="Y4378">
        <v>1.108964E-2</v>
      </c>
      <c r="Z4378">
        <v>-3.6214059999999999E-4</v>
      </c>
      <c r="AA4378">
        <v>0.99993840000000001</v>
      </c>
      <c r="AB4378">
        <v>23</v>
      </c>
      <c r="AC4378">
        <v>-3.002853</v>
      </c>
      <c r="AD4378">
        <v>2.1427990000000001E-2</v>
      </c>
      <c r="AE4378">
        <v>-0.1026306</v>
      </c>
      <c r="AF4378">
        <v>3.3322596670739398E-2</v>
      </c>
      <c r="AG4378">
        <v>2.1427990000000001E-2</v>
      </c>
      <c r="AH4378">
        <v>3.0042687191330102</v>
      </c>
      <c r="AI4378">
        <v>89.591369090070103</v>
      </c>
      <c r="AJ4378">
        <v>89.364515614354502</v>
      </c>
      <c r="AK4378">
        <v>3.00452992845227</v>
      </c>
    </row>
    <row r="4379" spans="1:37" x14ac:dyDescent="0.2">
      <c r="A4379" t="str">
        <f>"20200111155636761"</f>
        <v>20200111155636761</v>
      </c>
      <c r="B4379" t="str">
        <f>"1578729396757263"</f>
        <v>1578729396757263</v>
      </c>
      <c r="C4379" t="s">
        <v>37</v>
      </c>
      <c r="D4379">
        <v>4.6420440000000003</v>
      </c>
      <c r="E4379">
        <v>0.51915279999999997</v>
      </c>
      <c r="F4379" t="s">
        <v>48</v>
      </c>
      <c r="G4379">
        <v>0</v>
      </c>
      <c r="H4379">
        <v>0</v>
      </c>
      <c r="I4379">
        <v>0</v>
      </c>
      <c r="J4379">
        <v>-222.34110000000001</v>
      </c>
      <c r="K4379">
        <v>1.102619</v>
      </c>
      <c r="L4379">
        <v>141.40520000000001</v>
      </c>
      <c r="M4379">
        <v>-0.99902739999999901</v>
      </c>
      <c r="N4379">
        <v>0</v>
      </c>
      <c r="O4379">
        <v>-4.4097730000000002E-2</v>
      </c>
      <c r="P4379">
        <v>-0.99634029999999996</v>
      </c>
      <c r="Q4379">
        <v>3.4524630000000001E-2</v>
      </c>
      <c r="R4379">
        <v>-7.8193979999999996E-2</v>
      </c>
      <c r="S4379">
        <v>-3.003647</v>
      </c>
      <c r="T4379">
        <v>9.3498230000000002E-3</v>
      </c>
      <c r="U4379">
        <v>-9.4360349999999996E-2</v>
      </c>
      <c r="V4379">
        <v>-3.4130960000000002E-2</v>
      </c>
      <c r="W4379">
        <v>3.4598429999999999E-2</v>
      </c>
      <c r="X4379">
        <v>0.99881830000000005</v>
      </c>
      <c r="Y4379">
        <v>1.2706479999999999E-2</v>
      </c>
      <c r="Z4379">
        <v>-1.5694870000000001E-4</v>
      </c>
      <c r="AA4379">
        <v>0.99991919999999901</v>
      </c>
      <c r="AB4379">
        <v>24</v>
      </c>
      <c r="AC4379">
        <v>-3.003647</v>
      </c>
      <c r="AD4379">
        <v>9.3498230000000002E-3</v>
      </c>
      <c r="AE4379">
        <v>-9.4360349999999996E-2</v>
      </c>
      <c r="AF4379">
        <v>3.81850628697755E-2</v>
      </c>
      <c r="AG4379">
        <v>9.3498230000000002E-3</v>
      </c>
      <c r="AH4379">
        <v>3.0048571083153202</v>
      </c>
      <c r="AI4379">
        <v>89.821735144245494</v>
      </c>
      <c r="AJ4379">
        <v>89.271937032097597</v>
      </c>
      <c r="AK4379">
        <v>3.0051142673132398</v>
      </c>
    </row>
    <row r="4380" spans="1:37" x14ac:dyDescent="0.2">
      <c r="A4380" t="str">
        <f>"20200111155636784"</f>
        <v>20200111155636784</v>
      </c>
      <c r="B4380" t="str">
        <f>"1578729396777292"</f>
        <v>1578729396777292</v>
      </c>
      <c r="C4380" t="s">
        <v>37</v>
      </c>
      <c r="D4380">
        <v>4.6667829999999997</v>
      </c>
      <c r="E4380">
        <v>0.51915489999999997</v>
      </c>
      <c r="F4380" t="s">
        <v>48</v>
      </c>
      <c r="G4380">
        <v>0</v>
      </c>
      <c r="H4380">
        <v>0</v>
      </c>
      <c r="I4380">
        <v>0</v>
      </c>
      <c r="J4380">
        <v>-222.59209999999999</v>
      </c>
      <c r="K4380">
        <v>1.1025830000000001</v>
      </c>
      <c r="L4380">
        <v>141.3954</v>
      </c>
      <c r="M4380">
        <v>-0.99907860000000004</v>
      </c>
      <c r="N4380">
        <v>0</v>
      </c>
      <c r="O4380">
        <v>-4.2920170000000001E-2</v>
      </c>
      <c r="P4380">
        <v>-0.99640030000000002</v>
      </c>
      <c r="Q4380">
        <v>3.570595E-2</v>
      </c>
      <c r="R4380">
        <v>-7.6888869999999998E-2</v>
      </c>
      <c r="S4380">
        <v>-3.0043489999999999</v>
      </c>
      <c r="T4380">
        <v>-5.9810879999999999E-3</v>
      </c>
      <c r="U4380">
        <v>-8.7646479999999999E-2</v>
      </c>
      <c r="V4380">
        <v>-3.3996249999999999E-2</v>
      </c>
      <c r="W4380">
        <v>3.5741179999999997E-2</v>
      </c>
      <c r="X4380">
        <v>0.99878269999999902</v>
      </c>
      <c r="Y4380">
        <v>1.376787E-2</v>
      </c>
      <c r="Z4380" s="1">
        <v>9.9096270000000007E-5</v>
      </c>
      <c r="AA4380">
        <v>0.99990519999999905</v>
      </c>
      <c r="AB4380">
        <v>24</v>
      </c>
      <c r="AC4380">
        <v>-3.0043489999999999</v>
      </c>
      <c r="AD4380">
        <v>-5.9810879999999999E-3</v>
      </c>
      <c r="AE4380">
        <v>-8.7646479999999999E-2</v>
      </c>
      <c r="AF4380">
        <v>4.1381279487398198E-2</v>
      </c>
      <c r="AG4380">
        <v>-5.9810879999999999E-3</v>
      </c>
      <c r="AH4380">
        <v>3.0053304082185401</v>
      </c>
      <c r="AI4380">
        <v>90.114016803168695</v>
      </c>
      <c r="AJ4380">
        <v>89.211127390277497</v>
      </c>
      <c r="AK4380">
        <v>3.0056212413191199</v>
      </c>
    </row>
    <row r="4381" spans="1:37" x14ac:dyDescent="0.2">
      <c r="A4381" t="str">
        <f>"20200111155636805"</f>
        <v>20200111155636805</v>
      </c>
      <c r="B4381" t="str">
        <f>"1578729396796811"</f>
        <v>1578729396796811</v>
      </c>
      <c r="C4381" t="s">
        <v>37</v>
      </c>
      <c r="D4381">
        <v>4.7951610000000002</v>
      </c>
      <c r="E4381">
        <v>0.5189009</v>
      </c>
      <c r="F4381" t="s">
        <v>75</v>
      </c>
      <c r="G4381">
        <v>-499.96800000000002</v>
      </c>
      <c r="H4381">
        <v>6.0234070000000001E-2</v>
      </c>
      <c r="I4381">
        <v>133.6497</v>
      </c>
      <c r="J4381">
        <v>-222.83160000000001</v>
      </c>
      <c r="K4381">
        <v>1.102544</v>
      </c>
      <c r="L4381">
        <v>141.38630000000001</v>
      </c>
      <c r="M4381">
        <v>-0.99912710000000005</v>
      </c>
      <c r="N4381">
        <v>0</v>
      </c>
      <c r="O4381">
        <v>-4.1777069999999999E-2</v>
      </c>
      <c r="P4381">
        <v>-0.99642819999999899</v>
      </c>
      <c r="Q4381">
        <v>3.7762560000000001E-2</v>
      </c>
      <c r="R4381">
        <v>-7.5534000000000004E-2</v>
      </c>
      <c r="S4381">
        <v>-3.0047759999999899</v>
      </c>
      <c r="T4381">
        <v>-1.129162E-2</v>
      </c>
      <c r="U4381">
        <v>-8.3908079999999996E-2</v>
      </c>
      <c r="V4381">
        <v>-3.3776550000000002E-2</v>
      </c>
      <c r="W4381">
        <v>3.7769690000000002E-2</v>
      </c>
      <c r="X4381">
        <v>0.99871549999999998</v>
      </c>
      <c r="Y4381">
        <v>1.3870739999999999E-2</v>
      </c>
      <c r="Z4381">
        <v>1.8296259999999999E-4</v>
      </c>
      <c r="AA4381">
        <v>0.99990380000000001</v>
      </c>
      <c r="AB4381">
        <v>24</v>
      </c>
      <c r="AC4381">
        <v>-277.13639999999998</v>
      </c>
      <c r="AD4381">
        <v>-1.0423099300000001</v>
      </c>
      <c r="AE4381">
        <v>-7.7366000000000099</v>
      </c>
      <c r="AF4381">
        <v>3.8480451224392702</v>
      </c>
      <c r="AG4381">
        <v>-1.0423099300000001</v>
      </c>
      <c r="AH4381">
        <v>277.21374237101003</v>
      </c>
      <c r="AI4381">
        <v>90.215407523827807</v>
      </c>
      <c r="AJ4381">
        <v>89.204719853731604</v>
      </c>
      <c r="AK4381">
        <v>277.242408048615</v>
      </c>
    </row>
    <row r="4382" spans="1:37" x14ac:dyDescent="0.2">
      <c r="A4382" t="str">
        <f>"20200111155636828"</f>
        <v>20200111155636828</v>
      </c>
      <c r="B4382" t="str">
        <f>"1578729396817308"</f>
        <v>1578729396817308</v>
      </c>
      <c r="C4382" t="s">
        <v>37</v>
      </c>
      <c r="D4382">
        <v>4.7208209999999999</v>
      </c>
      <c r="E4382">
        <v>0.51890800000000004</v>
      </c>
      <c r="F4382" t="s">
        <v>75</v>
      </c>
      <c r="G4382">
        <v>-499.95780000000002</v>
      </c>
      <c r="H4382">
        <v>2.4622189999999999E-3</v>
      </c>
      <c r="I4382">
        <v>133.80430000000001</v>
      </c>
      <c r="J4382">
        <v>-223.07419999999999</v>
      </c>
      <c r="K4382">
        <v>1.1024969999999901</v>
      </c>
      <c r="L4382">
        <v>141.37729999999999</v>
      </c>
      <c r="M4382">
        <v>-0.99917579999999995</v>
      </c>
      <c r="N4382">
        <v>0</v>
      </c>
      <c r="O4382">
        <v>-4.0592370000000003E-2</v>
      </c>
      <c r="P4382">
        <v>-0.99640790000000001</v>
      </c>
      <c r="Q4382">
        <v>4.0088720000000001E-2</v>
      </c>
      <c r="R4382">
        <v>-7.4594510000000003E-2</v>
      </c>
      <c r="S4382">
        <v>-3.0049739999999998</v>
      </c>
      <c r="T4382">
        <v>-1.192856E-2</v>
      </c>
      <c r="U4382">
        <v>-8.221436E-2</v>
      </c>
      <c r="V4382">
        <v>-3.4014929999999999E-2</v>
      </c>
      <c r="W4382">
        <v>4.0079650000000001E-2</v>
      </c>
      <c r="X4382">
        <v>0.99861739999999999</v>
      </c>
      <c r="Y4382">
        <v>1.3250120000000001E-2</v>
      </c>
      <c r="Z4382">
        <v>1.8734310000000001E-4</v>
      </c>
      <c r="AA4382">
        <v>0.99991219999999903</v>
      </c>
      <c r="AB4382">
        <v>24</v>
      </c>
      <c r="AC4382">
        <v>-276.8836</v>
      </c>
      <c r="AD4382">
        <v>-1.10003478099999</v>
      </c>
      <c r="AE4382">
        <v>-7.5729999999999702</v>
      </c>
      <c r="AF4382">
        <v>3.6725452440630901</v>
      </c>
      <c r="AG4382">
        <v>-1.10003478099999</v>
      </c>
      <c r="AH4382">
        <v>276.95842755476298</v>
      </c>
      <c r="AI4382">
        <v>90.227548513370905</v>
      </c>
      <c r="AJ4382">
        <v>89.2402866647748</v>
      </c>
      <c r="AK4382">
        <v>276.984960347482</v>
      </c>
    </row>
    <row r="4383" spans="1:37" x14ac:dyDescent="0.2">
      <c r="A4383" t="str">
        <f>"20200111155636852"</f>
        <v>20200111155636852</v>
      </c>
      <c r="B4383" t="str">
        <f>"1578729396847565"</f>
        <v>1578729396847565</v>
      </c>
      <c r="C4383" t="s">
        <v>37</v>
      </c>
      <c r="D4383">
        <v>4.7566699999999997</v>
      </c>
      <c r="E4383">
        <v>0.51882059999999997</v>
      </c>
      <c r="F4383" t="s">
        <v>75</v>
      </c>
      <c r="G4383">
        <v>-499.95780000000002</v>
      </c>
      <c r="H4383">
        <v>3.3632549999999997E-2</v>
      </c>
      <c r="I4383">
        <v>134.01650000000001</v>
      </c>
      <c r="J4383">
        <v>-223.33690000000001</v>
      </c>
      <c r="K4383">
        <v>1.1024529999999999</v>
      </c>
      <c r="L4383">
        <v>141.36799999999999</v>
      </c>
      <c r="M4383">
        <v>-0.99922860000000002</v>
      </c>
      <c r="N4383">
        <v>0</v>
      </c>
      <c r="O4383">
        <v>-3.927369E-2</v>
      </c>
      <c r="P4383">
        <v>-0.99645379999999995</v>
      </c>
      <c r="Q4383">
        <v>4.3340299999999998E-2</v>
      </c>
      <c r="R4383">
        <v>-7.2121630000000006E-2</v>
      </c>
      <c r="S4383">
        <v>-3.0052949999999998</v>
      </c>
      <c r="T4383">
        <v>-1.1601449999999999E-2</v>
      </c>
      <c r="U4383">
        <v>-7.9895019999999997E-2</v>
      </c>
      <c r="V4383">
        <v>-3.2849049999999998E-2</v>
      </c>
      <c r="W4383">
        <v>4.3326940000000001E-2</v>
      </c>
      <c r="X4383">
        <v>0.99852079999999999</v>
      </c>
      <c r="Y4383">
        <v>1.270457E-2</v>
      </c>
      <c r="Z4383">
        <v>1.760508E-4</v>
      </c>
      <c r="AA4383">
        <v>0.99991929999999996</v>
      </c>
      <c r="AB4383">
        <v>25</v>
      </c>
      <c r="AC4383">
        <v>-276.62090000000001</v>
      </c>
      <c r="AD4383">
        <v>-1.06882045</v>
      </c>
      <c r="AE4383">
        <v>-7.3514999999999802</v>
      </c>
      <c r="AF4383">
        <v>3.5180415532898999</v>
      </c>
      <c r="AG4383">
        <v>-1.06882045</v>
      </c>
      <c r="AH4383">
        <v>276.69207713540999</v>
      </c>
      <c r="AI4383">
        <v>90.221306108763898</v>
      </c>
      <c r="AJ4383">
        <v>89.271543752644803</v>
      </c>
      <c r="AK4383">
        <v>276.716505729299</v>
      </c>
    </row>
    <row r="4384" spans="1:37" x14ac:dyDescent="0.2">
      <c r="A4384" t="str">
        <f>"20200111155636874"</f>
        <v>20200111155636874</v>
      </c>
      <c r="B4384" t="str">
        <f>"1578729396867589"</f>
        <v>1578729396867589</v>
      </c>
      <c r="C4384" t="s">
        <v>37</v>
      </c>
      <c r="D4384">
        <v>4.793622</v>
      </c>
      <c r="E4384">
        <v>0.51869089999999995</v>
      </c>
      <c r="F4384" t="s">
        <v>48</v>
      </c>
      <c r="G4384">
        <v>0</v>
      </c>
      <c r="H4384">
        <v>0</v>
      </c>
      <c r="I4384">
        <v>0</v>
      </c>
      <c r="J4384">
        <v>-223.5933</v>
      </c>
      <c r="K4384">
        <v>1.102411</v>
      </c>
      <c r="L4384">
        <v>141.35929999999999</v>
      </c>
      <c r="M4384">
        <v>-0.9992799</v>
      </c>
      <c r="N4384">
        <v>0</v>
      </c>
      <c r="O4384">
        <v>-3.7944980000000003E-2</v>
      </c>
      <c r="P4384">
        <v>-0.99651909999999899</v>
      </c>
      <c r="Q4384">
        <v>4.5685629999999998E-2</v>
      </c>
      <c r="R4384">
        <v>-6.9731559999999998E-2</v>
      </c>
      <c r="S4384">
        <v>-3.005722</v>
      </c>
      <c r="T4384">
        <v>-8.7037090000000004E-3</v>
      </c>
      <c r="U4384">
        <v>-7.3928830000000001E-2</v>
      </c>
      <c r="V4384">
        <v>-3.1775820000000003E-2</v>
      </c>
      <c r="W4384">
        <v>4.5690189999999999E-2</v>
      </c>
      <c r="X4384">
        <v>0.99845019999999995</v>
      </c>
      <c r="Y4384">
        <v>1.33624E-2</v>
      </c>
      <c r="Z4384">
        <v>1.291722E-4</v>
      </c>
      <c r="AA4384">
        <v>0.99991070000000004</v>
      </c>
      <c r="AB4384">
        <v>25</v>
      </c>
      <c r="AC4384">
        <v>-3.005722</v>
      </c>
      <c r="AD4384">
        <v>-8.7037090000000004E-3</v>
      </c>
      <c r="AE4384">
        <v>-7.3928830000000001E-2</v>
      </c>
      <c r="AF4384">
        <v>4.01761278332744E-2</v>
      </c>
      <c r="AG4384">
        <v>-8.7037090000000004E-3</v>
      </c>
      <c r="AH4384">
        <v>3.0063374036766399</v>
      </c>
      <c r="AI4384">
        <v>90.165862911377602</v>
      </c>
      <c r="AJ4384">
        <v>89.234355551937298</v>
      </c>
      <c r="AK4384">
        <v>3.00661844279304</v>
      </c>
    </row>
    <row r="4385" spans="1:37" x14ac:dyDescent="0.2">
      <c r="A4385" t="str">
        <f>"20200111155636894"</f>
        <v>20200111155636894</v>
      </c>
      <c r="B4385" t="str">
        <f>"1578729396887109"</f>
        <v>1578729396887109</v>
      </c>
      <c r="C4385" t="s">
        <v>37</v>
      </c>
      <c r="D4385">
        <v>4.7704559999999896</v>
      </c>
      <c r="E4385">
        <v>0.51795360000000001</v>
      </c>
      <c r="F4385" t="s">
        <v>48</v>
      </c>
      <c r="G4385">
        <v>0</v>
      </c>
      <c r="H4385">
        <v>0</v>
      </c>
      <c r="I4385">
        <v>0</v>
      </c>
      <c r="J4385">
        <v>-223.83430000000001</v>
      </c>
      <c r="K4385">
        <v>1.1023689999999999</v>
      </c>
      <c r="L4385">
        <v>141.35149999999999</v>
      </c>
      <c r="M4385">
        <v>-0.999328199999999</v>
      </c>
      <c r="N4385">
        <v>0</v>
      </c>
      <c r="O4385">
        <v>-3.665392E-2</v>
      </c>
      <c r="P4385">
        <v>-0.99661239999999995</v>
      </c>
      <c r="Q4385">
        <v>4.6357790000000003E-2</v>
      </c>
      <c r="R4385">
        <v>-6.7934700000000001E-2</v>
      </c>
      <c r="S4385">
        <v>-3.0059049999999998</v>
      </c>
      <c r="T4385">
        <v>-4.5599940000000004E-3</v>
      </c>
      <c r="U4385">
        <v>-6.8054199999999995E-2</v>
      </c>
      <c r="V4385">
        <v>-3.1258679999999997E-2</v>
      </c>
      <c r="W4385">
        <v>4.640992E-2</v>
      </c>
      <c r="X4385">
        <v>0.99843329999999997</v>
      </c>
      <c r="Y4385">
        <v>1.4025309999999999E-2</v>
      </c>
      <c r="Z4385" s="1">
        <v>6.6219080000000003E-5</v>
      </c>
      <c r="AA4385">
        <v>0.9999017</v>
      </c>
      <c r="AB4385">
        <v>25</v>
      </c>
      <c r="AC4385">
        <v>-3.0059049999999998</v>
      </c>
      <c r="AD4385">
        <v>-4.5599940000000004E-3</v>
      </c>
      <c r="AE4385">
        <v>-6.8054199999999995E-2</v>
      </c>
      <c r="AF4385">
        <v>4.2169615597722997E-2</v>
      </c>
      <c r="AG4385">
        <v>-4.5599940000000004E-3</v>
      </c>
      <c r="AH4385">
        <v>3.0063726282242298</v>
      </c>
      <c r="AI4385">
        <v>90.086896251525303</v>
      </c>
      <c r="AJ4385">
        <v>89.196379538826307</v>
      </c>
      <c r="AK4385">
        <v>3.00667182275699</v>
      </c>
    </row>
    <row r="4386" spans="1:37" x14ac:dyDescent="0.2">
      <c r="A4386" t="str">
        <f>"20200111155636917"</f>
        <v>20200111155636917</v>
      </c>
      <c r="B4386" t="str">
        <f>"1578729396907605"</f>
        <v>1578729396907605</v>
      </c>
      <c r="C4386" t="s">
        <v>37</v>
      </c>
      <c r="D4386">
        <v>4.7417899999999999</v>
      </c>
      <c r="E4386">
        <v>0.51754160000000005</v>
      </c>
      <c r="F4386" t="s">
        <v>75</v>
      </c>
      <c r="G4386">
        <v>-473.11880000000002</v>
      </c>
      <c r="H4386" s="1">
        <v>-6.1922319999999998E-6</v>
      </c>
      <c r="I4386">
        <v>135.60299999999901</v>
      </c>
      <c r="J4386">
        <v>-224.08959999999999</v>
      </c>
      <c r="K4386">
        <v>1.1023270000000001</v>
      </c>
      <c r="L4386">
        <v>141.34350000000001</v>
      </c>
      <c r="M4386">
        <v>-0.99937889999999996</v>
      </c>
      <c r="N4386">
        <v>0</v>
      </c>
      <c r="O4386">
        <v>-3.524124E-2</v>
      </c>
      <c r="P4386">
        <v>-0.99669949999999996</v>
      </c>
      <c r="Q4386">
        <v>4.6469379999999998E-2</v>
      </c>
      <c r="R4386">
        <v>-6.6562469999999999E-2</v>
      </c>
      <c r="S4386">
        <v>-3.0060880000000001</v>
      </c>
      <c r="T4386">
        <v>-1.329339E-2</v>
      </c>
      <c r="U4386">
        <v>-6.9320679999999996E-2</v>
      </c>
      <c r="V4386">
        <v>-3.1288860000000002E-2</v>
      </c>
      <c r="W4386">
        <v>4.6610459999999999E-2</v>
      </c>
      <c r="X4386">
        <v>0.99842299999999995</v>
      </c>
      <c r="Y4386">
        <v>1.2191759999999999E-2</v>
      </c>
      <c r="Z4386">
        <v>1.8273389999999901E-4</v>
      </c>
      <c r="AA4386">
        <v>0.99992569999999903</v>
      </c>
      <c r="AB4386">
        <v>25</v>
      </c>
      <c r="AC4386">
        <v>-249.0292</v>
      </c>
      <c r="AD4386">
        <v>-1.1023331922320001</v>
      </c>
      <c r="AE4386">
        <v>-5.7405000000000204</v>
      </c>
      <c r="AF4386">
        <v>3.0391035131954101</v>
      </c>
      <c r="AG4386">
        <v>-1.1023331922320001</v>
      </c>
      <c r="AH4386">
        <v>249.07193626978801</v>
      </c>
      <c r="AI4386">
        <v>90.253556972789298</v>
      </c>
      <c r="AJ4386">
        <v>89.300928210916098</v>
      </c>
      <c r="AK4386">
        <v>249.092915848307</v>
      </c>
    </row>
    <row r="4387" spans="1:37" x14ac:dyDescent="0.2">
      <c r="A4387" t="str">
        <f>"20200111155636940"</f>
        <v>20200111155636940</v>
      </c>
      <c r="B4387" t="str">
        <f>"1578729396936885"</f>
        <v>1578729396936885</v>
      </c>
      <c r="C4387" t="s">
        <v>37</v>
      </c>
      <c r="D4387">
        <v>4.6835100000000001</v>
      </c>
      <c r="E4387">
        <v>0.51700709999999905</v>
      </c>
      <c r="F4387" t="s">
        <v>38</v>
      </c>
      <c r="G4387">
        <v>-395.23480000000001</v>
      </c>
      <c r="H4387" s="1">
        <v>-2.4162179999999999E-6</v>
      </c>
      <c r="I4387">
        <v>137.4196</v>
      </c>
      <c r="J4387">
        <v>-224.34440000000001</v>
      </c>
      <c r="K4387">
        <v>1.1023000000000001</v>
      </c>
      <c r="L4387">
        <v>141.33600000000001</v>
      </c>
      <c r="M4387">
        <v>-0.99942900000000001</v>
      </c>
      <c r="N4387">
        <v>0</v>
      </c>
      <c r="O4387">
        <v>-3.3790229999999997E-2</v>
      </c>
      <c r="P4387">
        <v>-0.99672499999999997</v>
      </c>
      <c r="Q4387">
        <v>4.6741730000000002E-2</v>
      </c>
      <c r="R4387">
        <v>-6.5990370000000007E-2</v>
      </c>
      <c r="S4387">
        <v>-3.0062259999999998</v>
      </c>
      <c r="T4387">
        <v>-1.9362810000000001E-2</v>
      </c>
      <c r="U4387">
        <v>-6.8923949999999998E-2</v>
      </c>
      <c r="V4387">
        <v>-3.2158039999999999E-2</v>
      </c>
      <c r="W4387">
        <v>4.7020560000000003E-2</v>
      </c>
      <c r="X4387">
        <v>0.99837609999999999</v>
      </c>
      <c r="Y4387">
        <v>1.087247E-2</v>
      </c>
      <c r="Z4387">
        <v>2.5256589999999999E-4</v>
      </c>
      <c r="AA4387">
        <v>0.99994089999999902</v>
      </c>
      <c r="AB4387">
        <v>25</v>
      </c>
      <c r="AC4387">
        <v>-170.8904</v>
      </c>
      <c r="AD4387">
        <v>-1.102302416218</v>
      </c>
      <c r="AE4387">
        <v>-3.9163999999999999</v>
      </c>
      <c r="AF4387">
        <v>1.8601847308528401</v>
      </c>
      <c r="AG4387">
        <v>-1.102302416218</v>
      </c>
      <c r="AH4387">
        <v>170.918040955984</v>
      </c>
      <c r="AI4387">
        <v>90.3694908987232</v>
      </c>
      <c r="AJ4387">
        <v>89.376446595570002</v>
      </c>
      <c r="AK4387">
        <v>170.93171760115601</v>
      </c>
    </row>
    <row r="4388" spans="1:37" x14ac:dyDescent="0.2">
      <c r="A4388" t="str">
        <f>"20200111155636962"</f>
        <v>20200111155636962</v>
      </c>
      <c r="B4388" t="str">
        <f>"1578729396957382"</f>
        <v>1578729396957382</v>
      </c>
      <c r="C4388" t="s">
        <v>37</v>
      </c>
      <c r="D4388">
        <v>4.6598269999999999</v>
      </c>
      <c r="E4388">
        <v>0.51678559999999996</v>
      </c>
      <c r="F4388" t="s">
        <v>38</v>
      </c>
      <c r="G4388">
        <v>-345.10930000000002</v>
      </c>
      <c r="H4388" s="1">
        <v>-2.2875599999999899E-6</v>
      </c>
      <c r="I4388">
        <v>138.44839999999999</v>
      </c>
      <c r="J4388">
        <v>-224.61859999999999</v>
      </c>
      <c r="K4388">
        <v>1.102293</v>
      </c>
      <c r="L4388">
        <v>141.32849999999999</v>
      </c>
      <c r="M4388">
        <v>-0.99948189999999903</v>
      </c>
      <c r="N4388">
        <v>0</v>
      </c>
      <c r="O4388">
        <v>-3.2189290000000002E-2</v>
      </c>
      <c r="P4388">
        <v>-0.99668259999999897</v>
      </c>
      <c r="Q4388">
        <v>4.8129289999999998E-2</v>
      </c>
      <c r="R4388">
        <v>-6.5631419999999996E-2</v>
      </c>
      <c r="S4388">
        <v>-3.0063930000000001</v>
      </c>
      <c r="T4388">
        <v>-2.7441380000000001E-2</v>
      </c>
      <c r="U4388">
        <v>-7.1884160000000002E-2</v>
      </c>
      <c r="V4388">
        <v>-3.3389879999999997E-2</v>
      </c>
      <c r="W4388">
        <v>4.861613E-2</v>
      </c>
      <c r="X4388">
        <v>0.99825929999999996</v>
      </c>
      <c r="Y4388">
        <v>8.2871950000000007E-3</v>
      </c>
      <c r="Z4388">
        <v>3.315142E-4</v>
      </c>
      <c r="AA4388">
        <v>0.99996559999999901</v>
      </c>
      <c r="AB4388">
        <v>26</v>
      </c>
      <c r="AC4388">
        <v>-120.4907</v>
      </c>
      <c r="AD4388">
        <v>-1.1022952875600001</v>
      </c>
      <c r="AE4388">
        <v>-2.8800999999999899</v>
      </c>
      <c r="AF4388">
        <v>0.99981852504103996</v>
      </c>
      <c r="AG4388">
        <v>-1.1022952875600001</v>
      </c>
      <c r="AH4388">
        <v>120.510888804627</v>
      </c>
      <c r="AI4388">
        <v>90.524043377504896</v>
      </c>
      <c r="AJ4388">
        <v>89.5246565017287</v>
      </c>
      <c r="AK4388">
        <v>120.520077217305</v>
      </c>
    </row>
    <row r="4389" spans="1:37" x14ac:dyDescent="0.2">
      <c r="A4389" t="str">
        <f>"20200111155636985"</f>
        <v>20200111155636985</v>
      </c>
      <c r="B4389" t="str">
        <f>"1578729396977409"</f>
        <v>1578729396977409</v>
      </c>
      <c r="C4389" t="s">
        <v>37</v>
      </c>
      <c r="D4389">
        <v>4.6485190000000003</v>
      </c>
      <c r="E4389">
        <v>0.50937339999999998</v>
      </c>
      <c r="F4389" t="s">
        <v>38</v>
      </c>
      <c r="G4389">
        <v>-350.11020000000002</v>
      </c>
      <c r="H4389" s="1">
        <v>-4.4629360000000002E-6</v>
      </c>
      <c r="I4389">
        <v>138.27500000000001</v>
      </c>
      <c r="J4389">
        <v>-224.87860000000001</v>
      </c>
      <c r="K4389">
        <v>1.102303</v>
      </c>
      <c r="L4389">
        <v>141.32169999999999</v>
      </c>
      <c r="M4389">
        <v>-0.99953040000000004</v>
      </c>
      <c r="N4389">
        <v>0</v>
      </c>
      <c r="O4389">
        <v>-3.064242E-2</v>
      </c>
      <c r="P4389">
        <v>-0.99664909999999995</v>
      </c>
      <c r="Q4389">
        <v>4.9447989999999997E-2</v>
      </c>
      <c r="R4389">
        <v>-6.5160099999999999E-2</v>
      </c>
      <c r="S4389">
        <v>-3.0064540000000002</v>
      </c>
      <c r="T4389">
        <v>-2.64082E-2</v>
      </c>
      <c r="U4389">
        <v>-7.3150629999999994E-2</v>
      </c>
      <c r="V4389">
        <v>-3.4455859999999998E-2</v>
      </c>
      <c r="W4389">
        <v>5.0166349999999998E-2</v>
      </c>
      <c r="X4389">
        <v>0.99814639999999999</v>
      </c>
      <c r="Y4389">
        <v>6.3193519999999899E-3</v>
      </c>
      <c r="Z4389">
        <v>2.968057E-4</v>
      </c>
      <c r="AA4389">
        <v>0.99997999999999998</v>
      </c>
      <c r="AB4389">
        <v>26</v>
      </c>
      <c r="AC4389">
        <v>-125.2316</v>
      </c>
      <c r="AD4389">
        <v>-1.1023074629359999</v>
      </c>
      <c r="AE4389">
        <v>-3.04669999999998</v>
      </c>
      <c r="AF4389">
        <v>0.79206869184671402</v>
      </c>
      <c r="AG4389">
        <v>-1.1023074629359999</v>
      </c>
      <c r="AH4389">
        <v>125.25645199103</v>
      </c>
      <c r="AI4389">
        <v>90.504202947969205</v>
      </c>
      <c r="AJ4389">
        <v>89.637690613841599</v>
      </c>
      <c r="AK4389">
        <v>125.26380650426</v>
      </c>
    </row>
    <row r="4390" spans="1:37" x14ac:dyDescent="0.2">
      <c r="A4390" t="str">
        <f>"20200111155637007"</f>
        <v>20200111155637007</v>
      </c>
      <c r="B4390" t="str">
        <f>"1578729396996929"</f>
        <v>1578729396996929</v>
      </c>
      <c r="C4390" t="s">
        <v>37</v>
      </c>
      <c r="D4390">
        <v>4.5435189999999999</v>
      </c>
      <c r="E4390">
        <v>0.51076140000000003</v>
      </c>
      <c r="F4390" t="s">
        <v>38</v>
      </c>
      <c r="G4390">
        <v>-251.81180000000001</v>
      </c>
      <c r="H4390" s="1">
        <v>-3.6214129999999999E-6</v>
      </c>
      <c r="I4390">
        <v>140.09129999999999</v>
      </c>
      <c r="J4390">
        <v>-225.13900000000001</v>
      </c>
      <c r="K4390">
        <v>1.1023229999999999</v>
      </c>
      <c r="L4390">
        <v>141.31540000000001</v>
      </c>
      <c r="M4390">
        <v>-0.99957700000000005</v>
      </c>
      <c r="N4390">
        <v>0</v>
      </c>
      <c r="O4390">
        <v>-2.9071759999999999E-2</v>
      </c>
      <c r="P4390">
        <v>-0.99665759999999903</v>
      </c>
      <c r="Q4390">
        <v>5.0776499999999898E-2</v>
      </c>
      <c r="R4390">
        <v>-6.3995460000000004E-2</v>
      </c>
      <c r="S4390">
        <v>-3.0072169999999998</v>
      </c>
      <c r="T4390">
        <v>-0.1230776</v>
      </c>
      <c r="U4390">
        <v>-0.13737489999999999</v>
      </c>
      <c r="V4390">
        <v>-3.4852340000000002E-2</v>
      </c>
      <c r="W4390">
        <v>5.1761199999999903E-2</v>
      </c>
      <c r="X4390">
        <v>0.99805119999999903</v>
      </c>
      <c r="Y4390">
        <v>-1.6583790000000001E-2</v>
      </c>
      <c r="Z4390">
        <v>8.4934569999999996E-4</v>
      </c>
      <c r="AA4390">
        <v>0.99986209999999898</v>
      </c>
      <c r="AB4390">
        <v>26</v>
      </c>
      <c r="AC4390">
        <v>-26.672799999999899</v>
      </c>
      <c r="AD4390">
        <v>-1.1023266214129901</v>
      </c>
      <c r="AE4390">
        <v>-1.2241000000000199</v>
      </c>
      <c r="AF4390">
        <v>-0.44739457609324601</v>
      </c>
      <c r="AG4390">
        <v>-1.1023266214129901</v>
      </c>
      <c r="AH4390">
        <v>26.651687936002801</v>
      </c>
      <c r="AI4390">
        <v>92.368097787075797</v>
      </c>
      <c r="AJ4390">
        <v>90.961718208445006</v>
      </c>
      <c r="AK4390">
        <v>26.678226247729999</v>
      </c>
    </row>
    <row r="4391" spans="1:37" x14ac:dyDescent="0.2">
      <c r="A4391" t="str">
        <f>"20200111155637029"</f>
        <v>20200111155637029</v>
      </c>
      <c r="B4391" t="str">
        <f>"1578729397017425"</f>
        <v>1578729397017425</v>
      </c>
      <c r="C4391" t="s">
        <v>37</v>
      </c>
      <c r="D4391">
        <v>4.4952220000000001</v>
      </c>
      <c r="E4391">
        <v>0.51124910000000001</v>
      </c>
      <c r="F4391" t="s">
        <v>38</v>
      </c>
      <c r="G4391">
        <v>-253.73410000000001</v>
      </c>
      <c r="H4391" s="1">
        <v>-2.8106529999999998E-6</v>
      </c>
      <c r="I4391">
        <v>140.14340000000001</v>
      </c>
      <c r="J4391">
        <v>-225.39439999999999</v>
      </c>
      <c r="K4391">
        <v>1.1023620000000001</v>
      </c>
      <c r="L4391">
        <v>141.30959999999999</v>
      </c>
      <c r="M4391">
        <v>-0.99962059999999997</v>
      </c>
      <c r="N4391">
        <v>0</v>
      </c>
      <c r="O4391">
        <v>-2.7520139999999998E-2</v>
      </c>
      <c r="P4391">
        <v>-0.99675179999999997</v>
      </c>
      <c r="Q4391">
        <v>5.101791E-2</v>
      </c>
      <c r="R4391">
        <v>-6.231515E-2</v>
      </c>
      <c r="S4391">
        <v>-3.008057</v>
      </c>
      <c r="T4391">
        <v>-0.1159594</v>
      </c>
      <c r="U4391">
        <v>-0.1232758</v>
      </c>
      <c r="V4391">
        <v>-3.4714750000000003E-2</v>
      </c>
      <c r="W4391">
        <v>5.2321680000000002E-2</v>
      </c>
      <c r="X4391">
        <v>0.99802669999999905</v>
      </c>
      <c r="Y4391">
        <v>-1.344533E-2</v>
      </c>
      <c r="Z4391">
        <v>8.0085210000000004E-4</v>
      </c>
      <c r="AA4391">
        <v>0.9999093</v>
      </c>
      <c r="AB4391">
        <v>26</v>
      </c>
      <c r="AC4391">
        <v>-28.339700000000001</v>
      </c>
      <c r="AD4391">
        <v>-1.102364810653</v>
      </c>
      <c r="AE4391">
        <v>-1.1661999999999699</v>
      </c>
      <c r="AF4391">
        <v>-0.38526333606537799</v>
      </c>
      <c r="AG4391">
        <v>-1.102364810653</v>
      </c>
      <c r="AH4391">
        <v>28.318285083057301</v>
      </c>
      <c r="AI4391">
        <v>92.229059439786994</v>
      </c>
      <c r="AJ4391">
        <v>90.779446967176597</v>
      </c>
      <c r="AK4391">
        <v>28.342351808895199</v>
      </c>
    </row>
    <row r="4392" spans="1:37" x14ac:dyDescent="0.2">
      <c r="A4392" t="str">
        <f>"20200111155637044"</f>
        <v>20200111155637044</v>
      </c>
      <c r="B4392" t="str">
        <f>"1578729397036945"</f>
        <v>1578729397036945</v>
      </c>
      <c r="C4392" t="s">
        <v>37</v>
      </c>
      <c r="D4392">
        <v>4.5961980000000002</v>
      </c>
      <c r="E4392">
        <v>0.51108180000000003</v>
      </c>
      <c r="F4392" t="s">
        <v>38</v>
      </c>
      <c r="G4392">
        <v>-254.53020000000001</v>
      </c>
      <c r="H4392" s="1">
        <v>-2.483815E-6</v>
      </c>
      <c r="I4392">
        <v>140.1987</v>
      </c>
      <c r="J4392">
        <v>-225.57849999999999</v>
      </c>
      <c r="K4392">
        <v>1.1023969999999901</v>
      </c>
      <c r="L4392">
        <v>141.3057</v>
      </c>
      <c r="M4392">
        <v>-0.999650499999999</v>
      </c>
      <c r="N4392">
        <v>0</v>
      </c>
      <c r="O4392">
        <v>-2.6398189999999998E-2</v>
      </c>
      <c r="P4392">
        <v>-0.99684649999999997</v>
      </c>
      <c r="Q4392">
        <v>5.0953789999999999E-2</v>
      </c>
      <c r="R4392">
        <v>-6.0837339999999997E-2</v>
      </c>
      <c r="S4392">
        <v>-3.0084379999999999</v>
      </c>
      <c r="T4392">
        <v>-0.1138257</v>
      </c>
      <c r="U4392">
        <v>-0.11470029999999901</v>
      </c>
      <c r="V4392">
        <v>-3.4352670000000002E-2</v>
      </c>
      <c r="W4392">
        <v>5.2538349999999998E-2</v>
      </c>
      <c r="X4392">
        <v>0.99802789999999997</v>
      </c>
      <c r="Y4392">
        <v>-1.171668E-2</v>
      </c>
      <c r="Z4392">
        <v>7.7636389999999995E-4</v>
      </c>
      <c r="AA4392">
        <v>0.99993099999999902</v>
      </c>
      <c r="AB4392">
        <v>26</v>
      </c>
      <c r="AC4392">
        <v>-28.951699999999999</v>
      </c>
      <c r="AD4392">
        <v>-1.10239948381499</v>
      </c>
      <c r="AE4392">
        <v>-1.10699999999999</v>
      </c>
      <c r="AF4392">
        <v>-0.341846061011711</v>
      </c>
      <c r="AG4392">
        <v>-1.10239948381499</v>
      </c>
      <c r="AH4392">
        <v>28.928951278143401</v>
      </c>
      <c r="AI4392">
        <v>92.182169919708898</v>
      </c>
      <c r="AJ4392">
        <v>90.677018146217705</v>
      </c>
      <c r="AK4392">
        <v>28.951966520506701</v>
      </c>
    </row>
    <row r="4393" spans="1:37" x14ac:dyDescent="0.2">
      <c r="A4393" t="str">
        <f>"20200111155637063"</f>
        <v>20200111155637063</v>
      </c>
      <c r="B4393" t="str">
        <f>"1578729397057442"</f>
        <v>1578729397057442</v>
      </c>
      <c r="C4393" t="s">
        <v>37</v>
      </c>
      <c r="D4393">
        <v>4.3914150000000003</v>
      </c>
      <c r="E4393">
        <v>0.50895539999999995</v>
      </c>
      <c r="F4393" t="s">
        <v>38</v>
      </c>
      <c r="G4393">
        <v>-254.7039</v>
      </c>
      <c r="H4393" s="1">
        <v>-2.4161929999999999E-6</v>
      </c>
      <c r="I4393">
        <v>140.22460000000001</v>
      </c>
      <c r="J4393">
        <v>-225.8092</v>
      </c>
      <c r="K4393">
        <v>1.1024529999999999</v>
      </c>
      <c r="L4393">
        <v>141.30109999999999</v>
      </c>
      <c r="M4393">
        <v>-0.99968590000000002</v>
      </c>
      <c r="N4393">
        <v>0</v>
      </c>
      <c r="O4393">
        <v>-2.499034E-2</v>
      </c>
      <c r="P4393">
        <v>-0.99699629999999995</v>
      </c>
      <c r="Q4393">
        <v>4.9940819999999997E-2</v>
      </c>
      <c r="R4393">
        <v>-5.9200219999999998E-2</v>
      </c>
      <c r="S4393">
        <v>-3.008499</v>
      </c>
      <c r="T4393">
        <v>-0.1138723</v>
      </c>
      <c r="U4393">
        <v>-0.11166379999999999</v>
      </c>
      <c r="V4393">
        <v>-3.4117679999999997E-2</v>
      </c>
      <c r="W4393">
        <v>5.1946449999999998E-2</v>
      </c>
      <c r="X4393">
        <v>0.99806689999999998</v>
      </c>
      <c r="Y4393">
        <v>-1.2115020000000001E-2</v>
      </c>
      <c r="Z4393">
        <v>7.1592699999999999E-4</v>
      </c>
      <c r="AA4393">
        <v>0.99992630000000005</v>
      </c>
      <c r="AB4393">
        <v>26</v>
      </c>
      <c r="AC4393">
        <v>-28.8947</v>
      </c>
      <c r="AD4393">
        <v>-1.102455416193</v>
      </c>
      <c r="AE4393">
        <v>-1.07649999999998</v>
      </c>
      <c r="AF4393">
        <v>-0.35356014823246801</v>
      </c>
      <c r="AG4393">
        <v>-1.102455416193</v>
      </c>
      <c r="AH4393">
        <v>28.870608064883701</v>
      </c>
      <c r="AI4393">
        <v>92.186675027059906</v>
      </c>
      <c r="AJ4393">
        <v>90.701630240919499</v>
      </c>
      <c r="AK4393">
        <v>28.893812880255901</v>
      </c>
    </row>
    <row r="4394" spans="1:37" x14ac:dyDescent="0.2">
      <c r="A4394" t="str">
        <f>"20200111155637085"</f>
        <v>20200111155637085</v>
      </c>
      <c r="B4394" t="str">
        <f>"1578729397077469"</f>
        <v>1578729397077469</v>
      </c>
      <c r="C4394" t="s">
        <v>37</v>
      </c>
      <c r="D4394">
        <v>4.3348240000000002</v>
      </c>
      <c r="E4394">
        <v>0.52937630000000002</v>
      </c>
      <c r="F4394" t="s">
        <v>38</v>
      </c>
      <c r="G4394">
        <v>-260.0376</v>
      </c>
      <c r="H4394" s="1">
        <v>-4.3147509999999999E-6</v>
      </c>
      <c r="I4394">
        <v>139.9066</v>
      </c>
      <c r="J4394">
        <v>-226.07169999999999</v>
      </c>
      <c r="K4394">
        <v>1.102528</v>
      </c>
      <c r="L4394">
        <v>141.2962</v>
      </c>
      <c r="M4394">
        <v>-0.99972359999999905</v>
      </c>
      <c r="N4394">
        <v>0</v>
      </c>
      <c r="O4394">
        <v>-2.3385349999999999E-2</v>
      </c>
      <c r="P4394">
        <v>-0.99718879999999999</v>
      </c>
      <c r="Q4394">
        <v>4.851134E-2</v>
      </c>
      <c r="R4394">
        <v>-5.7107280000000003E-2</v>
      </c>
      <c r="S4394">
        <v>-3.0066380000000001</v>
      </c>
      <c r="T4394">
        <v>-9.6840620000000002E-2</v>
      </c>
      <c r="U4394">
        <v>-0.1224823</v>
      </c>
      <c r="V4394">
        <v>-3.362424E-2</v>
      </c>
      <c r="W4394">
        <v>5.1072600000000003E-2</v>
      </c>
      <c r="X4394">
        <v>0.99812880000000004</v>
      </c>
      <c r="Y4394">
        <v>-1.7329509999999999E-2</v>
      </c>
      <c r="Z4394">
        <v>4.7367660000000001E-4</v>
      </c>
      <c r="AA4394">
        <v>0.99984969999999995</v>
      </c>
      <c r="AB4394">
        <v>27</v>
      </c>
      <c r="AC4394">
        <v>-33.965899999999998</v>
      </c>
      <c r="AD4394">
        <v>-1.102532314751</v>
      </c>
      <c r="AE4394">
        <v>-1.3895999999999999</v>
      </c>
      <c r="AF4394">
        <v>-0.59428806946651802</v>
      </c>
      <c r="AG4394">
        <v>-1.102532314751</v>
      </c>
      <c r="AH4394">
        <v>33.953392293508799</v>
      </c>
      <c r="AI4394">
        <v>91.859566640555002</v>
      </c>
      <c r="AJ4394">
        <v>91.002748749489697</v>
      </c>
      <c r="AK4394">
        <v>33.976486046256802</v>
      </c>
    </row>
    <row r="4395" spans="1:37" x14ac:dyDescent="0.2">
      <c r="A4395" t="str">
        <f>"20200111155637107"</f>
        <v>20200111155637107</v>
      </c>
      <c r="B4395" t="str">
        <f>"1578729397096989"</f>
        <v>1578729397096989</v>
      </c>
      <c r="C4395" t="s">
        <v>37</v>
      </c>
      <c r="D4395">
        <v>4.2968019999999996</v>
      </c>
      <c r="E4395">
        <v>0.53076919999999905</v>
      </c>
      <c r="F4395" t="s">
        <v>38</v>
      </c>
      <c r="G4395">
        <v>-261.755</v>
      </c>
      <c r="H4395" s="1">
        <v>-4.0760069999999996E-6</v>
      </c>
      <c r="I4395">
        <v>141.85550000000001</v>
      </c>
      <c r="J4395">
        <v>-226.32849999999999</v>
      </c>
      <c r="K4395">
        <v>1.1026039999999999</v>
      </c>
      <c r="L4395">
        <v>141.2919</v>
      </c>
      <c r="M4395">
        <v>-0.99975729999999996</v>
      </c>
      <c r="N4395">
        <v>0</v>
      </c>
      <c r="O4395">
        <v>-2.1812680000000001E-2</v>
      </c>
      <c r="P4395">
        <v>-0.99733229999999995</v>
      </c>
      <c r="Q4395">
        <v>4.7480269999999998E-2</v>
      </c>
      <c r="R4395">
        <v>-5.5445069999999999E-2</v>
      </c>
      <c r="S4395">
        <v>-3.0156860000000001</v>
      </c>
      <c r="T4395">
        <v>-9.3177910000000003E-2</v>
      </c>
      <c r="U4395">
        <v>4.7271729999999998E-2</v>
      </c>
      <c r="V4395">
        <v>-3.3529330000000003E-2</v>
      </c>
      <c r="W4395">
        <v>5.0632580000000003E-2</v>
      </c>
      <c r="X4395">
        <v>0.99815429999999905</v>
      </c>
      <c r="Y4395">
        <v>3.7451459999999999E-2</v>
      </c>
      <c r="Z4395">
        <v>1.252162E-3</v>
      </c>
      <c r="AA4395">
        <v>0.99929769999999896</v>
      </c>
      <c r="AB4395">
        <v>27</v>
      </c>
      <c r="AC4395">
        <v>-35.426499999999997</v>
      </c>
      <c r="AD4395">
        <v>-1.1026080760070001</v>
      </c>
      <c r="AE4395">
        <v>0.56360000000000798</v>
      </c>
      <c r="AF4395">
        <v>1.33492369838233</v>
      </c>
      <c r="AG4395">
        <v>-1.1026080760070001</v>
      </c>
      <c r="AH4395">
        <v>35.371521940520402</v>
      </c>
      <c r="AI4395">
        <v>91.7841878579613</v>
      </c>
      <c r="AJ4395">
        <v>87.838679038791597</v>
      </c>
      <c r="AK4395">
        <v>35.413872002909997</v>
      </c>
    </row>
    <row r="4396" spans="1:37" x14ac:dyDescent="0.2">
      <c r="A4396" t="str">
        <f>"20200111155637130"</f>
        <v>20200111155637130</v>
      </c>
      <c r="B4396" t="str">
        <f>"1578729397127246"</f>
        <v>1578729397127246</v>
      </c>
      <c r="C4396" t="s">
        <v>37</v>
      </c>
      <c r="D4396">
        <v>4.23217</v>
      </c>
      <c r="E4396">
        <v>0.53138359999999996</v>
      </c>
      <c r="F4396" t="s">
        <v>38</v>
      </c>
      <c r="G4396">
        <v>-264.21179999999998</v>
      </c>
      <c r="H4396" s="1">
        <v>-3.1251419999999998E-6</v>
      </c>
      <c r="I4396">
        <v>142.09559999999999</v>
      </c>
      <c r="J4396">
        <v>-226.60159999999999</v>
      </c>
      <c r="K4396">
        <v>1.102689</v>
      </c>
      <c r="L4396">
        <v>141.2878</v>
      </c>
      <c r="M4396">
        <v>-0.99979030000000002</v>
      </c>
      <c r="N4396">
        <v>0</v>
      </c>
      <c r="O4396">
        <v>-2.0141490000000001E-2</v>
      </c>
      <c r="P4396">
        <v>-0.99746060000000003</v>
      </c>
      <c r="Q4396">
        <v>4.7035390000000003E-2</v>
      </c>
      <c r="R4396">
        <v>-5.3481889999999997E-2</v>
      </c>
      <c r="S4396">
        <v>-3.0157620000000001</v>
      </c>
      <c r="T4396">
        <v>-8.7775110000000003E-2</v>
      </c>
      <c r="U4396">
        <v>6.3980099999999998E-2</v>
      </c>
      <c r="V4396">
        <v>-3.3231009999999998E-2</v>
      </c>
      <c r="W4396">
        <v>5.0853549999999997E-2</v>
      </c>
      <c r="X4396">
        <v>0.99815309999999902</v>
      </c>
      <c r="Y4396">
        <v>4.1317239999999998E-2</v>
      </c>
      <c r="Z4396">
        <v>1.1871259999999999E-3</v>
      </c>
      <c r="AA4396">
        <v>0.99914539999999996</v>
      </c>
      <c r="AB4396">
        <v>27</v>
      </c>
      <c r="AC4396">
        <v>-37.610199999999899</v>
      </c>
      <c r="AD4396">
        <v>-1.1026921251420001</v>
      </c>
      <c r="AE4396">
        <v>0.80779999999998597</v>
      </c>
      <c r="AF4396">
        <v>1.5638231293410501</v>
      </c>
      <c r="AG4396">
        <v>-1.1026921251420001</v>
      </c>
      <c r="AH4396">
        <v>37.554033243689297</v>
      </c>
      <c r="AI4396">
        <v>91.680426611656898</v>
      </c>
      <c r="AJ4396">
        <v>87.615469746377002</v>
      </c>
      <c r="AK4396">
        <v>37.602751037269002</v>
      </c>
    </row>
    <row r="4397" spans="1:37" x14ac:dyDescent="0.2">
      <c r="A4397" t="str">
        <f>"20200111155637153"</f>
        <v>20200111155637153</v>
      </c>
      <c r="B4397" t="str">
        <f>"1578729397146766"</f>
        <v>1578729397146766</v>
      </c>
      <c r="C4397" t="s">
        <v>37</v>
      </c>
      <c r="D4397">
        <v>4.1973229999999999</v>
      </c>
      <c r="E4397">
        <v>0.53132619999999997</v>
      </c>
      <c r="F4397" t="s">
        <v>38</v>
      </c>
      <c r="G4397">
        <v>-266.88150000000002</v>
      </c>
      <c r="H4397" s="1">
        <v>-2.0318729999999999E-6</v>
      </c>
      <c r="I4397">
        <v>142.2911</v>
      </c>
      <c r="J4397">
        <v>-226.8785</v>
      </c>
      <c r="K4397">
        <v>1.1027819999999999</v>
      </c>
      <c r="L4397">
        <v>141.2841</v>
      </c>
      <c r="M4397">
        <v>-0.99981989999999998</v>
      </c>
      <c r="N4397">
        <v>0</v>
      </c>
      <c r="O4397">
        <v>-1.844968E-2</v>
      </c>
      <c r="P4397">
        <v>-0.99761559999999905</v>
      </c>
      <c r="Q4397">
        <v>4.6314180000000003E-2</v>
      </c>
      <c r="R4397">
        <v>-5.11671E-2</v>
      </c>
      <c r="S4397">
        <v>-3.0155639999999999</v>
      </c>
      <c r="T4397">
        <v>-8.2553269999999998E-2</v>
      </c>
      <c r="U4397">
        <v>7.5119019999999995E-2</v>
      </c>
      <c r="V4397">
        <v>-3.26013E-2</v>
      </c>
      <c r="W4397">
        <v>5.0858779999999999E-2</v>
      </c>
      <c r="X4397">
        <v>0.998173599999999</v>
      </c>
      <c r="Y4397">
        <v>4.331948E-2</v>
      </c>
      <c r="Z4397">
        <v>1.097661E-3</v>
      </c>
      <c r="AA4397">
        <v>0.99906070000000002</v>
      </c>
      <c r="AB4397">
        <v>27</v>
      </c>
      <c r="AC4397">
        <v>-40.003</v>
      </c>
      <c r="AD4397">
        <v>-1.102784031873</v>
      </c>
      <c r="AE4397">
        <v>1.0069999999999999</v>
      </c>
      <c r="AF4397">
        <v>1.7435542347016499</v>
      </c>
      <c r="AG4397">
        <v>-1.102784031873</v>
      </c>
      <c r="AH4397">
        <v>39.947272491353097</v>
      </c>
      <c r="AI4397">
        <v>91.579801849384395</v>
      </c>
      <c r="AJ4397">
        <v>87.500832234141896</v>
      </c>
      <c r="AK4397">
        <v>40.000508665374703</v>
      </c>
    </row>
    <row r="4398" spans="1:37" x14ac:dyDescent="0.2">
      <c r="A4398" t="str">
        <f>"20200111155637175"</f>
        <v>20200111155637175</v>
      </c>
      <c r="B4398" t="str">
        <f>"1578729397166793"</f>
        <v>1578729397166793</v>
      </c>
      <c r="C4398" t="s">
        <v>37</v>
      </c>
      <c r="D4398">
        <v>4.16629</v>
      </c>
      <c r="E4398">
        <v>0.53130759999999999</v>
      </c>
      <c r="F4398" t="s">
        <v>38</v>
      </c>
      <c r="G4398">
        <v>-268.2217</v>
      </c>
      <c r="H4398" s="1">
        <v>-1.4878599999999999E-6</v>
      </c>
      <c r="I4398">
        <v>142.40729999999999</v>
      </c>
      <c r="J4398">
        <v>-227.15129999999999</v>
      </c>
      <c r="K4398">
        <v>1.1028770000000001</v>
      </c>
      <c r="L4398">
        <v>141.2809</v>
      </c>
      <c r="M4398">
        <v>-0.9998454</v>
      </c>
      <c r="N4398">
        <v>0</v>
      </c>
      <c r="O4398">
        <v>-1.678632E-2</v>
      </c>
      <c r="P4398">
        <v>-0.99774739999999995</v>
      </c>
      <c r="Q4398">
        <v>4.5442049999999998E-2</v>
      </c>
      <c r="R4398">
        <v>-4.9350169999999999E-2</v>
      </c>
      <c r="S4398">
        <v>-3.0151059999999998</v>
      </c>
      <c r="T4398">
        <v>-8.0424549999999997E-2</v>
      </c>
      <c r="U4398">
        <v>8.1924440000000001E-2</v>
      </c>
      <c r="V4398">
        <v>-3.2442480000000003E-2</v>
      </c>
      <c r="W4398">
        <v>5.0766399999999899E-2</v>
      </c>
      <c r="X4398">
        <v>0.998183499999999</v>
      </c>
      <c r="Y4398">
        <v>4.3916259999999999E-2</v>
      </c>
      <c r="Z4398">
        <v>1.033106E-3</v>
      </c>
      <c r="AA4398">
        <v>0.99903469999999905</v>
      </c>
      <c r="AB4398">
        <v>27</v>
      </c>
      <c r="AC4398">
        <v>-41.070399999999999</v>
      </c>
      <c r="AD4398">
        <v>-1.10287848786</v>
      </c>
      <c r="AE4398">
        <v>1.1263999999999801</v>
      </c>
      <c r="AF4398">
        <v>1.81436424571747</v>
      </c>
      <c r="AG4398">
        <v>-1.10287848786</v>
      </c>
      <c r="AH4398">
        <v>41.016149994929997</v>
      </c>
      <c r="AI4398">
        <v>91.538744396373701</v>
      </c>
      <c r="AJ4398">
        <v>87.467151651924297</v>
      </c>
      <c r="AK4398">
        <v>41.071070341320699</v>
      </c>
    </row>
    <row r="4399" spans="1:37" x14ac:dyDescent="0.2">
      <c r="A4399" t="str">
        <f>"20200111155637196"</f>
        <v>20200111155637196</v>
      </c>
      <c r="B4399" t="str">
        <f>"1578729397187288"</f>
        <v>1578729397187288</v>
      </c>
      <c r="C4399" t="s">
        <v>37</v>
      </c>
      <c r="D4399">
        <v>4.1134029999999999</v>
      </c>
      <c r="E4399">
        <v>0.53113840000000001</v>
      </c>
      <c r="F4399" t="s">
        <v>38</v>
      </c>
      <c r="G4399">
        <v>-268.46600000000001</v>
      </c>
      <c r="H4399" s="1">
        <v>-1.4022139999999899E-6</v>
      </c>
      <c r="I4399">
        <v>142.4794</v>
      </c>
      <c r="J4399">
        <v>-227.40099999999899</v>
      </c>
      <c r="K4399">
        <v>1.102984</v>
      </c>
      <c r="L4399">
        <v>141.2784</v>
      </c>
      <c r="M4399">
        <v>-0.99986540000000002</v>
      </c>
      <c r="N4399">
        <v>0</v>
      </c>
      <c r="O4399">
        <v>-1.527309E-2</v>
      </c>
      <c r="P4399">
        <v>-0.99790270000000003</v>
      </c>
      <c r="Q4399">
        <v>4.4265980000000003E-2</v>
      </c>
      <c r="R4399">
        <v>-4.7235630000000001E-2</v>
      </c>
      <c r="S4399">
        <v>-3.0147710000000001</v>
      </c>
      <c r="T4399">
        <v>-8.0478069999999999E-2</v>
      </c>
      <c r="U4399">
        <v>8.7463379999999993E-2</v>
      </c>
      <c r="V4399">
        <v>-3.1837709999999998E-2</v>
      </c>
      <c r="W4399">
        <v>5.0349699999999997E-2</v>
      </c>
      <c r="X4399">
        <v>0.99822409999999995</v>
      </c>
      <c r="Y4399">
        <v>4.4241790000000003E-2</v>
      </c>
      <c r="Z4399">
        <v>9.9784760000000004E-4</v>
      </c>
      <c r="AA4399">
        <v>0.99902029999999997</v>
      </c>
      <c r="AB4399">
        <v>27</v>
      </c>
      <c r="AC4399">
        <v>-41.064999999999998</v>
      </c>
      <c r="AD4399">
        <v>-1.102985402214</v>
      </c>
      <c r="AE4399">
        <v>1.2009999999999901</v>
      </c>
      <c r="AF4399">
        <v>1.82674386694062</v>
      </c>
      <c r="AG4399">
        <v>-1.102985402214</v>
      </c>
      <c r="AH4399">
        <v>41.012304342823597</v>
      </c>
      <c r="AI4399">
        <v>91.539016869151197</v>
      </c>
      <c r="AJ4399">
        <v>87.449653662324394</v>
      </c>
      <c r="AK4399">
        <v>41.067781501577201</v>
      </c>
    </row>
    <row r="4400" spans="1:37" x14ac:dyDescent="0.2">
      <c r="A4400" t="str">
        <f>"20200111155637218"</f>
        <v>20200111155637218</v>
      </c>
      <c r="B4400" t="str">
        <f>"1578729397206808"</f>
        <v>1578729397206808</v>
      </c>
      <c r="C4400" t="s">
        <v>37</v>
      </c>
      <c r="D4400">
        <v>4.086544</v>
      </c>
      <c r="E4400">
        <v>0.53099169999999996</v>
      </c>
      <c r="F4400" t="s">
        <v>38</v>
      </c>
      <c r="G4400">
        <v>-266.99979999999999</v>
      </c>
      <c r="H4400" s="1">
        <v>-2.034786E-6</v>
      </c>
      <c r="I4400">
        <v>142.49279999999999</v>
      </c>
      <c r="J4400">
        <v>-227.6652</v>
      </c>
      <c r="K4400">
        <v>1.103097</v>
      </c>
      <c r="L4400">
        <v>141.27610000000001</v>
      </c>
      <c r="M4400">
        <v>-0.99988319999999997</v>
      </c>
      <c r="N4400">
        <v>0</v>
      </c>
      <c r="O4400">
        <v>-1.367603E-2</v>
      </c>
      <c r="P4400">
        <v>-0.99806620000000001</v>
      </c>
      <c r="Q4400">
        <v>4.2579649999999997E-2</v>
      </c>
      <c r="R4400">
        <v>-4.5287920000000002E-2</v>
      </c>
      <c r="S4400">
        <v>-3.014389</v>
      </c>
      <c r="T4400">
        <v>-8.3962919999999996E-2</v>
      </c>
      <c r="U4400">
        <v>9.2452999999999994E-2</v>
      </c>
      <c r="V4400">
        <v>-3.1485869999999999E-2</v>
      </c>
      <c r="W4400">
        <v>4.9494370000000003E-2</v>
      </c>
      <c r="X4400">
        <v>0.998278</v>
      </c>
      <c r="Y4400">
        <v>4.4300730000000003E-2</v>
      </c>
      <c r="Z4400">
        <v>9.9750199999999994E-4</v>
      </c>
      <c r="AA4400">
        <v>0.99901770000000001</v>
      </c>
      <c r="AB4400">
        <v>27</v>
      </c>
      <c r="AC4400">
        <v>-39.334600000000002</v>
      </c>
      <c r="AD4400">
        <v>-1.1030990347859999</v>
      </c>
      <c r="AE4400">
        <v>1.2166999999999699</v>
      </c>
      <c r="AF4400">
        <v>1.75316241538033</v>
      </c>
      <c r="AG4400">
        <v>-1.1030990347859999</v>
      </c>
      <c r="AH4400">
        <v>39.283415684810102</v>
      </c>
      <c r="AI4400">
        <v>91.606874455581902</v>
      </c>
      <c r="AJ4400">
        <v>87.444667252599004</v>
      </c>
      <c r="AK4400">
        <v>39.337986143177602</v>
      </c>
    </row>
    <row r="4401" spans="1:37" x14ac:dyDescent="0.2">
      <c r="A4401" t="str">
        <f>"20200111155637242"</f>
        <v>20200111155637242</v>
      </c>
      <c r="B4401" t="str">
        <f>"1578729397237064"</f>
        <v>1578729397237064</v>
      </c>
      <c r="C4401" t="s">
        <v>37</v>
      </c>
      <c r="D4401">
        <v>4.0634489999999897</v>
      </c>
      <c r="E4401">
        <v>0.53043940000000001</v>
      </c>
      <c r="F4401" t="s">
        <v>38</v>
      </c>
      <c r="G4401">
        <v>-265.58139999999997</v>
      </c>
      <c r="H4401" s="1">
        <v>-2.64568499999999E-6</v>
      </c>
      <c r="I4401">
        <v>142.50190000000001</v>
      </c>
      <c r="J4401">
        <v>-227.94829999999999</v>
      </c>
      <c r="K4401">
        <v>1.1032120000000001</v>
      </c>
      <c r="L4401">
        <v>141.27420000000001</v>
      </c>
      <c r="M4401">
        <v>-0.99989899999999998</v>
      </c>
      <c r="N4401">
        <v>0</v>
      </c>
      <c r="O4401">
        <v>-1.195856E-2</v>
      </c>
      <c r="P4401">
        <v>-0.99820909999999996</v>
      </c>
      <c r="Q4401">
        <v>4.1063389999999998E-2</v>
      </c>
      <c r="R4401">
        <v>-4.3505370000000002E-2</v>
      </c>
      <c r="S4401">
        <v>-3.0139619999999998</v>
      </c>
      <c r="T4401">
        <v>-8.7685470000000001E-2</v>
      </c>
      <c r="U4401">
        <v>9.7442630000000002E-2</v>
      </c>
      <c r="V4401">
        <v>-3.1420240000000002E-2</v>
      </c>
      <c r="W4401">
        <v>4.8839029999999999E-2</v>
      </c>
      <c r="X4401">
        <v>0.99831239999999999</v>
      </c>
      <c r="Y4401">
        <v>4.4240139999999997E-2</v>
      </c>
      <c r="Z4401">
        <v>9.9100519999999995E-4</v>
      </c>
      <c r="AA4401">
        <v>0.99902049999999998</v>
      </c>
      <c r="AB4401">
        <v>27</v>
      </c>
      <c r="AC4401">
        <v>-37.633099999999899</v>
      </c>
      <c r="AD4401">
        <v>-1.1032146456850001</v>
      </c>
      <c r="AE4401">
        <v>1.22769999999999</v>
      </c>
      <c r="AF4401">
        <v>1.6762241989653599</v>
      </c>
      <c r="AG4401">
        <v>-1.1032146456850001</v>
      </c>
      <c r="AH4401">
        <v>37.583463133110797</v>
      </c>
      <c r="AI4401">
        <v>91.679692958232195</v>
      </c>
      <c r="AJ4401">
        <v>87.446297923134296</v>
      </c>
      <c r="AK4401">
        <v>37.636996575145901</v>
      </c>
    </row>
    <row r="4402" spans="1:37" x14ac:dyDescent="0.2">
      <c r="A4402" t="str">
        <f>"20200111155637264"</f>
        <v>20200111155637264</v>
      </c>
      <c r="B4402" t="str">
        <f>"1578729397256586"</f>
        <v>1578729397256586</v>
      </c>
      <c r="C4402" t="s">
        <v>37</v>
      </c>
      <c r="D4402">
        <v>4.0241379999999998</v>
      </c>
      <c r="E4402">
        <v>0.53017840000000005</v>
      </c>
      <c r="F4402" t="s">
        <v>38</v>
      </c>
      <c r="G4402">
        <v>-265.40960000000001</v>
      </c>
      <c r="H4402" s="1">
        <v>-2.7201579999999999E-6</v>
      </c>
      <c r="I4402">
        <v>142.50470000000001</v>
      </c>
      <c r="J4402">
        <v>-228.21680000000001</v>
      </c>
      <c r="K4402">
        <v>1.1032930000000001</v>
      </c>
      <c r="L4402">
        <v>141.27279999999999</v>
      </c>
      <c r="M4402">
        <v>-0.99991109999999905</v>
      </c>
      <c r="N4402">
        <v>0</v>
      </c>
      <c r="O4402">
        <v>-1.0329029999999999E-2</v>
      </c>
      <c r="P4402">
        <v>-0.9983107</v>
      </c>
      <c r="Q4402">
        <v>3.9689620000000002E-2</v>
      </c>
      <c r="R4402">
        <v>-4.2436130000000002E-2</v>
      </c>
      <c r="S4402">
        <v>-3.0133359999999998</v>
      </c>
      <c r="T4402">
        <v>-8.8741180000000003E-2</v>
      </c>
      <c r="U4402">
        <v>9.8983760000000004E-2</v>
      </c>
      <c r="V4402">
        <v>-3.1980069999999999E-2</v>
      </c>
      <c r="W4402">
        <v>4.8217969999999999E-2</v>
      </c>
      <c r="X4402">
        <v>0.99832480000000001</v>
      </c>
      <c r="Y4402">
        <v>4.312978E-2</v>
      </c>
      <c r="Z4402">
        <v>9.3882229999999996E-4</v>
      </c>
      <c r="AA4402">
        <v>0.99906899999999998</v>
      </c>
      <c r="AB4402">
        <v>27</v>
      </c>
      <c r="AC4402">
        <v>-37.192799999999998</v>
      </c>
      <c r="AD4402">
        <v>-1.103295720158</v>
      </c>
      <c r="AE4402">
        <v>1.23190000000002</v>
      </c>
      <c r="AF4402">
        <v>1.61459425219929</v>
      </c>
      <c r="AG4402">
        <v>-1.103295720158</v>
      </c>
      <c r="AH4402">
        <v>37.145440071788499</v>
      </c>
      <c r="AI4402">
        <v>91.699697951396104</v>
      </c>
      <c r="AJ4402">
        <v>87.511101209130899</v>
      </c>
      <c r="AK4402">
        <v>37.196880167188603</v>
      </c>
    </row>
    <row r="4403" spans="1:37" x14ac:dyDescent="0.2">
      <c r="A4403" t="str">
        <f>"20200111155637286"</f>
        <v>20200111155637286</v>
      </c>
      <c r="B4403" t="str">
        <f>"1578729397276612"</f>
        <v>1578729397276612</v>
      </c>
      <c r="C4403" t="s">
        <v>37</v>
      </c>
      <c r="D4403">
        <v>4.0549739999999996</v>
      </c>
      <c r="E4403">
        <v>0.52985459999999995</v>
      </c>
      <c r="F4403" t="s">
        <v>38</v>
      </c>
      <c r="G4403">
        <v>-265.15910000000002</v>
      </c>
      <c r="H4403" s="1">
        <v>-2.8281819999999998E-6</v>
      </c>
      <c r="I4403">
        <v>142.5068</v>
      </c>
      <c r="J4403">
        <v>-228.47290000000001</v>
      </c>
      <c r="K4403">
        <v>1.1033469999999901</v>
      </c>
      <c r="L4403">
        <v>141.27189999999999</v>
      </c>
      <c r="M4403">
        <v>-0.99992009999999898</v>
      </c>
      <c r="N4403">
        <v>0</v>
      </c>
      <c r="O4403">
        <v>-8.780286E-3</v>
      </c>
      <c r="P4403">
        <v>-0.99835869999999904</v>
      </c>
      <c r="Q4403">
        <v>3.8797970000000001E-2</v>
      </c>
      <c r="R4403">
        <v>-4.212776E-2</v>
      </c>
      <c r="S4403">
        <v>-3.0129389999999998</v>
      </c>
      <c r="T4403">
        <v>-8.9982629999999994E-2</v>
      </c>
      <c r="U4403">
        <v>0.100647</v>
      </c>
      <c r="V4403">
        <v>-3.3219079999999998E-2</v>
      </c>
      <c r="W4403">
        <v>4.7980780000000001E-2</v>
      </c>
      <c r="X4403">
        <v>0.99829570000000001</v>
      </c>
      <c r="Y4403">
        <v>4.2138080000000001E-2</v>
      </c>
      <c r="Z4403">
        <v>8.9103269999999996E-4</v>
      </c>
      <c r="AA4403">
        <v>0.99911139999999998</v>
      </c>
      <c r="AB4403">
        <v>27</v>
      </c>
      <c r="AC4403">
        <v>-36.686199999999999</v>
      </c>
      <c r="AD4403">
        <v>-1.10334982818199</v>
      </c>
      <c r="AE4403">
        <v>1.2349000000000101</v>
      </c>
      <c r="AF4403">
        <v>1.5555755764961601</v>
      </c>
      <c r="AG4403">
        <v>-1.10334982818199</v>
      </c>
      <c r="AH4403">
        <v>36.640837424070803</v>
      </c>
      <c r="AI4403">
        <v>91.723250680563098</v>
      </c>
      <c r="AJ4403">
        <v>87.568985010750495</v>
      </c>
      <c r="AK4403">
        <v>36.690436946903901</v>
      </c>
    </row>
    <row r="4404" spans="1:37" x14ac:dyDescent="0.2">
      <c r="A4404" t="str">
        <f>"20200111155637307"</f>
        <v>20200111155637307</v>
      </c>
      <c r="B4404" t="str">
        <f>"1578729397297108"</f>
        <v>1578729397297108</v>
      </c>
      <c r="C4404" t="s">
        <v>37</v>
      </c>
      <c r="D4404">
        <v>4.007269</v>
      </c>
      <c r="E4404">
        <v>0.52956250000000005</v>
      </c>
      <c r="F4404" t="s">
        <v>38</v>
      </c>
      <c r="G4404">
        <v>-265.54289999999997</v>
      </c>
      <c r="H4404" s="1">
        <v>-2.660453E-6</v>
      </c>
      <c r="I4404">
        <v>142.49529999999999</v>
      </c>
      <c r="J4404">
        <v>-228.72890000000001</v>
      </c>
      <c r="K4404">
        <v>1.103394</v>
      </c>
      <c r="L4404">
        <v>141.2714</v>
      </c>
      <c r="M4404">
        <v>-0.99992689999999995</v>
      </c>
      <c r="N4404">
        <v>0</v>
      </c>
      <c r="O4404">
        <v>-7.2397800000000003E-3</v>
      </c>
      <c r="P4404">
        <v>-0.99837199999999904</v>
      </c>
      <c r="Q4404">
        <v>3.8028989999999999E-2</v>
      </c>
      <c r="R4404">
        <v>-4.2512349999999997E-2</v>
      </c>
      <c r="S4404">
        <v>-3.0126189999999999</v>
      </c>
      <c r="T4404">
        <v>-8.9667559999999993E-2</v>
      </c>
      <c r="U4404">
        <v>9.9426269999999997E-2</v>
      </c>
      <c r="V4404">
        <v>-3.5142920000000001E-2</v>
      </c>
      <c r="W4404">
        <v>4.7806939999999999E-2</v>
      </c>
      <c r="X4404">
        <v>0.99823819999999996</v>
      </c>
      <c r="Y4404">
        <v>4.019963E-2</v>
      </c>
      <c r="Z4404">
        <v>8.1334919999999995E-4</v>
      </c>
      <c r="AA4404">
        <v>0.9991913</v>
      </c>
      <c r="AB4404">
        <v>27</v>
      </c>
      <c r="AC4404">
        <v>-36.813999999999901</v>
      </c>
      <c r="AD4404">
        <v>-1.1033966604529999</v>
      </c>
      <c r="AE4404">
        <v>1.22389999999998</v>
      </c>
      <c r="AF4404">
        <v>1.4890694774979301</v>
      </c>
      <c r="AG4404">
        <v>-1.1033966604529999</v>
      </c>
      <c r="AH4404">
        <v>36.771177632753101</v>
      </c>
      <c r="AI4404">
        <v>91.717358115659195</v>
      </c>
      <c r="AJ4404">
        <v>87.681042307485001</v>
      </c>
      <c r="AK4404">
        <v>36.817853231803099</v>
      </c>
    </row>
    <row r="4405" spans="1:37" x14ac:dyDescent="0.2">
      <c r="A4405" t="str">
        <f>"20200111155637330"</f>
        <v>20200111155637330</v>
      </c>
      <c r="B4405" t="str">
        <f>"1578729397327364"</f>
        <v>1578729397327364</v>
      </c>
      <c r="C4405" t="s">
        <v>37</v>
      </c>
      <c r="D4405">
        <v>3.9941680000000002</v>
      </c>
      <c r="E4405">
        <v>0.5290975</v>
      </c>
      <c r="F4405" t="s">
        <v>38</v>
      </c>
      <c r="G4405">
        <v>-265.83260000000001</v>
      </c>
      <c r="H4405" s="1">
        <v>-2.5262850000000001E-6</v>
      </c>
      <c r="I4405">
        <v>142.458</v>
      </c>
      <c r="J4405">
        <v>-228.999</v>
      </c>
      <c r="K4405">
        <v>1.103429</v>
      </c>
      <c r="L4405">
        <v>141.2713</v>
      </c>
      <c r="M4405">
        <v>-0.99993159999999903</v>
      </c>
      <c r="N4405">
        <v>0</v>
      </c>
      <c r="O4405">
        <v>-5.6153269999999998E-3</v>
      </c>
      <c r="P4405">
        <v>-0.99838369999999999</v>
      </c>
      <c r="Q4405">
        <v>3.7199429999999999E-2</v>
      </c>
      <c r="R4405">
        <v>-4.2965980000000001E-2</v>
      </c>
      <c r="S4405">
        <v>-3.0124209999999998</v>
      </c>
      <c r="T4405">
        <v>-8.9583990000000002E-2</v>
      </c>
      <c r="U4405">
        <v>9.6343990000000004E-2</v>
      </c>
      <c r="V4405">
        <v>-3.7220089999999997E-2</v>
      </c>
      <c r="W4405">
        <v>4.7542590000000003E-2</v>
      </c>
      <c r="X4405">
        <v>0.99817549999999899</v>
      </c>
      <c r="Y4405">
        <v>3.7559090000000003E-2</v>
      </c>
      <c r="Z4405">
        <v>7.2512610000000002E-4</v>
      </c>
      <c r="AA4405">
        <v>0.99929419999999902</v>
      </c>
      <c r="AB4405">
        <v>27</v>
      </c>
      <c r="AC4405">
        <v>-36.833599999999898</v>
      </c>
      <c r="AD4405">
        <v>-1.1034315262850001</v>
      </c>
      <c r="AE4405">
        <v>1.1867000000000001</v>
      </c>
      <c r="AF4405">
        <v>1.3922767032113501</v>
      </c>
      <c r="AG4405">
        <v>-1.1034315262850001</v>
      </c>
      <c r="AH4405">
        <v>36.793369781769201</v>
      </c>
      <c r="AI4405">
        <v>91.716555227177395</v>
      </c>
      <c r="AJ4405">
        <v>87.832937367605595</v>
      </c>
      <c r="AK4405">
        <v>36.836232916104599</v>
      </c>
    </row>
    <row r="4406" spans="1:37" x14ac:dyDescent="0.2">
      <c r="A4406" t="str">
        <f>"20200111155637352"</f>
        <v>20200111155637352</v>
      </c>
      <c r="B4406" t="str">
        <f>"1578729397346885"</f>
        <v>1578729397346885</v>
      </c>
      <c r="C4406" t="s">
        <v>37</v>
      </c>
      <c r="D4406">
        <v>4.0202260000000001</v>
      </c>
      <c r="E4406">
        <v>0.52887090000000003</v>
      </c>
      <c r="F4406" t="s">
        <v>38</v>
      </c>
      <c r="G4406">
        <v>-266.04969999999997</v>
      </c>
      <c r="H4406" s="1">
        <v>-2.417027E-6</v>
      </c>
      <c r="I4406">
        <v>142.3974</v>
      </c>
      <c r="J4406">
        <v>-229.27170000000001</v>
      </c>
      <c r="K4406">
        <v>1.1034600000000001</v>
      </c>
      <c r="L4406">
        <v>141.27170000000001</v>
      </c>
      <c r="M4406">
        <v>-0.99993430000000005</v>
      </c>
      <c r="N4406">
        <v>0</v>
      </c>
      <c r="O4406">
        <v>-3.9706949999999998E-3</v>
      </c>
      <c r="P4406">
        <v>-0.99843139999999997</v>
      </c>
      <c r="Q4406">
        <v>3.5491370000000001E-2</v>
      </c>
      <c r="R4406">
        <v>-4.3302140000000003E-2</v>
      </c>
      <c r="S4406">
        <v>-3.0121310000000001</v>
      </c>
      <c r="T4406">
        <v>-8.9706419999999995E-2</v>
      </c>
      <c r="U4406">
        <v>9.1552729999999999E-2</v>
      </c>
      <c r="V4406">
        <v>-3.9203200000000001E-2</v>
      </c>
      <c r="W4406">
        <v>4.634038E-2</v>
      </c>
      <c r="X4406">
        <v>0.99815609999999999</v>
      </c>
      <c r="Y4406">
        <v>3.4332540000000002E-2</v>
      </c>
      <c r="Z4406">
        <v>6.2921889999999995E-4</v>
      </c>
      <c r="AA4406">
        <v>0.99941029999999997</v>
      </c>
      <c r="AB4406">
        <v>27</v>
      </c>
      <c r="AC4406">
        <v>-36.777999999999899</v>
      </c>
      <c r="AD4406">
        <v>-1.103462417027</v>
      </c>
      <c r="AE4406">
        <v>1.1256999999999899</v>
      </c>
      <c r="AF4406">
        <v>1.2705910739839701</v>
      </c>
      <c r="AG4406">
        <v>-1.103462417027</v>
      </c>
      <c r="AH4406">
        <v>36.740197407158497</v>
      </c>
      <c r="AI4406">
        <v>91.719288518423397</v>
      </c>
      <c r="AJ4406">
        <v>88.019321903402897</v>
      </c>
      <c r="AK4406">
        <v>36.778718527159903</v>
      </c>
    </row>
    <row r="4407" spans="1:37" x14ac:dyDescent="0.2">
      <c r="A4407" t="str">
        <f>"20200111155637376"</f>
        <v>20200111155637376</v>
      </c>
      <c r="B4407" t="str">
        <f>"1578729397366910"</f>
        <v>1578729397366910</v>
      </c>
      <c r="C4407" t="s">
        <v>37</v>
      </c>
      <c r="D4407">
        <v>3.98996</v>
      </c>
      <c r="E4407">
        <v>0.52874580000000004</v>
      </c>
      <c r="F4407" t="s">
        <v>38</v>
      </c>
      <c r="G4407">
        <v>-265.0609</v>
      </c>
      <c r="H4407" s="1">
        <v>-2.8230549999999999E-6</v>
      </c>
      <c r="I4407">
        <v>142.32919999999999</v>
      </c>
      <c r="J4407">
        <v>-229.54040000000001</v>
      </c>
      <c r="K4407">
        <v>1.1034790000000001</v>
      </c>
      <c r="L4407">
        <v>141.27250000000001</v>
      </c>
      <c r="M4407">
        <v>-0.99993469999999995</v>
      </c>
      <c r="N4407">
        <v>0</v>
      </c>
      <c r="O4407">
        <v>-2.3457270000000001E-3</v>
      </c>
      <c r="P4407">
        <v>-0.998482599999999</v>
      </c>
      <c r="Q4407">
        <v>3.3952530000000002E-2</v>
      </c>
      <c r="R4407">
        <v>-4.3358670000000002E-2</v>
      </c>
      <c r="S4407">
        <v>-3.01187099999999</v>
      </c>
      <c r="T4407">
        <v>-9.2863080000000001E-2</v>
      </c>
      <c r="U4407">
        <v>8.9004520000000004E-2</v>
      </c>
      <c r="V4407">
        <v>-4.08863E-2</v>
      </c>
      <c r="W4407">
        <v>4.523957E-2</v>
      </c>
      <c r="X4407">
        <v>0.99813909999999995</v>
      </c>
      <c r="Y4407">
        <v>3.1866869999999999E-2</v>
      </c>
      <c r="Z4407">
        <v>5.6333800000000003E-4</v>
      </c>
      <c r="AA4407">
        <v>0.99949200000000005</v>
      </c>
      <c r="AB4407">
        <v>26</v>
      </c>
      <c r="AC4407">
        <v>-35.520499999999998</v>
      </c>
      <c r="AD4407">
        <v>-1.1034818230550001</v>
      </c>
      <c r="AE4407">
        <v>1.05669999999997</v>
      </c>
      <c r="AF4407">
        <v>1.1389254954329999</v>
      </c>
      <c r="AG4407">
        <v>-1.1034818230550001</v>
      </c>
      <c r="AH4407">
        <v>35.4837083388012</v>
      </c>
      <c r="AI4407">
        <v>91.780309133181007</v>
      </c>
      <c r="AJ4407">
        <v>88.161600587684106</v>
      </c>
      <c r="AK4407">
        <v>35.519126972535098</v>
      </c>
    </row>
    <row r="4408" spans="1:37" x14ac:dyDescent="0.2">
      <c r="A4408" t="str">
        <f>"20200111155637397"</f>
        <v>20200111155637397</v>
      </c>
      <c r="B4408" t="str">
        <f>"1578729397387407"</f>
        <v>1578729397387407</v>
      </c>
      <c r="C4408" t="s">
        <v>37</v>
      </c>
      <c r="D4408">
        <v>3.9737680000000002</v>
      </c>
      <c r="E4408">
        <v>0.528698</v>
      </c>
      <c r="F4408" t="s">
        <v>38</v>
      </c>
      <c r="G4408">
        <v>-264.46069999999997</v>
      </c>
      <c r="H4408" s="1">
        <v>-3.0714969999999999E-6</v>
      </c>
      <c r="I4408">
        <v>142.29519999999999</v>
      </c>
      <c r="J4408">
        <v>-229.79300000000001</v>
      </c>
      <c r="K4408">
        <v>1.103505</v>
      </c>
      <c r="L4408">
        <v>141.27359999999999</v>
      </c>
      <c r="M4408">
        <v>-0.99993299999999996</v>
      </c>
      <c r="N4408">
        <v>0</v>
      </c>
      <c r="O4408">
        <v>-8.174473E-4</v>
      </c>
      <c r="P4408">
        <v>-0.9985115</v>
      </c>
      <c r="Q4408">
        <v>3.254083E-2</v>
      </c>
      <c r="R4408">
        <v>-4.3772650000000003E-2</v>
      </c>
      <c r="S4408">
        <v>-3.011612</v>
      </c>
      <c r="T4408">
        <v>-9.5167160000000001E-2</v>
      </c>
      <c r="U4408">
        <v>8.8211059999999994E-2</v>
      </c>
      <c r="V4408">
        <v>-4.283058E-2</v>
      </c>
      <c r="W4408">
        <v>4.418967E-2</v>
      </c>
      <c r="X4408">
        <v>0.99810460000000001</v>
      </c>
      <c r="Y4408">
        <v>3.007949E-2</v>
      </c>
      <c r="Z4408">
        <v>5.0085780000000001E-4</v>
      </c>
      <c r="AA4408">
        <v>0.99954739999999997</v>
      </c>
      <c r="AB4408">
        <v>26</v>
      </c>
      <c r="AC4408">
        <v>-34.667699999999897</v>
      </c>
      <c r="AD4408">
        <v>-1.103508071497</v>
      </c>
      <c r="AE4408">
        <v>1.0216000000000001</v>
      </c>
      <c r="AF4408">
        <v>1.0488787497129499</v>
      </c>
      <c r="AG4408">
        <v>-1.103508071497</v>
      </c>
      <c r="AH4408">
        <v>34.631794298812999</v>
      </c>
      <c r="AI4408">
        <v>91.824220271955298</v>
      </c>
      <c r="AJ4408">
        <v>88.265236846477507</v>
      </c>
      <c r="AK4408">
        <v>34.665242723090103</v>
      </c>
    </row>
    <row r="4409" spans="1:37" x14ac:dyDescent="0.2">
      <c r="A4409" t="str">
        <f>"20200111155637411"</f>
        <v>20200111155637411</v>
      </c>
      <c r="B4409" t="str">
        <f>"1578729397406928"</f>
        <v>1578729397406928</v>
      </c>
      <c r="C4409" t="s">
        <v>37</v>
      </c>
      <c r="D4409">
        <v>4.0891519999999897</v>
      </c>
      <c r="E4409">
        <v>0.52859040000000002</v>
      </c>
      <c r="F4409" t="s">
        <v>38</v>
      </c>
      <c r="G4409">
        <v>-263.86439999999999</v>
      </c>
      <c r="H4409" s="1">
        <v>-3.3170670000000001E-6</v>
      </c>
      <c r="I4409">
        <v>142.2569</v>
      </c>
      <c r="J4409">
        <v>-229.96780000000001</v>
      </c>
      <c r="K4409">
        <v>1.103521</v>
      </c>
      <c r="L4409">
        <v>141.27459999999999</v>
      </c>
      <c r="M4409">
        <v>-0.99993069999999895</v>
      </c>
      <c r="N4409">
        <v>0</v>
      </c>
      <c r="O4409">
        <v>2.3870609999999999E-4</v>
      </c>
      <c r="P4409">
        <v>-0.99855059999999995</v>
      </c>
      <c r="Q4409">
        <v>3.1643770000000002E-2</v>
      </c>
      <c r="R4409">
        <v>-4.3537369999999999E-2</v>
      </c>
      <c r="S4409">
        <v>-3.0114749999999999</v>
      </c>
      <c r="T4409">
        <v>-9.753597E-2</v>
      </c>
      <c r="U4409">
        <v>8.6914060000000001E-2</v>
      </c>
      <c r="V4409">
        <v>-4.3651889999999999E-2</v>
      </c>
      <c r="W4409">
        <v>4.3513199999999898E-2</v>
      </c>
      <c r="X4409">
        <v>0.99809869999999901</v>
      </c>
      <c r="Y4409">
        <v>2.8595470000000001E-2</v>
      </c>
      <c r="Z4409">
        <v>4.5513079999999999E-4</v>
      </c>
      <c r="AA4409">
        <v>0.99959089999999995</v>
      </c>
      <c r="AB4409">
        <v>26</v>
      </c>
      <c r="AC4409">
        <v>-33.8965999999999</v>
      </c>
      <c r="AD4409">
        <v>-1.1035243170669999</v>
      </c>
      <c r="AE4409">
        <v>0.98230000000000905</v>
      </c>
      <c r="AF4409">
        <v>0.97317751262955798</v>
      </c>
      <c r="AG4409">
        <v>-1.1035243170669999</v>
      </c>
      <c r="AH4409">
        <v>33.860975500553401</v>
      </c>
      <c r="AI4409">
        <v>91.865830662062294</v>
      </c>
      <c r="AJ4409">
        <v>88.353750342765196</v>
      </c>
      <c r="AK4409">
        <v>33.892927023768898</v>
      </c>
    </row>
    <row r="4410" spans="1:37" x14ac:dyDescent="0.2">
      <c r="A4410" t="str">
        <f>"20200111155637432"</f>
        <v>20200111155637432</v>
      </c>
      <c r="B4410" t="str">
        <f>"1578729397427423"</f>
        <v>1578729397427423</v>
      </c>
      <c r="C4410" t="s">
        <v>37</v>
      </c>
      <c r="D4410">
        <v>3.9867169999999899</v>
      </c>
      <c r="E4410">
        <v>0.52854290000000004</v>
      </c>
      <c r="F4410" t="s">
        <v>38</v>
      </c>
      <c r="G4410">
        <v>-263.93970000000002</v>
      </c>
      <c r="H4410" s="1">
        <v>-3.28467399999999E-6</v>
      </c>
      <c r="I4410">
        <v>142.25649999999999</v>
      </c>
      <c r="J4410">
        <v>-230.19110000000001</v>
      </c>
      <c r="K4410">
        <v>1.1035429999999999</v>
      </c>
      <c r="L4410">
        <v>141.27619999999999</v>
      </c>
      <c r="M4410">
        <v>-0.99992649999999905</v>
      </c>
      <c r="N4410">
        <v>0</v>
      </c>
      <c r="O4410">
        <v>1.586526E-3</v>
      </c>
      <c r="P4410">
        <v>-0.9985501</v>
      </c>
      <c r="Q4410">
        <v>3.0931050000000002E-2</v>
      </c>
      <c r="R4410">
        <v>-4.405713E-2</v>
      </c>
      <c r="S4410">
        <v>-3.0112459999999999</v>
      </c>
      <c r="T4410">
        <v>-9.7815630000000001E-2</v>
      </c>
      <c r="U4410">
        <v>8.7036130000000003E-2</v>
      </c>
      <c r="V4410">
        <v>-4.5519799999999999E-2</v>
      </c>
      <c r="W4410">
        <v>4.3059210000000001E-2</v>
      </c>
      <c r="X4410">
        <v>0.99803500000000001</v>
      </c>
      <c r="Y4410">
        <v>2.7292070000000002E-2</v>
      </c>
      <c r="Z4410">
        <v>3.9154599999999999E-4</v>
      </c>
      <c r="AA4410">
        <v>0.99962739999999894</v>
      </c>
      <c r="AB4410">
        <v>26</v>
      </c>
      <c r="AC4410">
        <v>-33.748600000000003</v>
      </c>
      <c r="AD4410">
        <v>-1.1035462846739901</v>
      </c>
      <c r="AE4410">
        <v>0.98029999999999895</v>
      </c>
      <c r="AF4410">
        <v>0.92576285101011102</v>
      </c>
      <c r="AG4410">
        <v>-1.1035462846739901</v>
      </c>
      <c r="AH4410">
        <v>33.714095300045798</v>
      </c>
      <c r="AI4410">
        <v>91.874058274838106</v>
      </c>
      <c r="AJ4410">
        <v>88.427097678516006</v>
      </c>
      <c r="AK4410">
        <v>33.744852543155403</v>
      </c>
    </row>
    <row r="4411" spans="1:37" x14ac:dyDescent="0.2">
      <c r="A4411" t="str">
        <f>"20200111155637455"</f>
        <v>20200111155637455</v>
      </c>
      <c r="B4411" t="str">
        <f>"1578729397446943"</f>
        <v>1578729397446943</v>
      </c>
      <c r="C4411" t="s">
        <v>37</v>
      </c>
      <c r="D4411">
        <v>3.9673470000000002</v>
      </c>
      <c r="E4411">
        <v>0.52847449999999996</v>
      </c>
      <c r="F4411" t="s">
        <v>38</v>
      </c>
      <c r="G4411">
        <v>-264.18970000000002</v>
      </c>
      <c r="H4411" s="1">
        <v>-3.17374E-6</v>
      </c>
      <c r="I4411">
        <v>142.24260000000001</v>
      </c>
      <c r="J4411">
        <v>-230.47370000000001</v>
      </c>
      <c r="K4411">
        <v>1.1035649999999999</v>
      </c>
      <c r="L4411">
        <v>141.27860000000001</v>
      </c>
      <c r="M4411">
        <v>-0.99991890000000005</v>
      </c>
      <c r="N4411">
        <v>0</v>
      </c>
      <c r="O4411">
        <v>3.2893929999999998E-3</v>
      </c>
      <c r="P4411">
        <v>-0.99853499999999995</v>
      </c>
      <c r="Q4411">
        <v>2.9784809999999998E-2</v>
      </c>
      <c r="R4411">
        <v>-4.5176679999999997E-2</v>
      </c>
      <c r="S4411">
        <v>-3.0111539999999999</v>
      </c>
      <c r="T4411">
        <v>-9.7737790000000005E-2</v>
      </c>
      <c r="U4411">
        <v>8.560181E-2</v>
      </c>
      <c r="V4411">
        <v>-4.8342509999999998E-2</v>
      </c>
      <c r="W4411">
        <v>4.2202160000000002E-2</v>
      </c>
      <c r="X4411">
        <v>0.99793889999999996</v>
      </c>
      <c r="Y4411">
        <v>2.5116800000000002E-2</v>
      </c>
      <c r="Z4411">
        <v>3.0071230000000001E-4</v>
      </c>
      <c r="AA4411">
        <v>0.99968449999999998</v>
      </c>
      <c r="AB4411">
        <v>26</v>
      </c>
      <c r="AC4411">
        <v>-33.716000000000001</v>
      </c>
      <c r="AD4411">
        <v>-1.1035681737399901</v>
      </c>
      <c r="AE4411">
        <v>0.96399999999999797</v>
      </c>
      <c r="AF4411">
        <v>0.85216899977364002</v>
      </c>
      <c r="AG4411">
        <v>-1.1035681737399901</v>
      </c>
      <c r="AH4411">
        <v>33.6829324736008</v>
      </c>
      <c r="AI4411">
        <v>91.875934772347506</v>
      </c>
      <c r="AJ4411">
        <v>88.550741573065906</v>
      </c>
      <c r="AK4411">
        <v>33.711778279103299</v>
      </c>
    </row>
    <row r="4412" spans="1:37" x14ac:dyDescent="0.2">
      <c r="A4412" t="str">
        <f>"20200111155637477"</f>
        <v>20200111155637477</v>
      </c>
      <c r="B4412" t="str">
        <f>"1578729397466972"</f>
        <v>1578729397466972</v>
      </c>
      <c r="C4412" t="s">
        <v>37</v>
      </c>
      <c r="D4412">
        <v>3.98270199999999</v>
      </c>
      <c r="E4412">
        <v>0.52702959999999999</v>
      </c>
      <c r="F4412" t="s">
        <v>38</v>
      </c>
      <c r="G4412">
        <v>-263.78140000000002</v>
      </c>
      <c r="H4412" s="1">
        <v>-3.3340269999999999E-6</v>
      </c>
      <c r="I4412">
        <v>142.1867</v>
      </c>
      <c r="J4412">
        <v>-230.73820000000001</v>
      </c>
      <c r="K4412">
        <v>1.103585</v>
      </c>
      <c r="L4412">
        <v>141.28120000000001</v>
      </c>
      <c r="M4412">
        <v>-0.99990959999999995</v>
      </c>
      <c r="N4412">
        <v>0</v>
      </c>
      <c r="O4412">
        <v>4.8812129999999997E-3</v>
      </c>
      <c r="P4412">
        <v>-0.99854690000000002</v>
      </c>
      <c r="Q4412">
        <v>2.946754E-2</v>
      </c>
      <c r="R4412">
        <v>-4.5121990000000001E-2</v>
      </c>
      <c r="S4412">
        <v>-3.0110929999999998</v>
      </c>
      <c r="T4412">
        <v>-9.9765060000000003E-2</v>
      </c>
      <c r="U4412">
        <v>8.2107540000000007E-2</v>
      </c>
      <c r="V4412">
        <v>-4.9878220000000001E-2</v>
      </c>
      <c r="W4412">
        <v>4.2116880000000002E-2</v>
      </c>
      <c r="X4412">
        <v>0.9978669</v>
      </c>
      <c r="Y4412">
        <v>2.2368519999999999E-2</v>
      </c>
      <c r="Z4412">
        <v>2.0873029999999901E-4</v>
      </c>
      <c r="AA4412">
        <v>0.99974979999999902</v>
      </c>
      <c r="AB4412">
        <v>26</v>
      </c>
      <c r="AC4412">
        <v>-33.043199999999999</v>
      </c>
      <c r="AD4412">
        <v>-1.1035883340270001</v>
      </c>
      <c r="AE4412">
        <v>0.90549999999998898</v>
      </c>
      <c r="AF4412">
        <v>0.74335709818908702</v>
      </c>
      <c r="AG4412">
        <v>-1.1035883340270001</v>
      </c>
      <c r="AH4412">
        <v>33.010432725628398</v>
      </c>
      <c r="AI4412">
        <v>91.914285855266897</v>
      </c>
      <c r="AJ4412">
        <v>88.709982761453702</v>
      </c>
      <c r="AK4412">
        <v>33.0372389239729</v>
      </c>
    </row>
    <row r="4413" spans="1:37" x14ac:dyDescent="0.2">
      <c r="A4413" t="str">
        <f>"20200111155637498"</f>
        <v>20200111155637498</v>
      </c>
      <c r="B4413" t="str">
        <f>"1578729397487468"</f>
        <v>1578729397487468</v>
      </c>
      <c r="C4413" t="s">
        <v>37</v>
      </c>
      <c r="D4413">
        <v>3.9544570000000001</v>
      </c>
      <c r="E4413">
        <v>0.52643530000000005</v>
      </c>
      <c r="F4413" t="s">
        <v>72</v>
      </c>
      <c r="G4413">
        <v>-318.95440000000002</v>
      </c>
      <c r="H4413" s="1">
        <v>-6.8448889999999901E-6</v>
      </c>
      <c r="I4413">
        <v>143.4537</v>
      </c>
      <c r="J4413">
        <v>-230.982</v>
      </c>
      <c r="K4413">
        <v>1.103607</v>
      </c>
      <c r="L4413">
        <v>141.2841</v>
      </c>
      <c r="M4413">
        <v>-0.99989910000000004</v>
      </c>
      <c r="N4413">
        <v>0</v>
      </c>
      <c r="O4413">
        <v>6.3464619999999998E-3</v>
      </c>
      <c r="P4413">
        <v>-0.99855049999999901</v>
      </c>
      <c r="Q4413">
        <v>2.944476E-2</v>
      </c>
      <c r="R4413">
        <v>-4.505613E-2</v>
      </c>
      <c r="S4413">
        <v>-3.0088200000000001</v>
      </c>
      <c r="T4413">
        <v>-3.7640569999999998E-2</v>
      </c>
      <c r="U4413">
        <v>7.4096679999999998E-2</v>
      </c>
      <c r="V4413">
        <v>-5.1275769999999998E-2</v>
      </c>
      <c r="W4413">
        <v>4.2279339999999999E-2</v>
      </c>
      <c r="X4413">
        <v>0.99778919999999904</v>
      </c>
      <c r="Y4413">
        <v>1.8272549999999999E-2</v>
      </c>
      <c r="Z4413" s="1">
        <v>3.4889669999999997E-5</v>
      </c>
      <c r="AA4413">
        <v>0.99983299999999997</v>
      </c>
      <c r="AB4413">
        <v>26</v>
      </c>
      <c r="AC4413">
        <v>-87.972399999999993</v>
      </c>
      <c r="AD4413">
        <v>-1.1036138448890001</v>
      </c>
      <c r="AE4413">
        <v>2.1696</v>
      </c>
      <c r="AF4413">
        <v>1.61094434148052</v>
      </c>
      <c r="AG4413">
        <v>-1.1036138448890001</v>
      </c>
      <c r="AH4413">
        <v>87.970562302283099</v>
      </c>
      <c r="AI4413">
        <v>90.718632450045007</v>
      </c>
      <c r="AJ4413">
        <v>88.950899095045401</v>
      </c>
      <c r="AK4413">
        <v>87.9922322535907</v>
      </c>
    </row>
    <row r="4414" spans="1:37" x14ac:dyDescent="0.2">
      <c r="A4414" t="str">
        <f>"20200111155637520"</f>
        <v>20200111155637520</v>
      </c>
      <c r="B4414" t="str">
        <f>"1578729397517723"</f>
        <v>1578729397517723</v>
      </c>
      <c r="C4414" t="s">
        <v>37</v>
      </c>
      <c r="D4414">
        <v>3.9441389999999998</v>
      </c>
      <c r="E4414">
        <v>0.52627449999999998</v>
      </c>
      <c r="F4414" t="s">
        <v>72</v>
      </c>
      <c r="G4414">
        <v>-304.70429999999999</v>
      </c>
      <c r="H4414" s="1">
        <v>-9.7336630000000001E-6</v>
      </c>
      <c r="I4414">
        <v>142.98330000000001</v>
      </c>
      <c r="J4414">
        <v>-231.2413</v>
      </c>
      <c r="K4414">
        <v>1.1036330000000001</v>
      </c>
      <c r="L4414">
        <v>141.28749999999999</v>
      </c>
      <c r="M4414">
        <v>-0.99988589999999999</v>
      </c>
      <c r="N4414">
        <v>0</v>
      </c>
      <c r="O4414">
        <v>7.9011540000000005E-3</v>
      </c>
      <c r="P4414">
        <v>-0.99853570000000003</v>
      </c>
      <c r="Q4414">
        <v>3.007025E-2</v>
      </c>
      <c r="R4414">
        <v>-4.4973630000000001E-2</v>
      </c>
      <c r="S4414">
        <v>-3.0088200000000001</v>
      </c>
      <c r="T4414">
        <v>-4.50418E-2</v>
      </c>
      <c r="U4414">
        <v>6.9351199999999905E-2</v>
      </c>
      <c r="V4414">
        <v>-5.2743140000000001E-2</v>
      </c>
      <c r="W4414">
        <v>4.3075410000000001E-2</v>
      </c>
      <c r="X4414">
        <v>0.99767859999999997</v>
      </c>
      <c r="Y4414">
        <v>1.514194E-2</v>
      </c>
      <c r="Z4414" s="1">
        <v>-4.9480659999999996E-6</v>
      </c>
      <c r="AA4414">
        <v>0.99988539999999904</v>
      </c>
      <c r="AB4414">
        <v>26</v>
      </c>
      <c r="AC4414">
        <v>-73.462999999999994</v>
      </c>
      <c r="AD4414">
        <v>-1.1036427336629999</v>
      </c>
      <c r="AE4414">
        <v>1.69580000000001</v>
      </c>
      <c r="AF4414">
        <v>1.1150049527836901</v>
      </c>
      <c r="AG4414">
        <v>-1.1036427336629999</v>
      </c>
      <c r="AH4414">
        <v>73.457536305302398</v>
      </c>
      <c r="AI4414">
        <v>90.860660934595899</v>
      </c>
      <c r="AJ4414">
        <v>89.130379597984202</v>
      </c>
      <c r="AK4414">
        <v>73.474287362131804</v>
      </c>
    </row>
    <row r="4415" spans="1:37" x14ac:dyDescent="0.2">
      <c r="A4415" t="str">
        <f>"20200111155637544"</f>
        <v>20200111155637544</v>
      </c>
      <c r="B4415" t="str">
        <f>"1578729397537244"</f>
        <v>1578729397537244</v>
      </c>
      <c r="C4415" t="s">
        <v>37</v>
      </c>
      <c r="D4415">
        <v>3.9909249999999998</v>
      </c>
      <c r="E4415">
        <v>0.52654639999999997</v>
      </c>
      <c r="F4415" t="s">
        <v>72</v>
      </c>
      <c r="G4415">
        <v>-310.45209999999997</v>
      </c>
      <c r="H4415" s="1">
        <v>-1.0300739999999901E-5</v>
      </c>
      <c r="I4415">
        <v>143.09039999999999</v>
      </c>
      <c r="J4415">
        <v>-231.51570000000001</v>
      </c>
      <c r="K4415">
        <v>1.103664</v>
      </c>
      <c r="L4415">
        <v>141.29150000000001</v>
      </c>
      <c r="M4415">
        <v>-0.99986949999999997</v>
      </c>
      <c r="N4415">
        <v>0</v>
      </c>
      <c r="O4415">
        <v>9.5390860000000004E-3</v>
      </c>
      <c r="P4415">
        <v>-0.99854769999999904</v>
      </c>
      <c r="Q4415">
        <v>3.0828870000000001E-2</v>
      </c>
      <c r="R4415">
        <v>-4.418093E-2</v>
      </c>
      <c r="S4415">
        <v>-3.008759</v>
      </c>
      <c r="T4415">
        <v>-4.1921020000000003E-2</v>
      </c>
      <c r="U4415">
        <v>6.8481449999999999E-2</v>
      </c>
      <c r="V4415">
        <v>-5.3584470000000002E-2</v>
      </c>
      <c r="W4415">
        <v>4.3987690000000003E-2</v>
      </c>
      <c r="X4415">
        <v>0.99759399999999998</v>
      </c>
      <c r="Y4415">
        <v>1.321599E-2</v>
      </c>
      <c r="Z4415" s="1">
        <v>-4.0837819999999999E-5</v>
      </c>
      <c r="AA4415">
        <v>0.99991269999999999</v>
      </c>
      <c r="AB4415">
        <v>26</v>
      </c>
      <c r="AC4415">
        <v>-78.936399999999907</v>
      </c>
      <c r="AD4415">
        <v>-1.1036743007400001</v>
      </c>
      <c r="AE4415">
        <v>1.79889999999997</v>
      </c>
      <c r="AF4415">
        <v>1.04556873065852</v>
      </c>
      <c r="AG4415">
        <v>-1.1036743007400001</v>
      </c>
      <c r="AH4415">
        <v>78.934546252576695</v>
      </c>
      <c r="AI4415">
        <v>90.800995460376598</v>
      </c>
      <c r="AJ4415">
        <v>89.241103230632106</v>
      </c>
      <c r="AK4415">
        <v>78.949185575487803</v>
      </c>
    </row>
    <row r="4416" spans="1:37" x14ac:dyDescent="0.2">
      <c r="A4416" t="str">
        <f>"20200111155637565"</f>
        <v>20200111155637565</v>
      </c>
      <c r="B4416" t="str">
        <f>"1578729397557740"</f>
        <v>1578729397557740</v>
      </c>
      <c r="C4416" t="s">
        <v>37</v>
      </c>
      <c r="D4416">
        <v>3.9724469999999998</v>
      </c>
      <c r="E4416">
        <v>0.52662659999999994</v>
      </c>
      <c r="F4416" t="s">
        <v>72</v>
      </c>
      <c r="G4416">
        <v>-315.01839999999999</v>
      </c>
      <c r="H4416" s="1">
        <v>-8.5538399999999903E-6</v>
      </c>
      <c r="I4416">
        <v>143.31530000000001</v>
      </c>
      <c r="J4416">
        <v>-231.7731</v>
      </c>
      <c r="K4416">
        <v>1.103696</v>
      </c>
      <c r="L4416">
        <v>141.29570000000001</v>
      </c>
      <c r="M4416">
        <v>-0.99985219999999897</v>
      </c>
      <c r="N4416">
        <v>0</v>
      </c>
      <c r="O4416">
        <v>1.106933E-2</v>
      </c>
      <c r="P4416">
        <v>-0.99851540000000005</v>
      </c>
      <c r="Q4416">
        <v>3.200952E-2</v>
      </c>
      <c r="R4416">
        <v>-4.4074349999999998E-2</v>
      </c>
      <c r="S4416">
        <v>-3.008804</v>
      </c>
      <c r="T4416">
        <v>-3.9767980000000001E-2</v>
      </c>
      <c r="U4416">
        <v>7.2921749999999994E-2</v>
      </c>
      <c r="V4416">
        <v>-5.5002080000000002E-2</v>
      </c>
      <c r="W4416">
        <v>4.5293399999999998E-2</v>
      </c>
      <c r="X4416">
        <v>0.99745839999999997</v>
      </c>
      <c r="Y4416">
        <v>1.316031E-2</v>
      </c>
      <c r="Z4416" s="1">
        <v>-5.9328540000000002E-5</v>
      </c>
      <c r="AA4416">
        <v>0.99991339999999995</v>
      </c>
      <c r="AB4416">
        <v>26</v>
      </c>
      <c r="AC4416">
        <v>-83.245299999999901</v>
      </c>
      <c r="AD4416">
        <v>-1.1037045538400001</v>
      </c>
      <c r="AE4416">
        <v>2.0195999999999898</v>
      </c>
      <c r="AF4416">
        <v>1.09773395403751</v>
      </c>
      <c r="AG4416">
        <v>-1.1037045538400001</v>
      </c>
      <c r="AH4416">
        <v>83.247931210420006</v>
      </c>
      <c r="AI4416">
        <v>90.759519316082205</v>
      </c>
      <c r="AJ4416">
        <v>89.244523237328494</v>
      </c>
      <c r="AK4416">
        <v>83.262483955205397</v>
      </c>
    </row>
    <row r="4417" spans="1:37" x14ac:dyDescent="0.2">
      <c r="A4417" t="str">
        <f>"20200111155637587"</f>
        <v>20200111155637587</v>
      </c>
      <c r="B4417" t="str">
        <f>"1578729397577260"</f>
        <v>1578729397577260</v>
      </c>
      <c r="C4417" t="s">
        <v>37</v>
      </c>
      <c r="D4417">
        <v>4.046678</v>
      </c>
      <c r="E4417">
        <v>0.52682039999999997</v>
      </c>
      <c r="F4417" t="s">
        <v>72</v>
      </c>
      <c r="G4417">
        <v>-314.63130000000001</v>
      </c>
      <c r="H4417" s="1">
        <v>-8.7082230000000003E-6</v>
      </c>
      <c r="I4417">
        <v>143.33269999999999</v>
      </c>
      <c r="J4417">
        <v>-232.03309999999999</v>
      </c>
      <c r="K4417">
        <v>1.103726</v>
      </c>
      <c r="L4417">
        <v>141.3004</v>
      </c>
      <c r="M4417">
        <v>-0.99983250000000001</v>
      </c>
      <c r="N4417">
        <v>0</v>
      </c>
      <c r="O4417">
        <v>1.260462E-2</v>
      </c>
      <c r="P4417">
        <v>-0.99849690000000002</v>
      </c>
      <c r="Q4417">
        <v>3.2819250000000001E-2</v>
      </c>
      <c r="R4417">
        <v>-4.3895499999999997E-2</v>
      </c>
      <c r="S4417">
        <v>-3.0090029999999999</v>
      </c>
      <c r="T4417">
        <v>-4.0081140000000001E-2</v>
      </c>
      <c r="U4417">
        <v>7.3974609999999996E-2</v>
      </c>
      <c r="V4417">
        <v>-5.635424E-2</v>
      </c>
      <c r="W4417">
        <v>4.6212250000000003E-2</v>
      </c>
      <c r="X4417">
        <v>0.99734080000000003</v>
      </c>
      <c r="Y4417">
        <v>1.197318E-2</v>
      </c>
      <c r="Z4417" s="1">
        <v>-8.8142589999999998E-5</v>
      </c>
      <c r="AA4417">
        <v>0.99992829999999999</v>
      </c>
      <c r="AB4417">
        <v>26</v>
      </c>
      <c r="AC4417">
        <v>-82.598200000000006</v>
      </c>
      <c r="AD4417">
        <v>-1.103734708223</v>
      </c>
      <c r="AE4417">
        <v>2.03229999999999</v>
      </c>
      <c r="AF4417">
        <v>0.99075111574358699</v>
      </c>
      <c r="AG4417">
        <v>-1.103734708223</v>
      </c>
      <c r="AH4417">
        <v>82.6025150354522</v>
      </c>
      <c r="AI4417">
        <v>90.765485526464204</v>
      </c>
      <c r="AJ4417">
        <v>89.312815892318298</v>
      </c>
      <c r="AK4417">
        <v>82.615829646996701</v>
      </c>
    </row>
    <row r="4418" spans="1:37" x14ac:dyDescent="0.2">
      <c r="A4418" t="str">
        <f>"20200111155637610"</f>
        <v>20200111155637610</v>
      </c>
      <c r="B4418" t="str">
        <f>"1578729397607516"</f>
        <v>1578729397607516</v>
      </c>
      <c r="C4418" t="s">
        <v>37</v>
      </c>
      <c r="D4418">
        <v>4.0014079999999996</v>
      </c>
      <c r="E4418">
        <v>0.52679149999999997</v>
      </c>
      <c r="F4418" t="s">
        <v>72</v>
      </c>
      <c r="G4418">
        <v>-314.51609999999999</v>
      </c>
      <c r="H4418" s="1">
        <v>-8.7655899999999904E-6</v>
      </c>
      <c r="I4418">
        <v>143.38579999999999</v>
      </c>
      <c r="J4418">
        <v>-232.29349999999999</v>
      </c>
      <c r="K4418">
        <v>1.10375</v>
      </c>
      <c r="L4418">
        <v>141.30539999999999</v>
      </c>
      <c r="M4418">
        <v>-0.99981109999999895</v>
      </c>
      <c r="N4418">
        <v>0</v>
      </c>
      <c r="O4418">
        <v>1.4121679999999999E-2</v>
      </c>
      <c r="P4418">
        <v>-0.9985039</v>
      </c>
      <c r="Q4418">
        <v>3.276167E-2</v>
      </c>
      <c r="R4418">
        <v>-4.3783900000000001E-2</v>
      </c>
      <c r="S4418">
        <v>-3.0091860000000001</v>
      </c>
      <c r="T4418">
        <v>-4.0266990000000003E-2</v>
      </c>
      <c r="U4418">
        <v>7.6080320000000007E-2</v>
      </c>
      <c r="V4418">
        <v>-5.7758440000000001E-2</v>
      </c>
      <c r="W4418">
        <v>4.6248450000000003E-2</v>
      </c>
      <c r="X4418">
        <v>0.9972588</v>
      </c>
      <c r="Y4418">
        <v>1.1153939999999999E-2</v>
      </c>
      <c r="Z4418">
        <v>-1.143202E-4</v>
      </c>
      <c r="AA4418">
        <v>0.99993779999999999</v>
      </c>
      <c r="AB4418">
        <v>26</v>
      </c>
      <c r="AC4418">
        <v>-82.2226</v>
      </c>
      <c r="AD4418">
        <v>-1.1037587655900001</v>
      </c>
      <c r="AE4418">
        <v>2.0803999999999898</v>
      </c>
      <c r="AF4418">
        <v>0.91880224913327302</v>
      </c>
      <c r="AG4418">
        <v>-1.1037587655900001</v>
      </c>
      <c r="AH4418">
        <v>82.228972440151793</v>
      </c>
      <c r="AI4418">
        <v>90.768986556210606</v>
      </c>
      <c r="AJ4418">
        <v>89.359820525437399</v>
      </c>
      <c r="AK4418">
        <v>82.241512568464401</v>
      </c>
    </row>
    <row r="4419" spans="1:37" x14ac:dyDescent="0.2">
      <c r="A4419" t="str">
        <f>"20200111155637632"</f>
        <v>20200111155637632</v>
      </c>
      <c r="B4419" t="str">
        <f>"1578729397627036"</f>
        <v>1578729397627036</v>
      </c>
      <c r="C4419" t="s">
        <v>37</v>
      </c>
      <c r="D4419">
        <v>4.1016760000000003</v>
      </c>
      <c r="E4419">
        <v>0.54583559999999998</v>
      </c>
      <c r="F4419" t="s">
        <v>72</v>
      </c>
      <c r="G4419">
        <v>-312.47699999999998</v>
      </c>
      <c r="H4419" s="1">
        <v>-9.519928E-6</v>
      </c>
      <c r="I4419">
        <v>143.3355</v>
      </c>
      <c r="J4419">
        <v>-232.5608</v>
      </c>
      <c r="K4419">
        <v>1.1037920000000001</v>
      </c>
      <c r="L4419">
        <v>141.3109</v>
      </c>
      <c r="M4419">
        <v>-0.99978719999999999</v>
      </c>
      <c r="N4419">
        <v>0</v>
      </c>
      <c r="O4419">
        <v>1.5643489999999999E-2</v>
      </c>
      <c r="P4419">
        <v>-0.99853429999999999</v>
      </c>
      <c r="Q4419">
        <v>3.2441539999999998E-2</v>
      </c>
      <c r="R4419">
        <v>-4.3321159999999997E-2</v>
      </c>
      <c r="S4419">
        <v>-3.009201</v>
      </c>
      <c r="T4419">
        <v>-4.1422960000000002E-2</v>
      </c>
      <c r="U4419">
        <v>7.6187130000000006E-2</v>
      </c>
      <c r="V4419">
        <v>-5.8818530000000001E-2</v>
      </c>
      <c r="W4419">
        <v>4.6008859999999999E-2</v>
      </c>
      <c r="X4419">
        <v>0.99720789999999904</v>
      </c>
      <c r="Y4419">
        <v>9.6675249999999997E-3</v>
      </c>
      <c r="Z4419">
        <v>-1.487719E-4</v>
      </c>
      <c r="AA4419">
        <v>0.99995330000000004</v>
      </c>
      <c r="AB4419">
        <v>26</v>
      </c>
      <c r="AC4419">
        <v>-79.916200000000003</v>
      </c>
      <c r="AD4419">
        <v>-1.103801519928</v>
      </c>
      <c r="AE4419">
        <v>2.0245999999999902</v>
      </c>
      <c r="AF4419">
        <v>0.77392333524289003</v>
      </c>
      <c r="AG4419">
        <v>-1.103801519928</v>
      </c>
      <c r="AH4419">
        <v>79.922856626558598</v>
      </c>
      <c r="AI4419">
        <v>90.791215258608602</v>
      </c>
      <c r="AJ4419">
        <v>89.445200575183904</v>
      </c>
      <c r="AK4419">
        <v>79.934225125872501</v>
      </c>
    </row>
    <row r="4420" spans="1:37" x14ac:dyDescent="0.2">
      <c r="A4420" t="str">
        <f>"20200111155637654"</f>
        <v>20200111155637654</v>
      </c>
      <c r="B4420" t="str">
        <f>"1578729397647532"</f>
        <v>1578729397647532</v>
      </c>
      <c r="C4420" t="s">
        <v>37</v>
      </c>
      <c r="D4420">
        <v>4.1478609999999998</v>
      </c>
      <c r="E4420">
        <v>0.56477630000000001</v>
      </c>
      <c r="F4420" t="s">
        <v>72</v>
      </c>
      <c r="G4420">
        <v>-286.82569999999998</v>
      </c>
      <c r="H4420" s="1">
        <v>-8.8586519999999906E-6</v>
      </c>
      <c r="I4420">
        <v>145.42529999999999</v>
      </c>
      <c r="J4420">
        <v>-232.81319999999999</v>
      </c>
      <c r="K4420">
        <v>1.1038399999999999</v>
      </c>
      <c r="L4420">
        <v>141.31649999999999</v>
      </c>
      <c r="M4420">
        <v>-0.99976369999999903</v>
      </c>
      <c r="N4420">
        <v>0</v>
      </c>
      <c r="O4420">
        <v>1.7027469999999999E-2</v>
      </c>
      <c r="P4420">
        <v>-0.99858630000000004</v>
      </c>
      <c r="Q4420">
        <v>3.1983270000000001E-2</v>
      </c>
      <c r="R4420">
        <v>-4.2456569999999999E-2</v>
      </c>
      <c r="S4420">
        <v>-3.016327</v>
      </c>
      <c r="T4420">
        <v>-6.1355109999999997E-2</v>
      </c>
      <c r="U4420">
        <v>0.2286987</v>
      </c>
      <c r="V4420">
        <v>-5.9341240000000003E-2</v>
      </c>
      <c r="W4420">
        <v>4.561254E-2</v>
      </c>
      <c r="X4420">
        <v>0.997195099999999</v>
      </c>
      <c r="Y4420">
        <v>5.8603479999999999E-2</v>
      </c>
      <c r="Z4420">
        <v>2.4932429999999998E-4</v>
      </c>
      <c r="AA4420">
        <v>0.99828130000000004</v>
      </c>
      <c r="AB4420">
        <v>26</v>
      </c>
      <c r="AC4420">
        <v>-54.012499999999903</v>
      </c>
      <c r="AD4420">
        <v>-1.1038488586519899</v>
      </c>
      <c r="AE4420">
        <v>4.1087999999999996</v>
      </c>
      <c r="AF4420">
        <v>3.18710050918411</v>
      </c>
      <c r="AG4420">
        <v>-1.1038488586519899</v>
      </c>
      <c r="AH4420">
        <v>54.0521908581497</v>
      </c>
      <c r="AI4420">
        <v>91.167898623263795</v>
      </c>
      <c r="AJ4420">
        <v>86.625553508303696</v>
      </c>
      <c r="AK4420">
        <v>54.157321098113997</v>
      </c>
    </row>
    <row r="4421" spans="1:37" x14ac:dyDescent="0.2">
      <c r="A4421" t="str">
        <f>"20200111155637676"</f>
        <v>20200111155637676</v>
      </c>
      <c r="B4421" t="str">
        <f>"1578729397667052"</f>
        <v>1578729397667052</v>
      </c>
      <c r="C4421" t="s">
        <v>37</v>
      </c>
      <c r="D4421">
        <v>4.1982549999999996</v>
      </c>
      <c r="E4421">
        <v>0.56652049999999998</v>
      </c>
      <c r="F4421" t="s">
        <v>38</v>
      </c>
      <c r="G4421">
        <v>-266.84989999999999</v>
      </c>
      <c r="H4421" s="1">
        <v>-2.9268329999999999E-6</v>
      </c>
      <c r="I4421">
        <v>145.6036</v>
      </c>
      <c r="J4421">
        <v>-233.0685</v>
      </c>
      <c r="K4421">
        <v>1.103909</v>
      </c>
      <c r="L4421">
        <v>141.32239999999999</v>
      </c>
      <c r="M4421">
        <v>-0.9997395</v>
      </c>
      <c r="N4421">
        <v>0</v>
      </c>
      <c r="O4421">
        <v>1.835235E-2</v>
      </c>
      <c r="P4421">
        <v>-0.9985752</v>
      </c>
      <c r="Q4421">
        <v>3.3001259999999998E-2</v>
      </c>
      <c r="R4421">
        <v>-4.1935060000000003E-2</v>
      </c>
      <c r="S4421">
        <v>-3.0235599999999998</v>
      </c>
      <c r="T4421">
        <v>-9.8057149999999996E-2</v>
      </c>
      <c r="U4421">
        <v>0.38084409999999902</v>
      </c>
      <c r="V4421">
        <v>-6.0145169999999998E-2</v>
      </c>
      <c r="W4421">
        <v>4.6680949999999999E-2</v>
      </c>
      <c r="X4421">
        <v>0.99709749999999997</v>
      </c>
      <c r="Y4421">
        <v>0.1066945</v>
      </c>
      <c r="Z4421">
        <v>1.130301E-3</v>
      </c>
      <c r="AA4421">
        <v>0.99429120000000004</v>
      </c>
      <c r="AB4421">
        <v>26</v>
      </c>
      <c r="AC4421">
        <v>-33.781399999999898</v>
      </c>
      <c r="AD4421">
        <v>-1.103911926833</v>
      </c>
      <c r="AE4421">
        <v>4.2812000000000099</v>
      </c>
      <c r="AF4421">
        <v>3.6566106558996698</v>
      </c>
      <c r="AG4421">
        <v>-1.103911926833</v>
      </c>
      <c r="AH4421">
        <v>33.818744087915299</v>
      </c>
      <c r="AI4421">
        <v>91.858759910968502</v>
      </c>
      <c r="AJ4421">
        <v>83.828936994321495</v>
      </c>
      <c r="AK4421">
        <v>34.033760807688402</v>
      </c>
    </row>
    <row r="4422" spans="1:37" x14ac:dyDescent="0.2">
      <c r="A4422" t="str">
        <f>"20200111155637699"</f>
        <v>20200111155637699</v>
      </c>
      <c r="B4422" t="str">
        <f>"1578729397687547"</f>
        <v>1578729397687547</v>
      </c>
      <c r="C4422" t="s">
        <v>37</v>
      </c>
      <c r="D4422">
        <v>4.38028</v>
      </c>
      <c r="E4422">
        <v>0.56610939999999998</v>
      </c>
      <c r="F4422" t="s">
        <v>38</v>
      </c>
      <c r="G4422">
        <v>-270.69209999999998</v>
      </c>
      <c r="H4422" s="1">
        <v>-5.2186479999999898E-6</v>
      </c>
      <c r="I4422">
        <v>146.25790000000001</v>
      </c>
      <c r="J4422">
        <v>-233.32640000000001</v>
      </c>
      <c r="K4422">
        <v>1.1039969999999999</v>
      </c>
      <c r="L4422">
        <v>141.32859999999999</v>
      </c>
      <c r="M4422">
        <v>-0.99971559999999904</v>
      </c>
      <c r="N4422">
        <v>0</v>
      </c>
      <c r="O4422">
        <v>1.958172E-2</v>
      </c>
      <c r="P4422">
        <v>-0.99857410000000002</v>
      </c>
      <c r="Q4422">
        <v>3.3356339999999998E-2</v>
      </c>
      <c r="R4422">
        <v>-4.1681370000000002E-2</v>
      </c>
      <c r="S4422">
        <v>-3.0238649999999998</v>
      </c>
      <c r="T4422">
        <v>-8.8723419999999997E-2</v>
      </c>
      <c r="U4422">
        <v>0.3966827</v>
      </c>
      <c r="V4422">
        <v>-6.112629E-2</v>
      </c>
      <c r="W4422">
        <v>4.7074869999999998E-2</v>
      </c>
      <c r="X4422">
        <v>0.9970194</v>
      </c>
      <c r="Y4422">
        <v>0.11058900000000001</v>
      </c>
      <c r="Z4422">
        <v>1.043317E-3</v>
      </c>
      <c r="AA4422">
        <v>0.99386569999999996</v>
      </c>
      <c r="AB4422">
        <v>26</v>
      </c>
      <c r="AC4422">
        <v>-37.365699999999897</v>
      </c>
      <c r="AD4422">
        <v>-1.1040022186480001</v>
      </c>
      <c r="AE4422">
        <v>4.9293000000000102</v>
      </c>
      <c r="AF4422">
        <v>4.1930045051768801</v>
      </c>
      <c r="AG4422">
        <v>-1.1040022186480001</v>
      </c>
      <c r="AH4422">
        <v>37.422957394599401</v>
      </c>
      <c r="AI4422">
        <v>91.679271994389197</v>
      </c>
      <c r="AJ4422">
        <v>83.607035075396695</v>
      </c>
      <c r="AK4422">
        <v>37.673304179978899</v>
      </c>
    </row>
    <row r="4423" spans="1:37" x14ac:dyDescent="0.2">
      <c r="A4423" t="str">
        <f>"20200111155637721"</f>
        <v>20200111155637721</v>
      </c>
      <c r="B4423" t="str">
        <f>"1578729397707068"</f>
        <v>1578729397707068</v>
      </c>
      <c r="C4423" t="s">
        <v>37</v>
      </c>
      <c r="D4423">
        <v>4.2710699999999999</v>
      </c>
      <c r="E4423">
        <v>0.56700340000000005</v>
      </c>
      <c r="F4423" t="s">
        <v>38</v>
      </c>
      <c r="G4423">
        <v>-270.96839999999997</v>
      </c>
      <c r="H4423" s="1">
        <v>-5.120318E-6</v>
      </c>
      <c r="I4423">
        <v>146.2337</v>
      </c>
      <c r="J4423">
        <v>-233.58250000000001</v>
      </c>
      <c r="K4423">
        <v>1.1041110000000001</v>
      </c>
      <c r="L4423">
        <v>141.3349</v>
      </c>
      <c r="M4423">
        <v>-0.99969339999999995</v>
      </c>
      <c r="N4423">
        <v>0</v>
      </c>
      <c r="O4423">
        <v>2.065504E-2</v>
      </c>
      <c r="P4423">
        <v>-0.99856909999999899</v>
      </c>
      <c r="Q4423">
        <v>3.3436680000000003E-2</v>
      </c>
      <c r="R4423">
        <v>-4.1739470000000001E-2</v>
      </c>
      <c r="S4423">
        <v>-3.02371199999999</v>
      </c>
      <c r="T4423">
        <v>-8.8682529999999996E-2</v>
      </c>
      <c r="U4423">
        <v>0.39402769999999998</v>
      </c>
      <c r="V4423">
        <v>-6.226599E-2</v>
      </c>
      <c r="W4423">
        <v>4.718203E-2</v>
      </c>
      <c r="X4423">
        <v>0.99694369999999999</v>
      </c>
      <c r="Y4423">
        <v>0.10867149999999901</v>
      </c>
      <c r="Z4423">
        <v>9.836329E-4</v>
      </c>
      <c r="AA4423">
        <v>0.99407719999999899</v>
      </c>
      <c r="AB4423">
        <v>26</v>
      </c>
      <c r="AC4423">
        <v>-37.3858999999999</v>
      </c>
      <c r="AD4423">
        <v>-1.1041161203180001</v>
      </c>
      <c r="AE4423">
        <v>4.8987999999999898</v>
      </c>
      <c r="AF4423">
        <v>4.1219409830166196</v>
      </c>
      <c r="AG4423">
        <v>-1.1041161203180001</v>
      </c>
      <c r="AH4423">
        <v>37.447007228232302</v>
      </c>
      <c r="AI4423">
        <v>91.6787296637129</v>
      </c>
      <c r="AJ4423">
        <v>83.718513692103897</v>
      </c>
      <c r="AK4423">
        <v>37.689359509361601</v>
      </c>
    </row>
    <row r="4424" spans="1:37" x14ac:dyDescent="0.2">
      <c r="A4424" t="str">
        <f>"20200111155637744"</f>
        <v>20200111155637744</v>
      </c>
      <c r="B4424" t="str">
        <f>"1578729397737324"</f>
        <v>1578729397737324</v>
      </c>
      <c r="C4424" t="s">
        <v>37</v>
      </c>
      <c r="D4424">
        <v>4.176787</v>
      </c>
      <c r="E4424">
        <v>0.56745509999999999</v>
      </c>
      <c r="F4424" t="s">
        <v>38</v>
      </c>
      <c r="G4424">
        <v>-271.5127</v>
      </c>
      <c r="H4424" s="1">
        <v>-4.9584239999999996E-6</v>
      </c>
      <c r="I4424">
        <v>146.36529999999999</v>
      </c>
      <c r="J4424">
        <v>-233.85249999999999</v>
      </c>
      <c r="K4424">
        <v>1.104239</v>
      </c>
      <c r="L4424">
        <v>141.3417</v>
      </c>
      <c r="M4424">
        <v>-0.99967189999999995</v>
      </c>
      <c r="N4424">
        <v>0</v>
      </c>
      <c r="O4424">
        <v>2.1643619999999999E-2</v>
      </c>
      <c r="P4424">
        <v>-0.99854299999999996</v>
      </c>
      <c r="Q4424">
        <v>3.3877810000000001E-2</v>
      </c>
      <c r="R4424">
        <v>-4.2002869999999998E-2</v>
      </c>
      <c r="S4424">
        <v>-3.0240330000000002</v>
      </c>
      <c r="T4424">
        <v>-8.802712E-2</v>
      </c>
      <c r="U4424">
        <v>0.40106199999999997</v>
      </c>
      <c r="V4424">
        <v>-6.3527639999999996E-2</v>
      </c>
      <c r="W4424">
        <v>4.7644520000000003E-2</v>
      </c>
      <c r="X4424">
        <v>0.99684209999999995</v>
      </c>
      <c r="Y4424">
        <v>0.109948399999999</v>
      </c>
      <c r="Z4424">
        <v>9.6599629999999999E-4</v>
      </c>
      <c r="AA4424">
        <v>0.99393679999999995</v>
      </c>
      <c r="AB4424">
        <v>26</v>
      </c>
      <c r="AC4424">
        <v>-37.660200000000003</v>
      </c>
      <c r="AD4424">
        <v>-1.104243958424</v>
      </c>
      <c r="AE4424">
        <v>5.0235999999999796</v>
      </c>
      <c r="AF4424">
        <v>4.2036925734663004</v>
      </c>
      <c r="AG4424">
        <v>-1.104243958424</v>
      </c>
      <c r="AH4424">
        <v>37.728246272747498</v>
      </c>
      <c r="AI4424">
        <v>91.666170442012501</v>
      </c>
      <c r="AJ4424">
        <v>83.642309586372605</v>
      </c>
      <c r="AK4424">
        <v>37.977769191844502</v>
      </c>
    </row>
    <row r="4425" spans="1:37" x14ac:dyDescent="0.2">
      <c r="A4425" t="str">
        <f>"20200111155637766"</f>
        <v>20200111155637766</v>
      </c>
      <c r="B4425" t="str">
        <f>"1578729397756843"</f>
        <v>1578729397756843</v>
      </c>
      <c r="C4425" t="s">
        <v>37</v>
      </c>
      <c r="D4425">
        <v>4.2144849999999998</v>
      </c>
      <c r="E4425">
        <v>0.56740950000000001</v>
      </c>
      <c r="F4425" t="s">
        <v>38</v>
      </c>
      <c r="G4425">
        <v>-271.14359999999999</v>
      </c>
      <c r="H4425" s="1">
        <v>-5.0758519999999902E-6</v>
      </c>
      <c r="I4425">
        <v>146.31909999999999</v>
      </c>
      <c r="J4425">
        <v>-234.1018</v>
      </c>
      <c r="K4425">
        <v>1.1043639999999999</v>
      </c>
      <c r="L4425">
        <v>141.34809999999999</v>
      </c>
      <c r="M4425">
        <v>-0.99965490000000001</v>
      </c>
      <c r="N4425">
        <v>0</v>
      </c>
      <c r="O4425">
        <v>2.2398810000000002E-2</v>
      </c>
      <c r="P4425">
        <v>-0.99854200000000004</v>
      </c>
      <c r="Q4425">
        <v>3.4477260000000003E-2</v>
      </c>
      <c r="R4425">
        <v>-4.1541929999999998E-2</v>
      </c>
      <c r="S4425">
        <v>-3.0244140000000002</v>
      </c>
      <c r="T4425">
        <v>-8.9557410000000004E-2</v>
      </c>
      <c r="U4425">
        <v>0.4036865</v>
      </c>
      <c r="V4425">
        <v>-6.3831860000000004E-2</v>
      </c>
      <c r="W4425">
        <v>4.8255599999999899E-2</v>
      </c>
      <c r="X4425">
        <v>0.99679329999999999</v>
      </c>
      <c r="Y4425">
        <v>0.11002770000000001</v>
      </c>
      <c r="Z4425">
        <v>9.6153340000000001E-4</v>
      </c>
      <c r="AA4425">
        <v>0.99392809999999898</v>
      </c>
      <c r="AB4425">
        <v>26</v>
      </c>
      <c r="AC4425">
        <v>-37.041800000000002</v>
      </c>
      <c r="AD4425">
        <v>-1.1043690758519999</v>
      </c>
      <c r="AE4425">
        <v>4.9710000000000001</v>
      </c>
      <c r="AF4425">
        <v>4.1363705171885403</v>
      </c>
      <c r="AG4425">
        <v>-1.1043690758519999</v>
      </c>
      <c r="AH4425">
        <v>37.111455861320799</v>
      </c>
      <c r="AI4425">
        <v>91.694030881771496</v>
      </c>
      <c r="AJ4425">
        <v>83.640173263027293</v>
      </c>
      <c r="AK4425">
        <v>37.357587559395803</v>
      </c>
    </row>
    <row r="4426" spans="1:37" x14ac:dyDescent="0.2">
      <c r="A4426" t="str">
        <f>"20200111155637789"</f>
        <v>20200111155637789</v>
      </c>
      <c r="B4426" t="str">
        <f>"1578729397777339"</f>
        <v>1578729397777339</v>
      </c>
      <c r="C4426" t="s">
        <v>37</v>
      </c>
      <c r="D4426">
        <v>4.2035530000000003</v>
      </c>
      <c r="E4426">
        <v>0.56734379999999995</v>
      </c>
      <c r="F4426" t="s">
        <v>38</v>
      </c>
      <c r="G4426">
        <v>-269.83249999999998</v>
      </c>
      <c r="H4426" s="1">
        <v>-1.7844860000000001E-6</v>
      </c>
      <c r="I4426">
        <v>146.1191</v>
      </c>
      <c r="J4426">
        <v>-234.35659999999999</v>
      </c>
      <c r="K4426">
        <v>1.104517</v>
      </c>
      <c r="L4426">
        <v>141.3546</v>
      </c>
      <c r="M4426">
        <v>-0.99964169999999997</v>
      </c>
      <c r="N4426">
        <v>0</v>
      </c>
      <c r="O4426">
        <v>2.2966609999999998E-2</v>
      </c>
      <c r="P4426">
        <v>-0.99856420000000001</v>
      </c>
      <c r="Q4426">
        <v>3.518251E-2</v>
      </c>
      <c r="R4426">
        <v>-4.0394659999999999E-2</v>
      </c>
      <c r="S4426">
        <v>-3.0244140000000002</v>
      </c>
      <c r="T4426">
        <v>-9.3478919999999993E-2</v>
      </c>
      <c r="U4426">
        <v>0.4038544</v>
      </c>
      <c r="V4426">
        <v>-6.3266429999999999E-2</v>
      </c>
      <c r="W4426">
        <v>4.8964300000000002E-2</v>
      </c>
      <c r="X4426">
        <v>0.99679479999999998</v>
      </c>
      <c r="Y4426">
        <v>0.1095145</v>
      </c>
      <c r="Z4426">
        <v>9.7826550000000003E-4</v>
      </c>
      <c r="AA4426">
        <v>0.99398469999999906</v>
      </c>
      <c r="AB4426">
        <v>26</v>
      </c>
      <c r="AC4426">
        <v>-35.475900000000003</v>
      </c>
      <c r="AD4426">
        <v>-1.104518784486</v>
      </c>
      <c r="AE4426">
        <v>4.7644999999999902</v>
      </c>
      <c r="AF4426">
        <v>3.9446488874312702</v>
      </c>
      <c r="AG4426">
        <v>-1.104518784486</v>
      </c>
      <c r="AH4426">
        <v>35.542133351113101</v>
      </c>
      <c r="AI4426">
        <v>91.769113857048495</v>
      </c>
      <c r="AJ4426">
        <v>83.666937561297402</v>
      </c>
      <c r="AK4426">
        <v>35.7774154983098</v>
      </c>
    </row>
    <row r="4427" spans="1:37" x14ac:dyDescent="0.2">
      <c r="A4427" t="str">
        <f>"20200111155637810"</f>
        <v>20200111155637810</v>
      </c>
      <c r="B4427" t="str">
        <f>"1578729397807596"</f>
        <v>1578729397807596</v>
      </c>
      <c r="C4427" t="s">
        <v>37</v>
      </c>
      <c r="D4427">
        <v>4.2489150000000002</v>
      </c>
      <c r="E4427">
        <v>0.5672855</v>
      </c>
      <c r="F4427" t="s">
        <v>38</v>
      </c>
      <c r="G4427">
        <v>-269.27190000000002</v>
      </c>
      <c r="H4427" s="1">
        <v>-2.0042300000000002E-6</v>
      </c>
      <c r="I4427">
        <v>146.0412</v>
      </c>
      <c r="J4427">
        <v>-234.6096</v>
      </c>
      <c r="K4427">
        <v>1.1046910000000001</v>
      </c>
      <c r="L4427">
        <v>141.36089999999999</v>
      </c>
      <c r="M4427">
        <v>-0.99963369999999996</v>
      </c>
      <c r="N4427">
        <v>0</v>
      </c>
      <c r="O4427">
        <v>2.3299199999999999E-2</v>
      </c>
      <c r="P4427">
        <v>-0.9985965</v>
      </c>
      <c r="Q4427">
        <v>3.6695730000000003E-2</v>
      </c>
      <c r="R4427">
        <v>-3.8190889999999998E-2</v>
      </c>
      <c r="S4427">
        <v>-3.0241090000000002</v>
      </c>
      <c r="T4427">
        <v>-9.5665449999999999E-2</v>
      </c>
      <c r="U4427">
        <v>0.4059296</v>
      </c>
      <c r="V4427">
        <v>-6.141369E-2</v>
      </c>
      <c r="W4427">
        <v>5.0474459999999999E-2</v>
      </c>
      <c r="X4427">
        <v>0.99683539999999904</v>
      </c>
      <c r="Y4427">
        <v>0.109865</v>
      </c>
      <c r="Z4427">
        <v>9.962495E-4</v>
      </c>
      <c r="AA4427">
        <v>0.993945999999999</v>
      </c>
      <c r="AB4427">
        <v>26</v>
      </c>
      <c r="AC4427">
        <v>-34.662300000000002</v>
      </c>
      <c r="AD4427">
        <v>-1.1046930042299901</v>
      </c>
      <c r="AE4427">
        <v>4.6803000000000097</v>
      </c>
      <c r="AF4427">
        <v>3.8674908919045898</v>
      </c>
      <c r="AG4427">
        <v>-1.1046930042299901</v>
      </c>
      <c r="AH4427">
        <v>34.727305069992198</v>
      </c>
      <c r="AI4427">
        <v>91.810805787590695</v>
      </c>
      <c r="AJ4427">
        <v>83.645301483509499</v>
      </c>
      <c r="AK4427">
        <v>34.959455800353403</v>
      </c>
    </row>
    <row r="4428" spans="1:37" x14ac:dyDescent="0.2">
      <c r="A4428" t="str">
        <f>"20200111155637833"</f>
        <v>20200111155637833</v>
      </c>
      <c r="B4428" t="str">
        <f>"1578729397827116"</f>
        <v>1578729397827116</v>
      </c>
      <c r="C4428" t="s">
        <v>37</v>
      </c>
      <c r="D4428">
        <v>4.2622150000000003</v>
      </c>
      <c r="E4428">
        <v>0.56713409999999997</v>
      </c>
      <c r="F4428" t="s">
        <v>38</v>
      </c>
      <c r="G4428">
        <v>-269.76260000000002</v>
      </c>
      <c r="H4428" s="1">
        <v>-1.82071499999999E-6</v>
      </c>
      <c r="I4428">
        <v>146.14269999999999</v>
      </c>
      <c r="J4428">
        <v>-234.8817</v>
      </c>
      <c r="K4428">
        <v>1.1049020000000001</v>
      </c>
      <c r="L4428">
        <v>141.36760000000001</v>
      </c>
      <c r="M4428">
        <v>-0.99963150000000001</v>
      </c>
      <c r="N4428">
        <v>0</v>
      </c>
      <c r="O4428">
        <v>2.3384019999999998E-2</v>
      </c>
      <c r="P4428">
        <v>-0.99861769999999905</v>
      </c>
      <c r="Q4428">
        <v>3.8643259999999999E-2</v>
      </c>
      <c r="R4428">
        <v>-3.5628659999999999E-2</v>
      </c>
      <c r="S4428">
        <v>-3.0234220000000001</v>
      </c>
      <c r="T4428">
        <v>-9.5012189999999996E-2</v>
      </c>
      <c r="U4428">
        <v>0.41127010000000003</v>
      </c>
      <c r="V4428">
        <v>-5.896158E-2</v>
      </c>
      <c r="W4428">
        <v>5.2412630000000002E-2</v>
      </c>
      <c r="X4428">
        <v>0.99688339999999998</v>
      </c>
      <c r="Y4428">
        <v>0.1115343</v>
      </c>
      <c r="Z4428">
        <v>1.0130110000000001E-3</v>
      </c>
      <c r="AA4428">
        <v>0.99375999999999998</v>
      </c>
      <c r="AB4428">
        <v>26</v>
      </c>
      <c r="AC4428">
        <v>-34.880899999999997</v>
      </c>
      <c r="AD4428">
        <v>-1.1049038207149999</v>
      </c>
      <c r="AE4428">
        <v>4.7750999999999797</v>
      </c>
      <c r="AF4428">
        <v>3.9541662313824899</v>
      </c>
      <c r="AG4428">
        <v>-1.1049038207149999</v>
      </c>
      <c r="AH4428">
        <v>34.948609584343103</v>
      </c>
      <c r="AI4428">
        <v>91.799336133417498</v>
      </c>
      <c r="AJ4428">
        <v>83.544874469975298</v>
      </c>
      <c r="AK4428">
        <v>35.188940804140103</v>
      </c>
    </row>
    <row r="4429" spans="1:37" x14ac:dyDescent="0.2">
      <c r="A4429" t="str">
        <f>"20200111155637856"</f>
        <v>20200111155637856</v>
      </c>
      <c r="B4429" t="str">
        <f>"1578729397847612"</f>
        <v>1578729397847612</v>
      </c>
      <c r="C4429" t="s">
        <v>37</v>
      </c>
      <c r="D4429">
        <v>4.4582930000000003</v>
      </c>
      <c r="E4429">
        <v>0.56710199999999999</v>
      </c>
      <c r="F4429" t="s">
        <v>38</v>
      </c>
      <c r="G4429">
        <v>-271.22829999999999</v>
      </c>
      <c r="H4429" s="1">
        <v>-5.0582430000000003E-6</v>
      </c>
      <c r="I4429">
        <v>146.38239999999999</v>
      </c>
      <c r="J4429">
        <v>-235.1395</v>
      </c>
      <c r="K4429">
        <v>1.1051299999999999</v>
      </c>
      <c r="L4429">
        <v>141.37360000000001</v>
      </c>
      <c r="M4429">
        <v>-0.99963649999999904</v>
      </c>
      <c r="N4429">
        <v>0</v>
      </c>
      <c r="O4429">
        <v>2.3165109999999999E-2</v>
      </c>
      <c r="P4429">
        <v>-0.9986178</v>
      </c>
      <c r="Q4429">
        <v>4.0965210000000002E-2</v>
      </c>
      <c r="R4429">
        <v>-3.293169E-2</v>
      </c>
      <c r="S4429">
        <v>-3.0225979999999999</v>
      </c>
      <c r="T4429">
        <v>-9.1884610000000005E-2</v>
      </c>
      <c r="U4429">
        <v>0.41703800000000002</v>
      </c>
      <c r="V4429">
        <v>-5.6074230000000003E-2</v>
      </c>
      <c r="W4429">
        <v>5.4720539999999998E-2</v>
      </c>
      <c r="X4429">
        <v>0.99692599999999998</v>
      </c>
      <c r="Y4429">
        <v>0.113651</v>
      </c>
      <c r="Z4429">
        <v>1.018452E-3</v>
      </c>
      <c r="AA4429">
        <v>0.99352019999999996</v>
      </c>
      <c r="AB4429">
        <v>26</v>
      </c>
      <c r="AC4429">
        <v>-36.0887999999999</v>
      </c>
      <c r="AD4429">
        <v>-1.105135058243</v>
      </c>
      <c r="AE4429">
        <v>5.0087999999999804</v>
      </c>
      <c r="AF4429">
        <v>4.1675408495791304</v>
      </c>
      <c r="AG4429">
        <v>-1.105135058243</v>
      </c>
      <c r="AH4429">
        <v>36.161884436060397</v>
      </c>
      <c r="AI4429">
        <v>91.738955345628696</v>
      </c>
      <c r="AJ4429">
        <v>83.425848920267597</v>
      </c>
      <c r="AK4429">
        <v>36.418012112097202</v>
      </c>
    </row>
    <row r="4430" spans="1:37" x14ac:dyDescent="0.2">
      <c r="A4430" t="str">
        <f>"20200111155637878"</f>
        <v>20200111155637878</v>
      </c>
      <c r="B4430" t="str">
        <f>"1578729397867131"</f>
        <v>1578729397867131</v>
      </c>
      <c r="C4430" t="s">
        <v>37</v>
      </c>
      <c r="D4430">
        <v>4.2571449999999897</v>
      </c>
      <c r="E4430">
        <v>0.566639</v>
      </c>
      <c r="F4430" t="s">
        <v>38</v>
      </c>
      <c r="G4430">
        <v>-273.64830000000001</v>
      </c>
      <c r="H4430" s="1">
        <v>-4.3062100000000002E-6</v>
      </c>
      <c r="I4430">
        <v>146.78550000000001</v>
      </c>
      <c r="J4430">
        <v>-235.3921</v>
      </c>
      <c r="K4430">
        <v>1.1053679999999999</v>
      </c>
      <c r="L4430">
        <v>141.37899999999999</v>
      </c>
      <c r="M4430">
        <v>-0.99964850000000005</v>
      </c>
      <c r="N4430">
        <v>0</v>
      </c>
      <c r="O4430">
        <v>2.2630959999999999E-2</v>
      </c>
      <c r="P4430">
        <v>-0.99856089999999997</v>
      </c>
      <c r="Q4430">
        <v>4.3869449999999997E-2</v>
      </c>
      <c r="R4430">
        <v>-3.0852560000000001E-2</v>
      </c>
      <c r="S4430">
        <v>-3.0217130000000001</v>
      </c>
      <c r="T4430">
        <v>-8.6717959999999997E-2</v>
      </c>
      <c r="U4430">
        <v>0.42466739999999997</v>
      </c>
      <c r="V4430">
        <v>-5.3494079999999999E-2</v>
      </c>
      <c r="W4430">
        <v>5.760229E-2</v>
      </c>
      <c r="X4430">
        <v>0.99690540000000005</v>
      </c>
      <c r="Y4430">
        <v>0.1166845</v>
      </c>
      <c r="Z4430">
        <v>1.01987E-3</v>
      </c>
      <c r="AA4430">
        <v>0.99316849999999901</v>
      </c>
      <c r="AB4430">
        <v>26</v>
      </c>
      <c r="AC4430">
        <v>-38.2562</v>
      </c>
      <c r="AD4430">
        <v>-1.10537230621</v>
      </c>
      <c r="AE4430">
        <v>5.4065000000000198</v>
      </c>
      <c r="AF4430">
        <v>4.5355455597458398</v>
      </c>
      <c r="AG4430">
        <v>-1.10537230621</v>
      </c>
      <c r="AH4430">
        <v>38.337386560846497</v>
      </c>
      <c r="AI4430">
        <v>91.640105834888004</v>
      </c>
      <c r="AJ4430">
        <v>83.252922929552199</v>
      </c>
      <c r="AK4430">
        <v>38.620567445023902</v>
      </c>
    </row>
    <row r="4431" spans="1:37" x14ac:dyDescent="0.2">
      <c r="A4431" t="str">
        <f>"20200111155637901"</f>
        <v>20200111155637901</v>
      </c>
      <c r="B4431" t="str">
        <f>"1578729397897388"</f>
        <v>1578729397897388</v>
      </c>
      <c r="C4431" t="s">
        <v>37</v>
      </c>
      <c r="D4431">
        <v>4.4750819999999996</v>
      </c>
      <c r="E4431">
        <v>0.56634240000000002</v>
      </c>
      <c r="F4431" t="s">
        <v>38</v>
      </c>
      <c r="G4431">
        <v>-277.78379999999999</v>
      </c>
      <c r="H4431" s="1">
        <v>-2.9962720000000001E-6</v>
      </c>
      <c r="I4431">
        <v>147.37039999999999</v>
      </c>
      <c r="J4431">
        <v>-235.63990000000001</v>
      </c>
      <c r="K4431">
        <v>1.1056109999999999</v>
      </c>
      <c r="L4431">
        <v>141.38390000000001</v>
      </c>
      <c r="M4431">
        <v>-0.99966829999999995</v>
      </c>
      <c r="N4431">
        <v>0</v>
      </c>
      <c r="O4431">
        <v>2.175906E-2</v>
      </c>
      <c r="P4431">
        <v>-0.99850799999999995</v>
      </c>
      <c r="Q4431">
        <v>4.6285149999999997E-2</v>
      </c>
      <c r="R4431">
        <v>-2.897947E-2</v>
      </c>
      <c r="S4431">
        <v>-3.0209809999999999</v>
      </c>
      <c r="T4431">
        <v>-7.8772659999999994E-2</v>
      </c>
      <c r="U4431">
        <v>0.4269714</v>
      </c>
      <c r="V4431">
        <v>-5.0786739999999997E-2</v>
      </c>
      <c r="W4431">
        <v>5.996663E-2</v>
      </c>
      <c r="X4431">
        <v>0.99690759999999901</v>
      </c>
      <c r="Y4431">
        <v>0.1183323</v>
      </c>
      <c r="Z4431">
        <v>9.7060690000000003E-4</v>
      </c>
      <c r="AA4431">
        <v>0.99297359999999901</v>
      </c>
      <c r="AB4431">
        <v>26</v>
      </c>
      <c r="AC4431">
        <v>-42.143899999999903</v>
      </c>
      <c r="AD4431">
        <v>-1.105613996272</v>
      </c>
      <c r="AE4431">
        <v>5.9864999999999702</v>
      </c>
      <c r="AF4431">
        <v>5.0645670103653497</v>
      </c>
      <c r="AG4431">
        <v>-1.105613996272</v>
      </c>
      <c r="AH4431">
        <v>42.235700036359397</v>
      </c>
      <c r="AI4431">
        <v>91.488841953113095</v>
      </c>
      <c r="AJ4431">
        <v>83.162197430696807</v>
      </c>
      <c r="AK4431">
        <v>42.552633042769102</v>
      </c>
    </row>
    <row r="4432" spans="1:37" x14ac:dyDescent="0.2">
      <c r="A4432" t="str">
        <f>"20200111155637922"</f>
        <v>20200111155637922</v>
      </c>
      <c r="B4432" t="str">
        <f>"1578729397916907"</f>
        <v>1578729397916907</v>
      </c>
      <c r="C4432" t="s">
        <v>37</v>
      </c>
      <c r="D4432">
        <v>4.4680589999999896</v>
      </c>
      <c r="E4432">
        <v>0.56609830000000005</v>
      </c>
      <c r="F4432" t="s">
        <v>72</v>
      </c>
      <c r="G4432">
        <v>-281.1671</v>
      </c>
      <c r="H4432" s="1">
        <v>-6.8049860000000001E-6</v>
      </c>
      <c r="I4432">
        <v>147.86709999999999</v>
      </c>
      <c r="J4432">
        <v>-235.89750000000001</v>
      </c>
      <c r="K4432">
        <v>1.105845</v>
      </c>
      <c r="L4432">
        <v>141.38829999999999</v>
      </c>
      <c r="M4432">
        <v>-0.99969549999999996</v>
      </c>
      <c r="N4432">
        <v>0</v>
      </c>
      <c r="O4432">
        <v>2.052269E-2</v>
      </c>
      <c r="P4432">
        <v>-0.99842909999999996</v>
      </c>
      <c r="Q4432">
        <v>4.8462169999999999E-2</v>
      </c>
      <c r="R4432">
        <v>-2.8130369999999998E-2</v>
      </c>
      <c r="S4432">
        <v>-3.0203859999999998</v>
      </c>
      <c r="T4432">
        <v>-7.3349360000000002E-2</v>
      </c>
      <c r="U4432">
        <v>0.43011470000000002</v>
      </c>
      <c r="V4432">
        <v>-4.8741149999999997E-2</v>
      </c>
      <c r="W4432">
        <v>6.203939E-2</v>
      </c>
      <c r="X4432">
        <v>0.99688290000000002</v>
      </c>
      <c r="Y4432">
        <v>0.120603399999999</v>
      </c>
      <c r="Z4432">
        <v>9.611957E-4</v>
      </c>
      <c r="AA4432">
        <v>0.99270029999999998</v>
      </c>
      <c r="AB4432">
        <v>26</v>
      </c>
      <c r="AC4432">
        <v>-45.269599999999997</v>
      </c>
      <c r="AD4432">
        <v>-1.105851804986</v>
      </c>
      <c r="AE4432">
        <v>6.4787999999999997</v>
      </c>
      <c r="AF4432">
        <v>5.5450515379959402</v>
      </c>
      <c r="AG4432">
        <v>-1.105851804986</v>
      </c>
      <c r="AH4432">
        <v>45.366510382123202</v>
      </c>
      <c r="AI4432">
        <v>91.386051444726306</v>
      </c>
      <c r="AJ4432">
        <v>83.031424919743998</v>
      </c>
      <c r="AK4432">
        <v>45.7175105296091</v>
      </c>
    </row>
    <row r="4433" spans="1:37" x14ac:dyDescent="0.2">
      <c r="A4433" t="str">
        <f>"20200111155637945"</f>
        <v>20200111155637945</v>
      </c>
      <c r="B4433" t="str">
        <f>"1578729397937404"</f>
        <v>1578729397937404</v>
      </c>
      <c r="C4433" t="s">
        <v>37</v>
      </c>
      <c r="D4433">
        <v>4.3580699999999997</v>
      </c>
      <c r="E4433">
        <v>0.56573830000000003</v>
      </c>
      <c r="F4433" t="s">
        <v>72</v>
      </c>
      <c r="G4433">
        <v>-284.47430000000003</v>
      </c>
      <c r="H4433" s="1">
        <v>-8.4158080000000002E-6</v>
      </c>
      <c r="I4433">
        <v>148.31290000000001</v>
      </c>
      <c r="J4433">
        <v>-236.1585</v>
      </c>
      <c r="K4433">
        <v>1.1060350000000001</v>
      </c>
      <c r="L4433">
        <v>141.3921</v>
      </c>
      <c r="M4433">
        <v>-0.99972719999999904</v>
      </c>
      <c r="N4433">
        <v>0</v>
      </c>
      <c r="O4433">
        <v>1.9000090000000001E-2</v>
      </c>
      <c r="P4433">
        <v>-0.99837119999999901</v>
      </c>
      <c r="Q4433">
        <v>4.9998609999999999E-2</v>
      </c>
      <c r="R4433">
        <v>-2.7483730000000001E-2</v>
      </c>
      <c r="S4433">
        <v>-3.020187</v>
      </c>
      <c r="T4433">
        <v>-6.8754670000000004E-2</v>
      </c>
      <c r="U4433">
        <v>0.43052669999999998</v>
      </c>
      <c r="V4433">
        <v>-4.6608780000000002E-2</v>
      </c>
      <c r="W4433">
        <v>6.3438999999999995E-2</v>
      </c>
      <c r="X4433">
        <v>0.99689669999999897</v>
      </c>
      <c r="Y4433">
        <v>0.1222597</v>
      </c>
      <c r="Z4433">
        <v>9.5426470000000005E-4</v>
      </c>
      <c r="AA4433">
        <v>0.99249769999999904</v>
      </c>
      <c r="AB4433">
        <v>26</v>
      </c>
      <c r="AC4433">
        <v>-48.315800000000003</v>
      </c>
      <c r="AD4433">
        <v>-1.1060434158079999</v>
      </c>
      <c r="AE4433">
        <v>6.9208000000000096</v>
      </c>
      <c r="AF4433">
        <v>5.9983809807997499</v>
      </c>
      <c r="AG4433">
        <v>-1.1060434158079999</v>
      </c>
      <c r="AH4433">
        <v>48.413723747390499</v>
      </c>
      <c r="AI4433">
        <v>91.298804736140596</v>
      </c>
      <c r="AJ4433">
        <v>82.937140302196696</v>
      </c>
      <c r="AK4433">
        <v>48.796439967656603</v>
      </c>
    </row>
    <row r="4434" spans="1:37" x14ac:dyDescent="0.2">
      <c r="A4434" t="str">
        <f>"20200111155637966"</f>
        <v>20200111155637966</v>
      </c>
      <c r="B4434" t="str">
        <f>"1578729397956923"</f>
        <v>1578729397956923</v>
      </c>
      <c r="C4434" t="s">
        <v>37</v>
      </c>
      <c r="D4434">
        <v>4.3879630000000001</v>
      </c>
      <c r="E4434">
        <v>0.53863070000000002</v>
      </c>
      <c r="F4434" t="s">
        <v>72</v>
      </c>
      <c r="G4434">
        <v>-286.16399999999999</v>
      </c>
      <c r="H4434" s="1">
        <v>-9.3779139999999903E-6</v>
      </c>
      <c r="I4434">
        <v>148.50290000000001</v>
      </c>
      <c r="J4434">
        <v>-236.3998</v>
      </c>
      <c r="K4434">
        <v>1.1061620000000001</v>
      </c>
      <c r="L4434">
        <v>141.39500000000001</v>
      </c>
      <c r="M4434">
        <v>-0.99975879999999995</v>
      </c>
      <c r="N4434">
        <v>0</v>
      </c>
      <c r="O4434">
        <v>1.73793E-2</v>
      </c>
      <c r="P4434">
        <v>-0.99830200000000002</v>
      </c>
      <c r="Q4434">
        <v>5.123519E-2</v>
      </c>
      <c r="R4434">
        <v>-2.771943E-2</v>
      </c>
      <c r="S4434">
        <v>-3.0200809999999998</v>
      </c>
      <c r="T4434">
        <v>-6.6799639999999993E-2</v>
      </c>
      <c r="U4434">
        <v>0.42945859999999902</v>
      </c>
      <c r="V4434">
        <v>-4.5252309999999997E-2</v>
      </c>
      <c r="W4434">
        <v>6.450351E-2</v>
      </c>
      <c r="X4434">
        <v>0.99689089999999903</v>
      </c>
      <c r="Y4434">
        <v>0.1235303</v>
      </c>
      <c r="Z4434">
        <v>9.7681440000000003E-4</v>
      </c>
      <c r="AA4434">
        <v>0.99234029999999995</v>
      </c>
      <c r="AB4434">
        <v>26</v>
      </c>
      <c r="AC4434">
        <v>-49.764199999999903</v>
      </c>
      <c r="AD4434">
        <v>-1.1061713779140001</v>
      </c>
      <c r="AE4434">
        <v>7.1078999999999999</v>
      </c>
      <c r="AF4434">
        <v>6.2388603881323998</v>
      </c>
      <c r="AG4434">
        <v>-1.1061713779140001</v>
      </c>
      <c r="AH4434">
        <v>49.8560829910584</v>
      </c>
      <c r="AI4434">
        <v>91.261196348709603</v>
      </c>
      <c r="AJ4434">
        <v>82.867232695955295</v>
      </c>
      <c r="AK4434">
        <v>50.257099053479202</v>
      </c>
    </row>
    <row r="4435" spans="1:37" x14ac:dyDescent="0.2">
      <c r="A4435" t="str">
        <f>"20200111155637990"</f>
        <v>20200111155637990</v>
      </c>
      <c r="B4435" t="str">
        <f>"1578729397977420"</f>
        <v>1578729397977420</v>
      </c>
      <c r="C4435" t="s">
        <v>37</v>
      </c>
      <c r="D4435">
        <v>4.4082910000000002</v>
      </c>
      <c r="E4435">
        <v>0.51682829999999902</v>
      </c>
      <c r="F4435" t="s">
        <v>38</v>
      </c>
      <c r="G4435">
        <v>-331.27460000000002</v>
      </c>
      <c r="H4435" s="1">
        <v>-5.7318839999999997E-6</v>
      </c>
      <c r="I4435">
        <v>148.1292</v>
      </c>
      <c r="J4435">
        <v>-236.65969999999999</v>
      </c>
      <c r="K4435">
        <v>1.106247</v>
      </c>
      <c r="L4435">
        <v>141.39750000000001</v>
      </c>
      <c r="M4435">
        <v>-0.99979379999999995</v>
      </c>
      <c r="N4435">
        <v>0</v>
      </c>
      <c r="O4435">
        <v>1.543342E-2</v>
      </c>
      <c r="P4435">
        <v>-0.99821629999999995</v>
      </c>
      <c r="Q4435">
        <v>5.3111180000000001E-2</v>
      </c>
      <c r="R4435">
        <v>-2.726696E-2</v>
      </c>
      <c r="S4435">
        <v>-3.012848</v>
      </c>
      <c r="T4435">
        <v>-3.5127520000000002E-2</v>
      </c>
      <c r="U4435">
        <v>0.21385189999999901</v>
      </c>
      <c r="V4435">
        <v>-4.2883169999999998E-2</v>
      </c>
      <c r="W4435">
        <v>6.6136520000000004E-2</v>
      </c>
      <c r="X4435">
        <v>0.99688860000000001</v>
      </c>
      <c r="Y4435">
        <v>5.5394699999999998E-2</v>
      </c>
      <c r="Z4435">
        <v>1.4281799999999999E-4</v>
      </c>
      <c r="AA4435">
        <v>0.99846449999999998</v>
      </c>
      <c r="AB4435">
        <v>26</v>
      </c>
      <c r="AC4435">
        <v>-94.614900000000006</v>
      </c>
      <c r="AD4435">
        <v>-1.1062527318840001</v>
      </c>
      <c r="AE4435">
        <v>6.7316999999999796</v>
      </c>
      <c r="AF4435">
        <v>5.2698226392491101</v>
      </c>
      <c r="AG4435">
        <v>-1.1062527318840001</v>
      </c>
      <c r="AH4435">
        <v>94.694651197000695</v>
      </c>
      <c r="AI4435">
        <v>90.668282947574994</v>
      </c>
      <c r="AJ4435">
        <v>86.814735901958599</v>
      </c>
      <c r="AK4435">
        <v>94.847624066592005</v>
      </c>
    </row>
    <row r="4436" spans="1:37" x14ac:dyDescent="0.2">
      <c r="A4436" t="str">
        <f>"20200111155638012"</f>
        <v>20200111155638012</v>
      </c>
      <c r="B4436" t="str">
        <f>"1578729398007676"</f>
        <v>1578729398007676</v>
      </c>
      <c r="C4436" t="s">
        <v>37</v>
      </c>
      <c r="D4436">
        <v>4.355702</v>
      </c>
      <c r="E4436">
        <v>0.51522829999999997</v>
      </c>
      <c r="F4436" t="s">
        <v>48</v>
      </c>
      <c r="G4436">
        <v>0</v>
      </c>
      <c r="H4436">
        <v>0</v>
      </c>
      <c r="I4436">
        <v>0</v>
      </c>
      <c r="J4436">
        <v>-236.9299</v>
      </c>
      <c r="K4436">
        <v>1.1062969999999901</v>
      </c>
      <c r="L4436">
        <v>141.39940000000001</v>
      </c>
      <c r="M4436">
        <v>-0.99982899999999997</v>
      </c>
      <c r="N4436">
        <v>0</v>
      </c>
      <c r="O4436">
        <v>1.3250339999999999E-2</v>
      </c>
      <c r="P4436">
        <v>-0.99816469999999902</v>
      </c>
      <c r="Q4436">
        <v>5.414886E-2</v>
      </c>
      <c r="R4436">
        <v>-2.7115340000000002E-2</v>
      </c>
      <c r="S4436">
        <v>-3.0063930000000001</v>
      </c>
      <c r="T4436">
        <v>3.0668969999999999E-3</v>
      </c>
      <c r="U4436">
        <v>4.304504E-2</v>
      </c>
      <c r="V4436">
        <v>-4.0571320000000001E-2</v>
      </c>
      <c r="W4436">
        <v>6.6872550000000003E-2</v>
      </c>
      <c r="X4436">
        <v>0.9969363</v>
      </c>
      <c r="Y4436">
        <v>1.065033E-3</v>
      </c>
      <c r="Z4436" s="1">
        <v>1.297361E-5</v>
      </c>
      <c r="AA4436">
        <v>0.99999939999999998</v>
      </c>
      <c r="AB4436">
        <v>26</v>
      </c>
      <c r="AC4436">
        <v>-3.0063930000000001</v>
      </c>
      <c r="AD4436">
        <v>3.0668969999999999E-3</v>
      </c>
      <c r="AE4436">
        <v>4.304504E-2</v>
      </c>
      <c r="AF4436">
        <v>3.20221297710161E-3</v>
      </c>
      <c r="AG4436">
        <v>3.0668969999999999E-3</v>
      </c>
      <c r="AH4436">
        <v>3.0066963065904302</v>
      </c>
      <c r="AI4436">
        <v>89.9415570859897</v>
      </c>
      <c r="AJ4436">
        <v>89.938978466525597</v>
      </c>
      <c r="AK4436">
        <v>3.0066995759619402</v>
      </c>
    </row>
    <row r="4437" spans="1:37" x14ac:dyDescent="0.2">
      <c r="A4437" t="str">
        <f>"20200111155638035"</f>
        <v>20200111155638035</v>
      </c>
      <c r="B4437" t="str">
        <f>"1578729398027196"</f>
        <v>1578729398027196</v>
      </c>
      <c r="C4437" t="s">
        <v>37</v>
      </c>
      <c r="D4437">
        <v>4.4186430000000003</v>
      </c>
      <c r="E4437">
        <v>0.51566440000000002</v>
      </c>
      <c r="F4437" t="s">
        <v>48</v>
      </c>
      <c r="G4437">
        <v>0</v>
      </c>
      <c r="H4437">
        <v>0</v>
      </c>
      <c r="I4437">
        <v>0</v>
      </c>
      <c r="J4437">
        <v>-237.17910000000001</v>
      </c>
      <c r="K4437">
        <v>1.106314</v>
      </c>
      <c r="L4437">
        <v>141.40049999999999</v>
      </c>
      <c r="M4437">
        <v>-0.99985859999999904</v>
      </c>
      <c r="N4437">
        <v>0</v>
      </c>
      <c r="O4437">
        <v>1.114937E-2</v>
      </c>
      <c r="P4437">
        <v>-0.99815010000000004</v>
      </c>
      <c r="Q4437">
        <v>5.3876069999999998E-2</v>
      </c>
      <c r="R4437">
        <v>-2.8177750000000001E-2</v>
      </c>
      <c r="S4437">
        <v>-3.0067140000000001</v>
      </c>
      <c r="T4437">
        <v>-7.0331100000000004E-3</v>
      </c>
      <c r="U4437">
        <v>3.016663E-2</v>
      </c>
      <c r="V4437">
        <v>-3.9544570000000001E-2</v>
      </c>
      <c r="W4437">
        <v>6.6302570000000005E-2</v>
      </c>
      <c r="X4437">
        <v>0.99701569999999995</v>
      </c>
      <c r="Y4437">
        <v>-1.117697E-3</v>
      </c>
      <c r="Z4437" s="1">
        <v>-2.738767E-5</v>
      </c>
      <c r="AA4437">
        <v>0.99999939999999998</v>
      </c>
      <c r="AB4437">
        <v>26</v>
      </c>
      <c r="AC4437">
        <v>-3.0067140000000001</v>
      </c>
      <c r="AD4437">
        <v>-7.0331100000000004E-3</v>
      </c>
      <c r="AE4437">
        <v>3.016663E-2</v>
      </c>
      <c r="AF4437">
        <v>-3.3608503560418001E-3</v>
      </c>
      <c r="AG4437">
        <v>-7.0331100000000004E-3</v>
      </c>
      <c r="AH4437">
        <v>3.0068469996968101</v>
      </c>
      <c r="AI4437">
        <v>90.134016307876394</v>
      </c>
      <c r="AJ4437">
        <v>90.064041323287995</v>
      </c>
      <c r="AK4437">
        <v>3.00685710327862</v>
      </c>
    </row>
    <row r="4438" spans="1:37" x14ac:dyDescent="0.2">
      <c r="A4438" t="str">
        <f>"20200111155638050"</f>
        <v>20200111155638050</v>
      </c>
      <c r="B4438" t="str">
        <f>"1578729398047692"</f>
        <v>1578729398047692</v>
      </c>
      <c r="C4438" t="s">
        <v>37</v>
      </c>
      <c r="D4438">
        <v>4.406409</v>
      </c>
      <c r="E4438">
        <v>0.5157543</v>
      </c>
      <c r="F4438" t="s">
        <v>38</v>
      </c>
      <c r="G4438">
        <v>-468.83210000000003</v>
      </c>
      <c r="H4438" s="1">
        <v>-7.6567429999999998E-7</v>
      </c>
      <c r="I4438">
        <v>143.7407</v>
      </c>
      <c r="J4438">
        <v>-237.36080000000001</v>
      </c>
      <c r="K4438">
        <v>1.106303</v>
      </c>
      <c r="L4438">
        <v>141.4008</v>
      </c>
      <c r="M4438">
        <v>-0.99987739999999903</v>
      </c>
      <c r="N4438">
        <v>0</v>
      </c>
      <c r="O4438">
        <v>9.5918800000000005E-3</v>
      </c>
      <c r="P4438">
        <v>-0.99810339999999997</v>
      </c>
      <c r="Q4438">
        <v>5.3707530000000003E-2</v>
      </c>
      <c r="R4438">
        <v>-3.0083849999999999E-2</v>
      </c>
      <c r="S4438">
        <v>-3.0072019999999999</v>
      </c>
      <c r="T4438">
        <v>-1.436162E-2</v>
      </c>
      <c r="U4438">
        <v>3.0380250000000001E-2</v>
      </c>
      <c r="V4438">
        <v>-3.989885E-2</v>
      </c>
      <c r="W4438">
        <v>6.5908599999999998E-2</v>
      </c>
      <c r="X4438">
        <v>0.99702760000000001</v>
      </c>
      <c r="Y4438">
        <v>5.0949440000000001E-4</v>
      </c>
      <c r="Z4438" s="1">
        <v>-4.4592770000000002E-5</v>
      </c>
      <c r="AA4438">
        <v>0.99999989999999905</v>
      </c>
      <c r="AB4438">
        <v>26</v>
      </c>
      <c r="AC4438">
        <v>-231.47130000000001</v>
      </c>
      <c r="AD4438">
        <v>-1.1063037656743</v>
      </c>
      <c r="AE4438">
        <v>2.3399000000000001</v>
      </c>
      <c r="AF4438">
        <v>0.119374612120673</v>
      </c>
      <c r="AG4438">
        <v>-1.1063037656743</v>
      </c>
      <c r="AH4438">
        <v>231.47780859775801</v>
      </c>
      <c r="AI4438">
        <v>90.273832061802594</v>
      </c>
      <c r="AJ4438">
        <v>89.970452196300698</v>
      </c>
      <c r="AK4438">
        <v>231.480483046714</v>
      </c>
    </row>
    <row r="4439" spans="1:37" x14ac:dyDescent="0.2">
      <c r="A4439" t="str">
        <f>"20200111155638067"</f>
        <v>20200111155638067</v>
      </c>
      <c r="B4439" t="str">
        <f>"1578729398057451"</f>
        <v>1578729398057451</v>
      </c>
      <c r="C4439" t="s">
        <v>37</v>
      </c>
      <c r="D4439">
        <v>4.3976249999999997</v>
      </c>
      <c r="E4439">
        <v>0.51563479999999995</v>
      </c>
      <c r="F4439" t="s">
        <v>72</v>
      </c>
      <c r="G4439">
        <v>-418.58749999999998</v>
      </c>
      <c r="H4439" s="1">
        <v>-1.108047E-5</v>
      </c>
      <c r="I4439">
        <v>142.92349999999999</v>
      </c>
      <c r="J4439">
        <v>-237.5521</v>
      </c>
      <c r="K4439">
        <v>1.106276</v>
      </c>
      <c r="L4439">
        <v>141.40090000000001</v>
      </c>
      <c r="M4439">
        <v>-0.99989470000000003</v>
      </c>
      <c r="N4439">
        <v>0</v>
      </c>
      <c r="O4439">
        <v>7.9482960000000005E-3</v>
      </c>
      <c r="P4439">
        <v>-0.99804749999999998</v>
      </c>
      <c r="Q4439">
        <v>5.3155300000000003E-2</v>
      </c>
      <c r="R4439">
        <v>-3.280135E-2</v>
      </c>
      <c r="S4439">
        <v>-3.0074619999999999</v>
      </c>
      <c r="T4439">
        <v>-1.8359299999999999E-2</v>
      </c>
      <c r="U4439">
        <v>2.5268550000000001E-2</v>
      </c>
      <c r="V4439">
        <v>-4.0974950000000003E-2</v>
      </c>
      <c r="W4439">
        <v>6.5110680000000004E-2</v>
      </c>
      <c r="X4439">
        <v>0.99703649999999999</v>
      </c>
      <c r="Y4439">
        <v>4.5293109999999998E-4</v>
      </c>
      <c r="Z4439" s="1">
        <v>-4.71401E-5</v>
      </c>
      <c r="AA4439">
        <v>0.99999989999999905</v>
      </c>
      <c r="AB4439">
        <v>26</v>
      </c>
      <c r="AC4439">
        <v>-181.03540000000001</v>
      </c>
      <c r="AD4439">
        <v>-1.10628708047</v>
      </c>
      <c r="AE4439">
        <v>1.52259999999998</v>
      </c>
      <c r="AF4439">
        <v>8.3519762314655493E-2</v>
      </c>
      <c r="AG4439">
        <v>-1.10628708047</v>
      </c>
      <c r="AH4439">
        <v>181.03502363701</v>
      </c>
      <c r="AI4439">
        <v>90.350124432471205</v>
      </c>
      <c r="AJ4439">
        <v>89.973566830048</v>
      </c>
      <c r="AK4439">
        <v>181.03842307617401</v>
      </c>
    </row>
    <row r="4440" spans="1:37" x14ac:dyDescent="0.2">
      <c r="A4440" t="str">
        <f>"20200111155638090"</f>
        <v>20200111155638090</v>
      </c>
      <c r="B4440" t="str">
        <f>"1578729398076972"</f>
        <v>1578729398076972</v>
      </c>
      <c r="C4440" t="s">
        <v>37</v>
      </c>
      <c r="D4440">
        <v>4.4278579999999996</v>
      </c>
      <c r="E4440">
        <v>0.51565870000000003</v>
      </c>
      <c r="F4440" t="s">
        <v>38</v>
      </c>
      <c r="G4440">
        <v>-393.77629999999999</v>
      </c>
      <c r="H4440" s="1">
        <v>-3.349396E-6</v>
      </c>
      <c r="I4440">
        <v>142.2363</v>
      </c>
      <c r="J4440">
        <v>-237.8115</v>
      </c>
      <c r="K4440">
        <v>1.10622</v>
      </c>
      <c r="L4440">
        <v>141.4006</v>
      </c>
      <c r="M4440">
        <v>-0.99991409999999903</v>
      </c>
      <c r="N4440">
        <v>0</v>
      </c>
      <c r="O4440">
        <v>5.7373709999999998E-3</v>
      </c>
      <c r="P4440">
        <v>-0.99790569999999901</v>
      </c>
      <c r="Q4440">
        <v>5.2776360000000001E-2</v>
      </c>
      <c r="R4440">
        <v>-3.7401490000000003E-2</v>
      </c>
      <c r="S4440">
        <v>-3.0075379999999998</v>
      </c>
      <c r="T4440">
        <v>-2.1297449999999999E-2</v>
      </c>
      <c r="U4440">
        <v>1.6082760000000001E-2</v>
      </c>
      <c r="V4440">
        <v>-4.3363989999999998E-2</v>
      </c>
      <c r="W4440">
        <v>6.4381679999999997E-2</v>
      </c>
      <c r="X4440">
        <v>0.99698279999999995</v>
      </c>
      <c r="Y4440">
        <v>-3.9021349999999999E-4</v>
      </c>
      <c r="Z4440" s="1">
        <v>-4.20116799999999E-5</v>
      </c>
      <c r="AA4440">
        <v>0.99999989999999905</v>
      </c>
      <c r="AB4440">
        <v>26</v>
      </c>
      <c r="AC4440">
        <v>-155.9648</v>
      </c>
      <c r="AD4440">
        <v>-1.1062233493960001</v>
      </c>
      <c r="AE4440">
        <v>0.835700000000002</v>
      </c>
      <c r="AF4440">
        <v>-5.92008401256005E-2</v>
      </c>
      <c r="AG4440">
        <v>-1.1062233493960001</v>
      </c>
      <c r="AH4440">
        <v>155.95918201011301</v>
      </c>
      <c r="AI4440">
        <v>90.406393909164294</v>
      </c>
      <c r="AJ4440">
        <v>90.021749011992696</v>
      </c>
      <c r="AK4440">
        <v>155.96311643495</v>
      </c>
    </row>
    <row r="4441" spans="1:37" x14ac:dyDescent="0.2">
      <c r="A4441" t="str">
        <f>"20200111155638115"</f>
        <v>20200111155638115</v>
      </c>
      <c r="B4441" t="str">
        <f>"1578729398107228"</f>
        <v>1578729398107228</v>
      </c>
      <c r="C4441" t="s">
        <v>37</v>
      </c>
      <c r="D4441">
        <v>4.456683</v>
      </c>
      <c r="E4441">
        <v>0.51626970000000005</v>
      </c>
      <c r="F4441" t="s">
        <v>38</v>
      </c>
      <c r="G4441">
        <v>-367.301999999999</v>
      </c>
      <c r="H4441" s="1">
        <v>-1.6401959999999899E-6</v>
      </c>
      <c r="I4441">
        <v>141.49709999999999</v>
      </c>
      <c r="J4441">
        <v>-238.0934</v>
      </c>
      <c r="K4441">
        <v>1.106139</v>
      </c>
      <c r="L4441">
        <v>141.3997</v>
      </c>
      <c r="M4441">
        <v>-0.99992919999999996</v>
      </c>
      <c r="N4441">
        <v>0</v>
      </c>
      <c r="O4441">
        <v>3.3848989999999998E-3</v>
      </c>
      <c r="P4441">
        <v>-0.99773630000000002</v>
      </c>
      <c r="Q4441">
        <v>5.2235070000000001E-2</v>
      </c>
      <c r="R4441">
        <v>-4.2353830000000002E-2</v>
      </c>
      <c r="S4441">
        <v>-3.007736</v>
      </c>
      <c r="T4441">
        <v>-2.5694729999999999E-2</v>
      </c>
      <c r="U4441">
        <v>2.2430420000000002E-3</v>
      </c>
      <c r="V4441">
        <v>-4.5960830000000001E-2</v>
      </c>
      <c r="W4441">
        <v>6.3449480000000003E-2</v>
      </c>
      <c r="X4441">
        <v>0.99692610000000004</v>
      </c>
      <c r="Y4441">
        <v>-2.6391459999999898E-3</v>
      </c>
      <c r="Z4441" s="1">
        <v>-4.0190839999999998E-5</v>
      </c>
      <c r="AA4441">
        <v>0.99999649999999995</v>
      </c>
      <c r="AB4441">
        <v>26</v>
      </c>
      <c r="AC4441">
        <v>-129.208599999999</v>
      </c>
      <c r="AD4441">
        <v>-1.1061406401959999</v>
      </c>
      <c r="AE4441">
        <v>9.73999999999932E-2</v>
      </c>
      <c r="AF4441">
        <v>-0.33996216467735202</v>
      </c>
      <c r="AG4441">
        <v>-1.1061406401959999</v>
      </c>
      <c r="AH4441">
        <v>129.198720586565</v>
      </c>
      <c r="AI4441">
        <v>90.490526702633204</v>
      </c>
      <c r="AJ4441">
        <v>90.150762733462301</v>
      </c>
      <c r="AK4441">
        <v>129.20390289226799</v>
      </c>
    </row>
    <row r="4442" spans="1:37" x14ac:dyDescent="0.2">
      <c r="A4442" t="str">
        <f>"20200111155638135"</f>
        <v>20200111155638135</v>
      </c>
      <c r="B4442" t="str">
        <f>"1578729398127724"</f>
        <v>1578729398127724</v>
      </c>
      <c r="C4442" t="s">
        <v>37</v>
      </c>
      <c r="D4442">
        <v>4.5232749999999999</v>
      </c>
      <c r="E4442">
        <v>0.51626729999999998</v>
      </c>
      <c r="F4442" t="s">
        <v>38</v>
      </c>
      <c r="G4442">
        <v>-359.82170000000002</v>
      </c>
      <c r="H4442" s="1">
        <v>-4.4788909999999898E-7</v>
      </c>
      <c r="I4442">
        <v>141.07849999999999</v>
      </c>
      <c r="J4442">
        <v>-238.34099999999901</v>
      </c>
      <c r="K4442">
        <v>1.1060509999999999</v>
      </c>
      <c r="L4442">
        <v>141.39830000000001</v>
      </c>
      <c r="M4442">
        <v>-0.99993809999999905</v>
      </c>
      <c r="N4442">
        <v>0</v>
      </c>
      <c r="O4442">
        <v>1.384744E-3</v>
      </c>
      <c r="P4442">
        <v>-0.99758919999999995</v>
      </c>
      <c r="Q4442">
        <v>5.1036440000000002E-2</v>
      </c>
      <c r="R4442">
        <v>-4.7023420000000003E-2</v>
      </c>
      <c r="S4442">
        <v>-3.0078740000000002</v>
      </c>
      <c r="T4442">
        <v>-2.7332430000000001E-2</v>
      </c>
      <c r="U4442">
        <v>-7.9345700000000002E-3</v>
      </c>
      <c r="V4442">
        <v>-4.862325E-2</v>
      </c>
      <c r="W4442">
        <v>6.1889E-2</v>
      </c>
      <c r="X4442">
        <v>0.996897899999999</v>
      </c>
      <c r="Y4442">
        <v>-4.0225219999999997E-3</v>
      </c>
      <c r="Z4442" s="1">
        <v>-3.0859450000000001E-5</v>
      </c>
      <c r="AA4442">
        <v>0.99999189999999905</v>
      </c>
      <c r="AB4442">
        <v>26</v>
      </c>
      <c r="AC4442">
        <v>-121.4807</v>
      </c>
      <c r="AD4442">
        <v>-1.1060514478890999</v>
      </c>
      <c r="AE4442">
        <v>-0.31980000000001402</v>
      </c>
      <c r="AF4442">
        <v>-0.48798916361978201</v>
      </c>
      <c r="AG4442">
        <v>-1.1060514478890999</v>
      </c>
      <c r="AH4442">
        <v>121.470071275577</v>
      </c>
      <c r="AI4442">
        <v>90.521690788172407</v>
      </c>
      <c r="AJ4442">
        <v>90.230176609066106</v>
      </c>
      <c r="AK4442">
        <v>121.476086942752</v>
      </c>
    </row>
    <row r="4443" spans="1:37" x14ac:dyDescent="0.2">
      <c r="A4443" t="str">
        <f>"20200111155638157"</f>
        <v>20200111155638157</v>
      </c>
      <c r="B4443" t="str">
        <f>"1578729398147244"</f>
        <v>1578729398147244</v>
      </c>
      <c r="C4443" t="s">
        <v>37</v>
      </c>
      <c r="D4443">
        <v>4.4805789999999996</v>
      </c>
      <c r="E4443">
        <v>0.51622069999999998</v>
      </c>
      <c r="F4443" t="s">
        <v>38</v>
      </c>
      <c r="G4443">
        <v>-341.38139999999999</v>
      </c>
      <c r="H4443" s="1">
        <v>-3.950151E-6</v>
      </c>
      <c r="I4443">
        <v>140.63290000000001</v>
      </c>
      <c r="J4443">
        <v>-238.58539999999999</v>
      </c>
      <c r="K4443">
        <v>1.1059509999999999</v>
      </c>
      <c r="L4443">
        <v>141.39660000000001</v>
      </c>
      <c r="M4443">
        <v>-0.99994280000000002</v>
      </c>
      <c r="N4443">
        <v>0</v>
      </c>
      <c r="O4443">
        <v>-5.1307839999999996E-4</v>
      </c>
      <c r="P4443">
        <v>-0.99745890000000004</v>
      </c>
      <c r="Q4443">
        <v>4.9625299999999997E-2</v>
      </c>
      <c r="R4443">
        <v>-5.1117530000000001E-2</v>
      </c>
      <c r="S4443">
        <v>-3.0078429999999998</v>
      </c>
      <c r="T4443">
        <v>-3.2286759999999998E-2</v>
      </c>
      <c r="U4443">
        <v>-2.233887E-2</v>
      </c>
      <c r="V4443">
        <v>-5.0811050000000003E-2</v>
      </c>
      <c r="W4443">
        <v>6.0102759999999998E-2</v>
      </c>
      <c r="X4443">
        <v>0.99689810000000001</v>
      </c>
      <c r="Y4443">
        <v>-6.9132050000000004E-3</v>
      </c>
      <c r="Z4443" s="1">
        <v>-3.1594699999999998E-5</v>
      </c>
      <c r="AA4443">
        <v>0.99997610000000003</v>
      </c>
      <c r="AB4443">
        <v>26</v>
      </c>
      <c r="AC4443">
        <v>-102.79600000000001</v>
      </c>
      <c r="AD4443">
        <v>-1.105954950151</v>
      </c>
      <c r="AE4443">
        <v>-0.76370000000000005</v>
      </c>
      <c r="AF4443">
        <v>-0.71087220297597298</v>
      </c>
      <c r="AG4443">
        <v>-1.105954950151</v>
      </c>
      <c r="AH4443">
        <v>102.784481641656</v>
      </c>
      <c r="AI4443">
        <v>90.616460670002795</v>
      </c>
      <c r="AJ4443">
        <v>90.396259502980996</v>
      </c>
      <c r="AK4443">
        <v>102.79288954973801</v>
      </c>
    </row>
    <row r="4444" spans="1:37" x14ac:dyDescent="0.2">
      <c r="A4444" t="str">
        <f>"20200111155638180"</f>
        <v>20200111155638180</v>
      </c>
      <c r="B4444" t="str">
        <f>"1578729398177499"</f>
        <v>1578729398177499</v>
      </c>
      <c r="C4444" t="s">
        <v>37</v>
      </c>
      <c r="D4444">
        <v>4.4414169999999897</v>
      </c>
      <c r="E4444">
        <v>0.51660810000000001</v>
      </c>
      <c r="F4444" t="s">
        <v>38</v>
      </c>
      <c r="G4444">
        <v>-327.93189999999998</v>
      </c>
      <c r="H4444" s="1">
        <v>-1.0663920000000001E-6</v>
      </c>
      <c r="I4444">
        <v>140.3563</v>
      </c>
      <c r="J4444">
        <v>-238.85810000000001</v>
      </c>
      <c r="K4444">
        <v>1.1058299999999901</v>
      </c>
      <c r="L4444">
        <v>141.39420000000001</v>
      </c>
      <c r="M4444">
        <v>-0.99994439999999996</v>
      </c>
      <c r="N4444">
        <v>0</v>
      </c>
      <c r="O4444">
        <v>-2.5304899999999998E-3</v>
      </c>
      <c r="P4444">
        <v>-0.9973841</v>
      </c>
      <c r="Q4444">
        <v>4.8030690000000001E-2</v>
      </c>
      <c r="R4444">
        <v>-5.402179E-2</v>
      </c>
      <c r="S4444">
        <v>-3.0077060000000002</v>
      </c>
      <c r="T4444">
        <v>-3.723013E-2</v>
      </c>
      <c r="U4444">
        <v>-3.5018920000000002E-2</v>
      </c>
      <c r="V4444">
        <v>-5.1687589999999999E-2</v>
      </c>
      <c r="W4444">
        <v>5.8085459999999998E-2</v>
      </c>
      <c r="X4444">
        <v>0.99697269999999905</v>
      </c>
      <c r="Y4444">
        <v>-9.1112869999999992E-3</v>
      </c>
      <c r="Z4444" s="1">
        <v>-2.506455E-5</v>
      </c>
      <c r="AA4444">
        <v>0.99995849999999897</v>
      </c>
      <c r="AB4444">
        <v>26</v>
      </c>
      <c r="AC4444">
        <v>-89.073799999999906</v>
      </c>
      <c r="AD4444">
        <v>-1.1058310663919999</v>
      </c>
      <c r="AE4444">
        <v>-1.0379</v>
      </c>
      <c r="AF4444">
        <v>-0.81235931608634104</v>
      </c>
      <c r="AG4444">
        <v>-1.1058310663919999</v>
      </c>
      <c r="AH4444">
        <v>89.062416291782299</v>
      </c>
      <c r="AI4444">
        <v>90.711338911000396</v>
      </c>
      <c r="AJ4444">
        <v>90.5225938332715</v>
      </c>
      <c r="AK4444">
        <v>89.072985723711696</v>
      </c>
    </row>
    <row r="4445" spans="1:37" x14ac:dyDescent="0.2">
      <c r="A4445" t="str">
        <f>"20200111155638201"</f>
        <v>20200111155638201</v>
      </c>
      <c r="B4445" t="str">
        <f>"1578729398197019"</f>
        <v>1578729398197019</v>
      </c>
      <c r="C4445" t="s">
        <v>37</v>
      </c>
      <c r="D4445">
        <v>4.4499009999999997</v>
      </c>
      <c r="E4445">
        <v>0.51696489999999995</v>
      </c>
      <c r="F4445" t="s">
        <v>72</v>
      </c>
      <c r="G4445">
        <v>-316.54250000000002</v>
      </c>
      <c r="H4445" s="1">
        <v>-7.0947019999999997E-6</v>
      </c>
      <c r="I4445">
        <v>140.34829999999999</v>
      </c>
      <c r="J4445">
        <v>-239.1155</v>
      </c>
      <c r="K4445">
        <v>1.1057139999999901</v>
      </c>
      <c r="L4445">
        <v>141.39160000000001</v>
      </c>
      <c r="M4445">
        <v>-0.999942199999999</v>
      </c>
      <c r="N4445">
        <v>0</v>
      </c>
      <c r="O4445">
        <v>-4.3337389999999996E-3</v>
      </c>
      <c r="P4445">
        <v>-0.99733510000000003</v>
      </c>
      <c r="Q4445">
        <v>4.6585880000000003E-2</v>
      </c>
      <c r="R4445">
        <v>-5.6149520000000001E-2</v>
      </c>
      <c r="S4445">
        <v>-3.0077509999999998</v>
      </c>
      <c r="T4445">
        <v>-4.2815329999999999E-2</v>
      </c>
      <c r="U4445">
        <v>-4.0496829999999998E-2</v>
      </c>
      <c r="V4445">
        <v>-5.200254E-2</v>
      </c>
      <c r="W4445">
        <v>5.6253599999999897E-2</v>
      </c>
      <c r="X4445">
        <v>0.99706130000000004</v>
      </c>
      <c r="Y4445">
        <v>-9.1287650000000005E-3</v>
      </c>
      <c r="Z4445" s="1">
        <v>-3.2805039999999999E-6</v>
      </c>
      <c r="AA4445">
        <v>0.99995829999999997</v>
      </c>
      <c r="AB4445">
        <v>26</v>
      </c>
      <c r="AC4445">
        <v>-77.427000000000007</v>
      </c>
      <c r="AD4445">
        <v>-1.105721094702</v>
      </c>
      <c r="AE4445">
        <v>-1.0433000000000101</v>
      </c>
      <c r="AF4445">
        <v>-0.70758126866291204</v>
      </c>
      <c r="AG4445">
        <v>-1.105721094702</v>
      </c>
      <c r="AH4445">
        <v>77.415009152296804</v>
      </c>
      <c r="AI4445">
        <v>90.818267665948895</v>
      </c>
      <c r="AJ4445">
        <v>90.523674826026493</v>
      </c>
      <c r="AK4445">
        <v>77.426138560832499</v>
      </c>
    </row>
    <row r="4446" spans="1:37" x14ac:dyDescent="0.2">
      <c r="A4446" t="str">
        <f>"20200111155638216"</f>
        <v>20200111155638216</v>
      </c>
      <c r="B4446" t="str">
        <f>"1578729398207757"</f>
        <v>1578729398207757</v>
      </c>
      <c r="C4446" t="s">
        <v>37</v>
      </c>
      <c r="D4446">
        <v>4.5662469999999997</v>
      </c>
      <c r="E4446">
        <v>0.51696489999999995</v>
      </c>
      <c r="F4446" t="s">
        <v>72</v>
      </c>
      <c r="G4446">
        <v>-309.6687</v>
      </c>
      <c r="H4446" s="1">
        <v>-9.6663930000000003E-6</v>
      </c>
      <c r="I4446">
        <v>140.36080000000001</v>
      </c>
      <c r="J4446">
        <v>-239.29239999999999</v>
      </c>
      <c r="K4446">
        <v>1.1056440000000001</v>
      </c>
      <c r="L4446">
        <v>141.3896</v>
      </c>
      <c r="M4446">
        <v>-0.99993860000000001</v>
      </c>
      <c r="N4446">
        <v>0</v>
      </c>
      <c r="O4446">
        <v>-5.5315629999999998E-3</v>
      </c>
      <c r="P4446">
        <v>-0.99729659999999998</v>
      </c>
      <c r="Q4446">
        <v>4.5845709999999998E-2</v>
      </c>
      <c r="R4446">
        <v>-5.7425070000000002E-2</v>
      </c>
      <c r="S4446">
        <v>-3.0077669999999999</v>
      </c>
      <c r="T4446">
        <v>-4.7138329999999999E-2</v>
      </c>
      <c r="U4446">
        <v>-4.3945310000000001E-2</v>
      </c>
      <c r="V4446">
        <v>-5.2074839999999997E-2</v>
      </c>
      <c r="W4446">
        <v>5.5259500000000003E-2</v>
      </c>
      <c r="X4446">
        <v>0.99711309999999997</v>
      </c>
      <c r="Y4446">
        <v>-9.0771689999999995E-3</v>
      </c>
      <c r="Z4446" s="1">
        <v>1.5563170000000002E-5</v>
      </c>
      <c r="AA4446">
        <v>0.99995879999999904</v>
      </c>
      <c r="AB4446">
        <v>26</v>
      </c>
      <c r="AC4446">
        <v>-70.376300000000001</v>
      </c>
      <c r="AD4446">
        <v>-1.1056536663929999</v>
      </c>
      <c r="AE4446">
        <v>-1.02879999999998</v>
      </c>
      <c r="AF4446">
        <v>-0.639317609911915</v>
      </c>
      <c r="AG4446">
        <v>-1.1056536663929999</v>
      </c>
      <c r="AH4446">
        <v>70.363550711807903</v>
      </c>
      <c r="AI4446">
        <v>90.9002027449324</v>
      </c>
      <c r="AJ4446">
        <v>90.520570558286295</v>
      </c>
      <c r="AK4446">
        <v>70.375140964757705</v>
      </c>
    </row>
    <row r="4447" spans="1:37" x14ac:dyDescent="0.2">
      <c r="A4447" t="str">
        <f>"20200111155638235"</f>
        <v>20200111155638235</v>
      </c>
      <c r="B4447" t="str">
        <f>"1578729398227275"</f>
        <v>1578729398227275</v>
      </c>
      <c r="C4447" t="s">
        <v>37</v>
      </c>
      <c r="D4447">
        <v>4.4609899999999998</v>
      </c>
      <c r="E4447">
        <v>0.52845779999999998</v>
      </c>
      <c r="F4447" t="s">
        <v>72</v>
      </c>
      <c r="G4447">
        <v>-306.6925</v>
      </c>
      <c r="H4447" s="1">
        <v>-9.2267579999999996E-6</v>
      </c>
      <c r="I4447">
        <v>140.31960000000001</v>
      </c>
      <c r="J4447">
        <v>-239.50980000000001</v>
      </c>
      <c r="K4447">
        <v>1.105561</v>
      </c>
      <c r="L4447">
        <v>141.3869</v>
      </c>
      <c r="M4447">
        <v>-0.99993279999999995</v>
      </c>
      <c r="N4447">
        <v>0</v>
      </c>
      <c r="O4447">
        <v>-6.946051E-3</v>
      </c>
      <c r="P4447">
        <v>-0.99729469999999998</v>
      </c>
      <c r="Q4447">
        <v>4.4251789999999999E-2</v>
      </c>
      <c r="R4447">
        <v>-5.8697760000000002E-2</v>
      </c>
      <c r="S4447">
        <v>-3.0076290000000001</v>
      </c>
      <c r="T4447">
        <v>-4.9338099999999899E-2</v>
      </c>
      <c r="U4447">
        <v>-4.7744750000000002E-2</v>
      </c>
      <c r="V4447">
        <v>-5.1925199999999998E-2</v>
      </c>
      <c r="W4447">
        <v>5.3366879999999998E-2</v>
      </c>
      <c r="X4447">
        <v>0.997224</v>
      </c>
      <c r="Y4447">
        <v>-8.9264240000000005E-3</v>
      </c>
      <c r="Z4447" s="1">
        <v>4.0726619999999999E-5</v>
      </c>
      <c r="AA4447">
        <v>0.99996019999999897</v>
      </c>
      <c r="AB4447">
        <v>26</v>
      </c>
      <c r="AC4447">
        <v>-67.182699999999897</v>
      </c>
      <c r="AD4447">
        <v>-1.1055702267580001</v>
      </c>
      <c r="AE4447">
        <v>-1.0672999999999799</v>
      </c>
      <c r="AF4447">
        <v>-0.60043712691401097</v>
      </c>
      <c r="AG4447">
        <v>-1.1055702267580001</v>
      </c>
      <c r="AH4447">
        <v>67.170307466772897</v>
      </c>
      <c r="AI4447">
        <v>90.942920483280005</v>
      </c>
      <c r="AJ4447">
        <v>90.512154823342598</v>
      </c>
      <c r="AK4447">
        <v>67.1820885017016</v>
      </c>
    </row>
    <row r="4448" spans="1:37" x14ac:dyDescent="0.2">
      <c r="A4448" t="str">
        <f>"20200111155638257"</f>
        <v>20200111155638257</v>
      </c>
      <c r="B4448" t="str">
        <f>"1578729398246796"</f>
        <v>1578729398246796</v>
      </c>
      <c r="C4448" t="s">
        <v>37</v>
      </c>
      <c r="D4448">
        <v>4.6657669999999998</v>
      </c>
      <c r="E4448">
        <v>0.52971109999999999</v>
      </c>
      <c r="F4448" t="s">
        <v>72</v>
      </c>
      <c r="G4448">
        <v>-304.68119999999999</v>
      </c>
      <c r="H4448" s="1">
        <v>-9.5148370000000003E-6</v>
      </c>
      <c r="I4448">
        <v>142.25890000000001</v>
      </c>
      <c r="J4448">
        <v>-239.7672</v>
      </c>
      <c r="K4448">
        <v>1.1054549999999901</v>
      </c>
      <c r="L4448">
        <v>141.38329999999999</v>
      </c>
      <c r="M4448">
        <v>-0.99992389999999998</v>
      </c>
      <c r="N4448">
        <v>0</v>
      </c>
      <c r="O4448">
        <v>-8.5335459999999995E-3</v>
      </c>
      <c r="P4448">
        <v>-0.99727860000000002</v>
      </c>
      <c r="Q4448">
        <v>4.2715459999999997E-2</v>
      </c>
      <c r="R4448">
        <v>-6.009279E-2</v>
      </c>
      <c r="S4448">
        <v>-3.0128020000000002</v>
      </c>
      <c r="T4448">
        <v>-5.1109309999999998E-2</v>
      </c>
      <c r="U4448">
        <v>4.0313719999999997E-2</v>
      </c>
      <c r="V4448">
        <v>-5.1723959999999999E-2</v>
      </c>
      <c r="W4448">
        <v>5.1476429999999997E-2</v>
      </c>
      <c r="X4448">
        <v>0.99733379999999905</v>
      </c>
      <c r="Y4448">
        <v>2.1907860000000001E-2</v>
      </c>
      <c r="Z4448">
        <v>3.3055440000000002E-4</v>
      </c>
      <c r="AA4448">
        <v>0.99975990000000003</v>
      </c>
      <c r="AB4448">
        <v>26</v>
      </c>
      <c r="AC4448">
        <v>-64.913999999999902</v>
      </c>
      <c r="AD4448">
        <v>-1.1054645148369999</v>
      </c>
      <c r="AE4448">
        <v>0.87560000000001903</v>
      </c>
      <c r="AF4448">
        <v>1.4291223219042399</v>
      </c>
      <c r="AG4448">
        <v>-1.1054645148369999</v>
      </c>
      <c r="AH4448">
        <v>64.885349962677495</v>
      </c>
      <c r="AI4448">
        <v>90.975828452315696</v>
      </c>
      <c r="AJ4448">
        <v>88.738244603903695</v>
      </c>
      <c r="AK4448">
        <v>64.910500554098803</v>
      </c>
    </row>
    <row r="4449" spans="1:37" x14ac:dyDescent="0.2">
      <c r="A4449" t="str">
        <f>"20200111155638274"</f>
        <v>20200111155638274</v>
      </c>
      <c r="B4449" t="str">
        <f>"1578729398267292"</f>
        <v>1578729398267292</v>
      </c>
      <c r="C4449" t="s">
        <v>37</v>
      </c>
      <c r="D4449">
        <v>4.5374109999999996</v>
      </c>
      <c r="E4449">
        <v>0.53086750000000005</v>
      </c>
      <c r="F4449" t="s">
        <v>72</v>
      </c>
      <c r="G4449">
        <v>-312.8664</v>
      </c>
      <c r="H4449" s="1">
        <v>-9.1574259999999992E-6</v>
      </c>
      <c r="I4449">
        <v>142.51769999999999</v>
      </c>
      <c r="J4449">
        <v>-239.96170000000001</v>
      </c>
      <c r="K4449">
        <v>1.1053709999999899</v>
      </c>
      <c r="L4449">
        <v>141.38050000000001</v>
      </c>
      <c r="M4449">
        <v>-0.99991629999999998</v>
      </c>
      <c r="N4449">
        <v>0</v>
      </c>
      <c r="O4449">
        <v>-9.6505979999999998E-3</v>
      </c>
      <c r="P4449">
        <v>-0.9972183</v>
      </c>
      <c r="Q4449">
        <v>4.2470330000000001E-2</v>
      </c>
      <c r="R4449">
        <v>-6.1258069999999998E-2</v>
      </c>
      <c r="S4449">
        <v>-3.0129389999999998</v>
      </c>
      <c r="T4449">
        <v>-4.5564060000000003E-2</v>
      </c>
      <c r="U4449">
        <v>4.6752929999999998E-2</v>
      </c>
      <c r="V4449">
        <v>-5.1767199999999999E-2</v>
      </c>
      <c r="W4449">
        <v>5.0956410000000001E-2</v>
      </c>
      <c r="X4449">
        <v>0.99735830000000003</v>
      </c>
      <c r="Y4449">
        <v>2.516061E-2</v>
      </c>
      <c r="Z4449">
        <v>3.3616039999999998E-4</v>
      </c>
      <c r="AA4449">
        <v>0.9996834</v>
      </c>
      <c r="AB4449">
        <v>26</v>
      </c>
      <c r="AC4449">
        <v>-72.904699999999906</v>
      </c>
      <c r="AD4449">
        <v>-1.1053801574259901</v>
      </c>
      <c r="AE4449">
        <v>1.13719999999997</v>
      </c>
      <c r="AF4449">
        <v>1.8403241540116799</v>
      </c>
      <c r="AG4449">
        <v>-1.1053801574259901</v>
      </c>
      <c r="AH4449">
        <v>72.873581115236206</v>
      </c>
      <c r="AI4449">
        <v>90.868745285325204</v>
      </c>
      <c r="AJ4449">
        <v>88.553379720844802</v>
      </c>
      <c r="AK4449">
        <v>72.905195170462093</v>
      </c>
    </row>
    <row r="4450" spans="1:37" x14ac:dyDescent="0.2">
      <c r="A4450" t="str">
        <f>"20200111155638291"</f>
        <v>20200111155638291</v>
      </c>
      <c r="B4450" t="str">
        <f>"1578729398287788"</f>
        <v>1578729398287788</v>
      </c>
      <c r="C4450" t="s">
        <v>37</v>
      </c>
      <c r="D4450">
        <v>4.5819729999999996</v>
      </c>
      <c r="E4450">
        <v>0.53064389999999995</v>
      </c>
      <c r="F4450" t="s">
        <v>38</v>
      </c>
      <c r="G4450">
        <v>-327.72019999999998</v>
      </c>
      <c r="H4450" s="1">
        <v>-1.838828E-6</v>
      </c>
      <c r="I4450">
        <v>142.91800000000001</v>
      </c>
      <c r="J4450">
        <v>-240.17269999999999</v>
      </c>
      <c r="K4450">
        <v>1.1052690000000001</v>
      </c>
      <c r="L4450">
        <v>141.37719999999999</v>
      </c>
      <c r="M4450">
        <v>-0.9999072</v>
      </c>
      <c r="N4450">
        <v>0</v>
      </c>
      <c r="O4450">
        <v>-1.078874E-2</v>
      </c>
      <c r="P4450">
        <v>-0.99711609999999995</v>
      </c>
      <c r="Q4450">
        <v>4.238335E-2</v>
      </c>
      <c r="R4450">
        <v>-6.29551E-2</v>
      </c>
      <c r="S4450">
        <v>-3.0132289999999999</v>
      </c>
      <c r="T4450">
        <v>-3.7953500000000001E-2</v>
      </c>
      <c r="U4450">
        <v>5.2795410000000001E-2</v>
      </c>
      <c r="V4450">
        <v>-5.2321329999999999E-2</v>
      </c>
      <c r="W4450">
        <v>5.0563520000000001E-2</v>
      </c>
      <c r="X4450">
        <v>0.99734940000000005</v>
      </c>
      <c r="Y4450">
        <v>2.8301860000000002E-2</v>
      </c>
      <c r="Z4450">
        <v>3.14100099999999E-4</v>
      </c>
      <c r="AA4450">
        <v>0.99959940000000003</v>
      </c>
      <c r="AB4450">
        <v>27</v>
      </c>
      <c r="AC4450">
        <v>-87.5474999999999</v>
      </c>
      <c r="AD4450">
        <v>-1.1052708388279999</v>
      </c>
      <c r="AE4450">
        <v>1.5408000000000099</v>
      </c>
      <c r="AF4450">
        <v>2.4848742825738501</v>
      </c>
      <c r="AG4450">
        <v>-1.1052708388279999</v>
      </c>
      <c r="AH4450">
        <v>87.511836669443397</v>
      </c>
      <c r="AI4450">
        <v>90.723313326593697</v>
      </c>
      <c r="AJ4450">
        <v>88.373539286227299</v>
      </c>
      <c r="AK4450">
        <v>87.554084890921601</v>
      </c>
    </row>
    <row r="4451" spans="1:37" x14ac:dyDescent="0.2">
      <c r="A4451" t="str">
        <f>"20200111155638314"</f>
        <v>20200111155638314</v>
      </c>
      <c r="B4451" t="str">
        <f>"1578729398307309"</f>
        <v>1578729398307309</v>
      </c>
      <c r="C4451" t="s">
        <v>37</v>
      </c>
      <c r="D4451">
        <v>4.5119499999999997</v>
      </c>
      <c r="E4451">
        <v>0.53114090000000003</v>
      </c>
      <c r="F4451" t="s">
        <v>38</v>
      </c>
      <c r="G4451">
        <v>-326.6925</v>
      </c>
      <c r="H4451" s="1">
        <v>-2.2192380000000001E-6</v>
      </c>
      <c r="I4451">
        <v>142.69069999999999</v>
      </c>
      <c r="J4451">
        <v>-240.4462</v>
      </c>
      <c r="K4451">
        <v>1.105132</v>
      </c>
      <c r="L4451">
        <v>141.37280000000001</v>
      </c>
      <c r="M4451">
        <v>-0.99989499999999998</v>
      </c>
      <c r="N4451">
        <v>0</v>
      </c>
      <c r="O4451">
        <v>-1.2145349999999999E-2</v>
      </c>
      <c r="P4451">
        <v>-0.99694369999999999</v>
      </c>
      <c r="Q4451">
        <v>4.2823769999999997E-2</v>
      </c>
      <c r="R4451">
        <v>-6.5344479999999996E-2</v>
      </c>
      <c r="S4451">
        <v>-3.0131839999999999</v>
      </c>
      <c r="T4451">
        <v>-3.8492800000000001E-2</v>
      </c>
      <c r="U4451">
        <v>4.5745849999999998E-2</v>
      </c>
      <c r="V4451">
        <v>-5.3347480000000003E-2</v>
      </c>
      <c r="W4451">
        <v>5.0603530000000001E-2</v>
      </c>
      <c r="X4451">
        <v>0.99729299999999999</v>
      </c>
      <c r="Y4451">
        <v>2.732014E-2</v>
      </c>
      <c r="Z4451">
        <v>3.2963209999999998E-4</v>
      </c>
      <c r="AA4451">
        <v>0.99962669999999998</v>
      </c>
      <c r="AB4451">
        <v>27</v>
      </c>
      <c r="AC4451">
        <v>-86.246299999999906</v>
      </c>
      <c r="AD4451">
        <v>-1.105134219238</v>
      </c>
      <c r="AE4451">
        <v>1.3178999999999801</v>
      </c>
      <c r="AF4451">
        <v>2.3649388027172198</v>
      </c>
      <c r="AG4451">
        <v>-1.105134219238</v>
      </c>
      <c r="AH4451">
        <v>86.209779877876997</v>
      </c>
      <c r="AI4451">
        <v>90.734165553178499</v>
      </c>
      <c r="AJ4451">
        <v>88.428634918465406</v>
      </c>
      <c r="AK4451">
        <v>86.249292192893606</v>
      </c>
    </row>
    <row r="4452" spans="1:37" x14ac:dyDescent="0.2">
      <c r="A4452" t="str">
        <f>"20200111155638335"</f>
        <v>20200111155638335</v>
      </c>
      <c r="B4452" t="str">
        <f>"1578729398326828"</f>
        <v>1578729398326828</v>
      </c>
      <c r="C4452" t="s">
        <v>37</v>
      </c>
      <c r="D4452">
        <v>4.4012560000000001</v>
      </c>
      <c r="E4452">
        <v>0.53140319999999996</v>
      </c>
      <c r="F4452" t="s">
        <v>38</v>
      </c>
      <c r="G4452">
        <v>-327.0659</v>
      </c>
      <c r="H4452" s="1">
        <v>-2.0328829999999998E-6</v>
      </c>
      <c r="I4452">
        <v>142.5924</v>
      </c>
      <c r="J4452">
        <v>-240.70849999999999</v>
      </c>
      <c r="K4452">
        <v>1.1049869999999999</v>
      </c>
      <c r="L4452">
        <v>141.3683</v>
      </c>
      <c r="M4452">
        <v>-0.99988319999999997</v>
      </c>
      <c r="N4452">
        <v>0</v>
      </c>
      <c r="O4452">
        <v>-1.3307889999999999E-2</v>
      </c>
      <c r="P4452">
        <v>-0.99680199999999997</v>
      </c>
      <c r="Q4452">
        <v>4.318599E-2</v>
      </c>
      <c r="R4452">
        <v>-6.7240330000000001E-2</v>
      </c>
      <c r="S4452">
        <v>-3.013611</v>
      </c>
      <c r="T4452">
        <v>-3.8449049999999999E-2</v>
      </c>
      <c r="U4452">
        <v>4.2434689999999997E-2</v>
      </c>
      <c r="V4452">
        <v>-5.4073669999999997E-2</v>
      </c>
      <c r="W4452">
        <v>5.0585430000000001E-2</v>
      </c>
      <c r="X4452">
        <v>0.9972548</v>
      </c>
      <c r="Y4452">
        <v>2.7382009999999998E-2</v>
      </c>
      <c r="Z4452">
        <v>3.4443839999999902E-4</v>
      </c>
      <c r="AA4452">
        <v>0.99962499999999999</v>
      </c>
      <c r="AB4452">
        <v>27</v>
      </c>
      <c r="AC4452">
        <v>-86.357399999999998</v>
      </c>
      <c r="AD4452">
        <v>-1.1049890328830001</v>
      </c>
      <c r="AE4452">
        <v>1.22409999999999</v>
      </c>
      <c r="AF4452">
        <v>2.3728704126098901</v>
      </c>
      <c r="AG4452">
        <v>-1.1049890328830001</v>
      </c>
      <c r="AH4452">
        <v>86.319331783359004</v>
      </c>
      <c r="AI4452">
        <v>90.733136425439795</v>
      </c>
      <c r="AJ4452">
        <v>88.425367447989501</v>
      </c>
      <c r="AK4452">
        <v>86.359009687950007</v>
      </c>
    </row>
    <row r="4453" spans="1:37" x14ac:dyDescent="0.2">
      <c r="A4453" t="str">
        <f>"20200111155638351"</f>
        <v>20200111155638351</v>
      </c>
      <c r="B4453" t="str">
        <f>"1578729398347324"</f>
        <v>1578729398347324</v>
      </c>
      <c r="C4453" t="s">
        <v>37</v>
      </c>
      <c r="D4453">
        <v>4.5153639999999999</v>
      </c>
      <c r="E4453">
        <v>0.53152880000000002</v>
      </c>
      <c r="F4453" t="s">
        <v>38</v>
      </c>
      <c r="G4453">
        <v>-330.76530000000002</v>
      </c>
      <c r="H4453" s="1">
        <v>-4.9338379999999999E-6</v>
      </c>
      <c r="I4453">
        <v>142.52780000000001</v>
      </c>
      <c r="J4453">
        <v>-240.89169999999999</v>
      </c>
      <c r="K4453">
        <v>1.104881</v>
      </c>
      <c r="L4453">
        <v>141.36510000000001</v>
      </c>
      <c r="M4453">
        <v>-0.99987539999999997</v>
      </c>
      <c r="N4453">
        <v>0</v>
      </c>
      <c r="O4453">
        <v>-1.401782E-2</v>
      </c>
      <c r="P4453">
        <v>-0.9967357</v>
      </c>
      <c r="Q4453">
        <v>4.3236049999999998E-2</v>
      </c>
      <c r="R4453">
        <v>-6.8180450000000004E-2</v>
      </c>
      <c r="S4453">
        <v>-3.013855</v>
      </c>
      <c r="T4453">
        <v>-3.6979789999999998E-2</v>
      </c>
      <c r="U4453">
        <v>3.88031E-2</v>
      </c>
      <c r="V4453">
        <v>-5.4296810000000001E-2</v>
      </c>
      <c r="W4453">
        <v>5.037113E-2</v>
      </c>
      <c r="X4453">
        <v>0.99725350000000001</v>
      </c>
      <c r="Y4453">
        <v>2.6886520000000001E-2</v>
      </c>
      <c r="Z4453">
        <v>3.3692309999999899E-4</v>
      </c>
      <c r="AA4453">
        <v>0.99963840000000004</v>
      </c>
      <c r="AB4453">
        <v>27</v>
      </c>
      <c r="AC4453">
        <v>-89.873599999999996</v>
      </c>
      <c r="AD4453">
        <v>-1.1048859338379999</v>
      </c>
      <c r="AE4453">
        <v>1.1627000000000001</v>
      </c>
      <c r="AF4453">
        <v>2.4220848843938398</v>
      </c>
      <c r="AG4453">
        <v>-1.1048859338379999</v>
      </c>
      <c r="AH4453">
        <v>89.8348950047626</v>
      </c>
      <c r="AI4453">
        <v>90.704393499852699</v>
      </c>
      <c r="AJ4453">
        <v>88.4555931207952</v>
      </c>
      <c r="AK4453">
        <v>89.874332423839107</v>
      </c>
    </row>
    <row r="4454" spans="1:37" x14ac:dyDescent="0.2">
      <c r="A4454" t="str">
        <f>"20200111155638368"</f>
        <v>20200111155638368</v>
      </c>
      <c r="B4454" t="str">
        <f>"1578729398357084"</f>
        <v>1578729398357084</v>
      </c>
      <c r="C4454" t="s">
        <v>37</v>
      </c>
      <c r="D4454">
        <v>4.4094189999999998</v>
      </c>
      <c r="E4454">
        <v>0.53165200000000001</v>
      </c>
      <c r="F4454" t="s">
        <v>38</v>
      </c>
      <c r="G4454">
        <v>-332.9667</v>
      </c>
      <c r="H4454" s="1">
        <v>-4.0715940000000004E-6</v>
      </c>
      <c r="I4454">
        <v>142.49690000000001</v>
      </c>
      <c r="J4454">
        <v>-241.1019</v>
      </c>
      <c r="K4454">
        <v>1.104752</v>
      </c>
      <c r="L4454">
        <v>141.3614</v>
      </c>
      <c r="M4454">
        <v>-0.99986739999999996</v>
      </c>
      <c r="N4454">
        <v>0</v>
      </c>
      <c r="O4454">
        <v>-1.4735959999999999E-2</v>
      </c>
      <c r="P4454">
        <v>-0.99670409999999898</v>
      </c>
      <c r="Q4454">
        <v>4.2974129999999999E-2</v>
      </c>
      <c r="R4454">
        <v>-6.8807950000000007E-2</v>
      </c>
      <c r="S4454">
        <v>-3.0139309999999999</v>
      </c>
      <c r="T4454">
        <v>-3.6166669999999998E-2</v>
      </c>
      <c r="U4454">
        <v>3.7048339999999999E-2</v>
      </c>
      <c r="V4454">
        <v>-5.4196109999999999E-2</v>
      </c>
      <c r="W4454">
        <v>4.9806789999999997E-2</v>
      </c>
      <c r="X4454">
        <v>0.99728729999999999</v>
      </c>
      <c r="Y4454">
        <v>2.7022290000000001E-2</v>
      </c>
      <c r="Z4454">
        <v>3.3893889999999998E-4</v>
      </c>
      <c r="AA4454">
        <v>0.99963480000000005</v>
      </c>
      <c r="AB4454">
        <v>27</v>
      </c>
      <c r="AC4454">
        <v>-91.864800000000002</v>
      </c>
      <c r="AD4454">
        <v>-1.1047560715939999</v>
      </c>
      <c r="AE4454">
        <v>1.1355</v>
      </c>
      <c r="AF4454">
        <v>2.4887653574464599</v>
      </c>
      <c r="AG4454">
        <v>-1.1047560715939999</v>
      </c>
      <c r="AH4454">
        <v>91.824813877702695</v>
      </c>
      <c r="AI4454">
        <v>90.689046575028996</v>
      </c>
      <c r="AJ4454">
        <v>88.447469220497098</v>
      </c>
      <c r="AK4454">
        <v>91.865177747919702</v>
      </c>
    </row>
    <row r="4455" spans="1:37" x14ac:dyDescent="0.2">
      <c r="A4455" t="str">
        <f>"20200111155638382"</f>
        <v>20200111155638382</v>
      </c>
      <c r="B4455" t="str">
        <f>"1578729398377580"</f>
        <v>1578729398377580</v>
      </c>
      <c r="C4455" t="s">
        <v>37</v>
      </c>
      <c r="D4455">
        <v>4.4962660000000003</v>
      </c>
      <c r="E4455">
        <v>0.53229349999999998</v>
      </c>
      <c r="F4455" t="s">
        <v>38</v>
      </c>
      <c r="G4455">
        <v>-332.91449999999998</v>
      </c>
      <c r="H4455" s="1">
        <v>-4.088005E-6</v>
      </c>
      <c r="I4455">
        <v>142.4658</v>
      </c>
      <c r="J4455">
        <v>-241.27709999999999</v>
      </c>
      <c r="K4455">
        <v>1.104638</v>
      </c>
      <c r="L4455">
        <v>141.35820000000001</v>
      </c>
      <c r="M4455">
        <v>-0.99986149999999996</v>
      </c>
      <c r="N4455">
        <v>0</v>
      </c>
      <c r="O4455">
        <v>-1.525369E-2</v>
      </c>
      <c r="P4455">
        <v>-0.99668310000000004</v>
      </c>
      <c r="Q4455">
        <v>4.309209E-2</v>
      </c>
      <c r="R4455">
        <v>-6.9036299999999995E-2</v>
      </c>
      <c r="S4455">
        <v>-3.013992</v>
      </c>
      <c r="T4455">
        <v>-3.6266569999999998E-2</v>
      </c>
      <c r="U4455">
        <v>3.6254880000000003E-2</v>
      </c>
      <c r="V4455">
        <v>-5.3898300000000003E-2</v>
      </c>
      <c r="W4455">
        <v>4.9674870000000003E-2</v>
      </c>
      <c r="X4455">
        <v>0.99731009999999998</v>
      </c>
      <c r="Y4455">
        <v>2.7276450000000001E-2</v>
      </c>
      <c r="Z4455">
        <v>3.4762660000000001E-4</v>
      </c>
      <c r="AA4455">
        <v>0.99962790000000001</v>
      </c>
      <c r="AB4455">
        <v>27</v>
      </c>
      <c r="AC4455">
        <v>-91.6374</v>
      </c>
      <c r="AD4455">
        <v>-1.1046420880050001</v>
      </c>
      <c r="AE4455">
        <v>1.1075999999999899</v>
      </c>
      <c r="AF4455">
        <v>2.50494664743136</v>
      </c>
      <c r="AG4455">
        <v>-1.1046420880050001</v>
      </c>
      <c r="AH4455">
        <v>91.596534663091504</v>
      </c>
      <c r="AI4455">
        <v>90.690687817071094</v>
      </c>
      <c r="AJ4455">
        <v>88.433487603976005</v>
      </c>
      <c r="AK4455">
        <v>91.637438605277396</v>
      </c>
    </row>
    <row r="4456" spans="1:37" x14ac:dyDescent="0.2">
      <c r="A4456" t="str">
        <f>"20200111155638397"</f>
        <v>20200111155638397</v>
      </c>
      <c r="B4456" t="str">
        <f>"1578729398387340"</f>
        <v>1578729398387340</v>
      </c>
      <c r="C4456" t="s">
        <v>37</v>
      </c>
      <c r="D4456">
        <v>4.3941589999999904</v>
      </c>
      <c r="E4456">
        <v>0.53253379999999995</v>
      </c>
      <c r="F4456" t="s">
        <v>38</v>
      </c>
      <c r="G4456">
        <v>-331.31659999999999</v>
      </c>
      <c r="H4456" s="1">
        <v>-4.729913E-6</v>
      </c>
      <c r="I4456">
        <v>142.57149999999999</v>
      </c>
      <c r="J4456">
        <v>-241.4572</v>
      </c>
      <c r="K4456">
        <v>1.1045180000000001</v>
      </c>
      <c r="L4456">
        <v>141.35499999999999</v>
      </c>
      <c r="M4456">
        <v>-0.99985609999999903</v>
      </c>
      <c r="N4456">
        <v>0</v>
      </c>
      <c r="O4456">
        <v>-1.5701369999999999E-2</v>
      </c>
      <c r="P4456">
        <v>-0.99669889999999906</v>
      </c>
      <c r="Q4456">
        <v>4.284922E-2</v>
      </c>
      <c r="R4456">
        <v>-6.8955760000000005E-2</v>
      </c>
      <c r="S4456">
        <v>-3.014389</v>
      </c>
      <c r="T4456">
        <v>-3.6981819999999999E-2</v>
      </c>
      <c r="U4456">
        <v>4.0618899999999999E-2</v>
      </c>
      <c r="V4456">
        <v>-5.3360779999999997E-2</v>
      </c>
      <c r="W4456">
        <v>4.917908E-2</v>
      </c>
      <c r="X4456">
        <v>0.99736360000000002</v>
      </c>
      <c r="Y4456">
        <v>2.916902E-2</v>
      </c>
      <c r="Z4456">
        <v>3.7153259999999998E-4</v>
      </c>
      <c r="AA4456">
        <v>0.99957439999999997</v>
      </c>
      <c r="AB4456">
        <v>27</v>
      </c>
      <c r="AC4456">
        <v>-89.859399999999994</v>
      </c>
      <c r="AD4456">
        <v>-1.104522729913</v>
      </c>
      <c r="AE4456">
        <v>1.2164999999999899</v>
      </c>
      <c r="AF4456">
        <v>2.6268980036295502</v>
      </c>
      <c r="AG4456">
        <v>-1.104522729913</v>
      </c>
      <c r="AH4456">
        <v>89.815653754303796</v>
      </c>
      <c r="AI4456">
        <v>90.704267597789396</v>
      </c>
      <c r="AJ4456">
        <v>88.324709916562199</v>
      </c>
      <c r="AK4456">
        <v>89.860849221979606</v>
      </c>
    </row>
    <row r="4457" spans="1:37" x14ac:dyDescent="0.2">
      <c r="A4457" t="str">
        <f>"20200111155638414"</f>
        <v>20200111155638414</v>
      </c>
      <c r="B4457" t="str">
        <f>"1578729398406861"</f>
        <v>1578729398406861</v>
      </c>
      <c r="C4457" t="s">
        <v>37</v>
      </c>
      <c r="D4457">
        <v>4.3668670000000001</v>
      </c>
      <c r="E4457">
        <v>0.53291860000000002</v>
      </c>
      <c r="F4457" t="s">
        <v>38</v>
      </c>
      <c r="G4457">
        <v>-329.28550000000001</v>
      </c>
      <c r="H4457" s="1">
        <v>-1.08289E-6</v>
      </c>
      <c r="I4457">
        <v>142.60059999999999</v>
      </c>
      <c r="J4457">
        <v>-241.6712</v>
      </c>
      <c r="K4457">
        <v>1.104371</v>
      </c>
      <c r="L4457">
        <v>141.35120000000001</v>
      </c>
      <c r="M4457">
        <v>-0.99985179999999996</v>
      </c>
      <c r="N4457">
        <v>0</v>
      </c>
      <c r="O4457">
        <v>-1.610487E-2</v>
      </c>
      <c r="P4457">
        <v>-0.9967722</v>
      </c>
      <c r="Q4457">
        <v>4.2673429999999998E-2</v>
      </c>
      <c r="R4457">
        <v>-6.8001480000000003E-2</v>
      </c>
      <c r="S4457">
        <v>-3.0144959999999998</v>
      </c>
      <c r="T4457">
        <v>-3.7909980000000003E-2</v>
      </c>
      <c r="U4457">
        <v>4.2755130000000002E-2</v>
      </c>
      <c r="V4457">
        <v>-5.198941E-2</v>
      </c>
      <c r="W4457">
        <v>4.8713289999999999E-2</v>
      </c>
      <c r="X4457">
        <v>0.99745879999999998</v>
      </c>
      <c r="Y4457">
        <v>3.0279790000000001E-2</v>
      </c>
      <c r="Z4457">
        <v>3.9289860000000002E-4</v>
      </c>
      <c r="AA4457">
        <v>0.99954140000000002</v>
      </c>
      <c r="AB4457">
        <v>27</v>
      </c>
      <c r="AC4457">
        <v>-87.6143</v>
      </c>
      <c r="AD4457">
        <v>-1.1043720828899899</v>
      </c>
      <c r="AE4457">
        <v>1.2493999999999801</v>
      </c>
      <c r="AF4457">
        <v>2.65985845741662</v>
      </c>
      <c r="AG4457">
        <v>-1.1043720828899899</v>
      </c>
      <c r="AH4457">
        <v>87.568904432703505</v>
      </c>
      <c r="AI4457">
        <v>90.722212306392706</v>
      </c>
      <c r="AJ4457">
        <v>88.260206376331297</v>
      </c>
      <c r="AK4457">
        <v>87.616251393533801</v>
      </c>
    </row>
    <row r="4458" spans="1:37" x14ac:dyDescent="0.2">
      <c r="A4458" t="str">
        <f>"20200111155638430"</f>
        <v>20200111155638430</v>
      </c>
      <c r="B4458" t="str">
        <f>"1578729398427356"</f>
        <v>1578729398427356</v>
      </c>
      <c r="C4458" t="s">
        <v>37</v>
      </c>
      <c r="D4458">
        <v>4.358428</v>
      </c>
      <c r="E4458">
        <v>0.53325869999999997</v>
      </c>
      <c r="F4458" t="s">
        <v>38</v>
      </c>
      <c r="G4458">
        <v>-326.25740000000002</v>
      </c>
      <c r="H4458" s="1">
        <v>-2.4127140000000002E-6</v>
      </c>
      <c r="I4458">
        <v>142.71639999999999</v>
      </c>
      <c r="J4458">
        <v>-241.86519999999999</v>
      </c>
      <c r="K4458">
        <v>1.1042369999999999</v>
      </c>
      <c r="L4458">
        <v>141.34780000000001</v>
      </c>
      <c r="M4458">
        <v>-0.99984910000000005</v>
      </c>
      <c r="N4458">
        <v>0</v>
      </c>
      <c r="O4458">
        <v>-1.6366599999999999E-2</v>
      </c>
      <c r="P4458">
        <v>-0.99685999999999997</v>
      </c>
      <c r="Q4458">
        <v>4.2034530000000001E-2</v>
      </c>
      <c r="R4458">
        <v>-6.7111959999999998E-2</v>
      </c>
      <c r="S4458">
        <v>-3.0147089999999999</v>
      </c>
      <c r="T4458">
        <v>-3.9360640000000002E-2</v>
      </c>
      <c r="U4458">
        <v>4.866028E-2</v>
      </c>
      <c r="V4458">
        <v>-5.082536E-2</v>
      </c>
      <c r="W4458">
        <v>4.7816940000000002E-2</v>
      </c>
      <c r="X4458">
        <v>0.99756219999999995</v>
      </c>
      <c r="Y4458">
        <v>3.2497280000000003E-2</v>
      </c>
      <c r="Z4458">
        <v>4.2578869999999999E-4</v>
      </c>
      <c r="AA4458">
        <v>0.99947169999999896</v>
      </c>
      <c r="AB4458">
        <v>28</v>
      </c>
      <c r="AC4458">
        <v>-84.392200000000003</v>
      </c>
      <c r="AD4458">
        <v>-1.1042394127140001</v>
      </c>
      <c r="AE4458">
        <v>1.3685999999999801</v>
      </c>
      <c r="AF4458">
        <v>2.74918292580579</v>
      </c>
      <c r="AG4458">
        <v>-1.1042394127140001</v>
      </c>
      <c r="AH4458">
        <v>84.344059759139498</v>
      </c>
      <c r="AI4458">
        <v>90.749680147131897</v>
      </c>
      <c r="AJ4458">
        <v>88.133112971353697</v>
      </c>
      <c r="AK4458">
        <v>84.396076734013107</v>
      </c>
    </row>
    <row r="4459" spans="1:37" x14ac:dyDescent="0.2">
      <c r="A4459" t="str">
        <f>"20200111155638460"</f>
        <v>20200111155638460</v>
      </c>
      <c r="B4459" t="str">
        <f>"1578729398457612"</f>
        <v>1578729398457612</v>
      </c>
      <c r="C4459" t="s">
        <v>37</v>
      </c>
      <c r="D4459">
        <v>4.497217</v>
      </c>
      <c r="E4459">
        <v>0.53372629999999999</v>
      </c>
      <c r="F4459" t="s">
        <v>38</v>
      </c>
      <c r="G4459">
        <v>-321.55009999999999</v>
      </c>
      <c r="H4459" s="1">
        <v>-4.3086520000000003E-6</v>
      </c>
      <c r="I4459">
        <v>142.77420000000001</v>
      </c>
      <c r="J4459">
        <v>-242.22919999999999</v>
      </c>
      <c r="K4459">
        <v>1.10398</v>
      </c>
      <c r="L4459">
        <v>141.34139999999999</v>
      </c>
      <c r="M4459">
        <v>-0.99984779999999995</v>
      </c>
      <c r="N4459">
        <v>0</v>
      </c>
      <c r="O4459">
        <v>-1.661897E-2</v>
      </c>
      <c r="P4459">
        <v>-0.99697979999999997</v>
      </c>
      <c r="Q4459">
        <v>3.9498129999999999E-2</v>
      </c>
      <c r="R4459">
        <v>-6.6869650000000003E-2</v>
      </c>
      <c r="S4459">
        <v>-3.0148320000000002</v>
      </c>
      <c r="T4459">
        <v>-4.1778330000000002E-2</v>
      </c>
      <c r="U4459">
        <v>5.3970339999999999E-2</v>
      </c>
      <c r="V4459">
        <v>-5.030722E-2</v>
      </c>
      <c r="W4459">
        <v>4.4805610000000003E-2</v>
      </c>
      <c r="X4459">
        <v>0.99772819999999995</v>
      </c>
      <c r="Y4459">
        <v>3.4507900000000001E-2</v>
      </c>
      <c r="Z4459">
        <v>4.693411E-4</v>
      </c>
      <c r="AA4459">
        <v>0.99940429999999902</v>
      </c>
      <c r="AB4459">
        <v>28</v>
      </c>
      <c r="AC4459">
        <v>-79.320899999999995</v>
      </c>
      <c r="AD4459">
        <v>-1.103984308652</v>
      </c>
      <c r="AE4459">
        <v>1.4328000000000101</v>
      </c>
      <c r="AF4459">
        <v>2.7503197654529998</v>
      </c>
      <c r="AG4459">
        <v>-1.103984308652</v>
      </c>
      <c r="AH4459">
        <v>79.270782631335294</v>
      </c>
      <c r="AI4459">
        <v>90.797412628757002</v>
      </c>
      <c r="AJ4459">
        <v>88.012905574314004</v>
      </c>
      <c r="AK4459">
        <v>79.326162261579299</v>
      </c>
    </row>
    <row r="4460" spans="1:37" x14ac:dyDescent="0.2">
      <c r="A4460" t="str">
        <f>"20200111155638482"</f>
        <v>20200111155638482</v>
      </c>
      <c r="B4460" t="str">
        <f>"1578729398477133"</f>
        <v>1578729398477133</v>
      </c>
      <c r="C4460" t="s">
        <v>37</v>
      </c>
      <c r="D4460">
        <v>4.290775</v>
      </c>
      <c r="E4460">
        <v>0.53386769999999995</v>
      </c>
      <c r="F4460" t="s">
        <v>72</v>
      </c>
      <c r="G4460">
        <v>-310.91820000000001</v>
      </c>
      <c r="H4460" s="1">
        <v>-9.9690859999999992E-6</v>
      </c>
      <c r="I4460">
        <v>142.6704</v>
      </c>
      <c r="J4460">
        <v>-242.5102</v>
      </c>
      <c r="K4460">
        <v>1.103783</v>
      </c>
      <c r="L4460">
        <v>141.33670000000001</v>
      </c>
      <c r="M4460">
        <v>-0.99985059999999903</v>
      </c>
      <c r="N4460">
        <v>0</v>
      </c>
      <c r="O4460">
        <v>-1.6565139999999999E-2</v>
      </c>
      <c r="P4460">
        <v>-0.9969768</v>
      </c>
      <c r="Q4460">
        <v>3.6854329999999998E-2</v>
      </c>
      <c r="R4460">
        <v>-6.8407599999999999E-2</v>
      </c>
      <c r="S4460">
        <v>-3.014923</v>
      </c>
      <c r="T4460">
        <v>-4.845667E-2</v>
      </c>
      <c r="U4460">
        <v>5.833435E-2</v>
      </c>
      <c r="V4460">
        <v>-5.1883890000000002E-2</v>
      </c>
      <c r="W4460">
        <v>4.1812929999999998E-2</v>
      </c>
      <c r="X4460">
        <v>0.99777739999999904</v>
      </c>
      <c r="Y4460">
        <v>3.5897730000000003E-2</v>
      </c>
      <c r="Z4460">
        <v>5.5463559999999895E-4</v>
      </c>
      <c r="AA4460">
        <v>0.99935529999999995</v>
      </c>
      <c r="AB4460">
        <v>28</v>
      </c>
      <c r="AC4460">
        <v>-68.408000000000001</v>
      </c>
      <c r="AD4460">
        <v>-1.103792969086</v>
      </c>
      <c r="AE4460">
        <v>1.3336999999999899</v>
      </c>
      <c r="AF4460">
        <v>2.4660770992469701</v>
      </c>
      <c r="AG4460">
        <v>-1.103792969086</v>
      </c>
      <c r="AH4460">
        <v>68.358729629137599</v>
      </c>
      <c r="AI4460">
        <v>90.924477105712498</v>
      </c>
      <c r="AJ4460">
        <v>87.933920625011694</v>
      </c>
      <c r="AK4460">
        <v>68.412102815858304</v>
      </c>
    </row>
    <row r="4461" spans="1:37" x14ac:dyDescent="0.2">
      <c r="A4461" t="str">
        <f>"20200111155638503"</f>
        <v>20200111155638503</v>
      </c>
      <c r="B4461" t="str">
        <f>"1578729398497628"</f>
        <v>1578729398497628</v>
      </c>
      <c r="C4461" t="s">
        <v>37</v>
      </c>
      <c r="D4461">
        <v>4.403162</v>
      </c>
      <c r="E4461">
        <v>0.53399129999999995</v>
      </c>
      <c r="F4461" t="s">
        <v>72</v>
      </c>
      <c r="G4461">
        <v>-303.25069999999999</v>
      </c>
      <c r="H4461" s="1">
        <v>-9.3638369999999996E-6</v>
      </c>
      <c r="I4461">
        <v>142.4418</v>
      </c>
      <c r="J4461">
        <v>-242.79179999999999</v>
      </c>
      <c r="K4461">
        <v>1.1036090000000001</v>
      </c>
      <c r="L4461">
        <v>141.3322</v>
      </c>
      <c r="M4461">
        <v>-0.99985579999999996</v>
      </c>
      <c r="N4461">
        <v>0</v>
      </c>
      <c r="O4461">
        <v>-1.6347759999999999E-2</v>
      </c>
      <c r="P4461">
        <v>-0.99688330000000003</v>
      </c>
      <c r="Q4461">
        <v>3.5155169999999999E-2</v>
      </c>
      <c r="R4461">
        <v>-7.0626159999999993E-2</v>
      </c>
      <c r="S4461">
        <v>-3.0148929999999998</v>
      </c>
      <c r="T4461">
        <v>-5.47874E-2</v>
      </c>
      <c r="U4461">
        <v>5.4855349999999997E-2</v>
      </c>
      <c r="V4461">
        <v>-5.430898E-2</v>
      </c>
      <c r="W4461">
        <v>3.9787099999999999E-2</v>
      </c>
      <c r="X4461">
        <v>0.99773120000000004</v>
      </c>
      <c r="Y4461">
        <v>3.4526179999999997E-2</v>
      </c>
      <c r="Z4461">
        <v>6.1068820000000003E-4</v>
      </c>
      <c r="AA4461">
        <v>0.99940359999999995</v>
      </c>
      <c r="AB4461">
        <v>28</v>
      </c>
      <c r="AC4461">
        <v>-60.4589</v>
      </c>
      <c r="AD4461">
        <v>-1.1036183638370001</v>
      </c>
      <c r="AE4461">
        <v>1.1095999999999999</v>
      </c>
      <c r="AF4461">
        <v>2.0971311976677698</v>
      </c>
      <c r="AG4461">
        <v>-1.1036183638370001</v>
      </c>
      <c r="AH4461">
        <v>60.412557566241397</v>
      </c>
      <c r="AI4461">
        <v>91.045934701718295</v>
      </c>
      <c r="AJ4461">
        <v>88.0118614015242</v>
      </c>
      <c r="AK4461">
        <v>60.459019545868102</v>
      </c>
    </row>
    <row r="4462" spans="1:37" x14ac:dyDescent="0.2">
      <c r="A4462" t="str">
        <f>"20200111155638536"</f>
        <v>20200111155638536</v>
      </c>
      <c r="B4462" t="str">
        <f>"1578729398517148"</f>
        <v>1578729398517148</v>
      </c>
      <c r="C4462" t="s">
        <v>37</v>
      </c>
      <c r="D4462">
        <v>4.5573220000000001</v>
      </c>
      <c r="E4462">
        <v>0.5341361</v>
      </c>
      <c r="F4462" t="s">
        <v>72</v>
      </c>
      <c r="G4462">
        <v>-298.31349999999998</v>
      </c>
      <c r="H4462" s="1">
        <v>-8.8857649999999998E-6</v>
      </c>
      <c r="I4462">
        <v>142.2364</v>
      </c>
      <c r="J4462">
        <v>-243.06710000000001</v>
      </c>
      <c r="K4462">
        <v>1.103448</v>
      </c>
      <c r="L4462">
        <v>141.3279</v>
      </c>
      <c r="M4462">
        <v>-0.99986339999999996</v>
      </c>
      <c r="N4462">
        <v>0</v>
      </c>
      <c r="O4462">
        <v>-1.5962190000000001E-2</v>
      </c>
      <c r="P4462">
        <v>-0.99671149999999997</v>
      </c>
      <c r="Q4462">
        <v>3.5288819999999999E-2</v>
      </c>
      <c r="R4462">
        <v>-7.2947700000000004E-2</v>
      </c>
      <c r="S4462">
        <v>-3.0149689999999998</v>
      </c>
      <c r="T4462">
        <v>-5.9929250000000003E-2</v>
      </c>
      <c r="U4462">
        <v>4.9102779999999999E-2</v>
      </c>
      <c r="V4462">
        <v>-5.7005260000000002E-2</v>
      </c>
      <c r="W4462">
        <v>3.9622730000000002E-2</v>
      </c>
      <c r="X4462">
        <v>0.99758729999999995</v>
      </c>
      <c r="Y4462">
        <v>3.2232799999999999E-2</v>
      </c>
      <c r="Z4462">
        <v>6.3753170000000001E-4</v>
      </c>
      <c r="AA4462">
        <v>0.99948019999999904</v>
      </c>
      <c r="AB4462">
        <v>28</v>
      </c>
      <c r="AC4462">
        <v>-55.246399999999902</v>
      </c>
      <c r="AD4462">
        <v>-1.103456885765</v>
      </c>
      <c r="AE4462">
        <v>0.90850000000000297</v>
      </c>
      <c r="AF4462">
        <v>1.7895321786985601</v>
      </c>
      <c r="AG4462">
        <v>-1.103456885765</v>
      </c>
      <c r="AH4462">
        <v>55.202843057925598</v>
      </c>
      <c r="AI4462">
        <v>91.144539291514803</v>
      </c>
      <c r="AJ4462">
        <v>88.143270503022606</v>
      </c>
      <c r="AK4462">
        <v>55.242863106425801</v>
      </c>
    </row>
    <row r="4463" spans="1:37" x14ac:dyDescent="0.2">
      <c r="A4463" t="str">
        <f>"20200111155638550"</f>
        <v>20200111155638550</v>
      </c>
      <c r="B4463" t="str">
        <f>"1578729398547404"</f>
        <v>1578729398547404</v>
      </c>
      <c r="C4463" t="s">
        <v>37</v>
      </c>
      <c r="D4463">
        <v>4.3085779999999998</v>
      </c>
      <c r="E4463">
        <v>0.53429539999999998</v>
      </c>
      <c r="F4463" t="s">
        <v>72</v>
      </c>
      <c r="G4463">
        <v>-301.08769999999998</v>
      </c>
      <c r="H4463" s="1">
        <v>-8.9214019999999995E-6</v>
      </c>
      <c r="I4463">
        <v>142.1592</v>
      </c>
      <c r="J4463">
        <v>-243.38800000000001</v>
      </c>
      <c r="K4463">
        <v>1.1032489999999999</v>
      </c>
      <c r="L4463">
        <v>141.32329999999999</v>
      </c>
      <c r="M4463">
        <v>-0.99987530000000002</v>
      </c>
      <c r="N4463">
        <v>0</v>
      </c>
      <c r="O4463">
        <v>-1.5284600000000001E-2</v>
      </c>
      <c r="P4463">
        <v>-0.99660499999999996</v>
      </c>
      <c r="Q4463">
        <v>3.5583249999999997E-2</v>
      </c>
      <c r="R4463">
        <v>-7.4242929999999999E-2</v>
      </c>
      <c r="S4463">
        <v>-3.015091</v>
      </c>
      <c r="T4463">
        <v>-5.7342049999999999E-2</v>
      </c>
      <c r="U4463">
        <v>4.3197630000000001E-2</v>
      </c>
      <c r="V4463">
        <v>-5.8964089999999997E-2</v>
      </c>
      <c r="W4463">
        <v>3.9594129999999998E-2</v>
      </c>
      <c r="X4463">
        <v>0.99747459999999899</v>
      </c>
      <c r="Y4463">
        <v>2.959904E-2</v>
      </c>
      <c r="Z4463">
        <v>5.7207089999999905E-4</v>
      </c>
      <c r="AA4463">
        <v>0.9995617</v>
      </c>
      <c r="AB4463">
        <v>29</v>
      </c>
      <c r="AC4463">
        <v>-57.699699999999901</v>
      </c>
      <c r="AD4463">
        <v>-1.103257921402</v>
      </c>
      <c r="AE4463">
        <v>0.83590000000000897</v>
      </c>
      <c r="AF4463">
        <v>1.7170984976511701</v>
      </c>
      <c r="AG4463">
        <v>-1.103257921402</v>
      </c>
      <c r="AH4463">
        <v>57.6591073434208</v>
      </c>
      <c r="AI4463">
        <v>91.095686556963997</v>
      </c>
      <c r="AJ4463">
        <v>88.294225611187301</v>
      </c>
      <c r="AK4463">
        <v>57.695218735454198</v>
      </c>
    </row>
    <row r="4464" spans="1:37" x14ac:dyDescent="0.2">
      <c r="A4464" t="str">
        <f>"20200111155638569"</f>
        <v>20200111155638569</v>
      </c>
      <c r="B4464" t="str">
        <f>"1578729398557164"</f>
        <v>1578729398557164</v>
      </c>
      <c r="C4464" t="s">
        <v>37</v>
      </c>
      <c r="D4464">
        <v>4.4665559999999997</v>
      </c>
      <c r="E4464">
        <v>0.53429539999999998</v>
      </c>
      <c r="F4464" t="s">
        <v>72</v>
      </c>
      <c r="G4464">
        <v>-303.21929999999998</v>
      </c>
      <c r="H4464" s="1">
        <v>-9.2665300000000005E-6</v>
      </c>
      <c r="I4464">
        <v>142.12989999999999</v>
      </c>
      <c r="J4464">
        <v>-243.63659999999999</v>
      </c>
      <c r="K4464">
        <v>1.1030899999999999</v>
      </c>
      <c r="L4464">
        <v>141.3201</v>
      </c>
      <c r="M4464">
        <v>-0.99988679999999996</v>
      </c>
      <c r="N4464">
        <v>0</v>
      </c>
      <c r="O4464">
        <v>-1.4593739999999999E-2</v>
      </c>
      <c r="P4464">
        <v>-0.99656169999999999</v>
      </c>
      <c r="Q4464">
        <v>3.6049640000000001E-2</v>
      </c>
      <c r="R4464">
        <v>-7.4603310000000006E-2</v>
      </c>
      <c r="S4464">
        <v>-3.015228</v>
      </c>
      <c r="T4464">
        <v>-5.5599210000000003E-2</v>
      </c>
      <c r="U4464">
        <v>4.0649409999999997E-2</v>
      </c>
      <c r="V4464">
        <v>-6.0001319999999997E-2</v>
      </c>
      <c r="W4464">
        <v>3.9830459999999998E-2</v>
      </c>
      <c r="X4464">
        <v>0.99740329999999999</v>
      </c>
      <c r="Y4464">
        <v>2.8063979999999999E-2</v>
      </c>
      <c r="Z4464">
        <v>5.2777580000000002E-4</v>
      </c>
      <c r="AA4464">
        <v>0.99960599999999999</v>
      </c>
      <c r="AB4464">
        <v>29</v>
      </c>
      <c r="AC4464">
        <v>-59.582699999999903</v>
      </c>
      <c r="AD4464">
        <v>-1.1030992665299999</v>
      </c>
      <c r="AE4464">
        <v>0.80979999999999497</v>
      </c>
      <c r="AF4464">
        <v>1.6786787463847701</v>
      </c>
      <c r="AG4464">
        <v>-1.1030992665299999</v>
      </c>
      <c r="AH4464">
        <v>59.544131091539697</v>
      </c>
      <c r="AI4464">
        <v>91.060904054942</v>
      </c>
      <c r="AJ4464">
        <v>88.385134922023497</v>
      </c>
      <c r="AK4464">
        <v>59.578002129744597</v>
      </c>
    </row>
    <row r="4465" spans="1:37" x14ac:dyDescent="0.2">
      <c r="A4465" t="str">
        <f>"20200111155638593"</f>
        <v>20200111155638593</v>
      </c>
      <c r="B4465" t="str">
        <f>"1578729398587419"</f>
        <v>1578729398587419</v>
      </c>
      <c r="C4465" t="s">
        <v>37</v>
      </c>
      <c r="D4465">
        <v>4.3773619999999998</v>
      </c>
      <c r="E4465">
        <v>0.51298509999999997</v>
      </c>
      <c r="F4465" t="s">
        <v>72</v>
      </c>
      <c r="G4465">
        <v>-304.99180000000001</v>
      </c>
      <c r="H4465" s="1">
        <v>-9.5193789999999999E-6</v>
      </c>
      <c r="I4465">
        <v>142.12430000000001</v>
      </c>
      <c r="J4465">
        <v>-243.9434</v>
      </c>
      <c r="K4465">
        <v>1.1028899999999999</v>
      </c>
      <c r="L4465">
        <v>141.31649999999999</v>
      </c>
      <c r="M4465">
        <v>-0.99990239999999997</v>
      </c>
      <c r="N4465">
        <v>0</v>
      </c>
      <c r="O4465">
        <v>-1.355665E-2</v>
      </c>
      <c r="P4465">
        <v>-0.99663789999999997</v>
      </c>
      <c r="Q4465">
        <v>3.6039040000000001E-2</v>
      </c>
      <c r="R4465">
        <v>-7.3584880000000005E-2</v>
      </c>
      <c r="S4465">
        <v>-3.0152739999999998</v>
      </c>
      <c r="T4465">
        <v>-5.4211380000000003E-2</v>
      </c>
      <c r="U4465">
        <v>3.9520260000000001E-2</v>
      </c>
      <c r="V4465">
        <v>-6.0001499999999999E-2</v>
      </c>
      <c r="W4465">
        <v>3.9562220000000002E-2</v>
      </c>
      <c r="X4465">
        <v>0.99741399999999902</v>
      </c>
      <c r="Y4465">
        <v>2.6653429999999999E-2</v>
      </c>
      <c r="Z4465">
        <v>4.8327529999999899E-4</v>
      </c>
      <c r="AA4465">
        <v>0.99964459999999999</v>
      </c>
      <c r="AB4465">
        <v>29</v>
      </c>
      <c r="AC4465">
        <v>-61.048400000000001</v>
      </c>
      <c r="AD4465">
        <v>-1.1028995193790001</v>
      </c>
      <c r="AE4465">
        <v>0.80780000000001395</v>
      </c>
      <c r="AF4465">
        <v>1.6348088031391299</v>
      </c>
      <c r="AG4465">
        <v>-1.1028995193790001</v>
      </c>
      <c r="AH4465">
        <v>61.011929154584202</v>
      </c>
      <c r="AI4465">
        <v>91.035239203126906</v>
      </c>
      <c r="AJ4465">
        <v>88.465132328644799</v>
      </c>
      <c r="AK4465">
        <v>61.043791546206201</v>
      </c>
    </row>
    <row r="4466" spans="1:37" x14ac:dyDescent="0.2">
      <c r="A4466" t="str">
        <f>"20200111155638615"</f>
        <v>20200111155638615</v>
      </c>
      <c r="B4466" t="str">
        <f>"1578729398606940"</f>
        <v>1578729398606940</v>
      </c>
      <c r="C4466" t="s">
        <v>37</v>
      </c>
      <c r="D4466">
        <v>4.3934499999999996</v>
      </c>
      <c r="E4466">
        <v>0.51104919999999998</v>
      </c>
      <c r="F4466" t="s">
        <v>72</v>
      </c>
      <c r="G4466">
        <v>-306.65159999999997</v>
      </c>
      <c r="H4466" s="1">
        <v>-8.7070960000000008E-6</v>
      </c>
      <c r="I4466">
        <v>138.66419999999999</v>
      </c>
      <c r="J4466">
        <v>-244.2354</v>
      </c>
      <c r="K4466">
        <v>1.102719</v>
      </c>
      <c r="L4466">
        <v>141.31360000000001</v>
      </c>
      <c r="M4466">
        <v>-0.99991819999999898</v>
      </c>
      <c r="N4466">
        <v>0</v>
      </c>
      <c r="O4466">
        <v>-1.239679E-2</v>
      </c>
      <c r="P4466">
        <v>-0.99678840000000002</v>
      </c>
      <c r="Q4466">
        <v>3.584714E-2</v>
      </c>
      <c r="R4466">
        <v>-7.1611939999999999E-2</v>
      </c>
      <c r="S4466">
        <v>-3.0026549999999999</v>
      </c>
      <c r="T4466">
        <v>-5.2810070000000001E-2</v>
      </c>
      <c r="U4466">
        <v>-0.1269989</v>
      </c>
      <c r="V4466">
        <v>-5.9171069999999999E-2</v>
      </c>
      <c r="W4466">
        <v>3.9152449999999998E-2</v>
      </c>
      <c r="X4466">
        <v>0.99747969999999897</v>
      </c>
      <c r="Y4466">
        <v>-2.9866029999999998E-2</v>
      </c>
      <c r="Z4466" s="1">
        <v>-4.4600600000000001E-5</v>
      </c>
      <c r="AA4466">
        <v>0.9995539</v>
      </c>
      <c r="AB4466">
        <v>29</v>
      </c>
      <c r="AC4466">
        <v>-62.416199999999897</v>
      </c>
      <c r="AD4466">
        <v>-1.102727707096</v>
      </c>
      <c r="AE4466">
        <v>-2.6494000000000102</v>
      </c>
      <c r="AF4466">
        <v>-1.87484789819262</v>
      </c>
      <c r="AG4466">
        <v>-1.102727707096</v>
      </c>
      <c r="AH4466">
        <v>62.424798017467403</v>
      </c>
      <c r="AI4466">
        <v>91.011562830354904</v>
      </c>
      <c r="AJ4466">
        <v>91.720287353151093</v>
      </c>
      <c r="AK4466">
        <v>62.462680622584202</v>
      </c>
    </row>
    <row r="4467" spans="1:37" x14ac:dyDescent="0.2">
      <c r="A4467" t="str">
        <f>"20200111155638637"</f>
        <v>20200111155638637</v>
      </c>
      <c r="B4467" t="str">
        <f>"1578729398627435"</f>
        <v>1578729398627435</v>
      </c>
      <c r="C4467" t="s">
        <v>37</v>
      </c>
      <c r="D4467">
        <v>4.6523059999999896</v>
      </c>
      <c r="E4467">
        <v>0.50853269999999995</v>
      </c>
      <c r="F4467" t="s">
        <v>72</v>
      </c>
      <c r="G4467">
        <v>-302.5992</v>
      </c>
      <c r="H4467" s="1">
        <v>-8.1222419999999998E-6</v>
      </c>
      <c r="I4467">
        <v>138.6551</v>
      </c>
      <c r="J4467">
        <v>-244.5163</v>
      </c>
      <c r="K4467">
        <v>1.1025719999999899</v>
      </c>
      <c r="L4467">
        <v>141.31120000000001</v>
      </c>
      <c r="M4467">
        <v>-0.99993339999999997</v>
      </c>
      <c r="N4467">
        <v>0</v>
      </c>
      <c r="O4467">
        <v>-1.114832E-2</v>
      </c>
      <c r="P4467">
        <v>-0.9969285</v>
      </c>
      <c r="Q4467">
        <v>3.6305360000000002E-2</v>
      </c>
      <c r="R4467">
        <v>-6.9396029999999997E-2</v>
      </c>
      <c r="S4467">
        <v>-3.0018769999999999</v>
      </c>
      <c r="T4467">
        <v>-5.6717509999999999E-2</v>
      </c>
      <c r="U4467">
        <v>-0.13673399999999999</v>
      </c>
      <c r="V4467">
        <v>-5.8186799999999997E-2</v>
      </c>
      <c r="W4467">
        <v>3.9424519999999998E-2</v>
      </c>
      <c r="X4467">
        <v>0.99752689999999999</v>
      </c>
      <c r="Y4467">
        <v>-3.4358550000000002E-2</v>
      </c>
      <c r="Z4467">
        <v>-1.1389539999999999E-4</v>
      </c>
      <c r="AA4467">
        <v>0.99940960000000001</v>
      </c>
      <c r="AB4467">
        <v>29</v>
      </c>
      <c r="AC4467">
        <v>-58.082900000000002</v>
      </c>
      <c r="AD4467">
        <v>-1.102580122242</v>
      </c>
      <c r="AE4467">
        <v>-2.6560999999999999</v>
      </c>
      <c r="AF4467">
        <v>-2.0076833383819399</v>
      </c>
      <c r="AG4467">
        <v>-1.102580122242</v>
      </c>
      <c r="AH4467">
        <v>58.088013326515501</v>
      </c>
      <c r="AI4467">
        <v>91.086763227795103</v>
      </c>
      <c r="AJ4467">
        <v>91.979513551786198</v>
      </c>
      <c r="AK4467">
        <v>58.1331554926671</v>
      </c>
    </row>
    <row r="4468" spans="1:37" x14ac:dyDescent="0.2">
      <c r="A4468" t="str">
        <f>"20200111155638659"</f>
        <v>20200111155638659</v>
      </c>
      <c r="B4468" t="str">
        <f>"1578729398646955"</f>
        <v>1578729398646955</v>
      </c>
      <c r="C4468" t="s">
        <v>37</v>
      </c>
      <c r="D4468">
        <v>4.3926309999999997</v>
      </c>
      <c r="E4468">
        <v>0.50789289999999998</v>
      </c>
      <c r="F4468" t="s">
        <v>72</v>
      </c>
      <c r="G4468">
        <v>-308.99149999999997</v>
      </c>
      <c r="H4468" s="1">
        <v>-8.8665879999999996E-6</v>
      </c>
      <c r="I4468">
        <v>138.09030000000001</v>
      </c>
      <c r="J4468">
        <v>-244.81440000000001</v>
      </c>
      <c r="K4468">
        <v>1.10244599999999</v>
      </c>
      <c r="L4468">
        <v>141.3092</v>
      </c>
      <c r="M4468">
        <v>-0.99994899999999998</v>
      </c>
      <c r="N4468">
        <v>0</v>
      </c>
      <c r="O4468">
        <v>-9.7159269999999992E-3</v>
      </c>
      <c r="P4468">
        <v>-0.99710569999999898</v>
      </c>
      <c r="Q4468">
        <v>3.7682479999999997E-2</v>
      </c>
      <c r="R4468">
        <v>-6.6033910000000001E-2</v>
      </c>
      <c r="S4468">
        <v>-3.0006870000000001</v>
      </c>
      <c r="T4468">
        <v>-5.1314230000000002E-2</v>
      </c>
      <c r="U4468">
        <v>-0.14990229999999999</v>
      </c>
      <c r="V4468">
        <v>-5.6239499999999998E-2</v>
      </c>
      <c r="W4468">
        <v>4.0623760000000002E-2</v>
      </c>
      <c r="X4468">
        <v>0.99759050000000005</v>
      </c>
      <c r="Y4468">
        <v>-4.0183129999999997E-2</v>
      </c>
      <c r="Z4468">
        <v>-1.7731999999999999E-4</v>
      </c>
      <c r="AA4468">
        <v>0.99919230000000003</v>
      </c>
      <c r="AB4468">
        <v>29</v>
      </c>
      <c r="AC4468">
        <v>-64.177099999999896</v>
      </c>
      <c r="AD4468">
        <v>-1.1024548665879901</v>
      </c>
      <c r="AE4468">
        <v>-3.2188999999999899</v>
      </c>
      <c r="AF4468">
        <v>-2.59444199185574</v>
      </c>
      <c r="AG4468">
        <v>-1.1024548665879901</v>
      </c>
      <c r="AH4468">
        <v>64.186451933133299</v>
      </c>
      <c r="AI4468">
        <v>90.983202473292195</v>
      </c>
      <c r="AJ4468">
        <v>92.314658243054893</v>
      </c>
      <c r="AK4468">
        <v>64.248324085118398</v>
      </c>
    </row>
    <row r="4469" spans="1:37" x14ac:dyDescent="0.2">
      <c r="A4469" t="str">
        <f>"20200111155638682"</f>
        <v>20200111155638682</v>
      </c>
      <c r="B4469" t="str">
        <f>"1578729398677211"</f>
        <v>1578729398677211</v>
      </c>
      <c r="C4469" t="s">
        <v>37</v>
      </c>
      <c r="D4469">
        <v>4.4147910000000001</v>
      </c>
      <c r="E4469">
        <v>0.50804170000000004</v>
      </c>
      <c r="F4469" t="s">
        <v>38</v>
      </c>
      <c r="G4469">
        <v>-320.98169999999999</v>
      </c>
      <c r="H4469" s="1">
        <v>-4.2036090000000003E-6</v>
      </c>
      <c r="I4469">
        <v>137.6293</v>
      </c>
      <c r="J4469">
        <v>-245.12649999999999</v>
      </c>
      <c r="K4469">
        <v>1.102352</v>
      </c>
      <c r="L4469">
        <v>141.30770000000001</v>
      </c>
      <c r="M4469">
        <v>-0.99996350000000001</v>
      </c>
      <c r="N4469">
        <v>0</v>
      </c>
      <c r="O4469">
        <v>-8.132462E-3</v>
      </c>
      <c r="P4469">
        <v>-0.99732969999999899</v>
      </c>
      <c r="Q4469">
        <v>3.9465380000000001E-2</v>
      </c>
      <c r="R4469">
        <v>-6.1449620000000003E-2</v>
      </c>
      <c r="S4469">
        <v>-3.0007320000000002</v>
      </c>
      <c r="T4469">
        <v>-4.3432829999999999E-2</v>
      </c>
      <c r="U4469">
        <v>-0.14497379999999899</v>
      </c>
      <c r="V4469">
        <v>-5.3220759999999999E-2</v>
      </c>
      <c r="W4469">
        <v>4.224265E-2</v>
      </c>
      <c r="X4469">
        <v>0.99768889999999999</v>
      </c>
      <c r="Y4469">
        <v>-4.0128549999999999E-2</v>
      </c>
      <c r="Z4469">
        <v>-1.725986E-4</v>
      </c>
      <c r="AA4469">
        <v>0.99919449999999999</v>
      </c>
      <c r="AB4469">
        <v>30</v>
      </c>
      <c r="AC4469">
        <v>-75.855199999999996</v>
      </c>
      <c r="AD4469">
        <v>-1.102356203609</v>
      </c>
      <c r="AE4469">
        <v>-3.6784000000000101</v>
      </c>
      <c r="AF4469">
        <v>-3.0607418287441401</v>
      </c>
      <c r="AG4469">
        <v>-1.102356203609</v>
      </c>
      <c r="AH4469">
        <v>75.866621399293294</v>
      </c>
      <c r="AI4469">
        <v>90.831783273533802</v>
      </c>
      <c r="AJ4469">
        <v>92.310272091349503</v>
      </c>
      <c r="AK4469">
        <v>75.9363389444445</v>
      </c>
    </row>
    <row r="4470" spans="1:37" x14ac:dyDescent="0.2">
      <c r="A4470" t="str">
        <f>"20200111155638704"</f>
        <v>20200111155638704</v>
      </c>
      <c r="B4470" t="str">
        <f>"1578729398697708"</f>
        <v>1578729398697708</v>
      </c>
      <c r="C4470" t="s">
        <v>37</v>
      </c>
      <c r="D4470">
        <v>4.4279970000000004</v>
      </c>
      <c r="E4470">
        <v>0.50762479999999999</v>
      </c>
      <c r="F4470" t="s">
        <v>38</v>
      </c>
      <c r="G4470">
        <v>-330.9667</v>
      </c>
      <c r="H4470" s="1">
        <v>-4.6129350000000002E-6</v>
      </c>
      <c r="I4470">
        <v>137.5735</v>
      </c>
      <c r="J4470">
        <v>-245.42840000000001</v>
      </c>
      <c r="K4470">
        <v>1.102279</v>
      </c>
      <c r="L4470">
        <v>141.30670000000001</v>
      </c>
      <c r="M4470">
        <v>-0.99997539999999996</v>
      </c>
      <c r="N4470">
        <v>0</v>
      </c>
      <c r="O4470">
        <v>-6.5596530000000004E-3</v>
      </c>
      <c r="P4470">
        <v>-0.99757119999999999</v>
      </c>
      <c r="Q4470">
        <v>4.0125689999999999E-2</v>
      </c>
      <c r="R4470">
        <v>-5.6937330000000001E-2</v>
      </c>
      <c r="S4470">
        <v>-3.0014949999999998</v>
      </c>
      <c r="T4470">
        <v>-3.8545129999999997E-2</v>
      </c>
      <c r="U4470">
        <v>-0.13056950000000001</v>
      </c>
      <c r="V4470">
        <v>-5.0268430000000003E-2</v>
      </c>
      <c r="W4470">
        <v>4.2763370000000002E-2</v>
      </c>
      <c r="X4470">
        <v>0.99781980000000003</v>
      </c>
      <c r="Y4470">
        <v>-3.6903459999999999E-2</v>
      </c>
      <c r="Z4470">
        <v>-1.5264249999999999E-4</v>
      </c>
      <c r="AA4470">
        <v>0.99931879999999995</v>
      </c>
      <c r="AB4470">
        <v>30</v>
      </c>
      <c r="AC4470">
        <v>-85.538299999999893</v>
      </c>
      <c r="AD4470">
        <v>-1.102283612935</v>
      </c>
      <c r="AE4470">
        <v>-3.7332000000000001</v>
      </c>
      <c r="AF4470">
        <v>-3.1714907262772201</v>
      </c>
      <c r="AG4470">
        <v>-1.102283612935</v>
      </c>
      <c r="AH4470">
        <v>85.546769321792695</v>
      </c>
      <c r="AI4470">
        <v>90.737717563940706</v>
      </c>
      <c r="AJ4470">
        <v>92.123164362116796</v>
      </c>
      <c r="AK4470">
        <v>85.612634137644804</v>
      </c>
    </row>
    <row r="4471" spans="1:37" x14ac:dyDescent="0.2">
      <c r="A4471" t="str">
        <f>"20200111155638726"</f>
        <v>20200111155638726</v>
      </c>
      <c r="B4471" t="str">
        <f>"1578729398717227"</f>
        <v>1578729398717227</v>
      </c>
      <c r="C4471" t="s">
        <v>37</v>
      </c>
      <c r="D4471">
        <v>4.6165659999999997</v>
      </c>
      <c r="E4471">
        <v>0.50706689999999999</v>
      </c>
      <c r="F4471" t="s">
        <v>38</v>
      </c>
      <c r="G4471">
        <v>-335.07440000000003</v>
      </c>
      <c r="H4471" s="1">
        <v>-2.649002E-6</v>
      </c>
      <c r="I4471">
        <v>137.6987</v>
      </c>
      <c r="J4471">
        <v>-245.72069999999999</v>
      </c>
      <c r="K4471">
        <v>1.102222</v>
      </c>
      <c r="L4471">
        <v>141.30619999999999</v>
      </c>
      <c r="M4471">
        <v>-0.9999846</v>
      </c>
      <c r="N4471">
        <v>0</v>
      </c>
      <c r="O4471">
        <v>-5.017138E-3</v>
      </c>
      <c r="P4471">
        <v>-0.99781450000000005</v>
      </c>
      <c r="Q4471">
        <v>3.9896180000000003E-2</v>
      </c>
      <c r="R4471">
        <v>-5.2672120000000003E-2</v>
      </c>
      <c r="S4471">
        <v>-3.0018769999999999</v>
      </c>
      <c r="T4471">
        <v>-3.6910890000000002E-2</v>
      </c>
      <c r="U4471">
        <v>-0.1208191</v>
      </c>
      <c r="V4471">
        <v>-4.7538829999999997E-2</v>
      </c>
      <c r="W4471">
        <v>4.2417030000000001E-2</v>
      </c>
      <c r="X4471">
        <v>0.99796839999999998</v>
      </c>
      <c r="Y4471">
        <v>-3.519941E-2</v>
      </c>
      <c r="Z4471">
        <v>-1.5464760000000001E-4</v>
      </c>
      <c r="AA4471">
        <v>0.9993803</v>
      </c>
      <c r="AB4471">
        <v>30</v>
      </c>
      <c r="AC4471">
        <v>-89.353700000000003</v>
      </c>
      <c r="AD4471">
        <v>-1.102224649002</v>
      </c>
      <c r="AE4471">
        <v>-3.6074999999999799</v>
      </c>
      <c r="AF4471">
        <v>-3.1586736329681901</v>
      </c>
      <c r="AG4471">
        <v>-1.102224649002</v>
      </c>
      <c r="AH4471">
        <v>89.357099863681199</v>
      </c>
      <c r="AI4471">
        <v>90.706269616061604</v>
      </c>
      <c r="AJ4471">
        <v>92.024498831418398</v>
      </c>
      <c r="AK4471">
        <v>89.419703725433905</v>
      </c>
    </row>
    <row r="4472" spans="1:37" x14ac:dyDescent="0.2">
      <c r="A4472" t="str">
        <f>"20200111155638748"</f>
        <v>20200111155638748</v>
      </c>
      <c r="B4472" t="str">
        <f>"1578729398737723"</f>
        <v>1578729398737723</v>
      </c>
      <c r="C4472" t="s">
        <v>37</v>
      </c>
      <c r="D4472">
        <v>4.6803800000000004</v>
      </c>
      <c r="E4472">
        <v>0.50659969999999999</v>
      </c>
      <c r="F4472" t="s">
        <v>38</v>
      </c>
      <c r="G4472">
        <v>-335.76389999999998</v>
      </c>
      <c r="H4472" s="1">
        <v>-2.2817009999999999E-6</v>
      </c>
      <c r="I4472">
        <v>137.93190000000001</v>
      </c>
      <c r="J4472">
        <v>-246.0198</v>
      </c>
      <c r="K4472">
        <v>1.102176</v>
      </c>
      <c r="L4472">
        <v>141.30619999999999</v>
      </c>
      <c r="M4472">
        <v>-0.99999169999999904</v>
      </c>
      <c r="N4472">
        <v>0</v>
      </c>
      <c r="O4472">
        <v>-3.4332619999999999E-3</v>
      </c>
      <c r="P4472">
        <v>-0.99798889999999996</v>
      </c>
      <c r="Q4472">
        <v>3.9428749999999999E-2</v>
      </c>
      <c r="R4472">
        <v>-4.963832E-2</v>
      </c>
      <c r="S4472">
        <v>-3.0020899999999999</v>
      </c>
      <c r="T4472">
        <v>-3.674877E-2</v>
      </c>
      <c r="U4472">
        <v>-0.11250309999999999</v>
      </c>
      <c r="V4472">
        <v>-4.608371E-2</v>
      </c>
      <c r="W4472">
        <v>4.1854370000000002E-2</v>
      </c>
      <c r="X4472">
        <v>0.99806030000000001</v>
      </c>
      <c r="Y4472">
        <v>-3.4015249999999997E-2</v>
      </c>
      <c r="Z4472">
        <v>-1.6610069999999999E-4</v>
      </c>
      <c r="AA4472">
        <v>0.99942129999999996</v>
      </c>
      <c r="AB4472">
        <v>30</v>
      </c>
      <c r="AC4472">
        <v>-89.744099999999904</v>
      </c>
      <c r="AD4472">
        <v>-1.102178281701</v>
      </c>
      <c r="AE4472">
        <v>-3.3742999999999701</v>
      </c>
      <c r="AF4472">
        <v>-3.0657026116701398</v>
      </c>
      <c r="AG4472">
        <v>-1.102178281701</v>
      </c>
      <c r="AH4472">
        <v>89.741639207616501</v>
      </c>
      <c r="AI4472">
        <v>90.703242987538104</v>
      </c>
      <c r="AJ4472">
        <v>91.956544826893094</v>
      </c>
      <c r="AK4472">
        <v>89.800752430800102</v>
      </c>
    </row>
    <row r="4473" spans="1:37" x14ac:dyDescent="0.2">
      <c r="A4473" t="str">
        <f>"20200111155638770"</f>
        <v>20200111155638770</v>
      </c>
      <c r="B4473" t="str">
        <f>"1578729398767004"</f>
        <v>1578729398767004</v>
      </c>
      <c r="C4473" t="s">
        <v>37</v>
      </c>
      <c r="D4473">
        <v>4.5175089999999898</v>
      </c>
      <c r="E4473">
        <v>0.50585199999999997</v>
      </c>
      <c r="F4473" t="s">
        <v>38</v>
      </c>
      <c r="G4473">
        <v>-337.27730000000003</v>
      </c>
      <c r="H4473" s="1">
        <v>-1.5431069999999899E-6</v>
      </c>
      <c r="I4473">
        <v>138.06270000000001</v>
      </c>
      <c r="J4473">
        <v>-246.33320000000001</v>
      </c>
      <c r="K4473">
        <v>1.102142</v>
      </c>
      <c r="L4473">
        <v>141.30670000000001</v>
      </c>
      <c r="M4473">
        <v>-0.999995999999999</v>
      </c>
      <c r="N4473">
        <v>0</v>
      </c>
      <c r="O4473">
        <v>-1.77893E-3</v>
      </c>
      <c r="P4473">
        <v>-0.99811399999999995</v>
      </c>
      <c r="Q4473">
        <v>3.9480090000000002E-2</v>
      </c>
      <c r="R4473">
        <v>-4.7010620000000003E-2</v>
      </c>
      <c r="S4473">
        <v>-3.002167</v>
      </c>
      <c r="T4473">
        <v>-3.625917E-2</v>
      </c>
      <c r="U4473">
        <v>-0.1067047</v>
      </c>
      <c r="V4473">
        <v>-4.5104310000000002E-2</v>
      </c>
      <c r="W4473">
        <v>4.1831989999999999E-2</v>
      </c>
      <c r="X4473">
        <v>0.9981061</v>
      </c>
      <c r="Y4473">
        <v>-3.3739949999999998E-2</v>
      </c>
      <c r="Z4473">
        <v>-1.822006E-4</v>
      </c>
      <c r="AA4473">
        <v>0.99943069999999901</v>
      </c>
      <c r="AB4473">
        <v>30</v>
      </c>
      <c r="AC4473">
        <v>-90.944100000000006</v>
      </c>
      <c r="AD4473">
        <v>-1.1021435431069999</v>
      </c>
      <c r="AE4473">
        <v>-3.24399999999999</v>
      </c>
      <c r="AF4473">
        <v>-3.0817592513001402</v>
      </c>
      <c r="AG4473">
        <v>-1.1021435431069999</v>
      </c>
      <c r="AH4473">
        <v>90.936388285294896</v>
      </c>
      <c r="AI4473">
        <v>90.693989032639394</v>
      </c>
      <c r="AJ4473">
        <v>91.940963922944405</v>
      </c>
      <c r="AK4473">
        <v>90.995267321144297</v>
      </c>
    </row>
    <row r="4474" spans="1:37" x14ac:dyDescent="0.2">
      <c r="A4474" t="str">
        <f>"20200111155638794"</f>
        <v>20200111155638794</v>
      </c>
      <c r="B4474" t="str">
        <f>"1578729398787500"</f>
        <v>1578729398787500</v>
      </c>
      <c r="C4474" t="s">
        <v>37</v>
      </c>
      <c r="D4474">
        <v>4.6304210000000001</v>
      </c>
      <c r="E4474">
        <v>0.50562289999999999</v>
      </c>
      <c r="F4474" t="s">
        <v>38</v>
      </c>
      <c r="G4474">
        <v>-332.82530000000003</v>
      </c>
      <c r="H4474" s="1">
        <v>-3.6064599999999901E-6</v>
      </c>
      <c r="I4474">
        <v>138.2946</v>
      </c>
      <c r="J4474">
        <v>-246.6541</v>
      </c>
      <c r="K4474">
        <v>1.102115</v>
      </c>
      <c r="L4474">
        <v>141.30770000000001</v>
      </c>
      <c r="M4474">
        <v>-0.99999760000000004</v>
      </c>
      <c r="N4474">
        <v>0</v>
      </c>
      <c r="O4474" s="1">
        <v>-9.502472E-5</v>
      </c>
      <c r="P4474">
        <v>-0.99817959999999994</v>
      </c>
      <c r="Q4474">
        <v>3.9683349999999999E-2</v>
      </c>
      <c r="R4474">
        <v>-4.5414820000000002E-2</v>
      </c>
      <c r="S4474">
        <v>-3.002243</v>
      </c>
      <c r="T4474">
        <v>-3.8256760000000001E-2</v>
      </c>
      <c r="U4474">
        <v>-0.1045532</v>
      </c>
      <c r="V4474">
        <v>-4.5186820000000003E-2</v>
      </c>
      <c r="W4474">
        <v>4.1987770000000001E-2</v>
      </c>
      <c r="X4474">
        <v>0.99809579999999998</v>
      </c>
      <c r="Y4474">
        <v>-3.4706170000000001E-2</v>
      </c>
      <c r="Z4474">
        <v>-2.19839199999999E-4</v>
      </c>
      <c r="AA4474">
        <v>0.99939750000000005</v>
      </c>
      <c r="AB4474">
        <v>31</v>
      </c>
      <c r="AC4474">
        <v>-86.171199999999999</v>
      </c>
      <c r="AD4474">
        <v>-1.1021186064599999</v>
      </c>
      <c r="AE4474">
        <v>-3.0131000000000001</v>
      </c>
      <c r="AF4474">
        <v>-3.00442070717662</v>
      </c>
      <c r="AG4474">
        <v>-1.1021186064599999</v>
      </c>
      <c r="AH4474">
        <v>86.157409441377695</v>
      </c>
      <c r="AI4474">
        <v>90.732437858975103</v>
      </c>
      <c r="AJ4474">
        <v>91.997168944866502</v>
      </c>
      <c r="AK4474">
        <v>86.216822087441898</v>
      </c>
    </row>
    <row r="4475" spans="1:37" x14ac:dyDescent="0.2">
      <c r="A4475" t="str">
        <f>"20200111155638815"</f>
        <v>20200111155638815</v>
      </c>
      <c r="B4475" t="str">
        <f>"1578729398807020"</f>
        <v>1578729398807020</v>
      </c>
      <c r="C4475" t="s">
        <v>37</v>
      </c>
      <c r="D4475">
        <v>4.6702240000000002</v>
      </c>
      <c r="E4475">
        <v>0.49687599999999998</v>
      </c>
      <c r="F4475" t="s">
        <v>38</v>
      </c>
      <c r="G4475">
        <v>-332.55270000000002</v>
      </c>
      <c r="H4475" s="1">
        <v>-3.715106E-6</v>
      </c>
      <c r="I4475">
        <v>138.4085</v>
      </c>
      <c r="J4475">
        <v>-246.95099999999999</v>
      </c>
      <c r="K4475">
        <v>1.1020920000000001</v>
      </c>
      <c r="L4475">
        <v>141.3091</v>
      </c>
      <c r="M4475">
        <v>-0.99999669999999896</v>
      </c>
      <c r="N4475">
        <v>0</v>
      </c>
      <c r="O4475">
        <v>1.451925E-3</v>
      </c>
      <c r="P4475">
        <v>-0.9982027</v>
      </c>
      <c r="Q4475">
        <v>3.9645279999999998E-2</v>
      </c>
      <c r="R4475">
        <v>-4.4942330000000003E-2</v>
      </c>
      <c r="S4475">
        <v>-3.0023960000000001</v>
      </c>
      <c r="T4475">
        <v>-3.852212E-2</v>
      </c>
      <c r="U4475">
        <v>-0.1013336</v>
      </c>
      <c r="V4475">
        <v>-4.6257279999999998E-2</v>
      </c>
      <c r="W4475">
        <v>4.193061E-2</v>
      </c>
      <c r="X4475">
        <v>0.99804910000000002</v>
      </c>
      <c r="Y4475">
        <v>-3.5179769999999999E-2</v>
      </c>
      <c r="Z4475">
        <v>-2.4423579999999998E-4</v>
      </c>
      <c r="AA4475">
        <v>0.99938090000000002</v>
      </c>
      <c r="AB4475">
        <v>31</v>
      </c>
      <c r="AC4475">
        <v>-85.601699999999994</v>
      </c>
      <c r="AD4475">
        <v>-1.102095715106</v>
      </c>
      <c r="AE4475">
        <v>-2.9005999999999901</v>
      </c>
      <c r="AF4475">
        <v>-3.02438372993615</v>
      </c>
      <c r="AG4475">
        <v>-1.102095715106</v>
      </c>
      <c r="AH4475">
        <v>85.583228494508504</v>
      </c>
      <c r="AI4475">
        <v>90.737323879728095</v>
      </c>
      <c r="AJ4475">
        <v>92.023905235629897</v>
      </c>
      <c r="AK4475">
        <v>85.643741811380593</v>
      </c>
    </row>
    <row r="4476" spans="1:37" x14ac:dyDescent="0.2">
      <c r="A4476" t="str">
        <f>"20200111155638837"</f>
        <v>20200111155638837</v>
      </c>
      <c r="B4476" t="str">
        <f>"1578729398827515"</f>
        <v>1578729398827515</v>
      </c>
      <c r="C4476" t="s">
        <v>37</v>
      </c>
      <c r="D4476">
        <v>4.5940260000000004</v>
      </c>
      <c r="E4476">
        <v>0.49722040000000001</v>
      </c>
      <c r="F4476" t="s">
        <v>38</v>
      </c>
      <c r="G4476">
        <v>-331.7244</v>
      </c>
      <c r="H4476" s="1">
        <v>-4.4427659999999902E-6</v>
      </c>
      <c r="I4476">
        <v>136.5137</v>
      </c>
      <c r="J4476">
        <v>-247.2535</v>
      </c>
      <c r="K4476">
        <v>1.102074</v>
      </c>
      <c r="L4476">
        <v>141.31100000000001</v>
      </c>
      <c r="M4476">
        <v>-0.99999329999999997</v>
      </c>
      <c r="N4476">
        <v>0</v>
      </c>
      <c r="O4476">
        <v>3.0171859999999998E-3</v>
      </c>
      <c r="P4476">
        <v>-0.99823779999999995</v>
      </c>
      <c r="Q4476">
        <v>3.8894970000000001E-2</v>
      </c>
      <c r="R4476">
        <v>-4.4820499999999999E-2</v>
      </c>
      <c r="S4476">
        <v>-2.9993289999999999</v>
      </c>
      <c r="T4476">
        <v>-3.8992760000000001E-2</v>
      </c>
      <c r="U4476">
        <v>-0.16966249999999999</v>
      </c>
      <c r="V4476">
        <v>-4.76988E-2</v>
      </c>
      <c r="W4476">
        <v>4.1183570000000003E-2</v>
      </c>
      <c r="X4476">
        <v>0.99801240000000002</v>
      </c>
      <c r="Y4476">
        <v>-5.9483389999999997E-2</v>
      </c>
      <c r="Z4476">
        <v>-4.2552449999999999E-4</v>
      </c>
      <c r="AA4476">
        <v>0.99822919999999904</v>
      </c>
      <c r="AB4476">
        <v>31</v>
      </c>
      <c r="AC4476">
        <v>-84.4709</v>
      </c>
      <c r="AD4476">
        <v>-1.102078442766</v>
      </c>
      <c r="AE4476">
        <v>-4.7972999999999999</v>
      </c>
      <c r="AF4476">
        <v>-5.0512860624390701</v>
      </c>
      <c r="AG4476">
        <v>-1.102078442766</v>
      </c>
      <c r="AH4476">
        <v>84.441713670019695</v>
      </c>
      <c r="AI4476">
        <v>90.746410736729899</v>
      </c>
      <c r="AJ4476">
        <v>93.423342343804194</v>
      </c>
      <c r="AK4476">
        <v>84.599840870466096</v>
      </c>
    </row>
    <row r="4477" spans="1:37" x14ac:dyDescent="0.2">
      <c r="A4477" t="str">
        <f>"20200111155638861"</f>
        <v>20200111155638861</v>
      </c>
      <c r="B4477" t="str">
        <f>"1578729398857772"</f>
        <v>1578729398857772</v>
      </c>
      <c r="C4477" t="s">
        <v>37</v>
      </c>
      <c r="D4477">
        <v>4.8973490000000002</v>
      </c>
      <c r="E4477">
        <v>0.49692989999999998</v>
      </c>
      <c r="F4477" t="s">
        <v>72</v>
      </c>
      <c r="G4477">
        <v>-312.82889999999998</v>
      </c>
      <c r="H4477" s="1">
        <v>-7.8029650000000006E-6</v>
      </c>
      <c r="I4477">
        <v>137.65520000000001</v>
      </c>
      <c r="J4477">
        <v>-247.58369999999999</v>
      </c>
      <c r="K4477">
        <v>1.102061</v>
      </c>
      <c r="L4477">
        <v>141.31360000000001</v>
      </c>
      <c r="M4477">
        <v>-0.99998679999999995</v>
      </c>
      <c r="N4477">
        <v>0</v>
      </c>
      <c r="O4477">
        <v>4.7058509999999996E-3</v>
      </c>
      <c r="P4477">
        <v>-0.998256699999999</v>
      </c>
      <c r="Q4477">
        <v>3.81465E-2</v>
      </c>
      <c r="R4477">
        <v>-4.5041419999999999E-2</v>
      </c>
      <c r="S4477">
        <v>-2.999771</v>
      </c>
      <c r="T4477">
        <v>-5.0415160000000001E-2</v>
      </c>
      <c r="U4477">
        <v>-0.16723629999999901</v>
      </c>
      <c r="V4477">
        <v>-4.9607060000000001E-2</v>
      </c>
      <c r="W4477">
        <v>4.0468909999999997E-2</v>
      </c>
      <c r="X4477">
        <v>0.99794859999999896</v>
      </c>
      <c r="Y4477">
        <v>-6.0352049999999997E-2</v>
      </c>
      <c r="Z4477">
        <v>-5.8574309999999896E-4</v>
      </c>
      <c r="AA4477">
        <v>0.99817699999999998</v>
      </c>
      <c r="AB4477">
        <v>31</v>
      </c>
      <c r="AC4477">
        <v>-65.245199999999897</v>
      </c>
      <c r="AD4477">
        <v>-1.1020688029649901</v>
      </c>
      <c r="AE4477">
        <v>-3.6583999999999999</v>
      </c>
      <c r="AF4477">
        <v>-3.9642668261309</v>
      </c>
      <c r="AG4477">
        <v>-1.1020688029649901</v>
      </c>
      <c r="AH4477">
        <v>65.208715113623398</v>
      </c>
      <c r="AI4477">
        <v>90.966459015515397</v>
      </c>
      <c r="AJ4477">
        <v>93.478930024808804</v>
      </c>
      <c r="AK4477">
        <v>65.338399841784707</v>
      </c>
    </row>
    <row r="4478" spans="1:37" x14ac:dyDescent="0.2">
      <c r="A4478" t="str">
        <f>"20200111155638883"</f>
        <v>20200111155638883</v>
      </c>
      <c r="B4478" t="str">
        <f>"1578729398877438"</f>
        <v>1578729398877438</v>
      </c>
      <c r="C4478" t="s">
        <v>37</v>
      </c>
      <c r="D4478">
        <v>4.6325789999999998</v>
      </c>
      <c r="E4478">
        <v>0.49724249999999998</v>
      </c>
      <c r="F4478" t="s">
        <v>72</v>
      </c>
      <c r="G4478">
        <v>-307.9479</v>
      </c>
      <c r="H4478" s="1">
        <v>-8.6422839999999998E-6</v>
      </c>
      <c r="I4478">
        <v>137.87970000000001</v>
      </c>
      <c r="J4478">
        <v>-247.90770000000001</v>
      </c>
      <c r="K4478">
        <v>1.1020669999999999</v>
      </c>
      <c r="L4478">
        <v>141.31659999999999</v>
      </c>
      <c r="M4478">
        <v>-0.99997749999999996</v>
      </c>
      <c r="N4478">
        <v>0</v>
      </c>
      <c r="O4478">
        <v>6.338214E-3</v>
      </c>
      <c r="P4478">
        <v>-0.99825049999999904</v>
      </c>
      <c r="Q4478">
        <v>3.8349929999999997E-2</v>
      </c>
      <c r="R4478">
        <v>-4.5003599999999998E-2</v>
      </c>
      <c r="S4478">
        <v>-2.9996489999999998</v>
      </c>
      <c r="T4478">
        <v>-5.4764630000000002E-2</v>
      </c>
      <c r="U4478">
        <v>-0.17063900000000001</v>
      </c>
      <c r="V4478">
        <v>-5.1197220000000002E-2</v>
      </c>
      <c r="W4478">
        <v>4.0738099999999999E-2</v>
      </c>
      <c r="X4478">
        <v>0.99785729999999995</v>
      </c>
      <c r="Y4478">
        <v>-6.310984E-2</v>
      </c>
      <c r="Z4478">
        <v>-6.9120390000000002E-4</v>
      </c>
      <c r="AA4478">
        <v>0.99800630000000001</v>
      </c>
      <c r="AB4478">
        <v>31</v>
      </c>
      <c r="AC4478">
        <v>-60.040199999999999</v>
      </c>
      <c r="AD4478">
        <v>-1.1020756422839999</v>
      </c>
      <c r="AE4478">
        <v>-3.4368999999999801</v>
      </c>
      <c r="AF4478">
        <v>-3.8160979631944199</v>
      </c>
      <c r="AG4478">
        <v>-1.1020756422839999</v>
      </c>
      <c r="AH4478">
        <v>59.997061391854899</v>
      </c>
      <c r="AI4478">
        <v>91.050216178214598</v>
      </c>
      <c r="AJ4478">
        <v>93.639381110749298</v>
      </c>
      <c r="AK4478">
        <v>60.1284005279038</v>
      </c>
    </row>
    <row r="4479" spans="1:37" x14ac:dyDescent="0.2">
      <c r="A4479" t="str">
        <f>"20200111155638905"</f>
        <v>20200111155638905</v>
      </c>
      <c r="B4479" t="str">
        <f>"1578729398896958"</f>
        <v>1578729398896958</v>
      </c>
      <c r="C4479" t="s">
        <v>37</v>
      </c>
      <c r="D4479">
        <v>4.637162</v>
      </c>
      <c r="E4479">
        <v>0.49725559999999902</v>
      </c>
      <c r="F4479" t="s">
        <v>72</v>
      </c>
      <c r="G4479">
        <v>-306.34449999999998</v>
      </c>
      <c r="H4479" s="1">
        <v>-8.4620380000000002E-6</v>
      </c>
      <c r="I4479">
        <v>138.036</v>
      </c>
      <c r="J4479">
        <v>-248.2182</v>
      </c>
      <c r="K4479">
        <v>1.102082</v>
      </c>
      <c r="L4479">
        <v>141.3201</v>
      </c>
      <c r="M4479">
        <v>-0.99996640000000003</v>
      </c>
      <c r="N4479">
        <v>0</v>
      </c>
      <c r="O4479">
        <v>7.8811829999999999E-3</v>
      </c>
      <c r="P4479">
        <v>-0.9982259</v>
      </c>
      <c r="Q4479">
        <v>3.9177099999999902E-2</v>
      </c>
      <c r="R4479">
        <v>-4.4839370000000003E-2</v>
      </c>
      <c r="S4479">
        <v>-2.9998469999999999</v>
      </c>
      <c r="T4479">
        <v>-5.6574939999999997E-2</v>
      </c>
      <c r="U4479">
        <v>-0.16841129999999899</v>
      </c>
      <c r="V4479">
        <v>-5.2569820000000003E-2</v>
      </c>
      <c r="W4479">
        <v>4.1652849999999998E-2</v>
      </c>
      <c r="X4479">
        <v>0.99774819999999997</v>
      </c>
      <c r="Y4479">
        <v>-6.3906039999999997E-2</v>
      </c>
      <c r="Z4479">
        <v>-7.5059409999999997E-4</v>
      </c>
      <c r="AA4479">
        <v>0.99795560000000005</v>
      </c>
      <c r="AB4479">
        <v>32</v>
      </c>
      <c r="AC4479">
        <v>-58.126299999999901</v>
      </c>
      <c r="AD4479">
        <v>-1.1020904620380001</v>
      </c>
      <c r="AE4479">
        <v>-3.2840999999999898</v>
      </c>
      <c r="AF4479">
        <v>-3.7407626826612002</v>
      </c>
      <c r="AG4479">
        <v>-1.1020904620380001</v>
      </c>
      <c r="AH4479">
        <v>58.077800039322</v>
      </c>
      <c r="AI4479">
        <v>91.084872807035694</v>
      </c>
      <c r="AJ4479">
        <v>93.685302485317393</v>
      </c>
      <c r="AK4479">
        <v>58.208579833577602</v>
      </c>
    </row>
    <row r="4480" spans="1:37" x14ac:dyDescent="0.2">
      <c r="A4480" t="str">
        <f>"20200111155638926"</f>
        <v>20200111155638926</v>
      </c>
      <c r="B4480" t="str">
        <f>"1578729398917454"</f>
        <v>1578729398917454</v>
      </c>
      <c r="C4480" t="s">
        <v>37</v>
      </c>
      <c r="D4480">
        <v>4.6985529999999898</v>
      </c>
      <c r="E4480">
        <v>0.49730190000000002</v>
      </c>
      <c r="F4480" t="s">
        <v>72</v>
      </c>
      <c r="G4480">
        <v>-308.47219999999999</v>
      </c>
      <c r="H4480" s="1">
        <v>-8.7401999999999998E-6</v>
      </c>
      <c r="I4480">
        <v>137.94299999999899</v>
      </c>
      <c r="J4480">
        <v>-248.52529999999999</v>
      </c>
      <c r="K4480">
        <v>1.102106</v>
      </c>
      <c r="L4480">
        <v>141.32390000000001</v>
      </c>
      <c r="M4480">
        <v>-0.99995319999999899</v>
      </c>
      <c r="N4480">
        <v>0</v>
      </c>
      <c r="O4480">
        <v>9.3773780000000004E-3</v>
      </c>
      <c r="P4480">
        <v>-0.99822279999999997</v>
      </c>
      <c r="Q4480">
        <v>4.0489619999999997E-2</v>
      </c>
      <c r="R4480">
        <v>-4.3725020000000003E-2</v>
      </c>
      <c r="S4480">
        <v>-2.999924</v>
      </c>
      <c r="T4480">
        <v>-5.4870839999999997E-2</v>
      </c>
      <c r="U4480">
        <v>-0.1681366</v>
      </c>
      <c r="V4480">
        <v>-5.2944360000000003E-2</v>
      </c>
      <c r="W4480">
        <v>4.3081599999999998E-2</v>
      </c>
      <c r="X4480">
        <v>0.99766769999999905</v>
      </c>
      <c r="Y4480">
        <v>-6.5306929999999999E-2</v>
      </c>
      <c r="Z4480">
        <v>-7.6811849999999999E-4</v>
      </c>
      <c r="AA4480">
        <v>0.99786489999999906</v>
      </c>
      <c r="AB4480">
        <v>32</v>
      </c>
      <c r="AC4480">
        <v>-59.946899999999999</v>
      </c>
      <c r="AD4480">
        <v>-1.1021147402</v>
      </c>
      <c r="AE4480">
        <v>-3.38090000000002</v>
      </c>
      <c r="AF4480">
        <v>-3.9415696416434498</v>
      </c>
      <c r="AG4480">
        <v>-1.1021147402</v>
      </c>
      <c r="AH4480">
        <v>59.892380538715301</v>
      </c>
      <c r="AI4480">
        <v>91.051939146881494</v>
      </c>
      <c r="AJ4480">
        <v>93.765255471913605</v>
      </c>
      <c r="AK4480">
        <v>60.0320570589979</v>
      </c>
    </row>
    <row r="4481" spans="1:37" x14ac:dyDescent="0.2">
      <c r="A4481" t="str">
        <f>"20200111155639586"</f>
        <v>20200111155639586</v>
      </c>
      <c r="B4481" t="str">
        <f>"1578729399577257"</f>
        <v>1578729399577257</v>
      </c>
      <c r="C4481" t="s">
        <v>37</v>
      </c>
      <c r="D4481">
        <v>5.026078</v>
      </c>
      <c r="E4481">
        <v>0.47291059999999902</v>
      </c>
      <c r="F4481" t="s">
        <v>72</v>
      </c>
      <c r="G4481">
        <v>-312.86470000000003</v>
      </c>
      <c r="H4481" s="1">
        <v>-7.8327280000000003E-6</v>
      </c>
      <c r="I4481">
        <v>137.79570000000001</v>
      </c>
      <c r="J4481">
        <v>-258.39109999999999</v>
      </c>
      <c r="K4481">
        <v>1.1046049999999901</v>
      </c>
      <c r="L4481">
        <v>141.48429999999999</v>
      </c>
      <c r="M4481">
        <v>-0.99992549999999902</v>
      </c>
      <c r="N4481">
        <v>0</v>
      </c>
      <c r="O4481">
        <v>9.7272379999999992E-3</v>
      </c>
      <c r="P4481">
        <v>-0.9984693</v>
      </c>
      <c r="Q4481">
        <v>4.0139380000000002E-2</v>
      </c>
      <c r="R4481">
        <v>-3.8056369999999999E-2</v>
      </c>
      <c r="S4481">
        <v>-3.0002140000000002</v>
      </c>
      <c r="T4481">
        <v>-5.1392790000000001E-2</v>
      </c>
      <c r="U4481">
        <v>-0.16452030000000001</v>
      </c>
      <c r="V4481">
        <v>-4.784447E-2</v>
      </c>
      <c r="W4481">
        <v>4.7434469999999999E-2</v>
      </c>
      <c r="X4481">
        <v>0.9977279</v>
      </c>
      <c r="Y4481">
        <v>-6.4453399999999994E-2</v>
      </c>
      <c r="Z4481">
        <v>-7.1808059999999897E-4</v>
      </c>
      <c r="AA4481">
        <v>0.99792049999999999</v>
      </c>
      <c r="AB4481">
        <v>35</v>
      </c>
      <c r="AC4481">
        <v>-54.473599999999998</v>
      </c>
      <c r="AD4481">
        <v>-1.10461283272799</v>
      </c>
      <c r="AE4481">
        <v>-3.6885999999999699</v>
      </c>
      <c r="AF4481">
        <v>-4.2165916303437703</v>
      </c>
      <c r="AG4481">
        <v>-1.10461283272799</v>
      </c>
      <c r="AH4481">
        <v>54.412869621245598</v>
      </c>
      <c r="AI4481">
        <v>91.159502537900195</v>
      </c>
      <c r="AJ4481">
        <v>94.431140003508403</v>
      </c>
      <c r="AK4481">
        <v>54.587179766919498</v>
      </c>
    </row>
    <row r="4482" spans="1:37" x14ac:dyDescent="0.2">
      <c r="A4482" t="str">
        <f>"20200111155639608"</f>
        <v>20200111155639608</v>
      </c>
      <c r="B4482" t="str">
        <f>"1578729399596778"</f>
        <v>1578729399596778</v>
      </c>
      <c r="C4482" t="s">
        <v>37</v>
      </c>
      <c r="D4482">
        <v>4.8246419999999999</v>
      </c>
      <c r="E4482">
        <v>0.48932999999999999</v>
      </c>
      <c r="F4482" t="s">
        <v>72</v>
      </c>
      <c r="G4482">
        <v>-294.99200000000002</v>
      </c>
      <c r="H4482" s="1">
        <v>-7.6745370000000003E-6</v>
      </c>
      <c r="I4482">
        <v>137.29409999999999</v>
      </c>
      <c r="J4482">
        <v>-258.73669999999998</v>
      </c>
      <c r="K4482">
        <v>1.104611</v>
      </c>
      <c r="L4482">
        <v>141.48689999999999</v>
      </c>
      <c r="M4482">
        <v>-0.99993180000000004</v>
      </c>
      <c r="N4482">
        <v>0</v>
      </c>
      <c r="O4482">
        <v>8.9869919999999992E-3</v>
      </c>
      <c r="P4482">
        <v>-0.99846299999999899</v>
      </c>
      <c r="Q4482">
        <v>3.914231E-2</v>
      </c>
      <c r="R4482">
        <v>-3.9240169999999998E-2</v>
      </c>
      <c r="S4482">
        <v>-2.9951779999999899</v>
      </c>
      <c r="T4482">
        <v>-9.0394139999999998E-2</v>
      </c>
      <c r="U4482">
        <v>-0.34289550000000002</v>
      </c>
      <c r="V4482">
        <v>-4.8288020000000001E-2</v>
      </c>
      <c r="W4482">
        <v>4.6525660000000003E-2</v>
      </c>
      <c r="X4482">
        <v>0.99774929999999995</v>
      </c>
      <c r="Y4482">
        <v>-0.1226048</v>
      </c>
      <c r="Z4482">
        <v>-2.1139829999999998E-3</v>
      </c>
      <c r="AA4482">
        <v>0.99245329999999998</v>
      </c>
      <c r="AB4482">
        <v>35</v>
      </c>
      <c r="AC4482">
        <v>-36.255299999999998</v>
      </c>
      <c r="AD4482">
        <v>-1.1046186745369999</v>
      </c>
      <c r="AE4482">
        <v>-4.1928000000000001</v>
      </c>
      <c r="AF4482">
        <v>-4.5143305398248597</v>
      </c>
      <c r="AG4482">
        <v>-1.1046186745369999</v>
      </c>
      <c r="AH4482">
        <v>36.183009189018001</v>
      </c>
      <c r="AI4482">
        <v>91.735175681128993</v>
      </c>
      <c r="AJ4482">
        <v>97.111692178087296</v>
      </c>
      <c r="AK4482">
        <v>36.480262014019203</v>
      </c>
    </row>
    <row r="4483" spans="1:37" x14ac:dyDescent="0.2">
      <c r="A4483" t="str">
        <f>"20200111155639630"</f>
        <v>20200111155639630</v>
      </c>
      <c r="B4483" t="str">
        <f>"1578729399627033"</f>
        <v>1578729399627033</v>
      </c>
      <c r="C4483" t="s">
        <v>37</v>
      </c>
      <c r="D4483">
        <v>4.7584269999999904</v>
      </c>
      <c r="E4483">
        <v>0.49984149999999999</v>
      </c>
      <c r="F4483" t="s">
        <v>72</v>
      </c>
      <c r="G4483">
        <v>-285.70409999999998</v>
      </c>
      <c r="H4483" s="1">
        <v>-6.2530710000000002E-6</v>
      </c>
      <c r="I4483">
        <v>139.53720000000001</v>
      </c>
      <c r="J4483">
        <v>-259.08870000000002</v>
      </c>
      <c r="K4483">
        <v>1.104617</v>
      </c>
      <c r="L4483">
        <v>141.48939999999999</v>
      </c>
      <c r="M4483">
        <v>-0.99993739999999998</v>
      </c>
      <c r="N4483">
        <v>0</v>
      </c>
      <c r="O4483">
        <v>8.2382359999999995E-3</v>
      </c>
      <c r="P4483">
        <v>-0.99846480000000004</v>
      </c>
      <c r="Q4483">
        <v>3.8063729999999997E-2</v>
      </c>
      <c r="R4483">
        <v>-4.0237549999999997E-2</v>
      </c>
      <c r="S4483">
        <v>-3.0009160000000001</v>
      </c>
      <c r="T4483">
        <v>-0.122920899999999</v>
      </c>
      <c r="U4483">
        <v>-0.21696469999999901</v>
      </c>
      <c r="V4483">
        <v>-4.8537160000000003E-2</v>
      </c>
      <c r="W4483">
        <v>4.5538240000000001E-2</v>
      </c>
      <c r="X4483">
        <v>0.99778279999999997</v>
      </c>
      <c r="Y4483">
        <v>-8.0252039999999997E-2</v>
      </c>
      <c r="Z4483">
        <v>-1.9776780000000001E-3</v>
      </c>
      <c r="AA4483">
        <v>0.99677260000000001</v>
      </c>
      <c r="AB4483">
        <v>35</v>
      </c>
      <c r="AC4483">
        <v>-26.615399999999902</v>
      </c>
      <c r="AD4483">
        <v>-1.1046232530710001</v>
      </c>
      <c r="AE4483">
        <v>-1.95219999999997</v>
      </c>
      <c r="AF4483">
        <v>-2.1676900878528098</v>
      </c>
      <c r="AG4483">
        <v>-1.1046232530710001</v>
      </c>
      <c r="AH4483">
        <v>26.552920629814398</v>
      </c>
      <c r="AI4483">
        <v>92.374288242900107</v>
      </c>
      <c r="AJ4483">
        <v>94.667082862019797</v>
      </c>
      <c r="AK4483">
        <v>26.6641457170753</v>
      </c>
    </row>
    <row r="4484" spans="1:37" x14ac:dyDescent="0.2">
      <c r="A4484" t="str">
        <f>"20200111155639653"</f>
        <v>20200111155639653</v>
      </c>
      <c r="B4484" t="str">
        <f>"1578729399647530"</f>
        <v>1578729399647530</v>
      </c>
      <c r="C4484" t="s">
        <v>37</v>
      </c>
      <c r="D4484">
        <v>4.8062209999999999</v>
      </c>
      <c r="E4484">
        <v>0.50331740000000003</v>
      </c>
      <c r="F4484" t="s">
        <v>72</v>
      </c>
      <c r="G4484">
        <v>-282.61239999999998</v>
      </c>
      <c r="H4484" s="1">
        <v>-5.035527E-6</v>
      </c>
      <c r="I4484">
        <v>140.41820000000001</v>
      </c>
      <c r="J4484">
        <v>-259.44760000000002</v>
      </c>
      <c r="K4484">
        <v>1.104622</v>
      </c>
      <c r="L4484">
        <v>141.49160000000001</v>
      </c>
      <c r="M4484">
        <v>-0.99994259999999902</v>
      </c>
      <c r="N4484">
        <v>0</v>
      </c>
      <c r="O4484">
        <v>7.485004E-3</v>
      </c>
      <c r="P4484">
        <v>-0.99846569999999901</v>
      </c>
      <c r="Q4484">
        <v>3.6732620000000001E-2</v>
      </c>
      <c r="R4484">
        <v>-4.143732E-2</v>
      </c>
      <c r="S4484">
        <v>-3.0045169999999999</v>
      </c>
      <c r="T4484">
        <v>-0.14108560000000001</v>
      </c>
      <c r="U4484">
        <v>-0.1368103</v>
      </c>
      <c r="V4484">
        <v>-4.8982339999999999E-2</v>
      </c>
      <c r="W4484">
        <v>4.4306379999999999E-2</v>
      </c>
      <c r="X4484">
        <v>0.99781640000000005</v>
      </c>
      <c r="Y4484">
        <v>-5.289754E-2</v>
      </c>
      <c r="Z4484">
        <v>-1.591779E-3</v>
      </c>
      <c r="AA4484">
        <v>0.99859869999999995</v>
      </c>
      <c r="AB4484">
        <v>35</v>
      </c>
      <c r="AC4484">
        <v>-23.1647999999999</v>
      </c>
      <c r="AD4484">
        <v>-1.104627035527</v>
      </c>
      <c r="AE4484">
        <v>-1.0733999999999899</v>
      </c>
      <c r="AF4484">
        <v>-1.24394108927175</v>
      </c>
      <c r="AG4484">
        <v>-1.104627035527</v>
      </c>
      <c r="AH4484">
        <v>23.1036931333058</v>
      </c>
      <c r="AI4484">
        <v>92.733371525929002</v>
      </c>
      <c r="AJ4484">
        <v>93.081923840288795</v>
      </c>
      <c r="AK4484">
        <v>23.163510673452699</v>
      </c>
    </row>
    <row r="4485" spans="1:37" x14ac:dyDescent="0.2">
      <c r="A4485" t="str">
        <f>"20200111155639675"</f>
        <v>20200111155639675</v>
      </c>
      <c r="B4485" t="str">
        <f>"1578729399667049"</f>
        <v>1578729399667049</v>
      </c>
      <c r="C4485" t="s">
        <v>37</v>
      </c>
      <c r="D4485">
        <v>4.7537010000000004</v>
      </c>
      <c r="E4485">
        <v>0.50515200000000005</v>
      </c>
      <c r="F4485" t="s">
        <v>72</v>
      </c>
      <c r="G4485">
        <v>-281.59280000000001</v>
      </c>
      <c r="H4485" s="1">
        <v>-4.6616889999999997E-6</v>
      </c>
      <c r="I4485">
        <v>140.66030000000001</v>
      </c>
      <c r="J4485">
        <v>-259.79079999999999</v>
      </c>
      <c r="K4485">
        <v>1.104625</v>
      </c>
      <c r="L4485">
        <v>141.49350000000001</v>
      </c>
      <c r="M4485">
        <v>-0.99994699999999903</v>
      </c>
      <c r="N4485">
        <v>0</v>
      </c>
      <c r="O4485">
        <v>6.7779229999999999E-3</v>
      </c>
      <c r="P4485">
        <v>-0.99845260000000002</v>
      </c>
      <c r="Q4485">
        <v>3.5814720000000001E-2</v>
      </c>
      <c r="R4485">
        <v>-4.2542699999999899E-2</v>
      </c>
      <c r="S4485">
        <v>-3.0054319999999999</v>
      </c>
      <c r="T4485">
        <v>-0.149914299999999</v>
      </c>
      <c r="U4485">
        <v>-0.11282349999999999</v>
      </c>
      <c r="V4485">
        <v>-4.9379970000000002E-2</v>
      </c>
      <c r="W4485">
        <v>4.3491290000000002E-2</v>
      </c>
      <c r="X4485">
        <v>0.99783269999999902</v>
      </c>
      <c r="Y4485">
        <v>-4.4222600000000001E-2</v>
      </c>
      <c r="Z4485">
        <v>-1.4396439999999999E-3</v>
      </c>
      <c r="AA4485">
        <v>0.99902060000000004</v>
      </c>
      <c r="AB4485">
        <v>35</v>
      </c>
      <c r="AC4485">
        <v>-21.802</v>
      </c>
      <c r="AD4485">
        <v>-1.1046296616889999</v>
      </c>
      <c r="AE4485">
        <v>-0.83320000000000505</v>
      </c>
      <c r="AF4485">
        <v>-0.97844947211845801</v>
      </c>
      <c r="AG4485">
        <v>-1.1046296616889999</v>
      </c>
      <c r="AH4485">
        <v>21.740124216573498</v>
      </c>
      <c r="AI4485">
        <v>92.905797416029301</v>
      </c>
      <c r="AJ4485">
        <v>92.576950263717805</v>
      </c>
      <c r="AK4485">
        <v>21.7901484852907</v>
      </c>
    </row>
    <row r="4486" spans="1:37" x14ac:dyDescent="0.2">
      <c r="A4486" t="str">
        <f>"20200111155639697"</f>
        <v>20200111155639697</v>
      </c>
      <c r="B4486" t="str">
        <f>"1578729399687544"</f>
        <v>1578729399687544</v>
      </c>
      <c r="C4486" t="s">
        <v>37</v>
      </c>
      <c r="D4486">
        <v>4.7525230000000001</v>
      </c>
      <c r="E4486">
        <v>0.50670660000000001</v>
      </c>
      <c r="F4486" t="s">
        <v>72</v>
      </c>
      <c r="G4486">
        <v>-281.36739999999998</v>
      </c>
      <c r="H4486" s="1">
        <v>-4.5958140000000001E-6</v>
      </c>
      <c r="I4486">
        <v>140.76560000000001</v>
      </c>
      <c r="J4486">
        <v>-260.13290000000001</v>
      </c>
      <c r="K4486">
        <v>1.1046339999999999</v>
      </c>
      <c r="L4486">
        <v>141.49520000000001</v>
      </c>
      <c r="M4486">
        <v>-0.99995049999999996</v>
      </c>
      <c r="N4486">
        <v>0</v>
      </c>
      <c r="O4486">
        <v>6.0881590000000001E-3</v>
      </c>
      <c r="P4486">
        <v>-0.99840949999999995</v>
      </c>
      <c r="Q4486">
        <v>3.537539E-2</v>
      </c>
      <c r="R4486">
        <v>-4.390372E-2</v>
      </c>
      <c r="S4486">
        <v>-3.00589</v>
      </c>
      <c r="T4486">
        <v>-0.1538889</v>
      </c>
      <c r="U4486">
        <v>-0.1014099</v>
      </c>
      <c r="V4486">
        <v>-5.0050600000000001E-2</v>
      </c>
      <c r="W4486">
        <v>4.3164969999999997E-2</v>
      </c>
      <c r="X4486">
        <v>0.99781350000000002</v>
      </c>
      <c r="Y4486">
        <v>-3.9742189999999997E-2</v>
      </c>
      <c r="Z4486">
        <v>-1.3277739999999899E-3</v>
      </c>
      <c r="AA4486">
        <v>0.99920909999999996</v>
      </c>
      <c r="AB4486">
        <v>35</v>
      </c>
      <c r="AC4486">
        <v>-21.234499999999901</v>
      </c>
      <c r="AD4486">
        <v>-1.1046385958139999</v>
      </c>
      <c r="AE4486">
        <v>-0.72960000000000402</v>
      </c>
      <c r="AF4486">
        <v>-0.85655423829942801</v>
      </c>
      <c r="AG4486">
        <v>-1.1046385958139999</v>
      </c>
      <c r="AH4486">
        <v>21.172435561829801</v>
      </c>
      <c r="AI4486">
        <v>92.984172743065301</v>
      </c>
      <c r="AJ4486">
        <v>92.316700608890002</v>
      </c>
      <c r="AK4486">
        <v>21.218528205564699</v>
      </c>
    </row>
    <row r="4487" spans="1:37" x14ac:dyDescent="0.2">
      <c r="A4487" t="str">
        <f>"20200111155639719"</f>
        <v>20200111155639719</v>
      </c>
      <c r="B4487" t="str">
        <f>"1578729399707065"</f>
        <v>1578729399707065</v>
      </c>
      <c r="C4487" t="s">
        <v>37</v>
      </c>
      <c r="D4487">
        <v>4.7447109999999997</v>
      </c>
      <c r="E4487">
        <v>0.50834729999999995</v>
      </c>
      <c r="F4487" t="s">
        <v>72</v>
      </c>
      <c r="G4487">
        <v>-281.69589999999999</v>
      </c>
      <c r="H4487" s="1">
        <v>-4.7619220000000003E-6</v>
      </c>
      <c r="I4487">
        <v>140.8287</v>
      </c>
      <c r="J4487">
        <v>-260.48379999999997</v>
      </c>
      <c r="K4487">
        <v>1.104643</v>
      </c>
      <c r="L4487">
        <v>141.4967</v>
      </c>
      <c r="M4487">
        <v>-0.99995339999999999</v>
      </c>
      <c r="N4487">
        <v>0</v>
      </c>
      <c r="O4487">
        <v>5.3949480000000001E-3</v>
      </c>
      <c r="P4487">
        <v>-0.99838760000000004</v>
      </c>
      <c r="Q4487">
        <v>3.4857619999999999E-2</v>
      </c>
      <c r="R4487">
        <v>-4.4803490000000001E-2</v>
      </c>
      <c r="S4487">
        <v>-3.0061650000000002</v>
      </c>
      <c r="T4487">
        <v>-0.1540009</v>
      </c>
      <c r="U4487">
        <v>-9.2926030000000007E-2</v>
      </c>
      <c r="V4487">
        <v>-5.0256999999999899E-2</v>
      </c>
      <c r="W4487">
        <v>4.2771950000000003E-2</v>
      </c>
      <c r="X4487">
        <v>0.99782000000000004</v>
      </c>
      <c r="Y4487">
        <v>-3.6234629999999997E-2</v>
      </c>
      <c r="Z4487">
        <v>-1.2034319999999999E-3</v>
      </c>
      <c r="AA4487">
        <v>0.99934259999999997</v>
      </c>
      <c r="AB4487">
        <v>35</v>
      </c>
      <c r="AC4487">
        <v>-21.2121</v>
      </c>
      <c r="AD4487">
        <v>-1.1046477619220001</v>
      </c>
      <c r="AE4487">
        <v>-0.66800000000000603</v>
      </c>
      <c r="AF4487">
        <v>-0.78031804178485997</v>
      </c>
      <c r="AG4487">
        <v>-1.1046477619220001</v>
      </c>
      <c r="AH4487">
        <v>21.150884212694901</v>
      </c>
      <c r="AI4487">
        <v>92.987642975768594</v>
      </c>
      <c r="AJ4487">
        <v>92.112850806013498</v>
      </c>
      <c r="AK4487">
        <v>21.194080444857299</v>
      </c>
    </row>
    <row r="4488" spans="1:37" x14ac:dyDescent="0.2">
      <c r="A4488" t="str">
        <f>"20200111155639743"</f>
        <v>20200111155639743</v>
      </c>
      <c r="B4488" t="str">
        <f>"1578729399737322"</f>
        <v>1578729399737322</v>
      </c>
      <c r="C4488" t="s">
        <v>37</v>
      </c>
      <c r="D4488">
        <v>4.9084079999999997</v>
      </c>
      <c r="E4488">
        <v>0.51017069999999998</v>
      </c>
      <c r="F4488" t="s">
        <v>72</v>
      </c>
      <c r="G4488">
        <v>-281.79349999999999</v>
      </c>
      <c r="H4488" s="1">
        <v>-4.8319789999999997E-6</v>
      </c>
      <c r="I4488">
        <v>140.91139999999999</v>
      </c>
      <c r="J4488">
        <v>-260.85629999999998</v>
      </c>
      <c r="K4488">
        <v>1.104644</v>
      </c>
      <c r="L4488">
        <v>141.49799999999999</v>
      </c>
      <c r="M4488">
        <v>-0.99995599999999996</v>
      </c>
      <c r="N4488">
        <v>0</v>
      </c>
      <c r="O4488">
        <v>4.6714440000000003E-3</v>
      </c>
      <c r="P4488">
        <v>-0.99834909999999999</v>
      </c>
      <c r="Q4488">
        <v>3.4802390000000002E-2</v>
      </c>
      <c r="R4488">
        <v>-4.5697189999999999E-2</v>
      </c>
      <c r="S4488">
        <v>-3.0065919999999999</v>
      </c>
      <c r="T4488">
        <v>-0.15585450000000001</v>
      </c>
      <c r="U4488">
        <v>-8.2580570000000006E-2</v>
      </c>
      <c r="V4488">
        <v>-5.0427149999999997E-2</v>
      </c>
      <c r="W4488">
        <v>4.2851979999999998E-2</v>
      </c>
      <c r="X4488">
        <v>0.99780800000000003</v>
      </c>
      <c r="Y4488">
        <v>-3.2076380000000002E-2</v>
      </c>
      <c r="Z4488">
        <v>-1.072627E-3</v>
      </c>
      <c r="AA4488">
        <v>0.99948479999999995</v>
      </c>
      <c r="AB4488">
        <v>35</v>
      </c>
      <c r="AC4488">
        <v>-20.937200000000001</v>
      </c>
      <c r="AD4488">
        <v>-1.104648831979</v>
      </c>
      <c r="AE4488">
        <v>-0.58660000000000401</v>
      </c>
      <c r="AF4488">
        <v>-0.68250544127264501</v>
      </c>
      <c r="AG4488">
        <v>-1.104648831979</v>
      </c>
      <c r="AH4488">
        <v>20.876165265090599</v>
      </c>
      <c r="AI4488">
        <v>93.027329999406703</v>
      </c>
      <c r="AJ4488">
        <v>91.872506638873503</v>
      </c>
      <c r="AK4488">
        <v>20.916508764484</v>
      </c>
    </row>
    <row r="4489" spans="1:37" x14ac:dyDescent="0.2">
      <c r="A4489" t="str">
        <f>"20200111155639764"</f>
        <v>20200111155639764</v>
      </c>
      <c r="B4489" t="str">
        <f>"1578729399756840"</f>
        <v>1578729399756840</v>
      </c>
      <c r="C4489" t="s">
        <v>37</v>
      </c>
      <c r="D4489">
        <v>4.6450379999999996</v>
      </c>
      <c r="E4489">
        <v>0.51117829999999997</v>
      </c>
      <c r="F4489" t="s">
        <v>72</v>
      </c>
      <c r="G4489">
        <v>-282.48649999999998</v>
      </c>
      <c r="H4489" s="1">
        <v>-5.1647479999999902E-6</v>
      </c>
      <c r="I4489">
        <v>140.99</v>
      </c>
      <c r="J4489">
        <v>-261.19150000000002</v>
      </c>
      <c r="K4489">
        <v>1.1046499999999999</v>
      </c>
      <c r="L4489">
        <v>141.499</v>
      </c>
      <c r="M4489">
        <v>-0.99995789999999996</v>
      </c>
      <c r="N4489">
        <v>0</v>
      </c>
      <c r="O4489">
        <v>4.0280259999999997E-3</v>
      </c>
      <c r="P4489">
        <v>-0.99835839999999998</v>
      </c>
      <c r="Q4489">
        <v>3.4331639999999997E-2</v>
      </c>
      <c r="R4489">
        <v>-4.5849760000000003E-2</v>
      </c>
      <c r="S4489">
        <v>-3.00707999999999</v>
      </c>
      <c r="T4489">
        <v>-0.1535705</v>
      </c>
      <c r="U4489">
        <v>-7.0617680000000002E-2</v>
      </c>
      <c r="V4489">
        <v>-4.9936399999999999E-2</v>
      </c>
      <c r="W4489">
        <v>4.250135E-2</v>
      </c>
      <c r="X4489">
        <v>0.997847699999999</v>
      </c>
      <c r="Y4489">
        <v>-2.7463169999999999E-2</v>
      </c>
      <c r="Z4489">
        <v>-9.0627049999999999E-4</v>
      </c>
      <c r="AA4489">
        <v>0.99962240000000002</v>
      </c>
      <c r="AB4489">
        <v>35</v>
      </c>
      <c r="AC4489">
        <v>-21.294999999999899</v>
      </c>
      <c r="AD4489">
        <v>-1.1046551647480001</v>
      </c>
      <c r="AE4489">
        <v>-0.50899999999998602</v>
      </c>
      <c r="AF4489">
        <v>-0.59318031978640096</v>
      </c>
      <c r="AG4489">
        <v>-1.1046551647480001</v>
      </c>
      <c r="AH4489">
        <v>21.235666390855801</v>
      </c>
      <c r="AI4489">
        <v>92.9766182135902</v>
      </c>
      <c r="AJ4489">
        <v>91.600038952488703</v>
      </c>
      <c r="AK4489">
        <v>21.272650351766401</v>
      </c>
    </row>
    <row r="4490" spans="1:37" x14ac:dyDescent="0.2">
      <c r="A4490" t="str">
        <f>"20200111155639787"</f>
        <v>20200111155639787</v>
      </c>
      <c r="B4490" t="str">
        <f>"1578729399777336"</f>
        <v>1578729399777336</v>
      </c>
      <c r="C4490" t="s">
        <v>37</v>
      </c>
      <c r="D4490">
        <v>4.8515709999999999</v>
      </c>
      <c r="E4490">
        <v>0.54438980000000003</v>
      </c>
      <c r="F4490" t="s">
        <v>72</v>
      </c>
      <c r="G4490">
        <v>-282.65159999999997</v>
      </c>
      <c r="H4490" s="1">
        <v>-5.2576649999999997E-6</v>
      </c>
      <c r="I4490">
        <v>141.05090000000001</v>
      </c>
      <c r="J4490">
        <v>-261.54300000000001</v>
      </c>
      <c r="K4490">
        <v>1.1046609999999999</v>
      </c>
      <c r="L4490">
        <v>141.49969999999999</v>
      </c>
      <c r="M4490">
        <v>-0.99995919999999905</v>
      </c>
      <c r="N4490">
        <v>0</v>
      </c>
      <c r="O4490">
        <v>3.3593959999999902E-3</v>
      </c>
      <c r="P4490">
        <v>-0.99840640000000003</v>
      </c>
      <c r="Q4490">
        <v>3.3399060000000001E-2</v>
      </c>
      <c r="R4490">
        <v>-4.5486949999999998E-2</v>
      </c>
      <c r="S4490">
        <v>-3.00738499999999</v>
      </c>
      <c r="T4490">
        <v>-0.15480429999999901</v>
      </c>
      <c r="U4490">
        <v>-6.2789919999999999E-2</v>
      </c>
      <c r="V4490">
        <v>-4.8905530000000003E-2</v>
      </c>
      <c r="W4490">
        <v>4.1696199999999899E-2</v>
      </c>
      <c r="X4490">
        <v>0.99793269999999901</v>
      </c>
      <c r="Y4490">
        <v>-2.4196220000000001E-2</v>
      </c>
      <c r="Z4490">
        <v>-7.9506550000000003E-4</v>
      </c>
      <c r="AA4490">
        <v>0.99970689999999995</v>
      </c>
      <c r="AB4490">
        <v>35</v>
      </c>
      <c r="AC4490">
        <v>-21.1085999999999</v>
      </c>
      <c r="AD4490">
        <v>-1.1046662576649999</v>
      </c>
      <c r="AE4490">
        <v>-0.448799999999977</v>
      </c>
      <c r="AF4490">
        <v>-0.51829330213942904</v>
      </c>
      <c r="AG4490">
        <v>-1.1046662576649999</v>
      </c>
      <c r="AH4490">
        <v>21.0493514713922</v>
      </c>
      <c r="AI4490">
        <v>93.003207940004103</v>
      </c>
      <c r="AJ4490">
        <v>91.410495692017705</v>
      </c>
      <c r="AK4490">
        <v>21.084689062304601</v>
      </c>
    </row>
    <row r="4491" spans="1:37" x14ac:dyDescent="0.2">
      <c r="A4491" t="str">
        <f>"20200111155639808"</f>
        <v>20200111155639808</v>
      </c>
      <c r="B4491" t="str">
        <f>"1578729399796858"</f>
        <v>1578729399796858</v>
      </c>
      <c r="C4491" t="s">
        <v>37</v>
      </c>
      <c r="D4491">
        <v>4.6012009999999997</v>
      </c>
      <c r="E4491">
        <v>0.54438980000000003</v>
      </c>
      <c r="F4491" t="s">
        <v>72</v>
      </c>
      <c r="G4491">
        <v>-284.88459999999998</v>
      </c>
      <c r="H4491" s="1">
        <v>-6.9037429999999998E-6</v>
      </c>
      <c r="I4491">
        <v>143.07769999999999</v>
      </c>
      <c r="J4491">
        <v>-261.8897</v>
      </c>
      <c r="K4491">
        <v>1.104681</v>
      </c>
      <c r="L4491">
        <v>141.50030000000001</v>
      </c>
      <c r="M4491">
        <v>-0.99996010000000002</v>
      </c>
      <c r="N4491">
        <v>0</v>
      </c>
      <c r="O4491">
        <v>2.702889E-3</v>
      </c>
      <c r="P4491">
        <v>-0.998411099999999</v>
      </c>
      <c r="Q4491">
        <v>3.2786959999999997E-2</v>
      </c>
      <c r="R4491">
        <v>-4.58299E-2</v>
      </c>
      <c r="S4491">
        <v>-3.0188599999999899</v>
      </c>
      <c r="T4491">
        <v>-0.14287069999999999</v>
      </c>
      <c r="U4491">
        <v>0.204086299999999</v>
      </c>
      <c r="V4491">
        <v>-4.8592410000000003E-2</v>
      </c>
      <c r="W4491">
        <v>4.1225499999999998E-2</v>
      </c>
      <c r="X4491">
        <v>0.99796749999999901</v>
      </c>
      <c r="Y4491">
        <v>6.4683669999999999E-2</v>
      </c>
      <c r="Z4491">
        <v>1.4003129999999901E-3</v>
      </c>
      <c r="AA4491">
        <v>0.99790480000000004</v>
      </c>
      <c r="AB4491">
        <v>35</v>
      </c>
      <c r="AC4491">
        <v>-22.994899999999902</v>
      </c>
      <c r="AD4491">
        <v>-1.104687903743</v>
      </c>
      <c r="AE4491">
        <v>1.5773999999999799</v>
      </c>
      <c r="AF4491">
        <v>1.5117666640608001</v>
      </c>
      <c r="AG4491">
        <v>-1.104687903743</v>
      </c>
      <c r="AH4491">
        <v>22.946369899345399</v>
      </c>
      <c r="AI4491">
        <v>92.7502616671038</v>
      </c>
      <c r="AJ4491">
        <v>86.230652033412497</v>
      </c>
      <c r="AK4491">
        <v>23.0226337626438</v>
      </c>
    </row>
    <row r="4492" spans="1:37" x14ac:dyDescent="0.2">
      <c r="A4492" t="str">
        <f>"20200111155639831"</f>
        <v>20200111155639831</v>
      </c>
      <c r="B4492" t="str">
        <f>"1578729399827113"</f>
        <v>1578729399827113</v>
      </c>
      <c r="C4492" t="s">
        <v>37</v>
      </c>
      <c r="D4492">
        <v>4.5307259999999996</v>
      </c>
      <c r="E4492">
        <v>0.58253379999999999</v>
      </c>
      <c r="F4492" t="s">
        <v>72</v>
      </c>
      <c r="G4492">
        <v>-284.95</v>
      </c>
      <c r="H4492" s="1">
        <v>-6.9246439999999899E-6</v>
      </c>
      <c r="I4492">
        <v>143.05260000000001</v>
      </c>
      <c r="J4492">
        <v>-262.25110000000001</v>
      </c>
      <c r="K4492">
        <v>1.104711</v>
      </c>
      <c r="L4492">
        <v>141.50059999999999</v>
      </c>
      <c r="M4492">
        <v>-0.99995999999999996</v>
      </c>
      <c r="N4492">
        <v>0</v>
      </c>
      <c r="O4492">
        <v>2.0209629999999902E-3</v>
      </c>
      <c r="P4492">
        <v>-0.99839369999999905</v>
      </c>
      <c r="Q4492">
        <v>3.2511940000000003E-2</v>
      </c>
      <c r="R4492">
        <v>-4.6400719999999999E-2</v>
      </c>
      <c r="S4492">
        <v>-3.0188290000000002</v>
      </c>
      <c r="T4492">
        <v>-0.14461489999999999</v>
      </c>
      <c r="U4492">
        <v>0.2032166</v>
      </c>
      <c r="V4492">
        <v>-4.8481709999999997E-2</v>
      </c>
      <c r="W4492">
        <v>4.1137350000000003E-2</v>
      </c>
      <c r="X4492">
        <v>0.99797659999999999</v>
      </c>
      <c r="Y4492">
        <v>6.5075759999999996E-2</v>
      </c>
      <c r="Z4492">
        <v>1.459403E-3</v>
      </c>
      <c r="AA4492">
        <v>0.99787929999999903</v>
      </c>
      <c r="AB4492">
        <v>35</v>
      </c>
      <c r="AC4492">
        <v>-22.698899999999899</v>
      </c>
      <c r="AD4492">
        <v>-1.104717924644</v>
      </c>
      <c r="AE4492">
        <v>1.55200000000002</v>
      </c>
      <c r="AF4492">
        <v>1.5025789921689801</v>
      </c>
      <c r="AG4492">
        <v>-1.104717924644</v>
      </c>
      <c r="AH4492">
        <v>22.648594277576802</v>
      </c>
      <c r="AI4492">
        <v>92.786355774832103</v>
      </c>
      <c r="AJ4492">
        <v>86.204379922592494</v>
      </c>
      <c r="AK4492">
        <v>22.725249571149298</v>
      </c>
    </row>
    <row r="4493" spans="1:37" x14ac:dyDescent="0.2">
      <c r="A4493" t="str">
        <f>"20200111155639854"</f>
        <v>20200111155639854</v>
      </c>
      <c r="B4493" t="str">
        <f>"1578729399847609"</f>
        <v>1578729399847609</v>
      </c>
      <c r="C4493" t="s">
        <v>37</v>
      </c>
      <c r="D4493">
        <v>4.6803619999999997</v>
      </c>
      <c r="E4493">
        <v>0.58363560000000003</v>
      </c>
      <c r="F4493" t="s">
        <v>72</v>
      </c>
      <c r="G4493">
        <v>-296.02659999999997</v>
      </c>
      <c r="H4493" s="1">
        <v>-1.040166E-5</v>
      </c>
      <c r="I4493">
        <v>147.16630000000001</v>
      </c>
      <c r="J4493">
        <v>-262.61059999999998</v>
      </c>
      <c r="K4493">
        <v>1.1047610000000001</v>
      </c>
      <c r="L4493">
        <v>141.50069999999999</v>
      </c>
      <c r="M4493">
        <v>-0.99995889999999998</v>
      </c>
      <c r="N4493">
        <v>0</v>
      </c>
      <c r="O4493">
        <v>1.3406259999999999E-3</v>
      </c>
      <c r="P4493">
        <v>-0.99836650000000005</v>
      </c>
      <c r="Q4493">
        <v>3.2205150000000002E-2</v>
      </c>
      <c r="R4493">
        <v>-4.7197459999999997E-2</v>
      </c>
      <c r="S4493">
        <v>-3.0316770000000002</v>
      </c>
      <c r="T4493">
        <v>-9.9159479999999994E-2</v>
      </c>
      <c r="U4493">
        <v>0.50854489999999997</v>
      </c>
      <c r="V4493">
        <v>-4.8599349999999999E-2</v>
      </c>
      <c r="W4493">
        <v>4.1091139999999998E-2</v>
      </c>
      <c r="X4493">
        <v>0.99797269999999905</v>
      </c>
      <c r="Y4493">
        <v>0.16402549999999999</v>
      </c>
      <c r="Z4493">
        <v>2.6196150000000001E-3</v>
      </c>
      <c r="AA4493">
        <v>0.98645260000000001</v>
      </c>
      <c r="AB4493">
        <v>35</v>
      </c>
      <c r="AC4493">
        <v>-33.415999999999997</v>
      </c>
      <c r="AD4493">
        <v>-1.1047714016600001</v>
      </c>
      <c r="AE4493">
        <v>5.6656000000000102</v>
      </c>
      <c r="AF4493">
        <v>5.6148290112460399</v>
      </c>
      <c r="AG4493">
        <v>-1.1047714016600001</v>
      </c>
      <c r="AH4493">
        <v>33.388090986542899</v>
      </c>
      <c r="AI4493">
        <v>91.868932261035297</v>
      </c>
      <c r="AJ4493">
        <v>80.453968770480898</v>
      </c>
      <c r="AK4493">
        <v>33.8749382936873</v>
      </c>
    </row>
    <row r="4494" spans="1:37" x14ac:dyDescent="0.2">
      <c r="A4494" t="str">
        <f>"20200111155639876"</f>
        <v>20200111155639876</v>
      </c>
      <c r="B4494" t="str">
        <f>"1578729399867130"</f>
        <v>1578729399867130</v>
      </c>
      <c r="C4494" t="s">
        <v>37</v>
      </c>
      <c r="D4494">
        <v>4.4671779999999996</v>
      </c>
      <c r="E4494">
        <v>0.58379019999999904</v>
      </c>
      <c r="F4494" t="s">
        <v>72</v>
      </c>
      <c r="G4494">
        <v>-296.04649999999998</v>
      </c>
      <c r="H4494" s="1">
        <v>-1.0402619999999901E-5</v>
      </c>
      <c r="I4494">
        <v>147.17689999999999</v>
      </c>
      <c r="J4494">
        <v>-262.96109999999999</v>
      </c>
      <c r="K4494">
        <v>1.104835</v>
      </c>
      <c r="L4494">
        <v>141.50049999999999</v>
      </c>
      <c r="M4494">
        <v>-0.99995619999999996</v>
      </c>
      <c r="N4494">
        <v>0</v>
      </c>
      <c r="O4494">
        <v>6.8700490000000005E-4</v>
      </c>
      <c r="P4494">
        <v>-0.99839169999999999</v>
      </c>
      <c r="Q4494">
        <v>3.11349E-2</v>
      </c>
      <c r="R4494">
        <v>-4.737976E-2</v>
      </c>
      <c r="S4494">
        <v>-3.0324399999999998</v>
      </c>
      <c r="T4494">
        <v>-0.1001961</v>
      </c>
      <c r="U4494">
        <v>0.51480099999999995</v>
      </c>
      <c r="V4494">
        <v>-4.8128650000000002E-2</v>
      </c>
      <c r="W4494">
        <v>4.0391730000000001E-2</v>
      </c>
      <c r="X4494">
        <v>0.99802409999999997</v>
      </c>
      <c r="Y4494">
        <v>0.16660449999999999</v>
      </c>
      <c r="Z4494">
        <v>2.7096120000000001E-3</v>
      </c>
      <c r="AA4494">
        <v>0.98602009999999995</v>
      </c>
      <c r="AB4494">
        <v>35</v>
      </c>
      <c r="AC4494">
        <v>-33.0853999999999</v>
      </c>
      <c r="AD4494">
        <v>-1.1048454026200001</v>
      </c>
      <c r="AE4494">
        <v>5.6764000000000001</v>
      </c>
      <c r="AF4494">
        <v>5.6475500963138403</v>
      </c>
      <c r="AG4494">
        <v>-1.1048454026200001</v>
      </c>
      <c r="AH4494">
        <v>33.0534866922942</v>
      </c>
      <c r="AI4494">
        <v>91.887127632035501</v>
      </c>
      <c r="AJ4494">
        <v>80.304018341001097</v>
      </c>
      <c r="AK4494">
        <v>33.550685357705198</v>
      </c>
    </row>
    <row r="4495" spans="1:37" x14ac:dyDescent="0.2">
      <c r="A4495" t="str">
        <f>"20200111155639898"</f>
        <v>20200111155639898</v>
      </c>
      <c r="B4495" t="str">
        <f>"1578729399887625"</f>
        <v>1578729399887625</v>
      </c>
      <c r="C4495" t="s">
        <v>37</v>
      </c>
      <c r="D4495">
        <v>4.6130469999999999</v>
      </c>
      <c r="E4495">
        <v>0.58428310000000006</v>
      </c>
      <c r="F4495" t="s">
        <v>72</v>
      </c>
      <c r="G4495">
        <v>-295.75830000000002</v>
      </c>
      <c r="H4495" s="1">
        <v>-1.0402769999999999E-5</v>
      </c>
      <c r="I4495">
        <v>147.0744</v>
      </c>
      <c r="J4495">
        <v>-263.30020000000002</v>
      </c>
      <c r="K4495">
        <v>1.104919</v>
      </c>
      <c r="L4495">
        <v>141.5001</v>
      </c>
      <c r="M4495">
        <v>-0.9999519</v>
      </c>
      <c r="N4495">
        <v>0</v>
      </c>
      <c r="O4495" s="1">
        <v>6.2142380000000002E-5</v>
      </c>
      <c r="P4495">
        <v>-0.99843029999999999</v>
      </c>
      <c r="Q4495">
        <v>2.9512440000000001E-2</v>
      </c>
      <c r="R4495">
        <v>-4.7601900000000003E-2</v>
      </c>
      <c r="S4495">
        <v>-3.0324709999999899</v>
      </c>
      <c r="T4495">
        <v>-0.1021552</v>
      </c>
      <c r="U4495">
        <v>0.51536559999999998</v>
      </c>
      <c r="V4495">
        <v>-4.7724919999999997E-2</v>
      </c>
      <c r="W4495">
        <v>3.9228689999999997E-2</v>
      </c>
      <c r="X4495">
        <v>0.99808989999999997</v>
      </c>
      <c r="Y4495">
        <v>0.16739319999999999</v>
      </c>
      <c r="Z4495">
        <v>2.7965720000000002E-3</v>
      </c>
      <c r="AA4495">
        <v>0.98588629999999999</v>
      </c>
      <c r="AB4495">
        <v>35</v>
      </c>
      <c r="AC4495">
        <v>-32.458100000000002</v>
      </c>
      <c r="AD4495">
        <v>-1.1049294027700001</v>
      </c>
      <c r="AE4495">
        <v>5.5742999999999903</v>
      </c>
      <c r="AF4495">
        <v>5.5660175436757804</v>
      </c>
      <c r="AG4495">
        <v>-1.1049294027700001</v>
      </c>
      <c r="AH4495">
        <v>32.4219509503449</v>
      </c>
      <c r="AI4495">
        <v>91.923744942315693</v>
      </c>
      <c r="AJ4495">
        <v>80.258741636204107</v>
      </c>
      <c r="AK4495">
        <v>32.914804020503901</v>
      </c>
    </row>
    <row r="4496" spans="1:37" x14ac:dyDescent="0.2">
      <c r="A4496" t="str">
        <f>"20200111155639921"</f>
        <v>20200111155639921</v>
      </c>
      <c r="B4496" t="str">
        <f>"1578729399917882"</f>
        <v>1578729399917882</v>
      </c>
      <c r="C4496" t="s">
        <v>37</v>
      </c>
      <c r="D4496">
        <v>4.5255039999999997</v>
      </c>
      <c r="E4496">
        <v>0.58340899999999996</v>
      </c>
      <c r="F4496" t="s">
        <v>72</v>
      </c>
      <c r="G4496">
        <v>-294.89620000000002</v>
      </c>
      <c r="H4496" s="1">
        <v>-1.0441050000000001E-5</v>
      </c>
      <c r="I4496">
        <v>146.9059</v>
      </c>
      <c r="J4496">
        <v>-263.65750000000003</v>
      </c>
      <c r="K4496">
        <v>1.1049990000000001</v>
      </c>
      <c r="L4496">
        <v>141.49950000000001</v>
      </c>
      <c r="M4496">
        <v>-0.99994660000000002</v>
      </c>
      <c r="N4496">
        <v>0</v>
      </c>
      <c r="O4496">
        <v>-6.0235699999999998E-4</v>
      </c>
      <c r="P4496">
        <v>-0.99843590000000004</v>
      </c>
      <c r="Q4496">
        <v>2.8316419999999998E-2</v>
      </c>
      <c r="R4496">
        <v>-4.8209500000000002E-2</v>
      </c>
      <c r="S4496">
        <v>-3.0325929999999999</v>
      </c>
      <c r="T4496">
        <v>-0.106051399999999</v>
      </c>
      <c r="U4496">
        <v>0.51884459999999999</v>
      </c>
      <c r="V4496">
        <v>-4.7667649999999999E-2</v>
      </c>
      <c r="W4496">
        <v>3.8547329999999998E-2</v>
      </c>
      <c r="X4496">
        <v>0.99811919999999899</v>
      </c>
      <c r="Y4496">
        <v>0.169132</v>
      </c>
      <c r="Z4496">
        <v>2.9560179999999999E-3</v>
      </c>
      <c r="AA4496">
        <v>0.98558899999999905</v>
      </c>
      <c r="AB4496">
        <v>35</v>
      </c>
      <c r="AC4496">
        <v>-31.238699999999898</v>
      </c>
      <c r="AD4496">
        <v>-1.10500944105</v>
      </c>
      <c r="AE4496">
        <v>5.4063999999999899</v>
      </c>
      <c r="AF4496">
        <v>5.41863394729224</v>
      </c>
      <c r="AG4496">
        <v>-1.10500944105</v>
      </c>
      <c r="AH4496">
        <v>31.197536699156</v>
      </c>
      <c r="AI4496">
        <v>91.998656655922005</v>
      </c>
      <c r="AJ4496">
        <v>80.146715819862195</v>
      </c>
      <c r="AK4496">
        <v>31.683890793504901</v>
      </c>
    </row>
    <row r="4497" spans="1:37" x14ac:dyDescent="0.2">
      <c r="A4497" t="str">
        <f>"20200111155639944"</f>
        <v>20200111155639944</v>
      </c>
      <c r="B4497" t="str">
        <f>"1578729399937401"</f>
        <v>1578729399937401</v>
      </c>
      <c r="C4497" t="s">
        <v>37</v>
      </c>
      <c r="D4497">
        <v>4.4921499999999996</v>
      </c>
      <c r="E4497">
        <v>0.58305169999999995</v>
      </c>
      <c r="F4497" t="s">
        <v>72</v>
      </c>
      <c r="G4497">
        <v>-294.06549999999999</v>
      </c>
      <c r="H4497" s="1">
        <v>-1.044296E-5</v>
      </c>
      <c r="I4497">
        <v>146.61580000000001</v>
      </c>
      <c r="J4497">
        <v>-264.01920000000001</v>
      </c>
      <c r="K4497">
        <v>1.10507</v>
      </c>
      <c r="L4497">
        <v>141.49860000000001</v>
      </c>
      <c r="M4497">
        <v>-0.99994079999999996</v>
      </c>
      <c r="N4497">
        <v>0</v>
      </c>
      <c r="O4497">
        <v>-1.2810580000000001E-3</v>
      </c>
      <c r="P4497">
        <v>-0.998386</v>
      </c>
      <c r="Q4497">
        <v>2.8106920000000001E-2</v>
      </c>
      <c r="R4497">
        <v>-4.9351649999999997E-2</v>
      </c>
      <c r="S4497">
        <v>-3.0325009999999999</v>
      </c>
      <c r="T4497">
        <v>-0.1101992</v>
      </c>
      <c r="U4497">
        <v>0.51023859999999999</v>
      </c>
      <c r="V4497">
        <v>-4.8131630000000002E-2</v>
      </c>
      <c r="W4497">
        <v>3.8835120000000001E-2</v>
      </c>
      <c r="X4497">
        <v>0.99808569999999996</v>
      </c>
      <c r="Y4497">
        <v>0.16707959999999999</v>
      </c>
      <c r="Z4497">
        <v>3.0598399999999999E-3</v>
      </c>
      <c r="AA4497">
        <v>0.98593869999999895</v>
      </c>
      <c r="AB4497">
        <v>35</v>
      </c>
      <c r="AC4497">
        <v>-30.046299999999899</v>
      </c>
      <c r="AD4497">
        <v>-1.1050804429600001</v>
      </c>
      <c r="AE4497">
        <v>5.1171999999999898</v>
      </c>
      <c r="AF4497">
        <v>5.1489204173363099</v>
      </c>
      <c r="AG4497">
        <v>-1.1050804429600001</v>
      </c>
      <c r="AH4497">
        <v>30.000281668423799</v>
      </c>
      <c r="AI4497">
        <v>92.079201061141504</v>
      </c>
      <c r="AJ4497">
        <v>80.261262106414605</v>
      </c>
      <c r="AK4497">
        <v>30.458980357757302</v>
      </c>
    </row>
    <row r="4498" spans="1:37" x14ac:dyDescent="0.2">
      <c r="A4498" t="str">
        <f>"20200111155639965"</f>
        <v>20200111155639965</v>
      </c>
      <c r="B4498" t="str">
        <f>"1578729399956921"</f>
        <v>1578729399956921</v>
      </c>
      <c r="C4498" t="s">
        <v>37</v>
      </c>
      <c r="D4498">
        <v>4.4568469999999998</v>
      </c>
      <c r="E4498">
        <v>0.58277230000000002</v>
      </c>
      <c r="F4498" t="s">
        <v>72</v>
      </c>
      <c r="G4498">
        <v>-294.46370000000002</v>
      </c>
      <c r="H4498" s="1">
        <v>-1.0388039999999901E-5</v>
      </c>
      <c r="I4498">
        <v>146.55760000000001</v>
      </c>
      <c r="J4498">
        <v>-264.35590000000002</v>
      </c>
      <c r="K4498">
        <v>1.105111</v>
      </c>
      <c r="L4498">
        <v>141.4975</v>
      </c>
      <c r="M4498">
        <v>-0.99993489999999996</v>
      </c>
      <c r="N4498">
        <v>0</v>
      </c>
      <c r="O4498">
        <v>-1.91203799999999E-3</v>
      </c>
      <c r="P4498">
        <v>-0.99835319999999905</v>
      </c>
      <c r="Q4498">
        <v>2.7829360000000001E-2</v>
      </c>
      <c r="R4498">
        <v>-5.0166710000000003E-2</v>
      </c>
      <c r="S4498">
        <v>-3.0328059999999999</v>
      </c>
      <c r="T4498">
        <v>-0.1100855</v>
      </c>
      <c r="U4498">
        <v>0.50396730000000001</v>
      </c>
      <c r="V4498">
        <v>-4.8316949999999997E-2</v>
      </c>
      <c r="W4498">
        <v>3.8987590000000003E-2</v>
      </c>
      <c r="X4498">
        <v>0.99807080000000004</v>
      </c>
      <c r="Y4498">
        <v>0.16570270000000001</v>
      </c>
      <c r="Z4498">
        <v>3.0548309999999901E-3</v>
      </c>
      <c r="AA4498">
        <v>0.98617099999999902</v>
      </c>
      <c r="AB4498">
        <v>35</v>
      </c>
      <c r="AC4498">
        <v>-30.107800000000001</v>
      </c>
      <c r="AD4498">
        <v>-1.1051213880399999</v>
      </c>
      <c r="AE4498">
        <v>5.0601000000000003</v>
      </c>
      <c r="AF4498">
        <v>5.1109648438286799</v>
      </c>
      <c r="AG4498">
        <v>-1.1051213880399999</v>
      </c>
      <c r="AH4498">
        <v>30.058683886580301</v>
      </c>
      <c r="AI4498">
        <v>92.075791071519802</v>
      </c>
      <c r="AJ4498">
        <v>80.350123253875495</v>
      </c>
      <c r="AK4498">
        <v>30.510125072023499</v>
      </c>
    </row>
    <row r="4499" spans="1:37" x14ac:dyDescent="0.2">
      <c r="A4499" t="str">
        <f>"20200111155639980"</f>
        <v>20200111155639980</v>
      </c>
      <c r="B4499" t="str">
        <f>"1578729399977417"</f>
        <v>1578729399977417</v>
      </c>
      <c r="C4499" t="s">
        <v>37</v>
      </c>
      <c r="D4499">
        <v>4.4301320000000004</v>
      </c>
      <c r="E4499">
        <v>0.58239790000000002</v>
      </c>
      <c r="F4499" t="s">
        <v>72</v>
      </c>
      <c r="G4499">
        <v>-293.91379999999998</v>
      </c>
      <c r="H4499" s="1">
        <v>-1.0388119999999999E-5</v>
      </c>
      <c r="I4499">
        <v>146.3613</v>
      </c>
      <c r="J4499">
        <v>-264.58479999999997</v>
      </c>
      <c r="K4499">
        <v>1.105135</v>
      </c>
      <c r="L4499">
        <v>141.4967</v>
      </c>
      <c r="M4499">
        <v>-0.99993099999999902</v>
      </c>
      <c r="N4499">
        <v>0</v>
      </c>
      <c r="O4499">
        <v>-2.339355E-3</v>
      </c>
      <c r="P4499">
        <v>-0.99832969999999899</v>
      </c>
      <c r="Q4499">
        <v>2.7267099999999999E-2</v>
      </c>
      <c r="R4499">
        <v>-5.0937059999999999E-2</v>
      </c>
      <c r="S4499">
        <v>-3.0332029999999999</v>
      </c>
      <c r="T4499">
        <v>-0.11340649999999999</v>
      </c>
      <c r="U4499">
        <v>0.49911499999999998</v>
      </c>
      <c r="V4499">
        <v>-4.8660139999999998E-2</v>
      </c>
      <c r="W4499">
        <v>3.8699799999999999E-2</v>
      </c>
      <c r="X4499">
        <v>0.99806539999999999</v>
      </c>
      <c r="Y4499">
        <v>0.1645614</v>
      </c>
      <c r="Z4499">
        <v>3.1416090000000001E-3</v>
      </c>
      <c r="AA4499">
        <v>0.98636190000000001</v>
      </c>
      <c r="AB4499">
        <v>35</v>
      </c>
      <c r="AC4499">
        <v>-29.329000000000001</v>
      </c>
      <c r="AD4499">
        <v>-1.10514538812</v>
      </c>
      <c r="AE4499">
        <v>4.8645999999999896</v>
      </c>
      <c r="AF4499">
        <v>4.9263946834903898</v>
      </c>
      <c r="AG4499">
        <v>-1.10514538812</v>
      </c>
      <c r="AH4499">
        <v>29.2770826881858</v>
      </c>
      <c r="AI4499">
        <v>92.131821696529002</v>
      </c>
      <c r="AJ4499">
        <v>80.448433908346999</v>
      </c>
      <c r="AK4499">
        <v>29.709228896712698</v>
      </c>
    </row>
    <row r="4500" spans="1:37" x14ac:dyDescent="0.2">
      <c r="A4500" t="str">
        <f>"20200111155639994"</f>
        <v>20200111155639994</v>
      </c>
      <c r="B4500" t="str">
        <f>"1578729399987178"</f>
        <v>1578729399987178</v>
      </c>
      <c r="C4500" t="s">
        <v>37</v>
      </c>
      <c r="D4500">
        <v>4.3882099999999999</v>
      </c>
      <c r="E4500">
        <v>0.58254119999999998</v>
      </c>
      <c r="F4500" t="s">
        <v>72</v>
      </c>
      <c r="G4500">
        <v>-293.72070000000002</v>
      </c>
      <c r="H4500" s="1">
        <v>-1.037362E-5</v>
      </c>
      <c r="I4500">
        <v>146.23929999999999</v>
      </c>
      <c r="J4500">
        <v>-264.81599999999997</v>
      </c>
      <c r="K4500">
        <v>1.1051599999999999</v>
      </c>
      <c r="L4500">
        <v>141.4957</v>
      </c>
      <c r="M4500">
        <v>-0.9999268</v>
      </c>
      <c r="N4500">
        <v>0</v>
      </c>
      <c r="O4500">
        <v>-2.7682700000000002E-3</v>
      </c>
      <c r="P4500">
        <v>-0.99830849999999904</v>
      </c>
      <c r="Q4500">
        <v>2.708151E-2</v>
      </c>
      <c r="R4500">
        <v>-5.1445669999999999E-2</v>
      </c>
      <c r="S4500">
        <v>-3.0333860000000001</v>
      </c>
      <c r="T4500">
        <v>-0.11505849999999999</v>
      </c>
      <c r="U4500">
        <v>0.49375920000000001</v>
      </c>
      <c r="V4500">
        <v>-4.8740440000000003E-2</v>
      </c>
      <c r="W4500">
        <v>3.8772229999999998E-2</v>
      </c>
      <c r="X4500">
        <v>0.99805869999999997</v>
      </c>
      <c r="Y4500">
        <v>0.163276</v>
      </c>
      <c r="Z4500">
        <v>3.179552E-3</v>
      </c>
      <c r="AA4500">
        <v>0.98657530000000004</v>
      </c>
      <c r="AB4500">
        <v>35</v>
      </c>
      <c r="AC4500">
        <v>-28.904699999999998</v>
      </c>
      <c r="AD4500">
        <v>-1.10517037362</v>
      </c>
      <c r="AE4500">
        <v>4.7435999999999803</v>
      </c>
      <c r="AF4500">
        <v>4.8167463989716897</v>
      </c>
      <c r="AG4500">
        <v>-1.10517037362</v>
      </c>
      <c r="AH4500">
        <v>28.8503861403263</v>
      </c>
      <c r="AI4500">
        <v>92.163832729484099</v>
      </c>
      <c r="AJ4500">
        <v>80.521546442224903</v>
      </c>
      <c r="AK4500">
        <v>29.270586394410799</v>
      </c>
    </row>
    <row r="4501" spans="1:37" x14ac:dyDescent="0.2">
      <c r="A4501" t="str">
        <f>"20200111155640010"</f>
        <v>20200111155640010</v>
      </c>
      <c r="B4501" t="str">
        <f>"1578729400007674"</f>
        <v>1578729400007674</v>
      </c>
      <c r="C4501" t="s">
        <v>37</v>
      </c>
      <c r="D4501">
        <v>4.5049599999999996</v>
      </c>
      <c r="E4501">
        <v>0.55055859999999901</v>
      </c>
      <c r="F4501" t="s">
        <v>72</v>
      </c>
      <c r="G4501">
        <v>-294.18799999999999</v>
      </c>
      <c r="H4501" s="1">
        <v>-1.033691E-5</v>
      </c>
      <c r="I4501">
        <v>146.2722</v>
      </c>
      <c r="J4501">
        <v>-265.06279999999998</v>
      </c>
      <c r="K4501">
        <v>1.105181</v>
      </c>
      <c r="L4501">
        <v>141.49459999999999</v>
      </c>
      <c r="M4501">
        <v>-0.99992230000000004</v>
      </c>
      <c r="N4501">
        <v>0</v>
      </c>
      <c r="O4501">
        <v>-3.2250989999999999E-3</v>
      </c>
      <c r="P4501">
        <v>-0.99828130000000004</v>
      </c>
      <c r="Q4501">
        <v>2.672385E-2</v>
      </c>
      <c r="R4501">
        <v>-5.2153650000000003E-2</v>
      </c>
      <c r="S4501">
        <v>-3.0335999999999999</v>
      </c>
      <c r="T4501">
        <v>-0.1141443</v>
      </c>
      <c r="U4501">
        <v>0.49333189999999999</v>
      </c>
      <c r="V4501">
        <v>-4.8992389999999997E-2</v>
      </c>
      <c r="W4501">
        <v>3.8671209999999998E-2</v>
      </c>
      <c r="X4501">
        <v>0.9980502</v>
      </c>
      <c r="Y4501">
        <v>0.1635817</v>
      </c>
      <c r="Z4501">
        <v>3.176908E-3</v>
      </c>
      <c r="AA4501">
        <v>0.98652469999999903</v>
      </c>
      <c r="AB4501">
        <v>35</v>
      </c>
      <c r="AC4501">
        <v>-29.1252</v>
      </c>
      <c r="AD4501">
        <v>-1.1051913369099999</v>
      </c>
      <c r="AE4501">
        <v>4.7775999999999996</v>
      </c>
      <c r="AF4501">
        <v>4.8646924109927996</v>
      </c>
      <c r="AG4501">
        <v>-1.1051913369099999</v>
      </c>
      <c r="AH4501">
        <v>29.068879188325699</v>
      </c>
      <c r="AI4501">
        <v>92.147486871278204</v>
      </c>
      <c r="AJ4501">
        <v>80.499558389496002</v>
      </c>
      <c r="AK4501">
        <v>29.493836939439198</v>
      </c>
    </row>
    <row r="4502" spans="1:37" x14ac:dyDescent="0.2">
      <c r="A4502" t="str">
        <f>"20200111155640025"</f>
        <v>20200111155640025</v>
      </c>
      <c r="B4502" t="str">
        <f>"1578729400017433"</f>
        <v>1578729400017433</v>
      </c>
      <c r="C4502" t="s">
        <v>37</v>
      </c>
      <c r="D4502">
        <v>4.5004720000000002</v>
      </c>
      <c r="E4502">
        <v>0.54333549999999997</v>
      </c>
      <c r="F4502" t="s">
        <v>72</v>
      </c>
      <c r="G4502">
        <v>-298.26130000000001</v>
      </c>
      <c r="H4502" s="1">
        <v>-9.3817310000000001E-6</v>
      </c>
      <c r="I4502">
        <v>144.09970000000001</v>
      </c>
      <c r="J4502">
        <v>-265.30099999999999</v>
      </c>
      <c r="K4502">
        <v>1.1051959999999901</v>
      </c>
      <c r="L4502">
        <v>141.49340000000001</v>
      </c>
      <c r="M4502">
        <v>-0.99991799999999997</v>
      </c>
      <c r="N4502">
        <v>0</v>
      </c>
      <c r="O4502">
        <v>-3.6662779999999998E-3</v>
      </c>
      <c r="P4502">
        <v>-0.99825750000000002</v>
      </c>
      <c r="Q4502">
        <v>2.6609359999999999E-2</v>
      </c>
      <c r="R4502">
        <v>-5.2669880000000002E-2</v>
      </c>
      <c r="S4502">
        <v>-3.020203</v>
      </c>
      <c r="T4502">
        <v>-0.1005436</v>
      </c>
      <c r="U4502">
        <v>0.2369995</v>
      </c>
      <c r="V4502">
        <v>-4.9067840000000001E-2</v>
      </c>
      <c r="W4502">
        <v>3.8787950000000002E-2</v>
      </c>
      <c r="X4502">
        <v>0.99804199999999998</v>
      </c>
      <c r="Y4502">
        <v>8.1838610000000006E-2</v>
      </c>
      <c r="Z4502">
        <v>1.4815970000000001E-3</v>
      </c>
      <c r="AA4502">
        <v>0.99664449999999905</v>
      </c>
      <c r="AB4502">
        <v>35</v>
      </c>
      <c r="AC4502">
        <v>-32.960299999999997</v>
      </c>
      <c r="AD4502">
        <v>-1.1052053817309999</v>
      </c>
      <c r="AE4502">
        <v>2.6063000000000001</v>
      </c>
      <c r="AF4502">
        <v>2.7240893880993302</v>
      </c>
      <c r="AG4502">
        <v>-1.1052053817309999</v>
      </c>
      <c r="AH4502">
        <v>32.913745507773797</v>
      </c>
      <c r="AI4502">
        <v>91.916654790882205</v>
      </c>
      <c r="AJ4502">
        <v>85.268727330271304</v>
      </c>
      <c r="AK4502">
        <v>33.044769408798402</v>
      </c>
    </row>
    <row r="4503" spans="1:37" x14ac:dyDescent="0.2">
      <c r="A4503" t="str">
        <f>"20200111155640038"</f>
        <v>20200111155640038</v>
      </c>
      <c r="B4503" t="str">
        <f>"1578729400027193"</f>
        <v>1578729400027193</v>
      </c>
      <c r="C4503" t="s">
        <v>37</v>
      </c>
      <c r="D4503">
        <v>4.4968199999999996</v>
      </c>
      <c r="E4503">
        <v>0.54074309999999903</v>
      </c>
      <c r="F4503" t="s">
        <v>72</v>
      </c>
      <c r="G4503">
        <v>-304.81529999999998</v>
      </c>
      <c r="H4503" s="1">
        <v>-1.0002619999999999E-5</v>
      </c>
      <c r="I4503">
        <v>143.8338</v>
      </c>
      <c r="J4503">
        <v>-265.5086</v>
      </c>
      <c r="K4503">
        <v>1.1052070000000001</v>
      </c>
      <c r="L4503">
        <v>141.4922</v>
      </c>
      <c r="M4503">
        <v>-0.99991419999999998</v>
      </c>
      <c r="N4503">
        <v>0</v>
      </c>
      <c r="O4503">
        <v>-4.050929E-3</v>
      </c>
      <c r="P4503">
        <v>-0.998246999999999</v>
      </c>
      <c r="Q4503">
        <v>2.6430579999999999E-2</v>
      </c>
      <c r="R4503">
        <v>-5.2959480000000003E-2</v>
      </c>
      <c r="S4503">
        <v>-3.016937</v>
      </c>
      <c r="T4503">
        <v>-8.4383009999999994E-2</v>
      </c>
      <c r="U4503">
        <v>0.17869570000000001</v>
      </c>
      <c r="V4503">
        <v>-4.8973589999999997E-2</v>
      </c>
      <c r="W4503">
        <v>3.8799390000000003E-2</v>
      </c>
      <c r="X4503">
        <v>0.99804619999999999</v>
      </c>
      <c r="Y4503">
        <v>6.3144679999999995E-2</v>
      </c>
      <c r="Z4503">
        <v>9.9531979999999999E-4</v>
      </c>
      <c r="AA4503">
        <v>0.99800390000000005</v>
      </c>
      <c r="AB4503">
        <v>35</v>
      </c>
      <c r="AC4503">
        <v>-39.3066999999999</v>
      </c>
      <c r="AD4503">
        <v>-1.1052170026200001</v>
      </c>
      <c r="AE4503">
        <v>2.3416000000000001</v>
      </c>
      <c r="AF4503">
        <v>2.49885316097386</v>
      </c>
      <c r="AG4503">
        <v>-1.1052170026200001</v>
      </c>
      <c r="AH4503">
        <v>39.265956794761301</v>
      </c>
      <c r="AI4503">
        <v>91.609022654175803</v>
      </c>
      <c r="AJ4503">
        <v>86.358654218110303</v>
      </c>
      <c r="AK4503">
        <v>39.360908713481798</v>
      </c>
    </row>
    <row r="4504" spans="1:37" x14ac:dyDescent="0.2">
      <c r="A4504" t="str">
        <f>"20200111155640055"</f>
        <v>20200111155640055</v>
      </c>
      <c r="B4504" t="str">
        <f>"1578729400047689"</f>
        <v>1578729400047689</v>
      </c>
      <c r="C4504" t="s">
        <v>37</v>
      </c>
      <c r="D4504">
        <v>4.4171699999999996</v>
      </c>
      <c r="E4504">
        <v>0.53870419999999997</v>
      </c>
      <c r="F4504" t="s">
        <v>72</v>
      </c>
      <c r="G4504">
        <v>-305.1207</v>
      </c>
      <c r="H4504" s="1">
        <v>-9.9638789999999903E-6</v>
      </c>
      <c r="I4504">
        <v>143.55619999999999</v>
      </c>
      <c r="J4504">
        <v>-265.77699999999999</v>
      </c>
      <c r="K4504">
        <v>1.105226</v>
      </c>
      <c r="L4504">
        <v>141.4906</v>
      </c>
      <c r="M4504">
        <v>-0.9999093</v>
      </c>
      <c r="N4504">
        <v>0</v>
      </c>
      <c r="O4504">
        <v>-4.5497509999999899E-3</v>
      </c>
      <c r="P4504">
        <v>-0.99823629999999997</v>
      </c>
      <c r="Q4504">
        <v>2.6692759999999999E-2</v>
      </c>
      <c r="R4504">
        <v>-5.302917E-2</v>
      </c>
      <c r="S4504">
        <v>-3.0158079999999998</v>
      </c>
      <c r="T4504">
        <v>-8.4144120000000003E-2</v>
      </c>
      <c r="U4504">
        <v>0.157135</v>
      </c>
      <c r="V4504">
        <v>-4.8544820000000002E-2</v>
      </c>
      <c r="W4504">
        <v>3.928396E-2</v>
      </c>
      <c r="X4504">
        <v>0.99804820000000005</v>
      </c>
      <c r="Y4504">
        <v>5.6552909999999998E-2</v>
      </c>
      <c r="Z4504">
        <v>9.150998E-4</v>
      </c>
      <c r="AA4504">
        <v>0.99839920000000004</v>
      </c>
      <c r="AB4504">
        <v>35</v>
      </c>
      <c r="AC4504">
        <v>-39.343699999999998</v>
      </c>
      <c r="AD4504">
        <v>-1.1052359638789999</v>
      </c>
      <c r="AE4504">
        <v>2.0655999999999799</v>
      </c>
      <c r="AF4504">
        <v>2.2428319737665898</v>
      </c>
      <c r="AG4504">
        <v>-1.1052359638789999</v>
      </c>
      <c r="AH4504">
        <v>39.3029633194976</v>
      </c>
      <c r="AI4504">
        <v>91.608171270190496</v>
      </c>
      <c r="AJ4504">
        <v>86.733946298484597</v>
      </c>
      <c r="AK4504">
        <v>39.3824169838797</v>
      </c>
    </row>
    <row r="4505" spans="1:37" x14ac:dyDescent="0.2">
      <c r="A4505" t="str">
        <f>"20200111155640076"</f>
        <v>20200111155640076</v>
      </c>
      <c r="B4505" t="str">
        <f>"1578729400067209"</f>
        <v>1578729400067209</v>
      </c>
      <c r="C4505" t="s">
        <v>37</v>
      </c>
      <c r="D4505">
        <v>4.4236059999999897</v>
      </c>
      <c r="E4505">
        <v>0.53819169999999905</v>
      </c>
      <c r="F4505" t="s">
        <v>72</v>
      </c>
      <c r="G4505">
        <v>-308.02760000000001</v>
      </c>
      <c r="H4505" s="1">
        <v>-1.03542E-5</v>
      </c>
      <c r="I4505">
        <v>143.465</v>
      </c>
      <c r="J4505">
        <v>-266.10199999999998</v>
      </c>
      <c r="K4505">
        <v>1.1052389999999901</v>
      </c>
      <c r="L4505">
        <v>141.48859999999999</v>
      </c>
      <c r="M4505">
        <v>-0.99990330000000005</v>
      </c>
      <c r="N4505">
        <v>0</v>
      </c>
      <c r="O4505">
        <v>-5.155064E-3</v>
      </c>
      <c r="P4505">
        <v>-0.99820520000000001</v>
      </c>
      <c r="Q4505">
        <v>2.7857239999999998E-2</v>
      </c>
      <c r="R4505">
        <v>-5.3015E-2</v>
      </c>
      <c r="S4505">
        <v>-3.0148929999999998</v>
      </c>
      <c r="T4505">
        <v>-7.8866839999999994E-2</v>
      </c>
      <c r="U4505">
        <v>0.14088439999999999</v>
      </c>
      <c r="V4505">
        <v>-4.7928190000000002E-2</v>
      </c>
      <c r="W4505">
        <v>4.0691409999999997E-2</v>
      </c>
      <c r="X4505">
        <v>0.99802159999999995</v>
      </c>
      <c r="Y4505">
        <v>5.1808359999999998E-2</v>
      </c>
      <c r="Z4505">
        <v>8.1191469999999997E-4</v>
      </c>
      <c r="AA4505">
        <v>0.99865669999999995</v>
      </c>
      <c r="AB4505">
        <v>35</v>
      </c>
      <c r="AC4505">
        <v>-41.925599999999903</v>
      </c>
      <c r="AD4505">
        <v>-1.1052493541999999</v>
      </c>
      <c r="AE4505">
        <v>1.9764000000000099</v>
      </c>
      <c r="AF4505">
        <v>2.19100162490323</v>
      </c>
      <c r="AG4505">
        <v>-1.1052493541999999</v>
      </c>
      <c r="AH4505">
        <v>41.885808942736404</v>
      </c>
      <c r="AI4505">
        <v>91.509461882727905</v>
      </c>
      <c r="AJ4505">
        <v>87.005648467176698</v>
      </c>
      <c r="AK4505">
        <v>41.9576340496304</v>
      </c>
    </row>
    <row r="4506" spans="1:37" x14ac:dyDescent="0.2">
      <c r="A4506" t="str">
        <f>"20200111155640099"</f>
        <v>20200111155640099</v>
      </c>
      <c r="B4506" t="str">
        <f>"1578729400087705"</f>
        <v>1578729400087705</v>
      </c>
      <c r="C4506" t="s">
        <v>37</v>
      </c>
      <c r="D4506">
        <v>4.3736540000000002</v>
      </c>
      <c r="E4506">
        <v>0.53666809999999998</v>
      </c>
      <c r="F4506" t="s">
        <v>72</v>
      </c>
      <c r="G4506">
        <v>-319.89940000000001</v>
      </c>
      <c r="H4506" s="1">
        <v>-6.5554400000000002E-6</v>
      </c>
      <c r="I4506">
        <v>143.94460000000001</v>
      </c>
      <c r="J4506">
        <v>-266.45159999999998</v>
      </c>
      <c r="K4506">
        <v>1.105251</v>
      </c>
      <c r="L4506">
        <v>141.48609999999999</v>
      </c>
      <c r="M4506">
        <v>-0.99989660000000002</v>
      </c>
      <c r="N4506">
        <v>0</v>
      </c>
      <c r="O4506">
        <v>-5.8068E-3</v>
      </c>
      <c r="P4506">
        <v>-0.99818779999999996</v>
      </c>
      <c r="Q4506">
        <v>2.8190260000000002E-2</v>
      </c>
      <c r="R4506">
        <v>-5.3165129999999998E-2</v>
      </c>
      <c r="S4506">
        <v>-3.01443499999999</v>
      </c>
      <c r="T4506">
        <v>-6.1930300000000001E-2</v>
      </c>
      <c r="U4506">
        <v>0.13761899999999999</v>
      </c>
      <c r="V4506">
        <v>-4.7428829999999998E-2</v>
      </c>
      <c r="W4506">
        <v>4.1255510000000002E-2</v>
      </c>
      <c r="X4506">
        <v>0.99802230000000003</v>
      </c>
      <c r="Y4506">
        <v>5.1394290000000002E-2</v>
      </c>
      <c r="Z4506">
        <v>6.468442E-4</v>
      </c>
      <c r="AA4506">
        <v>0.99867819999999996</v>
      </c>
      <c r="AB4506">
        <v>35</v>
      </c>
      <c r="AC4506">
        <v>-53.447800000000001</v>
      </c>
      <c r="AD4506">
        <v>-1.1052575554399999</v>
      </c>
      <c r="AE4506">
        <v>2.4585000000000101</v>
      </c>
      <c r="AF4506">
        <v>2.7676650537065601</v>
      </c>
      <c r="AG4506">
        <v>-1.1052575554399999</v>
      </c>
      <c r="AH4506">
        <v>53.409830103480097</v>
      </c>
      <c r="AI4506">
        <v>91.183915752279503</v>
      </c>
      <c r="AJ4506">
        <v>87.033620658774495</v>
      </c>
      <c r="AK4506">
        <v>53.492910892902202</v>
      </c>
    </row>
    <row r="4507" spans="1:37" x14ac:dyDescent="0.2">
      <c r="A4507" t="str">
        <f>"20200111155640114"</f>
        <v>20200111155640114</v>
      </c>
      <c r="B4507" t="str">
        <f>"1578729400107225"</f>
        <v>1578729400107225</v>
      </c>
      <c r="C4507" t="s">
        <v>37</v>
      </c>
      <c r="D4507">
        <v>4.3985260000000004</v>
      </c>
      <c r="E4507">
        <v>0.53657529999999998</v>
      </c>
      <c r="F4507" t="s">
        <v>38</v>
      </c>
      <c r="G4507">
        <v>-320.60070000000002</v>
      </c>
      <c r="H4507" s="1">
        <v>-4.8009549999999997E-6</v>
      </c>
      <c r="I4507">
        <v>143.72799999999901</v>
      </c>
      <c r="J4507">
        <v>-266.6893</v>
      </c>
      <c r="K4507">
        <v>1.105256</v>
      </c>
      <c r="L4507">
        <v>141.48429999999999</v>
      </c>
      <c r="M4507">
        <v>-0.99989219999999901</v>
      </c>
      <c r="N4507">
        <v>0</v>
      </c>
      <c r="O4507">
        <v>-6.2498930000000003E-3</v>
      </c>
      <c r="P4507">
        <v>-0.99817719999999899</v>
      </c>
      <c r="Q4507">
        <v>2.8661579999999999E-2</v>
      </c>
      <c r="R4507">
        <v>-5.3112619999999999E-2</v>
      </c>
      <c r="S4507">
        <v>-3.0138240000000001</v>
      </c>
      <c r="T4507">
        <v>-6.151628E-2</v>
      </c>
      <c r="U4507">
        <v>0.12478640000000001</v>
      </c>
      <c r="V4507">
        <v>-4.6934129999999998E-2</v>
      </c>
      <c r="W4507">
        <v>4.1865329999999999E-2</v>
      </c>
      <c r="X4507">
        <v>0.99802029999999997</v>
      </c>
      <c r="Y4507">
        <v>4.7602310000000002E-2</v>
      </c>
      <c r="Z4507">
        <v>6.130714E-4</v>
      </c>
      <c r="AA4507">
        <v>0.99886620000000004</v>
      </c>
      <c r="AB4507">
        <v>35</v>
      </c>
      <c r="AC4507">
        <v>-53.9114</v>
      </c>
      <c r="AD4507">
        <v>-1.105260800955</v>
      </c>
      <c r="AE4507">
        <v>2.2436999999999898</v>
      </c>
      <c r="AF4507">
        <v>2.5795440661017901</v>
      </c>
      <c r="AG4507">
        <v>-1.105260800955</v>
      </c>
      <c r="AH4507">
        <v>53.8737183235991</v>
      </c>
      <c r="AI4507">
        <v>91.173957573657802</v>
      </c>
      <c r="AJ4507">
        <v>87.258696812827495</v>
      </c>
      <c r="AK4507">
        <v>53.946762414787997</v>
      </c>
    </row>
    <row r="4508" spans="1:37" x14ac:dyDescent="0.2">
      <c r="A4508" t="str">
        <f>"20200111155640133"</f>
        <v>20200111155640133</v>
      </c>
      <c r="B4508" t="str">
        <f>"1578729400127721"</f>
        <v>1578729400127721</v>
      </c>
      <c r="C4508" t="s">
        <v>37</v>
      </c>
      <c r="D4508">
        <v>4.4420289999999998</v>
      </c>
      <c r="E4508">
        <v>0.53646990000000006</v>
      </c>
      <c r="F4508" t="s">
        <v>38</v>
      </c>
      <c r="G4508">
        <v>-321.97280000000001</v>
      </c>
      <c r="H4508" s="1">
        <v>-4.3398899999999999E-6</v>
      </c>
      <c r="I4508">
        <v>143.7611</v>
      </c>
      <c r="J4508">
        <v>-266.98700000000002</v>
      </c>
      <c r="K4508">
        <v>1.1052649999999999</v>
      </c>
      <c r="L4508">
        <v>141.4819</v>
      </c>
      <c r="M4508">
        <v>-0.99988650000000001</v>
      </c>
      <c r="N4508">
        <v>0</v>
      </c>
      <c r="O4508">
        <v>-6.8045859999999996E-3</v>
      </c>
      <c r="P4508">
        <v>-0.99815849999999995</v>
      </c>
      <c r="Q4508">
        <v>2.9169170000000001E-2</v>
      </c>
      <c r="R4508">
        <v>-5.3188260000000001E-2</v>
      </c>
      <c r="S4508">
        <v>-3.013855</v>
      </c>
      <c r="T4508">
        <v>-6.0254809999999999E-2</v>
      </c>
      <c r="U4508">
        <v>0.1241302</v>
      </c>
      <c r="V4508">
        <v>-4.6456440000000002E-2</v>
      </c>
      <c r="W4508">
        <v>4.253088E-2</v>
      </c>
      <c r="X4508">
        <v>0.99801450000000003</v>
      </c>
      <c r="Y4508">
        <v>4.7939210000000003E-2</v>
      </c>
      <c r="Z4508">
        <v>6.1495039999999999E-4</v>
      </c>
      <c r="AA4508">
        <v>0.99885000000000002</v>
      </c>
      <c r="AB4508">
        <v>35</v>
      </c>
      <c r="AC4508">
        <v>-54.985799999999898</v>
      </c>
      <c r="AD4508">
        <v>-1.10526933989</v>
      </c>
      <c r="AE4508">
        <v>2.2791999999999999</v>
      </c>
      <c r="AF4508">
        <v>2.6522668248112198</v>
      </c>
      <c r="AG4508">
        <v>-1.10526933989</v>
      </c>
      <c r="AH4508">
        <v>54.946853156439403</v>
      </c>
      <c r="AI4508">
        <v>91.151023379602194</v>
      </c>
      <c r="AJ4508">
        <v>87.236496213955903</v>
      </c>
      <c r="AK4508">
        <v>55.021930277108702</v>
      </c>
    </row>
    <row r="4509" spans="1:37" x14ac:dyDescent="0.2">
      <c r="A4509" t="str">
        <f>"20200111155640147"</f>
        <v>20200111155640147</v>
      </c>
      <c r="B4509" t="str">
        <f>"1578729400137481"</f>
        <v>1578729400137481</v>
      </c>
      <c r="C4509" t="s">
        <v>37</v>
      </c>
      <c r="D4509">
        <v>4.6456660000000003</v>
      </c>
      <c r="E4509">
        <v>0.53609329999999999</v>
      </c>
      <c r="F4509" t="s">
        <v>38</v>
      </c>
      <c r="G4509">
        <v>-326.91039999999998</v>
      </c>
      <c r="H4509" s="1">
        <v>-2.4560369999999998E-6</v>
      </c>
      <c r="I4509">
        <v>143.93199999999999</v>
      </c>
      <c r="J4509">
        <v>-267.200999999999</v>
      </c>
      <c r="K4509">
        <v>1.1052660000000001</v>
      </c>
      <c r="L4509">
        <v>141.47999999999999</v>
      </c>
      <c r="M4509">
        <v>-0.9998823</v>
      </c>
      <c r="N4509">
        <v>0</v>
      </c>
      <c r="O4509">
        <v>-7.20333E-3</v>
      </c>
      <c r="P4509">
        <v>-0.99814590000000003</v>
      </c>
      <c r="Q4509">
        <v>2.968382E-2</v>
      </c>
      <c r="R4509">
        <v>-5.3141499999999897E-2</v>
      </c>
      <c r="S4509">
        <v>-3.013763</v>
      </c>
      <c r="T4509">
        <v>-5.5587890000000001E-2</v>
      </c>
      <c r="U4509">
        <v>0.12322999999999899</v>
      </c>
      <c r="V4509">
        <v>-4.6012650000000002E-2</v>
      </c>
      <c r="W4509">
        <v>4.3146869999999997E-2</v>
      </c>
      <c r="X4509">
        <v>0.99800859999999902</v>
      </c>
      <c r="Y4509">
        <v>4.8042469999999997E-2</v>
      </c>
      <c r="Z4509">
        <v>5.7565369999999999E-4</v>
      </c>
      <c r="AA4509">
        <v>0.99884509999999904</v>
      </c>
      <c r="AB4509">
        <v>35</v>
      </c>
      <c r="AC4509">
        <v>-59.709400000000002</v>
      </c>
      <c r="AD4509">
        <v>-1.1052684560370001</v>
      </c>
      <c r="AE4509">
        <v>2.4520000000000199</v>
      </c>
      <c r="AF4509">
        <v>2.8810968080156001</v>
      </c>
      <c r="AG4509">
        <v>-1.1052684560370001</v>
      </c>
      <c r="AH4509">
        <v>59.669775011292103</v>
      </c>
      <c r="AI4509">
        <v>91.059938835475194</v>
      </c>
      <c r="AJ4509">
        <v>87.235676111402</v>
      </c>
      <c r="AK4509">
        <v>59.749513697395699</v>
      </c>
    </row>
    <row r="4510" spans="1:37" x14ac:dyDescent="0.2">
      <c r="A4510" t="str">
        <f>"20200111155640166"</f>
        <v>20200111155640166</v>
      </c>
      <c r="B4510" t="str">
        <f>"1578729400157001"</f>
        <v>1578729400157001</v>
      </c>
      <c r="C4510" t="s">
        <v>37</v>
      </c>
      <c r="D4510">
        <v>4.4248479999999999</v>
      </c>
      <c r="E4510">
        <v>0.53598259999999998</v>
      </c>
      <c r="F4510" t="s">
        <v>38</v>
      </c>
      <c r="G4510">
        <v>-329.40339999999998</v>
      </c>
      <c r="H4510" s="1">
        <v>-1.394794E-6</v>
      </c>
      <c r="I4510">
        <v>143.96299999999999</v>
      </c>
      <c r="J4510">
        <v>-267.49540000000002</v>
      </c>
      <c r="K4510">
        <v>1.105272</v>
      </c>
      <c r="L4510">
        <v>141.47730000000001</v>
      </c>
      <c r="M4510">
        <v>-0.9998764</v>
      </c>
      <c r="N4510">
        <v>0</v>
      </c>
      <c r="O4510">
        <v>-7.7512579999999996E-3</v>
      </c>
      <c r="P4510">
        <v>-0.99812749999999995</v>
      </c>
      <c r="Q4510">
        <v>3.0195469999999999E-2</v>
      </c>
      <c r="R4510">
        <v>-5.3195760000000002E-2</v>
      </c>
      <c r="S4510">
        <v>-3.0135800000000001</v>
      </c>
      <c r="T4510">
        <v>-5.3547980000000002E-2</v>
      </c>
      <c r="U4510">
        <v>0.1203003</v>
      </c>
      <c r="V4510">
        <v>-4.5520730000000002E-2</v>
      </c>
      <c r="W4510">
        <v>4.378522E-2</v>
      </c>
      <c r="X4510">
        <v>0.99800339999999998</v>
      </c>
      <c r="Y4510">
        <v>4.7623510000000001E-2</v>
      </c>
      <c r="Z4510">
        <v>5.6058940000000004E-4</v>
      </c>
      <c r="AA4510">
        <v>0.99886520000000001</v>
      </c>
      <c r="AB4510">
        <v>35</v>
      </c>
      <c r="AC4510">
        <v>-61.907999999999902</v>
      </c>
      <c r="AD4510">
        <v>-1.1052733947940001</v>
      </c>
      <c r="AE4510">
        <v>2.48569999999998</v>
      </c>
      <c r="AF4510">
        <v>2.9645916573018898</v>
      </c>
      <c r="AG4510">
        <v>-1.1052733947940001</v>
      </c>
      <c r="AH4510">
        <v>61.867182512520102</v>
      </c>
      <c r="AI4510">
        <v>91.022322400891795</v>
      </c>
      <c r="AJ4510">
        <v>87.256562327622007</v>
      </c>
      <c r="AK4510">
        <v>61.948032293279901</v>
      </c>
    </row>
    <row r="4511" spans="1:37" x14ac:dyDescent="0.2">
      <c r="A4511" t="str">
        <f>"20200111155640181"</f>
        <v>20200111155640181</v>
      </c>
      <c r="B4511" t="str">
        <f>"1578729400177497"</f>
        <v>1578729400177497</v>
      </c>
      <c r="C4511" t="s">
        <v>37</v>
      </c>
      <c r="D4511">
        <v>4.4008609999999999</v>
      </c>
      <c r="E4511">
        <v>0.53577600000000003</v>
      </c>
      <c r="F4511" t="s">
        <v>38</v>
      </c>
      <c r="G4511">
        <v>-329.58440000000002</v>
      </c>
      <c r="H4511" s="1">
        <v>-1.3088099999999999E-6</v>
      </c>
      <c r="I4511">
        <v>143.9316</v>
      </c>
      <c r="J4511">
        <v>-267.72309999999999</v>
      </c>
      <c r="K4511">
        <v>1.1052729999999999</v>
      </c>
      <c r="L4511">
        <v>141.4752</v>
      </c>
      <c r="M4511">
        <v>-0.99987179999999998</v>
      </c>
      <c r="N4511">
        <v>0</v>
      </c>
      <c r="O4511">
        <v>-8.1741049999999992E-3</v>
      </c>
      <c r="P4511">
        <v>-0.99811000000000005</v>
      </c>
      <c r="Q4511">
        <v>3.0497630000000001E-2</v>
      </c>
      <c r="R4511">
        <v>-5.3351610000000001E-2</v>
      </c>
      <c r="S4511">
        <v>-3.013611</v>
      </c>
      <c r="T4511">
        <v>-5.3646680000000002E-2</v>
      </c>
      <c r="U4511">
        <v>0.11912539999999899</v>
      </c>
      <c r="V4511">
        <v>-4.5253939999999999E-2</v>
      </c>
      <c r="W4511">
        <v>4.417633E-2</v>
      </c>
      <c r="X4511">
        <v>0.99799819999999995</v>
      </c>
      <c r="Y4511">
        <v>4.7656619999999997E-2</v>
      </c>
      <c r="Z4511">
        <v>5.694408E-4</v>
      </c>
      <c r="AA4511">
        <v>0.99886359999999996</v>
      </c>
      <c r="AB4511">
        <v>35</v>
      </c>
      <c r="AC4511">
        <v>-61.8613</v>
      </c>
      <c r="AD4511">
        <v>-1.1052743088099899</v>
      </c>
      <c r="AE4511">
        <v>2.4563999999999999</v>
      </c>
      <c r="AF4511">
        <v>2.9610828417244699</v>
      </c>
      <c r="AG4511">
        <v>-1.1052743088099899</v>
      </c>
      <c r="AH4511">
        <v>61.8194486554248</v>
      </c>
      <c r="AI4511">
        <v>91.023113430871206</v>
      </c>
      <c r="AJ4511">
        <v>87.257691826931705</v>
      </c>
      <c r="AK4511">
        <v>61.900192850701004</v>
      </c>
    </row>
    <row r="4512" spans="1:37" x14ac:dyDescent="0.2">
      <c r="A4512" t="str">
        <f>"20200111155640195"</f>
        <v>20200111155640195</v>
      </c>
      <c r="B4512" t="str">
        <f>"1578729400187257"</f>
        <v>1578729400187257</v>
      </c>
      <c r="C4512" t="s">
        <v>37</v>
      </c>
      <c r="D4512">
        <v>4.417948</v>
      </c>
      <c r="E4512">
        <v>0.53580609999999995</v>
      </c>
      <c r="F4512" t="s">
        <v>38</v>
      </c>
      <c r="G4512">
        <v>-329.71940000000001</v>
      </c>
      <c r="H4512" s="1">
        <v>-1.237391E-6</v>
      </c>
      <c r="I4512">
        <v>143.8809</v>
      </c>
      <c r="J4512">
        <v>-267.950999999999</v>
      </c>
      <c r="K4512">
        <v>1.105272</v>
      </c>
      <c r="L4512">
        <v>141.47290000000001</v>
      </c>
      <c r="M4512">
        <v>-0.99986719999999896</v>
      </c>
      <c r="N4512">
        <v>0</v>
      </c>
      <c r="O4512">
        <v>-8.5964040000000002E-3</v>
      </c>
      <c r="P4512">
        <v>-0.99809969999999903</v>
      </c>
      <c r="Q4512">
        <v>3.0612110000000001E-2</v>
      </c>
      <c r="R4512">
        <v>-5.3481239999999999E-2</v>
      </c>
      <c r="S4512">
        <v>-3.0135800000000001</v>
      </c>
      <c r="T4512">
        <v>-5.3726429999999999E-2</v>
      </c>
      <c r="U4512">
        <v>0.1169434</v>
      </c>
      <c r="V4512">
        <v>-4.4962309999999998E-2</v>
      </c>
      <c r="W4512">
        <v>4.4370680000000003E-2</v>
      </c>
      <c r="X4512">
        <v>0.99800279999999997</v>
      </c>
      <c r="Y4512">
        <v>4.7356719999999998E-2</v>
      </c>
      <c r="Z4512">
        <v>5.751555E-4</v>
      </c>
      <c r="AA4512">
        <v>0.99887789999999999</v>
      </c>
      <c r="AB4512">
        <v>35</v>
      </c>
      <c r="AC4512">
        <v>-61.7684</v>
      </c>
      <c r="AD4512">
        <v>-1.1052732373909999</v>
      </c>
      <c r="AE4512">
        <v>2.4079999999999799</v>
      </c>
      <c r="AF4512">
        <v>2.93800873589523</v>
      </c>
      <c r="AG4512">
        <v>-1.1052732373909999</v>
      </c>
      <c r="AH4512">
        <v>61.725681207632199</v>
      </c>
      <c r="AI4512">
        <v>91.024681010589703</v>
      </c>
      <c r="AJ4512">
        <v>87.274901700637699</v>
      </c>
      <c r="AK4512">
        <v>61.805446724441197</v>
      </c>
    </row>
    <row r="4513" spans="1:37" x14ac:dyDescent="0.2">
      <c r="A4513" t="str">
        <f>"20200111155640212"</f>
        <v>20200111155640212</v>
      </c>
      <c r="B4513" t="str">
        <f>"1578729400207753"</f>
        <v>1578729400207753</v>
      </c>
      <c r="C4513" t="s">
        <v>37</v>
      </c>
      <c r="D4513">
        <v>4.4552350000000001</v>
      </c>
      <c r="E4513">
        <v>0.53585959999999999</v>
      </c>
      <c r="F4513" t="s">
        <v>38</v>
      </c>
      <c r="G4513">
        <v>-329.8535</v>
      </c>
      <c r="H4513" s="1">
        <v>-1.1764760000000001E-6</v>
      </c>
      <c r="I4513">
        <v>143.8681</v>
      </c>
      <c r="J4513">
        <v>-268.20749999999998</v>
      </c>
      <c r="K4513">
        <v>1.1052770000000001</v>
      </c>
      <c r="L4513">
        <v>141.47020000000001</v>
      </c>
      <c r="M4513">
        <v>-0.99986200000000003</v>
      </c>
      <c r="N4513">
        <v>0</v>
      </c>
      <c r="O4513">
        <v>-9.0713949999999995E-3</v>
      </c>
      <c r="P4513">
        <v>-0.99808319999999995</v>
      </c>
      <c r="Q4513">
        <v>3.12346999999999E-2</v>
      </c>
      <c r="R4513">
        <v>-5.343038E-2</v>
      </c>
      <c r="S4513">
        <v>-3.0135800000000001</v>
      </c>
      <c r="T4513">
        <v>-5.380774E-2</v>
      </c>
      <c r="U4513">
        <v>0.11660769999999999</v>
      </c>
      <c r="V4513">
        <v>-4.4437900000000002E-2</v>
      </c>
      <c r="W4513">
        <v>4.5074749999999997E-2</v>
      </c>
      <c r="X4513">
        <v>0.99799479999999996</v>
      </c>
      <c r="Y4513">
        <v>4.7719989999999997E-2</v>
      </c>
      <c r="Z4513">
        <v>5.8774710000000004E-4</v>
      </c>
      <c r="AA4513">
        <v>0.99886059999999999</v>
      </c>
      <c r="AB4513">
        <v>35</v>
      </c>
      <c r="AC4513">
        <v>-61.646000000000001</v>
      </c>
      <c r="AD4513">
        <v>-1.105278176476</v>
      </c>
      <c r="AE4513">
        <v>2.3978999999999902</v>
      </c>
      <c r="AF4513">
        <v>2.9561218450844402</v>
      </c>
      <c r="AG4513">
        <v>-1.105278176476</v>
      </c>
      <c r="AH4513">
        <v>61.601935685590298</v>
      </c>
      <c r="AI4513">
        <v>91.026724456795193</v>
      </c>
      <c r="AJ4513">
        <v>87.2526273397376</v>
      </c>
      <c r="AK4513">
        <v>61.682726726547898</v>
      </c>
    </row>
    <row r="4514" spans="1:37" x14ac:dyDescent="0.2">
      <c r="A4514" t="str">
        <f>"20200111155640226"</f>
        <v>20200111155640226</v>
      </c>
      <c r="B4514" t="str">
        <f>"1578729400217513"</f>
        <v>1578729400217513</v>
      </c>
      <c r="C4514" t="s">
        <v>37</v>
      </c>
      <c r="D4514">
        <v>4.4508570000000001</v>
      </c>
      <c r="E4514">
        <v>0.53582879999999999</v>
      </c>
      <c r="F4514" t="s">
        <v>38</v>
      </c>
      <c r="G4514">
        <v>-331.6216</v>
      </c>
      <c r="H4514" s="1">
        <v>-4.8548129999999901E-6</v>
      </c>
      <c r="I4514">
        <v>143.93610000000001</v>
      </c>
      <c r="J4514">
        <v>-268.42700000000002</v>
      </c>
      <c r="K4514">
        <v>1.1052839999999999</v>
      </c>
      <c r="L4514">
        <v>141.46780000000001</v>
      </c>
      <c r="M4514">
        <v>-0.99985729999999995</v>
      </c>
      <c r="N4514">
        <v>0</v>
      </c>
      <c r="O4514">
        <v>-9.4771190000000009E-3</v>
      </c>
      <c r="P4514">
        <v>-0.99806719999999904</v>
      </c>
      <c r="Q4514">
        <v>3.1655339999999997E-2</v>
      </c>
      <c r="R4514">
        <v>-5.347942E-2</v>
      </c>
      <c r="S4514">
        <v>-3.0136720000000001</v>
      </c>
      <c r="T4514">
        <v>-5.2527070000000002E-2</v>
      </c>
      <c r="U4514">
        <v>0.1171875</v>
      </c>
      <c r="V4514">
        <v>-4.4082400000000001E-2</v>
      </c>
      <c r="W4514">
        <v>4.5557760000000003E-2</v>
      </c>
      <c r="X4514">
        <v>0.9979886</v>
      </c>
      <c r="Y4514">
        <v>4.83163E-2</v>
      </c>
      <c r="Z4514">
        <v>5.8600500000000001E-4</v>
      </c>
      <c r="AA4514">
        <v>0.99883189999999999</v>
      </c>
      <c r="AB4514">
        <v>35</v>
      </c>
      <c r="AC4514">
        <v>-63.194599999999902</v>
      </c>
      <c r="AD4514">
        <v>-1.105288854813</v>
      </c>
      <c r="AE4514">
        <v>2.4683000000000002</v>
      </c>
      <c r="AF4514">
        <v>3.0662138921730002</v>
      </c>
      <c r="AG4514">
        <v>-1.105288854813</v>
      </c>
      <c r="AH4514">
        <v>63.149078366201898</v>
      </c>
      <c r="AI4514">
        <v>91.001557352483005</v>
      </c>
      <c r="AJ4514">
        <v>87.220177198940604</v>
      </c>
      <c r="AK4514">
        <v>63.2331355349855</v>
      </c>
    </row>
    <row r="4515" spans="1:37" x14ac:dyDescent="0.2">
      <c r="A4515" t="str">
        <f>"20200111155640245"</f>
        <v>20200111155640245</v>
      </c>
      <c r="B4515" t="str">
        <f>"1578729400237032"</f>
        <v>1578729400237032</v>
      </c>
      <c r="C4515" t="s">
        <v>37</v>
      </c>
      <c r="D4515">
        <v>4.5092589999999904</v>
      </c>
      <c r="E4515">
        <v>0.53550889999999995</v>
      </c>
      <c r="F4515" t="s">
        <v>38</v>
      </c>
      <c r="G4515">
        <v>-332.62540000000001</v>
      </c>
      <c r="H4515" s="1">
        <v>-4.4719850000000003E-6</v>
      </c>
      <c r="I4515">
        <v>143.95089999999999</v>
      </c>
      <c r="J4515">
        <v>-268.72019999999998</v>
      </c>
      <c r="K4515">
        <v>1.1052879999999901</v>
      </c>
      <c r="L4515">
        <v>141.46449999999999</v>
      </c>
      <c r="M4515">
        <v>-0.99985089999999999</v>
      </c>
      <c r="N4515">
        <v>0</v>
      </c>
      <c r="O4515">
        <v>-1.001762E-2</v>
      </c>
      <c r="P4515">
        <v>-0.99804760000000003</v>
      </c>
      <c r="Q4515">
        <v>3.2284720000000003E-2</v>
      </c>
      <c r="R4515">
        <v>-5.3465550000000001E-2</v>
      </c>
      <c r="S4515">
        <v>-3.0137019999999999</v>
      </c>
      <c r="T4515">
        <v>-5.1886199999999903E-2</v>
      </c>
      <c r="U4515">
        <v>0.1165619</v>
      </c>
      <c r="V4515">
        <v>-4.3529909999999998E-2</v>
      </c>
      <c r="W4515">
        <v>4.6262730000000002E-2</v>
      </c>
      <c r="X4515">
        <v>0.99798039999999999</v>
      </c>
      <c r="Y4515">
        <v>4.8648909999999997E-2</v>
      </c>
      <c r="Z4515">
        <v>5.9101789999999998E-4</v>
      </c>
      <c r="AA4515">
        <v>0.99881580000000003</v>
      </c>
      <c r="AB4515">
        <v>35</v>
      </c>
      <c r="AC4515">
        <v>-63.905200000000001</v>
      </c>
      <c r="AD4515">
        <v>-1.1052924719849999</v>
      </c>
      <c r="AE4515">
        <v>2.4864000000000002</v>
      </c>
      <c r="AF4515">
        <v>3.1255829644953699</v>
      </c>
      <c r="AG4515">
        <v>-1.1052924719849999</v>
      </c>
      <c r="AH4515">
        <v>63.858008538579</v>
      </c>
      <c r="AI4515">
        <v>90.990425052739198</v>
      </c>
      <c r="AJ4515">
        <v>87.197847026980099</v>
      </c>
      <c r="AK4515">
        <v>63.944008279351699</v>
      </c>
    </row>
    <row r="4516" spans="1:37" x14ac:dyDescent="0.2">
      <c r="A4516" t="str">
        <f>"20200111155640266"</f>
        <v>20200111155640266</v>
      </c>
      <c r="B4516" t="str">
        <f>"1578729400257528"</f>
        <v>1578729400257528</v>
      </c>
      <c r="C4516" t="s">
        <v>37</v>
      </c>
      <c r="D4516">
        <v>4.5835489999999997</v>
      </c>
      <c r="E4516">
        <v>0.53533850000000005</v>
      </c>
      <c r="F4516" t="s">
        <v>38</v>
      </c>
      <c r="G4516">
        <v>-335.71620000000001</v>
      </c>
      <c r="H4516" s="1">
        <v>-3.17253399999999E-6</v>
      </c>
      <c r="I4516">
        <v>144.0026</v>
      </c>
      <c r="J4516">
        <v>-269.04689999999999</v>
      </c>
      <c r="K4516">
        <v>1.1052919999999999</v>
      </c>
      <c r="L4516">
        <v>141.4606</v>
      </c>
      <c r="M4516">
        <v>-0.99984390000000001</v>
      </c>
      <c r="N4516">
        <v>0</v>
      </c>
      <c r="O4516">
        <v>-1.061758E-2</v>
      </c>
      <c r="P4516">
        <v>-0.99803719999999996</v>
      </c>
      <c r="Q4516">
        <v>3.2246419999999998E-2</v>
      </c>
      <c r="R4516">
        <v>-5.3686240000000003E-2</v>
      </c>
      <c r="S4516">
        <v>-3.013611</v>
      </c>
      <c r="T4516">
        <v>-4.9718140000000001E-2</v>
      </c>
      <c r="U4516">
        <v>0.1141663</v>
      </c>
      <c r="V4516">
        <v>-4.3151050000000003E-2</v>
      </c>
      <c r="W4516">
        <v>4.629751E-2</v>
      </c>
      <c r="X4516">
        <v>0.99799530000000003</v>
      </c>
      <c r="Y4516">
        <v>4.8457260000000002E-2</v>
      </c>
      <c r="Z4516">
        <v>5.7466669999999996E-4</v>
      </c>
      <c r="AA4516">
        <v>0.99882510000000002</v>
      </c>
      <c r="AB4516">
        <v>35</v>
      </c>
      <c r="AC4516">
        <v>-66.669300000000007</v>
      </c>
      <c r="AD4516">
        <v>-1.1052951725339999</v>
      </c>
      <c r="AE4516">
        <v>2.5419999999999998</v>
      </c>
      <c r="AF4516">
        <v>3.2489022269729202</v>
      </c>
      <c r="AG4516">
        <v>-1.1052951725339999</v>
      </c>
      <c r="AH4516">
        <v>66.620264270696296</v>
      </c>
      <c r="AI4516">
        <v>90.949377609187394</v>
      </c>
      <c r="AJ4516">
        <v>87.2080413109407</v>
      </c>
      <c r="AK4516">
        <v>66.708595057880501</v>
      </c>
    </row>
    <row r="4517" spans="1:37" x14ac:dyDescent="0.2">
      <c r="A4517" t="str">
        <f>"20200111155640282"</f>
        <v>20200111155640282</v>
      </c>
      <c r="B4517" t="str">
        <f>"1578729400277049"</f>
        <v>1578729400277049</v>
      </c>
      <c r="C4517" t="s">
        <v>37</v>
      </c>
      <c r="D4517">
        <v>4.5422659999999997</v>
      </c>
      <c r="E4517">
        <v>0.53525929999999999</v>
      </c>
      <c r="F4517" t="s">
        <v>38</v>
      </c>
      <c r="G4517">
        <v>-335.3766</v>
      </c>
      <c r="H4517" s="1">
        <v>-3.3128150000000001E-6</v>
      </c>
      <c r="I4517">
        <v>143.9265</v>
      </c>
      <c r="J4517">
        <v>-269.2971</v>
      </c>
      <c r="K4517">
        <v>1.1052979999999999</v>
      </c>
      <c r="L4517">
        <v>141.45760000000001</v>
      </c>
      <c r="M4517">
        <v>-0.99983809999999995</v>
      </c>
      <c r="N4517">
        <v>0</v>
      </c>
      <c r="O4517">
        <v>-1.107349E-2</v>
      </c>
      <c r="P4517">
        <v>-0.99803609999999898</v>
      </c>
      <c r="Q4517">
        <v>3.2329400000000001E-2</v>
      </c>
      <c r="R4517">
        <v>-5.3655330000000001E-2</v>
      </c>
      <c r="S4517">
        <v>-3.01355</v>
      </c>
      <c r="T4517">
        <v>-5.0216789999999997E-2</v>
      </c>
      <c r="U4517">
        <v>0.11202999999999901</v>
      </c>
      <c r="V4517">
        <v>-4.2664430000000003E-2</v>
      </c>
      <c r="W4517">
        <v>4.6430880000000001E-2</v>
      </c>
      <c r="X4517">
        <v>0.99800999999999995</v>
      </c>
      <c r="Y4517">
        <v>4.8206249999999999E-2</v>
      </c>
      <c r="Z4517">
        <v>5.8595380000000001E-4</v>
      </c>
      <c r="AA4517">
        <v>0.99883719999999998</v>
      </c>
      <c r="AB4517">
        <v>35</v>
      </c>
      <c r="AC4517">
        <v>-66.079499999999996</v>
      </c>
      <c r="AD4517">
        <v>-1.105301312815</v>
      </c>
      <c r="AE4517">
        <v>2.4688999999999899</v>
      </c>
      <c r="AF4517">
        <v>3.1996589061937999</v>
      </c>
      <c r="AG4517">
        <v>-1.105301312815</v>
      </c>
      <c r="AH4517">
        <v>66.029657064000801</v>
      </c>
      <c r="AI4517">
        <v>90.957887511937898</v>
      </c>
      <c r="AJ4517">
        <v>87.225736631341206</v>
      </c>
      <c r="AK4517">
        <v>66.1163755819816</v>
      </c>
    </row>
    <row r="4518" spans="1:37" x14ac:dyDescent="0.2">
      <c r="A4518" t="str">
        <f>"20200111155640300"</f>
        <v>20200111155640300</v>
      </c>
      <c r="B4518" t="str">
        <f>"1578729400297546"</f>
        <v>1578729400297546</v>
      </c>
      <c r="C4518" t="s">
        <v>37</v>
      </c>
      <c r="D4518">
        <v>4.5066139999999999</v>
      </c>
      <c r="E4518">
        <v>0.53521359999999996</v>
      </c>
      <c r="F4518" t="s">
        <v>38</v>
      </c>
      <c r="G4518">
        <v>-335.12049999999999</v>
      </c>
      <c r="H4518" s="1">
        <v>-3.4241359999999899E-6</v>
      </c>
      <c r="I4518">
        <v>143.88999999999999</v>
      </c>
      <c r="J4518">
        <v>-269.56849999999997</v>
      </c>
      <c r="K4518">
        <v>1.1052979999999999</v>
      </c>
      <c r="L4518">
        <v>141.45410000000001</v>
      </c>
      <c r="M4518">
        <v>-0.9998319</v>
      </c>
      <c r="N4518">
        <v>0</v>
      </c>
      <c r="O4518">
        <v>-1.156417E-2</v>
      </c>
      <c r="P4518">
        <v>-0.99802880000000005</v>
      </c>
      <c r="Q4518">
        <v>3.2237990000000001E-2</v>
      </c>
      <c r="R4518">
        <v>-5.3846270000000002E-2</v>
      </c>
      <c r="S4518">
        <v>-3.0134889999999999</v>
      </c>
      <c r="T4518">
        <v>-5.06022E-2</v>
      </c>
      <c r="U4518">
        <v>0.1113586</v>
      </c>
      <c r="V4518">
        <v>-4.2364699999999998E-2</v>
      </c>
      <c r="W4518">
        <v>4.6388020000000002E-2</v>
      </c>
      <c r="X4518">
        <v>0.99802479999999905</v>
      </c>
      <c r="Y4518">
        <v>4.8474730000000001E-2</v>
      </c>
      <c r="Z4518">
        <v>6.0095519999999998E-4</v>
      </c>
      <c r="AA4518">
        <v>0.99882420000000005</v>
      </c>
      <c r="AB4518">
        <v>35</v>
      </c>
      <c r="AC4518">
        <v>-65.552000000000007</v>
      </c>
      <c r="AD4518">
        <v>-1.105301424136</v>
      </c>
      <c r="AE4518">
        <v>2.43589999999997</v>
      </c>
      <c r="AF4518">
        <v>3.1929617657003901</v>
      </c>
      <c r="AG4518">
        <v>-1.105301424136</v>
      </c>
      <c r="AH4518">
        <v>65.500847060756897</v>
      </c>
      <c r="AI4518">
        <v>90.965605966257399</v>
      </c>
      <c r="AJ4518">
        <v>87.209218796430406</v>
      </c>
      <c r="AK4518">
        <v>65.587938386200904</v>
      </c>
    </row>
    <row r="4519" spans="1:37" x14ac:dyDescent="0.2">
      <c r="A4519" t="str">
        <f>"20200111155640315"</f>
        <v>20200111155640315</v>
      </c>
      <c r="B4519" t="str">
        <f>"1578729400307306"</f>
        <v>1578729400307306</v>
      </c>
      <c r="C4519" t="s">
        <v>37</v>
      </c>
      <c r="D4519">
        <v>4.5610099999999996</v>
      </c>
      <c r="E4519">
        <v>0.53520679999999998</v>
      </c>
      <c r="F4519" t="s">
        <v>38</v>
      </c>
      <c r="G4519">
        <v>-333.4341</v>
      </c>
      <c r="H4519" s="1">
        <v>-4.1336090000000002E-6</v>
      </c>
      <c r="I4519">
        <v>143.79399999999899</v>
      </c>
      <c r="J4519">
        <v>-269.79329999999999</v>
      </c>
      <c r="K4519">
        <v>1.105299</v>
      </c>
      <c r="L4519">
        <v>141.4511</v>
      </c>
      <c r="M4519">
        <v>-0.99982660000000001</v>
      </c>
      <c r="N4519">
        <v>0</v>
      </c>
      <c r="O4519">
        <v>-1.196618E-2</v>
      </c>
      <c r="P4519">
        <v>-0.99801899999999999</v>
      </c>
      <c r="Q4519">
        <v>3.2336530000000002E-2</v>
      </c>
      <c r="R4519">
        <v>-5.3965539999999999E-2</v>
      </c>
      <c r="S4519">
        <v>-3.01355</v>
      </c>
      <c r="T4519">
        <v>-5.2154539999999999E-2</v>
      </c>
      <c r="U4519">
        <v>0.1104126</v>
      </c>
      <c r="V4519">
        <v>-4.2082700000000001E-2</v>
      </c>
      <c r="W4519">
        <v>4.6521859999999998E-2</v>
      </c>
      <c r="X4519">
        <v>0.99803039999999998</v>
      </c>
      <c r="Y4519">
        <v>4.8561840000000002E-2</v>
      </c>
      <c r="Z4519">
        <v>6.2708839999999996E-4</v>
      </c>
      <c r="AA4519">
        <v>0.99882000000000004</v>
      </c>
      <c r="AB4519">
        <v>34</v>
      </c>
      <c r="AC4519">
        <v>-63.640799999999999</v>
      </c>
      <c r="AD4519">
        <v>-1.105303133609</v>
      </c>
      <c r="AE4519">
        <v>2.3428999999999802</v>
      </c>
      <c r="AF4519">
        <v>3.1034121657144902</v>
      </c>
      <c r="AG4519">
        <v>-1.105303133609</v>
      </c>
      <c r="AH4519">
        <v>63.589048990755302</v>
      </c>
      <c r="AI4519">
        <v>90.994629825725397</v>
      </c>
      <c r="AJ4519">
        <v>87.205942700914093</v>
      </c>
      <c r="AK4519">
        <v>63.674327743888597</v>
      </c>
    </row>
    <row r="4520" spans="1:37" x14ac:dyDescent="0.2">
      <c r="A4520" t="str">
        <f>"20200111155640335"</f>
        <v>20200111155640335</v>
      </c>
      <c r="B4520" t="str">
        <f>"1578729400327801"</f>
        <v>1578729400327801</v>
      </c>
      <c r="C4520" t="s">
        <v>37</v>
      </c>
      <c r="D4520">
        <v>4.6010519999999904</v>
      </c>
      <c r="E4520">
        <v>0.53523980000000004</v>
      </c>
      <c r="F4520" t="s">
        <v>38</v>
      </c>
      <c r="G4520">
        <v>-333.3141</v>
      </c>
      <c r="H4520" s="1">
        <v>-4.1751839999999998E-6</v>
      </c>
      <c r="I4520">
        <v>143.7687</v>
      </c>
      <c r="J4520">
        <v>-270.09609999999998</v>
      </c>
      <c r="K4520">
        <v>1.1052949999999999</v>
      </c>
      <c r="L4520">
        <v>141.4469</v>
      </c>
      <c r="M4520">
        <v>-0.99981960000000003</v>
      </c>
      <c r="N4520">
        <v>0</v>
      </c>
      <c r="O4520">
        <v>-1.250133E-2</v>
      </c>
      <c r="P4520">
        <v>-0.99798739999999997</v>
      </c>
      <c r="Q4520">
        <v>3.2445499999999898E-2</v>
      </c>
      <c r="R4520">
        <v>-5.4485939999999997E-2</v>
      </c>
      <c r="S4520">
        <v>-3.013611</v>
      </c>
      <c r="T4520">
        <v>-5.2438739999999998E-2</v>
      </c>
      <c r="U4520">
        <v>0.10995480000000001</v>
      </c>
      <c r="V4520">
        <v>-4.2068130000000002E-2</v>
      </c>
      <c r="W4520">
        <v>4.6673329999999999E-2</v>
      </c>
      <c r="X4520">
        <v>0.99802400000000002</v>
      </c>
      <c r="Y4520">
        <v>4.8943970000000003E-2</v>
      </c>
      <c r="Z4520">
        <v>6.4312699999999996E-4</v>
      </c>
      <c r="AA4520">
        <v>0.9988013</v>
      </c>
      <c r="AB4520">
        <v>34</v>
      </c>
      <c r="AC4520">
        <v>-63.218000000000004</v>
      </c>
      <c r="AD4520">
        <v>-1.105299175184</v>
      </c>
      <c r="AE4520">
        <v>2.3217999999999899</v>
      </c>
      <c r="AF4520">
        <v>3.11105868996429</v>
      </c>
      <c r="AG4520">
        <v>-1.105299175184</v>
      </c>
      <c r="AH4520">
        <v>63.1647475965338</v>
      </c>
      <c r="AI4520">
        <v>91.0012842079705</v>
      </c>
      <c r="AJ4520">
        <v>87.180284705698298</v>
      </c>
      <c r="AK4520">
        <v>63.250973995448398</v>
      </c>
    </row>
    <row r="4521" spans="1:37" x14ac:dyDescent="0.2">
      <c r="A4521" t="str">
        <f>"20200111155640358"</f>
        <v>20200111155640358</v>
      </c>
      <c r="B4521" t="str">
        <f>"1578729400347320"</f>
        <v>1578729400347320</v>
      </c>
      <c r="C4521" t="s">
        <v>37</v>
      </c>
      <c r="D4521">
        <v>4.6691529999999997</v>
      </c>
      <c r="E4521">
        <v>0.53534169999999903</v>
      </c>
      <c r="F4521" t="s">
        <v>38</v>
      </c>
      <c r="G4521">
        <v>-332.12099999999998</v>
      </c>
      <c r="H4521" s="1">
        <v>-4.6172809999999902E-6</v>
      </c>
      <c r="I4521">
        <v>143.6781</v>
      </c>
      <c r="J4521">
        <v>-270.44409999999999</v>
      </c>
      <c r="K4521">
        <v>1.105294</v>
      </c>
      <c r="L4521">
        <v>141.4419</v>
      </c>
      <c r="M4521">
        <v>-0.99981119999999901</v>
      </c>
      <c r="N4521">
        <v>0</v>
      </c>
      <c r="O4521">
        <v>-1.310064E-2</v>
      </c>
      <c r="P4521">
        <v>-0.99795820000000002</v>
      </c>
      <c r="Q4521">
        <v>3.2595140000000002E-2</v>
      </c>
      <c r="R4521">
        <v>-5.4930199999999998E-2</v>
      </c>
      <c r="S4521">
        <v>-3.013763</v>
      </c>
      <c r="T4521">
        <v>-5.3706049999999998E-2</v>
      </c>
      <c r="U4521">
        <v>0.108413699999999</v>
      </c>
      <c r="V4521">
        <v>-4.1912619999999998E-2</v>
      </c>
      <c r="W4521">
        <v>4.6865759999999999E-2</v>
      </c>
      <c r="X4521">
        <v>0.99802150000000001</v>
      </c>
      <c r="Y4521">
        <v>4.9030190000000001E-2</v>
      </c>
      <c r="Z4521">
        <v>6.7008499999999995E-4</v>
      </c>
      <c r="AA4521">
        <v>0.99879709999999999</v>
      </c>
      <c r="AB4521">
        <v>34</v>
      </c>
      <c r="AC4521">
        <v>-61.676899999999897</v>
      </c>
      <c r="AD4521">
        <v>-1.105298617281</v>
      </c>
      <c r="AE4521">
        <v>2.23619999999999</v>
      </c>
      <c r="AF4521">
        <v>3.0431221022089701</v>
      </c>
      <c r="AG4521">
        <v>-1.105298617281</v>
      </c>
      <c r="AH4521">
        <v>61.622542927535498</v>
      </c>
      <c r="AI4521">
        <v>91.026330594437894</v>
      </c>
      <c r="AJ4521">
        <v>87.172844291739295</v>
      </c>
      <c r="AK4521">
        <v>61.7075366063034</v>
      </c>
    </row>
    <row r="4522" spans="1:37" x14ac:dyDescent="0.2">
      <c r="A4522" t="str">
        <f>"20200111155640379"</f>
        <v>20200111155640379</v>
      </c>
      <c r="B4522" t="str">
        <f>"1578729400367816"</f>
        <v>1578729400367816</v>
      </c>
      <c r="C4522" t="s">
        <v>37</v>
      </c>
      <c r="D4522">
        <v>4.6311849999999897</v>
      </c>
      <c r="E4522">
        <v>0.53540829999999995</v>
      </c>
      <c r="F4522" t="s">
        <v>38</v>
      </c>
      <c r="G4522">
        <v>-332.43729999999999</v>
      </c>
      <c r="H4522" s="1">
        <v>-4.4925709999999998E-6</v>
      </c>
      <c r="I4522">
        <v>143.65969999999999</v>
      </c>
      <c r="J4522">
        <v>-270.77319999999997</v>
      </c>
      <c r="K4522">
        <v>1.105289</v>
      </c>
      <c r="L4522">
        <v>141.43709999999999</v>
      </c>
      <c r="M4522">
        <v>-0.99980360000000001</v>
      </c>
      <c r="N4522">
        <v>0</v>
      </c>
      <c r="O4522">
        <v>-1.364605E-2</v>
      </c>
      <c r="P4522">
        <v>-0.99791629999999998</v>
      </c>
      <c r="Q4522">
        <v>3.305516E-2</v>
      </c>
      <c r="R4522">
        <v>-5.5413879999999999E-2</v>
      </c>
      <c r="S4522">
        <v>-3.0138240000000001</v>
      </c>
      <c r="T4522">
        <v>-5.3734539999999997E-2</v>
      </c>
      <c r="U4522">
        <v>0.1078186</v>
      </c>
      <c r="V4522">
        <v>-4.1850720000000001E-2</v>
      </c>
      <c r="W4522">
        <v>4.736017E-2</v>
      </c>
      <c r="X4522">
        <v>0.99800069999999996</v>
      </c>
      <c r="Y4522">
        <v>4.9377209999999998E-2</v>
      </c>
      <c r="Z4522">
        <v>6.8324360000000003E-4</v>
      </c>
      <c r="AA4522">
        <v>0.998779999999999</v>
      </c>
      <c r="AB4522">
        <v>34</v>
      </c>
      <c r="AC4522">
        <v>-61.664099999999998</v>
      </c>
      <c r="AD4522">
        <v>-1.1052934925710001</v>
      </c>
      <c r="AE4522">
        <v>2.2225999999999999</v>
      </c>
      <c r="AF4522">
        <v>3.0629685051104101</v>
      </c>
      <c r="AG4522">
        <v>-1.1052934925710001</v>
      </c>
      <c r="AH4522">
        <v>61.608256196574999</v>
      </c>
      <c r="AI4522">
        <v>91.026546864000494</v>
      </c>
      <c r="AJ4522">
        <v>87.153777777115593</v>
      </c>
      <c r="AK4522">
        <v>61.694251607024498</v>
      </c>
    </row>
    <row r="4523" spans="1:37" x14ac:dyDescent="0.2">
      <c r="A4523" t="str">
        <f>"20200111155640401"</f>
        <v>20200111155640401</v>
      </c>
      <c r="B4523" t="str">
        <f>"1578729400397097"</f>
        <v>1578729400397097</v>
      </c>
      <c r="C4523" t="s">
        <v>37</v>
      </c>
      <c r="D4523">
        <v>4.6468299999999996</v>
      </c>
      <c r="E4523">
        <v>0.53577019999999997</v>
      </c>
      <c r="F4523" t="s">
        <v>38</v>
      </c>
      <c r="G4523">
        <v>-333.61759999999998</v>
      </c>
      <c r="H4523" s="1">
        <v>-4.0404509999999998E-6</v>
      </c>
      <c r="I4523">
        <v>143.6661</v>
      </c>
      <c r="J4523">
        <v>-271.12150000000003</v>
      </c>
      <c r="K4523">
        <v>1.105278</v>
      </c>
      <c r="L4523">
        <v>141.43170000000001</v>
      </c>
      <c r="M4523">
        <v>-0.9997954</v>
      </c>
      <c r="N4523">
        <v>0</v>
      </c>
      <c r="O4523">
        <v>-1.419634E-2</v>
      </c>
      <c r="P4523">
        <v>-0.99787340000000002</v>
      </c>
      <c r="Q4523">
        <v>3.354907E-2</v>
      </c>
      <c r="R4523">
        <v>-5.5886499999999999E-2</v>
      </c>
      <c r="S4523">
        <v>-3.0139770000000001</v>
      </c>
      <c r="T4523">
        <v>-5.3009149999999998E-2</v>
      </c>
      <c r="U4523">
        <v>0.1069031</v>
      </c>
      <c r="V4523">
        <v>-4.1772570000000002E-2</v>
      </c>
      <c r="W4523">
        <v>4.7885520000000001E-2</v>
      </c>
      <c r="X4523">
        <v>0.99797899999999995</v>
      </c>
      <c r="Y4523">
        <v>4.9622279999999998E-2</v>
      </c>
      <c r="Z4523">
        <v>6.8582159999999997E-4</v>
      </c>
      <c r="AA4523">
        <v>0.99876779999999998</v>
      </c>
      <c r="AB4523">
        <v>34</v>
      </c>
      <c r="AC4523">
        <v>-62.496099999999899</v>
      </c>
      <c r="AD4523">
        <v>-1.105282040451</v>
      </c>
      <c r="AE4523">
        <v>2.2343999999999902</v>
      </c>
      <c r="AF4523">
        <v>3.1205079975600798</v>
      </c>
      <c r="AG4523">
        <v>-1.105282040451</v>
      </c>
      <c r="AH4523">
        <v>62.438572501415202</v>
      </c>
      <c r="AI4523">
        <v>91.012874968238094</v>
      </c>
      <c r="AJ4523">
        <v>87.138895141065802</v>
      </c>
      <c r="AK4523">
        <v>62.5262709152422</v>
      </c>
    </row>
    <row r="4524" spans="1:37" x14ac:dyDescent="0.2">
      <c r="A4524" t="str">
        <f>"20200111155640424"</f>
        <v>20200111155640424</v>
      </c>
      <c r="B4524" t="str">
        <f>"1578729400417593"</f>
        <v>1578729400417593</v>
      </c>
      <c r="C4524" t="s">
        <v>37</v>
      </c>
      <c r="D4524">
        <v>4.6414689999999998</v>
      </c>
      <c r="E4524">
        <v>0.53638819999999998</v>
      </c>
      <c r="F4524" t="s">
        <v>38</v>
      </c>
      <c r="G4524">
        <v>-334.2688</v>
      </c>
      <c r="H4524" s="1">
        <v>-3.7766500000000001E-6</v>
      </c>
      <c r="I4524">
        <v>143.70169999999999</v>
      </c>
      <c r="J4524">
        <v>-271.45949999999999</v>
      </c>
      <c r="K4524">
        <v>1.1052709999999999</v>
      </c>
      <c r="L4524">
        <v>141.4264</v>
      </c>
      <c r="M4524">
        <v>-0.99978769999999995</v>
      </c>
      <c r="N4524">
        <v>0</v>
      </c>
      <c r="O4524">
        <v>-1.470809E-2</v>
      </c>
      <c r="P4524">
        <v>-0.99780840000000004</v>
      </c>
      <c r="Q4524">
        <v>3.42159E-2</v>
      </c>
      <c r="R4524">
        <v>-5.6640049999999997E-2</v>
      </c>
      <c r="S4524">
        <v>-3.014221</v>
      </c>
      <c r="T4524">
        <v>-5.2758569999999998E-2</v>
      </c>
      <c r="U4524">
        <v>0.1083527</v>
      </c>
      <c r="V4524">
        <v>-4.2014339999999997E-2</v>
      </c>
      <c r="W4524">
        <v>4.8577559999999999E-2</v>
      </c>
      <c r="X4524">
        <v>0.99793539999999903</v>
      </c>
      <c r="Y4524">
        <v>5.0610210000000003E-2</v>
      </c>
      <c r="Z4524">
        <v>7.0011699999999999E-4</v>
      </c>
      <c r="AA4524">
        <v>0.99871829999999995</v>
      </c>
      <c r="AB4524">
        <v>34</v>
      </c>
      <c r="AC4524">
        <v>-62.8093</v>
      </c>
      <c r="AD4524">
        <v>-1.10527477665</v>
      </c>
      <c r="AE4524">
        <v>2.2752999999999801</v>
      </c>
      <c r="AF4524">
        <v>3.1979658614411002</v>
      </c>
      <c r="AG4524">
        <v>-1.10527477665</v>
      </c>
      <c r="AH4524">
        <v>62.749629793348902</v>
      </c>
      <c r="AI4524">
        <v>91.007798395382693</v>
      </c>
      <c r="AJ4524">
        <v>87.082507758189195</v>
      </c>
      <c r="AK4524">
        <v>62.840788164894803</v>
      </c>
    </row>
    <row r="4525" spans="1:37" x14ac:dyDescent="0.2">
      <c r="A4525" t="str">
        <f>"20200111155640438"</f>
        <v>20200111155640438</v>
      </c>
      <c r="B4525" t="str">
        <f>"1578729400427354"</f>
        <v>1578729400427354</v>
      </c>
      <c r="C4525" t="s">
        <v>37</v>
      </c>
      <c r="D4525">
        <v>4.7113120000000004</v>
      </c>
      <c r="E4525">
        <v>0.53670739999999995</v>
      </c>
      <c r="F4525" t="s">
        <v>38</v>
      </c>
      <c r="G4525">
        <v>-337.22840000000002</v>
      </c>
      <c r="H4525" s="1">
        <v>-2.41642799999999E-6</v>
      </c>
      <c r="I4525">
        <v>143.8475</v>
      </c>
      <c r="J4525">
        <v>-271.68020000000001</v>
      </c>
      <c r="K4525">
        <v>1.105262</v>
      </c>
      <c r="L4525">
        <v>141.4228</v>
      </c>
      <c r="M4525">
        <v>-0.99978279999999997</v>
      </c>
      <c r="N4525">
        <v>0</v>
      </c>
      <c r="O4525">
        <v>-1.5031569999999999E-2</v>
      </c>
      <c r="P4525">
        <v>-0.99776299999999996</v>
      </c>
      <c r="Q4525">
        <v>3.4721269999999999E-2</v>
      </c>
      <c r="R4525">
        <v>-5.7129399999999997E-2</v>
      </c>
      <c r="S4525">
        <v>-3.01464799999999</v>
      </c>
      <c r="T4525">
        <v>-5.0662400000000003E-2</v>
      </c>
      <c r="U4525">
        <v>0.1109772</v>
      </c>
      <c r="V4525">
        <v>-4.2180299999999997E-2</v>
      </c>
      <c r="W4525">
        <v>4.9098129999999997E-2</v>
      </c>
      <c r="X4525">
        <v>0.99790290000000004</v>
      </c>
      <c r="Y4525">
        <v>5.1797099999999999E-2</v>
      </c>
      <c r="Z4525">
        <v>6.8760269999999996E-4</v>
      </c>
      <c r="AA4525">
        <v>0.99865740000000003</v>
      </c>
      <c r="AB4525">
        <v>34</v>
      </c>
      <c r="AC4525">
        <v>-65.548199999999994</v>
      </c>
      <c r="AD4525">
        <v>-1.1052644164280001</v>
      </c>
      <c r="AE4525">
        <v>2.4247000000000001</v>
      </c>
      <c r="AF4525">
        <v>3.4088531533884199</v>
      </c>
      <c r="AG4525">
        <v>-1.1052644164280001</v>
      </c>
      <c r="AH4525">
        <v>65.485748333685095</v>
      </c>
      <c r="AI4525">
        <v>90.965635655705498</v>
      </c>
      <c r="AJ4525">
        <v>87.020164294476203</v>
      </c>
      <c r="AK4525">
        <v>65.583726061229001</v>
      </c>
    </row>
    <row r="4526" spans="1:37" x14ac:dyDescent="0.2">
      <c r="A4526" t="str">
        <f>"20200111155640453"</f>
        <v>20200111155640453</v>
      </c>
      <c r="B4526" t="str">
        <f>"1578729400447849"</f>
        <v>1578729400447849</v>
      </c>
      <c r="C4526" t="s">
        <v>37</v>
      </c>
      <c r="D4526">
        <v>4.6620480000000004</v>
      </c>
      <c r="E4526">
        <v>0.53726450000000003</v>
      </c>
      <c r="F4526" t="s">
        <v>38</v>
      </c>
      <c r="G4526">
        <v>-339.76760000000002</v>
      </c>
      <c r="H4526" s="1">
        <v>-1.244464E-6</v>
      </c>
      <c r="I4526">
        <v>143.9539</v>
      </c>
      <c r="J4526">
        <v>-271.92230000000001</v>
      </c>
      <c r="K4526">
        <v>1.1052519999999999</v>
      </c>
      <c r="L4526">
        <v>141.4188</v>
      </c>
      <c r="M4526">
        <v>-0.99977739999999904</v>
      </c>
      <c r="N4526">
        <v>0</v>
      </c>
      <c r="O4526">
        <v>-1.5367520000000001E-2</v>
      </c>
      <c r="P4526">
        <v>-0.99771960000000004</v>
      </c>
      <c r="Q4526">
        <v>3.5139549999999999E-2</v>
      </c>
      <c r="R4526">
        <v>-5.7628329999999998E-2</v>
      </c>
      <c r="S4526">
        <v>-3.0148619999999999</v>
      </c>
      <c r="T4526">
        <v>-4.8940299999999999E-2</v>
      </c>
      <c r="U4526">
        <v>0.1120758</v>
      </c>
      <c r="V4526">
        <v>-4.2342600000000001E-2</v>
      </c>
      <c r="W4526">
        <v>4.9530570000000003E-2</v>
      </c>
      <c r="X4526">
        <v>0.997874699999999</v>
      </c>
      <c r="Y4526">
        <v>5.2493980000000003E-2</v>
      </c>
      <c r="Z4526">
        <v>6.7528779999999995E-4</v>
      </c>
      <c r="AA4526">
        <v>0.99862099999999898</v>
      </c>
      <c r="AB4526">
        <v>34</v>
      </c>
      <c r="AC4526">
        <v>-67.845299999999995</v>
      </c>
      <c r="AD4526">
        <v>-1.105253244464</v>
      </c>
      <c r="AE4526">
        <v>2.5350999999999999</v>
      </c>
      <c r="AF4526">
        <v>3.5765756809265699</v>
      </c>
      <c r="AG4526">
        <v>-1.105253244464</v>
      </c>
      <c r="AH4526">
        <v>67.780361255445499</v>
      </c>
      <c r="AI4526">
        <v>90.932907086225299</v>
      </c>
      <c r="AJ4526">
        <v>86.979467040971102</v>
      </c>
      <c r="AK4526">
        <v>67.883656724240197</v>
      </c>
    </row>
    <row r="4527" spans="1:37" x14ac:dyDescent="0.2">
      <c r="A4527" t="str">
        <f>"20200111155640481"</f>
        <v>20200111155640481</v>
      </c>
      <c r="B4527" t="str">
        <f>"1578729400467369"</f>
        <v>1578729400467369</v>
      </c>
      <c r="C4527" t="s">
        <v>37</v>
      </c>
      <c r="D4527">
        <v>4.635942</v>
      </c>
      <c r="E4527">
        <v>0.53780779999999995</v>
      </c>
      <c r="F4527" t="s">
        <v>38</v>
      </c>
      <c r="G4527">
        <v>-342.33150000000001</v>
      </c>
      <c r="H4527" s="1">
        <v>-4.2787229999999998E-6</v>
      </c>
      <c r="I4527">
        <v>144.10429999999999</v>
      </c>
      <c r="J4527">
        <v>-272.3141</v>
      </c>
      <c r="K4527">
        <v>1.1052280000000001</v>
      </c>
      <c r="L4527">
        <v>141.41220000000001</v>
      </c>
      <c r="M4527">
        <v>-0.99976919999999903</v>
      </c>
      <c r="N4527">
        <v>0</v>
      </c>
      <c r="O4527">
        <v>-1.588063E-2</v>
      </c>
      <c r="P4527">
        <v>-0.99768429999999997</v>
      </c>
      <c r="Q4527">
        <v>3.5477849999999998E-2</v>
      </c>
      <c r="R4527">
        <v>-5.8032439999999998E-2</v>
      </c>
      <c r="S4527">
        <v>-3.01513699999999</v>
      </c>
      <c r="T4527">
        <v>-4.7330499999999998E-2</v>
      </c>
      <c r="U4527">
        <v>0.1150055</v>
      </c>
      <c r="V4527">
        <v>-4.2231449999999997E-2</v>
      </c>
      <c r="W4527">
        <v>4.98906E-2</v>
      </c>
      <c r="X4527">
        <v>0.99786140000000001</v>
      </c>
      <c r="Y4527">
        <v>5.3972350000000002E-2</v>
      </c>
      <c r="Z4527">
        <v>6.7265839999999897E-4</v>
      </c>
      <c r="AA4527">
        <v>0.99854219999999905</v>
      </c>
      <c r="AB4527">
        <v>34</v>
      </c>
      <c r="AC4527">
        <v>-70.017399999999995</v>
      </c>
      <c r="AD4527">
        <v>-1.105232278723</v>
      </c>
      <c r="AE4527">
        <v>2.69209999999998</v>
      </c>
      <c r="AF4527">
        <v>3.8028511176253801</v>
      </c>
      <c r="AG4527">
        <v>-1.105232278723</v>
      </c>
      <c r="AH4527">
        <v>69.948408582525801</v>
      </c>
      <c r="AI4527">
        <v>90.903902199742205</v>
      </c>
      <c r="AJ4527">
        <v>86.888091776121797</v>
      </c>
      <c r="AK4527">
        <v>70.060424479450106</v>
      </c>
    </row>
    <row r="4528" spans="1:37" x14ac:dyDescent="0.2">
      <c r="A4528" t="str">
        <f>"20200111155640502"</f>
        <v>20200111155640502</v>
      </c>
      <c r="B4528" t="str">
        <f>"1578729400497625"</f>
        <v>1578729400497625</v>
      </c>
      <c r="C4528" t="s">
        <v>37</v>
      </c>
      <c r="D4528">
        <v>4.795045</v>
      </c>
      <c r="E4528">
        <v>0.53846380000000005</v>
      </c>
      <c r="F4528" t="s">
        <v>38</v>
      </c>
      <c r="G4528">
        <v>-343.43520000000001</v>
      </c>
      <c r="H4528" s="1">
        <v>-3.9185720000000001E-6</v>
      </c>
      <c r="I4528">
        <v>144.19149999999999</v>
      </c>
      <c r="J4528">
        <v>-272.65159999999997</v>
      </c>
      <c r="K4528">
        <v>1.105205</v>
      </c>
      <c r="L4528">
        <v>141.40639999999999</v>
      </c>
      <c r="M4528">
        <v>-0.99976239999999905</v>
      </c>
      <c r="N4528">
        <v>0</v>
      </c>
      <c r="O4528">
        <v>-1.6285020000000001E-2</v>
      </c>
      <c r="P4528">
        <v>-0.99770879999999995</v>
      </c>
      <c r="Q4528">
        <v>3.4904610000000003E-2</v>
      </c>
      <c r="R4528">
        <v>-5.7954940000000003E-2</v>
      </c>
      <c r="S4528">
        <v>-3.0155029999999998</v>
      </c>
      <c r="T4528">
        <v>-4.6861409999999999E-2</v>
      </c>
      <c r="U4528">
        <v>0.11784360000000001</v>
      </c>
      <c r="V4528">
        <v>-4.1745839999999999E-2</v>
      </c>
      <c r="W4528">
        <v>4.9333870000000002E-2</v>
      </c>
      <c r="X4528">
        <v>0.99790949999999901</v>
      </c>
      <c r="Y4528">
        <v>5.5309959999999998E-2</v>
      </c>
      <c r="Z4528">
        <v>6.8257140000000001E-4</v>
      </c>
      <c r="AA4528">
        <v>0.99846900000000005</v>
      </c>
      <c r="AB4528">
        <v>34</v>
      </c>
      <c r="AC4528">
        <v>-70.783600000000007</v>
      </c>
      <c r="AD4528">
        <v>-1.105208918572</v>
      </c>
      <c r="AE4528">
        <v>2.7850999999999999</v>
      </c>
      <c r="AF4528">
        <v>3.9366057146321598</v>
      </c>
      <c r="AG4528">
        <v>-1.105208918572</v>
      </c>
      <c r="AH4528">
        <v>70.711638820028398</v>
      </c>
      <c r="AI4528">
        <v>90.894064596130306</v>
      </c>
      <c r="AJ4528">
        <v>86.813561198823905</v>
      </c>
      <c r="AK4528">
        <v>70.829755159257104</v>
      </c>
    </row>
    <row r="4529" spans="1:37" x14ac:dyDescent="0.2">
      <c r="A4529" t="str">
        <f>"20200111155640524"</f>
        <v>20200111155640524</v>
      </c>
      <c r="B4529" t="str">
        <f>"1578729400517145"</f>
        <v>1578729400517145</v>
      </c>
      <c r="C4529" t="s">
        <v>37</v>
      </c>
      <c r="D4529">
        <v>4.6443029999999998</v>
      </c>
      <c r="E4529">
        <v>0.5385548</v>
      </c>
      <c r="F4529" t="s">
        <v>38</v>
      </c>
      <c r="G4529">
        <v>-345.22300000000001</v>
      </c>
      <c r="H4529" s="1">
        <v>-3.298329E-6</v>
      </c>
      <c r="I4529">
        <v>144.37700000000001</v>
      </c>
      <c r="J4529">
        <v>-273.0027</v>
      </c>
      <c r="K4529">
        <v>1.105183</v>
      </c>
      <c r="L4529">
        <v>141.40029999999999</v>
      </c>
      <c r="M4529">
        <v>-0.99975569999999903</v>
      </c>
      <c r="N4529">
        <v>0</v>
      </c>
      <c r="O4529">
        <v>-1.6679380000000001E-2</v>
      </c>
      <c r="P4529">
        <v>-0.99771259999999995</v>
      </c>
      <c r="Q4529">
        <v>3.4551129999999999E-2</v>
      </c>
      <c r="R4529">
        <v>-5.8101569999999998E-2</v>
      </c>
      <c r="S4529">
        <v>-3.0156559999999999</v>
      </c>
      <c r="T4529">
        <v>-4.5926210000000002E-2</v>
      </c>
      <c r="U4529">
        <v>0.1234436</v>
      </c>
      <c r="V4529">
        <v>-4.1495280000000002E-2</v>
      </c>
      <c r="W4529">
        <v>4.899477E-2</v>
      </c>
      <c r="X4529">
        <v>0.99793670000000001</v>
      </c>
      <c r="Y4529">
        <v>5.7552890000000002E-2</v>
      </c>
      <c r="Z4529">
        <v>6.9196839999999997E-4</v>
      </c>
      <c r="AA4529">
        <v>0.99834219999999896</v>
      </c>
      <c r="AB4529">
        <v>34</v>
      </c>
      <c r="AC4529">
        <v>-72.220299999999995</v>
      </c>
      <c r="AD4529">
        <v>-1.1051862983289999</v>
      </c>
      <c r="AE4529">
        <v>2.9767000000000201</v>
      </c>
      <c r="AF4529">
        <v>4.1800251318044701</v>
      </c>
      <c r="AG4529">
        <v>-1.1051862983289999</v>
      </c>
      <c r="AH4529">
        <v>72.143730481314194</v>
      </c>
      <c r="AI4529">
        <v>90.876189238711902</v>
      </c>
      <c r="AJ4529">
        <v>86.683976119589502</v>
      </c>
      <c r="AK4529">
        <v>72.273175484525595</v>
      </c>
    </row>
    <row r="4530" spans="1:37" x14ac:dyDescent="0.2">
      <c r="A4530" t="str">
        <f>"20200111155640546"</f>
        <v>20200111155640546</v>
      </c>
      <c r="B4530" t="str">
        <f>"1578729400537641"</f>
        <v>1578729400537641</v>
      </c>
      <c r="C4530" t="s">
        <v>37</v>
      </c>
      <c r="D4530">
        <v>4.6987639999999997</v>
      </c>
      <c r="E4530">
        <v>0.55080499999999999</v>
      </c>
      <c r="F4530" t="s">
        <v>38</v>
      </c>
      <c r="G4530">
        <v>-345.97660000000002</v>
      </c>
      <c r="H4530" s="1">
        <v>-2.9807269999999998E-6</v>
      </c>
      <c r="I4530">
        <v>144.39840000000001</v>
      </c>
      <c r="J4530">
        <v>-273.32190000000003</v>
      </c>
      <c r="K4530">
        <v>1.1051660000000001</v>
      </c>
      <c r="L4530">
        <v>141.3946</v>
      </c>
      <c r="M4530">
        <v>-0.99975009999999997</v>
      </c>
      <c r="N4530">
        <v>0</v>
      </c>
      <c r="O4530">
        <v>-1.7014069999999999E-2</v>
      </c>
      <c r="P4530">
        <v>-0.99771790000000005</v>
      </c>
      <c r="Q4530">
        <v>3.4612610000000002E-2</v>
      </c>
      <c r="R4530">
        <v>-5.7976470000000002E-2</v>
      </c>
      <c r="S4530">
        <v>-3.0156559999999999</v>
      </c>
      <c r="T4530">
        <v>-4.5671940000000001E-2</v>
      </c>
      <c r="U4530">
        <v>0.12390139999999999</v>
      </c>
      <c r="V4530">
        <v>-4.1032599999999898E-2</v>
      </c>
      <c r="W4530">
        <v>4.9067159999999999E-2</v>
      </c>
      <c r="X4530">
        <v>0.99795230000000001</v>
      </c>
      <c r="Y4530">
        <v>5.8038390000000002E-2</v>
      </c>
      <c r="Z4530">
        <v>6.9687769999999996E-4</v>
      </c>
      <c r="AA4530">
        <v>0.99831409999999998</v>
      </c>
      <c r="AB4530">
        <v>34</v>
      </c>
      <c r="AC4530">
        <v>-72.654699999999906</v>
      </c>
      <c r="AD4530">
        <v>-1.105168980727</v>
      </c>
      <c r="AE4530">
        <v>3.0038000000000098</v>
      </c>
      <c r="AF4530">
        <v>4.2386681585368304</v>
      </c>
      <c r="AG4530">
        <v>-1.105168980727</v>
      </c>
      <c r="AH4530">
        <v>72.576304590011802</v>
      </c>
      <c r="AI4530">
        <v>90.8709307203018</v>
      </c>
      <c r="AJ4530">
        <v>86.657555933442296</v>
      </c>
      <c r="AK4530">
        <v>72.70837430569</v>
      </c>
    </row>
    <row r="4531" spans="1:37" x14ac:dyDescent="0.2">
      <c r="A4531" t="str">
        <f>"20200111155640567"</f>
        <v>20200111155640567</v>
      </c>
      <c r="B4531" t="str">
        <f>"1578729400557161"</f>
        <v>1578729400557161</v>
      </c>
      <c r="C4531" t="s">
        <v>37</v>
      </c>
      <c r="D4531">
        <v>4.6423500000000004</v>
      </c>
      <c r="E4531">
        <v>0.55026370000000002</v>
      </c>
      <c r="F4531" t="s">
        <v>38</v>
      </c>
      <c r="G4531">
        <v>-338.79390000000001</v>
      </c>
      <c r="H4531" s="1">
        <v>-2.3016760000000001E-6</v>
      </c>
      <c r="I4531">
        <v>146.19739999999999</v>
      </c>
      <c r="J4531">
        <v>-273.65190000000001</v>
      </c>
      <c r="K4531">
        <v>1.1051500000000001</v>
      </c>
      <c r="L4531">
        <v>141.3887</v>
      </c>
      <c r="M4531">
        <v>-0.99974439999999998</v>
      </c>
      <c r="N4531">
        <v>0</v>
      </c>
      <c r="O4531">
        <v>-1.7334080000000002E-2</v>
      </c>
      <c r="P4531">
        <v>-0.99772830000000001</v>
      </c>
      <c r="Q4531">
        <v>3.4277050000000003E-2</v>
      </c>
      <c r="R4531">
        <v>-5.7997350000000003E-2</v>
      </c>
      <c r="S4531">
        <v>-3.0215450000000001</v>
      </c>
      <c r="T4531">
        <v>-5.1003689999999997E-2</v>
      </c>
      <c r="U4531">
        <v>0.22164919999999999</v>
      </c>
      <c r="V4531">
        <v>-4.0730130000000003E-2</v>
      </c>
      <c r="W4531">
        <v>4.8741390000000002E-2</v>
      </c>
      <c r="X4531">
        <v>0.99798069999999905</v>
      </c>
      <c r="Y4531">
        <v>9.0422829999999996E-2</v>
      </c>
      <c r="Z4531">
        <v>1.0543429999999999E-3</v>
      </c>
      <c r="AA4531">
        <v>0.99590290000000004</v>
      </c>
      <c r="AB4531">
        <v>34</v>
      </c>
      <c r="AC4531">
        <v>-65.141999999999996</v>
      </c>
      <c r="AD4531">
        <v>-1.1051523016760001</v>
      </c>
      <c r="AE4531">
        <v>4.8086999999999804</v>
      </c>
      <c r="AF4531">
        <v>5.9355738320239304</v>
      </c>
      <c r="AG4531">
        <v>-1.1051523016760001</v>
      </c>
      <c r="AH4531">
        <v>65.030231802128895</v>
      </c>
      <c r="AI4531">
        <v>90.969586262714699</v>
      </c>
      <c r="AJ4531">
        <v>84.784831507313896</v>
      </c>
      <c r="AK4531">
        <v>65.309903127810003</v>
      </c>
    </row>
    <row r="4532" spans="1:37" x14ac:dyDescent="0.2">
      <c r="A4532" t="str">
        <f>"20200111155640591"</f>
        <v>20200111155640591</v>
      </c>
      <c r="B4532" t="str">
        <f>"1578729400587417"</f>
        <v>1578729400587417</v>
      </c>
      <c r="C4532" t="s">
        <v>37</v>
      </c>
      <c r="D4532">
        <v>4.6644569999999996</v>
      </c>
      <c r="E4532">
        <v>0.54972619999999905</v>
      </c>
      <c r="F4532" t="s">
        <v>38</v>
      </c>
      <c r="G4532">
        <v>-337.35750000000002</v>
      </c>
      <c r="H4532" s="1">
        <v>-2.9196269999999899E-6</v>
      </c>
      <c r="I4532">
        <v>145.96799999999999</v>
      </c>
      <c r="J4532">
        <v>-273.99889999999999</v>
      </c>
      <c r="K4532">
        <v>1.1051219999999999</v>
      </c>
      <c r="L4532">
        <v>141.38229999999999</v>
      </c>
      <c r="M4532">
        <v>-0.99973889999999999</v>
      </c>
      <c r="N4532">
        <v>0</v>
      </c>
      <c r="O4532">
        <v>-1.764191E-2</v>
      </c>
      <c r="P4532">
        <v>-0.99771149999999997</v>
      </c>
      <c r="Q4532">
        <v>3.4105370000000003E-2</v>
      </c>
      <c r="R4532">
        <v>-5.8383659999999997E-2</v>
      </c>
      <c r="S4532">
        <v>-3.021271</v>
      </c>
      <c r="T4532">
        <v>-5.2412390000000003E-2</v>
      </c>
      <c r="U4532">
        <v>0.21717829999999999</v>
      </c>
      <c r="V4532">
        <v>-4.0806599999999998E-2</v>
      </c>
      <c r="W4532">
        <v>4.8577559999999999E-2</v>
      </c>
      <c r="X4532">
        <v>0.99798549999999997</v>
      </c>
      <c r="Y4532">
        <v>8.9269329999999994E-2</v>
      </c>
      <c r="Z4532">
        <v>1.078957E-3</v>
      </c>
      <c r="AA4532">
        <v>0.99600699999999998</v>
      </c>
      <c r="AB4532">
        <v>34</v>
      </c>
      <c r="AC4532">
        <v>-63.358600000000003</v>
      </c>
      <c r="AD4532">
        <v>-1.1051249196269901</v>
      </c>
      <c r="AE4532">
        <v>4.5857000000000001</v>
      </c>
      <c r="AF4532">
        <v>5.7011453184167404</v>
      </c>
      <c r="AG4532">
        <v>-1.1051249196269901</v>
      </c>
      <c r="AH4532">
        <v>63.248686047775401</v>
      </c>
      <c r="AI4532">
        <v>90.996968597152502</v>
      </c>
      <c r="AJ4532">
        <v>84.849360572008294</v>
      </c>
      <c r="AK4532">
        <v>63.514727786551497</v>
      </c>
    </row>
    <row r="4533" spans="1:37" x14ac:dyDescent="0.2">
      <c r="A4533" t="str">
        <f>"20200111155640614"</f>
        <v>20200111155640614</v>
      </c>
      <c r="B4533" t="str">
        <f>"1578729400607913"</f>
        <v>1578729400607913</v>
      </c>
      <c r="C4533" t="s">
        <v>37</v>
      </c>
      <c r="D4533">
        <v>4.705756</v>
      </c>
      <c r="E4533">
        <v>0.54924910000000005</v>
      </c>
      <c r="F4533" t="s">
        <v>38</v>
      </c>
      <c r="G4533">
        <v>-348.51870000000002</v>
      </c>
      <c r="H4533" s="1">
        <v>-2.4805900000000002E-6</v>
      </c>
      <c r="I4533">
        <v>146.6173</v>
      </c>
      <c r="J4533">
        <v>-274.35300000000001</v>
      </c>
      <c r="K4533">
        <v>1.1051010000000001</v>
      </c>
      <c r="L4533">
        <v>141.37569999999999</v>
      </c>
      <c r="M4533">
        <v>-0.99973389999999995</v>
      </c>
      <c r="N4533">
        <v>0</v>
      </c>
      <c r="O4533">
        <v>-1.7926689999999999E-2</v>
      </c>
      <c r="P4533">
        <v>-0.99767790000000001</v>
      </c>
      <c r="Q4533">
        <v>3.3777920000000003E-2</v>
      </c>
      <c r="R4533">
        <v>-5.9147249999999998E-2</v>
      </c>
      <c r="S4533">
        <v>-3.0208740000000001</v>
      </c>
      <c r="T4533">
        <v>-4.4799449999999998E-2</v>
      </c>
      <c r="U4533">
        <v>0.2122192</v>
      </c>
      <c r="V4533">
        <v>-4.1282640000000002E-2</v>
      </c>
      <c r="W4533">
        <v>4.8257029999999999E-2</v>
      </c>
      <c r="X4533">
        <v>0.99798149999999997</v>
      </c>
      <c r="Y4533">
        <v>8.7939890000000007E-2</v>
      </c>
      <c r="Z4533">
        <v>9.1680389999999998E-4</v>
      </c>
      <c r="AA4533">
        <v>0.99612529999999999</v>
      </c>
      <c r="AB4533">
        <v>34</v>
      </c>
      <c r="AC4533">
        <v>-74.165700000000001</v>
      </c>
      <c r="AD4533">
        <v>-1.10510348059</v>
      </c>
      <c r="AE4533">
        <v>5.2416</v>
      </c>
      <c r="AF4533">
        <v>6.5689919378764801</v>
      </c>
      <c r="AG4533">
        <v>-1.10510348059</v>
      </c>
      <c r="AH4533">
        <v>74.043447203150805</v>
      </c>
      <c r="AI4533">
        <v>90.851735020825899</v>
      </c>
      <c r="AJ4533">
        <v>84.930102604764699</v>
      </c>
      <c r="AK4533">
        <v>74.342484371377296</v>
      </c>
    </row>
    <row r="4534" spans="1:37" x14ac:dyDescent="0.2">
      <c r="A4534" t="str">
        <f>"20200111155640636"</f>
        <v>20200111155640636</v>
      </c>
      <c r="B4534" t="str">
        <f>"1578729400627432"</f>
        <v>1578729400627432</v>
      </c>
      <c r="C4534" t="s">
        <v>37</v>
      </c>
      <c r="D4534">
        <v>4.7478309999999997</v>
      </c>
      <c r="E4534">
        <v>0.54914640000000003</v>
      </c>
      <c r="F4534" t="s">
        <v>38</v>
      </c>
      <c r="G4534">
        <v>-349.69540000000001</v>
      </c>
      <c r="H4534" s="1">
        <v>-1.949089E-6</v>
      </c>
      <c r="I4534">
        <v>146.517</v>
      </c>
      <c r="J4534">
        <v>-274.68360000000001</v>
      </c>
      <c r="K4534">
        <v>1.1050709999999999</v>
      </c>
      <c r="L4534">
        <v>141.36949999999999</v>
      </c>
      <c r="M4534">
        <v>-0.99972950000000005</v>
      </c>
      <c r="N4534">
        <v>0</v>
      </c>
      <c r="O4534">
        <v>-1.8165000000000001E-2</v>
      </c>
      <c r="P4534">
        <v>-0.99762489999999904</v>
      </c>
      <c r="Q4534">
        <v>3.4120850000000001E-2</v>
      </c>
      <c r="R4534">
        <v>-5.9838429999999998E-2</v>
      </c>
      <c r="S4534">
        <v>-3.0206909999999998</v>
      </c>
      <c r="T4534">
        <v>-4.4306760000000001E-2</v>
      </c>
      <c r="U4534">
        <v>0.20613099999999901</v>
      </c>
      <c r="V4534">
        <v>-4.1733529999999998E-2</v>
      </c>
      <c r="W4534">
        <v>4.8604710000000002E-2</v>
      </c>
      <c r="X4534">
        <v>0.99794579999999999</v>
      </c>
      <c r="Y4534">
        <v>8.6183709999999997E-2</v>
      </c>
      <c r="Z4534">
        <v>8.9746719999999995E-4</v>
      </c>
      <c r="AA4534">
        <v>0.99627889999999997</v>
      </c>
      <c r="AB4534">
        <v>34</v>
      </c>
      <c r="AC4534">
        <v>-75.011799999999994</v>
      </c>
      <c r="AD4534">
        <v>-1.1050729490889999</v>
      </c>
      <c r="AE4534">
        <v>5.1475</v>
      </c>
      <c r="AF4534">
        <v>6.5079777770054497</v>
      </c>
      <c r="AG4534">
        <v>-1.1050729490889999</v>
      </c>
      <c r="AH4534">
        <v>74.889729198678495</v>
      </c>
      <c r="AI4534">
        <v>90.842221565525094</v>
      </c>
      <c r="AJ4534">
        <v>85.033427645869196</v>
      </c>
      <c r="AK4534">
        <v>75.180093777676305</v>
      </c>
    </row>
    <row r="4535" spans="1:37" x14ac:dyDescent="0.2">
      <c r="A4535" t="str">
        <f>"20200111155640657"</f>
        <v>20200111155640657</v>
      </c>
      <c r="B4535" t="str">
        <f>"1578729400646953"</f>
        <v>1578729400646953</v>
      </c>
      <c r="C4535" t="s">
        <v>37</v>
      </c>
      <c r="D4535">
        <v>4.8452330000000003</v>
      </c>
      <c r="E4535">
        <v>0.54864440000000003</v>
      </c>
      <c r="F4535" t="s">
        <v>38</v>
      </c>
      <c r="G4535">
        <v>-351.1583</v>
      </c>
      <c r="H4535" s="1">
        <v>-5.1051450000000002E-6</v>
      </c>
      <c r="I4535">
        <v>146.51259999999999</v>
      </c>
      <c r="J4535">
        <v>-275.00760000000002</v>
      </c>
      <c r="K4535">
        <v>1.105056</v>
      </c>
      <c r="L4535">
        <v>141.36340000000001</v>
      </c>
      <c r="M4535">
        <v>-0.9997258</v>
      </c>
      <c r="N4535">
        <v>0</v>
      </c>
      <c r="O4535">
        <v>-1.8369659999999999E-2</v>
      </c>
      <c r="P4535">
        <v>-0.99757209999999996</v>
      </c>
      <c r="Q4535">
        <v>3.4376820000000002E-2</v>
      </c>
      <c r="R4535">
        <v>-6.0567419999999997E-2</v>
      </c>
      <c r="S4535">
        <v>-3.0207820000000001</v>
      </c>
      <c r="T4535">
        <v>-4.3650979999999999E-2</v>
      </c>
      <c r="U4535">
        <v>0.20315549999999999</v>
      </c>
      <c r="V4535">
        <v>-4.2255960000000002E-2</v>
      </c>
      <c r="W4535">
        <v>4.8864280000000003E-2</v>
      </c>
      <c r="X4535">
        <v>0.997911199999999</v>
      </c>
      <c r="Y4535">
        <v>8.5409109999999996E-2</v>
      </c>
      <c r="Z4535">
        <v>8.8155220000000003E-4</v>
      </c>
      <c r="AA4535">
        <v>0.99634560000000005</v>
      </c>
      <c r="AB4535">
        <v>34</v>
      </c>
      <c r="AC4535">
        <v>-76.150699999999901</v>
      </c>
      <c r="AD4535">
        <v>-1.1050611051449999</v>
      </c>
      <c r="AE4535">
        <v>5.1491999999999702</v>
      </c>
      <c r="AF4535">
        <v>6.5459687461184703</v>
      </c>
      <c r="AG4535">
        <v>-1.1050611051449999</v>
      </c>
      <c r="AH4535">
        <v>76.027311618628104</v>
      </c>
      <c r="AI4535">
        <v>90.829669464652696</v>
      </c>
      <c r="AJ4535">
        <v>85.078956769627595</v>
      </c>
      <c r="AK4535">
        <v>76.316597007644802</v>
      </c>
    </row>
    <row r="4536" spans="1:37" x14ac:dyDescent="0.2">
      <c r="A4536" t="str">
        <f>"20200111155640681"</f>
        <v>20200111155640681</v>
      </c>
      <c r="B4536" t="str">
        <f>"1578729400677209"</f>
        <v>1578729400677209</v>
      </c>
      <c r="C4536" t="s">
        <v>37</v>
      </c>
      <c r="D4536">
        <v>4.5907330000000002</v>
      </c>
      <c r="E4536">
        <v>0.54908349999999995</v>
      </c>
      <c r="F4536" t="s">
        <v>38</v>
      </c>
      <c r="G4536">
        <v>-353.21039999999999</v>
      </c>
      <c r="H4536" s="1">
        <v>-4.3976939999999997E-6</v>
      </c>
      <c r="I4536">
        <v>146.46119999999999</v>
      </c>
      <c r="J4536">
        <v>-275.3571</v>
      </c>
      <c r="K4536">
        <v>1.1050329999999999</v>
      </c>
      <c r="L4536">
        <v>141.35679999999999</v>
      </c>
      <c r="M4536">
        <v>-0.99972220000000001</v>
      </c>
      <c r="N4536">
        <v>0</v>
      </c>
      <c r="O4536">
        <v>-1.855205E-2</v>
      </c>
      <c r="P4536">
        <v>-0.99751469999999898</v>
      </c>
      <c r="Q4536">
        <v>3.5775950000000001E-2</v>
      </c>
      <c r="R4536">
        <v>-6.0701350000000001E-2</v>
      </c>
      <c r="S4536">
        <v>-3.020721</v>
      </c>
      <c r="T4536">
        <v>-4.268491E-2</v>
      </c>
      <c r="U4536">
        <v>0.1969147</v>
      </c>
      <c r="V4536">
        <v>-4.2205909999999999E-2</v>
      </c>
      <c r="W4536">
        <v>5.026779E-2</v>
      </c>
      <c r="X4536">
        <v>0.99784359999999905</v>
      </c>
      <c r="Y4536">
        <v>8.3543259999999994E-2</v>
      </c>
      <c r="Z4536">
        <v>8.5152579999999995E-4</v>
      </c>
      <c r="AA4536">
        <v>0.99650380000000005</v>
      </c>
      <c r="AB4536">
        <v>34</v>
      </c>
      <c r="AC4536">
        <v>-77.853299999999905</v>
      </c>
      <c r="AD4536">
        <v>-1.105037397694</v>
      </c>
      <c r="AE4536">
        <v>5.1043999999999903</v>
      </c>
      <c r="AF4536">
        <v>6.5466990047384099</v>
      </c>
      <c r="AG4536">
        <v>-1.105037397694</v>
      </c>
      <c r="AH4536">
        <v>77.729598427929005</v>
      </c>
      <c r="AI4536">
        <v>90.811613381237805</v>
      </c>
      <c r="AJ4536">
        <v>85.185681601396496</v>
      </c>
      <c r="AK4536">
        <v>78.012632613417495</v>
      </c>
    </row>
    <row r="4537" spans="1:37" x14ac:dyDescent="0.2">
      <c r="A4537" t="str">
        <f>"20200111155640702"</f>
        <v>20200111155640702</v>
      </c>
      <c r="B4537" t="str">
        <f>"1578729400697705"</f>
        <v>1578729400697705</v>
      </c>
      <c r="C4537" t="s">
        <v>37</v>
      </c>
      <c r="D4537">
        <v>4.5218910000000001</v>
      </c>
      <c r="E4537">
        <v>0.54952959999999995</v>
      </c>
      <c r="F4537" t="s">
        <v>38</v>
      </c>
      <c r="G4537">
        <v>-360.53530000000001</v>
      </c>
      <c r="H4537" s="1">
        <v>-5.4028909999999999E-6</v>
      </c>
      <c r="I4537">
        <v>146.99600000000001</v>
      </c>
      <c r="J4537">
        <v>-275.6891</v>
      </c>
      <c r="K4537">
        <v>1.105003</v>
      </c>
      <c r="L4537">
        <v>141.35040000000001</v>
      </c>
      <c r="M4537">
        <v>-0.99971980000000005</v>
      </c>
      <c r="N4537">
        <v>0</v>
      </c>
      <c r="O4537">
        <v>-1.8686020000000001E-2</v>
      </c>
      <c r="P4537">
        <v>-0.99747280000000005</v>
      </c>
      <c r="Q4537">
        <v>3.6218889999999997E-2</v>
      </c>
      <c r="R4537">
        <v>-6.1128259999999997E-2</v>
      </c>
      <c r="S4537">
        <v>-3.0210270000000001</v>
      </c>
      <c r="T4537">
        <v>-3.9192560000000001E-2</v>
      </c>
      <c r="U4537">
        <v>0.2000122</v>
      </c>
      <c r="V4537">
        <v>-4.2495659999999998E-2</v>
      </c>
      <c r="W4537">
        <v>5.0714009999999997E-2</v>
      </c>
      <c r="X4537">
        <v>0.99780869999999999</v>
      </c>
      <c r="Y4537">
        <v>8.4689070000000005E-2</v>
      </c>
      <c r="Z4537">
        <v>7.9091869999999996E-4</v>
      </c>
      <c r="AA4537">
        <v>0.99640709999999999</v>
      </c>
      <c r="AB4537">
        <v>34</v>
      </c>
      <c r="AC4537">
        <v>-84.846199999999996</v>
      </c>
      <c r="AD4537">
        <v>-1.1050084028910001</v>
      </c>
      <c r="AE4537">
        <v>5.6456</v>
      </c>
      <c r="AF4537">
        <v>7.2289985309609204</v>
      </c>
      <c r="AG4537">
        <v>-1.1050084028910001</v>
      </c>
      <c r="AH4537">
        <v>84.711572794662203</v>
      </c>
      <c r="AI4537">
        <v>90.744638361361595</v>
      </c>
      <c r="AJ4537">
        <v>85.122389583145207</v>
      </c>
      <c r="AK4537">
        <v>85.0266430519073</v>
      </c>
    </row>
    <row r="4538" spans="1:37" x14ac:dyDescent="0.2">
      <c r="A4538" t="str">
        <f>"20200111155640725"</f>
        <v>20200111155640725</v>
      </c>
      <c r="B4538" t="str">
        <f>"1578729400717224"</f>
        <v>1578729400717224</v>
      </c>
      <c r="C4538" t="s">
        <v>37</v>
      </c>
      <c r="D4538">
        <v>4.5411859999999997</v>
      </c>
      <c r="E4538">
        <v>0.5498691</v>
      </c>
      <c r="F4538" t="s">
        <v>38</v>
      </c>
      <c r="G4538">
        <v>-359.80439999999999</v>
      </c>
      <c r="H4538" s="1">
        <v>-2.025249E-6</v>
      </c>
      <c r="I4538">
        <v>146.97890000000001</v>
      </c>
      <c r="J4538">
        <v>-276.02519999999998</v>
      </c>
      <c r="K4538">
        <v>1.1049770000000001</v>
      </c>
      <c r="L4538">
        <v>141.34399999999999</v>
      </c>
      <c r="M4538">
        <v>-0.99971779999999999</v>
      </c>
      <c r="N4538">
        <v>0</v>
      </c>
      <c r="O4538">
        <v>-1.8786730000000001E-2</v>
      </c>
      <c r="P4538">
        <v>-0.99747770000000002</v>
      </c>
      <c r="Q4538">
        <v>3.6361339999999999E-2</v>
      </c>
      <c r="R4538">
        <v>-6.0959850000000003E-2</v>
      </c>
      <c r="S4538">
        <v>-3.021423</v>
      </c>
      <c r="T4538">
        <v>-3.9691810000000001E-2</v>
      </c>
      <c r="U4538">
        <v>0.202179</v>
      </c>
      <c r="V4538">
        <v>-4.2222240000000001E-2</v>
      </c>
      <c r="W4538">
        <v>5.086069E-2</v>
      </c>
      <c r="X4538">
        <v>0.9978129</v>
      </c>
      <c r="Y4538">
        <v>8.5491869999999998E-2</v>
      </c>
      <c r="Z4538">
        <v>8.0745800000000005E-4</v>
      </c>
      <c r="AA4538">
        <v>0.99633850000000002</v>
      </c>
      <c r="AB4538">
        <v>34</v>
      </c>
      <c r="AC4538">
        <v>-83.779200000000003</v>
      </c>
      <c r="AD4538">
        <v>-1.1049790252489999</v>
      </c>
      <c r="AE4538">
        <v>5.6349000000000098</v>
      </c>
      <c r="AF4538">
        <v>7.2067608900887201</v>
      </c>
      <c r="AG4538">
        <v>-1.1049790252489999</v>
      </c>
      <c r="AH4538">
        <v>83.644053733656705</v>
      </c>
      <c r="AI4538">
        <v>90.754067936655701</v>
      </c>
      <c r="AJ4538">
        <v>85.075564545812398</v>
      </c>
      <c r="AK4538">
        <v>83.961217869752204</v>
      </c>
    </row>
    <row r="4539" spans="1:37" x14ac:dyDescent="0.2">
      <c r="A4539" t="str">
        <f>"20200111155640746"</f>
        <v>20200111155640746</v>
      </c>
      <c r="B4539" t="str">
        <f>"1578729400737720"</f>
        <v>1578729400737720</v>
      </c>
      <c r="C4539" t="s">
        <v>37</v>
      </c>
      <c r="D4539">
        <v>4.5212560000000002</v>
      </c>
      <c r="E4539">
        <v>0.55019859999999998</v>
      </c>
      <c r="F4539" t="s">
        <v>38</v>
      </c>
      <c r="G4539">
        <v>-362.00529999999998</v>
      </c>
      <c r="H4539" s="1">
        <v>-4.9367550000000001E-6</v>
      </c>
      <c r="I4539">
        <v>147.18819999999999</v>
      </c>
      <c r="J4539">
        <v>-276.34820000000002</v>
      </c>
      <c r="K4539">
        <v>1.104949</v>
      </c>
      <c r="L4539">
        <v>141.33789999999999</v>
      </c>
      <c r="M4539">
        <v>-0.99971659999999996</v>
      </c>
      <c r="N4539">
        <v>0</v>
      </c>
      <c r="O4539">
        <v>-1.8850169999999999E-2</v>
      </c>
      <c r="P4539">
        <v>-0.99749239999999995</v>
      </c>
      <c r="Q4539">
        <v>3.6415009999999998E-2</v>
      </c>
      <c r="R4539">
        <v>-6.0688819999999997E-2</v>
      </c>
      <c r="S4539">
        <v>-3.0215450000000001</v>
      </c>
      <c r="T4539">
        <v>-3.8831709999999998E-2</v>
      </c>
      <c r="U4539">
        <v>0.20538329999999999</v>
      </c>
      <c r="V4539">
        <v>-4.1883820000000002E-2</v>
      </c>
      <c r="W4539">
        <v>5.0916879999999998E-2</v>
      </c>
      <c r="X4539">
        <v>0.9978243</v>
      </c>
      <c r="Y4539">
        <v>8.6604479999999998E-2</v>
      </c>
      <c r="Z4539">
        <v>7.9785849999999998E-4</v>
      </c>
      <c r="AA4539">
        <v>0.99624249999999903</v>
      </c>
      <c r="AB4539">
        <v>34</v>
      </c>
      <c r="AC4539">
        <v>-85.6570999999999</v>
      </c>
      <c r="AD4539">
        <v>-1.1049539367550001</v>
      </c>
      <c r="AE4539">
        <v>5.8502999999999998</v>
      </c>
      <c r="AF4539">
        <v>7.4628458071589598</v>
      </c>
      <c r="AG4539">
        <v>-1.1049539367550001</v>
      </c>
      <c r="AH4539">
        <v>85.517422102671304</v>
      </c>
      <c r="AI4539">
        <v>90.737463952676094</v>
      </c>
      <c r="AJ4539">
        <v>85.012606192834298</v>
      </c>
      <c r="AK4539">
        <v>85.849545565659398</v>
      </c>
    </row>
    <row r="4540" spans="1:37" x14ac:dyDescent="0.2">
      <c r="A4540" t="str">
        <f>"20200111155640768"</f>
        <v>20200111155640768</v>
      </c>
      <c r="B4540" t="str">
        <f>"1578729400757241"</f>
        <v>1578729400757241</v>
      </c>
      <c r="C4540" t="s">
        <v>37</v>
      </c>
      <c r="D4540">
        <v>4.7530659999999996</v>
      </c>
      <c r="E4540">
        <v>0.55070039999999998</v>
      </c>
      <c r="F4540" t="s">
        <v>38</v>
      </c>
      <c r="G4540">
        <v>-361.0994</v>
      </c>
      <c r="H4540" s="1">
        <v>-5.2467780000000001E-6</v>
      </c>
      <c r="I4540">
        <v>147.19799999999901</v>
      </c>
      <c r="J4540">
        <v>-276.68290000000002</v>
      </c>
      <c r="K4540">
        <v>1.1049199999999999</v>
      </c>
      <c r="L4540">
        <v>141.33150000000001</v>
      </c>
      <c r="M4540">
        <v>-0.99971589999999999</v>
      </c>
      <c r="N4540">
        <v>0</v>
      </c>
      <c r="O4540">
        <v>-1.8887569999999999E-2</v>
      </c>
      <c r="P4540">
        <v>-0.99744469999999996</v>
      </c>
      <c r="Q4540">
        <v>3.7344910000000002E-2</v>
      </c>
      <c r="R4540">
        <v>-6.0905620000000001E-2</v>
      </c>
      <c r="S4540">
        <v>-3.02169799999999</v>
      </c>
      <c r="T4540">
        <v>-3.9395810000000003E-2</v>
      </c>
      <c r="U4540">
        <v>0.2089386</v>
      </c>
      <c r="V4540">
        <v>-4.2060710000000001E-2</v>
      </c>
      <c r="W4540">
        <v>5.1848350000000001E-2</v>
      </c>
      <c r="X4540">
        <v>0.99776880000000001</v>
      </c>
      <c r="Y4540">
        <v>8.7804610000000005E-2</v>
      </c>
      <c r="Z4540">
        <v>8.1767609999999996E-4</v>
      </c>
      <c r="AA4540">
        <v>0.99613739999999995</v>
      </c>
      <c r="AB4540">
        <v>34</v>
      </c>
      <c r="AC4540">
        <v>-84.4164999999999</v>
      </c>
      <c r="AD4540">
        <v>-1.104925246778</v>
      </c>
      <c r="AE4540">
        <v>5.8664999999999701</v>
      </c>
      <c r="AF4540">
        <v>7.4587726660568698</v>
      </c>
      <c r="AG4540">
        <v>-1.104925246778</v>
      </c>
      <c r="AH4540">
        <v>84.2762535328539</v>
      </c>
      <c r="AI4540">
        <v>90.748223505300004</v>
      </c>
      <c r="AJ4540">
        <v>84.942281200650996</v>
      </c>
      <c r="AK4540">
        <v>84.612889437831797</v>
      </c>
    </row>
    <row r="4541" spans="1:37" x14ac:dyDescent="0.2">
      <c r="A4541" t="str">
        <f>"20200111155640792"</f>
        <v>20200111155640792</v>
      </c>
      <c r="B4541" t="str">
        <f>"1578729400787496"</f>
        <v>1578729400787496</v>
      </c>
      <c r="C4541" t="s">
        <v>37</v>
      </c>
      <c r="D4541">
        <v>4.7210710000000002</v>
      </c>
      <c r="E4541">
        <v>0.5509752</v>
      </c>
      <c r="F4541" t="s">
        <v>38</v>
      </c>
      <c r="G4541">
        <v>-367.26690000000002</v>
      </c>
      <c r="H4541" s="1">
        <v>-3.2359280000000001E-6</v>
      </c>
      <c r="I4541">
        <v>147.69390000000001</v>
      </c>
      <c r="J4541">
        <v>-277.03339999999997</v>
      </c>
      <c r="K4541">
        <v>1.1049020000000001</v>
      </c>
      <c r="L4541">
        <v>141.32480000000001</v>
      </c>
      <c r="M4541">
        <v>-0.99971589999999999</v>
      </c>
      <c r="N4541">
        <v>0</v>
      </c>
      <c r="O4541">
        <v>-1.88965E-2</v>
      </c>
      <c r="P4541">
        <v>-0.99740830000000003</v>
      </c>
      <c r="Q4541">
        <v>3.8470289999999997E-2</v>
      </c>
      <c r="R4541">
        <v>-6.0803790000000003E-2</v>
      </c>
      <c r="S4541">
        <v>-3.0220340000000001</v>
      </c>
      <c r="T4541">
        <v>-3.686213E-2</v>
      </c>
      <c r="U4541">
        <v>0.21226500000000001</v>
      </c>
      <c r="V4541">
        <v>-4.1947369999999998E-2</v>
      </c>
      <c r="W4541">
        <v>5.2974510000000002E-2</v>
      </c>
      <c r="X4541">
        <v>0.99771449999999995</v>
      </c>
      <c r="Y4541">
        <v>8.8898060000000001E-2</v>
      </c>
      <c r="Z4541">
        <v>7.7174850000000001E-4</v>
      </c>
      <c r="AA4541">
        <v>0.99604040000000005</v>
      </c>
      <c r="AB4541">
        <v>34</v>
      </c>
      <c r="AC4541">
        <v>-90.233500000000006</v>
      </c>
      <c r="AD4541">
        <v>-1.1049052359280001</v>
      </c>
      <c r="AE4541">
        <v>6.3691000000000004</v>
      </c>
      <c r="AF4541">
        <v>8.0720354986262901</v>
      </c>
      <c r="AG4541">
        <v>-1.1049052359280001</v>
      </c>
      <c r="AH4541">
        <v>90.083578498639298</v>
      </c>
      <c r="AI4541">
        <v>90.699912684328297</v>
      </c>
      <c r="AJ4541">
        <v>84.879625366031604</v>
      </c>
      <c r="AK4541">
        <v>90.451255866306099</v>
      </c>
    </row>
    <row r="4542" spans="1:37" x14ac:dyDescent="0.2">
      <c r="A4542" t="str">
        <f>"20200111155640814"</f>
        <v>20200111155640814</v>
      </c>
      <c r="B4542" t="str">
        <f>"1578729400807017"</f>
        <v>1578729400807017</v>
      </c>
      <c r="C4542" t="s">
        <v>37</v>
      </c>
      <c r="D4542">
        <v>4.644889</v>
      </c>
      <c r="E4542">
        <v>0.55120000000000002</v>
      </c>
      <c r="F4542" t="s">
        <v>38</v>
      </c>
      <c r="G4542">
        <v>-375.77699999999999</v>
      </c>
      <c r="H4542" s="1">
        <v>-3.8575879999999998E-6</v>
      </c>
      <c r="I4542">
        <v>148.34030000000001</v>
      </c>
      <c r="J4542">
        <v>-277.36180000000002</v>
      </c>
      <c r="K4542">
        <v>1.104876</v>
      </c>
      <c r="L4542">
        <v>141.3186</v>
      </c>
      <c r="M4542">
        <v>-0.99971650000000001</v>
      </c>
      <c r="N4542">
        <v>0</v>
      </c>
      <c r="O4542">
        <v>-1.88633E-2</v>
      </c>
      <c r="P4542">
        <v>-0.99739469999999997</v>
      </c>
      <c r="Q4542">
        <v>3.8391830000000002E-2</v>
      </c>
      <c r="R4542">
        <v>-6.1074049999999998E-2</v>
      </c>
      <c r="S4542">
        <v>-3.022186</v>
      </c>
      <c r="T4542">
        <v>-3.3817170000000001E-2</v>
      </c>
      <c r="U4542">
        <v>0.21472169999999999</v>
      </c>
      <c r="V4542">
        <v>-4.2247270000000003E-2</v>
      </c>
      <c r="W4542">
        <v>5.2897380000000001E-2</v>
      </c>
      <c r="X4542">
        <v>0.99770590000000003</v>
      </c>
      <c r="Y4542">
        <v>8.9668299999999895E-2</v>
      </c>
      <c r="Z4542">
        <v>7.1188019999999998E-4</v>
      </c>
      <c r="AA4542">
        <v>0.99597139999999995</v>
      </c>
      <c r="AB4542">
        <v>34</v>
      </c>
      <c r="AC4542">
        <v>-98.415199999999899</v>
      </c>
      <c r="AD4542">
        <v>-1.1048798575879999</v>
      </c>
      <c r="AE4542">
        <v>7.0217000000000098</v>
      </c>
      <c r="AF4542">
        <v>8.87596874155523</v>
      </c>
      <c r="AG4542">
        <v>-1.1048798575879999</v>
      </c>
      <c r="AH4542">
        <v>98.252898079424</v>
      </c>
      <c r="AI4542">
        <v>90.641666292968594</v>
      </c>
      <c r="AJ4542">
        <v>84.838026558338399</v>
      </c>
      <c r="AK4542">
        <v>98.6591889364921</v>
      </c>
    </row>
    <row r="4543" spans="1:37" x14ac:dyDescent="0.2">
      <c r="A4543" t="str">
        <f>"20200111155640837"</f>
        <v>20200111155640837</v>
      </c>
      <c r="B4543" t="str">
        <f>"1578729400827513"</f>
        <v>1578729400827513</v>
      </c>
      <c r="C4543" t="s">
        <v>37</v>
      </c>
      <c r="D4543">
        <v>4.5937019999999897</v>
      </c>
      <c r="E4543">
        <v>0.55144979999999999</v>
      </c>
      <c r="F4543" t="s">
        <v>38</v>
      </c>
      <c r="G4543">
        <v>-375.23820000000001</v>
      </c>
      <c r="H4543" s="1">
        <v>-4.0343529999999996E-6</v>
      </c>
      <c r="I4543">
        <v>148.3031</v>
      </c>
      <c r="J4543">
        <v>-277.69560000000001</v>
      </c>
      <c r="K4543">
        <v>1.1048359999999999</v>
      </c>
      <c r="L4543">
        <v>141.3124</v>
      </c>
      <c r="M4543">
        <v>-0.999718199999999</v>
      </c>
      <c r="N4543">
        <v>0</v>
      </c>
      <c r="O4543">
        <v>-1.8776609999999999E-2</v>
      </c>
      <c r="P4543">
        <v>-0.99744080000000002</v>
      </c>
      <c r="Q4543">
        <v>3.7291900000000003E-2</v>
      </c>
      <c r="R4543">
        <v>-6.1005360000000002E-2</v>
      </c>
      <c r="S4543">
        <v>-3.0224000000000002</v>
      </c>
      <c r="T4543">
        <v>-3.4118410000000002E-2</v>
      </c>
      <c r="U4543">
        <v>0.21568299999999899</v>
      </c>
      <c r="V4543">
        <v>-4.2258740000000003E-2</v>
      </c>
      <c r="W4543">
        <v>5.1800249999999999E-2</v>
      </c>
      <c r="X4543">
        <v>0.99776299999999996</v>
      </c>
      <c r="Y4543">
        <v>8.9892E-2</v>
      </c>
      <c r="Z4543">
        <v>7.1844589999999896E-4</v>
      </c>
      <c r="AA4543">
        <v>0.99595119999999904</v>
      </c>
      <c r="AB4543">
        <v>33</v>
      </c>
      <c r="AC4543">
        <v>-97.542599999999993</v>
      </c>
      <c r="AD4543">
        <v>-1.1048400343529901</v>
      </c>
      <c r="AE4543">
        <v>6.9907000000000004</v>
      </c>
      <c r="AF4543">
        <v>8.8200540967574703</v>
      </c>
      <c r="AG4543">
        <v>-1.1048400343529901</v>
      </c>
      <c r="AH4543">
        <v>97.381694744523202</v>
      </c>
      <c r="AI4543">
        <v>90.647369405791196</v>
      </c>
      <c r="AJ4543">
        <v>84.824727692941295</v>
      </c>
      <c r="AK4543">
        <v>97.786545583156496</v>
      </c>
    </row>
    <row r="4544" spans="1:37" x14ac:dyDescent="0.2">
      <c r="A4544" t="str">
        <f>"20200111155640859"</f>
        <v>20200111155640859</v>
      </c>
      <c r="B4544" t="str">
        <f>"1578729400847033"</f>
        <v>1578729400847033</v>
      </c>
      <c r="C4544" t="s">
        <v>37</v>
      </c>
      <c r="D4544">
        <v>4.7564890000000002</v>
      </c>
      <c r="E4544">
        <v>0.55135769999999995</v>
      </c>
      <c r="F4544" t="s">
        <v>38</v>
      </c>
      <c r="G4544">
        <v>-365.05410000000001</v>
      </c>
      <c r="H4544" s="1">
        <v>-3.9746979999999998E-6</v>
      </c>
      <c r="I4544">
        <v>147.61369999999999</v>
      </c>
      <c r="J4544">
        <v>-278.02510000000001</v>
      </c>
      <c r="K4544">
        <v>1.104779</v>
      </c>
      <c r="L4544">
        <v>141.30629999999999</v>
      </c>
      <c r="M4544">
        <v>-0.99972109999999903</v>
      </c>
      <c r="N4544">
        <v>0</v>
      </c>
      <c r="O4544">
        <v>-1.862629E-2</v>
      </c>
      <c r="P4544">
        <v>-0.99746489999999999</v>
      </c>
      <c r="Q4544">
        <v>3.7234919999999998E-2</v>
      </c>
      <c r="R4544">
        <v>-6.0644429999999999E-2</v>
      </c>
      <c r="S4544">
        <v>-3.0224609999999998</v>
      </c>
      <c r="T4544">
        <v>-3.822565E-2</v>
      </c>
      <c r="U4544">
        <v>0.21801760000000001</v>
      </c>
      <c r="V4544">
        <v>-4.2040950000000001E-2</v>
      </c>
      <c r="W4544">
        <v>5.1747399999999999E-2</v>
      </c>
      <c r="X4544">
        <v>0.99777490000000002</v>
      </c>
      <c r="Y4544">
        <v>9.0504370000000001E-2</v>
      </c>
      <c r="Z4544">
        <v>8.0685719999999998E-4</v>
      </c>
      <c r="AA4544">
        <v>0.99589570000000005</v>
      </c>
      <c r="AB4544">
        <v>33</v>
      </c>
      <c r="AC4544">
        <v>-87.028999999999996</v>
      </c>
      <c r="AD4544">
        <v>-1.104782974698</v>
      </c>
      <c r="AE4544">
        <v>6.3074000000000003</v>
      </c>
      <c r="AF4544">
        <v>7.9262331706055003</v>
      </c>
      <c r="AG4544">
        <v>-1.104782974698</v>
      </c>
      <c r="AH4544">
        <v>86.882474984895396</v>
      </c>
      <c r="AI4544">
        <v>90.7255116918287</v>
      </c>
      <c r="AJ4544">
        <v>84.787371580599995</v>
      </c>
      <c r="AK4544">
        <v>87.250273221331298</v>
      </c>
    </row>
    <row r="4545" spans="1:37" x14ac:dyDescent="0.2">
      <c r="A4545" t="str">
        <f>"20200111155641194"</f>
        <v>20200111155641194</v>
      </c>
      <c r="B4545" t="str">
        <f>"1578729401187637"</f>
        <v>1578729401187637</v>
      </c>
      <c r="C4545" t="s">
        <v>37</v>
      </c>
      <c r="D4545">
        <v>4.716316</v>
      </c>
      <c r="E4545">
        <v>0.4754911</v>
      </c>
      <c r="F4545" t="s">
        <v>38</v>
      </c>
      <c r="G4545">
        <v>-363.74279999999999</v>
      </c>
      <c r="H4545" s="1">
        <v>-4.4001480000000001E-6</v>
      </c>
      <c r="I4545">
        <v>147.49639999999999</v>
      </c>
      <c r="J4545">
        <v>-282.99</v>
      </c>
      <c r="K4545">
        <v>1.104295</v>
      </c>
      <c r="L4545">
        <v>141.23859999999999</v>
      </c>
      <c r="M4545">
        <v>-0.99984169999999895</v>
      </c>
      <c r="N4545">
        <v>0</v>
      </c>
      <c r="O4545">
        <v>-1.032915E-2</v>
      </c>
      <c r="P4545">
        <v>-0.99793140000000002</v>
      </c>
      <c r="Q4545">
        <v>3.7205740000000001E-2</v>
      </c>
      <c r="R4545">
        <v>-5.2428620000000002E-2</v>
      </c>
      <c r="S4545">
        <v>-3.0223390000000001</v>
      </c>
      <c r="T4545">
        <v>-3.895378E-2</v>
      </c>
      <c r="U4545">
        <v>0.2182617</v>
      </c>
      <c r="V4545">
        <v>-4.2042419999999997E-2</v>
      </c>
      <c r="W4545">
        <v>5.1730249999999998E-2</v>
      </c>
      <c r="X4545">
        <v>0.99777569999999904</v>
      </c>
      <c r="Y4545">
        <v>8.2320480000000001E-2</v>
      </c>
      <c r="Z4545">
        <v>6.6276149999999995E-4</v>
      </c>
      <c r="AA4545">
        <v>0.99660569999999904</v>
      </c>
      <c r="AB4545">
        <v>33</v>
      </c>
      <c r="AC4545">
        <v>-80.752799999999894</v>
      </c>
      <c r="AD4545">
        <v>-1.104299400148</v>
      </c>
      <c r="AE4545">
        <v>6.2577999999999996</v>
      </c>
      <c r="AF4545">
        <v>7.0903433944350898</v>
      </c>
      <c r="AG4545">
        <v>-1.104299400148</v>
      </c>
      <c r="AH4545">
        <v>80.668851019457705</v>
      </c>
      <c r="AI4545">
        <v>90.781277953824898</v>
      </c>
      <c r="AJ4545">
        <v>84.976928203497195</v>
      </c>
      <c r="AK4545">
        <v>80.987381556731606</v>
      </c>
    </row>
    <row r="4546" spans="1:37" x14ac:dyDescent="0.2">
      <c r="A4546" t="str">
        <f>"20200111155641215"</f>
        <v>20200111155641215</v>
      </c>
      <c r="B4546" t="str">
        <f>"1578729401207157"</f>
        <v>1578729401207157</v>
      </c>
      <c r="C4546" t="s">
        <v>37</v>
      </c>
      <c r="D4546">
        <v>4.5943909999999999</v>
      </c>
      <c r="E4546">
        <v>0.48629519999999998</v>
      </c>
      <c r="F4546" t="s">
        <v>76</v>
      </c>
      <c r="G4546">
        <v>-461.03219999999999</v>
      </c>
      <c r="H4546">
        <v>0.944102</v>
      </c>
      <c r="I4546">
        <v>119.7963</v>
      </c>
      <c r="J4546">
        <v>-283.29930000000002</v>
      </c>
      <c r="K4546">
        <v>1.10429</v>
      </c>
      <c r="L4546">
        <v>141.23599999999999</v>
      </c>
      <c r="M4546">
        <v>-0.99984789999999901</v>
      </c>
      <c r="N4546">
        <v>0</v>
      </c>
      <c r="O4546">
        <v>-9.7060419999999998E-3</v>
      </c>
      <c r="P4546">
        <v>-0.99800129999999998</v>
      </c>
      <c r="Q4546">
        <v>3.640082E-2</v>
      </c>
      <c r="R4546">
        <v>-5.1653989999999997E-2</v>
      </c>
      <c r="S4546">
        <v>-2.9874269999999998</v>
      </c>
      <c r="T4546">
        <v>-2.6874540000000001E-3</v>
      </c>
      <c r="U4546">
        <v>-0.35978699999999902</v>
      </c>
      <c r="V4546">
        <v>-4.1890469999999999E-2</v>
      </c>
      <c r="W4546">
        <v>5.0922589999999997E-2</v>
      </c>
      <c r="X4546">
        <v>0.99782369999999898</v>
      </c>
      <c r="Y4546">
        <v>-0.1099266</v>
      </c>
      <c r="Z4546" s="1">
        <v>-4.0566789999999999E-5</v>
      </c>
      <c r="AA4546">
        <v>0.99393969999999898</v>
      </c>
      <c r="AB4546">
        <v>33</v>
      </c>
      <c r="AC4546">
        <v>-177.73289999999901</v>
      </c>
      <c r="AD4546">
        <v>-0.160188</v>
      </c>
      <c r="AE4546">
        <v>-21.439699999999899</v>
      </c>
      <c r="AF4546">
        <v>-19.713409964481301</v>
      </c>
      <c r="AG4546">
        <v>-0.160188</v>
      </c>
      <c r="AH4546">
        <v>177.932500195279</v>
      </c>
      <c r="AI4546">
        <v>90.051268193007104</v>
      </c>
      <c r="AJ4546">
        <v>96.322102501258698</v>
      </c>
      <c r="AK4546">
        <v>179.021280350594</v>
      </c>
    </row>
    <row r="4547" spans="1:37" x14ac:dyDescent="0.2">
      <c r="A4547" t="str">
        <f>"20200111155641232"</f>
        <v>20200111155641232</v>
      </c>
      <c r="B4547" t="str">
        <f>"1578729401227654"</f>
        <v>1578729401227654</v>
      </c>
      <c r="C4547" t="s">
        <v>37</v>
      </c>
      <c r="D4547">
        <v>4.6717979999999999</v>
      </c>
      <c r="E4547">
        <v>0.49336579999999902</v>
      </c>
      <c r="F4547" t="s">
        <v>38</v>
      </c>
      <c r="G4547">
        <v>-383.39929999999998</v>
      </c>
      <c r="H4547" s="1">
        <v>-4.2293669999999901E-6</v>
      </c>
      <c r="I4547">
        <v>132.11060000000001</v>
      </c>
      <c r="J4547">
        <v>-283.54109999999997</v>
      </c>
      <c r="K4547">
        <v>1.10429</v>
      </c>
      <c r="L4547">
        <v>141.23419999999999</v>
      </c>
      <c r="M4547">
        <v>-0.99985270000000004</v>
      </c>
      <c r="N4547">
        <v>0</v>
      </c>
      <c r="O4547">
        <v>-9.2188419999999997E-3</v>
      </c>
      <c r="P4547">
        <v>-0.99802959999999996</v>
      </c>
      <c r="Q4547">
        <v>3.6383699999999998E-2</v>
      </c>
      <c r="R4547">
        <v>-5.1120029999999997E-2</v>
      </c>
      <c r="S4547">
        <v>-2.9931030000000001</v>
      </c>
      <c r="T4547">
        <v>-3.3019659999999999E-2</v>
      </c>
      <c r="U4547">
        <v>-0.27285769999999998</v>
      </c>
      <c r="V4547">
        <v>-4.1842459999999998E-2</v>
      </c>
      <c r="W4547">
        <v>5.0903070000000002E-2</v>
      </c>
      <c r="X4547">
        <v>0.99782669999999996</v>
      </c>
      <c r="Y4547">
        <v>-8.1595730000000005E-2</v>
      </c>
      <c r="Z4547">
        <v>-3.4764689999999999E-4</v>
      </c>
      <c r="AA4547">
        <v>0.99666549999999998</v>
      </c>
      <c r="AB4547">
        <v>33</v>
      </c>
      <c r="AC4547">
        <v>-99.858199999999997</v>
      </c>
      <c r="AD4547">
        <v>-1.1042942293669999</v>
      </c>
      <c r="AE4547">
        <v>-9.1235999999999802</v>
      </c>
      <c r="AF4547">
        <v>-8.2015440714147001</v>
      </c>
      <c r="AG4547">
        <v>-1.1042942293669999</v>
      </c>
      <c r="AH4547">
        <v>99.925954442156794</v>
      </c>
      <c r="AI4547">
        <v>90.631035309943698</v>
      </c>
      <c r="AJ4547">
        <v>94.692103424123502</v>
      </c>
      <c r="AK4547">
        <v>100.26804656557501</v>
      </c>
    </row>
    <row r="4548" spans="1:37" x14ac:dyDescent="0.2">
      <c r="A4548" t="str">
        <f>"20200111155641246"</f>
        <v>20200111155641246</v>
      </c>
      <c r="B4548" t="str">
        <f>"1578729401237413"</f>
        <v>1578729401237413</v>
      </c>
      <c r="C4548" t="s">
        <v>37</v>
      </c>
      <c r="D4548">
        <v>4.5715779999999997</v>
      </c>
      <c r="E4548">
        <v>0.49571899999999902</v>
      </c>
      <c r="F4548" t="s">
        <v>38</v>
      </c>
      <c r="G4548">
        <v>-348.81490000000002</v>
      </c>
      <c r="H4548" s="1">
        <v>-1.210237E-6</v>
      </c>
      <c r="I4548">
        <v>136.53110000000001</v>
      </c>
      <c r="J4548">
        <v>-283.74630000000002</v>
      </c>
      <c r="K4548">
        <v>1.1042889999999901</v>
      </c>
      <c r="L4548">
        <v>141.23269999999999</v>
      </c>
      <c r="M4548">
        <v>-0.99985639999999998</v>
      </c>
      <c r="N4548">
        <v>0</v>
      </c>
      <c r="O4548">
        <v>-8.8053160000000005E-3</v>
      </c>
      <c r="P4548">
        <v>-0.99804459999999995</v>
      </c>
      <c r="Q4548">
        <v>3.6161150000000003E-2</v>
      </c>
      <c r="R4548">
        <v>-5.0984960000000003E-2</v>
      </c>
      <c r="S4548">
        <v>-2.9967039999999998</v>
      </c>
      <c r="T4548">
        <v>-5.0697800000000001E-2</v>
      </c>
      <c r="U4548">
        <v>-0.21591189999999999</v>
      </c>
      <c r="V4548">
        <v>-4.2120329999999997E-2</v>
      </c>
      <c r="W4548">
        <v>5.0678300000000003E-2</v>
      </c>
      <c r="X4548">
        <v>0.99782649999999995</v>
      </c>
      <c r="Y4548">
        <v>-6.3069509999999995E-2</v>
      </c>
      <c r="Z4548">
        <v>-3.8400579999999998E-4</v>
      </c>
      <c r="AA4548">
        <v>0.99800909999999998</v>
      </c>
      <c r="AB4548">
        <v>33</v>
      </c>
      <c r="AC4548">
        <v>-65.068600000000004</v>
      </c>
      <c r="AD4548">
        <v>-1.10429021023699</v>
      </c>
      <c r="AE4548">
        <v>-4.7015999999999796</v>
      </c>
      <c r="AF4548">
        <v>-4.1272254880810797</v>
      </c>
      <c r="AG4548">
        <v>-1.10429021023699</v>
      </c>
      <c r="AH4548">
        <v>65.088830780455197</v>
      </c>
      <c r="AI4548">
        <v>90.970033091651601</v>
      </c>
      <c r="AJ4548">
        <v>93.6282174891072</v>
      </c>
      <c r="AK4548">
        <v>65.228899572694203</v>
      </c>
    </row>
    <row r="4549" spans="1:37" x14ac:dyDescent="0.2">
      <c r="A4549" t="str">
        <f>"20200111155641261"</f>
        <v>20200111155641261</v>
      </c>
      <c r="B4549" t="str">
        <f>"1578729401256934"</f>
        <v>1578729401256934</v>
      </c>
      <c r="C4549" t="s">
        <v>37</v>
      </c>
      <c r="D4549">
        <v>4.61165</v>
      </c>
      <c r="E4549">
        <v>0.49888329999999997</v>
      </c>
      <c r="F4549" t="s">
        <v>38</v>
      </c>
      <c r="G4549">
        <v>-342.85919999999999</v>
      </c>
      <c r="H4549" s="1">
        <v>-3.44807399999999E-6</v>
      </c>
      <c r="I4549">
        <v>137.34790000000001</v>
      </c>
      <c r="J4549">
        <v>-283.96559999999999</v>
      </c>
      <c r="K4549">
        <v>1.104293</v>
      </c>
      <c r="L4549">
        <v>141.2312</v>
      </c>
      <c r="M4549">
        <v>-0.99986019999999898</v>
      </c>
      <c r="N4549">
        <v>0</v>
      </c>
      <c r="O4549">
        <v>-8.3632999999999902E-3</v>
      </c>
      <c r="P4549">
        <v>-0.99805809999999995</v>
      </c>
      <c r="Q4549">
        <v>3.6321430000000002E-2</v>
      </c>
      <c r="R4549">
        <v>-5.0604410000000002E-2</v>
      </c>
      <c r="S4549">
        <v>-2.99780299999999</v>
      </c>
      <c r="T4549">
        <v>-5.6002259999999998E-2</v>
      </c>
      <c r="U4549">
        <v>-0.19700619999999999</v>
      </c>
      <c r="V4549">
        <v>-4.21809E-2</v>
      </c>
      <c r="W4549">
        <v>5.0836399999999997E-2</v>
      </c>
      <c r="X4549">
        <v>0.99781580000000003</v>
      </c>
      <c r="Y4549">
        <v>-5.7218480000000002E-2</v>
      </c>
      <c r="Z4549">
        <v>-3.7777189999999998E-4</v>
      </c>
      <c r="AA4549">
        <v>0.99836159999999996</v>
      </c>
      <c r="AB4549">
        <v>33</v>
      </c>
      <c r="AC4549">
        <v>-58.8935999999999</v>
      </c>
      <c r="AD4549">
        <v>-1.1042964480740001</v>
      </c>
      <c r="AE4549">
        <v>-3.88329999999999</v>
      </c>
      <c r="AF4549">
        <v>-3.38938117026143</v>
      </c>
      <c r="AG4549">
        <v>-1.1042964480740001</v>
      </c>
      <c r="AH4549">
        <v>58.903400359686998</v>
      </c>
      <c r="AI4549">
        <v>91.072258376897295</v>
      </c>
      <c r="AJ4549">
        <v>93.293245047821102</v>
      </c>
      <c r="AK4549">
        <v>59.0111680048457</v>
      </c>
    </row>
    <row r="4550" spans="1:37" x14ac:dyDescent="0.2">
      <c r="A4550" t="str">
        <f>"20200111155641284"</f>
        <v>20200111155641284</v>
      </c>
      <c r="B4550" t="str">
        <f>"1578729401277430"</f>
        <v>1578729401277430</v>
      </c>
      <c r="C4550" t="s">
        <v>37</v>
      </c>
      <c r="D4550">
        <v>4.506189</v>
      </c>
      <c r="E4550">
        <v>0.50124079999999904</v>
      </c>
      <c r="F4550" t="s">
        <v>38</v>
      </c>
      <c r="G4550">
        <v>-336.90440000000001</v>
      </c>
      <c r="H4550" s="1">
        <v>-1.6928909999999899E-6</v>
      </c>
      <c r="I4550">
        <v>138.21199999999999</v>
      </c>
      <c r="J4550">
        <v>-284.29300000000001</v>
      </c>
      <c r="K4550">
        <v>1.1042969999999901</v>
      </c>
      <c r="L4550">
        <v>141.22919999999999</v>
      </c>
      <c r="M4550">
        <v>-0.99986559999999902</v>
      </c>
      <c r="N4550">
        <v>0</v>
      </c>
      <c r="O4550">
        <v>-7.7037390000000002E-3</v>
      </c>
      <c r="P4550">
        <v>-0.99806899999999998</v>
      </c>
      <c r="Q4550">
        <v>3.627586E-2</v>
      </c>
      <c r="R4550">
        <v>-5.0422540000000002E-2</v>
      </c>
      <c r="S4550">
        <v>-2.9994809999999998</v>
      </c>
      <c r="T4550">
        <v>-6.2568780000000004E-2</v>
      </c>
      <c r="U4550">
        <v>-0.17106629999999901</v>
      </c>
      <c r="V4550">
        <v>-4.2658219999999997E-2</v>
      </c>
      <c r="W4550">
        <v>5.0788310000000003E-2</v>
      </c>
      <c r="X4550">
        <v>0.99779799999999996</v>
      </c>
      <c r="Y4550">
        <v>-4.923669E-2</v>
      </c>
      <c r="Z4550">
        <v>-3.5250499999999997E-4</v>
      </c>
      <c r="AA4550">
        <v>0.99878709999999904</v>
      </c>
      <c r="AB4550">
        <v>33</v>
      </c>
      <c r="AC4550">
        <v>-52.611400000000003</v>
      </c>
      <c r="AD4550">
        <v>-1.1042986928909999</v>
      </c>
      <c r="AE4550">
        <v>-3.0171999999999701</v>
      </c>
      <c r="AF4550">
        <v>-2.6106171198764501</v>
      </c>
      <c r="AG4550">
        <v>-1.1042986928909999</v>
      </c>
      <c r="AH4550">
        <v>52.609982307646902</v>
      </c>
      <c r="AI4550">
        <v>91.201001046107507</v>
      </c>
      <c r="AJ4550">
        <v>92.840805997956906</v>
      </c>
      <c r="AK4550">
        <v>52.6862888782331</v>
      </c>
    </row>
    <row r="4551" spans="1:37" x14ac:dyDescent="0.2">
      <c r="A4551" t="str">
        <f>"20200111155641306"</f>
        <v>20200111155641306</v>
      </c>
      <c r="B4551" t="str">
        <f>"1578729401297283"</f>
        <v>1578729401297283</v>
      </c>
      <c r="C4551" t="s">
        <v>37</v>
      </c>
      <c r="D4551">
        <v>4.4963819999999997</v>
      </c>
      <c r="E4551">
        <v>0.50284709999999999</v>
      </c>
      <c r="F4551" t="s">
        <v>38</v>
      </c>
      <c r="G4551">
        <v>-333.63650000000001</v>
      </c>
      <c r="H4551" s="1">
        <v>-3.1458579999999999E-6</v>
      </c>
      <c r="I4551">
        <v>138.7295</v>
      </c>
      <c r="J4551">
        <v>-284.60890000000001</v>
      </c>
      <c r="K4551">
        <v>1.1043019999999999</v>
      </c>
      <c r="L4551">
        <v>141.22739999999999</v>
      </c>
      <c r="M4551">
        <v>-0.99987029999999999</v>
      </c>
      <c r="N4551">
        <v>0</v>
      </c>
      <c r="O4551">
        <v>-7.0668279999999998E-3</v>
      </c>
      <c r="P4551">
        <v>-0.99810219999999905</v>
      </c>
      <c r="Q4551">
        <v>3.6325530000000002E-2</v>
      </c>
      <c r="R4551">
        <v>-4.9722309999999999E-2</v>
      </c>
      <c r="S4551">
        <v>-3.0005489999999999</v>
      </c>
      <c r="T4551">
        <v>-6.7151899999999903E-2</v>
      </c>
      <c r="U4551">
        <v>-0.15200810000000001</v>
      </c>
      <c r="V4551">
        <v>-4.2593890000000002E-2</v>
      </c>
      <c r="W4551">
        <v>5.0834499999999998E-2</v>
      </c>
      <c r="X4551">
        <v>0.99779839999999997</v>
      </c>
      <c r="Y4551">
        <v>-4.3526309999999999E-2</v>
      </c>
      <c r="Z4551">
        <v>-3.2864169999999998E-4</v>
      </c>
      <c r="AA4551">
        <v>0.99905219999999995</v>
      </c>
      <c r="AB4551">
        <v>33</v>
      </c>
      <c r="AC4551">
        <v>-49.0276</v>
      </c>
      <c r="AD4551">
        <v>-1.104305145858</v>
      </c>
      <c r="AE4551">
        <v>-2.49789999999998</v>
      </c>
      <c r="AF4551">
        <v>-2.1502436338096298</v>
      </c>
      <c r="AG4551">
        <v>-1.104305145858</v>
      </c>
      <c r="AH4551">
        <v>49.019224685828902</v>
      </c>
      <c r="AI4551">
        <v>91.289301690332096</v>
      </c>
      <c r="AJ4551">
        <v>92.511687160218102</v>
      </c>
      <c r="AK4551">
        <v>49.078787946929602</v>
      </c>
    </row>
    <row r="4552" spans="1:37" x14ac:dyDescent="0.2">
      <c r="A4552" t="str">
        <f>"20200111155641321"</f>
        <v>20200111155641321</v>
      </c>
      <c r="B4552" t="str">
        <f>"1578729401317780"</f>
        <v>1578729401317780</v>
      </c>
      <c r="C4552" t="s">
        <v>37</v>
      </c>
      <c r="D4552">
        <v>4.4288169999999996</v>
      </c>
      <c r="E4552">
        <v>0.50406130000000005</v>
      </c>
      <c r="F4552" t="s">
        <v>38</v>
      </c>
      <c r="G4552">
        <v>-332.83350000000002</v>
      </c>
      <c r="H4552" s="1">
        <v>-3.4732709999999899E-6</v>
      </c>
      <c r="I4552">
        <v>139.02359999999999</v>
      </c>
      <c r="J4552">
        <v>-284.83089999999999</v>
      </c>
      <c r="K4552">
        <v>1.104304</v>
      </c>
      <c r="L4552">
        <v>141.22630000000001</v>
      </c>
      <c r="M4552">
        <v>-0.99987340000000002</v>
      </c>
      <c r="N4552">
        <v>0</v>
      </c>
      <c r="O4552">
        <v>-6.6193349999999996E-3</v>
      </c>
      <c r="P4552">
        <v>-0.99812160000000005</v>
      </c>
      <c r="Q4552">
        <v>3.6669840000000002E-2</v>
      </c>
      <c r="R4552">
        <v>-4.9075500000000001E-2</v>
      </c>
      <c r="S4552">
        <v>-3.0013730000000001</v>
      </c>
      <c r="T4552">
        <v>-6.8729040000000005E-2</v>
      </c>
      <c r="U4552">
        <v>-0.13716129999999899</v>
      </c>
      <c r="V4552">
        <v>-4.2393319999999998E-2</v>
      </c>
      <c r="W4552">
        <v>5.1175940000000003E-2</v>
      </c>
      <c r="X4552">
        <v>0.99778940000000005</v>
      </c>
      <c r="Y4552">
        <v>-3.9029260000000003E-2</v>
      </c>
      <c r="Z4552">
        <v>-2.9509000000000002E-4</v>
      </c>
      <c r="AA4552">
        <v>0.99923799999999996</v>
      </c>
      <c r="AB4552">
        <v>33</v>
      </c>
      <c r="AC4552">
        <v>-48.002600000000001</v>
      </c>
      <c r="AD4552">
        <v>-1.1043074732710001</v>
      </c>
      <c r="AE4552">
        <v>-2.2027000000000201</v>
      </c>
      <c r="AF4552">
        <v>-1.8838782508278</v>
      </c>
      <c r="AG4552">
        <v>-1.1043074732710001</v>
      </c>
      <c r="AH4552">
        <v>47.990784923503398</v>
      </c>
      <c r="AI4552">
        <v>91.317176326693897</v>
      </c>
      <c r="AJ4552">
        <v>92.247991600706897</v>
      </c>
      <c r="AK4552">
        <v>48.040440566604197</v>
      </c>
    </row>
    <row r="4553" spans="1:37" x14ac:dyDescent="0.2">
      <c r="A4553" t="str">
        <f>"20200111155641335"</f>
        <v>20200111155641335</v>
      </c>
      <c r="B4553" t="str">
        <f>"1578729401327541"</f>
        <v>1578729401327541</v>
      </c>
      <c r="C4553" t="s">
        <v>37</v>
      </c>
      <c r="D4553">
        <v>4.4288439999999998</v>
      </c>
      <c r="E4553">
        <v>0.50449259999999996</v>
      </c>
      <c r="F4553" t="s">
        <v>38</v>
      </c>
      <c r="G4553">
        <v>-332.5222</v>
      </c>
      <c r="H4553" s="1">
        <v>-3.58364199999999E-6</v>
      </c>
      <c r="I4553">
        <v>139.2311</v>
      </c>
      <c r="J4553">
        <v>-285.04750000000001</v>
      </c>
      <c r="K4553">
        <v>1.1043000000000001</v>
      </c>
      <c r="L4553">
        <v>141.2253</v>
      </c>
      <c r="M4553">
        <v>-0.99987630000000005</v>
      </c>
      <c r="N4553">
        <v>0</v>
      </c>
      <c r="O4553">
        <v>-6.1830459999999898E-3</v>
      </c>
      <c r="P4553">
        <v>-0.99815109999999996</v>
      </c>
      <c r="Q4553">
        <v>3.6813829999999999E-2</v>
      </c>
      <c r="R4553">
        <v>-4.8368660000000001E-2</v>
      </c>
      <c r="S4553">
        <v>-3.002014</v>
      </c>
      <c r="T4553">
        <v>-6.951272E-2</v>
      </c>
      <c r="U4553">
        <v>-0.12559509999999999</v>
      </c>
      <c r="V4553">
        <v>-4.212134E-2</v>
      </c>
      <c r="W4553">
        <v>5.1317380000000003E-2</v>
      </c>
      <c r="X4553">
        <v>0.99779370000000001</v>
      </c>
      <c r="Y4553">
        <v>-3.561342E-2</v>
      </c>
      <c r="Z4553">
        <v>-2.6898679999999998E-4</v>
      </c>
      <c r="AA4553">
        <v>0.99936559999999897</v>
      </c>
      <c r="AB4553">
        <v>32</v>
      </c>
      <c r="AC4553">
        <v>-47.474699999999899</v>
      </c>
      <c r="AD4553">
        <v>-1.1043035836420001</v>
      </c>
      <c r="AE4553">
        <v>-1.9942</v>
      </c>
      <c r="AF4553">
        <v>-1.6996748950060401</v>
      </c>
      <c r="AG4553">
        <v>-1.1043035836420001</v>
      </c>
      <c r="AH4553">
        <v>47.460489680798297</v>
      </c>
      <c r="AI4553">
        <v>91.332055511927507</v>
      </c>
      <c r="AJ4553">
        <v>92.051023872602599</v>
      </c>
      <c r="AK4553">
        <v>47.503752082280002</v>
      </c>
    </row>
    <row r="4554" spans="1:37" x14ac:dyDescent="0.2">
      <c r="A4554" t="str">
        <f>"20200111155641350"</f>
        <v>20200111155641350</v>
      </c>
      <c r="B4554" t="str">
        <f>"1578729401347060"</f>
        <v>1578729401347060</v>
      </c>
      <c r="C4554" t="s">
        <v>37</v>
      </c>
      <c r="D4554">
        <v>4.398822</v>
      </c>
      <c r="E4554">
        <v>0.50520279999999995</v>
      </c>
      <c r="F4554" t="s">
        <v>38</v>
      </c>
      <c r="G4554">
        <v>-332.51220000000001</v>
      </c>
      <c r="H4554" s="1">
        <v>-3.571746E-6</v>
      </c>
      <c r="I4554">
        <v>139.32470000000001</v>
      </c>
      <c r="J4554">
        <v>-285.2552</v>
      </c>
      <c r="K4554">
        <v>1.104301</v>
      </c>
      <c r="L4554">
        <v>141.22450000000001</v>
      </c>
      <c r="M4554">
        <v>-0.99987890000000001</v>
      </c>
      <c r="N4554">
        <v>0</v>
      </c>
      <c r="O4554">
        <v>-5.7640429999999999E-3</v>
      </c>
      <c r="P4554">
        <v>-0.99817449999999996</v>
      </c>
      <c r="Q4554">
        <v>3.7294630000000002E-2</v>
      </c>
      <c r="R4554">
        <v>-4.7512350000000002E-2</v>
      </c>
      <c r="S4554">
        <v>-3.002319</v>
      </c>
      <c r="T4554">
        <v>-6.9851280000000002E-2</v>
      </c>
      <c r="U4554">
        <v>-0.120224</v>
      </c>
      <c r="V4554">
        <v>-4.1682579999999997E-2</v>
      </c>
      <c r="W4554">
        <v>5.1795010000000002E-2</v>
      </c>
      <c r="X4554">
        <v>0.99778750000000005</v>
      </c>
      <c r="Y4554">
        <v>-3.4243250000000003E-2</v>
      </c>
      <c r="Z4554">
        <v>-2.6409179999999999E-4</v>
      </c>
      <c r="AA4554">
        <v>0.99941349999999995</v>
      </c>
      <c r="AB4554">
        <v>32</v>
      </c>
      <c r="AC4554">
        <v>-47.256999999999998</v>
      </c>
      <c r="AD4554">
        <v>-1.1043045717460001</v>
      </c>
      <c r="AE4554">
        <v>-1.8997999999999899</v>
      </c>
      <c r="AF4554">
        <v>-1.62646186629184</v>
      </c>
      <c r="AG4554">
        <v>-1.1043045717460001</v>
      </c>
      <c r="AH4554">
        <v>47.241411142724701</v>
      </c>
      <c r="AI4554">
        <v>91.338296706648705</v>
      </c>
      <c r="AJ4554">
        <v>91.971842163259694</v>
      </c>
      <c r="AK4554">
        <v>47.282298945225101</v>
      </c>
    </row>
    <row r="4555" spans="1:37" x14ac:dyDescent="0.2">
      <c r="A4555" t="str">
        <f>"20200111155641365"</f>
        <v>20200111155641365</v>
      </c>
      <c r="B4555" t="str">
        <f>"1578729401356820"</f>
        <v>1578729401356820</v>
      </c>
      <c r="C4555" t="s">
        <v>37</v>
      </c>
      <c r="D4555">
        <v>4.5424049999999996</v>
      </c>
      <c r="E4555">
        <v>0.50576089999999996</v>
      </c>
      <c r="F4555" t="s">
        <v>38</v>
      </c>
      <c r="G4555">
        <v>-333.96620000000001</v>
      </c>
      <c r="H4555" s="1">
        <v>-2.8697479999999999E-6</v>
      </c>
      <c r="I4555">
        <v>139.40729999999999</v>
      </c>
      <c r="J4555">
        <v>-285.47949999999997</v>
      </c>
      <c r="K4555">
        <v>1.1043019999999999</v>
      </c>
      <c r="L4555">
        <v>141.2236</v>
      </c>
      <c r="M4555">
        <v>-0.99988129999999997</v>
      </c>
      <c r="N4555">
        <v>0</v>
      </c>
      <c r="O4555">
        <v>-5.3114260000000002E-3</v>
      </c>
      <c r="P4555">
        <v>-0.99821009999999999</v>
      </c>
      <c r="Q4555">
        <v>3.7528659999999998E-2</v>
      </c>
      <c r="R4555">
        <v>-4.6564670000000002E-2</v>
      </c>
      <c r="S4555">
        <v>-3.0027159999999999</v>
      </c>
      <c r="T4555">
        <v>-6.8073149999999999E-2</v>
      </c>
      <c r="U4555">
        <v>-0.1120148</v>
      </c>
      <c r="V4555">
        <v>-4.1186319999999998E-2</v>
      </c>
      <c r="W4555">
        <v>5.2025969999999998E-2</v>
      </c>
      <c r="X4555">
        <v>0.99779609999999996</v>
      </c>
      <c r="Y4555">
        <v>-3.1962900000000002E-2</v>
      </c>
      <c r="Z4555">
        <v>-2.4177070000000001E-4</v>
      </c>
      <c r="AA4555">
        <v>0.99948899999999996</v>
      </c>
      <c r="AB4555">
        <v>32</v>
      </c>
      <c r="AC4555">
        <v>-48.486699999999999</v>
      </c>
      <c r="AD4555">
        <v>-1.104304869748</v>
      </c>
      <c r="AE4555">
        <v>-1.81630000000001</v>
      </c>
      <c r="AF4555">
        <v>-1.55790693182317</v>
      </c>
      <c r="AG4555">
        <v>-1.104304869748</v>
      </c>
      <c r="AH4555">
        <v>48.470556669312899</v>
      </c>
      <c r="AI4555">
        <v>91.3044707732885</v>
      </c>
      <c r="AJ4555">
        <v>91.840927351405298</v>
      </c>
      <c r="AK4555">
        <v>48.508158355957399</v>
      </c>
    </row>
    <row r="4556" spans="1:37" x14ac:dyDescent="0.2">
      <c r="A4556" t="str">
        <f>"20200111155641385"</f>
        <v>20200111155641385</v>
      </c>
      <c r="B4556" t="str">
        <f>"1578729401377315"</f>
        <v>1578729401377315</v>
      </c>
      <c r="C4556" t="s">
        <v>37</v>
      </c>
      <c r="D4556">
        <v>4.3582279999999898</v>
      </c>
      <c r="E4556">
        <v>0.50636939999999997</v>
      </c>
      <c r="F4556" t="s">
        <v>38</v>
      </c>
      <c r="G4556">
        <v>-335.03969999999998</v>
      </c>
      <c r="H4556" s="1">
        <v>-2.3463299999999999E-6</v>
      </c>
      <c r="I4556">
        <v>139.4974</v>
      </c>
      <c r="J4556">
        <v>-285.75979999999998</v>
      </c>
      <c r="K4556">
        <v>1.104306</v>
      </c>
      <c r="L4556">
        <v>141.2227</v>
      </c>
      <c r="M4556">
        <v>-0.999884199999999</v>
      </c>
      <c r="N4556">
        <v>0</v>
      </c>
      <c r="O4556">
        <v>-4.7454480000000002E-3</v>
      </c>
      <c r="P4556">
        <v>-0.99822479999999902</v>
      </c>
      <c r="Q4556">
        <v>3.7925489999999999E-2</v>
      </c>
      <c r="R4556">
        <v>-4.5922909999999997E-2</v>
      </c>
      <c r="S4556">
        <v>-3.0030209999999999</v>
      </c>
      <c r="T4556">
        <v>-6.6913490000000006E-2</v>
      </c>
      <c r="U4556">
        <v>-0.104599</v>
      </c>
      <c r="V4556">
        <v>-4.110983E-2</v>
      </c>
      <c r="W4556">
        <v>5.2419299999999898E-2</v>
      </c>
      <c r="X4556">
        <v>0.99777870000000002</v>
      </c>
      <c r="Y4556">
        <v>-3.0060409999999999E-2</v>
      </c>
      <c r="Z4556">
        <v>-2.290591E-4</v>
      </c>
      <c r="AA4556">
        <v>0.99954809999999905</v>
      </c>
      <c r="AB4556">
        <v>32</v>
      </c>
      <c r="AC4556">
        <v>-49.279899999999998</v>
      </c>
      <c r="AD4556">
        <v>-1.1043083463300001</v>
      </c>
      <c r="AE4556">
        <v>-1.7253000000000001</v>
      </c>
      <c r="AF4556">
        <v>-1.4906532888261299</v>
      </c>
      <c r="AG4556">
        <v>-1.1043083463300001</v>
      </c>
      <c r="AH4556">
        <v>49.262825707555002</v>
      </c>
      <c r="AI4556">
        <v>91.283578019965802</v>
      </c>
      <c r="AJ4556">
        <v>91.7331951254301</v>
      </c>
      <c r="AK4556">
        <v>49.297743770320899</v>
      </c>
    </row>
    <row r="4557" spans="1:37" x14ac:dyDescent="0.2">
      <c r="A4557" t="str">
        <f>"20200111155641407"</f>
        <v>20200111155641407</v>
      </c>
      <c r="B4557" t="str">
        <f>"1578729401397342"</f>
        <v>1578729401397342</v>
      </c>
      <c r="C4557" t="s">
        <v>37</v>
      </c>
      <c r="D4557">
        <v>4.3943379999999896</v>
      </c>
      <c r="E4557">
        <v>0.50661769999999995</v>
      </c>
      <c r="F4557" t="s">
        <v>38</v>
      </c>
      <c r="G4557">
        <v>-336.3535</v>
      </c>
      <c r="H4557" s="1">
        <v>-1.711359E-6</v>
      </c>
      <c r="I4557">
        <v>139.5761</v>
      </c>
      <c r="J4557">
        <v>-286.0675</v>
      </c>
      <c r="K4557">
        <v>1.1043049999999901</v>
      </c>
      <c r="L4557">
        <v>141.22190000000001</v>
      </c>
      <c r="M4557">
        <v>-0.99988709999999903</v>
      </c>
      <c r="N4557">
        <v>0</v>
      </c>
      <c r="O4557">
        <v>-4.1243979999999996E-3</v>
      </c>
      <c r="P4557">
        <v>-0.99825069999999905</v>
      </c>
      <c r="Q4557">
        <v>3.8150169999999997E-2</v>
      </c>
      <c r="R4557">
        <v>-4.517198E-2</v>
      </c>
      <c r="S4557">
        <v>-3.0033259999999999</v>
      </c>
      <c r="T4557">
        <v>-6.5553669999999994E-2</v>
      </c>
      <c r="U4557">
        <v>-9.7747799999999996E-2</v>
      </c>
      <c r="V4557">
        <v>-4.0978510000000003E-2</v>
      </c>
      <c r="W4557">
        <v>5.264071E-2</v>
      </c>
      <c r="X4557">
        <v>0.9977724</v>
      </c>
      <c r="Y4557">
        <v>-2.840059E-2</v>
      </c>
      <c r="Z4557">
        <v>-2.1983469999999999E-4</v>
      </c>
      <c r="AA4557">
        <v>0.99959659999999995</v>
      </c>
      <c r="AB4557">
        <v>32</v>
      </c>
      <c r="AC4557">
        <v>-50.286000000000001</v>
      </c>
      <c r="AD4557">
        <v>-1.1043067113589999</v>
      </c>
      <c r="AE4557">
        <v>-1.6457999999999999</v>
      </c>
      <c r="AF4557">
        <v>-1.437672271326</v>
      </c>
      <c r="AG4557">
        <v>-1.1043067113589999</v>
      </c>
      <c r="AH4557">
        <v>50.268144254489997</v>
      </c>
      <c r="AI4557">
        <v>91.257975411530097</v>
      </c>
      <c r="AJ4557">
        <v>91.638216537561505</v>
      </c>
      <c r="AK4557">
        <v>50.3008222762085</v>
      </c>
    </row>
    <row r="4558" spans="1:37" x14ac:dyDescent="0.2">
      <c r="A4558" t="str">
        <f>"20200111155641428"</f>
        <v>20200111155641428</v>
      </c>
      <c r="B4558" t="str">
        <f>"1578729401416862"</f>
        <v>1578729401416862</v>
      </c>
      <c r="C4558" t="s">
        <v>37</v>
      </c>
      <c r="D4558">
        <v>4.3848390000000004</v>
      </c>
      <c r="E4558">
        <v>0.50682129999999903</v>
      </c>
      <c r="F4558" t="s">
        <v>38</v>
      </c>
      <c r="G4558">
        <v>-337.87549999999999</v>
      </c>
      <c r="H4558" s="1">
        <v>-9.8577469999999902E-7</v>
      </c>
      <c r="I4558">
        <v>139.61060000000001</v>
      </c>
      <c r="J4558">
        <v>-286.38290000000001</v>
      </c>
      <c r="K4558">
        <v>1.104314</v>
      </c>
      <c r="L4558">
        <v>141.22130000000001</v>
      </c>
      <c r="M4558">
        <v>-0.99988960000000005</v>
      </c>
      <c r="N4558">
        <v>0</v>
      </c>
      <c r="O4558">
        <v>-3.487375E-3</v>
      </c>
      <c r="P4558">
        <v>-0.99829799999999902</v>
      </c>
      <c r="Q4558">
        <v>3.7761280000000001E-2</v>
      </c>
      <c r="R4558">
        <v>-4.4448029999999999E-2</v>
      </c>
      <c r="S4558">
        <v>-3.003479</v>
      </c>
      <c r="T4558">
        <v>-6.4020279999999999E-2</v>
      </c>
      <c r="U4558">
        <v>-9.341431E-2</v>
      </c>
      <c r="V4558">
        <v>-4.0890849999999999E-2</v>
      </c>
      <c r="W4558">
        <v>5.2248349999999999E-2</v>
      </c>
      <c r="X4558">
        <v>0.99779660000000003</v>
      </c>
      <c r="Y4558">
        <v>-2.7595290000000001E-2</v>
      </c>
      <c r="Z4558">
        <v>-2.19682599999999E-4</v>
      </c>
      <c r="AA4558">
        <v>0.99961909999999898</v>
      </c>
      <c r="AB4558">
        <v>32</v>
      </c>
      <c r="AC4558">
        <v>-51.492599999999896</v>
      </c>
      <c r="AD4558">
        <v>-1.1043149857747001</v>
      </c>
      <c r="AE4558">
        <v>-1.6107</v>
      </c>
      <c r="AF4558">
        <v>-1.4304401965211599</v>
      </c>
      <c r="AG4558">
        <v>-1.1043149857747001</v>
      </c>
      <c r="AH4558">
        <v>51.4742528545288</v>
      </c>
      <c r="AI4558">
        <v>91.228545805643193</v>
      </c>
      <c r="AJ4558">
        <v>91.591807435021707</v>
      </c>
      <c r="AK4558">
        <v>51.505964486412601</v>
      </c>
    </row>
    <row r="4559" spans="1:37" x14ac:dyDescent="0.2">
      <c r="A4559" t="str">
        <f>"20200111155641451"</f>
        <v>20200111155641451</v>
      </c>
      <c r="B4559" t="str">
        <f>"1578729401447119"</f>
        <v>1578729401447119</v>
      </c>
      <c r="C4559" t="s">
        <v>37</v>
      </c>
      <c r="D4559">
        <v>4.3899619999999997</v>
      </c>
      <c r="E4559">
        <v>0.50717709999999905</v>
      </c>
      <c r="F4559" t="s">
        <v>38</v>
      </c>
      <c r="G4559">
        <v>-338.02949999999998</v>
      </c>
      <c r="H4559" s="1">
        <v>-9.2913249999999997E-7</v>
      </c>
      <c r="I4559">
        <v>139.68090000000001</v>
      </c>
      <c r="J4559">
        <v>-286.72120000000001</v>
      </c>
      <c r="K4559">
        <v>1.1043149999999999</v>
      </c>
      <c r="L4559">
        <v>141.2209</v>
      </c>
      <c r="M4559">
        <v>-0.99989169999999905</v>
      </c>
      <c r="N4559">
        <v>0</v>
      </c>
      <c r="O4559">
        <v>-2.8038619999999998E-3</v>
      </c>
      <c r="P4559">
        <v>-0.99833969999999905</v>
      </c>
      <c r="Q4559">
        <v>3.7698889999999999E-2</v>
      </c>
      <c r="R4559">
        <v>-4.3551430000000002E-2</v>
      </c>
      <c r="S4559">
        <v>-3.003571</v>
      </c>
      <c r="T4559">
        <v>-6.4222810000000005E-2</v>
      </c>
      <c r="U4559">
        <v>-8.9584349999999993E-2</v>
      </c>
      <c r="V4559">
        <v>-4.0677369999999997E-2</v>
      </c>
      <c r="W4559">
        <v>5.2182159999999998E-2</v>
      </c>
      <c r="X4559">
        <v>0.99780879999999905</v>
      </c>
      <c r="Y4559">
        <v>-2.7004150000000001E-2</v>
      </c>
      <c r="Z4559">
        <v>-2.2866830000000001E-4</v>
      </c>
      <c r="AA4559">
        <v>0.9996353</v>
      </c>
      <c r="AB4559">
        <v>32</v>
      </c>
      <c r="AC4559">
        <v>-51.308299999999903</v>
      </c>
      <c r="AD4559">
        <v>-1.1043159291325</v>
      </c>
      <c r="AE4559">
        <v>-1.53999999999999</v>
      </c>
      <c r="AF4559">
        <v>-1.3954716719582101</v>
      </c>
      <c r="AG4559">
        <v>-1.1043159291325</v>
      </c>
      <c r="AH4559">
        <v>51.288678795556898</v>
      </c>
      <c r="AI4559">
        <v>91.233010332776502</v>
      </c>
      <c r="AJ4559">
        <v>91.558529447943698</v>
      </c>
      <c r="AK4559">
        <v>51.319542354276599</v>
      </c>
    </row>
    <row r="4560" spans="1:37" x14ac:dyDescent="0.2">
      <c r="A4560" t="str">
        <f>"20200111155641486"</f>
        <v>20200111155641486</v>
      </c>
      <c r="B4560" t="str">
        <f>"1578729401477374"</f>
        <v>1578729401477374</v>
      </c>
      <c r="C4560" t="s">
        <v>37</v>
      </c>
      <c r="D4560">
        <v>4.3996240000000002</v>
      </c>
      <c r="E4560">
        <v>0.50740730000000001</v>
      </c>
      <c r="F4560" t="s">
        <v>38</v>
      </c>
      <c r="G4560">
        <v>-337.55250000000001</v>
      </c>
      <c r="H4560" s="1">
        <v>-1.1858120000000001E-6</v>
      </c>
      <c r="I4560">
        <v>139.79810000000001</v>
      </c>
      <c r="J4560">
        <v>-287.21530000000001</v>
      </c>
      <c r="K4560">
        <v>1.1043149999999999</v>
      </c>
      <c r="L4560">
        <v>141.22059999999999</v>
      </c>
      <c r="M4560">
        <v>-0.99989409999999901</v>
      </c>
      <c r="N4560">
        <v>0</v>
      </c>
      <c r="O4560">
        <v>-1.8057699999999999E-3</v>
      </c>
      <c r="P4560">
        <v>-0.99843689999999996</v>
      </c>
      <c r="Q4560">
        <v>3.684113E-2</v>
      </c>
      <c r="R4560">
        <v>-4.203556E-2</v>
      </c>
      <c r="S4560">
        <v>-3.003784</v>
      </c>
      <c r="T4560">
        <v>-6.5257670000000004E-2</v>
      </c>
      <c r="U4560">
        <v>-8.4075929999999993E-2</v>
      </c>
      <c r="V4560">
        <v>-4.015912E-2</v>
      </c>
      <c r="W4560">
        <v>5.1318809999999999E-2</v>
      </c>
      <c r="X4560">
        <v>0.99787459999999994</v>
      </c>
      <c r="Y4560">
        <v>-2.6168009999999998E-2</v>
      </c>
      <c r="Z4560">
        <v>-2.4494060000000001E-4</v>
      </c>
      <c r="AA4560">
        <v>0.99965749999999998</v>
      </c>
      <c r="AB4560">
        <v>32</v>
      </c>
      <c r="AC4560">
        <v>-50.337200000000003</v>
      </c>
      <c r="AD4560">
        <v>-1.1043161858120001</v>
      </c>
      <c r="AE4560">
        <v>-1.4224999999999799</v>
      </c>
      <c r="AF4560">
        <v>-1.33095073084489</v>
      </c>
      <c r="AG4560">
        <v>-1.1043161858120001</v>
      </c>
      <c r="AH4560">
        <v>50.3154897627049</v>
      </c>
      <c r="AI4560">
        <v>91.256877080343997</v>
      </c>
      <c r="AJ4560">
        <v>91.515240758068202</v>
      </c>
      <c r="AK4560">
        <v>50.345202891110098</v>
      </c>
    </row>
    <row r="4561" spans="1:37" x14ac:dyDescent="0.2">
      <c r="A4561" t="str">
        <f>"20200111155641506"</f>
        <v>20200111155641506</v>
      </c>
      <c r="B4561" t="str">
        <f>"1578729401497402"</f>
        <v>1578729401497402</v>
      </c>
      <c r="C4561" t="s">
        <v>37</v>
      </c>
      <c r="D4561">
        <v>4.6963809999999997</v>
      </c>
      <c r="E4561">
        <v>0.50764969999999998</v>
      </c>
      <c r="F4561" t="s">
        <v>38</v>
      </c>
      <c r="G4561">
        <v>-336.33909999999997</v>
      </c>
      <c r="H4561" s="1">
        <v>-1.799935E-6</v>
      </c>
      <c r="I4561">
        <v>139.95050000000001</v>
      </c>
      <c r="J4561">
        <v>-287.50659999999999</v>
      </c>
      <c r="K4561">
        <v>1.104317</v>
      </c>
      <c r="L4561">
        <v>141.22069999999999</v>
      </c>
      <c r="M4561">
        <v>-0.99989499999999998</v>
      </c>
      <c r="N4561">
        <v>0</v>
      </c>
      <c r="O4561">
        <v>-1.2170219999999999E-3</v>
      </c>
      <c r="P4561">
        <v>-0.99844929999999998</v>
      </c>
      <c r="Q4561">
        <v>3.6794229999999997E-2</v>
      </c>
      <c r="R4561">
        <v>-4.1777380000000003E-2</v>
      </c>
      <c r="S4561">
        <v>-3.0039060000000002</v>
      </c>
      <c r="T4561">
        <v>-6.7528610000000003E-2</v>
      </c>
      <c r="U4561">
        <v>-7.7667239999999999E-2</v>
      </c>
      <c r="V4561">
        <v>-4.0488959999999997E-2</v>
      </c>
      <c r="W4561">
        <v>5.1269290000000002E-2</v>
      </c>
      <c r="X4561">
        <v>0.99786379999999997</v>
      </c>
      <c r="Y4561">
        <v>-2.4624110000000001E-2</v>
      </c>
      <c r="Z4561">
        <v>-2.4934330000000001E-4</v>
      </c>
      <c r="AA4561">
        <v>0.99969669999999899</v>
      </c>
      <c r="AB4561">
        <v>32</v>
      </c>
      <c r="AC4561">
        <v>-48.832499999999897</v>
      </c>
      <c r="AD4561">
        <v>-1.1043187999349999</v>
      </c>
      <c r="AE4561">
        <v>-1.27019999999998</v>
      </c>
      <c r="AF4561">
        <v>-1.2101441715661301</v>
      </c>
      <c r="AG4561">
        <v>-1.1043187999349999</v>
      </c>
      <c r="AH4561">
        <v>48.809065181007298</v>
      </c>
      <c r="AI4561">
        <v>91.295713912792493</v>
      </c>
      <c r="AJ4561">
        <v>91.420267962675595</v>
      </c>
      <c r="AK4561">
        <v>48.836552015592602</v>
      </c>
    </row>
    <row r="4562" spans="1:37" x14ac:dyDescent="0.2">
      <c r="A4562" t="str">
        <f>"20200111155641528"</f>
        <v>20200111155641528</v>
      </c>
      <c r="B4562" t="str">
        <f>"1578729401516922"</f>
        <v>1578729401516922</v>
      </c>
      <c r="C4562" t="s">
        <v>37</v>
      </c>
      <c r="D4562">
        <v>4.4602849999999998</v>
      </c>
      <c r="E4562">
        <v>0.50773749999999995</v>
      </c>
      <c r="F4562" t="s">
        <v>38</v>
      </c>
      <c r="G4562">
        <v>-337.13380000000001</v>
      </c>
      <c r="H4562" s="1">
        <v>-1.4329089999999999E-6</v>
      </c>
      <c r="I4562">
        <v>139.983</v>
      </c>
      <c r="J4562">
        <v>-287.82490000000001</v>
      </c>
      <c r="K4562">
        <v>1.1043160000000001</v>
      </c>
      <c r="L4562">
        <v>141.221</v>
      </c>
      <c r="M4562">
        <v>-0.99989570000000005</v>
      </c>
      <c r="N4562">
        <v>0</v>
      </c>
      <c r="O4562">
        <v>-5.7356080000000003E-4</v>
      </c>
      <c r="P4562">
        <v>-0.99845399999999995</v>
      </c>
      <c r="Q4562">
        <v>3.7019199999999898E-2</v>
      </c>
      <c r="R4562">
        <v>-4.146524E-2</v>
      </c>
      <c r="S4562">
        <v>-3.0040279999999999</v>
      </c>
      <c r="T4562">
        <v>-6.6846489999999995E-2</v>
      </c>
      <c r="U4562">
        <v>-7.4920650000000005E-2</v>
      </c>
      <c r="V4562">
        <v>-4.0819189999999998E-2</v>
      </c>
      <c r="W4562">
        <v>5.1490719999999997E-2</v>
      </c>
      <c r="X4562">
        <v>0.99783889999999997</v>
      </c>
      <c r="Y4562">
        <v>-2.435298E-2</v>
      </c>
      <c r="Z4562">
        <v>-2.5811829999999999E-4</v>
      </c>
      <c r="AA4562">
        <v>0.99970340000000002</v>
      </c>
      <c r="AB4562">
        <v>32</v>
      </c>
      <c r="AC4562">
        <v>-49.308900000000001</v>
      </c>
      <c r="AD4562">
        <v>-1.104317432909</v>
      </c>
      <c r="AE4562">
        <v>-1.23799999999999</v>
      </c>
      <c r="AF4562">
        <v>-1.2091091200255499</v>
      </c>
      <c r="AG4562">
        <v>-1.104317432909</v>
      </c>
      <c r="AH4562">
        <v>49.284897453713803</v>
      </c>
      <c r="AI4562">
        <v>91.283214995405501</v>
      </c>
      <c r="AJ4562">
        <v>91.405358630584303</v>
      </c>
      <c r="AK4562">
        <v>49.312093637158</v>
      </c>
    </row>
    <row r="4563" spans="1:37" x14ac:dyDescent="0.2">
      <c r="A4563" t="str">
        <f>"20200111155641551"</f>
        <v>20200111155641551</v>
      </c>
      <c r="B4563" t="str">
        <f>"1578729401547178"</f>
        <v>1578729401547178</v>
      </c>
      <c r="C4563" t="s">
        <v>37</v>
      </c>
      <c r="D4563">
        <v>4.5526179999999998</v>
      </c>
      <c r="E4563">
        <v>0.5077642</v>
      </c>
      <c r="F4563" t="s">
        <v>38</v>
      </c>
      <c r="G4563">
        <v>-338.27190000000002</v>
      </c>
      <c r="H4563" s="1">
        <v>-8.9667490000000003E-7</v>
      </c>
      <c r="I4563">
        <v>139.98949999999999</v>
      </c>
      <c r="J4563">
        <v>-288.15449999999998</v>
      </c>
      <c r="K4563">
        <v>1.104322</v>
      </c>
      <c r="L4563">
        <v>141.2216</v>
      </c>
      <c r="M4563">
        <v>-0.9998958</v>
      </c>
      <c r="N4563">
        <v>0</v>
      </c>
      <c r="O4563" s="1">
        <v>9.2846529999999995E-5</v>
      </c>
      <c r="P4563">
        <v>-0.99847819999999898</v>
      </c>
      <c r="Q4563">
        <v>3.715152E-2</v>
      </c>
      <c r="R4563">
        <v>-4.0756229999999997E-2</v>
      </c>
      <c r="S4563">
        <v>-3.0040279999999999</v>
      </c>
      <c r="T4563">
        <v>-6.5760139999999995E-2</v>
      </c>
      <c r="U4563">
        <v>-7.3333739999999994E-2</v>
      </c>
      <c r="V4563">
        <v>-4.0776099999999899E-2</v>
      </c>
      <c r="W4563">
        <v>5.16193E-2</v>
      </c>
      <c r="X4563">
        <v>0.997834</v>
      </c>
      <c r="Y4563">
        <v>-2.4491470000000001E-2</v>
      </c>
      <c r="Z4563">
        <v>-2.7002729999999999E-4</v>
      </c>
      <c r="AA4563">
        <v>0.99970000000000003</v>
      </c>
      <c r="AB4563">
        <v>32</v>
      </c>
      <c r="AC4563">
        <v>-50.117400000000004</v>
      </c>
      <c r="AD4563">
        <v>-1.1043228966748999</v>
      </c>
      <c r="AE4563">
        <v>-1.2321</v>
      </c>
      <c r="AF4563">
        <v>-1.23615388035617</v>
      </c>
      <c r="AG4563">
        <v>-1.1043228966748999</v>
      </c>
      <c r="AH4563">
        <v>50.092978477655301</v>
      </c>
      <c r="AI4563">
        <v>91.262523181497599</v>
      </c>
      <c r="AJ4563">
        <v>91.413611860884203</v>
      </c>
      <c r="AK4563">
        <v>50.1203960303475</v>
      </c>
    </row>
    <row r="4564" spans="1:37" x14ac:dyDescent="0.2">
      <c r="A4564" t="str">
        <f>"20200111155641574"</f>
        <v>20200111155641574</v>
      </c>
      <c r="B4564" t="str">
        <f>"1578729401567673"</f>
        <v>1578729401567673</v>
      </c>
      <c r="C4564" t="s">
        <v>37</v>
      </c>
      <c r="D4564">
        <v>4.4719259999999998</v>
      </c>
      <c r="E4564">
        <v>0.50780990000000004</v>
      </c>
      <c r="F4564" t="s">
        <v>38</v>
      </c>
      <c r="G4564">
        <v>-339.60090000000002</v>
      </c>
      <c r="H4564" s="1">
        <v>-2.7293219999999998E-7</v>
      </c>
      <c r="I4564">
        <v>140.00649999999999</v>
      </c>
      <c r="J4564">
        <v>-288.48140000000001</v>
      </c>
      <c r="K4564">
        <v>1.104322</v>
      </c>
      <c r="L4564">
        <v>141.22229999999999</v>
      </c>
      <c r="M4564">
        <v>-0.99989570000000005</v>
      </c>
      <c r="N4564">
        <v>0</v>
      </c>
      <c r="O4564">
        <v>7.5371039999999904E-4</v>
      </c>
      <c r="P4564">
        <v>-0.99848099999999995</v>
      </c>
      <c r="Q4564">
        <v>3.7928419999999997E-2</v>
      </c>
      <c r="R4564">
        <v>-3.996765E-2</v>
      </c>
      <c r="S4564">
        <v>-3.004089</v>
      </c>
      <c r="T4564">
        <v>-6.4484239999999998E-2</v>
      </c>
      <c r="U4564">
        <v>-7.0953370000000002E-2</v>
      </c>
      <c r="V4564">
        <v>-4.0646460000000002E-2</v>
      </c>
      <c r="W4564">
        <v>5.2391670000000001E-2</v>
      </c>
      <c r="X4564">
        <v>0.99779899999999999</v>
      </c>
      <c r="Y4564">
        <v>-2.4360139999999999E-2</v>
      </c>
      <c r="Z4564">
        <v>-2.7756089999999997E-4</v>
      </c>
      <c r="AA4564">
        <v>0.99970319999999901</v>
      </c>
      <c r="AB4564">
        <v>32</v>
      </c>
      <c r="AC4564">
        <v>-51.119500000000002</v>
      </c>
      <c r="AD4564">
        <v>-1.1043222729322</v>
      </c>
      <c r="AE4564">
        <v>-1.2158</v>
      </c>
      <c r="AF4564">
        <v>-1.25374819400349</v>
      </c>
      <c r="AG4564">
        <v>-1.1043222729322</v>
      </c>
      <c r="AH4564">
        <v>51.094737648312801</v>
      </c>
      <c r="AI4564">
        <v>91.237781580230106</v>
      </c>
      <c r="AJ4564">
        <v>91.405625538581006</v>
      </c>
      <c r="AK4564">
        <v>51.122046394548597</v>
      </c>
    </row>
    <row r="4565" spans="1:37" x14ac:dyDescent="0.2">
      <c r="A4565" t="str">
        <f>"20200111155641596"</f>
        <v>20200111155641596</v>
      </c>
      <c r="B4565" t="str">
        <f>"1578729401587664"</f>
        <v>1578729401587664</v>
      </c>
      <c r="C4565" t="s">
        <v>37</v>
      </c>
      <c r="D4565">
        <v>4.515574</v>
      </c>
      <c r="E4565">
        <v>0.50778059999999903</v>
      </c>
      <c r="F4565" t="s">
        <v>38</v>
      </c>
      <c r="G4565">
        <v>-342.44310000000002</v>
      </c>
      <c r="H4565" s="1">
        <v>-3.325793E-6</v>
      </c>
      <c r="I4565">
        <v>139.9982</v>
      </c>
      <c r="J4565">
        <v>-288.79880000000003</v>
      </c>
      <c r="K4565">
        <v>1.104328</v>
      </c>
      <c r="L4565">
        <v>141.22329999999999</v>
      </c>
      <c r="M4565">
        <v>-0.99989499999999998</v>
      </c>
      <c r="N4565">
        <v>0</v>
      </c>
      <c r="O4565">
        <v>1.3959789999999899E-3</v>
      </c>
      <c r="P4565">
        <v>-0.99850759999999905</v>
      </c>
      <c r="Q4565">
        <v>3.7992079999999998E-2</v>
      </c>
      <c r="R4565">
        <v>-3.9236220000000002E-2</v>
      </c>
      <c r="S4565">
        <v>-3.004181</v>
      </c>
      <c r="T4565">
        <v>-6.1480519999999997E-2</v>
      </c>
      <c r="U4565">
        <v>-6.8145750000000005E-2</v>
      </c>
      <c r="V4565">
        <v>-4.0556420000000003E-2</v>
      </c>
      <c r="W4565">
        <v>5.2452150000000003E-2</v>
      </c>
      <c r="X4565">
        <v>0.99779959999999901</v>
      </c>
      <c r="Y4565">
        <v>-2.4068220000000001E-2</v>
      </c>
      <c r="Z4565">
        <v>-2.7478559999999998E-4</v>
      </c>
      <c r="AA4565">
        <v>0.99971030000000005</v>
      </c>
      <c r="AB4565">
        <v>32</v>
      </c>
      <c r="AC4565">
        <v>-53.644299999999902</v>
      </c>
      <c r="AD4565">
        <v>-1.1043313257930001</v>
      </c>
      <c r="AE4565">
        <v>-1.2250999999999901</v>
      </c>
      <c r="AF4565">
        <v>-1.2994425083724299</v>
      </c>
      <c r="AG4565">
        <v>-1.1043313257930001</v>
      </c>
      <c r="AH4565">
        <v>53.619825579069001</v>
      </c>
      <c r="AI4565">
        <v>91.179526695118994</v>
      </c>
      <c r="AJ4565">
        <v>91.388255189861795</v>
      </c>
      <c r="AK4565">
        <v>53.646936479536997</v>
      </c>
    </row>
    <row r="4566" spans="1:37" x14ac:dyDescent="0.2">
      <c r="A4566" t="str">
        <f>"20200111155641617"</f>
        <v>20200111155641617</v>
      </c>
      <c r="B4566" t="str">
        <f>"1578729401607183"</f>
        <v>1578729401607183</v>
      </c>
      <c r="C4566" t="s">
        <v>37</v>
      </c>
      <c r="D4566">
        <v>4.5231579999999996</v>
      </c>
      <c r="E4566">
        <v>0.50771499999999903</v>
      </c>
      <c r="F4566" t="s">
        <v>38</v>
      </c>
      <c r="G4566">
        <v>-343.1223</v>
      </c>
      <c r="H4566" s="1">
        <v>-3.0421999999999999E-6</v>
      </c>
      <c r="I4566">
        <v>140.0273</v>
      </c>
      <c r="J4566">
        <v>-289.10789999999997</v>
      </c>
      <c r="K4566">
        <v>1.1043339999999999</v>
      </c>
      <c r="L4566">
        <v>141.2243</v>
      </c>
      <c r="M4566">
        <v>-0.99989399999999995</v>
      </c>
      <c r="N4566">
        <v>0</v>
      </c>
      <c r="O4566">
        <v>2.0211410000000002E-3</v>
      </c>
      <c r="P4566">
        <v>-0.99852070000000004</v>
      </c>
      <c r="Q4566">
        <v>3.8090600000000002E-2</v>
      </c>
      <c r="R4566">
        <v>-3.8803980000000002E-2</v>
      </c>
      <c r="S4566">
        <v>-3.0042110000000002</v>
      </c>
      <c r="T4566">
        <v>-6.1072109999999999E-2</v>
      </c>
      <c r="U4566">
        <v>-6.6131590000000004E-2</v>
      </c>
      <c r="V4566">
        <v>-4.0748430000000002E-2</v>
      </c>
      <c r="W4566">
        <v>5.2547389999999999E-2</v>
      </c>
      <c r="X4566">
        <v>0.99778670000000003</v>
      </c>
      <c r="Y4566">
        <v>-2.4023070000000001E-2</v>
      </c>
      <c r="Z4566">
        <v>-2.8520839999999998E-4</v>
      </c>
      <c r="AA4566">
        <v>0.99971129999999997</v>
      </c>
      <c r="AB4566">
        <v>32</v>
      </c>
      <c r="AC4566">
        <v>-54.014400000000002</v>
      </c>
      <c r="AD4566">
        <v>-1.1043370421999901</v>
      </c>
      <c r="AE4566">
        <v>-1.1970000000000001</v>
      </c>
      <c r="AF4566">
        <v>-1.30563412623075</v>
      </c>
      <c r="AG4566">
        <v>-1.1043370421999901</v>
      </c>
      <c r="AH4566">
        <v>53.989313229911197</v>
      </c>
      <c r="AI4566">
        <v>91.171464116024197</v>
      </c>
      <c r="AJ4566">
        <v>91.385325030982898</v>
      </c>
      <c r="AK4566">
        <v>54.016388104091298</v>
      </c>
    </row>
    <row r="4567" spans="1:37" x14ac:dyDescent="0.2">
      <c r="A4567" t="str">
        <f>"20200111155641641"</f>
        <v>20200111155641641</v>
      </c>
      <c r="B4567" t="str">
        <f>"1578729401637440"</f>
        <v>1578729401637440</v>
      </c>
      <c r="C4567" t="s">
        <v>37</v>
      </c>
      <c r="D4567">
        <v>4.6384749999999997</v>
      </c>
      <c r="E4567">
        <v>0.50775649999999894</v>
      </c>
      <c r="F4567" t="s">
        <v>38</v>
      </c>
      <c r="G4567">
        <v>-344.09519999999998</v>
      </c>
      <c r="H4567" s="1">
        <v>-2.6242120000000001E-6</v>
      </c>
      <c r="I4567">
        <v>140.02500000000001</v>
      </c>
      <c r="J4567">
        <v>-289.43400000000003</v>
      </c>
      <c r="K4567">
        <v>1.104339</v>
      </c>
      <c r="L4567">
        <v>141.22569999999999</v>
      </c>
      <c r="M4567">
        <v>-0.99989240000000001</v>
      </c>
      <c r="N4567">
        <v>0</v>
      </c>
      <c r="O4567">
        <v>2.6812300000000002E-3</v>
      </c>
      <c r="P4567">
        <v>-0.99856259999999997</v>
      </c>
      <c r="Q4567">
        <v>3.8261370000000003E-2</v>
      </c>
      <c r="R4567">
        <v>-3.7535489999999998E-2</v>
      </c>
      <c r="S4567">
        <v>-3.0042719999999998</v>
      </c>
      <c r="T4567">
        <v>-6.0336349999999997E-2</v>
      </c>
      <c r="U4567">
        <v>-6.5521239999999994E-2</v>
      </c>
      <c r="V4567">
        <v>-4.0139069999999999E-2</v>
      </c>
      <c r="W4567">
        <v>5.2713580000000003E-2</v>
      </c>
      <c r="X4567">
        <v>0.99780270000000004</v>
      </c>
      <c r="Y4567">
        <v>-2.447949E-2</v>
      </c>
      <c r="Z4567">
        <v>-2.9960579999999999E-4</v>
      </c>
      <c r="AA4567">
        <v>0.99970029999999999</v>
      </c>
      <c r="AB4567">
        <v>32</v>
      </c>
      <c r="AC4567">
        <v>-54.661199999999901</v>
      </c>
      <c r="AD4567">
        <v>-1.1043416242120001</v>
      </c>
      <c r="AE4567">
        <v>-1.2006999999999799</v>
      </c>
      <c r="AF4567">
        <v>-1.3467207415957601</v>
      </c>
      <c r="AG4567">
        <v>-1.1043416242120001</v>
      </c>
      <c r="AH4567">
        <v>54.6354935934352</v>
      </c>
      <c r="AI4567">
        <v>91.1576045079116</v>
      </c>
      <c r="AJ4567">
        <v>91.412008714201505</v>
      </c>
      <c r="AK4567">
        <v>54.6632453059376</v>
      </c>
    </row>
    <row r="4568" spans="1:37" x14ac:dyDescent="0.2">
      <c r="A4568" t="str">
        <f>"20200111155641663"</f>
        <v>20200111155641663</v>
      </c>
      <c r="B4568" t="str">
        <f>"1578729401656960"</f>
        <v>1578729401656960</v>
      </c>
      <c r="C4568" t="s">
        <v>37</v>
      </c>
      <c r="D4568">
        <v>4.5796570000000001</v>
      </c>
      <c r="E4568">
        <v>0.53034590000000004</v>
      </c>
      <c r="F4568" t="s">
        <v>38</v>
      </c>
      <c r="G4568">
        <v>-344.77690000000001</v>
      </c>
      <c r="H4568" s="1">
        <v>-2.35017799999999E-6</v>
      </c>
      <c r="I4568">
        <v>140.0943</v>
      </c>
      <c r="J4568">
        <v>-289.76089999999999</v>
      </c>
      <c r="K4568">
        <v>1.10433799999999</v>
      </c>
      <c r="L4568">
        <v>141.22730000000001</v>
      </c>
      <c r="M4568">
        <v>-0.99989050000000002</v>
      </c>
      <c r="N4568">
        <v>0</v>
      </c>
      <c r="O4568">
        <v>3.3430479999999999E-3</v>
      </c>
      <c r="P4568">
        <v>-0.99860979999999999</v>
      </c>
      <c r="Q4568">
        <v>3.8278020000000003E-2</v>
      </c>
      <c r="R4568">
        <v>-3.6243450000000003E-2</v>
      </c>
      <c r="S4568">
        <v>-3.0042419999999899</v>
      </c>
      <c r="T4568">
        <v>-5.9948330000000001E-2</v>
      </c>
      <c r="U4568">
        <v>-6.141663E-2</v>
      </c>
      <c r="V4568">
        <v>-3.9508139999999997E-2</v>
      </c>
      <c r="W4568">
        <v>5.2725960000000002E-2</v>
      </c>
      <c r="X4568">
        <v>0.99782719999999903</v>
      </c>
      <c r="Y4568">
        <v>-2.3776220000000001E-2</v>
      </c>
      <c r="Z4568">
        <v>-3.038766E-4</v>
      </c>
      <c r="AA4568">
        <v>0.99971719999999897</v>
      </c>
      <c r="AB4568">
        <v>32</v>
      </c>
      <c r="AC4568">
        <v>-55.015999999999998</v>
      </c>
      <c r="AD4568">
        <v>-1.10434035017799</v>
      </c>
      <c r="AE4568">
        <v>-1.133</v>
      </c>
      <c r="AF4568">
        <v>-1.31640371818149</v>
      </c>
      <c r="AG4568">
        <v>-1.10434035017799</v>
      </c>
      <c r="AH4568">
        <v>54.9897568990081</v>
      </c>
      <c r="AI4568">
        <v>91.150167321997998</v>
      </c>
      <c r="AJ4568">
        <v>91.371345835043499</v>
      </c>
      <c r="AK4568">
        <v>55.016596133987498</v>
      </c>
    </row>
    <row r="4569" spans="1:37" x14ac:dyDescent="0.2">
      <c r="A4569" t="str">
        <f>"20200111155641685"</f>
        <v>20200111155641685</v>
      </c>
      <c r="B4569" t="str">
        <f>"1578729401677456"</f>
        <v>1578729401677456</v>
      </c>
      <c r="C4569" t="s">
        <v>37</v>
      </c>
      <c r="D4569">
        <v>4.6031139999999997</v>
      </c>
      <c r="E4569">
        <v>0.53226609999999996</v>
      </c>
      <c r="F4569" t="s">
        <v>38</v>
      </c>
      <c r="G4569">
        <v>-330.68360000000001</v>
      </c>
      <c r="H4569" s="1">
        <v>-5.0276059999999997E-6</v>
      </c>
      <c r="I4569">
        <v>142.8794</v>
      </c>
      <c r="J4569">
        <v>-290.07080000000002</v>
      </c>
      <c r="K4569">
        <v>1.10433799999999</v>
      </c>
      <c r="L4569">
        <v>141.22899999999899</v>
      </c>
      <c r="M4569">
        <v>-0.9998882</v>
      </c>
      <c r="N4569">
        <v>0</v>
      </c>
      <c r="O4569">
        <v>3.970655E-3</v>
      </c>
      <c r="P4569">
        <v>-0.99866010000000005</v>
      </c>
      <c r="Q4569">
        <v>3.7940080000000001E-2</v>
      </c>
      <c r="R4569">
        <v>-3.5195909999999997E-2</v>
      </c>
      <c r="S4569">
        <v>-3.0117189999999998</v>
      </c>
      <c r="T4569">
        <v>-8.1274509999999994E-2</v>
      </c>
      <c r="U4569">
        <v>0.121582</v>
      </c>
      <c r="V4569">
        <v>-3.9088709999999999E-2</v>
      </c>
      <c r="W4569">
        <v>5.238454E-2</v>
      </c>
      <c r="X4569">
        <v>0.99786169999999996</v>
      </c>
      <c r="Y4569">
        <v>3.6356869999999999E-2</v>
      </c>
      <c r="Z4569">
        <v>3.8317789999999999E-4</v>
      </c>
      <c r="AA4569">
        <v>0.99933879999999997</v>
      </c>
      <c r="AB4569">
        <v>32</v>
      </c>
      <c r="AC4569">
        <v>-40.612799999999901</v>
      </c>
      <c r="AD4569">
        <v>-1.10434302760599</v>
      </c>
      <c r="AE4569">
        <v>1.6504000000000101</v>
      </c>
      <c r="AF4569">
        <v>1.4880123812955599</v>
      </c>
      <c r="AG4569">
        <v>-1.10434302760599</v>
      </c>
      <c r="AH4569">
        <v>40.589071364920102</v>
      </c>
      <c r="AI4569">
        <v>91.557467083904299</v>
      </c>
      <c r="AJ4569">
        <v>87.900452941042104</v>
      </c>
      <c r="AK4569">
        <v>40.631348348732999</v>
      </c>
    </row>
    <row r="4570" spans="1:37" x14ac:dyDescent="0.2">
      <c r="A4570" t="str">
        <f>"20200111155641707"</f>
        <v>20200111155641707</v>
      </c>
      <c r="B4570" t="str">
        <f>"1578729401696975"</f>
        <v>1578729401696975</v>
      </c>
      <c r="C4570" t="s">
        <v>37</v>
      </c>
      <c r="D4570">
        <v>4.6265499999999999</v>
      </c>
      <c r="E4570">
        <v>0.53424159999999998</v>
      </c>
      <c r="F4570" t="s">
        <v>38</v>
      </c>
      <c r="G4570">
        <v>-332.32159999999999</v>
      </c>
      <c r="H4570" s="1">
        <v>-4.4548149999999901E-6</v>
      </c>
      <c r="I4570">
        <v>143.19649999999999</v>
      </c>
      <c r="J4570">
        <v>-290.37479999999999</v>
      </c>
      <c r="K4570">
        <v>1.104339</v>
      </c>
      <c r="L4570">
        <v>141.23089999999999</v>
      </c>
      <c r="M4570">
        <v>-0.99988569999999999</v>
      </c>
      <c r="N4570">
        <v>0</v>
      </c>
      <c r="O4570">
        <v>4.5861629999999999E-3</v>
      </c>
      <c r="P4570">
        <v>-0.99867839999999997</v>
      </c>
      <c r="Q4570">
        <v>3.8122620000000003E-2</v>
      </c>
      <c r="R4570">
        <v>-3.4475810000000003E-2</v>
      </c>
      <c r="S4570">
        <v>-3.0119929999999999</v>
      </c>
      <c r="T4570">
        <v>-7.8726889999999994E-2</v>
      </c>
      <c r="U4570">
        <v>0.14025879999999999</v>
      </c>
      <c r="V4570">
        <v>-3.8982700000000002E-2</v>
      </c>
      <c r="W4570">
        <v>5.2563099999999897E-2</v>
      </c>
      <c r="X4570">
        <v>0.99785639999999998</v>
      </c>
      <c r="Y4570">
        <v>4.1921470000000002E-2</v>
      </c>
      <c r="Z4570">
        <v>4.2768180000000002E-4</v>
      </c>
      <c r="AA4570">
        <v>0.99912080000000003</v>
      </c>
      <c r="AB4570">
        <v>32</v>
      </c>
      <c r="AC4570">
        <v>-41.946800000000003</v>
      </c>
      <c r="AD4570">
        <v>-1.104343454815</v>
      </c>
      <c r="AE4570">
        <v>1.96559999999999</v>
      </c>
      <c r="AF4570">
        <v>1.77195899958478</v>
      </c>
      <c r="AG4570">
        <v>-1.104343454815</v>
      </c>
      <c r="AH4570">
        <v>41.9263777833376</v>
      </c>
      <c r="AI4570">
        <v>91.507480480645896</v>
      </c>
      <c r="AJ4570">
        <v>87.579915236872495</v>
      </c>
      <c r="AK4570">
        <v>41.978334497613801</v>
      </c>
    </row>
    <row r="4571" spans="1:37" x14ac:dyDescent="0.2">
      <c r="A4571" t="str">
        <f>"20200111155641730"</f>
        <v>20200111155641730</v>
      </c>
      <c r="B4571" t="str">
        <f>"1578729401727232"</f>
        <v>1578729401727232</v>
      </c>
      <c r="C4571" t="s">
        <v>37</v>
      </c>
      <c r="D4571">
        <v>4.707122</v>
      </c>
      <c r="E4571">
        <v>0.53435120000000003</v>
      </c>
      <c r="F4571" t="s">
        <v>38</v>
      </c>
      <c r="G4571">
        <v>-337.53399999999999</v>
      </c>
      <c r="H4571" s="1">
        <v>-2.23685599999999E-6</v>
      </c>
      <c r="I4571">
        <v>143.71539999999999</v>
      </c>
      <c r="J4571">
        <v>-290.70170000000002</v>
      </c>
      <c r="K4571">
        <v>1.1043399999999901</v>
      </c>
      <c r="L4571">
        <v>141.23310000000001</v>
      </c>
      <c r="M4571">
        <v>-0.99988259999999995</v>
      </c>
      <c r="N4571">
        <v>0</v>
      </c>
      <c r="O4571">
        <v>5.2483969999999897E-3</v>
      </c>
      <c r="P4571">
        <v>-0.99866829999999995</v>
      </c>
      <c r="Q4571">
        <v>3.8593910000000002E-2</v>
      </c>
      <c r="R4571">
        <v>-3.4242259999999997E-2</v>
      </c>
      <c r="S4571">
        <v>-3.012146</v>
      </c>
      <c r="T4571">
        <v>-7.0536379999999996E-2</v>
      </c>
      <c r="U4571">
        <v>0.15869140000000001</v>
      </c>
      <c r="V4571">
        <v>-3.9410439999999998E-2</v>
      </c>
      <c r="W4571">
        <v>5.3030710000000002E-2</v>
      </c>
      <c r="X4571">
        <v>0.99781489999999995</v>
      </c>
      <c r="Y4571">
        <v>4.7356969999999998E-2</v>
      </c>
      <c r="Z4571">
        <v>4.3121699999999899E-4</v>
      </c>
      <c r="AA4571">
        <v>0.99887789999999999</v>
      </c>
      <c r="AB4571">
        <v>32</v>
      </c>
      <c r="AC4571">
        <v>-46.832299999999897</v>
      </c>
      <c r="AD4571">
        <v>-1.1043422368560001</v>
      </c>
      <c r="AE4571">
        <v>2.48229999999998</v>
      </c>
      <c r="AF4571">
        <v>2.23520641651375</v>
      </c>
      <c r="AG4571">
        <v>-1.1043422368560001</v>
      </c>
      <c r="AH4571">
        <v>46.8187235253748</v>
      </c>
      <c r="AI4571">
        <v>91.349683785795506</v>
      </c>
      <c r="AJ4571">
        <v>87.266676305920598</v>
      </c>
      <c r="AK4571">
        <v>46.885057236245501</v>
      </c>
    </row>
    <row r="4572" spans="1:37" x14ac:dyDescent="0.2">
      <c r="A4572" t="str">
        <f>"20200111155641752"</f>
        <v>20200111155641752</v>
      </c>
      <c r="B4572" t="str">
        <f>"1578729401747728"</f>
        <v>1578729401747728</v>
      </c>
      <c r="C4572" t="s">
        <v>37</v>
      </c>
      <c r="D4572">
        <v>4.6535000000000002</v>
      </c>
      <c r="E4572">
        <v>0.53445019999999999</v>
      </c>
      <c r="F4572" t="s">
        <v>38</v>
      </c>
      <c r="G4572">
        <v>-340.00459999999998</v>
      </c>
      <c r="H4572" s="1">
        <v>-5.0269549999999997E-6</v>
      </c>
      <c r="I4572">
        <v>143.85849999999999</v>
      </c>
      <c r="J4572">
        <v>-291.02620000000002</v>
      </c>
      <c r="K4572">
        <v>1.104344</v>
      </c>
      <c r="L4572">
        <v>141.2355</v>
      </c>
      <c r="M4572">
        <v>-0.99987890000000001</v>
      </c>
      <c r="N4572">
        <v>0</v>
      </c>
      <c r="O4572">
        <v>5.9060419999999898E-3</v>
      </c>
      <c r="P4572">
        <v>-0.99868959999999996</v>
      </c>
      <c r="Q4572">
        <v>3.8496349999999999E-2</v>
      </c>
      <c r="R4572">
        <v>-3.3725869999999998E-2</v>
      </c>
      <c r="S4572">
        <v>-3.0121150000000001</v>
      </c>
      <c r="T4572">
        <v>-6.7469000000000001E-2</v>
      </c>
      <c r="U4572">
        <v>0.1604004</v>
      </c>
      <c r="V4572">
        <v>-3.9551009999999998E-2</v>
      </c>
      <c r="W4572">
        <v>5.2929759999999999E-2</v>
      </c>
      <c r="X4572">
        <v>0.99781469999999906</v>
      </c>
      <c r="Y4572">
        <v>4.7266830000000003E-2</v>
      </c>
      <c r="Z4572">
        <v>3.9674029999999899E-4</v>
      </c>
      <c r="AA4572">
        <v>0.99888220000000005</v>
      </c>
      <c r="AB4572">
        <v>32</v>
      </c>
      <c r="AC4572">
        <v>-48.978399999999901</v>
      </c>
      <c r="AD4572">
        <v>-1.104349026955</v>
      </c>
      <c r="AE4572">
        <v>2.62299999999999</v>
      </c>
      <c r="AF4572">
        <v>2.33247333519836</v>
      </c>
      <c r="AG4572">
        <v>-1.104349026955</v>
      </c>
      <c r="AH4572">
        <v>48.968214626290603</v>
      </c>
      <c r="AI4572">
        <v>91.2904736880879</v>
      </c>
      <c r="AJ4572">
        <v>87.272925995566794</v>
      </c>
      <c r="AK4572">
        <v>49.036170958989103</v>
      </c>
    </row>
    <row r="4573" spans="1:37" x14ac:dyDescent="0.2">
      <c r="A4573" t="str">
        <f>"20200111155641774"</f>
        <v>20200111155641774</v>
      </c>
      <c r="B4573" t="str">
        <f>"1578729401767248"</f>
        <v>1578729401767248</v>
      </c>
      <c r="C4573" t="s">
        <v>37</v>
      </c>
      <c r="D4573">
        <v>4.6987750000000004</v>
      </c>
      <c r="E4573">
        <v>0.53411189999999997</v>
      </c>
      <c r="F4573" t="s">
        <v>38</v>
      </c>
      <c r="G4573">
        <v>-338.714</v>
      </c>
      <c r="H4573" s="1">
        <v>-1.703191E-6</v>
      </c>
      <c r="I4573">
        <v>143.80619999999999</v>
      </c>
      <c r="J4573">
        <v>-291.33390000000003</v>
      </c>
      <c r="K4573">
        <v>1.1043459999999901</v>
      </c>
      <c r="L4573">
        <v>141.238</v>
      </c>
      <c r="M4573">
        <v>-0.99987499999999996</v>
      </c>
      <c r="N4573">
        <v>0</v>
      </c>
      <c r="O4573">
        <v>6.5300130000000003E-3</v>
      </c>
      <c r="P4573">
        <v>-0.99873199999999995</v>
      </c>
      <c r="Q4573">
        <v>3.8016380000000002E-2</v>
      </c>
      <c r="R4573">
        <v>-3.3002879999999998E-2</v>
      </c>
      <c r="S4573">
        <v>-3.0121150000000001</v>
      </c>
      <c r="T4573">
        <v>-6.9753999999999997E-2</v>
      </c>
      <c r="U4573">
        <v>0.16236879999999901</v>
      </c>
      <c r="V4573">
        <v>-3.9452099999999997E-2</v>
      </c>
      <c r="W4573">
        <v>5.244596E-2</v>
      </c>
      <c r="X4573">
        <v>0.99784419999999996</v>
      </c>
      <c r="Y4573">
        <v>4.729382E-2</v>
      </c>
      <c r="Z4573">
        <v>3.9604110000000001E-4</v>
      </c>
      <c r="AA4573">
        <v>0.99888089999999996</v>
      </c>
      <c r="AB4573">
        <v>32</v>
      </c>
      <c r="AC4573">
        <v>-47.380099999999899</v>
      </c>
      <c r="AD4573">
        <v>-1.1043477031909901</v>
      </c>
      <c r="AE4573">
        <v>2.5681999999999898</v>
      </c>
      <c r="AF4573">
        <v>2.2574976343078501</v>
      </c>
      <c r="AG4573">
        <v>-1.1043477031909901</v>
      </c>
      <c r="AH4573">
        <v>47.370202072999803</v>
      </c>
      <c r="AI4573">
        <v>91.333988639972901</v>
      </c>
      <c r="AJ4573">
        <v>87.271548485100297</v>
      </c>
      <c r="AK4573">
        <v>47.436820338796799</v>
      </c>
    </row>
    <row r="4574" spans="1:37" x14ac:dyDescent="0.2">
      <c r="A4574" t="str">
        <f>"20200111155641796"</f>
        <v>20200111155641796</v>
      </c>
      <c r="B4574" t="str">
        <f>"1578729401786767"</f>
        <v>1578729401786767</v>
      </c>
      <c r="C4574" t="s">
        <v>37</v>
      </c>
      <c r="D4574">
        <v>4.9434909999999999</v>
      </c>
      <c r="E4574">
        <v>0.53404589999999996</v>
      </c>
      <c r="F4574" t="s">
        <v>38</v>
      </c>
      <c r="G4574">
        <v>-338.55090000000001</v>
      </c>
      <c r="H4574" s="1">
        <v>-1.771387E-6</v>
      </c>
      <c r="I4574">
        <v>143.77269999999999</v>
      </c>
      <c r="J4574">
        <v>-291.64420000000001</v>
      </c>
      <c r="K4574">
        <v>1.104341</v>
      </c>
      <c r="L4574">
        <v>141.2407</v>
      </c>
      <c r="M4574">
        <v>-0.99987079999999995</v>
      </c>
      <c r="N4574">
        <v>0</v>
      </c>
      <c r="O4574">
        <v>7.1588149999999998E-3</v>
      </c>
      <c r="P4574">
        <v>-0.99877079999999996</v>
      </c>
      <c r="Q4574">
        <v>3.7807929999999997E-2</v>
      </c>
      <c r="R4574">
        <v>-3.2059959999999998E-2</v>
      </c>
      <c r="S4574">
        <v>-3.01187099999999</v>
      </c>
      <c r="T4574">
        <v>-7.0443989999999998E-2</v>
      </c>
      <c r="U4574">
        <v>0.1616821</v>
      </c>
      <c r="V4574">
        <v>-3.913755E-2</v>
      </c>
      <c r="W4574">
        <v>5.2234059999999999E-2</v>
      </c>
      <c r="X4574">
        <v>0.99786759999999997</v>
      </c>
      <c r="Y4574">
        <v>4.6443089999999999E-2</v>
      </c>
      <c r="Z4574">
        <v>3.7535779999999999E-4</v>
      </c>
      <c r="AA4574">
        <v>0.9989209</v>
      </c>
      <c r="AB4574">
        <v>32</v>
      </c>
      <c r="AC4574">
        <v>-46.906700000000001</v>
      </c>
      <c r="AD4574">
        <v>-1.104342771387</v>
      </c>
      <c r="AE4574">
        <v>2.53199999999998</v>
      </c>
      <c r="AF4574">
        <v>2.1948908602905002</v>
      </c>
      <c r="AG4574">
        <v>-1.104342771387</v>
      </c>
      <c r="AH4574">
        <v>46.897706316010698</v>
      </c>
      <c r="AI4574">
        <v>91.347471927884499</v>
      </c>
      <c r="AJ4574">
        <v>87.320417282386202</v>
      </c>
      <c r="AK4574">
        <v>46.962026963793797</v>
      </c>
    </row>
    <row r="4575" spans="1:37" x14ac:dyDescent="0.2">
      <c r="A4575" t="str">
        <f>"20200111155641818"</f>
        <v>20200111155641818</v>
      </c>
      <c r="B4575" t="str">
        <f>"1578729401807264"</f>
        <v>1578729401807264</v>
      </c>
      <c r="C4575" t="s">
        <v>37</v>
      </c>
      <c r="D4575">
        <v>4.7353740000000002</v>
      </c>
      <c r="E4575">
        <v>0.53382929999999995</v>
      </c>
      <c r="F4575" t="s">
        <v>38</v>
      </c>
      <c r="G4575">
        <v>-338.23989999999998</v>
      </c>
      <c r="H4575" s="1">
        <v>-1.921112E-6</v>
      </c>
      <c r="I4575">
        <v>143.78280000000001</v>
      </c>
      <c r="J4575">
        <v>-291.96019999999999</v>
      </c>
      <c r="K4575">
        <v>1.104341</v>
      </c>
      <c r="L4575">
        <v>141.24369999999999</v>
      </c>
      <c r="M4575">
        <v>-0.99986609999999998</v>
      </c>
      <c r="N4575">
        <v>0</v>
      </c>
      <c r="O4575">
        <v>7.7995360000000001E-3</v>
      </c>
      <c r="P4575">
        <v>-0.99879150000000005</v>
      </c>
      <c r="Q4575">
        <v>3.7803679999999999E-2</v>
      </c>
      <c r="R4575">
        <v>-3.1414650000000002E-2</v>
      </c>
      <c r="S4575">
        <v>-3.0116580000000002</v>
      </c>
      <c r="T4575">
        <v>-7.1377869999999996E-2</v>
      </c>
      <c r="U4575">
        <v>0.1643066</v>
      </c>
      <c r="V4575">
        <v>-3.9132800000000002E-2</v>
      </c>
      <c r="W4575">
        <v>5.2226439999999999E-2</v>
      </c>
      <c r="X4575">
        <v>0.99786819999999898</v>
      </c>
      <c r="Y4575">
        <v>4.6674559999999997E-2</v>
      </c>
      <c r="Z4575">
        <v>3.6791969999999999E-4</v>
      </c>
      <c r="AA4575">
        <v>0.99891010000000002</v>
      </c>
      <c r="AB4575">
        <v>32</v>
      </c>
      <c r="AC4575">
        <v>-46.279699999999899</v>
      </c>
      <c r="AD4575">
        <v>-1.1043429211119999</v>
      </c>
      <c r="AE4575">
        <v>2.5391000000000101</v>
      </c>
      <c r="AF4575">
        <v>2.1767894394816198</v>
      </c>
      <c r="AG4575">
        <v>-1.1043429211119999</v>
      </c>
      <c r="AH4575">
        <v>46.2718292004772</v>
      </c>
      <c r="AI4575">
        <v>91.365675830559795</v>
      </c>
      <c r="AJ4575">
        <v>87.306590950530705</v>
      </c>
      <c r="AK4575">
        <v>46.336164743204399</v>
      </c>
    </row>
    <row r="4576" spans="1:37" x14ac:dyDescent="0.2">
      <c r="A4576" t="str">
        <f>"20200111155641842"</f>
        <v>20200111155641842</v>
      </c>
      <c r="B4576" t="str">
        <f>"1578729401837520"</f>
        <v>1578729401837520</v>
      </c>
      <c r="C4576" t="s">
        <v>37</v>
      </c>
      <c r="D4576">
        <v>4.7784570000000004</v>
      </c>
      <c r="E4576">
        <v>0.53362100000000001</v>
      </c>
      <c r="F4576" t="s">
        <v>38</v>
      </c>
      <c r="G4576">
        <v>-338.12549999999999</v>
      </c>
      <c r="H4576" s="1">
        <v>-1.971061E-6</v>
      </c>
      <c r="I4576">
        <v>143.76730000000001</v>
      </c>
      <c r="J4576">
        <v>-292.28930000000003</v>
      </c>
      <c r="K4576">
        <v>1.1043449999999999</v>
      </c>
      <c r="L4576">
        <v>141.24700000000001</v>
      </c>
      <c r="M4576">
        <v>-0.99986059999999999</v>
      </c>
      <c r="N4576">
        <v>0</v>
      </c>
      <c r="O4576">
        <v>8.4671969999999992E-3</v>
      </c>
      <c r="P4576">
        <v>-0.99882380000000004</v>
      </c>
      <c r="Q4576">
        <v>3.7616400000000001E-2</v>
      </c>
      <c r="R4576">
        <v>-3.0596809999999999E-2</v>
      </c>
      <c r="S4576">
        <v>-3.011536</v>
      </c>
      <c r="T4576">
        <v>-7.2040560000000003E-2</v>
      </c>
      <c r="U4576">
        <v>0.1646271</v>
      </c>
      <c r="V4576">
        <v>-3.8982360000000001E-2</v>
      </c>
      <c r="W4576">
        <v>5.203501E-2</v>
      </c>
      <c r="X4576">
        <v>0.997884199999999</v>
      </c>
      <c r="Y4576">
        <v>4.611585E-2</v>
      </c>
      <c r="Z4576">
        <v>3.4871510000000002E-4</v>
      </c>
      <c r="AA4576">
        <v>0.99893609999999899</v>
      </c>
      <c r="AB4576">
        <v>32</v>
      </c>
      <c r="AC4576">
        <v>-45.836199999999899</v>
      </c>
      <c r="AD4576">
        <v>-1.1043469710610001</v>
      </c>
      <c r="AE4576">
        <v>2.52029999999999</v>
      </c>
      <c r="AF4576">
        <v>2.1308321122400402</v>
      </c>
      <c r="AG4576">
        <v>-1.1043469710610001</v>
      </c>
      <c r="AH4576">
        <v>45.829375387425102</v>
      </c>
      <c r="AI4576">
        <v>91.378895850173606</v>
      </c>
      <c r="AJ4576">
        <v>87.337955745743102</v>
      </c>
      <c r="AK4576">
        <v>45.8921744540894</v>
      </c>
    </row>
    <row r="4577" spans="1:37" x14ac:dyDescent="0.2">
      <c r="A4577" t="str">
        <f>"20200111155641864"</f>
        <v>20200111155641864</v>
      </c>
      <c r="B4577" t="str">
        <f>"1578729401857039"</f>
        <v>1578729401857039</v>
      </c>
      <c r="C4577" t="s">
        <v>37</v>
      </c>
      <c r="D4577">
        <v>4.7763519999999904</v>
      </c>
      <c r="E4577">
        <v>0.5335626</v>
      </c>
      <c r="F4577" t="s">
        <v>38</v>
      </c>
      <c r="G4577">
        <v>-337.80759999999998</v>
      </c>
      <c r="H4577" s="1">
        <v>-2.1161279999999999E-6</v>
      </c>
      <c r="I4577">
        <v>143.74789999999999</v>
      </c>
      <c r="J4577">
        <v>-292.60579999999999</v>
      </c>
      <c r="K4577">
        <v>1.1043479999999899</v>
      </c>
      <c r="L4577">
        <v>141.25040000000001</v>
      </c>
      <c r="M4577">
        <v>-0.99985499999999905</v>
      </c>
      <c r="N4577">
        <v>0</v>
      </c>
      <c r="O4577">
        <v>9.1091669999999996E-3</v>
      </c>
      <c r="P4577">
        <v>-0.99881880000000001</v>
      </c>
      <c r="Q4577">
        <v>3.7374129999999998E-2</v>
      </c>
      <c r="R4577">
        <v>-3.1052090000000001E-2</v>
      </c>
      <c r="S4577">
        <v>-3.01135299999999</v>
      </c>
      <c r="T4577">
        <v>-7.3060269999999997E-2</v>
      </c>
      <c r="U4577">
        <v>0.16545099999999999</v>
      </c>
      <c r="V4577">
        <v>-4.0079160000000003E-2</v>
      </c>
      <c r="W4577">
        <v>5.1790250000000003E-2</v>
      </c>
      <c r="X4577">
        <v>0.9978534</v>
      </c>
      <c r="Y4577">
        <v>4.5750289999999999E-2</v>
      </c>
      <c r="Z4577">
        <v>3.33677399999999E-4</v>
      </c>
      <c r="AA4577">
        <v>0.99895290000000003</v>
      </c>
      <c r="AB4577">
        <v>32</v>
      </c>
      <c r="AC4577">
        <v>-45.201799999999899</v>
      </c>
      <c r="AD4577">
        <v>-1.1043501161279901</v>
      </c>
      <c r="AE4577">
        <v>2.4974999999999699</v>
      </c>
      <c r="AF4577">
        <v>2.0843626198841401</v>
      </c>
      <c r="AG4577">
        <v>-1.1043501161279901</v>
      </c>
      <c r="AH4577">
        <v>45.195781430889703</v>
      </c>
      <c r="AI4577">
        <v>91.398247084439504</v>
      </c>
      <c r="AJ4577">
        <v>87.359474357730605</v>
      </c>
      <c r="AK4577">
        <v>45.257295719683903</v>
      </c>
    </row>
    <row r="4578" spans="1:37" x14ac:dyDescent="0.2">
      <c r="A4578" t="str">
        <f>"20200111155641886"</f>
        <v>20200111155641886</v>
      </c>
      <c r="B4578" t="str">
        <f>"1578729401877535"</f>
        <v>1578729401877535</v>
      </c>
      <c r="C4578" t="s">
        <v>37</v>
      </c>
      <c r="D4578">
        <v>4.7906909999999998</v>
      </c>
      <c r="E4578">
        <v>0.53323229999999999</v>
      </c>
      <c r="F4578" t="s">
        <v>38</v>
      </c>
      <c r="G4578">
        <v>-336.78179999999998</v>
      </c>
      <c r="H4578" s="1">
        <v>-2.5744880000000002E-6</v>
      </c>
      <c r="I4578">
        <v>143.6481</v>
      </c>
      <c r="J4578">
        <v>-292.91030000000001</v>
      </c>
      <c r="K4578">
        <v>1.104352</v>
      </c>
      <c r="L4578">
        <v>141.25380000000001</v>
      </c>
      <c r="M4578">
        <v>-0.99984919999999999</v>
      </c>
      <c r="N4578">
        <v>0</v>
      </c>
      <c r="O4578">
        <v>9.72711699999999E-3</v>
      </c>
      <c r="P4578">
        <v>-0.99879490000000004</v>
      </c>
      <c r="Q4578">
        <v>3.7537429999999997E-2</v>
      </c>
      <c r="R4578">
        <v>-3.1616539999999999E-2</v>
      </c>
      <c r="S4578">
        <v>-3.011444</v>
      </c>
      <c r="T4578">
        <v>-7.5282689999999999E-2</v>
      </c>
      <c r="U4578">
        <v>0.16345209999999999</v>
      </c>
      <c r="V4578">
        <v>-4.1260699999999997E-2</v>
      </c>
      <c r="W4578">
        <v>5.1950740000000002E-2</v>
      </c>
      <c r="X4578">
        <v>0.99779689999999999</v>
      </c>
      <c r="Y4578">
        <v>4.4470019999999999E-2</v>
      </c>
      <c r="Z4578">
        <v>3.1239819999999999E-4</v>
      </c>
      <c r="AA4578">
        <v>0.99901070000000003</v>
      </c>
      <c r="AB4578">
        <v>31</v>
      </c>
      <c r="AC4578">
        <v>-43.871499999999898</v>
      </c>
      <c r="AD4578">
        <v>-1.1043545744879999</v>
      </c>
      <c r="AE4578">
        <v>2.3942999999999799</v>
      </c>
      <c r="AF4578">
        <v>1.96615716017233</v>
      </c>
      <c r="AG4578">
        <v>-1.1043545744879999</v>
      </c>
      <c r="AH4578">
        <v>43.865003388688997</v>
      </c>
      <c r="AI4578">
        <v>91.440740018021302</v>
      </c>
      <c r="AJ4578">
        <v>87.433554174904103</v>
      </c>
      <c r="AK4578">
        <v>43.922931314910898</v>
      </c>
    </row>
    <row r="4579" spans="1:37" x14ac:dyDescent="0.2">
      <c r="A4579" t="str">
        <f>"20200111155641908"</f>
        <v>20200111155641908</v>
      </c>
      <c r="B4579" t="str">
        <f>"1578729401897056"</f>
        <v>1578729401897056</v>
      </c>
      <c r="C4579" t="s">
        <v>37</v>
      </c>
      <c r="D4579">
        <v>4.8186330000000002</v>
      </c>
      <c r="E4579">
        <v>0.53295769999999998</v>
      </c>
      <c r="F4579" t="s">
        <v>38</v>
      </c>
      <c r="G4579">
        <v>-337.17939999999999</v>
      </c>
      <c r="H4579" s="1">
        <v>-2.372011E-6</v>
      </c>
      <c r="I4579">
        <v>143.59350000000001</v>
      </c>
      <c r="J4579">
        <v>-293.22160000000002</v>
      </c>
      <c r="K4579">
        <v>1.1043540000000001</v>
      </c>
      <c r="L4579">
        <v>141.25749999999999</v>
      </c>
      <c r="M4579">
        <v>-0.99984309999999998</v>
      </c>
      <c r="N4579">
        <v>0</v>
      </c>
      <c r="O4579">
        <v>1.035895E-2</v>
      </c>
      <c r="P4579">
        <v>-0.99876330000000002</v>
      </c>
      <c r="Q4579">
        <v>3.8130789999999998E-2</v>
      </c>
      <c r="R4579">
        <v>-3.190979E-2</v>
      </c>
      <c r="S4579">
        <v>-3.0114749999999999</v>
      </c>
      <c r="T4579">
        <v>-7.5125460000000005E-2</v>
      </c>
      <c r="U4579">
        <v>0.15916440000000001</v>
      </c>
      <c r="V4579">
        <v>-4.2183360000000003E-2</v>
      </c>
      <c r="W4579">
        <v>5.2541199999999899E-2</v>
      </c>
      <c r="X4579">
        <v>0.99772739999999904</v>
      </c>
      <c r="Y4579">
        <v>4.2420630000000001E-2</v>
      </c>
      <c r="Z4579">
        <v>2.704661E-4</v>
      </c>
      <c r="AA4579">
        <v>0.99909979999999998</v>
      </c>
      <c r="AB4579">
        <v>31</v>
      </c>
      <c r="AC4579">
        <v>-43.957799999999899</v>
      </c>
      <c r="AD4579">
        <v>-1.1043563720109999</v>
      </c>
      <c r="AE4579">
        <v>2.3360000000000101</v>
      </c>
      <c r="AF4579">
        <v>1.87928815679025</v>
      </c>
      <c r="AG4579">
        <v>-1.1043563720109999</v>
      </c>
      <c r="AH4579">
        <v>43.951978883417198</v>
      </c>
      <c r="AI4579">
        <v>91.438022246669902</v>
      </c>
      <c r="AJ4579">
        <v>87.551652138486503</v>
      </c>
      <c r="AK4579">
        <v>44.005997031552397</v>
      </c>
    </row>
    <row r="4580" spans="1:37" x14ac:dyDescent="0.2">
      <c r="A4580" t="str">
        <f>"20200111155641931"</f>
        <v>20200111155641931</v>
      </c>
      <c r="B4580" t="str">
        <f>"1578729401927312"</f>
        <v>1578729401927312</v>
      </c>
      <c r="C4580" t="s">
        <v>37</v>
      </c>
      <c r="D4580">
        <v>4.9086099999999897</v>
      </c>
      <c r="E4580">
        <v>0.53296399999999999</v>
      </c>
      <c r="F4580" t="s">
        <v>38</v>
      </c>
      <c r="G4580">
        <v>-338.28019999999998</v>
      </c>
      <c r="H4580" s="1">
        <v>-1.851525E-6</v>
      </c>
      <c r="I4580">
        <v>143.59299999999999</v>
      </c>
      <c r="J4580">
        <v>-293.53370000000001</v>
      </c>
      <c r="K4580">
        <v>1.10436</v>
      </c>
      <c r="L4580">
        <v>141.26140000000001</v>
      </c>
      <c r="M4580">
        <v>-0.99983630000000001</v>
      </c>
      <c r="N4580">
        <v>0</v>
      </c>
      <c r="O4580">
        <v>1.099294E-2</v>
      </c>
      <c r="P4580">
        <v>-0.99874869999999905</v>
      </c>
      <c r="Q4580">
        <v>3.8689519999999998E-2</v>
      </c>
      <c r="R4580">
        <v>-3.168704E-2</v>
      </c>
      <c r="S4580">
        <v>-3.011536</v>
      </c>
      <c r="T4580">
        <v>-7.3810699999999896E-2</v>
      </c>
      <c r="U4580">
        <v>0.1560974</v>
      </c>
      <c r="V4580">
        <v>-4.2593619999999999E-2</v>
      </c>
      <c r="W4580">
        <v>5.3096409999999997E-2</v>
      </c>
      <c r="X4580">
        <v>0.99768060000000003</v>
      </c>
      <c r="Y4580">
        <v>4.0772299999999997E-2</v>
      </c>
      <c r="Z4580">
        <v>2.3002769999999999E-4</v>
      </c>
      <c r="AA4580">
        <v>0.99916849999999902</v>
      </c>
      <c r="AB4580">
        <v>31</v>
      </c>
      <c r="AC4580">
        <v>-44.746499999999898</v>
      </c>
      <c r="AD4580">
        <v>-1.104361851525</v>
      </c>
      <c r="AE4580">
        <v>2.3315999999999799</v>
      </c>
      <c r="AF4580">
        <v>1.8383959169019199</v>
      </c>
      <c r="AG4580">
        <v>-1.104361851525</v>
      </c>
      <c r="AH4580">
        <v>44.742249741333602</v>
      </c>
      <c r="AI4580">
        <v>91.412738862069304</v>
      </c>
      <c r="AJ4580">
        <v>87.6471207606061</v>
      </c>
      <c r="AK4580">
        <v>44.793618145470802</v>
      </c>
    </row>
    <row r="4581" spans="1:37" x14ac:dyDescent="0.2">
      <c r="A4581" t="str">
        <f>"20200111155641953"</f>
        <v>20200111155641953</v>
      </c>
      <c r="B4581" t="str">
        <f>"1578729401946831"</f>
        <v>1578729401946831</v>
      </c>
      <c r="C4581" t="s">
        <v>37</v>
      </c>
      <c r="D4581">
        <v>4.8147339999999996</v>
      </c>
      <c r="E4581">
        <v>0.53284259999999894</v>
      </c>
      <c r="F4581" t="s">
        <v>38</v>
      </c>
      <c r="G4581">
        <v>-338.69279999999998</v>
      </c>
      <c r="H4581" s="1">
        <v>-1.6610310000000001E-6</v>
      </c>
      <c r="I4581">
        <v>143.61009999999999</v>
      </c>
      <c r="J4581">
        <v>-293.86090000000002</v>
      </c>
      <c r="K4581">
        <v>1.1043670000000001</v>
      </c>
      <c r="L4581">
        <v>141.26570000000001</v>
      </c>
      <c r="M4581">
        <v>-0.99982879999999996</v>
      </c>
      <c r="N4581">
        <v>0</v>
      </c>
      <c r="O4581">
        <v>1.165768E-2</v>
      </c>
      <c r="P4581">
        <v>-0.99874399999999997</v>
      </c>
      <c r="Q4581">
        <v>3.9207770000000003E-2</v>
      </c>
      <c r="R4581">
        <v>-3.1195850000000001E-2</v>
      </c>
      <c r="S4581">
        <v>-3.0116269999999998</v>
      </c>
      <c r="T4581">
        <v>-7.3649049999999994E-2</v>
      </c>
      <c r="U4581">
        <v>0.15663150000000001</v>
      </c>
      <c r="V4581">
        <v>-4.276514E-2</v>
      </c>
      <c r="W4581">
        <v>5.3611140000000002E-2</v>
      </c>
      <c r="X4581">
        <v>0.99764569999999997</v>
      </c>
      <c r="Y4581">
        <v>4.0283520000000003E-2</v>
      </c>
      <c r="Z4581">
        <v>2.0730339999999999E-4</v>
      </c>
      <c r="AA4581">
        <v>0.99918819999999997</v>
      </c>
      <c r="AB4581">
        <v>31</v>
      </c>
      <c r="AC4581">
        <v>-44.831899999999898</v>
      </c>
      <c r="AD4581">
        <v>-1.104368661031</v>
      </c>
      <c r="AE4581">
        <v>2.3443999999999701</v>
      </c>
      <c r="AF4581">
        <v>1.82044909445916</v>
      </c>
      <c r="AG4581">
        <v>-1.104368661031</v>
      </c>
      <c r="AH4581">
        <v>44.829057386950197</v>
      </c>
      <c r="AI4581">
        <v>91.410040593940494</v>
      </c>
      <c r="AJ4581">
        <v>87.674571406613296</v>
      </c>
      <c r="AK4581">
        <v>44.879595043265098</v>
      </c>
    </row>
    <row r="4582" spans="1:37" x14ac:dyDescent="0.2">
      <c r="A4582" t="str">
        <f>"20200111155641976"</f>
        <v>20200111155641976</v>
      </c>
      <c r="B4582" t="str">
        <f>"1578729401967327"</f>
        <v>1578729401967327</v>
      </c>
      <c r="C4582" t="s">
        <v>37</v>
      </c>
      <c r="D4582">
        <v>4.8029589999999898</v>
      </c>
      <c r="E4582">
        <v>0.53276069999999998</v>
      </c>
      <c r="F4582" t="s">
        <v>38</v>
      </c>
      <c r="G4582">
        <v>-339.13979999999998</v>
      </c>
      <c r="H4582" s="1">
        <v>-1.4550700000000001E-6</v>
      </c>
      <c r="I4582">
        <v>143.6301</v>
      </c>
      <c r="J4582">
        <v>-294.16430000000003</v>
      </c>
      <c r="K4582">
        <v>1.104374</v>
      </c>
      <c r="L4582">
        <v>141.26990000000001</v>
      </c>
      <c r="M4582">
        <v>-0.99982150000000003</v>
      </c>
      <c r="N4582">
        <v>0</v>
      </c>
      <c r="O4582">
        <v>1.2274139999999999E-2</v>
      </c>
      <c r="P4582">
        <v>-0.99876089999999995</v>
      </c>
      <c r="Q4582">
        <v>3.9513699999999902E-2</v>
      </c>
      <c r="R4582">
        <v>-3.0254920000000001E-2</v>
      </c>
      <c r="S4582">
        <v>-3.0115660000000002</v>
      </c>
      <c r="T4582">
        <v>-7.3453190000000002E-2</v>
      </c>
      <c r="U4582">
        <v>0.15725710000000001</v>
      </c>
      <c r="V4582">
        <v>-4.244001E-2</v>
      </c>
      <c r="W4582">
        <v>5.3913019999999999E-2</v>
      </c>
      <c r="X4582">
        <v>0.99764339999999996</v>
      </c>
      <c r="Y4582">
        <v>3.9875849999999997E-2</v>
      </c>
      <c r="Z4582">
        <v>1.8676629999999999E-4</v>
      </c>
      <c r="AA4582">
        <v>0.9992046</v>
      </c>
      <c r="AB4582">
        <v>31</v>
      </c>
      <c r="AC4582">
        <v>-44.975499999999897</v>
      </c>
      <c r="AD4582">
        <v>-1.10437545507</v>
      </c>
      <c r="AE4582">
        <v>2.3601999999999901</v>
      </c>
      <c r="AF4582">
        <v>1.8068431859705101</v>
      </c>
      <c r="AG4582">
        <v>-1.10437545507</v>
      </c>
      <c r="AH4582">
        <v>44.974041068537701</v>
      </c>
      <c r="AI4582">
        <v>91.405530045402401</v>
      </c>
      <c r="AJ4582">
        <v>87.699365182626593</v>
      </c>
      <c r="AK4582">
        <v>45.023868086593403</v>
      </c>
    </row>
    <row r="4583" spans="1:37" x14ac:dyDescent="0.2">
      <c r="A4583" t="str">
        <f>"20200111155641998"</f>
        <v>20200111155641998</v>
      </c>
      <c r="B4583" t="str">
        <f>"1578729401986848"</f>
        <v>1578729401986848</v>
      </c>
      <c r="C4583" t="s">
        <v>37</v>
      </c>
      <c r="D4583">
        <v>4.8347730000000002</v>
      </c>
      <c r="E4583">
        <v>0.532692099999999</v>
      </c>
      <c r="F4583" t="s">
        <v>38</v>
      </c>
      <c r="G4583">
        <v>-339.07839999999999</v>
      </c>
      <c r="H4583" s="1">
        <v>-1.4886659999999999E-6</v>
      </c>
      <c r="I4583">
        <v>143.6474</v>
      </c>
      <c r="J4583">
        <v>-294.4753</v>
      </c>
      <c r="K4583">
        <v>1.1043750000000001</v>
      </c>
      <c r="L4583">
        <v>141.27440000000001</v>
      </c>
      <c r="M4583">
        <v>-0.99981359999999997</v>
      </c>
      <c r="N4583">
        <v>0</v>
      </c>
      <c r="O4583">
        <v>1.2906330000000001E-2</v>
      </c>
      <c r="P4583">
        <v>-0.99878509999999998</v>
      </c>
      <c r="Q4583">
        <v>3.9503759999999999E-2</v>
      </c>
      <c r="R4583">
        <v>-2.9466389999999999E-2</v>
      </c>
      <c r="S4583">
        <v>-3.0114749999999999</v>
      </c>
      <c r="T4583">
        <v>-7.4047920000000003E-2</v>
      </c>
      <c r="U4583">
        <v>0.15940860000000001</v>
      </c>
      <c r="V4583">
        <v>-4.2283059999999997E-2</v>
      </c>
      <c r="W4583">
        <v>5.3899210000000003E-2</v>
      </c>
      <c r="X4583">
        <v>0.9976507</v>
      </c>
      <c r="Y4583">
        <v>3.9957550000000001E-2</v>
      </c>
      <c r="Z4583">
        <v>1.7375459999999999E-4</v>
      </c>
      <c r="AA4583">
        <v>0.99920140000000002</v>
      </c>
      <c r="AB4583">
        <v>31</v>
      </c>
      <c r="AC4583">
        <v>-44.603099999999898</v>
      </c>
      <c r="AD4583">
        <v>-1.1043764886659999</v>
      </c>
      <c r="AE4583">
        <v>2.37299999999999</v>
      </c>
      <c r="AF4583">
        <v>1.7959826859224</v>
      </c>
      <c r="AG4583">
        <v>-1.1043764886659999</v>
      </c>
      <c r="AH4583">
        <v>44.602747056080901</v>
      </c>
      <c r="AI4583">
        <v>91.417221731506302</v>
      </c>
      <c r="AJ4583">
        <v>87.6941629215641</v>
      </c>
      <c r="AK4583">
        <v>44.6525502763905</v>
      </c>
    </row>
    <row r="4584" spans="1:37" x14ac:dyDescent="0.2">
      <c r="A4584" t="str">
        <f>"20200111155642020"</f>
        <v>20200111155642020</v>
      </c>
      <c r="B4584" t="str">
        <f>"1578729402017104"</f>
        <v>1578729402017104</v>
      </c>
      <c r="C4584" t="s">
        <v>37</v>
      </c>
      <c r="D4584">
        <v>4.8434169999999996</v>
      </c>
      <c r="E4584">
        <v>0.53256009999999998</v>
      </c>
      <c r="F4584" t="s">
        <v>38</v>
      </c>
      <c r="G4584">
        <v>-338.75639999999999</v>
      </c>
      <c r="H4584" s="1">
        <v>-1.6403569999999899E-6</v>
      </c>
      <c r="I4584">
        <v>143.6454</v>
      </c>
      <c r="J4584">
        <v>-294.78300000000002</v>
      </c>
      <c r="K4584">
        <v>1.104373</v>
      </c>
      <c r="L4584">
        <v>141.279</v>
      </c>
      <c r="M4584">
        <v>-0.99980530000000001</v>
      </c>
      <c r="N4584">
        <v>0</v>
      </c>
      <c r="O4584">
        <v>1.353179E-2</v>
      </c>
      <c r="P4584">
        <v>-0.99879589999999996</v>
      </c>
      <c r="Q4584">
        <v>3.9482009999999998E-2</v>
      </c>
      <c r="R4584">
        <v>-2.9122019999999998E-2</v>
      </c>
      <c r="S4584">
        <v>-3.01135299999999</v>
      </c>
      <c r="T4584">
        <v>-7.5103520000000007E-2</v>
      </c>
      <c r="U4584">
        <v>0.16123959999999901</v>
      </c>
      <c r="V4584">
        <v>-4.256331E-2</v>
      </c>
      <c r="W4584">
        <v>5.3873980000000002E-2</v>
      </c>
      <c r="X4584">
        <v>0.99764019999999998</v>
      </c>
      <c r="Y4584">
        <v>3.9940419999999997E-2</v>
      </c>
      <c r="Z4584">
        <v>1.6043860000000001E-4</v>
      </c>
      <c r="AA4584">
        <v>0.99920209999999998</v>
      </c>
      <c r="AB4584">
        <v>31</v>
      </c>
      <c r="AC4584">
        <v>-43.973399999999899</v>
      </c>
      <c r="AD4584">
        <v>-1.1043746403569901</v>
      </c>
      <c r="AE4584">
        <v>2.3663999999999898</v>
      </c>
      <c r="AF4584">
        <v>1.7699699291039901</v>
      </c>
      <c r="AG4584">
        <v>-1.1043746403569901</v>
      </c>
      <c r="AH4584">
        <v>43.973741886850902</v>
      </c>
      <c r="AI4584">
        <v>91.437483873884702</v>
      </c>
      <c r="AJ4584">
        <v>87.695054150944102</v>
      </c>
      <c r="AK4584">
        <v>44.023203114125799</v>
      </c>
    </row>
    <row r="4585" spans="1:37" x14ac:dyDescent="0.2">
      <c r="A4585" t="str">
        <f>"20200111155642034"</f>
        <v>20200111155642034</v>
      </c>
      <c r="B4585" t="str">
        <f>"1578729402026864"</f>
        <v>1578729402026864</v>
      </c>
      <c r="C4585" t="s">
        <v>37</v>
      </c>
      <c r="D4585">
        <v>4.8712919999999897</v>
      </c>
      <c r="E4585">
        <v>0.5325259</v>
      </c>
      <c r="F4585" t="s">
        <v>38</v>
      </c>
      <c r="G4585">
        <v>-338.3646</v>
      </c>
      <c r="H4585" s="1">
        <v>-1.817316E-6</v>
      </c>
      <c r="I4585">
        <v>143.61429999999999</v>
      </c>
      <c r="J4585">
        <v>-294.99439999999998</v>
      </c>
      <c r="K4585">
        <v>1.1043750000000001</v>
      </c>
      <c r="L4585">
        <v>141.2824</v>
      </c>
      <c r="M4585">
        <v>-0.9997994</v>
      </c>
      <c r="N4585">
        <v>0</v>
      </c>
      <c r="O4585">
        <v>1.396206E-2</v>
      </c>
      <c r="P4585">
        <v>-0.99879869999999904</v>
      </c>
      <c r="Q4585">
        <v>3.9515580000000002E-2</v>
      </c>
      <c r="R4585">
        <v>-2.8983930000000001E-2</v>
      </c>
      <c r="S4585">
        <v>-3.01135299999999</v>
      </c>
      <c r="T4585">
        <v>-7.6308849999999998E-2</v>
      </c>
      <c r="U4585">
        <v>0.1613617</v>
      </c>
      <c r="V4585">
        <v>-4.2855329999999997E-2</v>
      </c>
      <c r="W4585">
        <v>5.3905399999999999E-2</v>
      </c>
      <c r="X4585">
        <v>0.99762600000000001</v>
      </c>
      <c r="Y4585">
        <v>3.9550799999999997E-2</v>
      </c>
      <c r="Z4585">
        <v>1.4718829999999999E-4</v>
      </c>
      <c r="AA4585">
        <v>0.99921759999999904</v>
      </c>
      <c r="AB4585">
        <v>31</v>
      </c>
      <c r="AC4585">
        <v>-43.370199999999997</v>
      </c>
      <c r="AD4585">
        <v>-1.104376817316</v>
      </c>
      <c r="AE4585">
        <v>2.3318999999999899</v>
      </c>
      <c r="AF4585">
        <v>1.7249576105486899</v>
      </c>
      <c r="AG4585">
        <v>-1.104376817316</v>
      </c>
      <c r="AH4585">
        <v>43.370492206257502</v>
      </c>
      <c r="AI4585">
        <v>91.457500277642296</v>
      </c>
      <c r="AJ4585">
        <v>87.722397831376099</v>
      </c>
      <c r="AK4585">
        <v>43.418829108186003</v>
      </c>
    </row>
    <row r="4586" spans="1:37" x14ac:dyDescent="0.2">
      <c r="A4586" t="str">
        <f>"20200111155642048"</f>
        <v>20200111155642048</v>
      </c>
      <c r="B4586" t="str">
        <f>"1578729402037600"</f>
        <v>1578729402037600</v>
      </c>
      <c r="C4586" t="s">
        <v>37</v>
      </c>
      <c r="D4586">
        <v>4.8402810000000001</v>
      </c>
      <c r="E4586">
        <v>0.5324776</v>
      </c>
      <c r="F4586" t="s">
        <v>38</v>
      </c>
      <c r="G4586">
        <v>-338.68360000000001</v>
      </c>
      <c r="H4586" s="1">
        <v>-1.669382E-6</v>
      </c>
      <c r="I4586">
        <v>143.625</v>
      </c>
      <c r="J4586">
        <v>-295.17020000000002</v>
      </c>
      <c r="K4586">
        <v>1.1043769999999999</v>
      </c>
      <c r="L4586">
        <v>141.2852</v>
      </c>
      <c r="M4586">
        <v>-0.99979449999999903</v>
      </c>
      <c r="N4586">
        <v>0</v>
      </c>
      <c r="O4586">
        <v>1.431955E-2</v>
      </c>
      <c r="P4586">
        <v>-0.99879370000000001</v>
      </c>
      <c r="Q4586">
        <v>3.95135E-2</v>
      </c>
      <c r="R4586">
        <v>-2.915206E-2</v>
      </c>
      <c r="S4586">
        <v>-3.0112919999999899</v>
      </c>
      <c r="T4586">
        <v>-7.6119660000000006E-2</v>
      </c>
      <c r="U4586">
        <v>0.16146849999999999</v>
      </c>
      <c r="V4586">
        <v>-4.3380500000000002E-2</v>
      </c>
      <c r="W4586">
        <v>5.3902070000000003E-2</v>
      </c>
      <c r="X4586">
        <v>0.99760349999999998</v>
      </c>
      <c r="Y4586">
        <v>3.92302E-2</v>
      </c>
      <c r="Z4586">
        <v>1.3375059999999901E-4</v>
      </c>
      <c r="AA4586">
        <v>0.99923019999999996</v>
      </c>
      <c r="AB4586">
        <v>31</v>
      </c>
      <c r="AC4586">
        <v>-43.513399999999898</v>
      </c>
      <c r="AD4586">
        <v>-1.1043786693819999</v>
      </c>
      <c r="AE4586">
        <v>2.3397999999999901</v>
      </c>
      <c r="AF4586">
        <v>1.7153018503954001</v>
      </c>
      <c r="AG4586">
        <v>-1.1043786693819999</v>
      </c>
      <c r="AH4586">
        <v>43.514496743017503</v>
      </c>
      <c r="AI4586">
        <v>91.452701703988893</v>
      </c>
      <c r="AJ4586">
        <v>87.742621264138293</v>
      </c>
      <c r="AK4586">
        <v>43.562292633439696</v>
      </c>
    </row>
    <row r="4587" spans="1:37" x14ac:dyDescent="0.2">
      <c r="A4587" t="str">
        <f>"20200111155642065"</f>
        <v>20200111155642065</v>
      </c>
      <c r="B4587" t="str">
        <f>"1578729402057119"</f>
        <v>1578729402057119</v>
      </c>
      <c r="C4587" t="s">
        <v>37</v>
      </c>
      <c r="D4587">
        <v>4.8487730000000004</v>
      </c>
      <c r="E4587">
        <v>0.5324139</v>
      </c>
      <c r="F4587" t="s">
        <v>38</v>
      </c>
      <c r="G4587">
        <v>-338.62560000000002</v>
      </c>
      <c r="H4587" s="1">
        <v>-1.6905439999999999E-6</v>
      </c>
      <c r="I4587">
        <v>143.60159999999999</v>
      </c>
      <c r="J4587">
        <v>-295.4128</v>
      </c>
      <c r="K4587">
        <v>1.1043829999999999</v>
      </c>
      <c r="L4587">
        <v>141.28919999999999</v>
      </c>
      <c r="M4587">
        <v>-0.99978729999999905</v>
      </c>
      <c r="N4587">
        <v>0</v>
      </c>
      <c r="O4587">
        <v>1.4813410000000001E-2</v>
      </c>
      <c r="P4587">
        <v>-0.99879319999999905</v>
      </c>
      <c r="Q4587">
        <v>3.951383E-2</v>
      </c>
      <c r="R4587">
        <v>-2.916825E-2</v>
      </c>
      <c r="S4587">
        <v>-3.0113219999999998</v>
      </c>
      <c r="T4587">
        <v>-7.6529860000000005E-2</v>
      </c>
      <c r="U4587">
        <v>0.16052249999999901</v>
      </c>
      <c r="V4587">
        <v>-4.3889490000000003E-2</v>
      </c>
      <c r="W4587">
        <v>5.389969E-2</v>
      </c>
      <c r="X4587">
        <v>0.99758139999999995</v>
      </c>
      <c r="Y4587">
        <v>3.8423369999999998E-2</v>
      </c>
      <c r="Z4587">
        <v>1.1168939999999999E-4</v>
      </c>
      <c r="AA4587">
        <v>0.99926159999999997</v>
      </c>
      <c r="AB4587">
        <v>31</v>
      </c>
      <c r="AC4587">
        <v>-43.212800000000001</v>
      </c>
      <c r="AD4587">
        <v>-1.10438469054399</v>
      </c>
      <c r="AE4587">
        <v>2.31239999999999</v>
      </c>
      <c r="AF4587">
        <v>1.6708631641754299</v>
      </c>
      <c r="AG4587">
        <v>-1.10438469054399</v>
      </c>
      <c r="AH4587">
        <v>43.214170636443797</v>
      </c>
      <c r="AI4587">
        <v>91.462844164803002</v>
      </c>
      <c r="AJ4587">
        <v>87.785778532038904</v>
      </c>
      <c r="AK4587">
        <v>43.260559324329002</v>
      </c>
    </row>
    <row r="4588" spans="1:37" x14ac:dyDescent="0.2">
      <c r="A4588" t="str">
        <f>"20200111155642080"</f>
        <v>20200111155642080</v>
      </c>
      <c r="B4588" t="str">
        <f>"1578729402077615"</f>
        <v>1578729402077615</v>
      </c>
      <c r="C4588" t="s">
        <v>37</v>
      </c>
      <c r="D4588">
        <v>5.0261339999999999</v>
      </c>
      <c r="E4588">
        <v>0.53226419999999997</v>
      </c>
      <c r="F4588" t="s">
        <v>38</v>
      </c>
      <c r="G4588">
        <v>-338.58760000000001</v>
      </c>
      <c r="H4588" s="1">
        <v>-1.7036990000000001E-6</v>
      </c>
      <c r="I4588">
        <v>143.58340000000001</v>
      </c>
      <c r="J4588">
        <v>-295.62110000000001</v>
      </c>
      <c r="K4588">
        <v>1.104384</v>
      </c>
      <c r="L4588">
        <v>141.2927</v>
      </c>
      <c r="M4588">
        <v>-0.99978099999999903</v>
      </c>
      <c r="N4588">
        <v>0</v>
      </c>
      <c r="O4588">
        <v>1.5237000000000001E-2</v>
      </c>
      <c r="P4588">
        <v>-0.99880499999999905</v>
      </c>
      <c r="Q4588">
        <v>3.934037E-2</v>
      </c>
      <c r="R4588">
        <v>-2.9001309999999999E-2</v>
      </c>
      <c r="S4588">
        <v>-3.01135299999999</v>
      </c>
      <c r="T4588">
        <v>-7.7028750000000007E-2</v>
      </c>
      <c r="U4588">
        <v>0.16001889999999999</v>
      </c>
      <c r="V4588">
        <v>-4.4146299999999999E-2</v>
      </c>
      <c r="W4588">
        <v>5.372495E-2</v>
      </c>
      <c r="X4588">
        <v>0.99757949999999995</v>
      </c>
      <c r="Y4588">
        <v>3.7833060000000002E-2</v>
      </c>
      <c r="Z4588" s="1">
        <v>9.404929E-5</v>
      </c>
      <c r="AA4588">
        <v>0.99928410000000001</v>
      </c>
      <c r="AB4588">
        <v>31</v>
      </c>
      <c r="AC4588">
        <v>-42.966500000000003</v>
      </c>
      <c r="AD4588">
        <v>-1.1043857036989999</v>
      </c>
      <c r="AE4588">
        <v>2.29070000000001</v>
      </c>
      <c r="AF4588">
        <v>1.6346092163978401</v>
      </c>
      <c r="AG4588">
        <v>-1.1043857036989999</v>
      </c>
      <c r="AH4588">
        <v>42.968110899765101</v>
      </c>
      <c r="AI4588">
        <v>91.471253965767502</v>
      </c>
      <c r="AJ4588">
        <v>87.8213827412998</v>
      </c>
      <c r="AK4588">
        <v>43.013371983226101</v>
      </c>
    </row>
    <row r="4589" spans="1:37" x14ac:dyDescent="0.2">
      <c r="A4589" t="str">
        <f>"20200111155642098"</f>
        <v>20200111155642098</v>
      </c>
      <c r="B4589" t="str">
        <f>"1578729402087376"</f>
        <v>1578729402087376</v>
      </c>
      <c r="C4589" t="s">
        <v>37</v>
      </c>
      <c r="D4589">
        <v>4.9527190000000001</v>
      </c>
      <c r="E4589">
        <v>0.53217859999999995</v>
      </c>
      <c r="F4589" t="s">
        <v>38</v>
      </c>
      <c r="G4589">
        <v>-338.19130000000001</v>
      </c>
      <c r="H4589" s="1">
        <v>-1.8808150000000001E-6</v>
      </c>
      <c r="I4589">
        <v>143.54519999999999</v>
      </c>
      <c r="J4589">
        <v>-295.87479999999999</v>
      </c>
      <c r="K4589">
        <v>1.1043889999999901</v>
      </c>
      <c r="L4589">
        <v>141.2971</v>
      </c>
      <c r="M4589">
        <v>-0.99977289999999996</v>
      </c>
      <c r="N4589">
        <v>0</v>
      </c>
      <c r="O4589">
        <v>1.5753509999999998E-2</v>
      </c>
      <c r="P4589">
        <v>-0.99880419999999903</v>
      </c>
      <c r="Q4589">
        <v>3.9400959999999999E-2</v>
      </c>
      <c r="R4589">
        <v>-2.8951649999999999E-2</v>
      </c>
      <c r="S4589">
        <v>-3.0112610000000002</v>
      </c>
      <c r="T4589">
        <v>-7.8120110000000006E-2</v>
      </c>
      <c r="U4589">
        <v>0.15933229999999901</v>
      </c>
      <c r="V4589">
        <v>-4.4612810000000003E-2</v>
      </c>
      <c r="W4589">
        <v>5.378256E-2</v>
      </c>
      <c r="X4589">
        <v>0.99755559999999999</v>
      </c>
      <c r="Y4589">
        <v>3.7091399999999997E-2</v>
      </c>
      <c r="Z4589" s="1">
        <v>7.2387189999999996E-5</v>
      </c>
      <c r="AA4589">
        <v>0.99931190000000003</v>
      </c>
      <c r="AB4589">
        <v>31</v>
      </c>
      <c r="AC4589">
        <v>-42.316499999999998</v>
      </c>
      <c r="AD4589">
        <v>-1.10439088081499</v>
      </c>
      <c r="AE4589">
        <v>2.2480999999999902</v>
      </c>
      <c r="AF4589">
        <v>1.5800457166478299</v>
      </c>
      <c r="AG4589">
        <v>-1.10439088081499</v>
      </c>
      <c r="AH4589">
        <v>42.317924168763199</v>
      </c>
      <c r="AI4589">
        <v>91.493895250813097</v>
      </c>
      <c r="AJ4589">
        <v>87.8617118162704</v>
      </c>
      <c r="AK4589">
        <v>42.361809801252797</v>
      </c>
    </row>
    <row r="4590" spans="1:37" x14ac:dyDescent="0.2">
      <c r="A4590" t="str">
        <f>"20200111155642122"</f>
        <v>20200111155642122</v>
      </c>
      <c r="B4590" t="str">
        <f>"1578729402117632"</f>
        <v>1578729402117632</v>
      </c>
      <c r="C4590" t="s">
        <v>37</v>
      </c>
      <c r="D4590">
        <v>4.8305809999999996</v>
      </c>
      <c r="E4590">
        <v>0.53203549999999999</v>
      </c>
      <c r="F4590" t="s">
        <v>38</v>
      </c>
      <c r="G4590">
        <v>-338.43680000000001</v>
      </c>
      <c r="H4590" s="1">
        <v>-1.763581E-6</v>
      </c>
      <c r="I4590">
        <v>143.54069999999999</v>
      </c>
      <c r="J4590">
        <v>-296.19959999999998</v>
      </c>
      <c r="K4590">
        <v>1.1043940000000001</v>
      </c>
      <c r="L4590">
        <v>141.303</v>
      </c>
      <c r="M4590">
        <v>-0.9997625</v>
      </c>
      <c r="N4590">
        <v>0</v>
      </c>
      <c r="O4590">
        <v>1.641215E-2</v>
      </c>
      <c r="P4590">
        <v>-0.99879409999999902</v>
      </c>
      <c r="Q4590">
        <v>3.9768390000000001E-2</v>
      </c>
      <c r="R4590">
        <v>-2.8795459999999998E-2</v>
      </c>
      <c r="S4590">
        <v>-3.0113219999999998</v>
      </c>
      <c r="T4590">
        <v>-7.8137280000000003E-2</v>
      </c>
      <c r="U4590">
        <v>0.15873719999999999</v>
      </c>
      <c r="V4590">
        <v>-4.5113750000000001E-2</v>
      </c>
      <c r="W4590">
        <v>5.4145850000000002E-2</v>
      </c>
      <c r="X4590">
        <v>0.99751339999999999</v>
      </c>
      <c r="Y4590">
        <v>3.6235549999999998E-2</v>
      </c>
      <c r="Z4590" s="1">
        <v>4.4235579999999999E-5</v>
      </c>
      <c r="AA4590">
        <v>0.99934330000000005</v>
      </c>
      <c r="AB4590">
        <v>31</v>
      </c>
      <c r="AC4590">
        <v>-42.237200000000001</v>
      </c>
      <c r="AD4590">
        <v>-1.104395763581</v>
      </c>
      <c r="AE4590">
        <v>2.2376999999999798</v>
      </c>
      <c r="AF4590">
        <v>1.5430719867140399</v>
      </c>
      <c r="AG4590">
        <v>-1.104395763581</v>
      </c>
      <c r="AH4590">
        <v>42.239441359590202</v>
      </c>
      <c r="AI4590">
        <v>91.496720801632506</v>
      </c>
      <c r="AJ4590">
        <v>87.907827116728399</v>
      </c>
      <c r="AK4590">
        <v>42.282043086031898</v>
      </c>
    </row>
    <row r="4591" spans="1:37" x14ac:dyDescent="0.2">
      <c r="A4591" t="str">
        <f>"20200111155642265"</f>
        <v>20200111155642265</v>
      </c>
      <c r="B4591" t="str">
        <f>"1578729402257200"</f>
        <v>1578729402257200</v>
      </c>
      <c r="C4591" t="s">
        <v>37</v>
      </c>
      <c r="D4591">
        <v>4.8258000000000001</v>
      </c>
      <c r="E4591">
        <v>0.53203210000000001</v>
      </c>
      <c r="F4591" t="s">
        <v>38</v>
      </c>
      <c r="G4591">
        <v>-339.27820000000003</v>
      </c>
      <c r="H4591" s="1">
        <v>-1.372047E-6</v>
      </c>
      <c r="I4591">
        <v>143.56399999999999</v>
      </c>
      <c r="J4591">
        <v>-298.19029999999998</v>
      </c>
      <c r="K4591">
        <v>1.1044369999999999</v>
      </c>
      <c r="L4591">
        <v>141.3432</v>
      </c>
      <c r="M4591">
        <v>-0.99969140000000001</v>
      </c>
      <c r="N4591">
        <v>0</v>
      </c>
      <c r="O4591">
        <v>2.0303040000000001E-2</v>
      </c>
      <c r="P4591">
        <v>-0.99889039999999996</v>
      </c>
      <c r="Q4591">
        <v>3.9504350000000001E-2</v>
      </c>
      <c r="R4591">
        <v>-2.564166E-2</v>
      </c>
      <c r="S4591">
        <v>-3.0112610000000002</v>
      </c>
      <c r="T4591">
        <v>-7.719898E-2</v>
      </c>
      <c r="U4591">
        <v>0.15805050000000001</v>
      </c>
      <c r="V4591">
        <v>-4.5853140000000001E-2</v>
      </c>
      <c r="W4591">
        <v>5.3856370000000001E-2</v>
      </c>
      <c r="X4591">
        <v>0.99749539999999903</v>
      </c>
      <c r="Y4591">
        <v>3.2122459999999999E-2</v>
      </c>
      <c r="Z4591">
        <v>-1.0861099999999999E-4</v>
      </c>
      <c r="AA4591">
        <v>0.99948389999999998</v>
      </c>
      <c r="AB4591">
        <v>31</v>
      </c>
      <c r="AC4591">
        <v>-41.087899999999998</v>
      </c>
      <c r="AD4591">
        <v>-1.1044383720469999</v>
      </c>
      <c r="AE4591">
        <v>2.2207999999999899</v>
      </c>
      <c r="AF4591">
        <v>1.38504956274875</v>
      </c>
      <c r="AG4591">
        <v>-1.1044383720469999</v>
      </c>
      <c r="AH4591">
        <v>41.094916745002998</v>
      </c>
      <c r="AI4591">
        <v>91.538597700997698</v>
      </c>
      <c r="AJ4591">
        <v>88.069652581751896</v>
      </c>
      <c r="AK4591">
        <v>41.133080709906103</v>
      </c>
    </row>
    <row r="4592" spans="1:37" x14ac:dyDescent="0.2">
      <c r="A4592" t="str">
        <f>"20200111155642281"</f>
        <v>20200111155642281</v>
      </c>
      <c r="B4592" t="str">
        <f>"1578729402277697"</f>
        <v>1578729402277697</v>
      </c>
      <c r="C4592" t="s">
        <v>37</v>
      </c>
      <c r="D4592">
        <v>4.8153100000000002</v>
      </c>
      <c r="E4592">
        <v>0.53203369999999905</v>
      </c>
      <c r="F4592" t="s">
        <v>38</v>
      </c>
      <c r="G4592">
        <v>-340.67619999999999</v>
      </c>
      <c r="H4592" s="1">
        <v>-4.7721240000000003E-6</v>
      </c>
      <c r="I4592">
        <v>143.71039999999999</v>
      </c>
      <c r="J4592">
        <v>-298.40069999999997</v>
      </c>
      <c r="K4592">
        <v>1.1044430000000001</v>
      </c>
      <c r="L4592">
        <v>141.34790000000001</v>
      </c>
      <c r="M4592">
        <v>-0.9996834</v>
      </c>
      <c r="N4592">
        <v>0</v>
      </c>
      <c r="O4592">
        <v>2.068915E-2</v>
      </c>
      <c r="P4592">
        <v>-0.99889709999999998</v>
      </c>
      <c r="Q4592">
        <v>3.9523849999999999E-2</v>
      </c>
      <c r="R4592">
        <v>-2.5353770000000001E-2</v>
      </c>
      <c r="S4592">
        <v>-3.0107119999999998</v>
      </c>
      <c r="T4592">
        <v>-7.826495E-2</v>
      </c>
      <c r="U4592">
        <v>0.16775509999999999</v>
      </c>
      <c r="V4592">
        <v>-4.5952029999999998E-2</v>
      </c>
      <c r="W4592">
        <v>5.3872070000000001E-2</v>
      </c>
      <c r="X4592">
        <v>0.99748989999999904</v>
      </c>
      <c r="Y4592">
        <v>3.4957189999999999E-2</v>
      </c>
      <c r="Z4592" s="1">
        <v>-8.3330409999999897E-5</v>
      </c>
      <c r="AA4592">
        <v>0.99938879999999997</v>
      </c>
      <c r="AB4592">
        <v>31</v>
      </c>
      <c r="AC4592">
        <v>-42.275500000000001</v>
      </c>
      <c r="AD4592">
        <v>-1.104447772124</v>
      </c>
      <c r="AE4592">
        <v>2.3624999999999798</v>
      </c>
      <c r="AF4592">
        <v>1.4862491365917501</v>
      </c>
      <c r="AG4592">
        <v>-1.104447772124</v>
      </c>
      <c r="AH4592">
        <v>42.286561078172198</v>
      </c>
      <c r="AI4592">
        <v>91.495198201932794</v>
      </c>
      <c r="AJ4592">
        <v>87.9870492700677</v>
      </c>
      <c r="AK4592">
        <v>42.327083400529297</v>
      </c>
    </row>
    <row r="4593" spans="1:37" x14ac:dyDescent="0.2">
      <c r="A4593" t="str">
        <f>"20200111155642300"</f>
        <v>20200111155642300</v>
      </c>
      <c r="B4593" t="str">
        <f>"1578729402287456"</f>
        <v>1578729402287456</v>
      </c>
      <c r="C4593" t="s">
        <v>37</v>
      </c>
      <c r="D4593">
        <v>4.8763230000000002</v>
      </c>
      <c r="E4593">
        <v>0.53204549999999995</v>
      </c>
      <c r="F4593" t="s">
        <v>38</v>
      </c>
      <c r="G4593">
        <v>-340.38479999999998</v>
      </c>
      <c r="H4593" s="1">
        <v>-4.8693759999999997E-6</v>
      </c>
      <c r="I4593">
        <v>143.6996</v>
      </c>
      <c r="J4593">
        <v>-298.64789999999999</v>
      </c>
      <c r="K4593">
        <v>1.1044510000000001</v>
      </c>
      <c r="L4593">
        <v>141.3535</v>
      </c>
      <c r="M4593">
        <v>-0.99967410000000001</v>
      </c>
      <c r="N4593">
        <v>0</v>
      </c>
      <c r="O4593">
        <v>2.1135749999999998E-2</v>
      </c>
      <c r="P4593">
        <v>-0.99890599999999996</v>
      </c>
      <c r="Q4593">
        <v>3.9589199999999998E-2</v>
      </c>
      <c r="R4593">
        <v>-2.4895690000000002E-2</v>
      </c>
      <c r="S4593">
        <v>-3.0107729999999999</v>
      </c>
      <c r="T4593">
        <v>-7.9202529999999993E-2</v>
      </c>
      <c r="U4593">
        <v>0.16865539999999901</v>
      </c>
      <c r="V4593">
        <v>-4.594094E-2</v>
      </c>
      <c r="W4593">
        <v>5.3933969999999998E-2</v>
      </c>
      <c r="X4593">
        <v>0.99748709999999996</v>
      </c>
      <c r="Y4593">
        <v>3.4807589999999999E-2</v>
      </c>
      <c r="Z4593" s="1">
        <v>-9.8023969999999898E-5</v>
      </c>
      <c r="AA4593">
        <v>0.999394</v>
      </c>
      <c r="AB4593">
        <v>31</v>
      </c>
      <c r="AC4593">
        <v>-41.736899999999899</v>
      </c>
      <c r="AD4593">
        <v>-1.104455869376</v>
      </c>
      <c r="AE4593">
        <v>2.3460999999999999</v>
      </c>
      <c r="AF4593">
        <v>1.46232392864974</v>
      </c>
      <c r="AG4593">
        <v>-1.104455869376</v>
      </c>
      <c r="AH4593">
        <v>41.7480241703445</v>
      </c>
      <c r="AI4593">
        <v>91.514494329958595</v>
      </c>
      <c r="AJ4593">
        <v>87.993899100466194</v>
      </c>
      <c r="AK4593">
        <v>41.788224850636702</v>
      </c>
    </row>
    <row r="4594" spans="1:37" x14ac:dyDescent="0.2">
      <c r="A4594" t="str">
        <f>"20200111155642354"</f>
        <v>20200111155642354</v>
      </c>
      <c r="B4594" t="str">
        <f>"1578729402347969"</f>
        <v>1578729402347969</v>
      </c>
      <c r="C4594" t="s">
        <v>37</v>
      </c>
      <c r="D4594">
        <v>4.8625959999999999</v>
      </c>
      <c r="E4594">
        <v>0.53209649999999997</v>
      </c>
      <c r="F4594" t="s">
        <v>38</v>
      </c>
      <c r="G4594">
        <v>-340.53750000000002</v>
      </c>
      <c r="H4594" s="1">
        <v>-4.8213129999999996E-6</v>
      </c>
      <c r="I4594">
        <v>143.7217</v>
      </c>
      <c r="J4594">
        <v>-299.41160000000002</v>
      </c>
      <c r="K4594">
        <v>1.1044799999999999</v>
      </c>
      <c r="L4594">
        <v>141.37139999999999</v>
      </c>
      <c r="M4594">
        <v>-0.99964500000000001</v>
      </c>
      <c r="N4594">
        <v>0</v>
      </c>
      <c r="O4594">
        <v>2.247186E-2</v>
      </c>
      <c r="P4594">
        <v>-0.99888410000000005</v>
      </c>
      <c r="Q4594">
        <v>4.0103260000000002E-2</v>
      </c>
      <c r="R4594">
        <v>-2.4950239999999999E-2</v>
      </c>
      <c r="S4594">
        <v>-3.0106809999999999</v>
      </c>
      <c r="T4594">
        <v>-7.9379199999999997E-2</v>
      </c>
      <c r="U4594">
        <v>0.1702118</v>
      </c>
      <c r="V4594">
        <v>-4.73318E-2</v>
      </c>
      <c r="W4594">
        <v>5.443725E-2</v>
      </c>
      <c r="X4594">
        <v>0.99739469999999997</v>
      </c>
      <c r="Y4594">
        <v>3.3989249999999999E-2</v>
      </c>
      <c r="Z4594">
        <v>-1.442011E-4</v>
      </c>
      <c r="AA4594">
        <v>0.99942219999999904</v>
      </c>
      <c r="AB4594">
        <v>31</v>
      </c>
      <c r="AC4594">
        <v>-41.125900000000001</v>
      </c>
      <c r="AD4594">
        <v>-1.1044848213130001</v>
      </c>
      <c r="AE4594">
        <v>2.3502999999999998</v>
      </c>
      <c r="AF4594">
        <v>1.4244121926667099</v>
      </c>
      <c r="AG4594">
        <v>-1.1044848213130001</v>
      </c>
      <c r="AH4594">
        <v>41.138758680826101</v>
      </c>
      <c r="AI4594">
        <v>91.5369751220517</v>
      </c>
      <c r="AJ4594">
        <v>88.016949980188599</v>
      </c>
      <c r="AK4594">
        <v>41.178226074156903</v>
      </c>
    </row>
    <row r="4595" spans="1:37" x14ac:dyDescent="0.2">
      <c r="A4595" t="str">
        <f>"20200111155642378"</f>
        <v>20200111155642378</v>
      </c>
      <c r="B4595" t="str">
        <f>"1578729402367488"</f>
        <v>1578729402367488</v>
      </c>
      <c r="C4595" t="s">
        <v>37</v>
      </c>
      <c r="D4595">
        <v>4.813536</v>
      </c>
      <c r="E4595">
        <v>0.5446531</v>
      </c>
      <c r="F4595" t="s">
        <v>38</v>
      </c>
      <c r="G4595">
        <v>-341.8553</v>
      </c>
      <c r="H4595" s="1">
        <v>-4.3829260000000003E-6</v>
      </c>
      <c r="I4595">
        <v>143.7784</v>
      </c>
      <c r="J4595">
        <v>-299.71809999999999</v>
      </c>
      <c r="K4595">
        <v>1.104495</v>
      </c>
      <c r="L4595">
        <v>141.37889999999999</v>
      </c>
      <c r="M4595">
        <v>-0.99963340000000001</v>
      </c>
      <c r="N4595">
        <v>0</v>
      </c>
      <c r="O4595">
        <v>2.2989010000000001E-2</v>
      </c>
      <c r="P4595">
        <v>-0.99886989999999998</v>
      </c>
      <c r="Q4595">
        <v>4.0496669999999999E-2</v>
      </c>
      <c r="R4595">
        <v>-2.488313E-2</v>
      </c>
      <c r="S4595">
        <v>-3.0107729999999999</v>
      </c>
      <c r="T4595">
        <v>-7.8347330000000007E-2</v>
      </c>
      <c r="U4595">
        <v>0.170745799999999</v>
      </c>
      <c r="V4595">
        <v>-4.778164E-2</v>
      </c>
      <c r="W4595">
        <v>5.4826239999999998E-2</v>
      </c>
      <c r="X4595">
        <v>0.99735200000000002</v>
      </c>
      <c r="Y4595">
        <v>3.3647620000000003E-2</v>
      </c>
      <c r="Z4595">
        <v>-1.6020149999999999E-4</v>
      </c>
      <c r="AA4595">
        <v>0.99943379999999904</v>
      </c>
      <c r="AB4595">
        <v>31</v>
      </c>
      <c r="AC4595">
        <v>-42.1372</v>
      </c>
      <c r="AD4595">
        <v>-1.1044993829259999</v>
      </c>
      <c r="AE4595">
        <v>2.39950000000001</v>
      </c>
      <c r="AF4595">
        <v>1.42909540270305</v>
      </c>
      <c r="AG4595">
        <v>-1.1044993829259999</v>
      </c>
      <c r="AH4595">
        <v>42.152361460931999</v>
      </c>
      <c r="AI4595">
        <v>91.500090643305498</v>
      </c>
      <c r="AJ4595">
        <v>88.058239634779</v>
      </c>
      <c r="AK4595">
        <v>42.191039443108998</v>
      </c>
    </row>
    <row r="4596" spans="1:37" x14ac:dyDescent="0.2">
      <c r="A4596" t="str">
        <f>"20200111155642400"</f>
        <v>20200111155642400</v>
      </c>
      <c r="B4596" t="str">
        <f>"1578729402397743"</f>
        <v>1578729402397743</v>
      </c>
      <c r="C4596" t="s">
        <v>37</v>
      </c>
      <c r="D4596">
        <v>4.7688559999999898</v>
      </c>
      <c r="E4596">
        <v>0.54425559999999995</v>
      </c>
      <c r="F4596" t="s">
        <v>38</v>
      </c>
      <c r="G4596">
        <v>-332.55599999999998</v>
      </c>
      <c r="H4596" s="1">
        <v>-4.5639980000000002E-6</v>
      </c>
      <c r="I4596">
        <v>144.3194</v>
      </c>
      <c r="J4596">
        <v>-300.02620000000002</v>
      </c>
      <c r="K4596">
        <v>1.1045069999999999</v>
      </c>
      <c r="L4596">
        <v>141.38650000000001</v>
      </c>
      <c r="M4596">
        <v>-0.9996218</v>
      </c>
      <c r="N4596">
        <v>0</v>
      </c>
      <c r="O4596">
        <v>2.3491979999999999E-2</v>
      </c>
      <c r="P4596">
        <v>-0.998887999999999</v>
      </c>
      <c r="Q4596">
        <v>4.048591E-2</v>
      </c>
      <c r="R4596">
        <v>-2.4165969999999998E-2</v>
      </c>
      <c r="S4596">
        <v>-3.0141909999999998</v>
      </c>
      <c r="T4596">
        <v>-0.101382</v>
      </c>
      <c r="U4596">
        <v>0.26991270000000001</v>
      </c>
      <c r="V4596">
        <v>-4.7568609999999997E-2</v>
      </c>
      <c r="W4596">
        <v>5.4810999999999999E-2</v>
      </c>
      <c r="X4596">
        <v>0.997362999999999</v>
      </c>
      <c r="Y4596">
        <v>6.5741380000000002E-2</v>
      </c>
      <c r="Z4596">
        <v>3.1491419999999997E-4</v>
      </c>
      <c r="AA4596">
        <v>0.99783659999999996</v>
      </c>
      <c r="AB4596">
        <v>31</v>
      </c>
      <c r="AC4596">
        <v>-32.529799999999902</v>
      </c>
      <c r="AD4596">
        <v>-1.1045115639980001</v>
      </c>
      <c r="AE4596">
        <v>2.9328999999999801</v>
      </c>
      <c r="AF4596">
        <v>2.1653466921067901</v>
      </c>
      <c r="AG4596">
        <v>-1.1045115639980001</v>
      </c>
      <c r="AH4596">
        <v>32.552501462414298</v>
      </c>
      <c r="AI4596">
        <v>91.939027599033693</v>
      </c>
      <c r="AJ4596">
        <v>86.194371536441096</v>
      </c>
      <c r="AK4596">
        <v>32.643131338039701</v>
      </c>
    </row>
    <row r="4597" spans="1:37" x14ac:dyDescent="0.2">
      <c r="A4597" t="str">
        <f>"20200111155642434"</f>
        <v>20200111155642434</v>
      </c>
      <c r="B4597" t="str">
        <f>"1578729402427999"</f>
        <v>1578729402427999</v>
      </c>
      <c r="C4597" t="s">
        <v>37</v>
      </c>
      <c r="D4597">
        <v>4.7972549999999998</v>
      </c>
      <c r="E4597">
        <v>0.54420919999999995</v>
      </c>
      <c r="F4597" t="s">
        <v>38</v>
      </c>
      <c r="G4597">
        <v>-333.3399</v>
      </c>
      <c r="H4597" s="1">
        <v>-4.2698390000000002E-6</v>
      </c>
      <c r="I4597">
        <v>144.35820000000001</v>
      </c>
      <c r="J4597">
        <v>-300.4923</v>
      </c>
      <c r="K4597">
        <v>1.104535</v>
      </c>
      <c r="L4597">
        <v>141.39830000000001</v>
      </c>
      <c r="M4597">
        <v>-0.99960459999999995</v>
      </c>
      <c r="N4597">
        <v>0</v>
      </c>
      <c r="O4597">
        <v>2.4216129999999999E-2</v>
      </c>
      <c r="P4597">
        <v>-0.99896229999999997</v>
      </c>
      <c r="Q4597">
        <v>3.9287990000000002E-2</v>
      </c>
      <c r="R4597">
        <v>-2.3048889999999999E-2</v>
      </c>
      <c r="S4597">
        <v>-3.0138849999999899</v>
      </c>
      <c r="T4597">
        <v>-9.9924799999999994E-2</v>
      </c>
      <c r="U4597">
        <v>0.26884459999999999</v>
      </c>
      <c r="V4597">
        <v>-4.7181250000000001E-2</v>
      </c>
      <c r="W4597">
        <v>5.3604949999999998E-2</v>
      </c>
      <c r="X4597">
        <v>0.99744699999999997</v>
      </c>
      <c r="Y4597">
        <v>6.4678280000000005E-2</v>
      </c>
      <c r="Z4597">
        <v>2.6890269999999998E-4</v>
      </c>
      <c r="AA4597">
        <v>0.99790610000000002</v>
      </c>
      <c r="AB4597">
        <v>31</v>
      </c>
      <c r="AC4597">
        <v>-32.8476</v>
      </c>
      <c r="AD4597">
        <v>-1.104539269839</v>
      </c>
      <c r="AE4597">
        <v>2.9599000000000002</v>
      </c>
      <c r="AF4597">
        <v>2.1610849337596498</v>
      </c>
      <c r="AG4597">
        <v>-1.104539269839</v>
      </c>
      <c r="AH4597">
        <v>32.8727794790302</v>
      </c>
      <c r="AI4597">
        <v>91.920296337969106</v>
      </c>
      <c r="AJ4597">
        <v>86.238738255726105</v>
      </c>
      <c r="AK4597">
        <v>32.962250010678702</v>
      </c>
    </row>
    <row r="4598" spans="1:37" x14ac:dyDescent="0.2">
      <c r="A4598" t="str">
        <f>"20200111155642456"</f>
        <v>20200111155642456</v>
      </c>
      <c r="B4598" t="str">
        <f>"1578729402447520"</f>
        <v>1578729402447520</v>
      </c>
      <c r="C4598" t="s">
        <v>37</v>
      </c>
      <c r="D4598">
        <v>4.8079219999999996</v>
      </c>
      <c r="E4598">
        <v>0.54411639999999994</v>
      </c>
      <c r="F4598" t="s">
        <v>38</v>
      </c>
      <c r="G4598">
        <v>-332.16079999999999</v>
      </c>
      <c r="H4598" s="1">
        <v>-4.7042139999999997E-6</v>
      </c>
      <c r="I4598">
        <v>144.2544</v>
      </c>
      <c r="J4598">
        <v>-300.78719999999998</v>
      </c>
      <c r="K4598">
        <v>1.1045499999999999</v>
      </c>
      <c r="L4598">
        <v>141.40600000000001</v>
      </c>
      <c r="M4598">
        <v>-0.99959390000000004</v>
      </c>
      <c r="N4598">
        <v>0</v>
      </c>
      <c r="O4598">
        <v>2.46509E-2</v>
      </c>
      <c r="P4598">
        <v>-0.99899919999999998</v>
      </c>
      <c r="Q4598">
        <v>3.879146E-2</v>
      </c>
      <c r="R4598">
        <v>-2.2264550000000001E-2</v>
      </c>
      <c r="S4598">
        <v>-3.0135190000000001</v>
      </c>
      <c r="T4598">
        <v>-0.10510599999999901</v>
      </c>
      <c r="U4598">
        <v>0.27177429999999902</v>
      </c>
      <c r="V4598">
        <v>-4.6835300000000003E-2</v>
      </c>
      <c r="W4598">
        <v>5.3103549999999999E-2</v>
      </c>
      <c r="X4598">
        <v>0.99749009999999905</v>
      </c>
      <c r="Y4598">
        <v>6.5214949999999994E-2</v>
      </c>
      <c r="Z4598">
        <v>2.7708019999999998E-4</v>
      </c>
      <c r="AA4598">
        <v>0.99787119999999996</v>
      </c>
      <c r="AB4598">
        <v>30</v>
      </c>
      <c r="AC4598">
        <v>-31.3736</v>
      </c>
      <c r="AD4598">
        <v>-1.10455470421399</v>
      </c>
      <c r="AE4598">
        <v>2.8483999999999901</v>
      </c>
      <c r="AF4598">
        <v>2.0715210818388599</v>
      </c>
      <c r="AG4598">
        <v>-1.10455470421399</v>
      </c>
      <c r="AH4598">
        <v>31.395690309329002</v>
      </c>
      <c r="AI4598">
        <v>92.010565450073898</v>
      </c>
      <c r="AJ4598">
        <v>86.225035208870807</v>
      </c>
      <c r="AK4598">
        <v>31.4833386203941</v>
      </c>
    </row>
    <row r="4599" spans="1:37" x14ac:dyDescent="0.2">
      <c r="A4599" t="str">
        <f>"20200111155642479"</f>
        <v>20200111155642479</v>
      </c>
      <c r="B4599" t="str">
        <f>"1578729402467041"</f>
        <v>1578729402467041</v>
      </c>
      <c r="C4599" t="s">
        <v>37</v>
      </c>
      <c r="D4599">
        <v>4.8779830000000004</v>
      </c>
      <c r="E4599">
        <v>0.54419450000000003</v>
      </c>
      <c r="F4599" t="s">
        <v>38</v>
      </c>
      <c r="G4599">
        <v>-332.70769999999999</v>
      </c>
      <c r="H4599" s="1">
        <v>-4.5032520000000001E-6</v>
      </c>
      <c r="I4599">
        <v>144.30529999999999</v>
      </c>
      <c r="J4599">
        <v>-301.09679999999997</v>
      </c>
      <c r="K4599">
        <v>1.1045719999999899</v>
      </c>
      <c r="L4599">
        <v>141.41409999999999</v>
      </c>
      <c r="M4599">
        <v>-0.99958349999999996</v>
      </c>
      <c r="N4599">
        <v>0</v>
      </c>
      <c r="O4599">
        <v>2.50727E-2</v>
      </c>
      <c r="P4599">
        <v>-0.99900900000000004</v>
      </c>
      <c r="Q4599">
        <v>3.8884639999999998E-2</v>
      </c>
      <c r="R4599">
        <v>-2.1662480000000001E-2</v>
      </c>
      <c r="S4599">
        <v>-3.01312299999999</v>
      </c>
      <c r="T4599">
        <v>-0.1042641</v>
      </c>
      <c r="U4599">
        <v>0.27368159999999903</v>
      </c>
      <c r="V4599">
        <v>-4.665768E-2</v>
      </c>
      <c r="W4599">
        <v>5.3190220000000003E-2</v>
      </c>
      <c r="X4599">
        <v>0.99749379999999999</v>
      </c>
      <c r="Y4599">
        <v>6.5432679999999993E-2</v>
      </c>
      <c r="Z4599">
        <v>2.6409959999999999E-4</v>
      </c>
      <c r="AA4599">
        <v>0.99785699999999999</v>
      </c>
      <c r="AB4599">
        <v>30</v>
      </c>
      <c r="AC4599">
        <v>-31.610900000000001</v>
      </c>
      <c r="AD4599">
        <v>-1.1045765032520001</v>
      </c>
      <c r="AE4599">
        <v>2.8911999999999898</v>
      </c>
      <c r="AF4599">
        <v>2.0951024571758499</v>
      </c>
      <c r="AG4599">
        <v>-1.1045765032520001</v>
      </c>
      <c r="AH4599">
        <v>31.635151784518101</v>
      </c>
      <c r="AI4599">
        <v>91.995365945471093</v>
      </c>
      <c r="AJ4599">
        <v>86.211003203610005</v>
      </c>
      <c r="AK4599">
        <v>31.7236878686432</v>
      </c>
    </row>
    <row r="4600" spans="1:37" x14ac:dyDescent="0.2">
      <c r="A4600" t="str">
        <f>"20200111155642501"</f>
        <v>20200111155642501</v>
      </c>
      <c r="B4600" t="str">
        <f>"1578729402497297"</f>
        <v>1578729402497297</v>
      </c>
      <c r="C4600" t="s">
        <v>37</v>
      </c>
      <c r="D4600">
        <v>4.7603179999999998</v>
      </c>
      <c r="E4600">
        <v>0.54667259999999995</v>
      </c>
      <c r="F4600" t="s">
        <v>38</v>
      </c>
      <c r="G4600">
        <v>-333.31650000000002</v>
      </c>
      <c r="H4600" s="1">
        <v>-4.2804429999999998E-6</v>
      </c>
      <c r="I4600">
        <v>144.3673</v>
      </c>
      <c r="J4600">
        <v>-301.39139999999998</v>
      </c>
      <c r="K4600">
        <v>1.1046</v>
      </c>
      <c r="L4600">
        <v>141.42189999999999</v>
      </c>
      <c r="M4600">
        <v>-0.99957450000000003</v>
      </c>
      <c r="N4600">
        <v>0</v>
      </c>
      <c r="O4600">
        <v>2.5429710000000001E-2</v>
      </c>
      <c r="P4600">
        <v>-0.99902500000000005</v>
      </c>
      <c r="Q4600">
        <v>3.8674670000000001E-2</v>
      </c>
      <c r="R4600">
        <v>-2.1294819999999999E-2</v>
      </c>
      <c r="S4600">
        <v>-3.0130309999999998</v>
      </c>
      <c r="T4600">
        <v>-0.103294699999999</v>
      </c>
      <c r="U4600">
        <v>0.27616879999999999</v>
      </c>
      <c r="V4600">
        <v>-4.6651079999999998E-2</v>
      </c>
      <c r="W4600">
        <v>5.2973560000000003E-2</v>
      </c>
      <c r="X4600">
        <v>0.99750559999999999</v>
      </c>
      <c r="Y4600">
        <v>6.5896300000000005E-2</v>
      </c>
      <c r="Z4600">
        <v>2.5737219999999998E-4</v>
      </c>
      <c r="AA4600">
        <v>0.99782649999999995</v>
      </c>
      <c r="AB4600">
        <v>30</v>
      </c>
      <c r="AC4600">
        <v>-31.9251</v>
      </c>
      <c r="AD4600">
        <v>-1.1046042804430001</v>
      </c>
      <c r="AE4600">
        <v>2.9453999999999998</v>
      </c>
      <c r="AF4600">
        <v>2.12998998605757</v>
      </c>
      <c r="AG4600">
        <v>-1.1046042804430001</v>
      </c>
      <c r="AH4600">
        <v>31.951753799406099</v>
      </c>
      <c r="AI4600">
        <v>91.975602854425702</v>
      </c>
      <c r="AJ4600">
        <v>86.1861517760683</v>
      </c>
      <c r="AK4600">
        <v>32.041716227676403</v>
      </c>
    </row>
    <row r="4601" spans="1:37" x14ac:dyDescent="0.2">
      <c r="A4601" t="str">
        <f>"20200111155642523"</f>
        <v>20200111155642523</v>
      </c>
      <c r="B4601" t="str">
        <f>"1578729402517792"</f>
        <v>1578729402517792</v>
      </c>
      <c r="C4601" t="s">
        <v>37</v>
      </c>
      <c r="D4601">
        <v>4.8510619999999998</v>
      </c>
      <c r="E4601">
        <v>0.54618959999999905</v>
      </c>
      <c r="F4601" t="s">
        <v>38</v>
      </c>
      <c r="G4601">
        <v>-339.3646</v>
      </c>
      <c r="H4601" s="1">
        <v>-1.7604929999999999E-6</v>
      </c>
      <c r="I4601">
        <v>145.1773</v>
      </c>
      <c r="J4601">
        <v>-301.69970000000001</v>
      </c>
      <c r="K4601">
        <v>1.104633</v>
      </c>
      <c r="L4601">
        <v>141.43010000000001</v>
      </c>
      <c r="M4601">
        <v>-0.99956579999999995</v>
      </c>
      <c r="N4601">
        <v>0</v>
      </c>
      <c r="O4601">
        <v>2.5766339999999999E-2</v>
      </c>
      <c r="P4601">
        <v>-0.9990308</v>
      </c>
      <c r="Q4601">
        <v>3.8405950000000001E-2</v>
      </c>
      <c r="R4601">
        <v>-2.1505940000000001E-2</v>
      </c>
      <c r="S4601">
        <v>-3.0126650000000001</v>
      </c>
      <c r="T4601">
        <v>-8.7635399999999905E-2</v>
      </c>
      <c r="U4601">
        <v>0.29794309999999902</v>
      </c>
      <c r="V4601">
        <v>-4.7203509999999997E-2</v>
      </c>
      <c r="W4601">
        <v>5.2697870000000001E-2</v>
      </c>
      <c r="X4601">
        <v>0.997494199999999</v>
      </c>
      <c r="Y4601">
        <v>7.2720549999999995E-2</v>
      </c>
      <c r="Z4601">
        <v>3.0757540000000001E-4</v>
      </c>
      <c r="AA4601">
        <v>0.99735229999999997</v>
      </c>
      <c r="AB4601">
        <v>30</v>
      </c>
      <c r="AC4601">
        <v>-37.664899999999903</v>
      </c>
      <c r="AD4601">
        <v>-1.104634760493</v>
      </c>
      <c r="AE4601">
        <v>3.7471999999999901</v>
      </c>
      <c r="AF4601">
        <v>2.7730081054956002</v>
      </c>
      <c r="AG4601">
        <v>-1.104634760493</v>
      </c>
      <c r="AH4601">
        <v>37.7168305167406</v>
      </c>
      <c r="AI4601">
        <v>91.673062131295495</v>
      </c>
      <c r="AJ4601">
        <v>85.795078534598304</v>
      </c>
      <c r="AK4601">
        <v>37.834760421281501</v>
      </c>
    </row>
    <row r="4602" spans="1:37" x14ac:dyDescent="0.2">
      <c r="A4602" t="str">
        <f>"20200111155642545"</f>
        <v>20200111155642545</v>
      </c>
      <c r="B4602" t="str">
        <f>"1578729402537311"</f>
        <v>1578729402537311</v>
      </c>
      <c r="C4602" t="s">
        <v>37</v>
      </c>
      <c r="D4602">
        <v>4.755363</v>
      </c>
      <c r="E4602">
        <v>0.54587390000000002</v>
      </c>
      <c r="F4602" t="s">
        <v>38</v>
      </c>
      <c r="G4602">
        <v>-339.03710000000001</v>
      </c>
      <c r="H4602" s="1">
        <v>-1.8861039999999999E-6</v>
      </c>
      <c r="I4602">
        <v>145.0677</v>
      </c>
      <c r="J4602">
        <v>-301.99520000000001</v>
      </c>
      <c r="K4602">
        <v>1.1046659999999999</v>
      </c>
      <c r="L4602">
        <v>141.43809999999999</v>
      </c>
      <c r="M4602">
        <v>-0.99955869999999902</v>
      </c>
      <c r="N4602">
        <v>0</v>
      </c>
      <c r="O4602">
        <v>2.6048979999999999E-2</v>
      </c>
      <c r="P4602">
        <v>-0.99903560000000002</v>
      </c>
      <c r="Q4602">
        <v>3.8224809999999998E-2</v>
      </c>
      <c r="R4602">
        <v>-2.1614209999999998E-2</v>
      </c>
      <c r="S4602">
        <v>-3.0126650000000001</v>
      </c>
      <c r="T4602">
        <v>-8.9130280000000006E-2</v>
      </c>
      <c r="U4602">
        <v>0.29350279999999901</v>
      </c>
      <c r="V4602">
        <v>-4.7597809999999997E-2</v>
      </c>
      <c r="W4602">
        <v>5.2509769999999997E-2</v>
      </c>
      <c r="X4602">
        <v>0.99748539999999997</v>
      </c>
      <c r="Y4602">
        <v>7.0982669999999998E-2</v>
      </c>
      <c r="Z4602">
        <v>2.7886349999999899E-4</v>
      </c>
      <c r="AA4602">
        <v>0.99747750000000002</v>
      </c>
      <c r="AB4602">
        <v>30</v>
      </c>
      <c r="AC4602">
        <v>-37.041899999999998</v>
      </c>
      <c r="AD4602">
        <v>-1.104667886104</v>
      </c>
      <c r="AE4602">
        <v>3.6296000000000102</v>
      </c>
      <c r="AF4602">
        <v>2.6610219340005798</v>
      </c>
      <c r="AG4602">
        <v>-1.104667886104</v>
      </c>
      <c r="AH4602">
        <v>37.091211261464601</v>
      </c>
      <c r="AI4602">
        <v>91.701534869743696</v>
      </c>
      <c r="AJ4602">
        <v>85.896479365753507</v>
      </c>
      <c r="AK4602">
        <v>37.202947218122603</v>
      </c>
    </row>
    <row r="4603" spans="1:37" x14ac:dyDescent="0.2">
      <c r="A4603" t="str">
        <f>"20200111155642567"</f>
        <v>20200111155642567</v>
      </c>
      <c r="B4603" t="str">
        <f>"1578729402557807"</f>
        <v>1578729402557807</v>
      </c>
      <c r="C4603" t="s">
        <v>37</v>
      </c>
      <c r="D4603">
        <v>4.744351</v>
      </c>
      <c r="E4603">
        <v>0.54556300000000002</v>
      </c>
      <c r="F4603" t="s">
        <v>38</v>
      </c>
      <c r="G4603">
        <v>-339.28800000000001</v>
      </c>
      <c r="H4603" s="1">
        <v>-1.759169E-6</v>
      </c>
      <c r="I4603">
        <v>145.03639999999999</v>
      </c>
      <c r="J4603">
        <v>-302.29239999999999</v>
      </c>
      <c r="K4603">
        <v>1.1047039999999999</v>
      </c>
      <c r="L4603">
        <v>141.4461</v>
      </c>
      <c r="M4603">
        <v>-0.99955249999999995</v>
      </c>
      <c r="N4603">
        <v>0</v>
      </c>
      <c r="O4603">
        <v>2.6286279999999999E-2</v>
      </c>
      <c r="P4603">
        <v>-0.99904409999999899</v>
      </c>
      <c r="Q4603">
        <v>3.7886690000000001E-2</v>
      </c>
      <c r="R4603">
        <v>-2.1809530000000001E-2</v>
      </c>
      <c r="S4603">
        <v>-3.0126040000000001</v>
      </c>
      <c r="T4603">
        <v>-8.9237570000000002E-2</v>
      </c>
      <c r="U4603">
        <v>0.29067989999999999</v>
      </c>
      <c r="V4603">
        <v>-4.8035790000000002E-2</v>
      </c>
      <c r="W4603">
        <v>5.2164059999999998E-2</v>
      </c>
      <c r="X4603">
        <v>0.99748250000000005</v>
      </c>
      <c r="Y4603">
        <v>6.982236E-2</v>
      </c>
      <c r="Z4603">
        <v>2.5506770000000001E-4</v>
      </c>
      <c r="AA4603">
        <v>0.99755939999999999</v>
      </c>
      <c r="AB4603">
        <v>30</v>
      </c>
      <c r="AC4603">
        <v>-36.995600000000003</v>
      </c>
      <c r="AD4603">
        <v>-1.1047057591689999</v>
      </c>
      <c r="AE4603">
        <v>3.5902999999999801</v>
      </c>
      <c r="AF4603">
        <v>2.6141741411558499</v>
      </c>
      <c r="AG4603">
        <v>-1.1047057591689999</v>
      </c>
      <c r="AH4603">
        <v>37.044476613258098</v>
      </c>
      <c r="AI4603">
        <v>91.703880152245802</v>
      </c>
      <c r="AJ4603">
        <v>85.963412994736302</v>
      </c>
      <c r="AK4603">
        <v>37.153028528033303</v>
      </c>
    </row>
    <row r="4604" spans="1:37" x14ac:dyDescent="0.2">
      <c r="A4604" t="str">
        <f>"20200111155642590"</f>
        <v>20200111155642590</v>
      </c>
      <c r="B4604" t="str">
        <f>"1578729402587089"</f>
        <v>1578729402587089</v>
      </c>
      <c r="C4604" t="s">
        <v>37</v>
      </c>
      <c r="D4604">
        <v>4.7767660000000003</v>
      </c>
      <c r="E4604">
        <v>0.54539539999999997</v>
      </c>
      <c r="F4604" t="s">
        <v>38</v>
      </c>
      <c r="G4604">
        <v>-338.98169999999999</v>
      </c>
      <c r="H4604" s="1">
        <v>-1.8812389999999999E-6</v>
      </c>
      <c r="I4604">
        <v>144.95089999999999</v>
      </c>
      <c r="J4604">
        <v>-302.59550000000002</v>
      </c>
      <c r="K4604">
        <v>1.1047480000000001</v>
      </c>
      <c r="L4604">
        <v>141.45429999999999</v>
      </c>
      <c r="M4604">
        <v>-0.99954769999999904</v>
      </c>
      <c r="N4604">
        <v>0</v>
      </c>
      <c r="O4604">
        <v>2.647242E-2</v>
      </c>
      <c r="P4604">
        <v>-0.99901090000000003</v>
      </c>
      <c r="Q4604">
        <v>3.8609640000000001E-2</v>
      </c>
      <c r="R4604">
        <v>-2.207201E-2</v>
      </c>
      <c r="S4604">
        <v>-3.0126040000000001</v>
      </c>
      <c r="T4604">
        <v>-9.070897E-2</v>
      </c>
      <c r="U4604">
        <v>0.2877808</v>
      </c>
      <c r="V4604">
        <v>-4.8487250000000003E-2</v>
      </c>
      <c r="W4604">
        <v>5.2878330000000001E-2</v>
      </c>
      <c r="X4604">
        <v>0.99742310000000001</v>
      </c>
      <c r="Y4604">
        <v>6.8685300000000005E-2</v>
      </c>
      <c r="Z4604">
        <v>2.3661909999999901E-4</v>
      </c>
      <c r="AA4604">
        <v>0.99763829999999998</v>
      </c>
      <c r="AB4604">
        <v>30</v>
      </c>
      <c r="AC4604">
        <v>-36.386199999999903</v>
      </c>
      <c r="AD4604">
        <v>-1.104749881239</v>
      </c>
      <c r="AE4604">
        <v>3.4965999999999999</v>
      </c>
      <c r="AF4604">
        <v>2.5297348355359799</v>
      </c>
      <c r="AG4604">
        <v>-1.104749881239</v>
      </c>
      <c r="AH4604">
        <v>36.432740760779502</v>
      </c>
      <c r="AI4604">
        <v>91.732678207465</v>
      </c>
      <c r="AJ4604">
        <v>86.027999579125506</v>
      </c>
      <c r="AK4604">
        <v>36.537167788163103</v>
      </c>
    </row>
    <row r="4605" spans="1:37" x14ac:dyDescent="0.2">
      <c r="A4605" t="str">
        <f>"20200111155642612"</f>
        <v>20200111155642612</v>
      </c>
      <c r="B4605" t="str">
        <f>"1578729402607584"</f>
        <v>1578729402607584</v>
      </c>
      <c r="C4605" t="s">
        <v>37</v>
      </c>
      <c r="D4605">
        <v>4.7510839999999996</v>
      </c>
      <c r="E4605">
        <v>0.54531649999999998</v>
      </c>
      <c r="F4605" t="s">
        <v>38</v>
      </c>
      <c r="G4605">
        <v>-340.46890000000002</v>
      </c>
      <c r="H4605" s="1">
        <v>-5.079407E-6</v>
      </c>
      <c r="I4605">
        <v>145.04499999999999</v>
      </c>
      <c r="J4605">
        <v>-302.90320000000003</v>
      </c>
      <c r="K4605">
        <v>1.1047979999999999</v>
      </c>
      <c r="L4605">
        <v>141.46260000000001</v>
      </c>
      <c r="M4605">
        <v>-0.99954419999999899</v>
      </c>
      <c r="N4605">
        <v>0</v>
      </c>
      <c r="O4605">
        <v>2.6602730000000002E-2</v>
      </c>
      <c r="P4605">
        <v>-0.99898549999999997</v>
      </c>
      <c r="Q4605">
        <v>3.9294830000000003E-2</v>
      </c>
      <c r="R4605">
        <v>-2.199659E-2</v>
      </c>
      <c r="S4605">
        <v>-3.0126339999999998</v>
      </c>
      <c r="T4605">
        <v>-8.7877510000000006E-2</v>
      </c>
      <c r="U4605">
        <v>0.28562929999999997</v>
      </c>
      <c r="V4605">
        <v>-4.8547319999999998E-2</v>
      </c>
      <c r="W4605">
        <v>5.3553999999999997E-2</v>
      </c>
      <c r="X4605">
        <v>0.9973841</v>
      </c>
      <c r="Y4605">
        <v>6.7849729999999997E-2</v>
      </c>
      <c r="Z4605">
        <v>2.1329429999999999E-4</v>
      </c>
      <c r="AA4605">
        <v>0.99769549999999996</v>
      </c>
      <c r="AB4605">
        <v>30</v>
      </c>
      <c r="AC4605">
        <v>-37.5656999999999</v>
      </c>
      <c r="AD4605">
        <v>-1.1048030794069901</v>
      </c>
      <c r="AE4605">
        <v>3.5823999999999701</v>
      </c>
      <c r="AF4605">
        <v>2.5794689256277099</v>
      </c>
      <c r="AG4605">
        <v>-1.1048030794069901</v>
      </c>
      <c r="AH4605">
        <v>37.6154715737148</v>
      </c>
      <c r="AI4605">
        <v>91.678409804612997</v>
      </c>
      <c r="AJ4605">
        <v>86.077101689147298</v>
      </c>
      <c r="AK4605">
        <v>37.719994054817903</v>
      </c>
    </row>
    <row r="4606" spans="1:37" x14ac:dyDescent="0.2">
      <c r="A4606" t="str">
        <f>"20200111155642634"</f>
        <v>20200111155642634</v>
      </c>
      <c r="B4606" t="str">
        <f>"1578729402627104"</f>
        <v>1578729402627104</v>
      </c>
      <c r="C4606" t="s">
        <v>37</v>
      </c>
      <c r="D4606">
        <v>4.7954919999999897</v>
      </c>
      <c r="E4606">
        <v>0.5452304</v>
      </c>
      <c r="F4606" t="s">
        <v>38</v>
      </c>
      <c r="G4606">
        <v>-341.81790000000001</v>
      </c>
      <c r="H4606" s="1">
        <v>-4.6381980000000003E-6</v>
      </c>
      <c r="I4606">
        <v>145.14570000000001</v>
      </c>
      <c r="J4606">
        <v>-303.20119999999997</v>
      </c>
      <c r="K4606">
        <v>1.104843</v>
      </c>
      <c r="L4606">
        <v>141.47069999999999</v>
      </c>
      <c r="M4606">
        <v>-0.99954219999999905</v>
      </c>
      <c r="N4606">
        <v>0</v>
      </c>
      <c r="O4606">
        <v>2.667835E-2</v>
      </c>
      <c r="P4606">
        <v>-0.99894289999999997</v>
      </c>
      <c r="Q4606">
        <v>4.0136449999999997E-2</v>
      </c>
      <c r="R4606">
        <v>-2.2412270000000001E-2</v>
      </c>
      <c r="S4606">
        <v>-3.0126650000000001</v>
      </c>
      <c r="T4606">
        <v>-8.5530640000000005E-2</v>
      </c>
      <c r="U4606">
        <v>0.28514099999999998</v>
      </c>
      <c r="V4606">
        <v>-4.9043040000000003E-2</v>
      </c>
      <c r="W4606">
        <v>5.4386299999999999E-2</v>
      </c>
      <c r="X4606">
        <v>0.997314899999999</v>
      </c>
      <c r="Y4606">
        <v>6.7614090000000002E-2</v>
      </c>
      <c r="Z4606">
        <v>2.0212250000000001E-4</v>
      </c>
      <c r="AA4606">
        <v>0.99771149999999997</v>
      </c>
      <c r="AB4606">
        <v>30</v>
      </c>
      <c r="AC4606">
        <v>-38.616700000000002</v>
      </c>
      <c r="AD4606">
        <v>-1.1048476381979999</v>
      </c>
      <c r="AE4606">
        <v>3.67500000000001</v>
      </c>
      <c r="AF4606">
        <v>2.6412143207416499</v>
      </c>
      <c r="AG4606">
        <v>-1.1048476381979999</v>
      </c>
      <c r="AH4606">
        <v>38.669635655472597</v>
      </c>
      <c r="AI4606">
        <v>91.632776293287705</v>
      </c>
      <c r="AJ4606">
        <v>86.092650987956603</v>
      </c>
      <c r="AK4606">
        <v>38.775474505397298</v>
      </c>
    </row>
    <row r="4607" spans="1:37" x14ac:dyDescent="0.2">
      <c r="A4607" t="str">
        <f>"20200111155642656"</f>
        <v>20200111155642656</v>
      </c>
      <c r="B4607" t="str">
        <f>"1578729402647600"</f>
        <v>1578729402647600</v>
      </c>
      <c r="C4607" t="s">
        <v>37</v>
      </c>
      <c r="D4607">
        <v>4.8015030000000003</v>
      </c>
      <c r="E4607">
        <v>0.54511989999999999</v>
      </c>
      <c r="F4607" t="s">
        <v>38</v>
      </c>
      <c r="G4607">
        <v>-343.70569999999998</v>
      </c>
      <c r="H4607" s="1">
        <v>-4.0198E-6</v>
      </c>
      <c r="I4607">
        <v>145.28120000000001</v>
      </c>
      <c r="J4607">
        <v>-303.49040000000002</v>
      </c>
      <c r="K4607">
        <v>1.1048849999999999</v>
      </c>
      <c r="L4607">
        <v>141.4785</v>
      </c>
      <c r="M4607">
        <v>-0.99954140000000002</v>
      </c>
      <c r="N4607">
        <v>0</v>
      </c>
      <c r="O4607">
        <v>2.6715369999999999E-2</v>
      </c>
      <c r="P4607">
        <v>-0.99891439999999998</v>
      </c>
      <c r="Q4607">
        <v>4.0706020000000002E-2</v>
      </c>
      <c r="R4607">
        <v>-2.2659660000000002E-2</v>
      </c>
      <c r="S4607">
        <v>-3.012848</v>
      </c>
      <c r="T4607">
        <v>-8.218193E-2</v>
      </c>
      <c r="U4607">
        <v>0.28344730000000001</v>
      </c>
      <c r="V4607">
        <v>-4.933067E-2</v>
      </c>
      <c r="W4607">
        <v>5.4948120000000003E-2</v>
      </c>
      <c r="X4607">
        <v>0.99726990000000004</v>
      </c>
      <c r="Y4607">
        <v>6.7017019999999997E-2</v>
      </c>
      <c r="Z4607">
        <v>1.8507389999999999E-4</v>
      </c>
      <c r="AA4607">
        <v>0.99775179999999997</v>
      </c>
      <c r="AB4607">
        <v>30</v>
      </c>
      <c r="AC4607">
        <v>-40.2152999999999</v>
      </c>
      <c r="AD4607">
        <v>-1.1048890198000001</v>
      </c>
      <c r="AE4607">
        <v>3.80270000000001</v>
      </c>
      <c r="AF4607">
        <v>2.7248280530590301</v>
      </c>
      <c r="AG4607">
        <v>-1.1048890198000001</v>
      </c>
      <c r="AH4607">
        <v>40.272414519347898</v>
      </c>
      <c r="AI4607">
        <v>91.567954250950294</v>
      </c>
      <c r="AJ4607">
        <v>86.129271918609405</v>
      </c>
      <c r="AK4607">
        <v>40.379609196759098</v>
      </c>
    </row>
    <row r="4608" spans="1:37" x14ac:dyDescent="0.2">
      <c r="A4608" t="str">
        <f>"20200111155642679"</f>
        <v>20200111155642679</v>
      </c>
      <c r="B4608" t="str">
        <f>"1578729402667119"</f>
        <v>1578729402667119</v>
      </c>
      <c r="C4608" t="s">
        <v>37</v>
      </c>
      <c r="D4608">
        <v>4.7966569999999997</v>
      </c>
      <c r="E4608">
        <v>0.54504109999999995</v>
      </c>
      <c r="F4608" t="s">
        <v>38</v>
      </c>
      <c r="G4608">
        <v>-345.06349999999998</v>
      </c>
      <c r="H4608" s="1">
        <v>-3.5730029999999998E-6</v>
      </c>
      <c r="I4608">
        <v>145.36709999999999</v>
      </c>
      <c r="J4608">
        <v>-303.79629999999997</v>
      </c>
      <c r="K4608">
        <v>1.104914</v>
      </c>
      <c r="L4608">
        <v>141.48670000000001</v>
      </c>
      <c r="M4608">
        <v>-0.99954129999999997</v>
      </c>
      <c r="N4608">
        <v>0</v>
      </c>
      <c r="O4608">
        <v>2.671917E-2</v>
      </c>
      <c r="P4608">
        <v>-0.99889660000000002</v>
      </c>
      <c r="Q4608">
        <v>4.1003379999999999E-2</v>
      </c>
      <c r="R4608">
        <v>-2.2902430000000001E-2</v>
      </c>
      <c r="S4608">
        <v>-3.0129090000000001</v>
      </c>
      <c r="T4608">
        <v>-8.0074309999999996E-2</v>
      </c>
      <c r="U4608">
        <v>0.28182979999999902</v>
      </c>
      <c r="V4608">
        <v>-4.9580949999999999E-2</v>
      </c>
      <c r="W4608">
        <v>5.5238080000000002E-2</v>
      </c>
      <c r="X4608">
        <v>0.99724139999999994</v>
      </c>
      <c r="Y4608">
        <v>6.6481310000000002E-2</v>
      </c>
      <c r="Z4608">
        <v>1.7312609999999999E-4</v>
      </c>
      <c r="AA4608">
        <v>0.99778770000000006</v>
      </c>
      <c r="AB4608">
        <v>30</v>
      </c>
      <c r="AC4608">
        <v>-41.267200000000003</v>
      </c>
      <c r="AD4608">
        <v>-1.1049175730030001</v>
      </c>
      <c r="AE4608">
        <v>3.8803999999999799</v>
      </c>
      <c r="AF4608">
        <v>2.77430548911624</v>
      </c>
      <c r="AG4608">
        <v>-1.1049175730030001</v>
      </c>
      <c r="AH4608">
        <v>41.326788448954602</v>
      </c>
      <c r="AI4608">
        <v>91.528063783086097</v>
      </c>
      <c r="AJ4608">
        <v>86.1594437043005</v>
      </c>
      <c r="AK4608">
        <v>41.434539424189502</v>
      </c>
    </row>
    <row r="4609" spans="1:37" x14ac:dyDescent="0.2">
      <c r="A4609" t="str">
        <f>"20200111155642702"</f>
        <v>20200111155642702</v>
      </c>
      <c r="B4609" t="str">
        <f>"1578729402697376"</f>
        <v>1578729402697376</v>
      </c>
      <c r="C4609" t="s">
        <v>37</v>
      </c>
      <c r="D4609">
        <v>4.9793709999999898</v>
      </c>
      <c r="E4609">
        <v>0.54492309999999999</v>
      </c>
      <c r="F4609" t="s">
        <v>38</v>
      </c>
      <c r="G4609">
        <v>-345.8614</v>
      </c>
      <c r="H4609" s="1">
        <v>-3.2972269999999899E-6</v>
      </c>
      <c r="I4609">
        <v>145.40209999999999</v>
      </c>
      <c r="J4609">
        <v>-304.09649999999999</v>
      </c>
      <c r="K4609">
        <v>1.1049389999999999</v>
      </c>
      <c r="L4609">
        <v>141.49469999999999</v>
      </c>
      <c r="M4609">
        <v>-0.99954229999999999</v>
      </c>
      <c r="N4609">
        <v>0</v>
      </c>
      <c r="O4609">
        <v>2.668365E-2</v>
      </c>
      <c r="P4609">
        <v>-0.99888189999999999</v>
      </c>
      <c r="Q4609">
        <v>4.129327E-2</v>
      </c>
      <c r="R4609">
        <v>-2.3022379999999999E-2</v>
      </c>
      <c r="S4609">
        <v>-3.0129700000000001</v>
      </c>
      <c r="T4609">
        <v>-7.9141260000000005E-2</v>
      </c>
      <c r="U4609">
        <v>0.2804565</v>
      </c>
      <c r="V4609">
        <v>-4.9668619999999997E-2</v>
      </c>
      <c r="W4609">
        <v>5.5521359999999999E-2</v>
      </c>
      <c r="X4609">
        <v>0.99722140000000004</v>
      </c>
      <c r="Y4609">
        <v>6.606447E-2</v>
      </c>
      <c r="Z4609">
        <v>1.6657709999999901E-4</v>
      </c>
      <c r="AA4609">
        <v>0.99781540000000002</v>
      </c>
      <c r="AB4609">
        <v>30</v>
      </c>
      <c r="AC4609">
        <v>-41.764899999999997</v>
      </c>
      <c r="AD4609">
        <v>-1.104942297227</v>
      </c>
      <c r="AE4609">
        <v>3.9073999999999902</v>
      </c>
      <c r="AF4609">
        <v>2.7895196636154602</v>
      </c>
      <c r="AG4609">
        <v>-1.104942297227</v>
      </c>
      <c r="AH4609">
        <v>41.8252790893319</v>
      </c>
      <c r="AI4609">
        <v>91.5099378174789</v>
      </c>
      <c r="AJ4609">
        <v>86.184332599903797</v>
      </c>
      <c r="AK4609">
        <v>41.932759130951602</v>
      </c>
    </row>
    <row r="4610" spans="1:37" x14ac:dyDescent="0.2">
      <c r="A4610" t="str">
        <f>"20200111155642724"</f>
        <v>20200111155642724</v>
      </c>
      <c r="B4610" t="str">
        <f>"1578729402717871"</f>
        <v>1578729402717871</v>
      </c>
      <c r="C4610" t="s">
        <v>37</v>
      </c>
      <c r="D4610">
        <v>4.7715990000000001</v>
      </c>
      <c r="E4610">
        <v>0.54495990000000005</v>
      </c>
      <c r="F4610" t="s">
        <v>38</v>
      </c>
      <c r="G4610">
        <v>-346.616999999999</v>
      </c>
      <c r="H4610" s="1">
        <v>-2.981411E-6</v>
      </c>
      <c r="I4610">
        <v>145.43350000000001</v>
      </c>
      <c r="J4610">
        <v>-304.40530000000001</v>
      </c>
      <c r="K4610">
        <v>1.104965</v>
      </c>
      <c r="L4610">
        <v>141.50290000000001</v>
      </c>
      <c r="M4610">
        <v>-0.99954399999999999</v>
      </c>
      <c r="N4610">
        <v>0</v>
      </c>
      <c r="O4610">
        <v>2.6619899999999998E-2</v>
      </c>
      <c r="P4610">
        <v>-0.99888650000000001</v>
      </c>
      <c r="Q4610">
        <v>4.1171230000000003E-2</v>
      </c>
      <c r="R4610">
        <v>-2.304119E-2</v>
      </c>
      <c r="S4610">
        <v>-3.0130309999999998</v>
      </c>
      <c r="T4610">
        <v>-7.8296899999999905E-2</v>
      </c>
      <c r="U4610">
        <v>0.27911379999999902</v>
      </c>
      <c r="V4610">
        <v>-4.9627119999999997E-2</v>
      </c>
      <c r="W4610">
        <v>5.5393289999999998E-2</v>
      </c>
      <c r="X4610">
        <v>0.99723050000000002</v>
      </c>
      <c r="Y4610">
        <v>6.5685729999999998E-2</v>
      </c>
      <c r="Z4610">
        <v>1.615411E-4</v>
      </c>
      <c r="AA4610">
        <v>0.99784030000000001</v>
      </c>
      <c r="AB4610">
        <v>30</v>
      </c>
      <c r="AC4610">
        <v>-42.211699999999901</v>
      </c>
      <c r="AD4610">
        <v>-1.1049679814110001</v>
      </c>
      <c r="AE4610">
        <v>3.9305999999999899</v>
      </c>
      <c r="AF4610">
        <v>2.8035168924048501</v>
      </c>
      <c r="AG4610">
        <v>-1.1049679814110001</v>
      </c>
      <c r="AH4610">
        <v>42.272663789556198</v>
      </c>
      <c r="AI4610">
        <v>91.494036723388405</v>
      </c>
      <c r="AJ4610">
        <v>86.205708595764193</v>
      </c>
      <c r="AK4610">
        <v>42.3799335189521</v>
      </c>
    </row>
    <row r="4611" spans="1:37" x14ac:dyDescent="0.2">
      <c r="A4611" t="str">
        <f>"20200111155642746"</f>
        <v>20200111155642746</v>
      </c>
      <c r="B4611" t="str">
        <f>"1578729402737391"</f>
        <v>1578729402737391</v>
      </c>
      <c r="C4611" t="s">
        <v>37</v>
      </c>
      <c r="D4611">
        <v>4.8801489999999896</v>
      </c>
      <c r="E4611">
        <v>0.54503539999999995</v>
      </c>
      <c r="F4611" t="s">
        <v>38</v>
      </c>
      <c r="G4611">
        <v>-346.58600000000001</v>
      </c>
      <c r="H4611" s="1">
        <v>-2.9891980000000001E-6</v>
      </c>
      <c r="I4611">
        <v>145.4128</v>
      </c>
      <c r="J4611">
        <v>-304.6918</v>
      </c>
      <c r="K4611">
        <v>1.1049879999999901</v>
      </c>
      <c r="L4611">
        <v>141.51050000000001</v>
      </c>
      <c r="M4611">
        <v>-0.99954609999999899</v>
      </c>
      <c r="N4611">
        <v>0</v>
      </c>
      <c r="O4611">
        <v>2.6539750000000001E-2</v>
      </c>
      <c r="P4611">
        <v>-0.99887719999999902</v>
      </c>
      <c r="Q4611">
        <v>4.1099910000000003E-2</v>
      </c>
      <c r="R4611">
        <v>-2.3559440000000001E-2</v>
      </c>
      <c r="S4611">
        <v>-3.0130309999999998</v>
      </c>
      <c r="T4611">
        <v>-7.8929540000000006E-2</v>
      </c>
      <c r="U4611">
        <v>0.27929690000000001</v>
      </c>
      <c r="V4611">
        <v>-5.006766E-2</v>
      </c>
      <c r="W4611">
        <v>5.5315679999999999E-2</v>
      </c>
      <c r="X4611">
        <v>0.99721280000000001</v>
      </c>
      <c r="Y4611">
        <v>6.5825599999999998E-2</v>
      </c>
      <c r="Z4611">
        <v>1.66766899999999E-4</v>
      </c>
      <c r="AA4611">
        <v>0.99783109999999997</v>
      </c>
      <c r="AB4611">
        <v>30</v>
      </c>
      <c r="AC4611">
        <v>-41.894199999999998</v>
      </c>
      <c r="AD4611">
        <v>-1.1049909891979901</v>
      </c>
      <c r="AE4611">
        <v>3.9022999999999901</v>
      </c>
      <c r="AF4611">
        <v>2.78702837006092</v>
      </c>
      <c r="AG4611">
        <v>-1.1049909891979901</v>
      </c>
      <c r="AH4611">
        <v>41.954081156291501</v>
      </c>
      <c r="AI4611">
        <v>91.505396977935206</v>
      </c>
      <c r="AJ4611">
        <v>86.199399872671407</v>
      </c>
      <c r="AK4611">
        <v>42.061068197210901</v>
      </c>
    </row>
    <row r="4612" spans="1:37" x14ac:dyDescent="0.2">
      <c r="A4612" t="str">
        <f>"20200111155642768"</f>
        <v>20200111155642768</v>
      </c>
      <c r="B4612" t="str">
        <f>"1578729402757888"</f>
        <v>1578729402757888</v>
      </c>
      <c r="C4612" t="s">
        <v>37</v>
      </c>
      <c r="D4612">
        <v>4.8068589999999896</v>
      </c>
      <c r="E4612">
        <v>0.54517629999999995</v>
      </c>
      <c r="F4612" t="s">
        <v>38</v>
      </c>
      <c r="G4612">
        <v>-346.74959999999999</v>
      </c>
      <c r="H4612" s="1">
        <v>-2.914614E-6</v>
      </c>
      <c r="I4612">
        <v>145.39609999999999</v>
      </c>
      <c r="J4612">
        <v>-304.99250000000001</v>
      </c>
      <c r="K4612">
        <v>1.1050089999999999</v>
      </c>
      <c r="L4612">
        <v>141.51830000000001</v>
      </c>
      <c r="M4612">
        <v>-0.99954900000000002</v>
      </c>
      <c r="N4612">
        <v>0</v>
      </c>
      <c r="O4612">
        <v>2.6433229999999999E-2</v>
      </c>
      <c r="P4612">
        <v>-0.99889609999999995</v>
      </c>
      <c r="Q4612">
        <v>4.0689839999999998E-2</v>
      </c>
      <c r="R4612">
        <v>-2.3472529999999998E-2</v>
      </c>
      <c r="S4612">
        <v>-3.0132140000000001</v>
      </c>
      <c r="T4612">
        <v>-7.9166769999999997E-2</v>
      </c>
      <c r="U4612">
        <v>0.27839659999999999</v>
      </c>
      <c r="V4612">
        <v>-4.987813E-2</v>
      </c>
      <c r="W4612">
        <v>5.4900039999999997E-2</v>
      </c>
      <c r="X4612">
        <v>0.9972453</v>
      </c>
      <c r="Y4612">
        <v>6.5630729999999998E-2</v>
      </c>
      <c r="Z4612">
        <v>1.6749500000000001E-4</v>
      </c>
      <c r="AA4612">
        <v>0.99784399999999995</v>
      </c>
      <c r="AB4612">
        <v>30</v>
      </c>
      <c r="AC4612">
        <v>-41.757099999999902</v>
      </c>
      <c r="AD4612">
        <v>-1.1050119146139901</v>
      </c>
      <c r="AE4612">
        <v>3.8777999999999699</v>
      </c>
      <c r="AF4612">
        <v>2.7706339879339899</v>
      </c>
      <c r="AG4612">
        <v>-1.1050119146139901</v>
      </c>
      <c r="AH4612">
        <v>41.815986881199599</v>
      </c>
      <c r="AI4612">
        <v>91.510411952182096</v>
      </c>
      <c r="AJ4612">
        <v>86.209250259272693</v>
      </c>
      <c r="AK4612">
        <v>41.9222401939017</v>
      </c>
    </row>
    <row r="4613" spans="1:37" x14ac:dyDescent="0.2">
      <c r="A4613" t="str">
        <f>"20200111155642791"</f>
        <v>20200111155642791</v>
      </c>
      <c r="B4613" t="str">
        <f>"1578729402787168"</f>
        <v>1578729402787168</v>
      </c>
      <c r="C4613" t="s">
        <v>37</v>
      </c>
      <c r="D4613">
        <v>4.8497279999999998</v>
      </c>
      <c r="E4613">
        <v>0.54504540000000001</v>
      </c>
      <c r="F4613" t="s">
        <v>38</v>
      </c>
      <c r="G4613">
        <v>-346.70049999999998</v>
      </c>
      <c r="H4613" s="1">
        <v>-2.9346650000000001E-6</v>
      </c>
      <c r="I4613">
        <v>145.39240000000001</v>
      </c>
      <c r="J4613">
        <v>-305.28809999999999</v>
      </c>
      <c r="K4613">
        <v>1.1050229999999901</v>
      </c>
      <c r="L4613">
        <v>141.52600000000001</v>
      </c>
      <c r="M4613">
        <v>-0.99955239999999901</v>
      </c>
      <c r="N4613">
        <v>0</v>
      </c>
      <c r="O4613">
        <v>2.630917E-2</v>
      </c>
      <c r="P4613">
        <v>-0.99889229999999996</v>
      </c>
      <c r="Q4613">
        <v>4.0761899999999997E-2</v>
      </c>
      <c r="R4613">
        <v>-2.3512149999999999E-2</v>
      </c>
      <c r="S4613">
        <v>-3.0131839999999999</v>
      </c>
      <c r="T4613">
        <v>-7.9831360000000004E-2</v>
      </c>
      <c r="U4613">
        <v>0.27989199999999997</v>
      </c>
      <c r="V4613">
        <v>-4.9796159999999999E-2</v>
      </c>
      <c r="W4613">
        <v>5.4966220000000003E-2</v>
      </c>
      <c r="X4613">
        <v>0.99724570000000001</v>
      </c>
      <c r="Y4613">
        <v>6.6245970000000001E-2</v>
      </c>
      <c r="Z4613">
        <v>1.8030769999999999E-4</v>
      </c>
      <c r="AA4613">
        <v>0.99780329999999995</v>
      </c>
      <c r="AB4613">
        <v>30</v>
      </c>
      <c r="AC4613">
        <v>-41.412399999999899</v>
      </c>
      <c r="AD4613">
        <v>-1.10502593466499</v>
      </c>
      <c r="AE4613">
        <v>3.8663999999999898</v>
      </c>
      <c r="AF4613">
        <v>2.77346734458609</v>
      </c>
      <c r="AG4613">
        <v>-1.10502593466499</v>
      </c>
      <c r="AH4613">
        <v>41.470522305154901</v>
      </c>
      <c r="AI4613">
        <v>91.522945070037807</v>
      </c>
      <c r="AJ4613">
        <v>86.173867992022593</v>
      </c>
      <c r="AK4613">
        <v>41.577847752019501</v>
      </c>
    </row>
    <row r="4614" spans="1:37" x14ac:dyDescent="0.2">
      <c r="A4614" t="str">
        <f>"20200111155642813"</f>
        <v>20200111155642813</v>
      </c>
      <c r="B4614" t="str">
        <f>"1578729402807665"</f>
        <v>1578729402807665</v>
      </c>
      <c r="C4614" t="s">
        <v>37</v>
      </c>
      <c r="D4614">
        <v>5.057588</v>
      </c>
      <c r="E4614">
        <v>0.54504540000000001</v>
      </c>
      <c r="F4614" t="s">
        <v>38</v>
      </c>
      <c r="G4614">
        <v>-347.20679999999999</v>
      </c>
      <c r="H4614" s="1">
        <v>-2.72078899999999E-6</v>
      </c>
      <c r="I4614">
        <v>145.4049</v>
      </c>
      <c r="J4614">
        <v>-305.59199999999998</v>
      </c>
      <c r="K4614">
        <v>1.10504</v>
      </c>
      <c r="L4614">
        <v>141.53389999999999</v>
      </c>
      <c r="M4614">
        <v>-0.99955620000000001</v>
      </c>
      <c r="N4614">
        <v>0</v>
      </c>
      <c r="O4614">
        <v>2.616688E-2</v>
      </c>
      <c r="P4614">
        <v>-0.99887859999999995</v>
      </c>
      <c r="Q4614">
        <v>4.078035E-2</v>
      </c>
      <c r="R4614">
        <v>-2.4059130000000001E-2</v>
      </c>
      <c r="S4614">
        <v>-3.01312299999999</v>
      </c>
      <c r="T4614">
        <v>-7.9429509999999995E-2</v>
      </c>
      <c r="U4614">
        <v>0.27882390000000001</v>
      </c>
      <c r="V4614">
        <v>-5.0202219999999999E-2</v>
      </c>
      <c r="W4614">
        <v>5.497908E-2</v>
      </c>
      <c r="X4614">
        <v>0.99722469999999996</v>
      </c>
      <c r="Y4614">
        <v>6.6039349999999997E-2</v>
      </c>
      <c r="Z4614">
        <v>1.8042849999999901E-4</v>
      </c>
      <c r="AA4614">
        <v>0.99781699999999995</v>
      </c>
      <c r="AB4614">
        <v>30</v>
      </c>
      <c r="AC4614">
        <v>-41.614800000000002</v>
      </c>
      <c r="AD4614">
        <v>-1.1050427207889999</v>
      </c>
      <c r="AE4614">
        <v>3.871</v>
      </c>
      <c r="AF4614">
        <v>2.7786918993441199</v>
      </c>
      <c r="AG4614">
        <v>-1.1050427207889999</v>
      </c>
      <c r="AH4614">
        <v>41.6727178271234</v>
      </c>
      <c r="AI4614">
        <v>91.515602279311196</v>
      </c>
      <c r="AJ4614">
        <v>86.185226097370105</v>
      </c>
      <c r="AK4614">
        <v>41.779871459655098</v>
      </c>
    </row>
    <row r="4615" spans="1:37" x14ac:dyDescent="0.2">
      <c r="A4615" t="str">
        <f>"20200111155642835"</f>
        <v>20200111155642835</v>
      </c>
      <c r="B4615" t="str">
        <f>"1578729402827183"</f>
        <v>1578729402827183</v>
      </c>
      <c r="C4615" t="s">
        <v>37</v>
      </c>
      <c r="D4615">
        <v>4.9246530000000002</v>
      </c>
      <c r="E4615">
        <v>0.46712749999999997</v>
      </c>
      <c r="F4615" t="s">
        <v>38</v>
      </c>
      <c r="G4615">
        <v>-347.5351</v>
      </c>
      <c r="H4615" s="1">
        <v>-2.5766710000000001E-6</v>
      </c>
      <c r="I4615">
        <v>145.39259999999999</v>
      </c>
      <c r="J4615">
        <v>-305.8854</v>
      </c>
      <c r="K4615">
        <v>1.1050549999999999</v>
      </c>
      <c r="L4615">
        <v>141.54140000000001</v>
      </c>
      <c r="M4615">
        <v>-0.99956009999999995</v>
      </c>
      <c r="N4615">
        <v>0</v>
      </c>
      <c r="O4615">
        <v>2.6018980000000001E-2</v>
      </c>
      <c r="P4615">
        <v>-0.99885769999999996</v>
      </c>
      <c r="Q4615">
        <v>4.1040090000000001E-2</v>
      </c>
      <c r="R4615">
        <v>-2.4480749999999999E-2</v>
      </c>
      <c r="S4615">
        <v>-3.0132750000000001</v>
      </c>
      <c r="T4615">
        <v>-7.9388619999999993E-2</v>
      </c>
      <c r="U4615">
        <v>0.27722170000000002</v>
      </c>
      <c r="V4615">
        <v>-5.0477300000000003E-2</v>
      </c>
      <c r="W4615">
        <v>5.5234279999999997E-2</v>
      </c>
      <c r="X4615">
        <v>0.99719669999999905</v>
      </c>
      <c r="Y4615">
        <v>6.5656389999999995E-2</v>
      </c>
      <c r="Z4615">
        <v>1.791815E-4</v>
      </c>
      <c r="AA4615">
        <v>0.99784229999999996</v>
      </c>
      <c r="AB4615">
        <v>30</v>
      </c>
      <c r="AC4615">
        <v>-41.649700000000003</v>
      </c>
      <c r="AD4615">
        <v>-1.10505757667099</v>
      </c>
      <c r="AE4615">
        <v>3.8511999999999702</v>
      </c>
      <c r="AF4615">
        <v>2.7641740296089501</v>
      </c>
      <c r="AG4615">
        <v>-1.10505757667099</v>
      </c>
      <c r="AH4615">
        <v>41.706700224826299</v>
      </c>
      <c r="AI4615">
        <v>91.514428615921503</v>
      </c>
      <c r="AJ4615">
        <v>86.208181848899201</v>
      </c>
      <c r="AK4615">
        <v>41.8128049042067</v>
      </c>
    </row>
    <row r="4616" spans="1:37" x14ac:dyDescent="0.2">
      <c r="A4616" t="str">
        <f>"20200111155642857"</f>
        <v>20200111155642857</v>
      </c>
      <c r="B4616" t="str">
        <f>"1578729402847680"</f>
        <v>1578729402847680</v>
      </c>
      <c r="C4616" t="s">
        <v>37</v>
      </c>
      <c r="D4616">
        <v>5.0206689999999998</v>
      </c>
      <c r="E4616">
        <v>0.46264749999999999</v>
      </c>
      <c r="F4616" t="s">
        <v>48</v>
      </c>
      <c r="G4616">
        <v>0</v>
      </c>
      <c r="H4616">
        <v>0</v>
      </c>
      <c r="I4616">
        <v>0</v>
      </c>
      <c r="J4616">
        <v>-306.17540000000002</v>
      </c>
      <c r="K4616">
        <v>1.105056</v>
      </c>
      <c r="L4616">
        <v>141.5488</v>
      </c>
      <c r="M4616">
        <v>-0.99956409999999996</v>
      </c>
      <c r="N4616">
        <v>0</v>
      </c>
      <c r="O4616">
        <v>2.5866320000000002E-2</v>
      </c>
      <c r="P4616">
        <v>-0.99885100000000004</v>
      </c>
      <c r="Q4616">
        <v>4.1046770000000003E-2</v>
      </c>
      <c r="R4616">
        <v>-2.4739580000000001E-2</v>
      </c>
      <c r="S4616">
        <v>-2.994904</v>
      </c>
      <c r="T4616">
        <v>3.7440059999999998E-3</v>
      </c>
      <c r="U4616">
        <v>-0.34194949999999902</v>
      </c>
      <c r="V4616">
        <v>-5.0584289999999997E-2</v>
      </c>
      <c r="W4616">
        <v>5.5236649999999998E-2</v>
      </c>
      <c r="X4616">
        <v>0.9971911</v>
      </c>
      <c r="Y4616">
        <v>-0.13910400000000001</v>
      </c>
      <c r="Z4616">
        <v>1.18911E-4</v>
      </c>
      <c r="AA4616">
        <v>0.99027779999999999</v>
      </c>
      <c r="AB4616">
        <v>30</v>
      </c>
      <c r="AC4616">
        <v>-2.994904</v>
      </c>
      <c r="AD4616">
        <v>3.7440059999999998E-3</v>
      </c>
      <c r="AE4616">
        <v>-0.34194949999999902</v>
      </c>
      <c r="AF4616">
        <v>-0.41930940898609198</v>
      </c>
      <c r="AG4616">
        <v>3.7440059999999998E-3</v>
      </c>
      <c r="AH4616">
        <v>2.9850512582206998</v>
      </c>
      <c r="AI4616">
        <v>89.928835372404194</v>
      </c>
      <c r="AJ4616">
        <v>97.9960060893996</v>
      </c>
      <c r="AK4616">
        <v>3.0143598677414398</v>
      </c>
    </row>
    <row r="4617" spans="1:37" x14ac:dyDescent="0.2">
      <c r="A4617" t="str">
        <f>"20200111155642880"</f>
        <v>20200111155642880</v>
      </c>
      <c r="B4617" t="str">
        <f>"1578729402877936"</f>
        <v>1578729402877936</v>
      </c>
      <c r="C4617" t="s">
        <v>37</v>
      </c>
      <c r="D4617">
        <v>4.8243369999999999</v>
      </c>
      <c r="E4617">
        <v>0.46060000000000001</v>
      </c>
      <c r="F4617" t="s">
        <v>48</v>
      </c>
      <c r="G4617">
        <v>0</v>
      </c>
      <c r="H4617">
        <v>0</v>
      </c>
      <c r="I4617">
        <v>0</v>
      </c>
      <c r="J4617">
        <v>-306.47609999999997</v>
      </c>
      <c r="K4617">
        <v>1.1050599999999999</v>
      </c>
      <c r="L4617">
        <v>141.5564</v>
      </c>
      <c r="M4617">
        <v>-0.99956819999999902</v>
      </c>
      <c r="N4617">
        <v>0</v>
      </c>
      <c r="O4617">
        <v>2.5705720000000001E-2</v>
      </c>
      <c r="P4617">
        <v>-0.99884580000000001</v>
      </c>
      <c r="Q4617">
        <v>4.1134919999999998E-2</v>
      </c>
      <c r="R4617">
        <v>-2.479959E-2</v>
      </c>
      <c r="S4617">
        <v>-2.9941709999999899</v>
      </c>
      <c r="T4617">
        <v>-2.423882E-3</v>
      </c>
      <c r="U4617">
        <v>-0.37892150000000002</v>
      </c>
      <c r="V4617">
        <v>-5.04842E-2</v>
      </c>
      <c r="W4617">
        <v>5.53214E-2</v>
      </c>
      <c r="X4617">
        <v>0.99719150000000001</v>
      </c>
      <c r="Y4617">
        <v>-0.15101500000000001</v>
      </c>
      <c r="Z4617" s="1">
        <v>-8.1618829999999994E-5</v>
      </c>
      <c r="AA4617">
        <v>0.98853150000000001</v>
      </c>
      <c r="AB4617">
        <v>30</v>
      </c>
      <c r="AC4617">
        <v>-2.9941709999999899</v>
      </c>
      <c r="AD4617">
        <v>-2.423882E-3</v>
      </c>
      <c r="AE4617">
        <v>-0.37892150000000002</v>
      </c>
      <c r="AF4617">
        <v>-0.45577108778039699</v>
      </c>
      <c r="AG4617">
        <v>-2.423882E-3</v>
      </c>
      <c r="AH4617">
        <v>2.9834380244191698</v>
      </c>
      <c r="AI4617">
        <v>90.046015854222802</v>
      </c>
      <c r="AJ4617">
        <v>98.685755105636602</v>
      </c>
      <c r="AK4617">
        <v>3.0180516240135198</v>
      </c>
    </row>
    <row r="4618" spans="1:37" x14ac:dyDescent="0.2">
      <c r="A4618" t="str">
        <f>"20200111155642903"</f>
        <v>20200111155642903</v>
      </c>
      <c r="B4618" t="str">
        <f>"1578729402897456"</f>
        <v>1578729402897456</v>
      </c>
      <c r="C4618" t="s">
        <v>37</v>
      </c>
      <c r="D4618">
        <v>4.8139379999999896</v>
      </c>
      <c r="E4618">
        <v>0.46067910000000001</v>
      </c>
      <c r="F4618" t="s">
        <v>76</v>
      </c>
      <c r="G4618">
        <v>-470.92</v>
      </c>
      <c r="H4618">
        <v>0.66133730000000002</v>
      </c>
      <c r="I4618">
        <v>119.8177</v>
      </c>
      <c r="J4618">
        <v>-306.77690000000001</v>
      </c>
      <c r="K4618">
        <v>1.1050679999999999</v>
      </c>
      <c r="L4618">
        <v>141.56399999999999</v>
      </c>
      <c r="M4618">
        <v>-0.99957249999999997</v>
      </c>
      <c r="N4618">
        <v>0</v>
      </c>
      <c r="O4618">
        <v>2.5545330000000002E-2</v>
      </c>
      <c r="P4618">
        <v>-0.99885460000000004</v>
      </c>
      <c r="Q4618">
        <v>4.119942E-2</v>
      </c>
      <c r="R4618">
        <v>-2.4337620000000001E-2</v>
      </c>
      <c r="S4618">
        <v>-2.9939269999999998</v>
      </c>
      <c r="T4618">
        <v>-8.0780980000000006E-3</v>
      </c>
      <c r="U4618">
        <v>-0.39578249999999998</v>
      </c>
      <c r="V4618">
        <v>-4.9863009999999999E-2</v>
      </c>
      <c r="W4618">
        <v>5.5382819999999999E-2</v>
      </c>
      <c r="X4618">
        <v>0.99721930000000003</v>
      </c>
      <c r="Y4618">
        <v>-0.15633910000000001</v>
      </c>
      <c r="Z4618">
        <v>-2.7865719999999999E-4</v>
      </c>
      <c r="AA4618">
        <v>0.98770340000000001</v>
      </c>
      <c r="AB4618">
        <v>30</v>
      </c>
      <c r="AC4618">
        <v>-164.1431</v>
      </c>
      <c r="AD4618">
        <v>-0.44373069999999898</v>
      </c>
      <c r="AE4618">
        <v>-21.746299999999898</v>
      </c>
      <c r="AF4618">
        <v>-25.932529491653799</v>
      </c>
      <c r="AG4618">
        <v>-0.44373069999999898</v>
      </c>
      <c r="AH4618">
        <v>163.53277642674101</v>
      </c>
      <c r="AI4618">
        <v>90.153547680723094</v>
      </c>
      <c r="AJ4618">
        <v>99.010759947158803</v>
      </c>
      <c r="AK4618">
        <v>165.576755459841</v>
      </c>
    </row>
    <row r="4619" spans="1:37" x14ac:dyDescent="0.2">
      <c r="A4619" t="str">
        <f>"20200111155642925"</f>
        <v>20200111155642925</v>
      </c>
      <c r="B4619" t="str">
        <f>"1578729402917951"</f>
        <v>1578729402917951</v>
      </c>
      <c r="C4619" t="s">
        <v>37</v>
      </c>
      <c r="D4619">
        <v>4.7782809999999998</v>
      </c>
      <c r="E4619">
        <v>0.46054010000000001</v>
      </c>
      <c r="F4619" t="s">
        <v>39</v>
      </c>
      <c r="G4619">
        <v>-467.83699999999999</v>
      </c>
      <c r="H4619">
        <v>-0.05</v>
      </c>
      <c r="I4619">
        <v>120.3505</v>
      </c>
      <c r="J4619">
        <v>-307.0702</v>
      </c>
      <c r="K4619">
        <v>1.105073</v>
      </c>
      <c r="L4619">
        <v>141.57130000000001</v>
      </c>
      <c r="M4619">
        <v>-0.99957629999999997</v>
      </c>
      <c r="N4619">
        <v>0</v>
      </c>
      <c r="O4619">
        <v>2.5390920000000001E-2</v>
      </c>
      <c r="P4619">
        <v>-0.99885380000000001</v>
      </c>
      <c r="Q4619">
        <v>4.1206899999999998E-2</v>
      </c>
      <c r="R4619">
        <v>-2.4355760000000001E-2</v>
      </c>
      <c r="S4619">
        <v>-2.99472</v>
      </c>
      <c r="T4619">
        <v>-2.1477099999999999E-2</v>
      </c>
      <c r="U4619">
        <v>-0.3944397</v>
      </c>
      <c r="V4619">
        <v>-4.9727E-2</v>
      </c>
      <c r="W4619">
        <v>5.5387099999999898E-2</v>
      </c>
      <c r="X4619">
        <v>0.9972259</v>
      </c>
      <c r="Y4619">
        <v>-0.155713299999999</v>
      </c>
      <c r="Z4619">
        <v>-7.3734210000000002E-4</v>
      </c>
      <c r="AA4619">
        <v>0.98780199999999996</v>
      </c>
      <c r="AB4619">
        <v>30</v>
      </c>
      <c r="AC4619">
        <v>-160.76679999999999</v>
      </c>
      <c r="AD4619">
        <v>-1.155073</v>
      </c>
      <c r="AE4619">
        <v>-21.220800000000001</v>
      </c>
      <c r="AF4619">
        <v>-25.2951039706942</v>
      </c>
      <c r="AG4619">
        <v>-1.155073</v>
      </c>
      <c r="AH4619">
        <v>160.16796142108399</v>
      </c>
      <c r="AI4619">
        <v>90.408130962480996</v>
      </c>
      <c r="AJ4619">
        <v>98.974520345096195</v>
      </c>
      <c r="AK4619">
        <v>162.15718406629301</v>
      </c>
    </row>
    <row r="4620" spans="1:37" x14ac:dyDescent="0.2">
      <c r="A4620" t="str">
        <f>"20200111155642947"</f>
        <v>20200111155642947</v>
      </c>
      <c r="B4620" t="str">
        <f>"1578729402937471"</f>
        <v>1578729402937471</v>
      </c>
      <c r="C4620" t="s">
        <v>37</v>
      </c>
      <c r="D4620">
        <v>4.7462479999999996</v>
      </c>
      <c r="E4620">
        <v>0.46043580000000001</v>
      </c>
      <c r="F4620" t="s">
        <v>72</v>
      </c>
      <c r="G4620">
        <v>-429.95819999999998</v>
      </c>
      <c r="H4620">
        <v>9.4164269999999998E-3</v>
      </c>
      <c r="I4620">
        <v>125.3278</v>
      </c>
      <c r="J4620">
        <v>-307.35329999999999</v>
      </c>
      <c r="K4620">
        <v>1.1050739999999999</v>
      </c>
      <c r="L4620">
        <v>141.57830000000001</v>
      </c>
      <c r="M4620">
        <v>-0.99958019999999903</v>
      </c>
      <c r="N4620">
        <v>0</v>
      </c>
      <c r="O4620">
        <v>2.524378E-2</v>
      </c>
      <c r="P4620">
        <v>-0.99884089999999903</v>
      </c>
      <c r="Q4620">
        <v>4.1395689999999999E-2</v>
      </c>
      <c r="R4620">
        <v>-2.4565099999999999E-2</v>
      </c>
      <c r="S4620">
        <v>-2.9949340000000002</v>
      </c>
      <c r="T4620">
        <v>-2.670252E-2</v>
      </c>
      <c r="U4620">
        <v>-0.395874</v>
      </c>
      <c r="V4620">
        <v>-4.9789260000000002E-2</v>
      </c>
      <c r="W4620">
        <v>5.5572789999999997E-2</v>
      </c>
      <c r="X4620">
        <v>0.99721249999999995</v>
      </c>
      <c r="Y4620">
        <v>-0.1560212</v>
      </c>
      <c r="Z4620">
        <v>-9.1669889999999995E-4</v>
      </c>
      <c r="AA4620">
        <v>0.98775329999999995</v>
      </c>
      <c r="AB4620">
        <v>30</v>
      </c>
      <c r="AC4620">
        <v>-122.6049</v>
      </c>
      <c r="AD4620">
        <v>-1.095657573</v>
      </c>
      <c r="AE4620">
        <v>-16.250499999999999</v>
      </c>
      <c r="AF4620">
        <v>-19.339126586653599</v>
      </c>
      <c r="AG4620">
        <v>-1.095657573</v>
      </c>
      <c r="AH4620">
        <v>122.14596918730599</v>
      </c>
      <c r="AI4620">
        <v>90.5076106069818</v>
      </c>
      <c r="AJ4620">
        <v>98.996845123143899</v>
      </c>
      <c r="AK4620">
        <v>123.67230923435601</v>
      </c>
    </row>
    <row r="4621" spans="1:37" x14ac:dyDescent="0.2">
      <c r="A4621" t="str">
        <f>"20200111155642962"</f>
        <v>20200111155642962</v>
      </c>
      <c r="B4621" t="str">
        <f>"1578729402957968"</f>
        <v>1578729402957968</v>
      </c>
      <c r="C4621" t="s">
        <v>37</v>
      </c>
      <c r="D4621">
        <v>4.6886529999999897</v>
      </c>
      <c r="E4621">
        <v>0.46032840000000003</v>
      </c>
      <c r="F4621" t="s">
        <v>72</v>
      </c>
      <c r="G4621">
        <v>-404.82659999999998</v>
      </c>
      <c r="H4621">
        <v>7.9986890000000005E-2</v>
      </c>
      <c r="I4621">
        <v>128.64590000000001</v>
      </c>
      <c r="J4621">
        <v>-307.57229999999998</v>
      </c>
      <c r="K4621">
        <v>1.105075</v>
      </c>
      <c r="L4621">
        <v>141.58369999999999</v>
      </c>
      <c r="M4621">
        <v>-0.999583</v>
      </c>
      <c r="N4621">
        <v>0</v>
      </c>
      <c r="O4621">
        <v>2.513079E-2</v>
      </c>
      <c r="P4621">
        <v>-0.99882280000000001</v>
      </c>
      <c r="Q4621">
        <v>4.1661910000000003E-2</v>
      </c>
      <c r="R4621">
        <v>-2.4847640000000001E-2</v>
      </c>
      <c r="S4621">
        <v>-2.99502599999999</v>
      </c>
      <c r="T4621">
        <v>-3.1497480000000001E-2</v>
      </c>
      <c r="U4621">
        <v>-0.39736939999999998</v>
      </c>
      <c r="V4621">
        <v>-4.9958280000000001E-2</v>
      </c>
      <c r="W4621">
        <v>5.583606E-2</v>
      </c>
      <c r="X4621">
        <v>0.99718929999999995</v>
      </c>
      <c r="Y4621">
        <v>-0.15638750000000001</v>
      </c>
      <c r="Z4621">
        <v>-1.081968E-3</v>
      </c>
      <c r="AA4621">
        <v>0.987695199999999</v>
      </c>
      <c r="AB4621">
        <v>30</v>
      </c>
      <c r="AC4621">
        <v>-97.254300000000001</v>
      </c>
      <c r="AD4621">
        <v>-1.02508811</v>
      </c>
      <c r="AE4621">
        <v>-12.9377999999999</v>
      </c>
      <c r="AF4621">
        <v>-15.376359088951901</v>
      </c>
      <c r="AG4621">
        <v>-1.02508811</v>
      </c>
      <c r="AH4621">
        <v>96.8878312860639</v>
      </c>
      <c r="AI4621">
        <v>90.598683569424495</v>
      </c>
      <c r="AJ4621">
        <v>99.017787051188506</v>
      </c>
      <c r="AK4621">
        <v>98.105734163617797</v>
      </c>
    </row>
    <row r="4622" spans="1:37" x14ac:dyDescent="0.2">
      <c r="A4622" t="str">
        <f>"20200111155642975"</f>
        <v>20200111155642975</v>
      </c>
      <c r="B4622" t="str">
        <f>"1578729402967728"</f>
        <v>1578729402967728</v>
      </c>
      <c r="C4622" t="s">
        <v>37</v>
      </c>
      <c r="D4622">
        <v>4.9125319999999997</v>
      </c>
      <c r="E4622">
        <v>0.46038659999999998</v>
      </c>
      <c r="F4622" t="s">
        <v>39</v>
      </c>
      <c r="G4622">
        <v>-484.57369999999997</v>
      </c>
      <c r="H4622">
        <v>-0.05</v>
      </c>
      <c r="I4622">
        <v>118.0213</v>
      </c>
      <c r="J4622">
        <v>-307.74380000000002</v>
      </c>
      <c r="K4622">
        <v>1.1050759999999999</v>
      </c>
      <c r="L4622">
        <v>141.58799999999999</v>
      </c>
      <c r="M4622">
        <v>-0.99958539999999996</v>
      </c>
      <c r="N4622">
        <v>0</v>
      </c>
      <c r="O4622">
        <v>2.50423E-2</v>
      </c>
      <c r="P4622">
        <v>-0.99880000000000002</v>
      </c>
      <c r="Q4622">
        <v>4.1977630000000002E-2</v>
      </c>
      <c r="R4622">
        <v>-2.5231960000000001E-2</v>
      </c>
      <c r="S4622">
        <v>-2.9944459999999999</v>
      </c>
      <c r="T4622">
        <v>-1.9541139999999999E-2</v>
      </c>
      <c r="U4622">
        <v>-0.39862059999999999</v>
      </c>
      <c r="V4622">
        <v>-5.0253150000000003E-2</v>
      </c>
      <c r="W4622">
        <v>5.61498E-2</v>
      </c>
      <c r="X4622">
        <v>0.99715689999999901</v>
      </c>
      <c r="Y4622">
        <v>-0.1567366</v>
      </c>
      <c r="Z4622">
        <v>-6.7193729999999896E-4</v>
      </c>
      <c r="AA4622">
        <v>0.98764019999999997</v>
      </c>
      <c r="AB4622">
        <v>30</v>
      </c>
      <c r="AC4622">
        <v>-176.82989999999899</v>
      </c>
      <c r="AD4622">
        <v>-1.155076</v>
      </c>
      <c r="AE4622">
        <v>-23.566700000000001</v>
      </c>
      <c r="AF4622">
        <v>-27.986809017444799</v>
      </c>
      <c r="AG4622">
        <v>-1.155076</v>
      </c>
      <c r="AH4622">
        <v>176.17682359091799</v>
      </c>
      <c r="AI4622">
        <v>90.3709937240573</v>
      </c>
      <c r="AJ4622">
        <v>99.026375422509403</v>
      </c>
      <c r="AK4622">
        <v>178.38965454905201</v>
      </c>
    </row>
    <row r="4623" spans="1:37" x14ac:dyDescent="0.2">
      <c r="A4623" t="str">
        <f>"20200111155642992"</f>
        <v>20200111155642992</v>
      </c>
      <c r="B4623" t="str">
        <f>"1578729402987248"</f>
        <v>1578729402987248</v>
      </c>
      <c r="C4623" t="s">
        <v>37</v>
      </c>
      <c r="D4623">
        <v>4.7512720000000002</v>
      </c>
      <c r="E4623">
        <v>0.46046619999999999</v>
      </c>
      <c r="F4623" t="s">
        <v>39</v>
      </c>
      <c r="G4623">
        <v>-477.32549999999998</v>
      </c>
      <c r="H4623">
        <v>-0.05</v>
      </c>
      <c r="I4623">
        <v>118.97190000000001</v>
      </c>
      <c r="J4623">
        <v>-307.94970000000001</v>
      </c>
      <c r="K4623">
        <v>1.105084</v>
      </c>
      <c r="L4623">
        <v>141.59299999999999</v>
      </c>
      <c r="M4623">
        <v>-0.99958799999999903</v>
      </c>
      <c r="N4623">
        <v>0</v>
      </c>
      <c r="O4623">
        <v>2.4936590000000002E-2</v>
      </c>
      <c r="P4623">
        <v>-0.99875530000000001</v>
      </c>
      <c r="Q4623">
        <v>4.2536190000000001E-2</v>
      </c>
      <c r="R4623">
        <v>-2.6056590000000001E-2</v>
      </c>
      <c r="S4623">
        <v>-2.994354</v>
      </c>
      <c r="T4623">
        <v>-2.039552E-2</v>
      </c>
      <c r="U4623">
        <v>-0.39933779999999902</v>
      </c>
      <c r="V4623">
        <v>-5.0971410000000002E-2</v>
      </c>
      <c r="W4623">
        <v>5.6704909999999997E-2</v>
      </c>
      <c r="X4623">
        <v>0.997088999999999</v>
      </c>
      <c r="Y4623">
        <v>-0.15686820000000001</v>
      </c>
      <c r="Z4623">
        <v>-7.0105389999999997E-4</v>
      </c>
      <c r="AA4623">
        <v>0.98761929999999998</v>
      </c>
      <c r="AB4623">
        <v>30</v>
      </c>
      <c r="AC4623">
        <v>-169.375799999999</v>
      </c>
      <c r="AD4623">
        <v>-1.155084</v>
      </c>
      <c r="AE4623">
        <v>-22.621099999999899</v>
      </c>
      <c r="AF4623">
        <v>-26.8369194837626</v>
      </c>
      <c r="AG4623">
        <v>-1.155084</v>
      </c>
      <c r="AH4623">
        <v>168.75125862718301</v>
      </c>
      <c r="AI4623">
        <v>90.387310193276406</v>
      </c>
      <c r="AJ4623">
        <v>99.036213805400493</v>
      </c>
      <c r="AK4623">
        <v>170.87580798545901</v>
      </c>
    </row>
    <row r="4624" spans="1:37" x14ac:dyDescent="0.2">
      <c r="A4624" t="str">
        <f>"20200111155643014"</f>
        <v>20200111155643014</v>
      </c>
      <c r="B4624" t="str">
        <f>"1578729403007744"</f>
        <v>1578729403007744</v>
      </c>
      <c r="C4624" t="s">
        <v>37</v>
      </c>
      <c r="D4624">
        <v>4.8408040000000003</v>
      </c>
      <c r="E4624">
        <v>0.46070359999999999</v>
      </c>
      <c r="F4624" t="s">
        <v>39</v>
      </c>
      <c r="G4624">
        <v>-460.73930000000001</v>
      </c>
      <c r="H4624">
        <v>-0.05</v>
      </c>
      <c r="I4624">
        <v>121.113</v>
      </c>
      <c r="J4624">
        <v>-308.24549999999999</v>
      </c>
      <c r="K4624">
        <v>1.105083</v>
      </c>
      <c r="L4624">
        <v>141.6002</v>
      </c>
      <c r="M4624">
        <v>-0.99959179999999903</v>
      </c>
      <c r="N4624">
        <v>0</v>
      </c>
      <c r="O4624">
        <v>2.4784999999999901E-2</v>
      </c>
      <c r="P4624">
        <v>-0.99873959999999995</v>
      </c>
      <c r="Q4624">
        <v>4.2634650000000003E-2</v>
      </c>
      <c r="R4624">
        <v>-2.648909E-2</v>
      </c>
      <c r="S4624">
        <v>-2.9942630000000001</v>
      </c>
      <c r="T4624">
        <v>-2.2636529999999998E-2</v>
      </c>
      <c r="U4624">
        <v>-0.40135189999999998</v>
      </c>
      <c r="V4624">
        <v>-5.1252119999999998E-2</v>
      </c>
      <c r="W4624">
        <v>5.6800120000000003E-2</v>
      </c>
      <c r="X4624">
        <v>0.99706919999999899</v>
      </c>
      <c r="Y4624">
        <v>-0.15737409999999999</v>
      </c>
      <c r="Z4624">
        <v>-7.7883360000000003E-4</v>
      </c>
      <c r="AA4624">
        <v>0.98753880000000005</v>
      </c>
      <c r="AB4624">
        <v>29</v>
      </c>
      <c r="AC4624">
        <v>-152.49379999999999</v>
      </c>
      <c r="AD4624">
        <v>-1.1550830000000001</v>
      </c>
      <c r="AE4624">
        <v>-20.487200000000001</v>
      </c>
      <c r="AF4624">
        <v>-24.259478456431602</v>
      </c>
      <c r="AG4624">
        <v>-1.1550830000000001</v>
      </c>
      <c r="AH4624">
        <v>151.93055617416499</v>
      </c>
      <c r="AI4624">
        <v>90.430145659171103</v>
      </c>
      <c r="AJ4624">
        <v>99.072107501917401</v>
      </c>
      <c r="AK4624">
        <v>153.85951517896501</v>
      </c>
    </row>
    <row r="4625" spans="1:37" x14ac:dyDescent="0.2">
      <c r="A4625" t="str">
        <f>"20200111155643036"</f>
        <v>20200111155643036</v>
      </c>
      <c r="B4625" t="str">
        <f>"1578729403027263"</f>
        <v>1578729403027263</v>
      </c>
      <c r="C4625" t="s">
        <v>37</v>
      </c>
      <c r="D4625">
        <v>4.7544909999999998</v>
      </c>
      <c r="E4625">
        <v>0.46067859999999999</v>
      </c>
      <c r="F4625" t="s">
        <v>72</v>
      </c>
      <c r="G4625">
        <v>-432.83539999999999</v>
      </c>
      <c r="H4625">
        <v>7.9987760000000005E-2</v>
      </c>
      <c r="I4625">
        <v>124.9096</v>
      </c>
      <c r="J4625">
        <v>-308.5308</v>
      </c>
      <c r="K4625">
        <v>1.105084</v>
      </c>
      <c r="L4625">
        <v>141.6071</v>
      </c>
      <c r="M4625">
        <v>-0.99959540000000002</v>
      </c>
      <c r="N4625">
        <v>0</v>
      </c>
      <c r="O4625">
        <v>2.4638999999999901E-2</v>
      </c>
      <c r="P4625">
        <v>-0.99877759999999904</v>
      </c>
      <c r="Q4625">
        <v>4.1436779999999999E-2</v>
      </c>
      <c r="R4625">
        <v>-2.6957200000000001E-2</v>
      </c>
      <c r="S4625">
        <v>-2.9941409999999999</v>
      </c>
      <c r="T4625">
        <v>-2.463508E-2</v>
      </c>
      <c r="U4625">
        <v>-0.40110780000000001</v>
      </c>
      <c r="V4625">
        <v>-5.1574630000000003E-2</v>
      </c>
      <c r="W4625">
        <v>5.559944E-2</v>
      </c>
      <c r="X4625">
        <v>0.99712029999999996</v>
      </c>
      <c r="Y4625">
        <v>-0.15715509999999999</v>
      </c>
      <c r="Z4625">
        <v>-8.4553869999999998E-4</v>
      </c>
      <c r="AA4625">
        <v>0.98757359999999905</v>
      </c>
      <c r="AB4625">
        <v>29</v>
      </c>
      <c r="AC4625">
        <v>-124.30459999999999</v>
      </c>
      <c r="AD4625">
        <v>-1.0250962400000001</v>
      </c>
      <c r="AE4625">
        <v>-16.697500000000002</v>
      </c>
      <c r="AF4625">
        <v>-19.754160586066</v>
      </c>
      <c r="AG4625">
        <v>-1.0250962400000001</v>
      </c>
      <c r="AH4625">
        <v>123.84713074156799</v>
      </c>
      <c r="AI4625">
        <v>90.468312959011001</v>
      </c>
      <c r="AJ4625">
        <v>99.062587016524006</v>
      </c>
      <c r="AK4625">
        <v>125.416862804331</v>
      </c>
    </row>
    <row r="4626" spans="1:37" x14ac:dyDescent="0.2">
      <c r="A4626" t="str">
        <f>"20200111155643060"</f>
        <v>20200111155643060</v>
      </c>
      <c r="B4626" t="str">
        <f>"1578729403057521"</f>
        <v>1578729403057521</v>
      </c>
      <c r="C4626" t="s">
        <v>37</v>
      </c>
      <c r="D4626">
        <v>4.8005449999999996</v>
      </c>
      <c r="E4626">
        <v>0.46070870000000003</v>
      </c>
      <c r="F4626" t="s">
        <v>72</v>
      </c>
      <c r="G4626">
        <v>-406.11799999999999</v>
      </c>
      <c r="H4626">
        <v>7.9987000000000003E-2</v>
      </c>
      <c r="I4626">
        <v>128.47559999999999</v>
      </c>
      <c r="J4626">
        <v>-308.83609999999999</v>
      </c>
      <c r="K4626">
        <v>1.105075</v>
      </c>
      <c r="L4626">
        <v>141.61449999999999</v>
      </c>
      <c r="M4626">
        <v>-0.99959940000000003</v>
      </c>
      <c r="N4626">
        <v>0</v>
      </c>
      <c r="O4626">
        <v>2.4482520000000001E-2</v>
      </c>
      <c r="P4626">
        <v>-0.99878129999999998</v>
      </c>
      <c r="Q4626">
        <v>4.10149E-2</v>
      </c>
      <c r="R4626">
        <v>-2.7453559999999998E-2</v>
      </c>
      <c r="S4626">
        <v>-2.99411</v>
      </c>
      <c r="T4626">
        <v>-3.1451340000000001E-2</v>
      </c>
      <c r="U4626">
        <v>-0.402893099999999</v>
      </c>
      <c r="V4626">
        <v>-5.191486E-2</v>
      </c>
      <c r="W4626">
        <v>5.5174760000000003E-2</v>
      </c>
      <c r="X4626">
        <v>0.99712619999999896</v>
      </c>
      <c r="Y4626">
        <v>-0.15757639999999901</v>
      </c>
      <c r="Z4626">
        <v>-1.0800129999999999E-3</v>
      </c>
      <c r="AA4626">
        <v>0.9875062</v>
      </c>
      <c r="AB4626">
        <v>29</v>
      </c>
      <c r="AC4626">
        <v>-97.281899999999993</v>
      </c>
      <c r="AD4626">
        <v>-1.025088</v>
      </c>
      <c r="AE4626">
        <v>-13.1389</v>
      </c>
      <c r="AF4626">
        <v>-15.515215293407</v>
      </c>
      <c r="AG4626">
        <v>-1.025088</v>
      </c>
      <c r="AH4626">
        <v>96.920460110909602</v>
      </c>
      <c r="AI4626">
        <v>90.598353680903202</v>
      </c>
      <c r="AJ4626">
        <v>99.094854498756206</v>
      </c>
      <c r="AK4626">
        <v>98.159809999403194</v>
      </c>
    </row>
    <row r="4627" spans="1:37" x14ac:dyDescent="0.2">
      <c r="A4627" t="str">
        <f>"20200111155643074"</f>
        <v>20200111155643074</v>
      </c>
      <c r="B4627" t="str">
        <f>"1578729403067280"</f>
        <v>1578729403067280</v>
      </c>
      <c r="C4627" t="s">
        <v>37</v>
      </c>
      <c r="D4627">
        <v>4.8229480000000002</v>
      </c>
      <c r="E4627">
        <v>0.46048459999999902</v>
      </c>
      <c r="F4627" t="s">
        <v>38</v>
      </c>
      <c r="G4627">
        <v>-397.71319999999997</v>
      </c>
      <c r="H4627">
        <v>1.903328E-2</v>
      </c>
      <c r="I4627">
        <v>129.61609999999999</v>
      </c>
      <c r="J4627">
        <v>-309.03809999999999</v>
      </c>
      <c r="K4627">
        <v>1.1050759999999999</v>
      </c>
      <c r="L4627">
        <v>141.61930000000001</v>
      </c>
      <c r="M4627">
        <v>-0.99960179999999998</v>
      </c>
      <c r="N4627">
        <v>0</v>
      </c>
      <c r="O4627">
        <v>2.437949E-2</v>
      </c>
      <c r="P4627">
        <v>-0.99878659999999997</v>
      </c>
      <c r="Q4627">
        <v>4.0770929999999997E-2</v>
      </c>
      <c r="R4627">
        <v>-2.7626919999999999E-2</v>
      </c>
      <c r="S4627">
        <v>-2.994049</v>
      </c>
      <c r="T4627">
        <v>-3.6586050000000002E-2</v>
      </c>
      <c r="U4627">
        <v>-0.4041901</v>
      </c>
      <c r="V4627">
        <v>-5.1984990000000002E-2</v>
      </c>
      <c r="W4627">
        <v>5.4928129999999999E-2</v>
      </c>
      <c r="X4627">
        <v>0.99713609999999897</v>
      </c>
      <c r="Y4627">
        <v>-0.157893899999999</v>
      </c>
      <c r="Z4627">
        <v>-1.256989E-3</v>
      </c>
      <c r="AA4627">
        <v>0.98745530000000004</v>
      </c>
      <c r="AB4627">
        <v>29</v>
      </c>
      <c r="AC4627">
        <v>-88.675099999999901</v>
      </c>
      <c r="AD4627">
        <v>-1.08604272</v>
      </c>
      <c r="AE4627">
        <v>-12.0032</v>
      </c>
      <c r="AF4627">
        <v>-14.1596178849402</v>
      </c>
      <c r="AG4627">
        <v>-1.08604272</v>
      </c>
      <c r="AH4627">
        <v>88.343063876795597</v>
      </c>
      <c r="AI4627">
        <v>90.695452974438595</v>
      </c>
      <c r="AJ4627">
        <v>99.105913303503797</v>
      </c>
      <c r="AK4627">
        <v>89.4772105207621</v>
      </c>
    </row>
    <row r="4628" spans="1:37" x14ac:dyDescent="0.2">
      <c r="A4628" t="str">
        <f>"20200111155643088"</f>
        <v>20200111155643088</v>
      </c>
      <c r="B4628" t="str">
        <f>"1578729403078016"</f>
        <v>1578729403078016</v>
      </c>
      <c r="C4628" t="s">
        <v>37</v>
      </c>
      <c r="D4628">
        <v>4.7456529999999999</v>
      </c>
      <c r="E4628">
        <v>0.460530199999999</v>
      </c>
      <c r="F4628" t="s">
        <v>38</v>
      </c>
      <c r="G4628">
        <v>-397.5197</v>
      </c>
      <c r="H4628">
        <v>5.8761500000000001E-2</v>
      </c>
      <c r="I4628">
        <v>129.60740000000001</v>
      </c>
      <c r="J4628">
        <v>-309.21679999999998</v>
      </c>
      <c r="K4628">
        <v>1.105075</v>
      </c>
      <c r="L4628">
        <v>141.62360000000001</v>
      </c>
      <c r="M4628">
        <v>-0.99960419999999905</v>
      </c>
      <c r="N4628">
        <v>0</v>
      </c>
      <c r="O4628">
        <v>2.4287779999999998E-2</v>
      </c>
      <c r="P4628">
        <v>-0.998781699999999</v>
      </c>
      <c r="Q4628">
        <v>4.0689320000000001E-2</v>
      </c>
      <c r="R4628">
        <v>-2.7922909999999999E-2</v>
      </c>
      <c r="S4628">
        <v>-2.9938660000000001</v>
      </c>
      <c r="T4628">
        <v>-3.5403129999999998E-2</v>
      </c>
      <c r="U4628">
        <v>-0.40643309999999999</v>
      </c>
      <c r="V4628">
        <v>-5.2189670000000001E-2</v>
      </c>
      <c r="W4628">
        <v>5.4844799999999999E-2</v>
      </c>
      <c r="X4628">
        <v>0.99712999999999996</v>
      </c>
      <c r="Y4628">
        <v>-0.1585386</v>
      </c>
      <c r="Z4628">
        <v>-1.219078E-3</v>
      </c>
      <c r="AA4628">
        <v>0.98735200000000001</v>
      </c>
      <c r="AB4628">
        <v>29</v>
      </c>
      <c r="AC4628">
        <v>-88.302899999999994</v>
      </c>
      <c r="AD4628">
        <v>-1.0463134999999999</v>
      </c>
      <c r="AE4628">
        <v>-12.0161999999999</v>
      </c>
      <c r="AF4628">
        <v>-14.155600832698299</v>
      </c>
      <c r="AG4628">
        <v>-1.0463134999999999</v>
      </c>
      <c r="AH4628">
        <v>87.972842881725896</v>
      </c>
      <c r="AI4628">
        <v>90.672767698628206</v>
      </c>
      <c r="AJ4628">
        <v>99.141038006090994</v>
      </c>
      <c r="AK4628">
        <v>89.110587988003999</v>
      </c>
    </row>
    <row r="4629" spans="1:37" x14ac:dyDescent="0.2">
      <c r="A4629" t="str">
        <f>"20200111155643104"</f>
        <v>20200111155643104</v>
      </c>
      <c r="B4629" t="str">
        <f>"1578729403097536"</f>
        <v>1578729403097536</v>
      </c>
      <c r="C4629" t="s">
        <v>37</v>
      </c>
      <c r="D4629">
        <v>4.7550429999999997</v>
      </c>
      <c r="E4629">
        <v>0.4605689</v>
      </c>
      <c r="F4629" t="s">
        <v>38</v>
      </c>
      <c r="G4629">
        <v>-397.57530000000003</v>
      </c>
      <c r="H4629">
        <v>3.5696499999999999E-2</v>
      </c>
      <c r="I4629">
        <v>129.61609999999999</v>
      </c>
      <c r="J4629">
        <v>-309.42720000000003</v>
      </c>
      <c r="K4629">
        <v>1.1050679999999999</v>
      </c>
      <c r="L4629">
        <v>141.62860000000001</v>
      </c>
      <c r="M4629">
        <v>-0.99960680000000002</v>
      </c>
      <c r="N4629">
        <v>0</v>
      </c>
      <c r="O4629">
        <v>2.4179869999999999E-2</v>
      </c>
      <c r="P4629">
        <v>-0.99881450000000005</v>
      </c>
      <c r="Q4629">
        <v>3.9795850000000001E-2</v>
      </c>
      <c r="R4629">
        <v>-2.8041690000000001E-2</v>
      </c>
      <c r="S4629">
        <v>-2.993744</v>
      </c>
      <c r="T4629">
        <v>-3.6232470000000003E-2</v>
      </c>
      <c r="U4629">
        <v>-0.40682979999999902</v>
      </c>
      <c r="V4629">
        <v>-5.2200780000000002E-2</v>
      </c>
      <c r="W4629">
        <v>5.3949669999999998E-2</v>
      </c>
      <c r="X4629">
        <v>0.99717829999999996</v>
      </c>
      <c r="Y4629">
        <v>-0.15856519999999999</v>
      </c>
      <c r="Z4629">
        <v>-1.2465320000000001E-3</v>
      </c>
      <c r="AA4629">
        <v>0.98734769999999905</v>
      </c>
      <c r="AB4629">
        <v>29</v>
      </c>
      <c r="AC4629">
        <v>-88.148099999999999</v>
      </c>
      <c r="AD4629">
        <v>-1.0693714999999999</v>
      </c>
      <c r="AE4629">
        <v>-12.012499999999999</v>
      </c>
      <c r="AF4629">
        <v>-14.1385686910678</v>
      </c>
      <c r="AG4629">
        <v>-1.0693714999999999</v>
      </c>
      <c r="AH4629">
        <v>87.819143414302303</v>
      </c>
      <c r="AI4629">
        <v>90.688786145011406</v>
      </c>
      <c r="AJ4629">
        <v>99.145934504363396</v>
      </c>
      <c r="AK4629">
        <v>88.956419836113298</v>
      </c>
    </row>
    <row r="4630" spans="1:37" x14ac:dyDescent="0.2">
      <c r="A4630" t="str">
        <f>"20200111155643126"</f>
        <v>20200111155643126</v>
      </c>
      <c r="B4630" t="str">
        <f>"1578729403117055"</f>
        <v>1578729403117055</v>
      </c>
      <c r="C4630" t="s">
        <v>37</v>
      </c>
      <c r="D4630">
        <v>4.7403180000000003</v>
      </c>
      <c r="E4630">
        <v>0.4606867</v>
      </c>
      <c r="F4630" t="s">
        <v>38</v>
      </c>
      <c r="G4630">
        <v>-391.68209999999999</v>
      </c>
      <c r="H4630" s="1">
        <v>-5.2570629999999996E-6</v>
      </c>
      <c r="I4630">
        <v>130.4443</v>
      </c>
      <c r="J4630">
        <v>-309.71800000000002</v>
      </c>
      <c r="K4630">
        <v>1.1050659999999899</v>
      </c>
      <c r="L4630">
        <v>141.6354</v>
      </c>
      <c r="M4630">
        <v>-0.99961060000000002</v>
      </c>
      <c r="N4630">
        <v>0</v>
      </c>
      <c r="O4630">
        <v>2.4030530000000001E-2</v>
      </c>
      <c r="P4630">
        <v>-0.99883619999999995</v>
      </c>
      <c r="Q4630">
        <v>3.8905620000000002E-2</v>
      </c>
      <c r="R4630">
        <v>-2.8517810000000001E-2</v>
      </c>
      <c r="S4630">
        <v>-2.993744</v>
      </c>
      <c r="T4630">
        <v>-4.0220140000000001E-2</v>
      </c>
      <c r="U4630">
        <v>-0.4070587</v>
      </c>
      <c r="V4630">
        <v>-5.2528060000000001E-2</v>
      </c>
      <c r="W4630">
        <v>5.3056890000000002E-2</v>
      </c>
      <c r="X4630">
        <v>0.99720900000000001</v>
      </c>
      <c r="Y4630">
        <v>-0.15848879999999901</v>
      </c>
      <c r="Z4630">
        <v>-1.381195E-3</v>
      </c>
      <c r="AA4630">
        <v>0.98735980000000001</v>
      </c>
      <c r="AB4630">
        <v>29</v>
      </c>
      <c r="AC4630">
        <v>-81.964099999999902</v>
      </c>
      <c r="AD4630">
        <v>-1.1050712570629999</v>
      </c>
      <c r="AE4630">
        <v>-11.1911</v>
      </c>
      <c r="AF4630">
        <v>-13.1553590163495</v>
      </c>
      <c r="AG4630">
        <v>-1.1050712570629999</v>
      </c>
      <c r="AH4630">
        <v>81.656899437840195</v>
      </c>
      <c r="AI4630">
        <v>90.765473307573899</v>
      </c>
      <c r="AJ4630">
        <v>99.152014339680804</v>
      </c>
      <c r="AK4630">
        <v>82.717192161809905</v>
      </c>
    </row>
    <row r="4631" spans="1:37" x14ac:dyDescent="0.2">
      <c r="A4631" t="str">
        <f>"20200111155643148"</f>
        <v>20200111155643148</v>
      </c>
      <c r="B4631" t="str">
        <f>"1578729403137552"</f>
        <v>1578729403137552</v>
      </c>
      <c r="C4631" t="s">
        <v>37</v>
      </c>
      <c r="D4631">
        <v>4.9308559999999897</v>
      </c>
      <c r="E4631">
        <v>0.460802499999999</v>
      </c>
      <c r="F4631" t="s">
        <v>38</v>
      </c>
      <c r="G4631">
        <v>-383.97910000000002</v>
      </c>
      <c r="H4631" s="1">
        <v>-4.188186E-6</v>
      </c>
      <c r="I4631">
        <v>131.52369999999999</v>
      </c>
      <c r="J4631">
        <v>-309.9966</v>
      </c>
      <c r="K4631">
        <v>1.105059</v>
      </c>
      <c r="L4631">
        <v>141.642</v>
      </c>
      <c r="M4631">
        <v>-0.999613999999999</v>
      </c>
      <c r="N4631">
        <v>0</v>
      </c>
      <c r="O4631">
        <v>2.388769E-2</v>
      </c>
      <c r="P4631">
        <v>-0.99886010000000003</v>
      </c>
      <c r="Q4631">
        <v>3.8066059999999999E-2</v>
      </c>
      <c r="R4631">
        <v>-2.8802669999999999E-2</v>
      </c>
      <c r="S4631">
        <v>-2.9935299999999998</v>
      </c>
      <c r="T4631">
        <v>-4.4546370000000002E-2</v>
      </c>
      <c r="U4631">
        <v>-0.40760799999999903</v>
      </c>
      <c r="V4631">
        <v>-5.2671160000000002E-2</v>
      </c>
      <c r="W4631">
        <v>5.221406E-2</v>
      </c>
      <c r="X4631">
        <v>0.99724590000000002</v>
      </c>
      <c r="Y4631">
        <v>-0.15853139999999999</v>
      </c>
      <c r="Z4631">
        <v>-1.5280329999999901E-3</v>
      </c>
      <c r="AA4631">
        <v>0.98735280000000003</v>
      </c>
      <c r="AB4631">
        <v>29</v>
      </c>
      <c r="AC4631">
        <v>-73.982500000000002</v>
      </c>
      <c r="AD4631">
        <v>-1.105063188186</v>
      </c>
      <c r="AE4631">
        <v>-10.1183</v>
      </c>
      <c r="AF4631">
        <v>-11.880259092914599</v>
      </c>
      <c r="AG4631">
        <v>-1.105063188186</v>
      </c>
      <c r="AH4631">
        <v>73.703515640979603</v>
      </c>
      <c r="AI4631">
        <v>90.848046990856503</v>
      </c>
      <c r="AJ4631">
        <v>99.156736612362806</v>
      </c>
      <c r="AK4631">
        <v>74.663042655685999</v>
      </c>
    </row>
    <row r="4632" spans="1:37" x14ac:dyDescent="0.2">
      <c r="A4632" t="str">
        <f>"20200111155643163"</f>
        <v>20200111155643163</v>
      </c>
      <c r="B4632" t="str">
        <f>"1578729403158048"</f>
        <v>1578729403158048</v>
      </c>
      <c r="C4632" t="s">
        <v>37</v>
      </c>
      <c r="D4632">
        <v>4.7040550000000003</v>
      </c>
      <c r="E4632">
        <v>0.46087669999999997</v>
      </c>
      <c r="F4632" t="s">
        <v>38</v>
      </c>
      <c r="G4632">
        <v>-378.77460000000002</v>
      </c>
      <c r="H4632" s="1">
        <v>-2.3562899999999999E-6</v>
      </c>
      <c r="I4632">
        <v>132.27539999999999</v>
      </c>
      <c r="J4632">
        <v>-310.20260000000002</v>
      </c>
      <c r="K4632">
        <v>1.1050489999999999</v>
      </c>
      <c r="L4632">
        <v>141.64680000000001</v>
      </c>
      <c r="M4632">
        <v>-0.99961630000000001</v>
      </c>
      <c r="N4632">
        <v>0</v>
      </c>
      <c r="O4632">
        <v>2.3782580000000001E-2</v>
      </c>
      <c r="P4632">
        <v>-0.99885979999999996</v>
      </c>
      <c r="Q4632">
        <v>3.784684E-2</v>
      </c>
      <c r="R4632">
        <v>-2.9099420000000001E-2</v>
      </c>
      <c r="S4632">
        <v>-2.9935</v>
      </c>
      <c r="T4632">
        <v>-4.8096779999999999E-2</v>
      </c>
      <c r="U4632">
        <v>-0.40766910000000001</v>
      </c>
      <c r="V4632">
        <v>-5.2862449999999998E-2</v>
      </c>
      <c r="W4632">
        <v>5.1993110000000002E-2</v>
      </c>
      <c r="X4632">
        <v>0.99724729999999995</v>
      </c>
      <c r="Y4632">
        <v>-0.15844539999999999</v>
      </c>
      <c r="Z4632">
        <v>-1.64745E-3</v>
      </c>
      <c r="AA4632">
        <v>0.98736639999999998</v>
      </c>
      <c r="AB4632">
        <v>29</v>
      </c>
      <c r="AC4632">
        <v>-68.572000000000003</v>
      </c>
      <c r="AD4632">
        <v>-1.10505135629</v>
      </c>
      <c r="AE4632">
        <v>-9.3714000000000208</v>
      </c>
      <c r="AF4632">
        <v>-10.9969287921939</v>
      </c>
      <c r="AG4632">
        <v>-1.10505135629</v>
      </c>
      <c r="AH4632">
        <v>68.312286857679794</v>
      </c>
      <c r="AI4632">
        <v>90.914984496999395</v>
      </c>
      <c r="AJ4632">
        <v>99.145030621253696</v>
      </c>
      <c r="AK4632">
        <v>69.200593329006594</v>
      </c>
    </row>
    <row r="4633" spans="1:37" x14ac:dyDescent="0.2">
      <c r="A4633" t="str">
        <f>"20200111155643182"</f>
        <v>20200111155643182</v>
      </c>
      <c r="B4633" t="str">
        <f>"1578729403177567"</f>
        <v>1578729403177567</v>
      </c>
      <c r="C4633" t="s">
        <v>37</v>
      </c>
      <c r="D4633">
        <v>4.6747540000000001</v>
      </c>
      <c r="E4633">
        <v>0.46150969999999902</v>
      </c>
      <c r="F4633" t="s">
        <v>38</v>
      </c>
      <c r="G4633">
        <v>-376.57510000000002</v>
      </c>
      <c r="H4633" s="1">
        <v>-3.0177360000000001E-6</v>
      </c>
      <c r="I4633">
        <v>132.60249999999999</v>
      </c>
      <c r="J4633">
        <v>-310.43520000000001</v>
      </c>
      <c r="K4633">
        <v>1.105046</v>
      </c>
      <c r="L4633">
        <v>141.65219999999999</v>
      </c>
      <c r="M4633">
        <v>-0.99961919999999904</v>
      </c>
      <c r="N4633">
        <v>0</v>
      </c>
      <c r="O4633">
        <v>2.3666400000000001E-2</v>
      </c>
      <c r="P4633">
        <v>-0.99888899999999903</v>
      </c>
      <c r="Q4633">
        <v>3.7017130000000002E-2</v>
      </c>
      <c r="R4633">
        <v>-2.9158819999999998E-2</v>
      </c>
      <c r="S4633">
        <v>-2.993439</v>
      </c>
      <c r="T4633">
        <v>-4.9838540000000001E-2</v>
      </c>
      <c r="U4633">
        <v>-0.40789789999999998</v>
      </c>
      <c r="V4633">
        <v>-5.2806220000000001E-2</v>
      </c>
      <c r="W4633">
        <v>5.1161650000000003E-2</v>
      </c>
      <c r="X4633">
        <v>0.9972934</v>
      </c>
      <c r="Y4633">
        <v>-0.15840579999999899</v>
      </c>
      <c r="Z4633">
        <v>-1.704873E-3</v>
      </c>
      <c r="AA4633">
        <v>0.98737260000000004</v>
      </c>
      <c r="AB4633">
        <v>29</v>
      </c>
      <c r="AC4633">
        <v>-66.139899999999997</v>
      </c>
      <c r="AD4633">
        <v>-1.1050490177359999</v>
      </c>
      <c r="AE4633">
        <v>-9.0496999999999996</v>
      </c>
      <c r="AF4633">
        <v>-10.6097084562393</v>
      </c>
      <c r="AG4633">
        <v>-1.1050490177359999</v>
      </c>
      <c r="AH4633">
        <v>65.889120994172004</v>
      </c>
      <c r="AI4633">
        <v>90.948619838006806</v>
      </c>
      <c r="AJ4633">
        <v>99.147456051979404</v>
      </c>
      <c r="AK4633">
        <v>66.747009762555095</v>
      </c>
    </row>
    <row r="4634" spans="1:37" x14ac:dyDescent="0.2">
      <c r="A4634" t="str">
        <f>"20200111155643203"</f>
        <v>20200111155643203</v>
      </c>
      <c r="B4634" t="str">
        <f>"1578729403197087"</f>
        <v>1578729403197087</v>
      </c>
      <c r="C4634" t="s">
        <v>37</v>
      </c>
      <c r="D4634">
        <v>4.6681850000000003</v>
      </c>
      <c r="E4634">
        <v>0.46234129999999901</v>
      </c>
      <c r="F4634" t="s">
        <v>38</v>
      </c>
      <c r="G4634">
        <v>-373.83479999999997</v>
      </c>
      <c r="H4634" s="1">
        <v>-3.8138939999999999E-6</v>
      </c>
      <c r="I4634">
        <v>133.11500000000001</v>
      </c>
      <c r="J4634">
        <v>-310.72570000000002</v>
      </c>
      <c r="K4634">
        <v>1.1050469999999999</v>
      </c>
      <c r="L4634">
        <v>141.65889999999999</v>
      </c>
      <c r="M4634">
        <v>-0.99962260000000003</v>
      </c>
      <c r="N4634">
        <v>0</v>
      </c>
      <c r="O4634">
        <v>2.353009E-2</v>
      </c>
      <c r="P4634">
        <v>-0.99887700000000001</v>
      </c>
      <c r="Q4634">
        <v>3.720147E-2</v>
      </c>
      <c r="R4634">
        <v>-2.9343589999999999E-2</v>
      </c>
      <c r="S4634">
        <v>-2.9935</v>
      </c>
      <c r="T4634">
        <v>-5.2176479999999997E-2</v>
      </c>
      <c r="U4634">
        <v>-0.40309139999999999</v>
      </c>
      <c r="V4634">
        <v>-5.2853289999999997E-2</v>
      </c>
      <c r="W4634">
        <v>5.1343569999999998E-2</v>
      </c>
      <c r="X4634">
        <v>0.99728150000000004</v>
      </c>
      <c r="Y4634">
        <v>-0.15670919999999999</v>
      </c>
      <c r="Z4634">
        <v>-1.767907E-3</v>
      </c>
      <c r="AA4634">
        <v>0.98764319999999906</v>
      </c>
      <c r="AB4634">
        <v>29</v>
      </c>
      <c r="AC4634">
        <v>-63.109099999999899</v>
      </c>
      <c r="AD4634">
        <v>-1.1050508138939901</v>
      </c>
      <c r="AE4634">
        <v>-8.5438999999999794</v>
      </c>
      <c r="AF4634">
        <v>-10.023628037356101</v>
      </c>
      <c r="AG4634">
        <v>-1.1050508138939901</v>
      </c>
      <c r="AH4634">
        <v>62.871634613319202</v>
      </c>
      <c r="AI4634">
        <v>90.994388437797696</v>
      </c>
      <c r="AJ4634">
        <v>99.058433649320506</v>
      </c>
      <c r="AK4634">
        <v>63.675243975058898</v>
      </c>
    </row>
    <row r="4635" spans="1:37" x14ac:dyDescent="0.2">
      <c r="A4635" t="str">
        <f>"20200111155643226"</f>
        <v>20200111155643226</v>
      </c>
      <c r="B4635" t="str">
        <f>"1578729403217584"</f>
        <v>1578729403217584</v>
      </c>
      <c r="C4635" t="s">
        <v>37</v>
      </c>
      <c r="D4635">
        <v>4.6271889999999898</v>
      </c>
      <c r="E4635">
        <v>0.46323589999999998</v>
      </c>
      <c r="F4635" t="s">
        <v>38</v>
      </c>
      <c r="G4635">
        <v>-376.56880000000001</v>
      </c>
      <c r="H4635" s="1">
        <v>-2.932851E-6</v>
      </c>
      <c r="I4635">
        <v>132.92959999999999</v>
      </c>
      <c r="J4635">
        <v>-311.01389999999998</v>
      </c>
      <c r="K4635">
        <v>1.105043</v>
      </c>
      <c r="L4635">
        <v>141.66550000000001</v>
      </c>
      <c r="M4635">
        <v>-0.9996254</v>
      </c>
      <c r="N4635">
        <v>0</v>
      </c>
      <c r="O4635">
        <v>2.3408160000000001E-2</v>
      </c>
      <c r="P4635">
        <v>-0.99883149999999998</v>
      </c>
      <c r="Q4635">
        <v>3.8106500000000001E-2</v>
      </c>
      <c r="R4635">
        <v>-2.9735169999999998E-2</v>
      </c>
      <c r="S4635">
        <v>-2.9935909999999999</v>
      </c>
      <c r="T4635">
        <v>-5.0241710000000002E-2</v>
      </c>
      <c r="U4635">
        <v>-0.39688109999999999</v>
      </c>
      <c r="V4635">
        <v>-5.3121380000000003E-2</v>
      </c>
      <c r="W4635">
        <v>5.2245960000000001E-2</v>
      </c>
      <c r="X4635">
        <v>0.99722040000000001</v>
      </c>
      <c r="Y4635">
        <v>-0.15457370000000001</v>
      </c>
      <c r="Z4635">
        <v>-1.682659E-3</v>
      </c>
      <c r="AA4635">
        <v>0.98797979999999996</v>
      </c>
      <c r="AB4635">
        <v>29</v>
      </c>
      <c r="AC4635">
        <v>-65.554900000000004</v>
      </c>
      <c r="AD4635">
        <v>-1.1050459328510001</v>
      </c>
      <c r="AE4635">
        <v>-8.7359000000000098</v>
      </c>
      <c r="AF4635">
        <v>-10.2653137172129</v>
      </c>
      <c r="AG4635">
        <v>-1.1050459328510001</v>
      </c>
      <c r="AH4635">
        <v>65.314186563806203</v>
      </c>
      <c r="AI4635">
        <v>90.957538502877</v>
      </c>
      <c r="AJ4635">
        <v>98.932007638267805</v>
      </c>
      <c r="AK4635">
        <v>66.125190046745402</v>
      </c>
    </row>
    <row r="4636" spans="1:37" x14ac:dyDescent="0.2">
      <c r="A4636" t="str">
        <f>"20200111155643248"</f>
        <v>20200111155643248</v>
      </c>
      <c r="B4636" t="str">
        <f>"1578729403237103"</f>
        <v>1578729403237103</v>
      </c>
      <c r="C4636" t="s">
        <v>37</v>
      </c>
      <c r="D4636">
        <v>4.6130719999999998</v>
      </c>
      <c r="E4636">
        <v>0.46397189999999999</v>
      </c>
      <c r="F4636" t="s">
        <v>38</v>
      </c>
      <c r="G4636">
        <v>-384.93490000000003</v>
      </c>
      <c r="H4636" s="1">
        <v>-3.7321689999999998E-6</v>
      </c>
      <c r="I4636">
        <v>132.01519999999999</v>
      </c>
      <c r="J4636">
        <v>-311.29430000000002</v>
      </c>
      <c r="K4636">
        <v>1.1050340000000001</v>
      </c>
      <c r="L4636">
        <v>141.672</v>
      </c>
      <c r="M4636">
        <v>-0.99962779999999996</v>
      </c>
      <c r="N4636">
        <v>0</v>
      </c>
      <c r="O4636">
        <v>2.3309489999999999E-2</v>
      </c>
      <c r="P4636">
        <v>-0.99878999999999996</v>
      </c>
      <c r="Q4636">
        <v>3.8463310000000001E-2</v>
      </c>
      <c r="R4636">
        <v>-3.065445E-2</v>
      </c>
      <c r="S4636">
        <v>-2.9935909999999999</v>
      </c>
      <c r="T4636">
        <v>-4.4751289999999999E-2</v>
      </c>
      <c r="U4636">
        <v>-0.39080809999999999</v>
      </c>
      <c r="V4636">
        <v>-5.3938710000000001E-2</v>
      </c>
      <c r="W4636">
        <v>5.2600719999999997E-2</v>
      </c>
      <c r="X4636">
        <v>0.99715789999999904</v>
      </c>
      <c r="Y4636">
        <v>-0.15251099999999901</v>
      </c>
      <c r="Z4636">
        <v>-1.4821729999999901E-3</v>
      </c>
      <c r="AA4636">
        <v>0.98830069999999903</v>
      </c>
      <c r="AB4636">
        <v>29</v>
      </c>
      <c r="AC4636">
        <v>-73.640600000000006</v>
      </c>
      <c r="AD4636">
        <v>-1.1050377321689999</v>
      </c>
      <c r="AE4636">
        <v>-9.6568000000000005</v>
      </c>
      <c r="AF4636">
        <v>-11.3683564051769</v>
      </c>
      <c r="AG4636">
        <v>-1.1050377321689999</v>
      </c>
      <c r="AH4636">
        <v>73.379226087289496</v>
      </c>
      <c r="AI4636">
        <v>90.852597654157407</v>
      </c>
      <c r="AJ4636">
        <v>98.806597424070503</v>
      </c>
      <c r="AK4636">
        <v>74.262853816118493</v>
      </c>
    </row>
    <row r="4637" spans="1:37" x14ac:dyDescent="0.2">
      <c r="A4637" t="str">
        <f>"20200111155643271"</f>
        <v>20200111155643271</v>
      </c>
      <c r="B4637" t="str">
        <f>"1578729403267359"</f>
        <v>1578729403267359</v>
      </c>
      <c r="C4637" t="s">
        <v>37</v>
      </c>
      <c r="D4637">
        <v>4.581779</v>
      </c>
      <c r="E4637">
        <v>0.46487979999999901</v>
      </c>
      <c r="F4637" t="s">
        <v>38</v>
      </c>
      <c r="G4637">
        <v>-390.63920000000002</v>
      </c>
      <c r="H4637" s="1">
        <v>-5.456255E-6</v>
      </c>
      <c r="I4637">
        <v>131.3955</v>
      </c>
      <c r="J4637">
        <v>-311.59050000000002</v>
      </c>
      <c r="K4637">
        <v>1.1050120000000001</v>
      </c>
      <c r="L4637">
        <v>141.6788</v>
      </c>
      <c r="M4637">
        <v>-0.99962960000000001</v>
      </c>
      <c r="N4637">
        <v>0</v>
      </c>
      <c r="O4637">
        <v>2.323358E-2</v>
      </c>
      <c r="P4637">
        <v>-0.99875389999999997</v>
      </c>
      <c r="Q4637">
        <v>3.8497499999999997E-2</v>
      </c>
      <c r="R4637">
        <v>-3.176383E-2</v>
      </c>
      <c r="S4637">
        <v>-2.9933169999999998</v>
      </c>
      <c r="T4637">
        <v>-4.1688080000000002E-2</v>
      </c>
      <c r="U4637">
        <v>-0.38768009999999897</v>
      </c>
      <c r="V4637">
        <v>-5.4968959999999997E-2</v>
      </c>
      <c r="W4637">
        <v>5.2633109999999997E-2</v>
      </c>
      <c r="X4637">
        <v>0.99709989999999904</v>
      </c>
      <c r="Y4637">
        <v>-0.1514346</v>
      </c>
      <c r="Z4637">
        <v>-1.3724289999999899E-3</v>
      </c>
      <c r="AA4637">
        <v>0.98846630000000002</v>
      </c>
      <c r="AB4637">
        <v>29</v>
      </c>
      <c r="AC4637">
        <v>-79.048699999999997</v>
      </c>
      <c r="AD4637">
        <v>-1.1050174562549999</v>
      </c>
      <c r="AE4637">
        <v>-10.283299999999899</v>
      </c>
      <c r="AF4637">
        <v>-12.114964383737901</v>
      </c>
      <c r="AG4637">
        <v>-1.1050174562549999</v>
      </c>
      <c r="AH4637">
        <v>78.773278750718006</v>
      </c>
      <c r="AI4637">
        <v>90.794344034624501</v>
      </c>
      <c r="AJ4637">
        <v>98.743318987310005</v>
      </c>
      <c r="AK4637">
        <v>79.707106776850196</v>
      </c>
    </row>
    <row r="4638" spans="1:37" x14ac:dyDescent="0.2">
      <c r="A4638" t="str">
        <f>"20200111155643294"</f>
        <v>20200111155643294</v>
      </c>
      <c r="B4638" t="str">
        <f>"1578729403287855"</f>
        <v>1578729403287855</v>
      </c>
      <c r="C4638" t="s">
        <v>37</v>
      </c>
      <c r="D4638">
        <v>4.6453300000000004</v>
      </c>
      <c r="E4638">
        <v>0.46543190000000001</v>
      </c>
      <c r="F4638" t="s">
        <v>38</v>
      </c>
      <c r="G4638">
        <v>-397.19119999999998</v>
      </c>
      <c r="H4638" s="1">
        <v>-3.312484E-6</v>
      </c>
      <c r="I4638">
        <v>130.70670000000001</v>
      </c>
      <c r="J4638">
        <v>-311.88780000000003</v>
      </c>
      <c r="K4638">
        <v>1.1049899999999999</v>
      </c>
      <c r="L4638">
        <v>141.68559999999999</v>
      </c>
      <c r="M4638">
        <v>-0.99963060000000004</v>
      </c>
      <c r="N4638">
        <v>0</v>
      </c>
      <c r="O4638">
        <v>2.318603E-2</v>
      </c>
      <c r="P4638">
        <v>-0.99874470000000004</v>
      </c>
      <c r="Q4638">
        <v>3.8071720000000003E-2</v>
      </c>
      <c r="R4638">
        <v>-3.2551469999999999E-2</v>
      </c>
      <c r="S4638">
        <v>-2.993042</v>
      </c>
      <c r="T4638">
        <v>-3.8637039999999997E-2</v>
      </c>
      <c r="U4638">
        <v>-0.38363649999999999</v>
      </c>
      <c r="V4638">
        <v>-5.5705709999999999E-2</v>
      </c>
      <c r="W4638">
        <v>5.2207389999999999E-2</v>
      </c>
      <c r="X4638">
        <v>0.99708140000000001</v>
      </c>
      <c r="Y4638">
        <v>-0.15008779999999999</v>
      </c>
      <c r="Z4638">
        <v>-1.2629480000000001E-3</v>
      </c>
      <c r="AA4638">
        <v>0.98867179999999999</v>
      </c>
      <c r="AB4638">
        <v>29</v>
      </c>
      <c r="AC4638">
        <v>-85.303399999999897</v>
      </c>
      <c r="AD4638">
        <v>-1.1049933124839999</v>
      </c>
      <c r="AE4638">
        <v>-10.9788999999999</v>
      </c>
      <c r="AF4638">
        <v>-12.951856109925901</v>
      </c>
      <c r="AG4638">
        <v>-1.1049933124839999</v>
      </c>
      <c r="AH4638">
        <v>85.011848022124695</v>
      </c>
      <c r="AI4638">
        <v>90.736200648129099</v>
      </c>
      <c r="AJ4638">
        <v>98.662600535318305</v>
      </c>
      <c r="AK4638">
        <v>85.999917971179997</v>
      </c>
    </row>
    <row r="4639" spans="1:37" x14ac:dyDescent="0.2">
      <c r="A4639" t="str">
        <f>"20200111155643308"</f>
        <v>20200111155643308</v>
      </c>
      <c r="B4639" t="str">
        <f>"1578729403297616"</f>
        <v>1578729403297616</v>
      </c>
      <c r="C4639" t="s">
        <v>37</v>
      </c>
      <c r="D4639">
        <v>4.5496569999999998</v>
      </c>
      <c r="E4639">
        <v>0.46567229999999998</v>
      </c>
      <c r="F4639" t="s">
        <v>72</v>
      </c>
      <c r="G4639">
        <v>-400.65210000000002</v>
      </c>
      <c r="H4639" s="1">
        <v>-8.4444999999999896E-7</v>
      </c>
      <c r="I4639">
        <v>130.37739999999999</v>
      </c>
      <c r="J4639">
        <v>-312.07420000000002</v>
      </c>
      <c r="K4639">
        <v>1.1049770000000001</v>
      </c>
      <c r="L4639">
        <v>141.68989999999999</v>
      </c>
      <c r="M4639">
        <v>-0.99963099999999905</v>
      </c>
      <c r="N4639">
        <v>0</v>
      </c>
      <c r="O4639">
        <v>2.317462E-2</v>
      </c>
      <c r="P4639">
        <v>-0.99874399999999997</v>
      </c>
      <c r="Q4639">
        <v>3.7872459999999997E-2</v>
      </c>
      <c r="R4639">
        <v>-3.2808219999999999E-2</v>
      </c>
      <c r="S4639">
        <v>-2.9927980000000001</v>
      </c>
      <c r="T4639">
        <v>-3.7256119999999997E-2</v>
      </c>
      <c r="U4639">
        <v>-0.38127139999999998</v>
      </c>
      <c r="V4639">
        <v>-5.5949249999999999E-2</v>
      </c>
      <c r="W4639">
        <v>5.2008350000000002E-2</v>
      </c>
      <c r="X4639">
        <v>0.99707809999999897</v>
      </c>
      <c r="Y4639">
        <v>-0.14931889999999901</v>
      </c>
      <c r="Z4639">
        <v>-1.213064E-3</v>
      </c>
      <c r="AA4639">
        <v>0.98878840000000001</v>
      </c>
      <c r="AB4639">
        <v>29</v>
      </c>
      <c r="AC4639">
        <v>-88.5779</v>
      </c>
      <c r="AD4639">
        <v>-1.10497784445</v>
      </c>
      <c r="AE4639">
        <v>-11.3125</v>
      </c>
      <c r="AF4639">
        <v>-13.360380788525299</v>
      </c>
      <c r="AG4639">
        <v>-1.10497784445</v>
      </c>
      <c r="AH4639">
        <v>88.278399727921595</v>
      </c>
      <c r="AI4639">
        <v>90.709058300692803</v>
      </c>
      <c r="AJ4639">
        <v>98.606045672209007</v>
      </c>
      <c r="AK4639">
        <v>89.290518026125397</v>
      </c>
    </row>
    <row r="4640" spans="1:37" x14ac:dyDescent="0.2">
      <c r="A4640" t="str">
        <f>"20200111155643326"</f>
        <v>20200111155643326</v>
      </c>
      <c r="B4640" t="str">
        <f>"1578729403317135"</f>
        <v>1578729403317135</v>
      </c>
      <c r="C4640" t="s">
        <v>37</v>
      </c>
      <c r="D4640">
        <v>4.7639490000000002</v>
      </c>
      <c r="E4640">
        <v>0.46624919999999997</v>
      </c>
      <c r="F4640" t="s">
        <v>72</v>
      </c>
      <c r="G4640">
        <v>-400.74259999999998</v>
      </c>
      <c r="H4640" s="1">
        <v>-9.2335979999999999E-7</v>
      </c>
      <c r="I4640">
        <v>130.4289</v>
      </c>
      <c r="J4640">
        <v>-312.30540000000002</v>
      </c>
      <c r="K4640">
        <v>1.1049610000000001</v>
      </c>
      <c r="L4640">
        <v>141.6953</v>
      </c>
      <c r="M4640">
        <v>-0.99963089999999999</v>
      </c>
      <c r="N4640">
        <v>0</v>
      </c>
      <c r="O4640">
        <v>2.3183479999999999E-2</v>
      </c>
      <c r="P4640">
        <v>-0.99873009999999995</v>
      </c>
      <c r="Q4640">
        <v>3.8136290000000003E-2</v>
      </c>
      <c r="R4640">
        <v>-3.2925540000000003E-2</v>
      </c>
      <c r="S4640">
        <v>-2.992737</v>
      </c>
      <c r="T4640">
        <v>-3.7295219999999997E-2</v>
      </c>
      <c r="U4640">
        <v>-0.38008120000000001</v>
      </c>
      <c r="V4640">
        <v>-5.60721E-2</v>
      </c>
      <c r="W4640">
        <v>5.2269299999999998E-2</v>
      </c>
      <c r="X4640">
        <v>0.99705759999999899</v>
      </c>
      <c r="Y4640">
        <v>-0.1489432</v>
      </c>
      <c r="Z4640">
        <v>-1.21217E-3</v>
      </c>
      <c r="AA4640">
        <v>0.98884499999999997</v>
      </c>
      <c r="AB4640">
        <v>29</v>
      </c>
      <c r="AC4640">
        <v>-88.437199999999905</v>
      </c>
      <c r="AD4640">
        <v>-1.1049619233598</v>
      </c>
      <c r="AE4640">
        <v>-11.266400000000001</v>
      </c>
      <c r="AF4640">
        <v>-13.311814118730201</v>
      </c>
      <c r="AG4640">
        <v>-1.1049619233598</v>
      </c>
      <c r="AH4640">
        <v>88.138665740482907</v>
      </c>
      <c r="AI4640">
        <v>90.710204738877295</v>
      </c>
      <c r="AJ4640">
        <v>98.588620003191295</v>
      </c>
      <c r="AK4640">
        <v>89.145104938500594</v>
      </c>
    </row>
    <row r="4641" spans="1:37" x14ac:dyDescent="0.2">
      <c r="A4641" t="str">
        <f>"20200111155643349"</f>
        <v>20200111155643349</v>
      </c>
      <c r="B4641" t="str">
        <f>"1578729403337632"</f>
        <v>1578729403337632</v>
      </c>
      <c r="C4641" t="s">
        <v>37</v>
      </c>
      <c r="D4641">
        <v>4.5450089999999896</v>
      </c>
      <c r="E4641">
        <v>0.46671599999999902</v>
      </c>
      <c r="F4641" t="s">
        <v>72</v>
      </c>
      <c r="G4641">
        <v>-405.47120000000001</v>
      </c>
      <c r="H4641" s="1">
        <v>-3.423771E-6</v>
      </c>
      <c r="I4641">
        <v>129.99770000000001</v>
      </c>
      <c r="J4641">
        <v>-312.59530000000001</v>
      </c>
      <c r="K4641">
        <v>1.104924</v>
      </c>
      <c r="L4641">
        <v>141.702</v>
      </c>
      <c r="M4641">
        <v>-0.99962980000000001</v>
      </c>
      <c r="N4641">
        <v>0</v>
      </c>
      <c r="O4641">
        <v>2.324304E-2</v>
      </c>
      <c r="P4641">
        <v>-0.99872430000000001</v>
      </c>
      <c r="Q4641">
        <v>3.8707279999999997E-2</v>
      </c>
      <c r="R4641">
        <v>-3.2425049999999997E-2</v>
      </c>
      <c r="S4641">
        <v>-2.99276699999999</v>
      </c>
      <c r="T4641">
        <v>-3.54948E-2</v>
      </c>
      <c r="U4641">
        <v>-0.37576290000000001</v>
      </c>
      <c r="V4641">
        <v>-5.5626889999999998E-2</v>
      </c>
      <c r="W4641">
        <v>5.2824999999999997E-2</v>
      </c>
      <c r="X4641">
        <v>0.99705330000000003</v>
      </c>
      <c r="Y4641">
        <v>-0.1475977</v>
      </c>
      <c r="Z4641">
        <v>-1.146504E-3</v>
      </c>
      <c r="AA4641">
        <v>0.9890468</v>
      </c>
      <c r="AB4641">
        <v>29</v>
      </c>
      <c r="AC4641">
        <v>-92.875900000000001</v>
      </c>
      <c r="AD4641">
        <v>-1.1049274237710001</v>
      </c>
      <c r="AE4641">
        <v>-11.7042999999999</v>
      </c>
      <c r="AF4641">
        <v>-13.858140831471401</v>
      </c>
      <c r="AG4641">
        <v>-1.1049274237710001</v>
      </c>
      <c r="AH4641">
        <v>92.5658368565595</v>
      </c>
      <c r="AI4641">
        <v>90.676351107582704</v>
      </c>
      <c r="AJ4641">
        <v>98.514580999894307</v>
      </c>
      <c r="AK4641">
        <v>93.603969386302694</v>
      </c>
    </row>
    <row r="4642" spans="1:37" x14ac:dyDescent="0.2">
      <c r="A4642" t="str">
        <f>"20200111155643364"</f>
        <v>20200111155643364</v>
      </c>
      <c r="B4642" t="str">
        <f>"1578729403357152"</f>
        <v>1578729403357152</v>
      </c>
      <c r="C4642" t="s">
        <v>37</v>
      </c>
      <c r="D4642">
        <v>4.5705220000000004</v>
      </c>
      <c r="E4642">
        <v>0.46717029999999898</v>
      </c>
      <c r="F4642" t="s">
        <v>72</v>
      </c>
      <c r="G4642">
        <v>-412.71899999999999</v>
      </c>
      <c r="H4642" s="1">
        <v>-5.9921349999999997E-6</v>
      </c>
      <c r="I4642">
        <v>129.31440000000001</v>
      </c>
      <c r="J4642">
        <v>-312.80180000000001</v>
      </c>
      <c r="K4642">
        <v>1.104889</v>
      </c>
      <c r="L4642">
        <v>141.70689999999999</v>
      </c>
      <c r="M4642">
        <v>-0.99962850000000003</v>
      </c>
      <c r="N4642">
        <v>0</v>
      </c>
      <c r="O4642">
        <v>2.332006E-2</v>
      </c>
      <c r="P4642">
        <v>-0.9987279</v>
      </c>
      <c r="Q4642">
        <v>3.8737840000000003E-2</v>
      </c>
      <c r="R4642">
        <v>-3.2286580000000002E-2</v>
      </c>
      <c r="S4642">
        <v>-2.9931030000000001</v>
      </c>
      <c r="T4642">
        <v>-3.3030869999999997E-2</v>
      </c>
      <c r="U4642">
        <v>-0.37031560000000002</v>
      </c>
      <c r="V4642">
        <v>-5.556175E-2</v>
      </c>
      <c r="W4642">
        <v>5.2826430000000001E-2</v>
      </c>
      <c r="X4642">
        <v>0.99705679999999997</v>
      </c>
      <c r="Y4642">
        <v>-0.14588909999999999</v>
      </c>
      <c r="Z4642">
        <v>-1.058378E-3</v>
      </c>
      <c r="AA4642">
        <v>0.98930039999999997</v>
      </c>
      <c r="AB4642">
        <v>29</v>
      </c>
      <c r="AC4642">
        <v>-99.917199999999895</v>
      </c>
      <c r="AD4642">
        <v>-1.104894992135</v>
      </c>
      <c r="AE4642">
        <v>-12.392499999999901</v>
      </c>
      <c r="AF4642">
        <v>-14.717663776911801</v>
      </c>
      <c r="AG4642">
        <v>-1.104894992135</v>
      </c>
      <c r="AH4642">
        <v>99.589006120850897</v>
      </c>
      <c r="AI4642">
        <v>90.628815629483896</v>
      </c>
      <c r="AJ4642">
        <v>98.406553062001294</v>
      </c>
      <c r="AK4642">
        <v>100.676713097581</v>
      </c>
    </row>
    <row r="4643" spans="1:37" x14ac:dyDescent="0.2">
      <c r="A4643" t="str">
        <f>"20200111155643383"</f>
        <v>20200111155643383</v>
      </c>
      <c r="B4643" t="str">
        <f>"1578729403377648"</f>
        <v>1578729403377648</v>
      </c>
      <c r="C4643" t="s">
        <v>37</v>
      </c>
      <c r="D4643">
        <v>4.5598049999999999</v>
      </c>
      <c r="E4643">
        <v>0.46759519999999999</v>
      </c>
      <c r="F4643" t="s">
        <v>72</v>
      </c>
      <c r="G4643">
        <v>-415.97629999999998</v>
      </c>
      <c r="H4643" s="1">
        <v>-5.686657E-6</v>
      </c>
      <c r="I4643">
        <v>129.08600000000001</v>
      </c>
      <c r="J4643">
        <v>-313.03820000000002</v>
      </c>
      <c r="K4643">
        <v>1.104835</v>
      </c>
      <c r="L4643">
        <v>141.71250000000001</v>
      </c>
      <c r="M4643">
        <v>-0.99962649999999997</v>
      </c>
      <c r="N4643">
        <v>0</v>
      </c>
      <c r="O4643">
        <v>2.3448500000000001E-2</v>
      </c>
      <c r="P4643">
        <v>-0.99880079999999904</v>
      </c>
      <c r="Q4643">
        <v>3.7857990000000001E-2</v>
      </c>
      <c r="R4643">
        <v>-3.10467E-2</v>
      </c>
      <c r="S4643">
        <v>-2.9932249999999998</v>
      </c>
      <c r="T4643">
        <v>-3.205442E-2</v>
      </c>
      <c r="U4643">
        <v>-0.36614989999999997</v>
      </c>
      <c r="V4643">
        <v>-5.4447139999999998E-2</v>
      </c>
      <c r="W4643">
        <v>5.1885969999999997E-2</v>
      </c>
      <c r="X4643">
        <v>0.99716759999999904</v>
      </c>
      <c r="Y4643">
        <v>-0.1446556</v>
      </c>
      <c r="Z4643">
        <v>-1.0219269999999999E-3</v>
      </c>
      <c r="AA4643">
        <v>0.98948159999999896</v>
      </c>
      <c r="AB4643">
        <v>29</v>
      </c>
      <c r="AC4643">
        <v>-102.938099999999</v>
      </c>
      <c r="AD4643">
        <v>-1.104840686657</v>
      </c>
      <c r="AE4643">
        <v>-12.626499999999901</v>
      </c>
      <c r="AF4643">
        <v>-15.035303100097799</v>
      </c>
      <c r="AG4643">
        <v>-1.104840686657</v>
      </c>
      <c r="AH4643">
        <v>102.602045126818</v>
      </c>
      <c r="AI4643">
        <v>90.6104304503733</v>
      </c>
      <c r="AJ4643">
        <v>98.336786494015399</v>
      </c>
      <c r="AK4643">
        <v>103.703715827642</v>
      </c>
    </row>
    <row r="4644" spans="1:37" x14ac:dyDescent="0.2">
      <c r="A4644" t="str">
        <f>"20200111155643405"</f>
        <v>20200111155643405</v>
      </c>
      <c r="B4644" t="str">
        <f>"1578729403397592"</f>
        <v>1578729403397592</v>
      </c>
      <c r="C4644" t="s">
        <v>37</v>
      </c>
      <c r="D4644">
        <v>4.7259180000000001</v>
      </c>
      <c r="E4644">
        <v>0.46780139999999998</v>
      </c>
      <c r="F4644" t="s">
        <v>72</v>
      </c>
      <c r="G4644">
        <v>-411.82150000000001</v>
      </c>
      <c r="H4644" s="1">
        <v>-6.2978199999999896E-6</v>
      </c>
      <c r="I4644">
        <v>129.8613</v>
      </c>
      <c r="J4644">
        <v>-313.3159</v>
      </c>
      <c r="K4644">
        <v>1.104751</v>
      </c>
      <c r="L4644">
        <v>141.7193</v>
      </c>
      <c r="M4644">
        <v>-0.99962320000000005</v>
      </c>
      <c r="N4644">
        <v>0</v>
      </c>
      <c r="O4644">
        <v>2.3659659999999999E-2</v>
      </c>
      <c r="P4644">
        <v>-0.99884010000000001</v>
      </c>
      <c r="Q4644">
        <v>3.7755940000000002E-2</v>
      </c>
      <c r="R4644">
        <v>-2.988847E-2</v>
      </c>
      <c r="S4644">
        <v>-2.9937130000000001</v>
      </c>
      <c r="T4644">
        <v>-3.3483150000000003E-2</v>
      </c>
      <c r="U4644">
        <v>-0.35916140000000002</v>
      </c>
      <c r="V4644">
        <v>-5.3494390000000003E-2</v>
      </c>
      <c r="W4644">
        <v>5.1658820000000001E-2</v>
      </c>
      <c r="X4644">
        <v>0.99723099999999998</v>
      </c>
      <c r="Y4644">
        <v>-0.14256759999999999</v>
      </c>
      <c r="Z4644">
        <v>-1.058168E-3</v>
      </c>
      <c r="AA4644">
        <v>0.98978449999999996</v>
      </c>
      <c r="AB4644">
        <v>29</v>
      </c>
      <c r="AC4644">
        <v>-98.505600000000001</v>
      </c>
      <c r="AD4644">
        <v>-1.10475729782</v>
      </c>
      <c r="AE4644">
        <v>-11.858000000000001</v>
      </c>
      <c r="AF4644">
        <v>-14.183756140024901</v>
      </c>
      <c r="AG4644">
        <v>-1.10475729782</v>
      </c>
      <c r="AH4644">
        <v>98.185263322110899</v>
      </c>
      <c r="AI4644">
        <v>90.638028916955307</v>
      </c>
      <c r="AJ4644">
        <v>98.220032568584998</v>
      </c>
      <c r="AK4644">
        <v>99.210611128845599</v>
      </c>
    </row>
    <row r="4645" spans="1:37" x14ac:dyDescent="0.2">
      <c r="A4645" t="str">
        <f>"20200111155643426"</f>
        <v>20200111155643426</v>
      </c>
      <c r="B4645" t="str">
        <f>"1578729403417112"</f>
        <v>1578729403417112</v>
      </c>
      <c r="C4645" t="s">
        <v>37</v>
      </c>
      <c r="D4645">
        <v>4.5609690000000001</v>
      </c>
      <c r="E4645">
        <v>0.4795973</v>
      </c>
      <c r="F4645" t="s">
        <v>72</v>
      </c>
      <c r="G4645">
        <v>-413.10379999999998</v>
      </c>
      <c r="H4645" s="1">
        <v>-6.2467260000000001E-6</v>
      </c>
      <c r="I4645">
        <v>129.9186</v>
      </c>
      <c r="J4645">
        <v>-313.59559999999999</v>
      </c>
      <c r="K4645">
        <v>1.1046559999999901</v>
      </c>
      <c r="L4645">
        <v>141.72620000000001</v>
      </c>
      <c r="M4645">
        <v>-0.99961959999999905</v>
      </c>
      <c r="N4645">
        <v>0</v>
      </c>
      <c r="O4645">
        <v>2.3927960000000002E-2</v>
      </c>
      <c r="P4645">
        <v>-0.9988456</v>
      </c>
      <c r="Q4645">
        <v>3.8617520000000002E-2</v>
      </c>
      <c r="R4645">
        <v>-2.8571940000000001E-2</v>
      </c>
      <c r="S4645">
        <v>-2.9941409999999999</v>
      </c>
      <c r="T4645">
        <v>-3.3148289999999997E-2</v>
      </c>
      <c r="U4645">
        <v>-0.35408020000000001</v>
      </c>
      <c r="V4645">
        <v>-5.2439699999999902E-2</v>
      </c>
      <c r="W4645">
        <v>5.2337389999999998E-2</v>
      </c>
      <c r="X4645">
        <v>0.99725169999999996</v>
      </c>
      <c r="Y4645">
        <v>-0.14116039999999999</v>
      </c>
      <c r="Z4645">
        <v>-1.042739E-3</v>
      </c>
      <c r="AA4645">
        <v>0.98998619999999904</v>
      </c>
      <c r="AB4645">
        <v>29</v>
      </c>
      <c r="AC4645">
        <v>-99.508200000000002</v>
      </c>
      <c r="AD4645">
        <v>-1.1046622467260001</v>
      </c>
      <c r="AE4645">
        <v>-11.807600000000001</v>
      </c>
      <c r="AF4645">
        <v>-14.1837471880909</v>
      </c>
      <c r="AG4645">
        <v>-1.1046622467260001</v>
      </c>
      <c r="AH4645">
        <v>99.185092066096999</v>
      </c>
      <c r="AI4645">
        <v>90.631673014380198</v>
      </c>
      <c r="AJ4645">
        <v>98.138281554471703</v>
      </c>
      <c r="AK4645">
        <v>100.200206841778</v>
      </c>
    </row>
    <row r="4646" spans="1:37" x14ac:dyDescent="0.2">
      <c r="A4646" t="str">
        <f>"20200111155643450"</f>
        <v>20200111155643450</v>
      </c>
      <c r="B4646" t="str">
        <f>"1578729403437608"</f>
        <v>1578729403437608</v>
      </c>
      <c r="C4646" t="s">
        <v>37</v>
      </c>
      <c r="D4646">
        <v>4.6055519999999897</v>
      </c>
      <c r="E4646">
        <v>0.47934769999999999</v>
      </c>
      <c r="F4646" t="s">
        <v>48</v>
      </c>
      <c r="G4646">
        <v>0</v>
      </c>
      <c r="H4646">
        <v>0</v>
      </c>
      <c r="I4646">
        <v>0</v>
      </c>
      <c r="J4646">
        <v>-313.89699999999999</v>
      </c>
      <c r="K4646">
        <v>1.1045590000000001</v>
      </c>
      <c r="L4646">
        <v>141.7337</v>
      </c>
      <c r="M4646">
        <v>-0.99961469999999897</v>
      </c>
      <c r="N4646">
        <v>0</v>
      </c>
      <c r="O4646">
        <v>2.4277340000000001E-2</v>
      </c>
      <c r="P4646">
        <v>-0.99890179999999995</v>
      </c>
      <c r="Q4646">
        <v>3.8190870000000002E-2</v>
      </c>
      <c r="R4646">
        <v>-2.7146880000000002E-2</v>
      </c>
      <c r="S4646">
        <v>-2.9963989999999998</v>
      </c>
      <c r="T4646">
        <v>-4.6209099999999998E-3</v>
      </c>
      <c r="U4646">
        <v>-0.2547913</v>
      </c>
      <c r="V4646">
        <v>-5.1359210000000002E-2</v>
      </c>
      <c r="W4646">
        <v>5.1655010000000001E-2</v>
      </c>
      <c r="X4646">
        <v>0.99734349999999905</v>
      </c>
      <c r="Y4646">
        <v>-0.1088938</v>
      </c>
      <c r="Z4646">
        <v>-1.21196499999999E-4</v>
      </c>
      <c r="AA4646">
        <v>0.99405339999999998</v>
      </c>
      <c r="AB4646">
        <v>29</v>
      </c>
      <c r="AC4646">
        <v>-2.9963989999999998</v>
      </c>
      <c r="AD4646">
        <v>-4.6209099999999998E-3</v>
      </c>
      <c r="AE4646">
        <v>-0.2547913</v>
      </c>
      <c r="AF4646">
        <v>-0.32746660034820801</v>
      </c>
      <c r="AG4646">
        <v>-4.6209099999999998E-3</v>
      </c>
      <c r="AH4646">
        <v>2.9893224138499801</v>
      </c>
      <c r="AI4646">
        <v>90.088041360043903</v>
      </c>
      <c r="AJ4646">
        <v>96.251563485270907</v>
      </c>
      <c r="AK4646">
        <v>3.0072087092682298</v>
      </c>
    </row>
    <row r="4647" spans="1:37" x14ac:dyDescent="0.2">
      <c r="A4647" t="str">
        <f>"20200111155643473"</f>
        <v>20200111155643473</v>
      </c>
      <c r="B4647" t="str">
        <f>"1578729403467864"</f>
        <v>1578729403467864</v>
      </c>
      <c r="C4647" t="s">
        <v>37</v>
      </c>
      <c r="D4647">
        <v>4.6178169999999996</v>
      </c>
      <c r="E4647">
        <v>0.47903820000000003</v>
      </c>
      <c r="F4647" t="s">
        <v>48</v>
      </c>
      <c r="G4647">
        <v>0</v>
      </c>
      <c r="H4647">
        <v>0</v>
      </c>
      <c r="I4647">
        <v>0</v>
      </c>
      <c r="J4647">
        <v>-314.19560000000001</v>
      </c>
      <c r="K4647">
        <v>1.1044659999999999</v>
      </c>
      <c r="L4647">
        <v>141.7414</v>
      </c>
      <c r="M4647">
        <v>-0.99960910000000003</v>
      </c>
      <c r="N4647">
        <v>0</v>
      </c>
      <c r="O4647">
        <v>2.4676859999999998E-2</v>
      </c>
      <c r="P4647">
        <v>-0.99893379999999998</v>
      </c>
      <c r="Q4647">
        <v>3.7967239999999999E-2</v>
      </c>
      <c r="R4647">
        <v>-2.6265139999999999E-2</v>
      </c>
      <c r="S4647">
        <v>-2.9966740000000001</v>
      </c>
      <c r="T4647">
        <v>-6.1671729999999998E-3</v>
      </c>
      <c r="U4647">
        <v>-0.2527008</v>
      </c>
      <c r="V4647">
        <v>-5.0873630000000003E-2</v>
      </c>
      <c r="W4647">
        <v>5.1116420000000003E-2</v>
      </c>
      <c r="X4647">
        <v>0.99739609999999901</v>
      </c>
      <c r="Y4647">
        <v>-0.108594699999999</v>
      </c>
      <c r="Z4647">
        <v>-1.6225500000000001E-4</v>
      </c>
      <c r="AA4647">
        <v>0.99408609999999897</v>
      </c>
      <c r="AB4647">
        <v>29</v>
      </c>
      <c r="AC4647">
        <v>-2.9966740000000001</v>
      </c>
      <c r="AD4647">
        <v>-6.1671729999999998E-3</v>
      </c>
      <c r="AE4647">
        <v>-0.2527008</v>
      </c>
      <c r="AF4647">
        <v>-0.32657735185963899</v>
      </c>
      <c r="AG4647">
        <v>-6.1671729999999998E-3</v>
      </c>
      <c r="AH4647">
        <v>2.9895123218149098</v>
      </c>
      <c r="AI4647">
        <v>90.117498358458704</v>
      </c>
      <c r="AJ4647">
        <v>96.234328051799196</v>
      </c>
      <c r="AK4647">
        <v>3.0073035635023002</v>
      </c>
    </row>
    <row r="4648" spans="1:37" x14ac:dyDescent="0.2">
      <c r="A4648" t="str">
        <f>"20200111155643495"</f>
        <v>20200111155643495</v>
      </c>
      <c r="B4648" t="str">
        <f>"1578729403487385"</f>
        <v>1578729403487385</v>
      </c>
      <c r="C4648" t="s">
        <v>37</v>
      </c>
      <c r="D4648">
        <v>4.6384049999999997</v>
      </c>
      <c r="E4648">
        <v>0.488660499999999</v>
      </c>
      <c r="F4648" t="s">
        <v>48</v>
      </c>
      <c r="G4648">
        <v>0</v>
      </c>
      <c r="H4648">
        <v>0</v>
      </c>
      <c r="I4648">
        <v>0</v>
      </c>
      <c r="J4648">
        <v>-314.48340000000002</v>
      </c>
      <c r="K4648">
        <v>1.1043780000000001</v>
      </c>
      <c r="L4648">
        <v>141.74889999999999</v>
      </c>
      <c r="M4648">
        <v>-0.99960329999999997</v>
      </c>
      <c r="N4648">
        <v>0</v>
      </c>
      <c r="O4648">
        <v>2.5100040000000001E-2</v>
      </c>
      <c r="P4648">
        <v>-0.9989325</v>
      </c>
      <c r="Q4648">
        <v>3.8338259999999999E-2</v>
      </c>
      <c r="R4648">
        <v>-2.5769159999999999E-2</v>
      </c>
      <c r="S4648">
        <v>-2.996918</v>
      </c>
      <c r="T4648">
        <v>-8.4991459999999904E-3</v>
      </c>
      <c r="U4648">
        <v>-0.25274659999999999</v>
      </c>
      <c r="V4648">
        <v>-5.0796559999999998E-2</v>
      </c>
      <c r="W4648">
        <v>5.112357E-2</v>
      </c>
      <c r="X4648">
        <v>0.997399699999999</v>
      </c>
      <c r="Y4648">
        <v>-0.1090235</v>
      </c>
      <c r="Z4648">
        <v>-2.253945E-4</v>
      </c>
      <c r="AA4648">
        <v>0.99403920000000001</v>
      </c>
      <c r="AB4648">
        <v>29</v>
      </c>
      <c r="AC4648">
        <v>-2.996918</v>
      </c>
      <c r="AD4648">
        <v>-8.4991459999999904E-3</v>
      </c>
      <c r="AE4648">
        <v>-0.25274659999999999</v>
      </c>
      <c r="AF4648">
        <v>-0.32789324099836697</v>
      </c>
      <c r="AG4648">
        <v>-8.4991459999999904E-3</v>
      </c>
      <c r="AH4648">
        <v>2.98960530769669</v>
      </c>
      <c r="AI4648">
        <v>90.161914739576403</v>
      </c>
      <c r="AJ4648">
        <v>96.259056112687503</v>
      </c>
      <c r="AK4648">
        <v>3.0075448639685098</v>
      </c>
    </row>
    <row r="4649" spans="1:37" x14ac:dyDescent="0.2">
      <c r="A4649" t="str">
        <f>"20200111155643516"</f>
        <v>20200111155643516</v>
      </c>
      <c r="B4649" t="str">
        <f>"1578729403507412"</f>
        <v>1578729403507412</v>
      </c>
      <c r="C4649" t="s">
        <v>37</v>
      </c>
      <c r="D4649">
        <v>4.6287440000000002</v>
      </c>
      <c r="E4649">
        <v>0.48859340000000001</v>
      </c>
      <c r="F4649" t="s">
        <v>72</v>
      </c>
      <c r="G4649">
        <v>-401.9701</v>
      </c>
      <c r="H4649" s="1">
        <v>-4.8387300000000003E-6</v>
      </c>
      <c r="I4649">
        <v>136.61580000000001</v>
      </c>
      <c r="J4649">
        <v>-314.75439999999998</v>
      </c>
      <c r="K4649">
        <v>1.1042989999999999</v>
      </c>
      <c r="L4649">
        <v>141.75620000000001</v>
      </c>
      <c r="M4649">
        <v>-0.99959750000000003</v>
      </c>
      <c r="N4649">
        <v>0</v>
      </c>
      <c r="O4649">
        <v>2.5519239999999999E-2</v>
      </c>
      <c r="P4649">
        <v>-0.99891399999999997</v>
      </c>
      <c r="Q4649">
        <v>3.9280809999999999E-2</v>
      </c>
      <c r="R4649">
        <v>-2.5060320000000001E-2</v>
      </c>
      <c r="S4649">
        <v>-3.0001220000000002</v>
      </c>
      <c r="T4649">
        <v>-3.7871839999999997E-2</v>
      </c>
      <c r="U4649">
        <v>-0.1760254</v>
      </c>
      <c r="V4649">
        <v>-5.0503560000000003E-2</v>
      </c>
      <c r="W4649">
        <v>5.1684059999999997E-2</v>
      </c>
      <c r="X4649">
        <v>0.99738570000000004</v>
      </c>
      <c r="Y4649">
        <v>-8.4021620000000005E-2</v>
      </c>
      <c r="Z4649">
        <v>-8.5175349999999997E-4</v>
      </c>
      <c r="AA4649">
        <v>0.9964636</v>
      </c>
      <c r="AB4649">
        <v>29</v>
      </c>
      <c r="AC4649">
        <v>-87.215699999999998</v>
      </c>
      <c r="AD4649">
        <v>-1.1043038387299999</v>
      </c>
      <c r="AE4649">
        <v>-5.1403999999999996</v>
      </c>
      <c r="AF4649">
        <v>-7.3633985998968798</v>
      </c>
      <c r="AG4649">
        <v>-1.1043038387299999</v>
      </c>
      <c r="AH4649">
        <v>87.042196721718199</v>
      </c>
      <c r="AI4649">
        <v>90.724285466020405</v>
      </c>
      <c r="AJ4649">
        <v>94.835465602212494</v>
      </c>
      <c r="AK4649">
        <v>87.360077472787793</v>
      </c>
    </row>
    <row r="4650" spans="1:37" x14ac:dyDescent="0.2">
      <c r="A4650" t="str">
        <f>"20200111155643539"</f>
        <v>20200111155643539</v>
      </c>
      <c r="B4650" t="str">
        <f>"1578729403526932"</f>
        <v>1578729403526932</v>
      </c>
      <c r="C4650" t="s">
        <v>37</v>
      </c>
      <c r="D4650">
        <v>4.6555309999999999</v>
      </c>
      <c r="E4650">
        <v>0.48879489999999998</v>
      </c>
      <c r="F4650" t="s">
        <v>72</v>
      </c>
      <c r="G4650">
        <v>-401.71359999999999</v>
      </c>
      <c r="H4650" s="1">
        <v>-4.7617910000000003E-6</v>
      </c>
      <c r="I4650">
        <v>136.69470000000001</v>
      </c>
      <c r="J4650">
        <v>-315.04660000000001</v>
      </c>
      <c r="K4650">
        <v>1.104222</v>
      </c>
      <c r="L4650">
        <v>141.76410000000001</v>
      </c>
      <c r="M4650">
        <v>-0.99959089999999995</v>
      </c>
      <c r="N4650">
        <v>0</v>
      </c>
      <c r="O4650">
        <v>2.5981359999999998E-2</v>
      </c>
      <c r="P4650">
        <v>-0.99893489999999996</v>
      </c>
      <c r="Q4650">
        <v>3.934178E-2</v>
      </c>
      <c r="R4650">
        <v>-2.410557E-2</v>
      </c>
      <c r="S4650">
        <v>-3.000397</v>
      </c>
      <c r="T4650">
        <v>-3.810239E-2</v>
      </c>
      <c r="U4650">
        <v>-0.17463679999999901</v>
      </c>
      <c r="V4650">
        <v>-5.0009899999999899E-2</v>
      </c>
      <c r="W4650">
        <v>5.1312139999999999E-2</v>
      </c>
      <c r="X4650">
        <v>0.99742969999999898</v>
      </c>
      <c r="Y4650">
        <v>-8.4017110000000006E-2</v>
      </c>
      <c r="Z4650">
        <v>-8.6270509999999999E-4</v>
      </c>
      <c r="AA4650">
        <v>0.99646399999999902</v>
      </c>
      <c r="AB4650">
        <v>29</v>
      </c>
      <c r="AC4650">
        <v>-86.666999999999902</v>
      </c>
      <c r="AD4650">
        <v>-1.104226761791</v>
      </c>
      <c r="AE4650">
        <v>-5.0693999999999999</v>
      </c>
      <c r="AF4650">
        <v>-7.3183920380393204</v>
      </c>
      <c r="AG4650">
        <v>-1.104226761791</v>
      </c>
      <c r="AH4650">
        <v>86.492027386987004</v>
      </c>
      <c r="AI4650">
        <v>90.7288401407111</v>
      </c>
      <c r="AJ4650">
        <v>94.836475495335904</v>
      </c>
      <c r="AK4650">
        <v>86.808115866405004</v>
      </c>
    </row>
    <row r="4651" spans="1:37" x14ac:dyDescent="0.2">
      <c r="A4651" t="str">
        <f>"20200111155643562"</f>
        <v>20200111155643562</v>
      </c>
      <c r="B4651" t="str">
        <f>"1578729403557190"</f>
        <v>1578729403557190</v>
      </c>
      <c r="C4651" t="s">
        <v>37</v>
      </c>
      <c r="D4651">
        <v>4.7825930000000003</v>
      </c>
      <c r="E4651">
        <v>0.48910199999999998</v>
      </c>
      <c r="F4651" t="s">
        <v>72</v>
      </c>
      <c r="G4651">
        <v>-401.55619999999999</v>
      </c>
      <c r="H4651" s="1">
        <v>-4.7686630000000002E-6</v>
      </c>
      <c r="I4651">
        <v>136.85890000000001</v>
      </c>
      <c r="J4651">
        <v>-315.3503</v>
      </c>
      <c r="K4651">
        <v>1.10415</v>
      </c>
      <c r="L4651">
        <v>141.77250000000001</v>
      </c>
      <c r="M4651">
        <v>-0.99958380000000002</v>
      </c>
      <c r="N4651">
        <v>0</v>
      </c>
      <c r="O4651">
        <v>2.6464600000000001E-2</v>
      </c>
      <c r="P4651">
        <v>-0.99888220000000005</v>
      </c>
      <c r="Q4651">
        <v>4.0733470000000001E-2</v>
      </c>
      <c r="R4651">
        <v>-2.3996409999999999E-2</v>
      </c>
      <c r="S4651">
        <v>-3.0005799999999998</v>
      </c>
      <c r="T4651">
        <v>-3.830004E-2</v>
      </c>
      <c r="U4651">
        <v>-0.1701355</v>
      </c>
      <c r="V4651">
        <v>-5.0379380000000001E-2</v>
      </c>
      <c r="W4651">
        <v>5.2247399999999999E-2</v>
      </c>
      <c r="X4651">
        <v>0.99736259999999999</v>
      </c>
      <c r="Y4651">
        <v>-8.3005129999999996E-2</v>
      </c>
      <c r="Z4651">
        <v>-8.6687190000000005E-4</v>
      </c>
      <c r="AA4651">
        <v>0.99654880000000001</v>
      </c>
      <c r="AB4651">
        <v>29</v>
      </c>
      <c r="AC4651">
        <v>-86.2058999999999</v>
      </c>
      <c r="AD4651">
        <v>-1.104154768663</v>
      </c>
      <c r="AE4651">
        <v>-4.9135999999999997</v>
      </c>
      <c r="AF4651">
        <v>-7.1922577744920604</v>
      </c>
      <c r="AG4651">
        <v>-1.104154768663</v>
      </c>
      <c r="AH4651">
        <v>86.031589374586005</v>
      </c>
      <c r="AI4651">
        <v>90.732754675983898</v>
      </c>
      <c r="AJ4651">
        <v>94.778826037376604</v>
      </c>
      <c r="AK4651">
        <v>86.338763599933898</v>
      </c>
    </row>
    <row r="4652" spans="1:37" x14ac:dyDescent="0.2">
      <c r="A4652" t="str">
        <f>"20200111155643584"</f>
        <v>20200111155643584</v>
      </c>
      <c r="B4652" t="str">
        <f>"1578729403577685"</f>
        <v>1578729403577685</v>
      </c>
      <c r="C4652" t="s">
        <v>37</v>
      </c>
      <c r="D4652">
        <v>4.7000789999999997</v>
      </c>
      <c r="E4652">
        <v>0.48893919999999902</v>
      </c>
      <c r="F4652" t="s">
        <v>72</v>
      </c>
      <c r="G4652">
        <v>-409.99340000000001</v>
      </c>
      <c r="H4652" s="1">
        <v>-9.3118439999999999E-6</v>
      </c>
      <c r="I4652">
        <v>136.49969999999999</v>
      </c>
      <c r="J4652">
        <v>-315.63869999999997</v>
      </c>
      <c r="K4652">
        <v>1.1041049999999999</v>
      </c>
      <c r="L4652">
        <v>141.78049999999999</v>
      </c>
      <c r="M4652">
        <v>-0.99957629999999997</v>
      </c>
      <c r="N4652">
        <v>0</v>
      </c>
      <c r="O4652">
        <v>2.6922459999999999E-2</v>
      </c>
      <c r="P4652">
        <v>-0.99879180000000001</v>
      </c>
      <c r="Q4652">
        <v>4.2733689999999998E-2</v>
      </c>
      <c r="R4652">
        <v>-2.4266699999999999E-2</v>
      </c>
      <c r="S4652">
        <v>-3.000702</v>
      </c>
      <c r="T4652">
        <v>-3.5007829999999997E-2</v>
      </c>
      <c r="U4652">
        <v>-0.1671753</v>
      </c>
      <c r="V4652">
        <v>-5.1102219999999997E-2</v>
      </c>
      <c r="W4652">
        <v>5.3827779999999999E-2</v>
      </c>
      <c r="X4652">
        <v>0.99724169999999901</v>
      </c>
      <c r="Y4652">
        <v>-8.2480639999999994E-2</v>
      </c>
      <c r="Z4652">
        <v>-7.946308E-4</v>
      </c>
      <c r="AA4652">
        <v>0.99659229999999999</v>
      </c>
      <c r="AB4652">
        <v>29</v>
      </c>
      <c r="AC4652">
        <v>-94.354699999999994</v>
      </c>
      <c r="AD4652">
        <v>-1.104114311844</v>
      </c>
      <c r="AE4652">
        <v>-5.2807999999999904</v>
      </c>
      <c r="AF4652">
        <v>-7.8182345100184802</v>
      </c>
      <c r="AG4652">
        <v>-1.104114311844</v>
      </c>
      <c r="AH4652">
        <v>94.165459868140601</v>
      </c>
      <c r="AI4652">
        <v>90.669473707923302</v>
      </c>
      <c r="AJ4652">
        <v>94.746185835376494</v>
      </c>
      <c r="AK4652">
        <v>94.495913623001002</v>
      </c>
    </row>
    <row r="4653" spans="1:37" x14ac:dyDescent="0.2">
      <c r="A4653" t="str">
        <f>"20200111155643605"</f>
        <v>20200111155643605</v>
      </c>
      <c r="B4653" t="str">
        <f>"1578729403597712"</f>
        <v>1578729403597712</v>
      </c>
      <c r="C4653" t="s">
        <v>37</v>
      </c>
      <c r="D4653">
        <v>4.7397720000000003</v>
      </c>
      <c r="E4653">
        <v>0.48857990000000001</v>
      </c>
      <c r="F4653" t="s">
        <v>72</v>
      </c>
      <c r="G4653">
        <v>-430.45080000000002</v>
      </c>
      <c r="H4653" s="1">
        <v>-9.349337E-6</v>
      </c>
      <c r="I4653">
        <v>135.30959999999999</v>
      </c>
      <c r="J4653">
        <v>-315.92259999999999</v>
      </c>
      <c r="K4653">
        <v>1.104063</v>
      </c>
      <c r="L4653">
        <v>141.78870000000001</v>
      </c>
      <c r="M4653">
        <v>-0.99956840000000002</v>
      </c>
      <c r="N4653">
        <v>0</v>
      </c>
      <c r="O4653">
        <v>2.7370149999999999E-2</v>
      </c>
      <c r="P4653">
        <v>-0.99870380000000003</v>
      </c>
      <c r="Q4653">
        <v>4.4710739999999999E-2</v>
      </c>
      <c r="R4653">
        <v>-2.4323810000000001E-2</v>
      </c>
      <c r="S4653">
        <v>-3.0007630000000001</v>
      </c>
      <c r="T4653">
        <v>-2.885747E-2</v>
      </c>
      <c r="U4653">
        <v>-0.16912839999999901</v>
      </c>
      <c r="V4653">
        <v>-5.1601809999999998E-2</v>
      </c>
      <c r="W4653">
        <v>5.540424E-2</v>
      </c>
      <c r="X4653">
        <v>0.99712969999999901</v>
      </c>
      <c r="Y4653">
        <v>-8.3574640000000006E-2</v>
      </c>
      <c r="Z4653">
        <v>-6.6456589999999997E-4</v>
      </c>
      <c r="AA4653">
        <v>0.99650130000000003</v>
      </c>
      <c r="AB4653">
        <v>29</v>
      </c>
      <c r="AC4653">
        <v>-114.5282</v>
      </c>
      <c r="AD4653">
        <v>-1.1040723493369999</v>
      </c>
      <c r="AE4653">
        <v>-6.4791000000000096</v>
      </c>
      <c r="AF4653">
        <v>-9.6106146752801909</v>
      </c>
      <c r="AG4653">
        <v>-1.1040723493369999</v>
      </c>
      <c r="AH4653">
        <v>114.29735694595701</v>
      </c>
      <c r="AI4653">
        <v>90.551493882383994</v>
      </c>
      <c r="AJ4653">
        <v>94.806370217552598</v>
      </c>
      <c r="AK4653">
        <v>114.706009847003</v>
      </c>
    </row>
    <row r="4654" spans="1:37" x14ac:dyDescent="0.2">
      <c r="A4654" t="str">
        <f>"20200111155643627"</f>
        <v>20200111155643627</v>
      </c>
      <c r="B4654" t="str">
        <f>"1578729403617232"</f>
        <v>1578729403617232</v>
      </c>
      <c r="C4654" t="s">
        <v>37</v>
      </c>
      <c r="D4654">
        <v>4.7246670000000002</v>
      </c>
      <c r="E4654">
        <v>0.48879139999999999</v>
      </c>
      <c r="F4654" t="s">
        <v>38</v>
      </c>
      <c r="G4654">
        <v>-460.05329999999998</v>
      </c>
      <c r="H4654" s="1">
        <v>-4.9005279999999998E-6</v>
      </c>
      <c r="I4654">
        <v>133.51410000000001</v>
      </c>
      <c r="J4654">
        <v>-316.21460000000002</v>
      </c>
      <c r="K4654">
        <v>1.1040179999999999</v>
      </c>
      <c r="L4654">
        <v>141.7971</v>
      </c>
      <c r="M4654">
        <v>-0.99956009999999995</v>
      </c>
      <c r="N4654">
        <v>0</v>
      </c>
      <c r="O4654">
        <v>2.782739E-2</v>
      </c>
      <c r="P4654">
        <v>-0.99869209999999997</v>
      </c>
      <c r="Q4654">
        <v>4.4927950000000001E-2</v>
      </c>
      <c r="R4654">
        <v>-2.441016E-2</v>
      </c>
      <c r="S4654">
        <v>-3.0007320000000002</v>
      </c>
      <c r="T4654">
        <v>-2.298617E-2</v>
      </c>
      <c r="U4654">
        <v>-0.1722717</v>
      </c>
      <c r="V4654">
        <v>-5.2143439999999999E-2</v>
      </c>
      <c r="W4654">
        <v>5.5216170000000002E-2</v>
      </c>
      <c r="X4654">
        <v>0.997112</v>
      </c>
      <c r="Y4654">
        <v>-8.5073120000000002E-2</v>
      </c>
      <c r="Z4654">
        <v>-5.385829E-4</v>
      </c>
      <c r="AA4654">
        <v>0.99637450000000005</v>
      </c>
      <c r="AB4654">
        <v>29</v>
      </c>
      <c r="AC4654">
        <v>-143.83869999999899</v>
      </c>
      <c r="AD4654">
        <v>-1.104022900528</v>
      </c>
      <c r="AE4654">
        <v>-8.2829999999999799</v>
      </c>
      <c r="AF4654">
        <v>-12.2819370947572</v>
      </c>
      <c r="AG4654">
        <v>-1.104022900528</v>
      </c>
      <c r="AH4654">
        <v>143.54405668452401</v>
      </c>
      <c r="AI4654">
        <v>90.439059197819802</v>
      </c>
      <c r="AJ4654">
        <v>94.890438779580293</v>
      </c>
      <c r="AK4654">
        <v>144.07276305677701</v>
      </c>
    </row>
    <row r="4655" spans="1:37" x14ac:dyDescent="0.2">
      <c r="A4655" t="str">
        <f>"20200111155643651"</f>
        <v>20200111155643651</v>
      </c>
      <c r="B4655" t="str">
        <f>"1578729403647488"</f>
        <v>1578729403647488</v>
      </c>
      <c r="C4655" t="s">
        <v>37</v>
      </c>
      <c r="D4655">
        <v>4.9232649999999998</v>
      </c>
      <c r="E4655">
        <v>0.48898809999999898</v>
      </c>
      <c r="F4655" t="s">
        <v>38</v>
      </c>
      <c r="G4655">
        <v>-466.15960000000001</v>
      </c>
      <c r="H4655" s="1">
        <v>-2.2905170000000002E-6</v>
      </c>
      <c r="I4655">
        <v>133.24299999999999</v>
      </c>
      <c r="J4655">
        <v>-316.51799999999997</v>
      </c>
      <c r="K4655">
        <v>1.103969</v>
      </c>
      <c r="L4655">
        <v>141.80609999999999</v>
      </c>
      <c r="M4655">
        <v>-0.99955110000000003</v>
      </c>
      <c r="N4655">
        <v>0</v>
      </c>
      <c r="O4655">
        <v>2.829945E-2</v>
      </c>
      <c r="P4655">
        <v>-0.99872070000000002</v>
      </c>
      <c r="Q4655">
        <v>4.4635059999999997E-2</v>
      </c>
      <c r="R4655">
        <v>-2.3762769999999999E-2</v>
      </c>
      <c r="S4655">
        <v>-3.0007320000000002</v>
      </c>
      <c r="T4655">
        <v>-2.2093890000000001E-2</v>
      </c>
      <c r="U4655">
        <v>-0.17118839999999999</v>
      </c>
      <c r="V4655">
        <v>-5.1968609999999998E-2</v>
      </c>
      <c r="W4655">
        <v>5.4501050000000002E-2</v>
      </c>
      <c r="X4655">
        <v>0.99716039999999995</v>
      </c>
      <c r="Y4655">
        <v>-8.5185269999999993E-2</v>
      </c>
      <c r="Z4655">
        <v>-5.2156679999999995E-4</v>
      </c>
      <c r="AA4655">
        <v>0.99636499999999995</v>
      </c>
      <c r="AB4655">
        <v>29</v>
      </c>
      <c r="AC4655">
        <v>-149.64160000000001</v>
      </c>
      <c r="AD4655">
        <v>-1.103971290517</v>
      </c>
      <c r="AE4655">
        <v>-8.5630999999999897</v>
      </c>
      <c r="AF4655">
        <v>-12.7939558330474</v>
      </c>
      <c r="AG4655">
        <v>-1.103971290517</v>
      </c>
      <c r="AH4655">
        <v>149.331217497967</v>
      </c>
      <c r="AI4655">
        <v>90.422020810203506</v>
      </c>
      <c r="AJ4655">
        <v>94.896859394781302</v>
      </c>
      <c r="AK4655">
        <v>149.882342448646</v>
      </c>
    </row>
    <row r="4656" spans="1:37" x14ac:dyDescent="0.2">
      <c r="A4656" t="str">
        <f>"20200111155643673"</f>
        <v>20200111155643673</v>
      </c>
      <c r="B4656" t="str">
        <f>"1578729403667008"</f>
        <v>1578729403667008</v>
      </c>
      <c r="C4656" t="s">
        <v>37</v>
      </c>
      <c r="D4656">
        <v>4.8383729999999998</v>
      </c>
      <c r="E4656">
        <v>0.48882999999999999</v>
      </c>
      <c r="F4656" t="s">
        <v>75</v>
      </c>
      <c r="G4656">
        <v>-472.38299999999998</v>
      </c>
      <c r="H4656" s="1">
        <v>-6.0872330000000002E-6</v>
      </c>
      <c r="I4656">
        <v>133.08789999999999</v>
      </c>
      <c r="J4656">
        <v>-316.81630000000001</v>
      </c>
      <c r="K4656">
        <v>1.103923</v>
      </c>
      <c r="L4656">
        <v>141.815</v>
      </c>
      <c r="M4656">
        <v>-0.99954189999999998</v>
      </c>
      <c r="N4656">
        <v>0</v>
      </c>
      <c r="O4656">
        <v>2.876124E-2</v>
      </c>
      <c r="P4656">
        <v>-0.99873869999999898</v>
      </c>
      <c r="Q4656">
        <v>4.4857000000000001E-2</v>
      </c>
      <c r="R4656">
        <v>-2.256174E-2</v>
      </c>
      <c r="S4656">
        <v>-3.0007929999999998</v>
      </c>
      <c r="T4656">
        <v>-2.12543E-2</v>
      </c>
      <c r="U4656">
        <v>-0.16784669999999999</v>
      </c>
      <c r="V4656">
        <v>-5.1229280000000002E-2</v>
      </c>
      <c r="W4656">
        <v>5.4309160000000002E-2</v>
      </c>
      <c r="X4656">
        <v>0.99720909999999996</v>
      </c>
      <c r="Y4656">
        <v>-8.4538479999999999E-2</v>
      </c>
      <c r="Z4656">
        <v>-5.0273099999999997E-4</v>
      </c>
      <c r="AA4656">
        <v>0.99642009999999903</v>
      </c>
      <c r="AB4656">
        <v>29</v>
      </c>
      <c r="AC4656">
        <v>-155.5667</v>
      </c>
      <c r="AD4656">
        <v>-1.1039290872330001</v>
      </c>
      <c r="AE4656">
        <v>-8.7271000000000001</v>
      </c>
      <c r="AF4656">
        <v>-13.1973167136049</v>
      </c>
      <c r="AG4656">
        <v>-1.1039290872330001</v>
      </c>
      <c r="AH4656">
        <v>155.243531651116</v>
      </c>
      <c r="AI4656">
        <v>90.405956404723696</v>
      </c>
      <c r="AJ4656">
        <v>94.859055249673901</v>
      </c>
      <c r="AK4656">
        <v>155.80738733250101</v>
      </c>
    </row>
    <row r="4657" spans="1:37" x14ac:dyDescent="0.2">
      <c r="A4657" t="str">
        <f>"20200111155643696"</f>
        <v>20200111155643696</v>
      </c>
      <c r="B4657" t="str">
        <f>"1578729403687504"</f>
        <v>1578729403687504</v>
      </c>
      <c r="C4657" t="s">
        <v>37</v>
      </c>
      <c r="D4657">
        <v>4.7628459999999997</v>
      </c>
      <c r="E4657">
        <v>0.48868009999999901</v>
      </c>
      <c r="F4657" t="s">
        <v>75</v>
      </c>
      <c r="G4657">
        <v>-477.9522</v>
      </c>
      <c r="H4657" s="1">
        <v>-3.2363010000000001E-6</v>
      </c>
      <c r="I4657">
        <v>132.9392</v>
      </c>
      <c r="J4657">
        <v>-317.11410000000001</v>
      </c>
      <c r="K4657">
        <v>1.1038889999999999</v>
      </c>
      <c r="L4657">
        <v>141.82399999999899</v>
      </c>
      <c r="M4657">
        <v>-0.99953239999999999</v>
      </c>
      <c r="N4657">
        <v>0</v>
      </c>
      <c r="O4657">
        <v>2.9220840000000001E-2</v>
      </c>
      <c r="P4657">
        <v>-0.99871080000000001</v>
      </c>
      <c r="Q4657">
        <v>4.5947300000000003E-2</v>
      </c>
      <c r="R4657">
        <v>-2.15885E-2</v>
      </c>
      <c r="S4657">
        <v>-3.0009459999999999</v>
      </c>
      <c r="T4657">
        <v>-2.0559190000000001E-2</v>
      </c>
      <c r="U4657">
        <v>-0.16529849999999999</v>
      </c>
      <c r="V4657">
        <v>-5.0713359999999999E-2</v>
      </c>
      <c r="W4657">
        <v>5.4988120000000001E-2</v>
      </c>
      <c r="X4657">
        <v>0.99719829999999998</v>
      </c>
      <c r="Y4657">
        <v>-8.4150399999999903E-2</v>
      </c>
      <c r="Z4657">
        <v>-4.8809359999999998E-4</v>
      </c>
      <c r="AA4657">
        <v>0.99645289999999997</v>
      </c>
      <c r="AB4657">
        <v>30</v>
      </c>
      <c r="AC4657">
        <v>-160.8381</v>
      </c>
      <c r="AD4657">
        <v>-1.103892236301</v>
      </c>
      <c r="AE4657">
        <v>-8.8847999999999807</v>
      </c>
      <c r="AF4657">
        <v>-13.5803829668499</v>
      </c>
      <c r="AG4657">
        <v>-1.103892236301</v>
      </c>
      <c r="AH4657">
        <v>160.50224389913299</v>
      </c>
      <c r="AI4657">
        <v>90.392656102360903</v>
      </c>
      <c r="AJ4657">
        <v>94.836379241136896</v>
      </c>
      <c r="AK4657">
        <v>161.07953214562201</v>
      </c>
    </row>
    <row r="4658" spans="1:37" x14ac:dyDescent="0.2">
      <c r="A4658" t="str">
        <f>"20200111155643717"</f>
        <v>20200111155643717</v>
      </c>
      <c r="B4658" t="str">
        <f>"1578729403707025"</f>
        <v>1578729403707025</v>
      </c>
      <c r="C4658" t="s">
        <v>37</v>
      </c>
      <c r="D4658">
        <v>4.8208960000000003</v>
      </c>
      <c r="E4658">
        <v>0.48865929999999902</v>
      </c>
      <c r="F4658" t="s">
        <v>75</v>
      </c>
      <c r="G4658">
        <v>-499.74059999999997</v>
      </c>
      <c r="H4658">
        <v>3.0749950000000002E-2</v>
      </c>
      <c r="I4658">
        <v>131.87569999999999</v>
      </c>
      <c r="J4658">
        <v>-317.40339999999998</v>
      </c>
      <c r="K4658">
        <v>1.1038490000000001</v>
      </c>
      <c r="L4658">
        <v>141.8329</v>
      </c>
      <c r="M4658">
        <v>-0.99952269999999899</v>
      </c>
      <c r="N4658">
        <v>0</v>
      </c>
      <c r="O4658">
        <v>2.9666930000000001E-2</v>
      </c>
      <c r="P4658">
        <v>-0.99867870000000003</v>
      </c>
      <c r="Q4658">
        <v>4.7238969999999998E-2</v>
      </c>
      <c r="R4658">
        <v>-2.023285E-2</v>
      </c>
      <c r="S4658">
        <v>-3.00116</v>
      </c>
      <c r="T4658">
        <v>-1.7635229999999998E-2</v>
      </c>
      <c r="U4658">
        <v>-0.16348270000000001</v>
      </c>
      <c r="V4658">
        <v>-4.9801699999999997E-2</v>
      </c>
      <c r="W4658">
        <v>5.588605E-2</v>
      </c>
      <c r="X4658">
        <v>0.99719429999999998</v>
      </c>
      <c r="Y4658">
        <v>-8.3990750000000003E-2</v>
      </c>
      <c r="Z4658">
        <v>-4.2080459999999998E-4</v>
      </c>
      <c r="AA4658">
        <v>0.99646650000000003</v>
      </c>
      <c r="AB4658">
        <v>30</v>
      </c>
      <c r="AC4658">
        <v>-182.3372</v>
      </c>
      <c r="AD4658">
        <v>-1.0730990499999999</v>
      </c>
      <c r="AE4658">
        <v>-9.9572000000000003</v>
      </c>
      <c r="AF4658">
        <v>-15.3618721886247</v>
      </c>
      <c r="AG4658">
        <v>-1.0730990499999999</v>
      </c>
      <c r="AH4658">
        <v>181.95524244904701</v>
      </c>
      <c r="AI4658">
        <v>90.336705775225894</v>
      </c>
      <c r="AJ4658">
        <v>94.825846645266793</v>
      </c>
      <c r="AK4658">
        <v>182.605719826631</v>
      </c>
    </row>
    <row r="4659" spans="1:37" x14ac:dyDescent="0.2">
      <c r="A4659" t="str">
        <f>"20200111155643740"</f>
        <v>20200111155643740</v>
      </c>
      <c r="B4659" t="str">
        <f>"1578729403737280"</f>
        <v>1578729403737280</v>
      </c>
      <c r="C4659" t="s">
        <v>37</v>
      </c>
      <c r="D4659">
        <v>4.8300419999999997</v>
      </c>
      <c r="E4659">
        <v>0.48846040000000002</v>
      </c>
      <c r="F4659" t="s">
        <v>48</v>
      </c>
      <c r="G4659">
        <v>0</v>
      </c>
      <c r="H4659">
        <v>0</v>
      </c>
      <c r="I4659">
        <v>0</v>
      </c>
      <c r="J4659">
        <v>-317.70370000000003</v>
      </c>
      <c r="K4659">
        <v>1.1038049999999999</v>
      </c>
      <c r="L4659">
        <v>141.84229999999999</v>
      </c>
      <c r="M4659">
        <v>-0.99951219999999996</v>
      </c>
      <c r="N4659">
        <v>0</v>
      </c>
      <c r="O4659">
        <v>3.0128439999999999E-2</v>
      </c>
      <c r="P4659">
        <v>-0.99861309999999903</v>
      </c>
      <c r="Q4659">
        <v>4.890663E-2</v>
      </c>
      <c r="R4659">
        <v>-1.9494000000000001E-2</v>
      </c>
      <c r="S4659">
        <v>-3.0013730000000001</v>
      </c>
      <c r="T4659">
        <v>-1.3779039999999999E-2</v>
      </c>
      <c r="U4659">
        <v>-0.15974430000000001</v>
      </c>
      <c r="V4659">
        <v>-4.9520429999999997E-2</v>
      </c>
      <c r="W4659">
        <v>5.716098E-2</v>
      </c>
      <c r="X4659">
        <v>0.99713609999999897</v>
      </c>
      <c r="Y4659">
        <v>-8.3210049999999994E-2</v>
      </c>
      <c r="Z4659">
        <v>-3.291042E-4</v>
      </c>
      <c r="AA4659">
        <v>0.99653199999999997</v>
      </c>
      <c r="AB4659">
        <v>30</v>
      </c>
      <c r="AC4659">
        <v>-3.0013730000000001</v>
      </c>
      <c r="AD4659">
        <v>-1.3779039999999999E-2</v>
      </c>
      <c r="AE4659">
        <v>-0.15974430000000001</v>
      </c>
      <c r="AF4659">
        <v>-0.25009626529137202</v>
      </c>
      <c r="AG4659">
        <v>-1.3779039999999999E-2</v>
      </c>
      <c r="AH4659">
        <v>2.99513443315701</v>
      </c>
      <c r="AI4659">
        <v>90.262671799242995</v>
      </c>
      <c r="AJ4659">
        <v>94.773173254332505</v>
      </c>
      <c r="AK4659">
        <v>3.0055895056608701</v>
      </c>
    </row>
    <row r="4660" spans="1:37" x14ac:dyDescent="0.2">
      <c r="A4660" t="str">
        <f>"20200111155643762"</f>
        <v>20200111155643762</v>
      </c>
      <c r="B4660" t="str">
        <f>"1578729403757778"</f>
        <v>1578729403757778</v>
      </c>
      <c r="C4660" t="s">
        <v>37</v>
      </c>
      <c r="D4660">
        <v>4.9281489999999897</v>
      </c>
      <c r="E4660">
        <v>0.48824799999999902</v>
      </c>
      <c r="F4660" t="s">
        <v>48</v>
      </c>
      <c r="G4660">
        <v>0</v>
      </c>
      <c r="H4660">
        <v>0</v>
      </c>
      <c r="I4660">
        <v>0</v>
      </c>
      <c r="J4660">
        <v>-318.01440000000002</v>
      </c>
      <c r="K4660">
        <v>1.1037569999999901</v>
      </c>
      <c r="L4660">
        <v>141.85210000000001</v>
      </c>
      <c r="M4660">
        <v>-0.99950090000000003</v>
      </c>
      <c r="N4660">
        <v>0</v>
      </c>
      <c r="O4660">
        <v>3.06051E-2</v>
      </c>
      <c r="P4660">
        <v>-0.99871499999999902</v>
      </c>
      <c r="Q4660">
        <v>4.663805E-2</v>
      </c>
      <c r="R4660">
        <v>-1.9829599999999999E-2</v>
      </c>
      <c r="S4660">
        <v>-3.0014949999999998</v>
      </c>
      <c r="T4660">
        <v>-9.0572829999999993E-3</v>
      </c>
      <c r="U4660">
        <v>-0.1591187</v>
      </c>
      <c r="V4660">
        <v>-5.033667E-2</v>
      </c>
      <c r="W4660">
        <v>5.4508189999999998E-2</v>
      </c>
      <c r="X4660">
        <v>0.99724380000000001</v>
      </c>
      <c r="Y4660">
        <v>-8.3476599999999998E-2</v>
      </c>
      <c r="Z4660">
        <v>-2.181598E-4</v>
      </c>
      <c r="AA4660">
        <v>0.99650969999999905</v>
      </c>
      <c r="AB4660">
        <v>30</v>
      </c>
      <c r="AC4660">
        <v>-3.0014949999999998</v>
      </c>
      <c r="AD4660">
        <v>-9.0572829999999993E-3</v>
      </c>
      <c r="AE4660">
        <v>-0.1591187</v>
      </c>
      <c r="AF4660">
        <v>-0.25090574795673898</v>
      </c>
      <c r="AG4660">
        <v>-9.0572829999999993E-3</v>
      </c>
      <c r="AH4660">
        <v>2.99519168582595</v>
      </c>
      <c r="AI4660">
        <v>90.172653808042895</v>
      </c>
      <c r="AJ4660">
        <v>94.788459676615602</v>
      </c>
      <c r="AK4660">
        <v>3.0056960863623599</v>
      </c>
    </row>
    <row r="4661" spans="1:37" x14ac:dyDescent="0.2">
      <c r="A4661" t="str">
        <f>"20200111155643785"</f>
        <v>20200111155643785</v>
      </c>
      <c r="B4661" t="str">
        <f>"1578729403777296"</f>
        <v>1578729403777296</v>
      </c>
      <c r="C4661" t="s">
        <v>37</v>
      </c>
      <c r="D4661">
        <v>4.8733789999999999</v>
      </c>
      <c r="E4661">
        <v>0.488241799999999</v>
      </c>
      <c r="F4661" t="s">
        <v>39</v>
      </c>
      <c r="G4661">
        <v>-536.76260000000002</v>
      </c>
      <c r="H4661">
        <v>-0.05</v>
      </c>
      <c r="I4661">
        <v>130.0393</v>
      </c>
      <c r="J4661">
        <v>-318.31479999999999</v>
      </c>
      <c r="K4661">
        <v>1.103718</v>
      </c>
      <c r="L4661">
        <v>141.86179999999999</v>
      </c>
      <c r="M4661">
        <v>-0.99948919999999997</v>
      </c>
      <c r="N4661">
        <v>0</v>
      </c>
      <c r="O4661">
        <v>3.1065769999999999E-2</v>
      </c>
      <c r="P4661">
        <v>-0.99875840000000005</v>
      </c>
      <c r="Q4661">
        <v>4.5438010000000001E-2</v>
      </c>
      <c r="R4661">
        <v>-2.0430400000000001E-2</v>
      </c>
      <c r="S4661">
        <v>-3.0013429999999999</v>
      </c>
      <c r="T4661">
        <v>-1.5830159999999999E-2</v>
      </c>
      <c r="U4661">
        <v>-0.1620789</v>
      </c>
      <c r="V4661">
        <v>-5.1399439999999998E-2</v>
      </c>
      <c r="W4661">
        <v>5.2961179999999997E-2</v>
      </c>
      <c r="X4661">
        <v>0.99727289999999902</v>
      </c>
      <c r="Y4661">
        <v>-8.4917339999999994E-2</v>
      </c>
      <c r="Z4661">
        <v>-3.8752839999999899E-4</v>
      </c>
      <c r="AA4661">
        <v>0.99638789999999999</v>
      </c>
      <c r="AB4661">
        <v>30</v>
      </c>
      <c r="AC4661">
        <v>-218.4478</v>
      </c>
      <c r="AD4661">
        <v>-1.153718</v>
      </c>
      <c r="AE4661">
        <v>-11.8224999999999</v>
      </c>
      <c r="AF4661">
        <v>-18.6027160867785</v>
      </c>
      <c r="AG4661">
        <v>-1.153718</v>
      </c>
      <c r="AH4661">
        <v>217.96901102196301</v>
      </c>
      <c r="AI4661">
        <v>90.302167378847003</v>
      </c>
      <c r="AJ4661">
        <v>94.878126962075001</v>
      </c>
      <c r="AK4661">
        <v>218.764443813252</v>
      </c>
    </row>
    <row r="4662" spans="1:37" x14ac:dyDescent="0.2">
      <c r="A4662" t="str">
        <f>"20200111155644399"</f>
        <v>20200111155644399</v>
      </c>
      <c r="B4662" t="str">
        <f>"1578729404387296"</f>
        <v>1578729404387296</v>
      </c>
      <c r="C4662" t="s">
        <v>37</v>
      </c>
      <c r="D4662">
        <v>4.9594659999999999</v>
      </c>
      <c r="E4662">
        <v>0.46840219999999999</v>
      </c>
      <c r="F4662" t="s">
        <v>75</v>
      </c>
      <c r="G4662">
        <v>-481.45269999999999</v>
      </c>
      <c r="H4662" s="1">
        <v>-1.155844E-5</v>
      </c>
      <c r="I4662">
        <v>132.94990000000001</v>
      </c>
      <c r="J4662">
        <v>-327.3741</v>
      </c>
      <c r="K4662">
        <v>1.103593</v>
      </c>
      <c r="L4662">
        <v>142.1679</v>
      </c>
      <c r="M4662">
        <v>-0.99951019999999902</v>
      </c>
      <c r="N4662">
        <v>0</v>
      </c>
      <c r="O4662">
        <v>3.1272300000000003E-2</v>
      </c>
      <c r="P4662">
        <v>-0.99921569999999904</v>
      </c>
      <c r="Q4662">
        <v>3.9360350000000002E-2</v>
      </c>
      <c r="R4662">
        <v>-4.3264669999999996E-3</v>
      </c>
      <c r="S4662">
        <v>-3.001312</v>
      </c>
      <c r="T4662">
        <v>-2.0305750000000001E-2</v>
      </c>
      <c r="U4662">
        <v>-0.16395570000000001</v>
      </c>
      <c r="V4662">
        <v>-3.5616099999999998E-2</v>
      </c>
      <c r="W4662">
        <v>4.0525129999999999E-2</v>
      </c>
      <c r="X4662">
        <v>0.99854359999999998</v>
      </c>
      <c r="Y4662">
        <v>-8.5743100000000003E-2</v>
      </c>
      <c r="Z4662">
        <v>-5.012695E-4</v>
      </c>
      <c r="AA4662">
        <v>0.99631709999999996</v>
      </c>
      <c r="AB4662">
        <v>35</v>
      </c>
      <c r="AC4662">
        <v>-154.07859999999999</v>
      </c>
      <c r="AD4662">
        <v>-1.10360455844</v>
      </c>
      <c r="AE4662">
        <v>-9.2179999999999893</v>
      </c>
      <c r="AF4662">
        <v>-14.0311697991002</v>
      </c>
      <c r="AG4662">
        <v>-1.10360455844</v>
      </c>
      <c r="AH4662">
        <v>153.70711459381701</v>
      </c>
      <c r="AI4662">
        <v>90.409668680620499</v>
      </c>
      <c r="AJ4662">
        <v>95.215795503098704</v>
      </c>
      <c r="AK4662">
        <v>154.35014980786201</v>
      </c>
    </row>
    <row r="4663" spans="1:37" x14ac:dyDescent="0.2">
      <c r="A4663" t="str">
        <f>"20200111155644421"</f>
        <v>20200111155644421</v>
      </c>
      <c r="B4663" t="str">
        <f>"1578729404417552"</f>
        <v>1578729404417552</v>
      </c>
      <c r="C4663" t="s">
        <v>37</v>
      </c>
      <c r="D4663">
        <v>4.8921519999999896</v>
      </c>
      <c r="E4663">
        <v>0.47807849999999902</v>
      </c>
      <c r="F4663" t="s">
        <v>38</v>
      </c>
      <c r="G4663">
        <v>-371.5949</v>
      </c>
      <c r="H4663" s="1">
        <v>-3.8509639999999999E-6</v>
      </c>
      <c r="I4663">
        <v>138.13399999999999</v>
      </c>
      <c r="J4663">
        <v>-327.74180000000001</v>
      </c>
      <c r="K4663">
        <v>1.103693</v>
      </c>
      <c r="L4663">
        <v>142.1788</v>
      </c>
      <c r="M4663">
        <v>-0.99953440000000005</v>
      </c>
      <c r="N4663">
        <v>0</v>
      </c>
      <c r="O4663">
        <v>3.048913E-2</v>
      </c>
      <c r="P4663">
        <v>-0.99927710000000003</v>
      </c>
      <c r="Q4663">
        <v>3.7974769999999998E-2</v>
      </c>
      <c r="R4663">
        <v>-1.743391E-3</v>
      </c>
      <c r="S4663">
        <v>-3.0041199999999999</v>
      </c>
      <c r="T4663">
        <v>-7.4972269999999994E-2</v>
      </c>
      <c r="U4663">
        <v>-0.27403259999999902</v>
      </c>
      <c r="V4663">
        <v>-3.2262800000000001E-2</v>
      </c>
      <c r="W4663">
        <v>3.9135299999999998E-2</v>
      </c>
      <c r="X4663">
        <v>0.99871299999999996</v>
      </c>
      <c r="Y4663">
        <v>-0.1211158</v>
      </c>
      <c r="Z4663">
        <v>-2.267331E-3</v>
      </c>
      <c r="AA4663">
        <v>0.99263579999999996</v>
      </c>
      <c r="AB4663">
        <v>36</v>
      </c>
      <c r="AC4663">
        <v>-43.853099999999898</v>
      </c>
      <c r="AD4663">
        <v>-1.1036968509639999</v>
      </c>
      <c r="AE4663">
        <v>-4.0448000000000004</v>
      </c>
      <c r="AF4663">
        <v>-5.3765863984611402</v>
      </c>
      <c r="AG4663">
        <v>-1.1036968509639999</v>
      </c>
      <c r="AH4663">
        <v>43.6819540000063</v>
      </c>
      <c r="AI4663">
        <v>91.436528613244505</v>
      </c>
      <c r="AJ4663">
        <v>97.0169486846072</v>
      </c>
      <c r="AK4663">
        <v>44.025435072212701</v>
      </c>
    </row>
    <row r="4664" spans="1:37" x14ac:dyDescent="0.2">
      <c r="A4664" t="str">
        <f>"20200111155644443"</f>
        <v>20200111155644443</v>
      </c>
      <c r="B4664" t="str">
        <f>"1578729404437072"</f>
        <v>1578729404437072</v>
      </c>
      <c r="C4664" t="s">
        <v>37</v>
      </c>
      <c r="D4664">
        <v>5.0497800000000002</v>
      </c>
      <c r="E4664">
        <v>0.47842619999999902</v>
      </c>
      <c r="F4664" t="s">
        <v>48</v>
      </c>
      <c r="G4664">
        <v>0</v>
      </c>
      <c r="H4664">
        <v>0</v>
      </c>
      <c r="I4664">
        <v>0</v>
      </c>
      <c r="J4664">
        <v>-328.106999999999</v>
      </c>
      <c r="K4664">
        <v>1.103804</v>
      </c>
      <c r="L4664">
        <v>142.1892</v>
      </c>
      <c r="M4664">
        <v>-0.99956179999999994</v>
      </c>
      <c r="N4664">
        <v>0</v>
      </c>
      <c r="O4664">
        <v>2.9576680000000001E-2</v>
      </c>
      <c r="P4664">
        <v>-0.99925059999999999</v>
      </c>
      <c r="Q4664">
        <v>3.870606E-2</v>
      </c>
      <c r="R4664">
        <v>1.031041E-4</v>
      </c>
      <c r="S4664">
        <v>-3.0015259999999899</v>
      </c>
      <c r="T4664">
        <v>9.0148450000000005E-3</v>
      </c>
      <c r="U4664">
        <v>-0.18499760000000001</v>
      </c>
      <c r="V4664">
        <v>-2.9516399999999901E-2</v>
      </c>
      <c r="W4664">
        <v>3.9869059999999998E-2</v>
      </c>
      <c r="X4664">
        <v>0.99876889999999996</v>
      </c>
      <c r="Y4664">
        <v>-9.1011010000000003E-2</v>
      </c>
      <c r="Z4664">
        <v>2.2529970000000001E-4</v>
      </c>
      <c r="AA4664">
        <v>0.99584980000000001</v>
      </c>
      <c r="AB4664">
        <v>36</v>
      </c>
      <c r="AC4664">
        <v>-3.0015259999999899</v>
      </c>
      <c r="AD4664">
        <v>9.0148450000000005E-3</v>
      </c>
      <c r="AE4664">
        <v>-0.18499760000000001</v>
      </c>
      <c r="AF4664">
        <v>-0.273689443996674</v>
      </c>
      <c r="AG4664">
        <v>9.0148450000000005E-3</v>
      </c>
      <c r="AH4664">
        <v>2.99471434301448</v>
      </c>
      <c r="AI4664">
        <v>89.828241574833797</v>
      </c>
      <c r="AJ4664">
        <v>95.221803367172498</v>
      </c>
      <c r="AK4664">
        <v>3.00720820287559</v>
      </c>
    </row>
    <row r="4665" spans="1:37" x14ac:dyDescent="0.2">
      <c r="A4665" t="str">
        <f>"20200111155644466"</f>
        <v>20200111155644466</v>
      </c>
      <c r="B4665" t="str">
        <f>"1578729404457568"</f>
        <v>1578729404457568</v>
      </c>
      <c r="C4665" t="s">
        <v>37</v>
      </c>
      <c r="D4665">
        <v>4.9997530000000001</v>
      </c>
      <c r="E4665">
        <v>0.47864259999999997</v>
      </c>
      <c r="F4665" t="s">
        <v>48</v>
      </c>
      <c r="G4665">
        <v>0</v>
      </c>
      <c r="H4665">
        <v>0</v>
      </c>
      <c r="I4665">
        <v>0</v>
      </c>
      <c r="J4665">
        <v>-328.46519999999998</v>
      </c>
      <c r="K4665">
        <v>1.1039299999999901</v>
      </c>
      <c r="L4665">
        <v>142.19899999999899</v>
      </c>
      <c r="M4665">
        <v>-0.99959229999999999</v>
      </c>
      <c r="N4665">
        <v>0</v>
      </c>
      <c r="O4665">
        <v>2.852932E-2</v>
      </c>
      <c r="P4665">
        <v>-0.99916640000000001</v>
      </c>
      <c r="Q4665">
        <v>4.0826340000000003E-2</v>
      </c>
      <c r="R4665">
        <v>-1.860713E-4</v>
      </c>
      <c r="S4665">
        <v>-3.0019840000000002</v>
      </c>
      <c r="T4665">
        <v>7.0607659999999996E-3</v>
      </c>
      <c r="U4665">
        <v>-0.17700199999999999</v>
      </c>
      <c r="V4665">
        <v>-2.8772840000000001E-2</v>
      </c>
      <c r="W4665">
        <v>4.199493E-2</v>
      </c>
      <c r="X4665">
        <v>0.99870340000000002</v>
      </c>
      <c r="Y4665">
        <v>-8.7315039999999997E-2</v>
      </c>
      <c r="Z4665">
        <v>1.6964559999999999E-4</v>
      </c>
      <c r="AA4665">
        <v>0.99618069999999903</v>
      </c>
      <c r="AB4665">
        <v>36</v>
      </c>
      <c r="AC4665">
        <v>-3.0019840000000002</v>
      </c>
      <c r="AD4665">
        <v>7.0607659999999996E-3</v>
      </c>
      <c r="AE4665">
        <v>-0.17700199999999999</v>
      </c>
      <c r="AF4665">
        <v>-0.26257312312461201</v>
      </c>
      <c r="AG4665">
        <v>7.0607659999999996E-3</v>
      </c>
      <c r="AH4665">
        <v>2.9956957941793898</v>
      </c>
      <c r="AI4665">
        <v>89.865471569472703</v>
      </c>
      <c r="AJ4665">
        <v>95.009180893546699</v>
      </c>
      <c r="AK4665">
        <v>3.00718935065087</v>
      </c>
    </row>
    <row r="4666" spans="1:37" x14ac:dyDescent="0.2">
      <c r="A4666" t="str">
        <f>"20200111155644488"</f>
        <v>20200111155644488</v>
      </c>
      <c r="B4666" t="str">
        <f>"1578729404477088"</f>
        <v>1578729404477088</v>
      </c>
      <c r="C4666" t="s">
        <v>37</v>
      </c>
      <c r="D4666">
        <v>5.0117289999999999</v>
      </c>
      <c r="E4666">
        <v>0.47852990000000001</v>
      </c>
      <c r="F4666" t="s">
        <v>48</v>
      </c>
      <c r="G4666">
        <v>0</v>
      </c>
      <c r="H4666">
        <v>0</v>
      </c>
      <c r="I4666">
        <v>0</v>
      </c>
      <c r="J4666">
        <v>-328.82769999999999</v>
      </c>
      <c r="K4666">
        <v>1.104063</v>
      </c>
      <c r="L4666">
        <v>142.20849999999999</v>
      </c>
      <c r="M4666">
        <v>-0.99962640000000003</v>
      </c>
      <c r="N4666">
        <v>0</v>
      </c>
      <c r="O4666">
        <v>2.7306899999999999E-2</v>
      </c>
      <c r="P4666">
        <v>-0.99909110000000001</v>
      </c>
      <c r="Q4666">
        <v>4.2558099999999897E-2</v>
      </c>
      <c r="R4666">
        <v>-2.4531379999999901E-3</v>
      </c>
      <c r="S4666">
        <v>-3.00116</v>
      </c>
      <c r="T4666">
        <v>3.266442E-2</v>
      </c>
      <c r="U4666">
        <v>-0.1753082</v>
      </c>
      <c r="V4666">
        <v>-2.9833510000000001E-2</v>
      </c>
      <c r="W4666">
        <v>4.3732819999999999E-2</v>
      </c>
      <c r="X4666">
        <v>0.99859769999999903</v>
      </c>
      <c r="Y4666">
        <v>-8.5546129999999998E-2</v>
      </c>
      <c r="Z4666">
        <v>7.6210509999999896E-4</v>
      </c>
      <c r="AA4666">
        <v>0.99633389999999999</v>
      </c>
      <c r="AB4666">
        <v>36</v>
      </c>
      <c r="AC4666">
        <v>-3.00116</v>
      </c>
      <c r="AD4666">
        <v>3.266442E-2</v>
      </c>
      <c r="AE4666">
        <v>-0.1753082</v>
      </c>
      <c r="AF4666">
        <v>-0.25716489992640501</v>
      </c>
      <c r="AG4666">
        <v>3.266442E-2</v>
      </c>
      <c r="AH4666">
        <v>2.99490016093926</v>
      </c>
      <c r="AI4666">
        <v>89.3774088621457</v>
      </c>
      <c r="AJ4666">
        <v>94.907812741111997</v>
      </c>
      <c r="AK4666">
        <v>3.00609842222141</v>
      </c>
    </row>
    <row r="4667" spans="1:37" x14ac:dyDescent="0.2">
      <c r="A4667" t="str">
        <f>"20200111155644512"</f>
        <v>20200111155644512</v>
      </c>
      <c r="B4667" t="str">
        <f>"1578729404507344"</f>
        <v>1578729404507344</v>
      </c>
      <c r="C4667" t="s">
        <v>37</v>
      </c>
      <c r="D4667">
        <v>4.915254</v>
      </c>
      <c r="E4667">
        <v>0.4785334</v>
      </c>
      <c r="F4667" t="s">
        <v>48</v>
      </c>
      <c r="G4667">
        <v>0</v>
      </c>
      <c r="H4667">
        <v>0</v>
      </c>
      <c r="I4667">
        <v>0</v>
      </c>
      <c r="J4667">
        <v>-329.20760000000001</v>
      </c>
      <c r="K4667">
        <v>1.104212</v>
      </c>
      <c r="L4667">
        <v>142.21780000000001</v>
      </c>
      <c r="M4667">
        <v>-0.99966489999999997</v>
      </c>
      <c r="N4667">
        <v>0</v>
      </c>
      <c r="O4667">
        <v>2.5853609999999999E-2</v>
      </c>
      <c r="P4667">
        <v>-0.99905469999999896</v>
      </c>
      <c r="Q4667">
        <v>4.3025630000000002E-2</v>
      </c>
      <c r="R4667">
        <v>-6.2357819999999996E-3</v>
      </c>
      <c r="S4667">
        <v>-3.0009769999999998</v>
      </c>
      <c r="T4667">
        <v>2.9916169999999999E-2</v>
      </c>
      <c r="U4667">
        <v>-0.1836853</v>
      </c>
      <c r="V4667">
        <v>-3.217979E-2</v>
      </c>
      <c r="W4667">
        <v>4.4206339999999997E-2</v>
      </c>
      <c r="X4667">
        <v>0.99850399999999995</v>
      </c>
      <c r="Y4667">
        <v>-8.6873519999999996E-2</v>
      </c>
      <c r="Z4667">
        <v>6.9010939999999998E-4</v>
      </c>
      <c r="AA4667">
        <v>0.99621909999999902</v>
      </c>
      <c r="AB4667">
        <v>37</v>
      </c>
      <c r="AC4667">
        <v>-3.0009769999999998</v>
      </c>
      <c r="AD4667">
        <v>2.9916169999999999E-2</v>
      </c>
      <c r="AE4667">
        <v>-0.1836853</v>
      </c>
      <c r="AF4667">
        <v>-0.26118419639304202</v>
      </c>
      <c r="AG4667">
        <v>2.9916169999999999E-2</v>
      </c>
      <c r="AH4667">
        <v>2.9949284416918198</v>
      </c>
      <c r="AI4667">
        <v>89.429858569445798</v>
      </c>
      <c r="AJ4667">
        <v>94.984087954831196</v>
      </c>
      <c r="AK4667">
        <v>3.0064445001575399</v>
      </c>
    </row>
    <row r="4668" spans="1:37" x14ac:dyDescent="0.2">
      <c r="A4668" t="str">
        <f>"20200111155644533"</f>
        <v>20200111155644533</v>
      </c>
      <c r="B4668" t="str">
        <f>"1578729404527841"</f>
        <v>1578729404527841</v>
      </c>
      <c r="C4668" t="s">
        <v>37</v>
      </c>
      <c r="D4668">
        <v>4.9975690000000004</v>
      </c>
      <c r="E4668">
        <v>0.4782303</v>
      </c>
      <c r="F4668" t="s">
        <v>48</v>
      </c>
      <c r="G4668">
        <v>0</v>
      </c>
      <c r="H4668">
        <v>0</v>
      </c>
      <c r="I4668">
        <v>0</v>
      </c>
      <c r="J4668">
        <v>-329.57479999999998</v>
      </c>
      <c r="K4668">
        <v>1.104358</v>
      </c>
      <c r="L4668">
        <v>142.2261</v>
      </c>
      <c r="M4668">
        <v>-0.99970409999999899</v>
      </c>
      <c r="N4668">
        <v>0</v>
      </c>
      <c r="O4668">
        <v>2.4293260000000001E-2</v>
      </c>
      <c r="P4668">
        <v>-0.99901620000000002</v>
      </c>
      <c r="Q4668">
        <v>4.3122529999999999E-2</v>
      </c>
      <c r="R4668">
        <v>-1.036801E-2</v>
      </c>
      <c r="S4668">
        <v>-3.00116</v>
      </c>
      <c r="T4668">
        <v>1.0672330000000001E-2</v>
      </c>
      <c r="U4668">
        <v>-0.19606019999999999</v>
      </c>
      <c r="V4668">
        <v>-3.476725E-2</v>
      </c>
      <c r="W4668">
        <v>4.4310189999999999E-2</v>
      </c>
      <c r="X4668">
        <v>0.99841270000000004</v>
      </c>
      <c r="Y4668">
        <v>-8.9410829999999997E-2</v>
      </c>
      <c r="Z4668">
        <v>2.451129E-4</v>
      </c>
      <c r="AA4668">
        <v>0.99599479999999996</v>
      </c>
      <c r="AB4668">
        <v>37</v>
      </c>
      <c r="AC4668">
        <v>-3.00116</v>
      </c>
      <c r="AD4668">
        <v>1.0672330000000001E-2</v>
      </c>
      <c r="AE4668">
        <v>-0.19606019999999999</v>
      </c>
      <c r="AF4668">
        <v>-0.268906968323884</v>
      </c>
      <c r="AG4668">
        <v>1.0672330000000001E-2</v>
      </c>
      <c r="AH4668">
        <v>2.9954736181542501</v>
      </c>
      <c r="AI4668">
        <v>89.796683973923194</v>
      </c>
      <c r="AJ4668">
        <v>95.1297547915389</v>
      </c>
      <c r="AK4668">
        <v>3.00753837104349</v>
      </c>
    </row>
    <row r="4669" spans="1:37" x14ac:dyDescent="0.2">
      <c r="A4669" t="str">
        <f>"20200111155644555"</f>
        <v>20200111155644555</v>
      </c>
      <c r="B4669" t="str">
        <f>"1578729404547360"</f>
        <v>1578729404547360</v>
      </c>
      <c r="C4669" t="s">
        <v>37</v>
      </c>
      <c r="D4669">
        <v>4.9943989999999996</v>
      </c>
      <c r="E4669">
        <v>0.47810249999999999</v>
      </c>
      <c r="F4669" t="s">
        <v>48</v>
      </c>
      <c r="G4669">
        <v>0</v>
      </c>
      <c r="H4669">
        <v>0</v>
      </c>
      <c r="I4669">
        <v>0</v>
      </c>
      <c r="J4669">
        <v>-329.9298</v>
      </c>
      <c r="K4669">
        <v>1.1044959999999999</v>
      </c>
      <c r="L4669">
        <v>142.2336</v>
      </c>
      <c r="M4669">
        <v>-0.99974259999999904</v>
      </c>
      <c r="N4669">
        <v>0</v>
      </c>
      <c r="O4669">
        <v>2.26541E-2</v>
      </c>
      <c r="P4669">
        <v>-0.9989654</v>
      </c>
      <c r="Q4669">
        <v>4.306538E-2</v>
      </c>
      <c r="R4669">
        <v>-1.461747E-2</v>
      </c>
      <c r="S4669">
        <v>-3.0007929999999998</v>
      </c>
      <c r="T4669">
        <v>-5.4252149999999997E-4</v>
      </c>
      <c r="U4669">
        <v>-0.21159359999999999</v>
      </c>
      <c r="V4669">
        <v>-3.7392790000000002E-2</v>
      </c>
      <c r="W4669">
        <v>4.4261120000000001E-2</v>
      </c>
      <c r="X4669">
        <v>0.99831999999999999</v>
      </c>
      <c r="Y4669">
        <v>-9.291787E-2</v>
      </c>
      <c r="Z4669" s="1">
        <v>-1.2480190000000001E-5</v>
      </c>
      <c r="AA4669">
        <v>0.99567380000000005</v>
      </c>
      <c r="AB4669">
        <v>37</v>
      </c>
      <c r="AC4669">
        <v>-3.0007929999999998</v>
      </c>
      <c r="AD4669">
        <v>-5.4252149999999997E-4</v>
      </c>
      <c r="AE4669">
        <v>-0.21159359999999999</v>
      </c>
      <c r="AF4669">
        <v>-0.27951960462092901</v>
      </c>
      <c r="AG4669">
        <v>-5.4252149999999997E-4</v>
      </c>
      <c r="AH4669">
        <v>2.99522932050008</v>
      </c>
      <c r="AI4669">
        <v>90.010333003395402</v>
      </c>
      <c r="AJ4669">
        <v>95.331492644903506</v>
      </c>
      <c r="AK4669">
        <v>3.0082437045692298</v>
      </c>
    </row>
    <row r="4670" spans="1:37" x14ac:dyDescent="0.2">
      <c r="A4670" t="str">
        <f>"20200111155644577"</f>
        <v>20200111155644577</v>
      </c>
      <c r="B4670" t="str">
        <f>"1578729404567856"</f>
        <v>1578729404567856</v>
      </c>
      <c r="C4670" t="s">
        <v>37</v>
      </c>
      <c r="D4670">
        <v>5.0292839999999996</v>
      </c>
      <c r="E4670">
        <v>0.47776279999999999</v>
      </c>
      <c r="F4670" t="s">
        <v>48</v>
      </c>
      <c r="G4670">
        <v>0</v>
      </c>
      <c r="H4670">
        <v>0</v>
      </c>
      <c r="I4670">
        <v>0</v>
      </c>
      <c r="J4670">
        <v>-330.3048</v>
      </c>
      <c r="K4670">
        <v>1.1046229999999999</v>
      </c>
      <c r="L4670">
        <v>142.2407</v>
      </c>
      <c r="M4670">
        <v>-0.99978269999999902</v>
      </c>
      <c r="N4670">
        <v>0</v>
      </c>
      <c r="O4670">
        <v>2.0808529999999999E-2</v>
      </c>
      <c r="P4670">
        <v>-0.99889380000000005</v>
      </c>
      <c r="Q4670">
        <v>4.3082499999999899E-2</v>
      </c>
      <c r="R4670">
        <v>-1.8843229999999999E-2</v>
      </c>
      <c r="S4670">
        <v>-3.0002749999999998</v>
      </c>
      <c r="T4670">
        <v>-1.0718699999999999E-2</v>
      </c>
      <c r="U4670">
        <v>-0.22605900000000001</v>
      </c>
      <c r="V4670">
        <v>-3.9787580000000003E-2</v>
      </c>
      <c r="W4670">
        <v>4.4289229999999999E-2</v>
      </c>
      <c r="X4670">
        <v>0.99822610000000001</v>
      </c>
      <c r="Y4670">
        <v>-9.5865880000000001E-2</v>
      </c>
      <c r="Z4670">
        <v>-2.4524630000000001E-4</v>
      </c>
      <c r="AA4670">
        <v>0.99539419999999901</v>
      </c>
      <c r="AB4670">
        <v>37</v>
      </c>
      <c r="AC4670">
        <v>-3.0002749999999998</v>
      </c>
      <c r="AD4670">
        <v>-1.0718699999999999E-2</v>
      </c>
      <c r="AE4670">
        <v>-0.22605900000000001</v>
      </c>
      <c r="AF4670">
        <v>-0.288437753772123</v>
      </c>
      <c r="AG4670">
        <v>-1.0718699999999999E-2</v>
      </c>
      <c r="AH4670">
        <v>2.9948834088524601</v>
      </c>
      <c r="AI4670">
        <v>90.204116490783505</v>
      </c>
      <c r="AJ4670">
        <v>95.501199516541803</v>
      </c>
      <c r="AK4670">
        <v>3.0087601866799698</v>
      </c>
    </row>
    <row r="4671" spans="1:37" x14ac:dyDescent="0.2">
      <c r="A4671" t="str">
        <f>"20200111155644600"</f>
        <v>20200111155644600</v>
      </c>
      <c r="B4671" t="str">
        <f>"1578729404587376"</f>
        <v>1578729404587376</v>
      </c>
      <c r="C4671" t="s">
        <v>37</v>
      </c>
      <c r="D4671">
        <v>4.9861829999999996</v>
      </c>
      <c r="E4671">
        <v>0.47747679999999998</v>
      </c>
      <c r="F4671" t="s">
        <v>47</v>
      </c>
      <c r="G4671">
        <v>-500.44810000000001</v>
      </c>
      <c r="H4671">
        <v>0.36673059999999902</v>
      </c>
      <c r="I4671">
        <v>128.52979999999999</v>
      </c>
      <c r="J4671">
        <v>-330.67559999999997</v>
      </c>
      <c r="K4671">
        <v>1.10473</v>
      </c>
      <c r="L4671">
        <v>142.24700000000001</v>
      </c>
      <c r="M4671">
        <v>-0.9998205</v>
      </c>
      <c r="N4671">
        <v>0</v>
      </c>
      <c r="O4671">
        <v>1.8889989999999999E-2</v>
      </c>
      <c r="P4671">
        <v>-0.9988129</v>
      </c>
      <c r="Q4671">
        <v>4.2940430000000002E-2</v>
      </c>
      <c r="R4671">
        <v>-2.2992720000000001E-2</v>
      </c>
      <c r="S4671">
        <v>-2.9993590000000001</v>
      </c>
      <c r="T4671">
        <v>-1.300728E-2</v>
      </c>
      <c r="U4671">
        <v>-0.2416992</v>
      </c>
      <c r="V4671">
        <v>-4.2031060000000002E-2</v>
      </c>
      <c r="W4671">
        <v>4.4159660000000003E-2</v>
      </c>
      <c r="X4671">
        <v>0.99813989999999997</v>
      </c>
      <c r="Y4671">
        <v>-9.9136790000000002E-2</v>
      </c>
      <c r="Z4671">
        <v>-2.9641279999999899E-4</v>
      </c>
      <c r="AA4671">
        <v>0.99507380000000001</v>
      </c>
      <c r="AB4671">
        <v>37</v>
      </c>
      <c r="AC4671">
        <v>-169.77250000000001</v>
      </c>
      <c r="AD4671">
        <v>-0.73799939999999997</v>
      </c>
      <c r="AE4671">
        <v>-13.7172</v>
      </c>
      <c r="AF4671">
        <v>-16.921438983698199</v>
      </c>
      <c r="AG4671">
        <v>-0.73799939999999997</v>
      </c>
      <c r="AH4671">
        <v>169.47990730247699</v>
      </c>
      <c r="AI4671">
        <v>90.248258284476194</v>
      </c>
      <c r="AJ4671">
        <v>95.701705570907293</v>
      </c>
      <c r="AK4671">
        <v>170.324157768796</v>
      </c>
    </row>
    <row r="4672" spans="1:37" x14ac:dyDescent="0.2">
      <c r="A4672" t="str">
        <f>"20200111155644622"</f>
        <v>20200111155644622</v>
      </c>
      <c r="B4672" t="str">
        <f>"1578729404617633"</f>
        <v>1578729404617633</v>
      </c>
      <c r="C4672" t="s">
        <v>37</v>
      </c>
      <c r="D4672">
        <v>4.9975059999999996</v>
      </c>
      <c r="E4672">
        <v>0.47725590000000001</v>
      </c>
      <c r="F4672" t="s">
        <v>39</v>
      </c>
      <c r="G4672">
        <v>-548.19349999999997</v>
      </c>
      <c r="H4672">
        <v>-0.05</v>
      </c>
      <c r="I4672">
        <v>123.63809999999999</v>
      </c>
      <c r="J4672">
        <v>-331.05790000000002</v>
      </c>
      <c r="K4672">
        <v>1.104814</v>
      </c>
      <c r="L4672">
        <v>142.2527</v>
      </c>
      <c r="M4672">
        <v>-0.9998572</v>
      </c>
      <c r="N4672">
        <v>0</v>
      </c>
      <c r="O4672">
        <v>1.684424E-2</v>
      </c>
      <c r="P4672">
        <v>-0.99878619999999996</v>
      </c>
      <c r="Q4672">
        <v>4.1828789999999998E-2</v>
      </c>
      <c r="R4672">
        <v>-2.6017350000000002E-2</v>
      </c>
      <c r="S4672">
        <v>-2.998383</v>
      </c>
      <c r="T4672">
        <v>-1.5917420000000002E-2</v>
      </c>
      <c r="U4672">
        <v>-0.25651550000000001</v>
      </c>
      <c r="V4672">
        <v>-4.301878E-2</v>
      </c>
      <c r="W4672">
        <v>4.3068740000000001E-2</v>
      </c>
      <c r="X4672">
        <v>0.99814550000000002</v>
      </c>
      <c r="Y4672">
        <v>-0.10200910000000001</v>
      </c>
      <c r="Z4672">
        <v>-3.595405E-4</v>
      </c>
      <c r="AA4672">
        <v>0.99478339999999998</v>
      </c>
      <c r="AB4672">
        <v>38</v>
      </c>
      <c r="AC4672">
        <v>-217.13559999999899</v>
      </c>
      <c r="AD4672">
        <v>-1.154814</v>
      </c>
      <c r="AE4672">
        <v>-18.614599999999999</v>
      </c>
      <c r="AF4672">
        <v>-22.2688213198726</v>
      </c>
      <c r="AG4672">
        <v>-1.154814</v>
      </c>
      <c r="AH4672">
        <v>216.78515779252101</v>
      </c>
      <c r="AI4672">
        <v>90.303613953297202</v>
      </c>
      <c r="AJ4672">
        <v>95.865022703154906</v>
      </c>
      <c r="AK4672">
        <v>217.928976130938</v>
      </c>
    </row>
    <row r="4673" spans="1:37" x14ac:dyDescent="0.2">
      <c r="A4673" t="str">
        <f>"20200111155644644"</f>
        <v>20200111155644644</v>
      </c>
      <c r="B4673" t="str">
        <f>"1578729404637152"</f>
        <v>1578729404637152</v>
      </c>
      <c r="C4673" t="s">
        <v>37</v>
      </c>
      <c r="D4673">
        <v>4.9623299999999997</v>
      </c>
      <c r="E4673">
        <v>0.4771975</v>
      </c>
      <c r="F4673" t="s">
        <v>75</v>
      </c>
      <c r="G4673">
        <v>-478.81869999999998</v>
      </c>
      <c r="H4673">
        <v>7.9986559999999998E-2</v>
      </c>
      <c r="I4673">
        <v>129.0718</v>
      </c>
      <c r="J4673">
        <v>-331.43439999999998</v>
      </c>
      <c r="K4673">
        <v>1.1048849999999999</v>
      </c>
      <c r="L4673">
        <v>142.2576</v>
      </c>
      <c r="M4673">
        <v>-0.99988969999999899</v>
      </c>
      <c r="N4673">
        <v>0</v>
      </c>
      <c r="O4673">
        <v>1.478992E-2</v>
      </c>
      <c r="P4673">
        <v>-0.99878099999999903</v>
      </c>
      <c r="Q4673">
        <v>4.0870129999999998E-2</v>
      </c>
      <c r="R4673">
        <v>-2.7682849999999998E-2</v>
      </c>
      <c r="S4673">
        <v>-2.9975589999999999</v>
      </c>
      <c r="T4673">
        <v>-2.0790220000000002E-2</v>
      </c>
      <c r="U4673">
        <v>-0.26739499999999999</v>
      </c>
      <c r="V4673">
        <v>-4.2638280000000001E-2</v>
      </c>
      <c r="W4673">
        <v>4.2137840000000003E-2</v>
      </c>
      <c r="X4673">
        <v>0.99820149999999996</v>
      </c>
      <c r="Y4673">
        <v>-0.10357039999999899</v>
      </c>
      <c r="Z4673">
        <v>-4.6083970000000002E-4</v>
      </c>
      <c r="AA4673">
        <v>0.99462209999999995</v>
      </c>
      <c r="AB4673">
        <v>38</v>
      </c>
      <c r="AC4673">
        <v>-147.3843</v>
      </c>
      <c r="AD4673">
        <v>-1.0248984400000001</v>
      </c>
      <c r="AE4673">
        <v>-13.1858</v>
      </c>
      <c r="AF4673">
        <v>-15.363424764741101</v>
      </c>
      <c r="AG4673">
        <v>-1.0248984400000001</v>
      </c>
      <c r="AH4673">
        <v>147.16610243248499</v>
      </c>
      <c r="AI4673">
        <v>90.396857862186295</v>
      </c>
      <c r="AJ4673">
        <v>95.959812365267098</v>
      </c>
      <c r="AK4673">
        <v>147.969412185366</v>
      </c>
    </row>
    <row r="4674" spans="1:37" x14ac:dyDescent="0.2">
      <c r="A4674" t="str">
        <f>"20200111155644666"</f>
        <v>20200111155644666</v>
      </c>
      <c r="B4674" t="str">
        <f>"1578729404657648"</f>
        <v>1578729404657648</v>
      </c>
      <c r="C4674" t="s">
        <v>37</v>
      </c>
      <c r="D4674">
        <v>4.9853050000000003</v>
      </c>
      <c r="E4674">
        <v>0.47730820000000002</v>
      </c>
      <c r="F4674" t="s">
        <v>38</v>
      </c>
      <c r="G4674">
        <v>-462.71199999999999</v>
      </c>
      <c r="H4674" s="1">
        <v>-4.3994050000000001E-6</v>
      </c>
      <c r="I4674">
        <v>130.2928</v>
      </c>
      <c r="J4674">
        <v>-331.81400000000002</v>
      </c>
      <c r="K4674">
        <v>1.1049469999999999</v>
      </c>
      <c r="L4674">
        <v>142.26169999999999</v>
      </c>
      <c r="M4674">
        <v>-0.99991839999999999</v>
      </c>
      <c r="N4674">
        <v>0</v>
      </c>
      <c r="O4674">
        <v>1.269442E-2</v>
      </c>
      <c r="P4674">
        <v>-0.99883230000000001</v>
      </c>
      <c r="Q4674">
        <v>3.9297390000000001E-2</v>
      </c>
      <c r="R4674">
        <v>-2.8106630000000001E-2</v>
      </c>
      <c r="S4674">
        <v>-2.997131</v>
      </c>
      <c r="T4674">
        <v>-2.522516E-2</v>
      </c>
      <c r="U4674">
        <v>-0.27316279999999998</v>
      </c>
      <c r="V4674">
        <v>-4.0970619999999999E-2</v>
      </c>
      <c r="W4674">
        <v>4.0602319999999997E-2</v>
      </c>
      <c r="X4674">
        <v>0.99833510000000003</v>
      </c>
      <c r="Y4674">
        <v>-0.103395899999999</v>
      </c>
      <c r="Z4674">
        <v>-5.4083699999999996E-4</v>
      </c>
      <c r="AA4674">
        <v>0.99464010000000003</v>
      </c>
      <c r="AB4674">
        <v>38</v>
      </c>
      <c r="AC4674">
        <v>-130.897999999999</v>
      </c>
      <c r="AD4674">
        <v>-1.104951399405</v>
      </c>
      <c r="AE4674">
        <v>-11.9688999999999</v>
      </c>
      <c r="AF4674">
        <v>-13.6286483949262</v>
      </c>
      <c r="AG4674">
        <v>-1.104951399405</v>
      </c>
      <c r="AH4674">
        <v>130.726276386009</v>
      </c>
      <c r="AI4674">
        <v>90.481665233685206</v>
      </c>
      <c r="AJ4674">
        <v>95.9517746169155</v>
      </c>
      <c r="AK4674">
        <v>131.43941689013599</v>
      </c>
    </row>
    <row r="4675" spans="1:37" x14ac:dyDescent="0.2">
      <c r="A4675" t="str">
        <f>"20200111155644688"</f>
        <v>20200111155644688</v>
      </c>
      <c r="B4675" t="str">
        <f>"1578729404677168"</f>
        <v>1578729404677168</v>
      </c>
      <c r="C4675" t="s">
        <v>37</v>
      </c>
      <c r="D4675">
        <v>5.3570570000000002</v>
      </c>
      <c r="E4675">
        <v>0.47743389999999902</v>
      </c>
      <c r="F4675" t="s">
        <v>72</v>
      </c>
      <c r="G4675">
        <v>-435.3021</v>
      </c>
      <c r="H4675" s="1">
        <v>-6.4247060000000002E-6</v>
      </c>
      <c r="I4675">
        <v>132.80250000000001</v>
      </c>
      <c r="J4675">
        <v>-332.1902</v>
      </c>
      <c r="K4675">
        <v>1.105</v>
      </c>
      <c r="L4675">
        <v>142.26499999999999</v>
      </c>
      <c r="M4675">
        <v>-0.99994259999999902</v>
      </c>
      <c r="N4675">
        <v>0</v>
      </c>
      <c r="O4675">
        <v>1.060505E-2</v>
      </c>
      <c r="P4675">
        <v>-0.99890709999999905</v>
      </c>
      <c r="Q4675">
        <v>3.7459970000000002E-2</v>
      </c>
      <c r="R4675">
        <v>-2.7955879999999999E-2</v>
      </c>
      <c r="S4675">
        <v>-2.9970400000000001</v>
      </c>
      <c r="T4675">
        <v>-3.1999710000000001E-2</v>
      </c>
      <c r="U4675">
        <v>-0.27394099999999999</v>
      </c>
      <c r="V4675">
        <v>-3.873207E-2</v>
      </c>
      <c r="W4675">
        <v>3.880654E-2</v>
      </c>
      <c r="X4675">
        <v>0.99849580000000004</v>
      </c>
      <c r="Y4675">
        <v>-0.101574</v>
      </c>
      <c r="Z4675">
        <v>-6.5411949999999897E-4</v>
      </c>
      <c r="AA4675">
        <v>0.99482769999999998</v>
      </c>
      <c r="AB4675">
        <v>38</v>
      </c>
      <c r="AC4675">
        <v>-103.11190000000001</v>
      </c>
      <c r="AD4675">
        <v>-1.1050064247060001</v>
      </c>
      <c r="AE4675">
        <v>-9.4624999999999702</v>
      </c>
      <c r="AF4675">
        <v>-10.554274019915001</v>
      </c>
      <c r="AG4675">
        <v>-1.1050064247060001</v>
      </c>
      <c r="AH4675">
        <v>102.99402150848</v>
      </c>
      <c r="AI4675">
        <v>90.611491670350404</v>
      </c>
      <c r="AJ4675">
        <v>95.850940379701598</v>
      </c>
      <c r="AK4675">
        <v>103.539278565071</v>
      </c>
    </row>
    <row r="4676" spans="1:37" x14ac:dyDescent="0.2">
      <c r="A4676" t="str">
        <f>"20200111155644733"</f>
        <v>20200111155644733</v>
      </c>
      <c r="B4676" t="str">
        <f>"1578729404727921"</f>
        <v>1578729404727921</v>
      </c>
      <c r="C4676" t="s">
        <v>37</v>
      </c>
      <c r="D4676">
        <v>4.9716059999999898</v>
      </c>
      <c r="E4676">
        <v>0.52186270000000001</v>
      </c>
      <c r="F4676" t="s">
        <v>72</v>
      </c>
      <c r="G4676">
        <v>-418.93720000000002</v>
      </c>
      <c r="H4676" s="1">
        <v>-7.7226800000000001E-6</v>
      </c>
      <c r="I4676">
        <v>134.37360000000001</v>
      </c>
      <c r="J4676">
        <v>-332.9699</v>
      </c>
      <c r="K4676">
        <v>1.105083</v>
      </c>
      <c r="L4676">
        <v>142.26929999999999</v>
      </c>
      <c r="M4676">
        <v>-0.99997909999999901</v>
      </c>
      <c r="N4676">
        <v>0</v>
      </c>
      <c r="O4676">
        <v>6.2605619999999999E-3</v>
      </c>
      <c r="P4676">
        <v>-0.9989825</v>
      </c>
      <c r="Q4676">
        <v>3.4869270000000001E-2</v>
      </c>
      <c r="R4676">
        <v>-2.8601149999999999E-2</v>
      </c>
      <c r="S4676">
        <v>-2.9970699999999999</v>
      </c>
      <c r="T4676">
        <v>-3.8177490000000001E-2</v>
      </c>
      <c r="U4676">
        <v>-0.272644</v>
      </c>
      <c r="V4676">
        <v>-3.503614E-2</v>
      </c>
      <c r="W4676">
        <v>3.6304429999999999E-2</v>
      </c>
      <c r="X4676">
        <v>0.99872640000000001</v>
      </c>
      <c r="Y4676">
        <v>-9.682085E-2</v>
      </c>
      <c r="Z4676">
        <v>-6.9495639999999997E-4</v>
      </c>
      <c r="AA4676">
        <v>0.99530160000000001</v>
      </c>
      <c r="AB4676">
        <v>38</v>
      </c>
      <c r="AC4676">
        <v>-85.967299999999994</v>
      </c>
      <c r="AD4676">
        <v>-1.10509072268</v>
      </c>
      <c r="AE4676">
        <v>-7.8956999999999704</v>
      </c>
      <c r="AF4676">
        <v>-8.4323678223216607</v>
      </c>
      <c r="AG4676">
        <v>-1.10509072268</v>
      </c>
      <c r="AH4676">
        <v>85.902107482229894</v>
      </c>
      <c r="AI4676">
        <v>90.7335177552646</v>
      </c>
      <c r="AJ4676">
        <v>95.606337127270905</v>
      </c>
      <c r="AK4676">
        <v>86.322060462461494</v>
      </c>
    </row>
    <row r="4677" spans="1:37" x14ac:dyDescent="0.2">
      <c r="A4677" t="str">
        <f>"20200111155644755"</f>
        <v>20200111155644755</v>
      </c>
      <c r="B4677" t="str">
        <f>"1578729404747439"</f>
        <v>1578729404747439</v>
      </c>
      <c r="C4677" t="s">
        <v>37</v>
      </c>
      <c r="D4677">
        <v>4.9237120000000001</v>
      </c>
      <c r="E4677">
        <v>0.52707329999999997</v>
      </c>
      <c r="F4677" t="s">
        <v>38</v>
      </c>
      <c r="G4677">
        <v>-391.84829999999999</v>
      </c>
      <c r="H4677" s="1">
        <v>-4.3944869999999901E-6</v>
      </c>
      <c r="I4677">
        <v>143.82990000000001</v>
      </c>
      <c r="J4677">
        <v>-333.34750000000003</v>
      </c>
      <c r="K4677">
        <v>1.1051139999999999</v>
      </c>
      <c r="L4677">
        <v>142.27019999999999</v>
      </c>
      <c r="M4677">
        <v>-0.99999009999999999</v>
      </c>
      <c r="N4677">
        <v>0</v>
      </c>
      <c r="O4677">
        <v>4.1565070000000003E-3</v>
      </c>
      <c r="P4677">
        <v>-0.99897190000000002</v>
      </c>
      <c r="Q4677">
        <v>3.4057900000000002E-2</v>
      </c>
      <c r="R4677">
        <v>-2.9924530000000001E-2</v>
      </c>
      <c r="S4677">
        <v>-3.007263</v>
      </c>
      <c r="T4677">
        <v>-5.644333E-2</v>
      </c>
      <c r="U4677">
        <v>7.9711909999999997E-2</v>
      </c>
      <c r="V4677">
        <v>-3.4257959999999997E-2</v>
      </c>
      <c r="W4677">
        <v>3.5533410000000001E-2</v>
      </c>
      <c r="X4677">
        <v>0.99878109999999998</v>
      </c>
      <c r="Y4677">
        <v>2.233868E-2</v>
      </c>
      <c r="Z4677">
        <v>1.315903E-4</v>
      </c>
      <c r="AA4677">
        <v>0.99975040000000004</v>
      </c>
      <c r="AB4677">
        <v>39</v>
      </c>
      <c r="AC4677">
        <v>-58.500799999999899</v>
      </c>
      <c r="AD4677">
        <v>-1.105118394487</v>
      </c>
      <c r="AE4677">
        <v>1.5597000000000201</v>
      </c>
      <c r="AF4677">
        <v>1.31605792464017</v>
      </c>
      <c r="AG4677">
        <v>-1.105118394487</v>
      </c>
      <c r="AH4677">
        <v>58.485921287615</v>
      </c>
      <c r="AI4677">
        <v>91.082227407896397</v>
      </c>
      <c r="AJ4677">
        <v>88.710940343418599</v>
      </c>
      <c r="AK4677">
        <v>58.511163755200897</v>
      </c>
    </row>
    <row r="4678" spans="1:37" x14ac:dyDescent="0.2">
      <c r="A4678" t="str">
        <f>"20200111155644779"</f>
        <v>20200111155644779</v>
      </c>
      <c r="B4678" t="str">
        <f>"1578729404767936"</f>
        <v>1578729404767936</v>
      </c>
      <c r="C4678" t="s">
        <v>37</v>
      </c>
      <c r="D4678">
        <v>4.9410829999999999</v>
      </c>
      <c r="E4678">
        <v>0.52886499999999903</v>
      </c>
      <c r="F4678" t="s">
        <v>38</v>
      </c>
      <c r="G4678">
        <v>-378.851</v>
      </c>
      <c r="H4678" s="1">
        <v>-1.650864E-6</v>
      </c>
      <c r="I4678">
        <v>144.03469999999999</v>
      </c>
      <c r="J4678">
        <v>-333.74770000000001</v>
      </c>
      <c r="K4678">
        <v>1.1051469999999901</v>
      </c>
      <c r="L4678">
        <v>142.2704</v>
      </c>
      <c r="M4678">
        <v>-0.99999680000000002</v>
      </c>
      <c r="N4678">
        <v>0</v>
      </c>
      <c r="O4678">
        <v>1.9307459999999999E-3</v>
      </c>
      <c r="P4678">
        <v>-0.99893889999999996</v>
      </c>
      <c r="Q4678">
        <v>3.3104969999999997E-2</v>
      </c>
      <c r="R4678">
        <v>-3.2022479999999999E-2</v>
      </c>
      <c r="S4678">
        <v>-3.009064</v>
      </c>
      <c r="T4678">
        <v>-7.3079229999999995E-2</v>
      </c>
      <c r="U4678">
        <v>0.116684</v>
      </c>
      <c r="V4678">
        <v>-3.4130939999999999E-2</v>
      </c>
      <c r="W4678">
        <v>3.4621779999999998E-2</v>
      </c>
      <c r="X4678">
        <v>0.99881749999999903</v>
      </c>
      <c r="Y4678">
        <v>3.680874E-2</v>
      </c>
      <c r="Z4678">
        <v>3.9987559999999999E-4</v>
      </c>
      <c r="AA4678">
        <v>0.99932219999999905</v>
      </c>
      <c r="AB4678">
        <v>39</v>
      </c>
      <c r="AC4678">
        <v>-45.103299999999898</v>
      </c>
      <c r="AD4678">
        <v>-1.1051486508639901</v>
      </c>
      <c r="AE4678">
        <v>1.76429999999999</v>
      </c>
      <c r="AF4678">
        <v>1.6762087577831499</v>
      </c>
      <c r="AG4678">
        <v>-1.1051486508639901</v>
      </c>
      <c r="AH4678">
        <v>45.079598902447003</v>
      </c>
      <c r="AI4678">
        <v>91.403383624365901</v>
      </c>
      <c r="AJ4678">
        <v>87.870534233326097</v>
      </c>
      <c r="AK4678">
        <v>45.124286881297998</v>
      </c>
    </row>
    <row r="4679" spans="1:37" x14ac:dyDescent="0.2">
      <c r="A4679" t="str">
        <f>"20200111155644802"</f>
        <v>20200111155644802</v>
      </c>
      <c r="B4679" t="str">
        <f>"1578729404798192"</f>
        <v>1578729404798192</v>
      </c>
      <c r="C4679" t="s">
        <v>37</v>
      </c>
      <c r="D4679">
        <v>4.9108799999999997</v>
      </c>
      <c r="E4679">
        <v>0.53021589999999996</v>
      </c>
      <c r="F4679" t="s">
        <v>38</v>
      </c>
      <c r="G4679">
        <v>-376.46249999999998</v>
      </c>
      <c r="H4679" s="1">
        <v>-2.6773319999999998E-6</v>
      </c>
      <c r="I4679">
        <v>144.04150000000001</v>
      </c>
      <c r="J4679">
        <v>-334.1551</v>
      </c>
      <c r="K4679">
        <v>1.1051739999999901</v>
      </c>
      <c r="L4679">
        <v>142.26949999999999</v>
      </c>
      <c r="M4679">
        <v>-0.99999839999999995</v>
      </c>
      <c r="N4679">
        <v>0</v>
      </c>
      <c r="O4679">
        <v>-3.2196029999999998E-4</v>
      </c>
      <c r="P4679">
        <v>-0.99884099999999998</v>
      </c>
      <c r="Q4679">
        <v>3.2489619999999997E-2</v>
      </c>
      <c r="R4679">
        <v>-3.5511969999999997E-2</v>
      </c>
      <c r="S4679">
        <v>-3.0097659999999999</v>
      </c>
      <c r="T4679">
        <v>-7.7870969999999998E-2</v>
      </c>
      <c r="U4679">
        <v>0.1248016</v>
      </c>
      <c r="V4679">
        <v>-3.5369930000000001E-2</v>
      </c>
      <c r="W4679">
        <v>3.4041809999999999E-2</v>
      </c>
      <c r="X4679">
        <v>0.99879430000000002</v>
      </c>
      <c r="Y4679">
        <v>4.1737589999999998E-2</v>
      </c>
      <c r="Z4679">
        <v>5.4793650000000001E-4</v>
      </c>
      <c r="AA4679">
        <v>0.99912849999999997</v>
      </c>
      <c r="AB4679">
        <v>39</v>
      </c>
      <c r="AC4679">
        <v>-42.307399999999902</v>
      </c>
      <c r="AD4679">
        <v>-1.105176677332</v>
      </c>
      <c r="AE4679">
        <v>1.77200000000001</v>
      </c>
      <c r="AF4679">
        <v>1.78440570951707</v>
      </c>
      <c r="AG4679">
        <v>-1.105176677332</v>
      </c>
      <c r="AH4679">
        <v>42.2780278376122</v>
      </c>
      <c r="AI4679">
        <v>91.496078655301503</v>
      </c>
      <c r="AJ4679">
        <v>87.583182632404402</v>
      </c>
      <c r="AK4679">
        <v>42.330097531923897</v>
      </c>
    </row>
    <row r="4680" spans="1:37" x14ac:dyDescent="0.2">
      <c r="A4680" t="str">
        <f>"20200111155644824"</f>
        <v>20200111155644824</v>
      </c>
      <c r="B4680" t="str">
        <f>"1578729404817712"</f>
        <v>1578729404817712</v>
      </c>
      <c r="C4680" t="s">
        <v>37</v>
      </c>
      <c r="D4680">
        <v>4.9093989999999996</v>
      </c>
      <c r="E4680">
        <v>0.53096489999999996</v>
      </c>
      <c r="F4680" t="s">
        <v>38</v>
      </c>
      <c r="G4680">
        <v>-377.1241</v>
      </c>
      <c r="H4680" s="1">
        <v>-2.3982109999999998E-6</v>
      </c>
      <c r="I4680">
        <v>144.059</v>
      </c>
      <c r="J4680">
        <v>-334.54559999999998</v>
      </c>
      <c r="K4680">
        <v>1.105186</v>
      </c>
      <c r="L4680">
        <v>142.26779999999999</v>
      </c>
      <c r="M4680">
        <v>-0.99999539999999998</v>
      </c>
      <c r="N4680">
        <v>0</v>
      </c>
      <c r="O4680">
        <v>-2.4692849999999999E-3</v>
      </c>
      <c r="P4680">
        <v>-0.99869159999999901</v>
      </c>
      <c r="Q4680">
        <v>3.2406539999999998E-2</v>
      </c>
      <c r="R4680">
        <v>-3.9558160000000002E-2</v>
      </c>
      <c r="S4680">
        <v>-3.0104679999999999</v>
      </c>
      <c r="T4680">
        <v>-7.7430250000000006E-2</v>
      </c>
      <c r="U4680">
        <v>0.12538150000000001</v>
      </c>
      <c r="V4680">
        <v>-3.7273069999999998E-2</v>
      </c>
      <c r="W4680">
        <v>3.3990329999999999E-2</v>
      </c>
      <c r="X4680">
        <v>0.99872689999999997</v>
      </c>
      <c r="Y4680">
        <v>4.406409E-2</v>
      </c>
      <c r="Z4680">
        <v>6.2980640000000004E-4</v>
      </c>
      <c r="AA4680">
        <v>0.99902849999999999</v>
      </c>
      <c r="AB4680">
        <v>39</v>
      </c>
      <c r="AC4680">
        <v>-42.578499999999998</v>
      </c>
      <c r="AD4680">
        <v>-1.105188398211</v>
      </c>
      <c r="AE4680">
        <v>1.7911999999999999</v>
      </c>
      <c r="AF4680">
        <v>1.8950586336150399</v>
      </c>
      <c r="AG4680">
        <v>-1.105188398211</v>
      </c>
      <c r="AH4680">
        <v>42.545333373990999</v>
      </c>
      <c r="AI4680">
        <v>91.486548768620906</v>
      </c>
      <c r="AJ4680">
        <v>87.449611235692998</v>
      </c>
      <c r="AK4680">
        <v>42.6018553648126</v>
      </c>
    </row>
    <row r="4681" spans="1:37" x14ac:dyDescent="0.2">
      <c r="A4681" t="str">
        <f>"20200111155644846"</f>
        <v>20200111155644846</v>
      </c>
      <c r="B4681" t="str">
        <f>"1578729404837232"</f>
        <v>1578729404837232</v>
      </c>
      <c r="C4681" t="s">
        <v>37</v>
      </c>
      <c r="D4681">
        <v>4.8785720000000001</v>
      </c>
      <c r="E4681">
        <v>0.53164540000000005</v>
      </c>
      <c r="F4681" t="s">
        <v>38</v>
      </c>
      <c r="G4681">
        <v>-376.57440000000003</v>
      </c>
      <c r="H4681" s="1">
        <v>-2.6002309999999999E-6</v>
      </c>
      <c r="I4681">
        <v>143.93209999999999</v>
      </c>
      <c r="J4681">
        <v>-334.92809999999997</v>
      </c>
      <c r="K4681">
        <v>1.1051979999999999</v>
      </c>
      <c r="L4681">
        <v>142.2655</v>
      </c>
      <c r="M4681">
        <v>-0.99998799999999899</v>
      </c>
      <c r="N4681">
        <v>0</v>
      </c>
      <c r="O4681">
        <v>-4.5544490000000003E-3</v>
      </c>
      <c r="P4681">
        <v>-0.99851630000000002</v>
      </c>
      <c r="Q4681">
        <v>3.2218860000000002E-2</v>
      </c>
      <c r="R4681">
        <v>-4.3900660000000001E-2</v>
      </c>
      <c r="S4681">
        <v>-3.0112299999999999</v>
      </c>
      <c r="T4681">
        <v>-7.9183340000000005E-2</v>
      </c>
      <c r="U4681">
        <v>0.119247399999999</v>
      </c>
      <c r="V4681">
        <v>-3.9534800000000002E-2</v>
      </c>
      <c r="W4681">
        <v>3.3833549999999997E-2</v>
      </c>
      <c r="X4681">
        <v>0.99864519999999901</v>
      </c>
      <c r="Y4681">
        <v>4.4103570000000002E-2</v>
      </c>
      <c r="Z4681">
        <v>6.9924549999999999E-4</v>
      </c>
      <c r="AA4681">
        <v>0.99902669999999905</v>
      </c>
      <c r="AB4681">
        <v>40</v>
      </c>
      <c r="AC4681">
        <v>-41.646299999999997</v>
      </c>
      <c r="AD4681">
        <v>-1.105200600231</v>
      </c>
      <c r="AE4681">
        <v>1.6665999999999801</v>
      </c>
      <c r="AF4681">
        <v>1.85495470224217</v>
      </c>
      <c r="AG4681">
        <v>-1.105200600231</v>
      </c>
      <c r="AH4681">
        <v>41.6090211336656</v>
      </c>
      <c r="AI4681">
        <v>91.519998672938002</v>
      </c>
      <c r="AJ4681">
        <v>87.4474104923342</v>
      </c>
      <c r="AK4681">
        <v>41.665008880545699</v>
      </c>
    </row>
    <row r="4682" spans="1:37" x14ac:dyDescent="0.2">
      <c r="A4682" t="str">
        <f>"20200111155644867"</f>
        <v>20200111155644867</v>
      </c>
      <c r="B4682" t="str">
        <f>"1578729404857728"</f>
        <v>1578729404857728</v>
      </c>
      <c r="C4682" t="s">
        <v>37</v>
      </c>
      <c r="D4682">
        <v>4.8475479999999997</v>
      </c>
      <c r="E4682">
        <v>0.53225199999999995</v>
      </c>
      <c r="F4682" t="s">
        <v>38</v>
      </c>
      <c r="G4682">
        <v>-376.63330000000002</v>
      </c>
      <c r="H4682" s="1">
        <v>-2.5425709999999999E-6</v>
      </c>
      <c r="I4682">
        <v>143.81030000000001</v>
      </c>
      <c r="J4682">
        <v>-335.31740000000002</v>
      </c>
      <c r="K4682">
        <v>1.1052</v>
      </c>
      <c r="L4682">
        <v>142.26220000000001</v>
      </c>
      <c r="M4682">
        <v>-0.99997619999999898</v>
      </c>
      <c r="N4682">
        <v>0</v>
      </c>
      <c r="O4682">
        <v>-6.6483929999999998E-3</v>
      </c>
      <c r="P4682">
        <v>-0.99836360000000002</v>
      </c>
      <c r="Q4682">
        <v>3.1463739999999997E-2</v>
      </c>
      <c r="R4682">
        <v>-4.7754890000000001E-2</v>
      </c>
      <c r="S4682">
        <v>-3.0119319999999998</v>
      </c>
      <c r="T4682">
        <v>-7.9817299999999994E-2</v>
      </c>
      <c r="U4682">
        <v>0.1115723</v>
      </c>
      <c r="V4682">
        <v>-4.1294780000000003E-2</v>
      </c>
      <c r="W4682">
        <v>3.311774E-2</v>
      </c>
      <c r="X4682">
        <v>0.99859799999999999</v>
      </c>
      <c r="Y4682">
        <v>4.3643420000000002E-2</v>
      </c>
      <c r="Z4682">
        <v>7.5408189999999996E-4</v>
      </c>
      <c r="AA4682">
        <v>0.99904689999999996</v>
      </c>
      <c r="AB4682">
        <v>40</v>
      </c>
      <c r="AC4682">
        <v>-41.315899999999999</v>
      </c>
      <c r="AD4682">
        <v>-1.1052025425709999</v>
      </c>
      <c r="AE4682">
        <v>1.5481</v>
      </c>
      <c r="AF4682">
        <v>1.8214490541777999</v>
      </c>
      <c r="AG4682">
        <v>-1.1052025425709999</v>
      </c>
      <c r="AH4682">
        <v>41.275200791815003</v>
      </c>
      <c r="AI4682">
        <v>91.532319371920906</v>
      </c>
      <c r="AJ4682">
        <v>87.473212099705407</v>
      </c>
      <c r="AK4682">
        <v>41.330150613344301</v>
      </c>
    </row>
    <row r="4683" spans="1:37" x14ac:dyDescent="0.2">
      <c r="A4683" t="str">
        <f>"20200111155644889"</f>
        <v>20200111155644889</v>
      </c>
      <c r="B4683" t="str">
        <f>"1578729404877248"</f>
        <v>1578729404877248</v>
      </c>
      <c r="C4683" t="s">
        <v>37</v>
      </c>
      <c r="D4683">
        <v>4.8801230000000002</v>
      </c>
      <c r="E4683">
        <v>0.53280689999999997</v>
      </c>
      <c r="F4683" t="s">
        <v>38</v>
      </c>
      <c r="G4683">
        <v>-374.96539999999999</v>
      </c>
      <c r="H4683" s="1">
        <v>-3.2124200000000001E-6</v>
      </c>
      <c r="I4683">
        <v>143.6387</v>
      </c>
      <c r="J4683">
        <v>-335.71940000000001</v>
      </c>
      <c r="K4683">
        <v>1.105205</v>
      </c>
      <c r="L4683">
        <v>142.25810000000001</v>
      </c>
      <c r="M4683">
        <v>-0.99995970000000001</v>
      </c>
      <c r="N4683">
        <v>0</v>
      </c>
      <c r="O4683">
        <v>-8.7710099999999992E-3</v>
      </c>
      <c r="P4683">
        <v>-0.99823930000000005</v>
      </c>
      <c r="Q4683">
        <v>3.077672E-2</v>
      </c>
      <c r="R4683">
        <v>-5.0705229999999997E-2</v>
      </c>
      <c r="S4683">
        <v>-3.0125730000000002</v>
      </c>
      <c r="T4683">
        <v>-8.3976750000000003E-2</v>
      </c>
      <c r="U4683">
        <v>0.104599</v>
      </c>
      <c r="V4683">
        <v>-4.212275E-2</v>
      </c>
      <c r="W4683">
        <v>3.2483409999999997E-2</v>
      </c>
      <c r="X4683">
        <v>0.99858429999999998</v>
      </c>
      <c r="Y4683">
        <v>4.3444049999999998E-2</v>
      </c>
      <c r="Z4683">
        <v>8.4959269999999995E-4</v>
      </c>
      <c r="AA4683">
        <v>0.99905549999999999</v>
      </c>
      <c r="AB4683">
        <v>40</v>
      </c>
      <c r="AC4683">
        <v>-39.245999999999903</v>
      </c>
      <c r="AD4683">
        <v>-1.10520821242</v>
      </c>
      <c r="AE4683">
        <v>1.3805999999999801</v>
      </c>
      <c r="AF4683">
        <v>1.72340953258179</v>
      </c>
      <c r="AG4683">
        <v>-1.10520821242</v>
      </c>
      <c r="AH4683">
        <v>39.2013311123319</v>
      </c>
      <c r="AI4683">
        <v>91.613362025229407</v>
      </c>
      <c r="AJ4683">
        <v>87.482724498726697</v>
      </c>
      <c r="AK4683">
        <v>39.2547575026069</v>
      </c>
    </row>
    <row r="4684" spans="1:37" x14ac:dyDescent="0.2">
      <c r="A4684" t="str">
        <f>"20200111155644913"</f>
        <v>20200111155644913</v>
      </c>
      <c r="B4684" t="str">
        <f>"1578729404907504"</f>
        <v>1578729404907504</v>
      </c>
      <c r="C4684" t="s">
        <v>37</v>
      </c>
      <c r="D4684">
        <v>4.8334919999999997</v>
      </c>
      <c r="E4684">
        <v>0.53377280000000005</v>
      </c>
      <c r="F4684" t="s">
        <v>38</v>
      </c>
      <c r="G4684">
        <v>-373.63389999999998</v>
      </c>
      <c r="H4684" s="1">
        <v>-3.7310879999999998E-6</v>
      </c>
      <c r="I4684">
        <v>143.51560000000001</v>
      </c>
      <c r="J4684">
        <v>-336.13209999999998</v>
      </c>
      <c r="K4684">
        <v>1.1051930000000001</v>
      </c>
      <c r="L4684">
        <v>142.25299999999999</v>
      </c>
      <c r="M4684">
        <v>-0.99993869999999896</v>
      </c>
      <c r="N4684">
        <v>0</v>
      </c>
      <c r="O4684">
        <v>-1.08982E-2</v>
      </c>
      <c r="P4684">
        <v>-0.99808449999999904</v>
      </c>
      <c r="Q4684">
        <v>3.0286130000000001E-2</v>
      </c>
      <c r="R4684">
        <v>-5.3946540000000001E-2</v>
      </c>
      <c r="S4684">
        <v>-3.0130619999999899</v>
      </c>
      <c r="T4684">
        <v>-8.7831019999999996E-2</v>
      </c>
      <c r="U4684">
        <v>9.9945069999999997E-2</v>
      </c>
      <c r="V4684">
        <v>-4.3238020000000002E-2</v>
      </c>
      <c r="W4684">
        <v>3.2048750000000001E-2</v>
      </c>
      <c r="X4684">
        <v>0.99855070000000001</v>
      </c>
      <c r="Y4684">
        <v>4.4019330000000002E-2</v>
      </c>
      <c r="Z4684">
        <v>9.588102E-4</v>
      </c>
      <c r="AA4684">
        <v>0.99903019999999998</v>
      </c>
      <c r="AB4684">
        <v>40</v>
      </c>
      <c r="AC4684">
        <v>-37.501800000000003</v>
      </c>
      <c r="AD4684">
        <v>-1.105196731088</v>
      </c>
      <c r="AE4684">
        <v>1.2626000000000199</v>
      </c>
      <c r="AF4684">
        <v>1.66977933749459</v>
      </c>
      <c r="AG4684">
        <v>-1.105196731088</v>
      </c>
      <c r="AH4684">
        <v>37.453321009089798</v>
      </c>
      <c r="AI4684">
        <v>91.688553989509799</v>
      </c>
      <c r="AJ4684">
        <v>87.447275835785604</v>
      </c>
      <c r="AK4684">
        <v>37.5068110809258</v>
      </c>
    </row>
    <row r="4685" spans="1:37" x14ac:dyDescent="0.2">
      <c r="A4685" t="str">
        <f>"20200111155644929"</f>
        <v>20200111155644929</v>
      </c>
      <c r="B4685" t="str">
        <f>"1578729404928000"</f>
        <v>1578729404928000</v>
      </c>
      <c r="C4685" t="s">
        <v>37</v>
      </c>
      <c r="D4685">
        <v>4.8659290000000004</v>
      </c>
      <c r="E4685">
        <v>0.53405119999999995</v>
      </c>
      <c r="F4685" t="s">
        <v>38</v>
      </c>
      <c r="G4685">
        <v>-373.39949999999999</v>
      </c>
      <c r="H4685" s="1">
        <v>-3.8018019999999998E-6</v>
      </c>
      <c r="I4685">
        <v>143.46459999999999</v>
      </c>
      <c r="J4685">
        <v>-336.43729999999999</v>
      </c>
      <c r="K4685">
        <v>1.1051759999999999</v>
      </c>
      <c r="L4685">
        <v>142.24870000000001</v>
      </c>
      <c r="M4685">
        <v>-0.9999207</v>
      </c>
      <c r="N4685">
        <v>0</v>
      </c>
      <c r="O4685">
        <v>-1.242972E-2</v>
      </c>
      <c r="P4685">
        <v>-0.99799309999999997</v>
      </c>
      <c r="Q4685">
        <v>2.979965E-2</v>
      </c>
      <c r="R4685">
        <v>-5.5874630000000002E-2</v>
      </c>
      <c r="S4685">
        <v>-3.013763</v>
      </c>
      <c r="T4685">
        <v>-8.937573E-2</v>
      </c>
      <c r="U4685">
        <v>9.799194E-2</v>
      </c>
      <c r="V4685">
        <v>-4.363384E-2</v>
      </c>
      <c r="W4685">
        <v>3.1608869999999997E-2</v>
      </c>
      <c r="X4685">
        <v>0.99854739999999997</v>
      </c>
      <c r="Y4685">
        <v>4.4893130000000003E-2</v>
      </c>
      <c r="Z4685">
        <v>1.0337980000000001E-3</v>
      </c>
      <c r="AA4685">
        <v>0.99899130000000003</v>
      </c>
      <c r="AB4685">
        <v>40</v>
      </c>
      <c r="AC4685">
        <v>-36.962200000000003</v>
      </c>
      <c r="AD4685">
        <v>-1.105179801802</v>
      </c>
      <c r="AE4685">
        <v>1.21589999999997</v>
      </c>
      <c r="AF4685">
        <v>1.67374205465743</v>
      </c>
      <c r="AG4685">
        <v>-1.105179801802</v>
      </c>
      <c r="AH4685">
        <v>36.911267289451303</v>
      </c>
      <c r="AI4685">
        <v>91.713251487170396</v>
      </c>
      <c r="AJ4685">
        <v>87.403700389085202</v>
      </c>
      <c r="AK4685">
        <v>36.965720441689697</v>
      </c>
    </row>
    <row r="4686" spans="1:37" x14ac:dyDescent="0.2">
      <c r="A4686" t="str">
        <f>"20200111155644945"</f>
        <v>20200111155644945</v>
      </c>
      <c r="B4686" t="str">
        <f>"1578729404937760"</f>
        <v>1578729404937760</v>
      </c>
      <c r="C4686" t="s">
        <v>37</v>
      </c>
      <c r="D4686">
        <v>4.8855029999999999</v>
      </c>
      <c r="E4686">
        <v>0.53400349999999996</v>
      </c>
      <c r="F4686" t="s">
        <v>38</v>
      </c>
      <c r="G4686">
        <v>-373.51429999999999</v>
      </c>
      <c r="H4686" s="1">
        <v>-3.7533429999999998E-6</v>
      </c>
      <c r="I4686">
        <v>143.41159999999999</v>
      </c>
      <c r="J4686">
        <v>-336.7278</v>
      </c>
      <c r="K4686">
        <v>1.1051530000000001</v>
      </c>
      <c r="L4686">
        <v>142.24420000000001</v>
      </c>
      <c r="M4686">
        <v>-0.99990190000000001</v>
      </c>
      <c r="N4686">
        <v>0</v>
      </c>
      <c r="O4686">
        <v>-1.3853809999999999E-2</v>
      </c>
      <c r="P4686">
        <v>-0.99789799999999995</v>
      </c>
      <c r="Q4686">
        <v>2.9258780000000002E-2</v>
      </c>
      <c r="R4686">
        <v>-5.7824939999999998E-2</v>
      </c>
      <c r="S4686">
        <v>-3.014008</v>
      </c>
      <c r="T4686">
        <v>-8.9840890000000007E-2</v>
      </c>
      <c r="U4686">
        <v>9.4543459999999996E-2</v>
      </c>
      <c r="V4686">
        <v>-4.4159230000000001E-2</v>
      </c>
      <c r="W4686">
        <v>3.1113680000000001E-2</v>
      </c>
      <c r="X4686">
        <v>0.99853989999999904</v>
      </c>
      <c r="Y4686">
        <v>4.5170429999999998E-2</v>
      </c>
      <c r="Z4686">
        <v>1.085672E-3</v>
      </c>
      <c r="AA4686">
        <v>0.9989787</v>
      </c>
      <c r="AB4686">
        <v>40</v>
      </c>
      <c r="AC4686">
        <v>-36.786499999999897</v>
      </c>
      <c r="AD4686">
        <v>-1.105156753343</v>
      </c>
      <c r="AE4686">
        <v>1.16739999999998</v>
      </c>
      <c r="AF4686">
        <v>1.67541161353211</v>
      </c>
      <c r="AG4686">
        <v>-1.105156753343</v>
      </c>
      <c r="AH4686">
        <v>36.733676072304803</v>
      </c>
      <c r="AI4686">
        <v>91.721472788235403</v>
      </c>
      <c r="AJ4686">
        <v>87.388567005461098</v>
      </c>
      <c r="AK4686">
        <v>36.788467395492802</v>
      </c>
    </row>
    <row r="4687" spans="1:37" x14ac:dyDescent="0.2">
      <c r="A4687" t="str">
        <f>"20200111155644968"</f>
        <v>20200111155644968</v>
      </c>
      <c r="B4687" t="str">
        <f>"1578729404957281"</f>
        <v>1578729404957281</v>
      </c>
      <c r="C4687" t="s">
        <v>37</v>
      </c>
      <c r="D4687">
        <v>4.9517959999999999</v>
      </c>
      <c r="E4687">
        <v>0.5337771</v>
      </c>
      <c r="F4687" t="s">
        <v>38</v>
      </c>
      <c r="G4687">
        <v>-373.25319999999999</v>
      </c>
      <c r="H4687" s="1">
        <v>-3.8250279999999997E-6</v>
      </c>
      <c r="I4687">
        <v>143.31489999999999</v>
      </c>
      <c r="J4687">
        <v>-337.13</v>
      </c>
      <c r="K4687">
        <v>1.105124</v>
      </c>
      <c r="L4687">
        <v>142.2373</v>
      </c>
      <c r="M4687">
        <v>-0.99987349999999997</v>
      </c>
      <c r="N4687">
        <v>0</v>
      </c>
      <c r="O4687">
        <v>-1.5766490000000001E-2</v>
      </c>
      <c r="P4687">
        <v>-0.99775059999999904</v>
      </c>
      <c r="Q4687">
        <v>2.8780440000000001E-2</v>
      </c>
      <c r="R4687">
        <v>-6.0544840000000003E-2</v>
      </c>
      <c r="S4687">
        <v>-3.0140989999999999</v>
      </c>
      <c r="T4687">
        <v>-9.1198210000000002E-2</v>
      </c>
      <c r="U4687">
        <v>8.8363650000000002E-2</v>
      </c>
      <c r="V4687">
        <v>-4.4966369999999999E-2</v>
      </c>
      <c r="W4687">
        <v>3.0704269999999999E-2</v>
      </c>
      <c r="X4687">
        <v>0.99851659999999998</v>
      </c>
      <c r="Y4687">
        <v>4.5032490000000001E-2</v>
      </c>
      <c r="Z4687">
        <v>1.157829E-3</v>
      </c>
      <c r="AA4687">
        <v>0.99898489999999995</v>
      </c>
      <c r="AB4687">
        <v>40</v>
      </c>
      <c r="AC4687">
        <v>-36.123199999999997</v>
      </c>
      <c r="AD4687">
        <v>-1.1051278250280001</v>
      </c>
      <c r="AE4687">
        <v>1.0775999999999799</v>
      </c>
      <c r="AF4687">
        <v>1.64546467687237</v>
      </c>
      <c r="AG4687">
        <v>-1.1051278250280001</v>
      </c>
      <c r="AH4687">
        <v>36.067992083145903</v>
      </c>
      <c r="AI4687">
        <v>91.753178486531297</v>
      </c>
      <c r="AJ4687">
        <v>87.387909595099799</v>
      </c>
      <c r="AK4687">
        <v>36.122415678112702</v>
      </c>
    </row>
    <row r="4688" spans="1:37" x14ac:dyDescent="0.2">
      <c r="A4688" t="str">
        <f>"20200111155644986"</f>
        <v>20200111155644986</v>
      </c>
      <c r="B4688" t="str">
        <f>"1578729404977776"</f>
        <v>1578729404977776</v>
      </c>
      <c r="C4688" t="s">
        <v>37</v>
      </c>
      <c r="D4688">
        <v>4.8248629999999997</v>
      </c>
      <c r="E4688">
        <v>0.53379270000000001</v>
      </c>
      <c r="F4688" t="s">
        <v>38</v>
      </c>
      <c r="G4688">
        <v>-374.30579999999998</v>
      </c>
      <c r="H4688" s="1">
        <v>-3.3802689999999998E-6</v>
      </c>
      <c r="I4688">
        <v>143.20609999999999</v>
      </c>
      <c r="J4688">
        <v>-337.4606</v>
      </c>
      <c r="K4688">
        <v>1.105094</v>
      </c>
      <c r="L4688">
        <v>142.2311</v>
      </c>
      <c r="M4688">
        <v>-0.99984810000000002</v>
      </c>
      <c r="N4688">
        <v>0</v>
      </c>
      <c r="O4688">
        <v>-1.7286369999999999E-2</v>
      </c>
      <c r="P4688">
        <v>-0.99764379999999997</v>
      </c>
      <c r="Q4688">
        <v>2.861352E-2</v>
      </c>
      <c r="R4688">
        <v>-6.2357500000000003E-2</v>
      </c>
      <c r="S4688">
        <v>-3.01412999999999</v>
      </c>
      <c r="T4688">
        <v>-8.9601159999999999E-2</v>
      </c>
      <c r="U4688">
        <v>7.8552250000000004E-2</v>
      </c>
      <c r="V4688">
        <v>-4.525933E-2</v>
      </c>
      <c r="W4688">
        <v>3.060179E-2</v>
      </c>
      <c r="X4688">
        <v>0.99850640000000002</v>
      </c>
      <c r="Y4688">
        <v>4.3302390000000003E-2</v>
      </c>
      <c r="Z4688">
        <v>1.1570580000000001E-3</v>
      </c>
      <c r="AA4688">
        <v>0.99906130000000004</v>
      </c>
      <c r="AB4688">
        <v>41</v>
      </c>
      <c r="AC4688">
        <v>-36.845199999999899</v>
      </c>
      <c r="AD4688">
        <v>-1.1050973802689901</v>
      </c>
      <c r="AE4688">
        <v>0.97499999999999398</v>
      </c>
      <c r="AF4688">
        <v>1.6103280498226</v>
      </c>
      <c r="AG4688">
        <v>-1.1050973802689901</v>
      </c>
      <c r="AH4688">
        <v>36.789768152689</v>
      </c>
      <c r="AI4688">
        <v>91.718898273211096</v>
      </c>
      <c r="AJ4688">
        <v>87.493701390002599</v>
      </c>
      <c r="AK4688">
        <v>36.841572134974598</v>
      </c>
    </row>
    <row r="4689" spans="1:37" x14ac:dyDescent="0.2">
      <c r="A4689" t="str">
        <f>"20200111155645002"</f>
        <v>20200111155645002</v>
      </c>
      <c r="B4689" t="str">
        <f>"1578729404998273"</f>
        <v>1578729404998273</v>
      </c>
      <c r="C4689" t="s">
        <v>37</v>
      </c>
      <c r="D4689">
        <v>4.8732980000000001</v>
      </c>
      <c r="E4689">
        <v>0.53403350000000005</v>
      </c>
      <c r="F4689" t="s">
        <v>38</v>
      </c>
      <c r="G4689">
        <v>-374.93709999999999</v>
      </c>
      <c r="H4689" s="1">
        <v>-3.0923570000000001E-6</v>
      </c>
      <c r="I4689">
        <v>143.14189999999999</v>
      </c>
      <c r="J4689">
        <v>-337.75450000000001</v>
      </c>
      <c r="K4689">
        <v>1.1050679999999999</v>
      </c>
      <c r="L4689">
        <v>142.2253</v>
      </c>
      <c r="M4689">
        <v>-0.99982439999999995</v>
      </c>
      <c r="N4689">
        <v>0</v>
      </c>
      <c r="O4689">
        <v>-1.859823E-2</v>
      </c>
      <c r="P4689">
        <v>-0.99752830000000003</v>
      </c>
      <c r="Q4689">
        <v>2.80870999999999E-2</v>
      </c>
      <c r="R4689">
        <v>-6.4408549999999995E-2</v>
      </c>
      <c r="S4689">
        <v>-3.014221</v>
      </c>
      <c r="T4689">
        <v>-8.8882569999999994E-2</v>
      </c>
      <c r="U4689">
        <v>7.3257450000000002E-2</v>
      </c>
      <c r="V4689">
        <v>-4.5997959999999997E-2</v>
      </c>
      <c r="W4689">
        <v>3.0136619999999999E-2</v>
      </c>
      <c r="X4689">
        <v>0.99848680000000001</v>
      </c>
      <c r="Y4689">
        <v>4.2858649999999998E-2</v>
      </c>
      <c r="Z4689">
        <v>1.1799E-3</v>
      </c>
      <c r="AA4689">
        <v>0.99908039999999998</v>
      </c>
      <c r="AB4689">
        <v>41</v>
      </c>
      <c r="AC4689">
        <v>-37.182599999999901</v>
      </c>
      <c r="AD4689">
        <v>-1.105071092357</v>
      </c>
      <c r="AE4689">
        <v>0.91659999999998798</v>
      </c>
      <c r="AF4689">
        <v>1.60655564795091</v>
      </c>
      <c r="AG4689">
        <v>-1.105071092357</v>
      </c>
      <c r="AH4689">
        <v>37.126348369053602</v>
      </c>
      <c r="AI4689">
        <v>91.703320662239094</v>
      </c>
      <c r="AJ4689">
        <v>87.522205329558204</v>
      </c>
      <c r="AK4689">
        <v>37.1775193684228</v>
      </c>
    </row>
    <row r="4690" spans="1:37" x14ac:dyDescent="0.2">
      <c r="A4690" t="str">
        <f>"20200111155645024"</f>
        <v>20200111155645024</v>
      </c>
      <c r="B4690" t="str">
        <f>"1578729405017792"</f>
        <v>1578729405017792</v>
      </c>
      <c r="C4690" t="s">
        <v>37</v>
      </c>
      <c r="D4690">
        <v>4.8508199999999997</v>
      </c>
      <c r="E4690">
        <v>0.53408809999999995</v>
      </c>
      <c r="F4690" t="s">
        <v>38</v>
      </c>
      <c r="G4690">
        <v>-374.68450000000001</v>
      </c>
      <c r="H4690" s="1">
        <v>-3.1818269999999999E-6</v>
      </c>
      <c r="I4690">
        <v>143.07089999999999</v>
      </c>
      <c r="J4690">
        <v>-338.16039999999998</v>
      </c>
      <c r="K4690">
        <v>1.1050279999999999</v>
      </c>
      <c r="L4690">
        <v>142.2166</v>
      </c>
      <c r="M4690">
        <v>-0.99979039999999997</v>
      </c>
      <c r="N4690">
        <v>0</v>
      </c>
      <c r="O4690">
        <v>-2.0337319999999999E-2</v>
      </c>
      <c r="P4690">
        <v>-0.99741729999999995</v>
      </c>
      <c r="Q4690">
        <v>2.7320469999999999E-2</v>
      </c>
      <c r="R4690">
        <v>-6.6425199999999907E-2</v>
      </c>
      <c r="S4690">
        <v>-3.01443499999999</v>
      </c>
      <c r="T4690">
        <v>-9.0201970000000006E-2</v>
      </c>
      <c r="U4690">
        <v>6.9030759999999997E-2</v>
      </c>
      <c r="V4690">
        <v>-4.6272639999999997E-2</v>
      </c>
      <c r="W4690">
        <v>2.9471730000000002E-2</v>
      </c>
      <c r="X4690">
        <v>0.99849399999999999</v>
      </c>
      <c r="Y4690">
        <v>4.3192969999999997E-2</v>
      </c>
      <c r="Z4690">
        <v>1.2543610000000001E-3</v>
      </c>
      <c r="AA4690">
        <v>0.99906589999999995</v>
      </c>
      <c r="AB4690">
        <v>41</v>
      </c>
      <c r="AC4690">
        <v>-36.524099999999997</v>
      </c>
      <c r="AD4690">
        <v>-1.105031181827</v>
      </c>
      <c r="AE4690">
        <v>0.85429999999999495</v>
      </c>
      <c r="AF4690">
        <v>1.5954680565344299</v>
      </c>
      <c r="AG4690">
        <v>-1.105031181827</v>
      </c>
      <c r="AH4690">
        <v>36.465810705987401</v>
      </c>
      <c r="AI4690">
        <v>91.734057049190696</v>
      </c>
      <c r="AJ4690">
        <v>87.494767815238703</v>
      </c>
      <c r="AK4690">
        <v>36.5174199893302</v>
      </c>
    </row>
    <row r="4691" spans="1:37" x14ac:dyDescent="0.2">
      <c r="A4691" t="str">
        <f>"20200111155645042"</f>
        <v>20200111155645042</v>
      </c>
      <c r="B4691" t="str">
        <f>"1578729405037313"</f>
        <v>1578729405037313</v>
      </c>
      <c r="C4691" t="s">
        <v>37</v>
      </c>
      <c r="D4691">
        <v>4.8334260000000002</v>
      </c>
      <c r="E4691">
        <v>0.53418589999999999</v>
      </c>
      <c r="F4691" t="s">
        <v>38</v>
      </c>
      <c r="G4691">
        <v>-374.05090000000001</v>
      </c>
      <c r="H4691" s="1">
        <v>-3.4272469999999998E-6</v>
      </c>
      <c r="I4691">
        <v>142.9717</v>
      </c>
      <c r="J4691">
        <v>-338.47890000000001</v>
      </c>
      <c r="K4691">
        <v>1.104997</v>
      </c>
      <c r="L4691">
        <v>142.20930000000001</v>
      </c>
      <c r="M4691">
        <v>-0.99976259999999995</v>
      </c>
      <c r="N4691">
        <v>0</v>
      </c>
      <c r="O4691">
        <v>-2.164847E-2</v>
      </c>
      <c r="P4691">
        <v>-0.99731619999999999</v>
      </c>
      <c r="Q4691">
        <v>2.7351219999999999E-2</v>
      </c>
      <c r="R4691">
        <v>-6.7916409999999997E-2</v>
      </c>
      <c r="S4691">
        <v>-3.0145569999999999</v>
      </c>
      <c r="T4691">
        <v>-9.2815159999999994E-2</v>
      </c>
      <c r="U4691">
        <v>6.3430790000000001E-2</v>
      </c>
      <c r="V4691">
        <v>-4.6453870000000001E-2</v>
      </c>
      <c r="W4691">
        <v>2.9594220000000001E-2</v>
      </c>
      <c r="X4691">
        <v>0.99848189999999903</v>
      </c>
      <c r="Y4691">
        <v>4.2645200000000001E-2</v>
      </c>
      <c r="Z4691">
        <v>1.3225769999999999E-3</v>
      </c>
      <c r="AA4691">
        <v>0.99908940000000002</v>
      </c>
      <c r="AB4691">
        <v>41</v>
      </c>
      <c r="AC4691">
        <v>-35.572000000000003</v>
      </c>
      <c r="AD4691">
        <v>-1.105000427247</v>
      </c>
      <c r="AE4691">
        <v>0.76239999999998498</v>
      </c>
      <c r="AF4691">
        <v>1.5308265401669601</v>
      </c>
      <c r="AG4691">
        <v>-1.105000427247</v>
      </c>
      <c r="AH4691">
        <v>35.512905886873597</v>
      </c>
      <c r="AI4691">
        <v>91.780557129206997</v>
      </c>
      <c r="AJ4691">
        <v>87.531724528897797</v>
      </c>
      <c r="AK4691">
        <v>35.563055835659497</v>
      </c>
    </row>
    <row r="4692" spans="1:37" x14ac:dyDescent="0.2">
      <c r="A4692" t="str">
        <f>"20200111155645056"</f>
        <v>20200111155645056</v>
      </c>
      <c r="B4692" t="str">
        <f>"1578729405048048"</f>
        <v>1578729405048048</v>
      </c>
      <c r="C4692" t="s">
        <v>37</v>
      </c>
      <c r="D4692">
        <v>4.8372029999999997</v>
      </c>
      <c r="E4692">
        <v>0.53427769999999997</v>
      </c>
      <c r="F4692" t="s">
        <v>38</v>
      </c>
      <c r="G4692">
        <v>-374.19220000000001</v>
      </c>
      <c r="H4692" s="1">
        <v>-3.3519329999999999E-6</v>
      </c>
      <c r="I4692">
        <v>142.91630000000001</v>
      </c>
      <c r="J4692">
        <v>-338.76589999999999</v>
      </c>
      <c r="K4692">
        <v>1.1049799999999901</v>
      </c>
      <c r="L4692">
        <v>142.20240000000001</v>
      </c>
      <c r="M4692">
        <v>-0.99973709999999905</v>
      </c>
      <c r="N4692">
        <v>0</v>
      </c>
      <c r="O4692">
        <v>-2.2785349999999999E-2</v>
      </c>
      <c r="P4692">
        <v>-0.99721899999999997</v>
      </c>
      <c r="Q4692">
        <v>2.787829E-2</v>
      </c>
      <c r="R4692">
        <v>-6.9118970000000002E-2</v>
      </c>
      <c r="S4692">
        <v>-3.0147089999999999</v>
      </c>
      <c r="T4692">
        <v>-9.3277929999999995E-2</v>
      </c>
      <c r="U4692">
        <v>5.9692380000000003E-2</v>
      </c>
      <c r="V4692">
        <v>-4.6522510000000003E-2</v>
      </c>
      <c r="W4692">
        <v>3.0215249999999999E-2</v>
      </c>
      <c r="X4692">
        <v>0.99846019999999902</v>
      </c>
      <c r="Y4692">
        <v>4.254107E-2</v>
      </c>
      <c r="Z4692">
        <v>1.3626669999999999E-3</v>
      </c>
      <c r="AA4692">
        <v>0.99909380000000003</v>
      </c>
      <c r="AB4692">
        <v>41</v>
      </c>
      <c r="AC4692">
        <v>-35.426299999999998</v>
      </c>
      <c r="AD4692">
        <v>-1.1049833519329999</v>
      </c>
      <c r="AE4692">
        <v>0.71389999999999498</v>
      </c>
      <c r="AF4692">
        <v>1.5194403129451399</v>
      </c>
      <c r="AG4692">
        <v>-1.1049833519329999</v>
      </c>
      <c r="AH4692">
        <v>35.366442670834203</v>
      </c>
      <c r="AI4692">
        <v>91.787909580745307</v>
      </c>
      <c r="AJ4692">
        <v>87.539927506106594</v>
      </c>
      <c r="AK4692">
        <v>35.4163091564049</v>
      </c>
    </row>
    <row r="4693" spans="1:37" x14ac:dyDescent="0.2">
      <c r="A4693" t="str">
        <f>"20200111155645080"</f>
        <v>20200111155645080</v>
      </c>
      <c r="B4693" t="str">
        <f>"1578729405067568"</f>
        <v>1578729405067568</v>
      </c>
      <c r="C4693" t="s">
        <v>37</v>
      </c>
      <c r="D4693">
        <v>4.835915</v>
      </c>
      <c r="E4693">
        <v>0.53436419999999996</v>
      </c>
      <c r="F4693" t="s">
        <v>38</v>
      </c>
      <c r="G4693">
        <v>-375.12</v>
      </c>
      <c r="H4693" s="1">
        <v>-2.946312E-6</v>
      </c>
      <c r="I4693">
        <v>142.8879</v>
      </c>
      <c r="J4693">
        <v>-339.18279999999999</v>
      </c>
      <c r="K4693">
        <v>1.1049450000000001</v>
      </c>
      <c r="L4693">
        <v>142.1918</v>
      </c>
      <c r="M4693">
        <v>-0.99969979999999903</v>
      </c>
      <c r="N4693">
        <v>0</v>
      </c>
      <c r="O4693">
        <v>-2.4351999999999999E-2</v>
      </c>
      <c r="P4693">
        <v>-0.99709360000000002</v>
      </c>
      <c r="Q4693">
        <v>2.8318260000000001E-2</v>
      </c>
      <c r="R4693">
        <v>-7.0729089999999994E-2</v>
      </c>
      <c r="S4693">
        <v>-3.0148929999999998</v>
      </c>
      <c r="T4693">
        <v>-9.1637609999999994E-2</v>
      </c>
      <c r="U4693">
        <v>5.6854250000000002E-2</v>
      </c>
      <c r="V4693">
        <v>-4.6568310000000002E-2</v>
      </c>
      <c r="W4693">
        <v>3.0822470000000001E-2</v>
      </c>
      <c r="X4693">
        <v>0.99843950000000004</v>
      </c>
      <c r="Y4693">
        <v>4.3165460000000003E-2</v>
      </c>
      <c r="Z4693">
        <v>1.39573E-3</v>
      </c>
      <c r="AA4693">
        <v>0.99906689999999998</v>
      </c>
      <c r="AB4693">
        <v>41</v>
      </c>
      <c r="AC4693">
        <v>-35.937199999999997</v>
      </c>
      <c r="AD4693">
        <v>-1.104947946312</v>
      </c>
      <c r="AE4693">
        <v>0.69610000000000105</v>
      </c>
      <c r="AF4693">
        <v>1.5695562194711099</v>
      </c>
      <c r="AG4693">
        <v>-1.104947946312</v>
      </c>
      <c r="AH4693">
        <v>35.875688555385302</v>
      </c>
      <c r="AI4693">
        <v>91.762430368398498</v>
      </c>
      <c r="AJ4693">
        <v>87.494915349620896</v>
      </c>
      <c r="AK4693">
        <v>35.927001628484703</v>
      </c>
    </row>
    <row r="4694" spans="1:37" x14ac:dyDescent="0.2">
      <c r="A4694" t="str">
        <f>"20200111155645096"</f>
        <v>20200111155645096</v>
      </c>
      <c r="B4694" t="str">
        <f>"1578729405088065"</f>
        <v>1578729405088065</v>
      </c>
      <c r="C4694" t="s">
        <v>37</v>
      </c>
      <c r="D4694">
        <v>4.8575080000000002</v>
      </c>
      <c r="E4694">
        <v>0.53456130000000002</v>
      </c>
      <c r="F4694" t="s">
        <v>38</v>
      </c>
      <c r="G4694">
        <v>-376.12740000000002</v>
      </c>
      <c r="H4694" s="1">
        <v>-2.500447E-6</v>
      </c>
      <c r="I4694">
        <v>142.8364</v>
      </c>
      <c r="J4694">
        <v>-339.50830000000002</v>
      </c>
      <c r="K4694">
        <v>1.1049100000000001</v>
      </c>
      <c r="L4694">
        <v>142.1832</v>
      </c>
      <c r="M4694">
        <v>-0.99967090000000003</v>
      </c>
      <c r="N4694">
        <v>0</v>
      </c>
      <c r="O4694">
        <v>-2.5487050000000001E-2</v>
      </c>
      <c r="P4694">
        <v>-0.99704530000000002</v>
      </c>
      <c r="Q4694">
        <v>2.8369789999999999E-2</v>
      </c>
      <c r="R4694">
        <v>-7.1385500000000005E-2</v>
      </c>
      <c r="S4694">
        <v>-3.0150450000000002</v>
      </c>
      <c r="T4694">
        <v>-9.0174669999999998E-2</v>
      </c>
      <c r="U4694">
        <v>5.2612300000000001E-2</v>
      </c>
      <c r="V4694">
        <v>-4.6088549999999999E-2</v>
      </c>
      <c r="W4694">
        <v>3.1052670000000001E-2</v>
      </c>
      <c r="X4694">
        <v>0.99845459999999997</v>
      </c>
      <c r="Y4694">
        <v>4.2894309999999998E-2</v>
      </c>
      <c r="Z4694">
        <v>1.4032820000000001E-3</v>
      </c>
      <c r="AA4694">
        <v>0.99907860000000004</v>
      </c>
      <c r="AB4694">
        <v>42</v>
      </c>
      <c r="AC4694">
        <v>-36.619100000000003</v>
      </c>
      <c r="AD4694">
        <v>-1.104912500447</v>
      </c>
      <c r="AE4694">
        <v>0.653199999999998</v>
      </c>
      <c r="AF4694">
        <v>1.58486218111904</v>
      </c>
      <c r="AG4694">
        <v>-1.104912500447</v>
      </c>
      <c r="AH4694">
        <v>36.557284266569802</v>
      </c>
      <c r="AI4694">
        <v>91.729565098385805</v>
      </c>
      <c r="AJ4694">
        <v>87.5176195111233</v>
      </c>
      <c r="AK4694">
        <v>36.608300325384903</v>
      </c>
    </row>
    <row r="4695" spans="1:37" x14ac:dyDescent="0.2">
      <c r="A4695" t="str">
        <f>"20200111155645114"</f>
        <v>20200111155645114</v>
      </c>
      <c r="B4695" t="str">
        <f>"1578729405107584"</f>
        <v>1578729405107584</v>
      </c>
      <c r="C4695" t="s">
        <v>37</v>
      </c>
      <c r="D4695">
        <v>4.8439730000000001</v>
      </c>
      <c r="E4695">
        <v>0.53473400000000004</v>
      </c>
      <c r="F4695" t="s">
        <v>38</v>
      </c>
      <c r="G4695">
        <v>-376.85329999999999</v>
      </c>
      <c r="H4695" s="1">
        <v>-2.1875559999999899E-6</v>
      </c>
      <c r="I4695">
        <v>142.83080000000001</v>
      </c>
      <c r="J4695">
        <v>-339.82409999999999</v>
      </c>
      <c r="K4695">
        <v>1.1048799999999901</v>
      </c>
      <c r="L4695">
        <v>142.17439999999999</v>
      </c>
      <c r="M4695">
        <v>-0.99964349999999902</v>
      </c>
      <c r="N4695">
        <v>0</v>
      </c>
      <c r="O4695">
        <v>-2.6521699999999999E-2</v>
      </c>
      <c r="P4695">
        <v>-0.99698869999999895</v>
      </c>
      <c r="Q4695">
        <v>2.8831570000000001E-2</v>
      </c>
      <c r="R4695">
        <v>-7.1990620000000005E-2</v>
      </c>
      <c r="S4695">
        <v>-3.0151669999999999</v>
      </c>
      <c r="T4695">
        <v>-8.9208720000000005E-2</v>
      </c>
      <c r="U4695">
        <v>5.2291869999999997E-2</v>
      </c>
      <c r="V4695">
        <v>-4.5659579999999998E-2</v>
      </c>
      <c r="W4695">
        <v>3.1723250000000001E-2</v>
      </c>
      <c r="X4695">
        <v>0.99845319999999904</v>
      </c>
      <c r="Y4695">
        <v>4.3821300000000001E-2</v>
      </c>
      <c r="Z4695">
        <v>1.4325099999999999E-3</v>
      </c>
      <c r="AA4695">
        <v>0.99903829999999905</v>
      </c>
      <c r="AB4695">
        <v>42</v>
      </c>
      <c r="AC4695">
        <v>-37.029200000000003</v>
      </c>
      <c r="AD4695">
        <v>-1.10488218755599</v>
      </c>
      <c r="AE4695">
        <v>0.65640000000001897</v>
      </c>
      <c r="AF4695">
        <v>1.63679428272078</v>
      </c>
      <c r="AG4695">
        <v>-1.10488218755599</v>
      </c>
      <c r="AH4695">
        <v>36.965864584550999</v>
      </c>
      <c r="AI4695">
        <v>91.710343696507195</v>
      </c>
      <c r="AJ4695">
        <v>87.464682932076698</v>
      </c>
      <c r="AK4695">
        <v>37.018576480676302</v>
      </c>
    </row>
    <row r="4696" spans="1:37" x14ac:dyDescent="0.2">
      <c r="A4696" t="str">
        <f>"20200111155645132"</f>
        <v>20200111155645132</v>
      </c>
      <c r="B4696" t="str">
        <f>"1578729405128081"</f>
        <v>1578729405128081</v>
      </c>
      <c r="C4696" t="s">
        <v>37</v>
      </c>
      <c r="D4696">
        <v>4.8890079999999996</v>
      </c>
      <c r="E4696">
        <v>0.5348794</v>
      </c>
      <c r="F4696" t="s">
        <v>38</v>
      </c>
      <c r="G4696">
        <v>-377.85250000000002</v>
      </c>
      <c r="H4696" s="1">
        <v>-1.758671E-6</v>
      </c>
      <c r="I4696">
        <v>142.83000000000001</v>
      </c>
      <c r="J4696">
        <v>-340.1669</v>
      </c>
      <c r="K4696">
        <v>1.1048549999999999</v>
      </c>
      <c r="L4696">
        <v>142.16460000000001</v>
      </c>
      <c r="M4696">
        <v>-0.99961460000000002</v>
      </c>
      <c r="N4696">
        <v>0</v>
      </c>
      <c r="O4696">
        <v>-2.755732E-2</v>
      </c>
      <c r="P4696">
        <v>-0.99694289999999997</v>
      </c>
      <c r="Q4696">
        <v>2.8870159999999999E-2</v>
      </c>
      <c r="R4696">
        <v>-7.2604829999999995E-2</v>
      </c>
      <c r="S4696">
        <v>-3.0153500000000002</v>
      </c>
      <c r="T4696">
        <v>-8.7608220000000001E-2</v>
      </c>
      <c r="U4696">
        <v>5.1986690000000002E-2</v>
      </c>
      <c r="V4696">
        <v>-4.523489E-2</v>
      </c>
      <c r="W4696">
        <v>3.205305E-2</v>
      </c>
      <c r="X4696">
        <v>0.99846199999999996</v>
      </c>
      <c r="Y4696">
        <v>4.4754439999999999E-2</v>
      </c>
      <c r="Z4696">
        <v>1.450364E-3</v>
      </c>
      <c r="AA4696">
        <v>0.99899699999999902</v>
      </c>
      <c r="AB4696">
        <v>42</v>
      </c>
      <c r="AC4696">
        <v>-37.685600000000001</v>
      </c>
      <c r="AD4696">
        <v>-1.1048567586710001</v>
      </c>
      <c r="AE4696">
        <v>0.66540000000000499</v>
      </c>
      <c r="AF4696">
        <v>1.70220463270802</v>
      </c>
      <c r="AG4696">
        <v>-1.1048567586710001</v>
      </c>
      <c r="AH4696">
        <v>37.620625062838599</v>
      </c>
      <c r="AI4696">
        <v>91.680482301088006</v>
      </c>
      <c r="AJ4696">
        <v>87.409328867254104</v>
      </c>
      <c r="AK4696">
        <v>37.675318700542903</v>
      </c>
    </row>
    <row r="4697" spans="1:37" x14ac:dyDescent="0.2">
      <c r="A4697" t="str">
        <f>"20200111155645147"</f>
        <v>20200111155645147</v>
      </c>
      <c r="B4697" t="str">
        <f>"1578729405137840"</f>
        <v>1578729405137840</v>
      </c>
      <c r="C4697" t="s">
        <v>37</v>
      </c>
      <c r="D4697">
        <v>4.8279319999999997</v>
      </c>
      <c r="E4697">
        <v>0.534973699999999</v>
      </c>
      <c r="F4697" t="s">
        <v>38</v>
      </c>
      <c r="G4697">
        <v>-378.46899999999999</v>
      </c>
      <c r="H4697" s="1">
        <v>-1.490626E-6</v>
      </c>
      <c r="I4697">
        <v>142.81649999999999</v>
      </c>
      <c r="J4697">
        <v>-340.43889999999999</v>
      </c>
      <c r="K4697">
        <v>1.1048359999999999</v>
      </c>
      <c r="L4697">
        <v>142.1566</v>
      </c>
      <c r="M4697">
        <v>-0.9995927</v>
      </c>
      <c r="N4697">
        <v>0</v>
      </c>
      <c r="O4697">
        <v>-2.830394E-2</v>
      </c>
      <c r="P4697">
        <v>-0.99692369999999997</v>
      </c>
      <c r="Q4697">
        <v>2.862636E-2</v>
      </c>
      <c r="R4697">
        <v>-7.2965379999999996E-2</v>
      </c>
      <c r="S4697">
        <v>-3.0155029999999998</v>
      </c>
      <c r="T4697">
        <v>-8.698475E-2</v>
      </c>
      <c r="U4697">
        <v>5.1330569999999999E-2</v>
      </c>
      <c r="V4697">
        <v>-4.4843929999999997E-2</v>
      </c>
      <c r="W4697">
        <v>3.2105950000000001E-2</v>
      </c>
      <c r="X4697">
        <v>0.99847790000000003</v>
      </c>
      <c r="Y4697">
        <v>4.5282370000000002E-2</v>
      </c>
      <c r="Z4697">
        <v>1.4691159999999999E-3</v>
      </c>
      <c r="AA4697">
        <v>0.99897309999999995</v>
      </c>
      <c r="AB4697">
        <v>42</v>
      </c>
      <c r="AC4697">
        <v>-38.030099999999997</v>
      </c>
      <c r="AD4697">
        <v>-1.1048374906259999</v>
      </c>
      <c r="AE4697">
        <v>0.65989999999999305</v>
      </c>
      <c r="AF4697">
        <v>1.7345809106780601</v>
      </c>
      <c r="AG4697">
        <v>-1.1048374906259999</v>
      </c>
      <c r="AH4697">
        <v>37.964153587854199</v>
      </c>
      <c r="AI4697">
        <v>91.665222112612199</v>
      </c>
      <c r="AJ4697">
        <v>87.383977113189999</v>
      </c>
      <c r="AK4697">
        <v>38.019815813054201</v>
      </c>
    </row>
    <row r="4698" spans="1:37" x14ac:dyDescent="0.2">
      <c r="A4698" t="str">
        <f>"20200111155645169"</f>
        <v>20200111155645169</v>
      </c>
      <c r="B4698" t="str">
        <f>"1578729405157361"</f>
        <v>1578729405157361</v>
      </c>
      <c r="C4698" t="s">
        <v>37</v>
      </c>
      <c r="D4698">
        <v>4.9491209999999999</v>
      </c>
      <c r="E4698">
        <v>0.53511909999999996</v>
      </c>
      <c r="F4698" t="s">
        <v>38</v>
      </c>
      <c r="G4698">
        <v>-378.46319999999997</v>
      </c>
      <c r="H4698" s="1">
        <v>-1.4889099999999999E-6</v>
      </c>
      <c r="I4698">
        <v>142.80070000000001</v>
      </c>
      <c r="J4698">
        <v>-340.84980000000002</v>
      </c>
      <c r="K4698">
        <v>1.104811</v>
      </c>
      <c r="L4698">
        <v>142.14429999999999</v>
      </c>
      <c r="M4698">
        <v>-0.99956179999999994</v>
      </c>
      <c r="N4698">
        <v>0</v>
      </c>
      <c r="O4698">
        <v>-2.930222E-2</v>
      </c>
      <c r="P4698">
        <v>-0.99686929999999996</v>
      </c>
      <c r="Q4698">
        <v>2.8138420000000001E-2</v>
      </c>
      <c r="R4698">
        <v>-7.3893769999999998E-2</v>
      </c>
      <c r="S4698">
        <v>-3.015533</v>
      </c>
      <c r="T4698">
        <v>-8.7619660000000002E-2</v>
      </c>
      <c r="U4698">
        <v>5.1086430000000002E-2</v>
      </c>
      <c r="V4698">
        <v>-4.47667E-2</v>
      </c>
      <c r="W4698">
        <v>3.2175540000000002E-2</v>
      </c>
      <c r="X4698">
        <v>0.99847919999999901</v>
      </c>
      <c r="Y4698">
        <v>4.6197809999999999E-2</v>
      </c>
      <c r="Z4698">
        <v>1.522111E-3</v>
      </c>
      <c r="AA4698">
        <v>0.99893120000000002</v>
      </c>
      <c r="AB4698">
        <v>42</v>
      </c>
      <c r="AC4698">
        <v>-37.613399999999899</v>
      </c>
      <c r="AD4698">
        <v>-1.1048124889099999</v>
      </c>
      <c r="AE4698">
        <v>0.65640000000001897</v>
      </c>
      <c r="AF4698">
        <v>1.75676873439054</v>
      </c>
      <c r="AG4698">
        <v>-1.1048124889099999</v>
      </c>
      <c r="AH4698">
        <v>37.545631138241603</v>
      </c>
      <c r="AI4698">
        <v>91.683650265845301</v>
      </c>
      <c r="AJ4698">
        <v>87.321071147010699</v>
      </c>
      <c r="AK4698">
        <v>37.6029422331642</v>
      </c>
    </row>
    <row r="4699" spans="1:37" x14ac:dyDescent="0.2">
      <c r="A4699" t="str">
        <f>"20200111155645213"</f>
        <v>20200111155645213</v>
      </c>
      <c r="B4699" t="str">
        <f>"1578729405208112"</f>
        <v>1578729405208112</v>
      </c>
      <c r="C4699" t="s">
        <v>37</v>
      </c>
      <c r="D4699">
        <v>5.4433879999999997</v>
      </c>
      <c r="E4699">
        <v>0.53529469999999901</v>
      </c>
      <c r="F4699" t="s">
        <v>38</v>
      </c>
      <c r="G4699">
        <v>-378.35980000000001</v>
      </c>
      <c r="H4699" s="1">
        <v>-1.522874E-6</v>
      </c>
      <c r="I4699">
        <v>142.76159999999999</v>
      </c>
      <c r="J4699">
        <v>-341.69659999999999</v>
      </c>
      <c r="K4699">
        <v>1.104765</v>
      </c>
      <c r="L4699">
        <v>142.11789999999999</v>
      </c>
      <c r="M4699">
        <v>-0.99950779999999995</v>
      </c>
      <c r="N4699">
        <v>0</v>
      </c>
      <c r="O4699">
        <v>-3.0856129999999999E-2</v>
      </c>
      <c r="P4699">
        <v>-0.99669269999999999</v>
      </c>
      <c r="Q4699">
        <v>2.6335150000000002E-2</v>
      </c>
      <c r="R4699">
        <v>-7.6879050000000004E-2</v>
      </c>
      <c r="S4699">
        <v>-3.0155639999999999</v>
      </c>
      <c r="T4699">
        <v>-8.881986E-2</v>
      </c>
      <c r="U4699">
        <v>4.9636840000000002E-2</v>
      </c>
      <c r="V4699">
        <v>-4.6179249999999998E-2</v>
      </c>
      <c r="W4699">
        <v>3.1874329999999999E-2</v>
      </c>
      <c r="X4699">
        <v>0.99842450000000005</v>
      </c>
      <c r="Y4699">
        <v>4.7268730000000002E-2</v>
      </c>
      <c r="Z4699">
        <v>1.604461E-3</v>
      </c>
      <c r="AA4699">
        <v>0.99888089999999996</v>
      </c>
      <c r="AB4699">
        <v>42</v>
      </c>
      <c r="AC4699">
        <v>-36.663200000000003</v>
      </c>
      <c r="AD4699">
        <v>-1.104766522874</v>
      </c>
      <c r="AE4699">
        <v>0.64369999999999505</v>
      </c>
      <c r="AF4699">
        <v>1.7730866363126301</v>
      </c>
      <c r="AG4699">
        <v>-1.104766522874</v>
      </c>
      <c r="AH4699">
        <v>36.592663870667003</v>
      </c>
      <c r="AI4699">
        <v>91.727262272756704</v>
      </c>
      <c r="AJ4699">
        <v>87.225919748754905</v>
      </c>
      <c r="AK4699">
        <v>36.6522495140687</v>
      </c>
    </row>
    <row r="4700" spans="1:37" x14ac:dyDescent="0.2">
      <c r="A4700" t="str">
        <f>"20200111155645515"</f>
        <v>20200111155645515</v>
      </c>
      <c r="B4700" t="str">
        <f>"1578729405507360"</f>
        <v>1578729405507360</v>
      </c>
      <c r="C4700" t="s">
        <v>37</v>
      </c>
      <c r="D4700">
        <v>5.3584370000000003</v>
      </c>
      <c r="E4700">
        <v>0.4885562</v>
      </c>
      <c r="F4700" t="s">
        <v>38</v>
      </c>
      <c r="G4700">
        <v>-377.2002</v>
      </c>
      <c r="H4700" s="1">
        <v>-1.98136799999999E-6</v>
      </c>
      <c r="I4700">
        <v>142.61519999999999</v>
      </c>
      <c r="J4700">
        <v>-347.28480000000002</v>
      </c>
      <c r="K4700">
        <v>1.103245</v>
      </c>
      <c r="L4700">
        <v>141.95189999999999</v>
      </c>
      <c r="M4700">
        <v>-0.99958809999999998</v>
      </c>
      <c r="N4700">
        <v>0</v>
      </c>
      <c r="O4700">
        <v>-2.5252299999999998E-2</v>
      </c>
      <c r="P4700">
        <v>-0.99691810000000003</v>
      </c>
      <c r="Q4700">
        <v>1.8898620000000001E-2</v>
      </c>
      <c r="R4700">
        <v>-7.6142039999999994E-2</v>
      </c>
      <c r="S4700">
        <v>-3.0156860000000001</v>
      </c>
      <c r="T4700">
        <v>-9.3839290000000006E-2</v>
      </c>
      <c r="U4700">
        <v>4.2251589999999999E-2</v>
      </c>
      <c r="V4700">
        <v>-5.0852130000000002E-2</v>
      </c>
      <c r="W4700">
        <v>3.2653550000000003E-2</v>
      </c>
      <c r="X4700">
        <v>0.99817219999999995</v>
      </c>
      <c r="Y4700">
        <v>3.922573E-2</v>
      </c>
      <c r="Z4700">
        <v>1.395711E-3</v>
      </c>
      <c r="AA4700">
        <v>0.99922939999999905</v>
      </c>
      <c r="AB4700">
        <v>41</v>
      </c>
      <c r="AC4700">
        <v>-29.915399999999899</v>
      </c>
      <c r="AD4700">
        <v>-1.1032469813679999</v>
      </c>
      <c r="AE4700">
        <v>0.66329999999999201</v>
      </c>
      <c r="AF4700">
        <v>1.41666554938278</v>
      </c>
      <c r="AG4700">
        <v>-1.1032469813679999</v>
      </c>
      <c r="AH4700">
        <v>29.848531450096001</v>
      </c>
      <c r="AI4700">
        <v>92.114397324250206</v>
      </c>
      <c r="AJ4700">
        <v>87.2826773195398</v>
      </c>
      <c r="AK4700">
        <v>29.902490279374401</v>
      </c>
    </row>
    <row r="4701" spans="1:37" x14ac:dyDescent="0.2">
      <c r="A4701" t="str">
        <f>"20200111155645537"</f>
        <v>20200111155645537</v>
      </c>
      <c r="B4701" t="str">
        <f>"1578729405527856"</f>
        <v>1578729405527856</v>
      </c>
      <c r="C4701" t="s">
        <v>37</v>
      </c>
      <c r="D4701">
        <v>4.9776099999999897</v>
      </c>
      <c r="E4701">
        <v>0.48342689999999999</v>
      </c>
      <c r="F4701" t="s">
        <v>48</v>
      </c>
      <c r="G4701">
        <v>0</v>
      </c>
      <c r="H4701">
        <v>0</v>
      </c>
      <c r="I4701">
        <v>0</v>
      </c>
      <c r="J4701">
        <v>-347.68950000000001</v>
      </c>
      <c r="K4701">
        <v>1.1030899999999999</v>
      </c>
      <c r="L4701">
        <v>141.94290000000001</v>
      </c>
      <c r="M4701">
        <v>-0.99962070000000003</v>
      </c>
      <c r="N4701">
        <v>0</v>
      </c>
      <c r="O4701">
        <v>-2.3805719999999999E-2</v>
      </c>
      <c r="P4701">
        <v>-0.99706729999999999</v>
      </c>
      <c r="Q4701">
        <v>1.7987960000000001E-2</v>
      </c>
      <c r="R4701">
        <v>-7.4388280000000001E-2</v>
      </c>
      <c r="S4701">
        <v>-2.9844059999999999</v>
      </c>
      <c r="T4701">
        <v>1.702857E-2</v>
      </c>
      <c r="U4701">
        <v>-0.32118229999999998</v>
      </c>
      <c r="V4701">
        <v>-5.0529579999999998E-2</v>
      </c>
      <c r="W4701">
        <v>3.1975360000000001E-2</v>
      </c>
      <c r="X4701">
        <v>0.9982105</v>
      </c>
      <c r="Y4701">
        <v>-8.3299709999999999E-2</v>
      </c>
      <c r="Z4701">
        <v>1.0156189999999999E-4</v>
      </c>
      <c r="AA4701">
        <v>0.99652450000000004</v>
      </c>
      <c r="AB4701">
        <v>41</v>
      </c>
      <c r="AC4701">
        <v>-2.9844059999999999</v>
      </c>
      <c r="AD4701">
        <v>1.702857E-2</v>
      </c>
      <c r="AE4701">
        <v>-0.32118229999999998</v>
      </c>
      <c r="AF4701">
        <v>-0.25003046780201799</v>
      </c>
      <c r="AG4701">
        <v>1.702857E-2</v>
      </c>
      <c r="AH4701">
        <v>2.9911105114060299</v>
      </c>
      <c r="AI4701">
        <v>89.674948887906197</v>
      </c>
      <c r="AJ4701">
        <v>94.778313219169803</v>
      </c>
      <c r="AK4701">
        <v>3.00159079464026</v>
      </c>
    </row>
    <row r="4702" spans="1:37" x14ac:dyDescent="0.2">
      <c r="A4702" t="str">
        <f>"20200111155645561"</f>
        <v>20200111155645561</v>
      </c>
      <c r="B4702" t="str">
        <f>"1578729405557136"</f>
        <v>1578729405557136</v>
      </c>
      <c r="C4702" t="s">
        <v>37</v>
      </c>
      <c r="D4702">
        <v>4.9008820000000002</v>
      </c>
      <c r="E4702">
        <v>0.4837688</v>
      </c>
      <c r="F4702" t="s">
        <v>48</v>
      </c>
      <c r="G4702">
        <v>0</v>
      </c>
      <c r="H4702">
        <v>0</v>
      </c>
      <c r="I4702">
        <v>0</v>
      </c>
      <c r="J4702">
        <v>-348.10309999999998</v>
      </c>
      <c r="K4702">
        <v>1.1029409999999999</v>
      </c>
      <c r="L4702">
        <v>141.93450000000001</v>
      </c>
      <c r="M4702">
        <v>-0.99965550000000003</v>
      </c>
      <c r="N4702">
        <v>0</v>
      </c>
      <c r="O4702">
        <v>-2.2175110000000001E-2</v>
      </c>
      <c r="P4702">
        <v>-0.99718759999999995</v>
      </c>
      <c r="Q4702">
        <v>1.7086879999999999E-2</v>
      </c>
      <c r="R4702">
        <v>-7.2974109999999995E-2</v>
      </c>
      <c r="S4702">
        <v>-2.9823909999999998</v>
      </c>
      <c r="T4702">
        <v>-1.3165949999999999E-2</v>
      </c>
      <c r="U4702">
        <v>-0.3577881</v>
      </c>
      <c r="V4702">
        <v>-5.0732039999999999E-2</v>
      </c>
      <c r="W4702">
        <v>3.1281910000000003E-2</v>
      </c>
      <c r="X4702">
        <v>0.99822230000000001</v>
      </c>
      <c r="Y4702">
        <v>-9.7063350000000007E-2</v>
      </c>
      <c r="Z4702">
        <v>-1.159651E-4</v>
      </c>
      <c r="AA4702">
        <v>0.995278199999999</v>
      </c>
      <c r="AB4702">
        <v>41</v>
      </c>
      <c r="AC4702">
        <v>-2.9823909999999998</v>
      </c>
      <c r="AD4702">
        <v>-1.3165949999999999E-2</v>
      </c>
      <c r="AE4702">
        <v>-0.3577881</v>
      </c>
      <c r="AF4702">
        <v>-0.291553133442637</v>
      </c>
      <c r="AG4702">
        <v>-1.3165949999999999E-2</v>
      </c>
      <c r="AH4702">
        <v>2.9895348295803399</v>
      </c>
      <c r="AI4702">
        <v>90.251138269753099</v>
      </c>
      <c r="AJ4702">
        <v>95.570132234040003</v>
      </c>
      <c r="AK4702">
        <v>3.0037468383892798</v>
      </c>
    </row>
    <row r="4703" spans="1:37" x14ac:dyDescent="0.2">
      <c r="A4703" t="str">
        <f>"20200111155645582"</f>
        <v>20200111155645582</v>
      </c>
      <c r="B4703" t="str">
        <f>"1578729405577633"</f>
        <v>1578729405577633</v>
      </c>
      <c r="C4703" t="s">
        <v>37</v>
      </c>
      <c r="D4703">
        <v>4.9565320000000002</v>
      </c>
      <c r="E4703">
        <v>0.48400199999999999</v>
      </c>
      <c r="F4703" t="s">
        <v>72</v>
      </c>
      <c r="G4703">
        <v>-438.42140000000001</v>
      </c>
      <c r="H4703" s="1">
        <v>-4.0903200000000002E-6</v>
      </c>
      <c r="I4703">
        <v>131.28469999999999</v>
      </c>
      <c r="J4703">
        <v>-348.5188</v>
      </c>
      <c r="K4703">
        <v>1.1027959999999899</v>
      </c>
      <c r="L4703">
        <v>141.92689999999999</v>
      </c>
      <c r="M4703">
        <v>-0.9996912</v>
      </c>
      <c r="N4703">
        <v>0</v>
      </c>
      <c r="O4703">
        <v>-2.0394889999999999E-2</v>
      </c>
      <c r="P4703">
        <v>-0.99728530000000004</v>
      </c>
      <c r="Q4703">
        <v>1.6767919999999999E-2</v>
      </c>
      <c r="R4703">
        <v>-7.1699529999999997E-2</v>
      </c>
      <c r="S4703">
        <v>-2.9833369999999899</v>
      </c>
      <c r="T4703">
        <v>-3.6431789999999999E-2</v>
      </c>
      <c r="U4703">
        <v>-0.35177609999999998</v>
      </c>
      <c r="V4703">
        <v>-5.1222990000000003E-2</v>
      </c>
      <c r="W4703">
        <v>3.1145610000000001E-2</v>
      </c>
      <c r="X4703">
        <v>0.99820149999999996</v>
      </c>
      <c r="Y4703">
        <v>-9.6815780000000004E-2</v>
      </c>
      <c r="Z4703">
        <v>-3.4095659999999999E-4</v>
      </c>
      <c r="AA4703">
        <v>0.99530229999999997</v>
      </c>
      <c r="AB4703">
        <v>41</v>
      </c>
      <c r="AC4703">
        <v>-89.902600000000007</v>
      </c>
      <c r="AD4703">
        <v>-1.1028000903199999</v>
      </c>
      <c r="AE4703">
        <v>-10.642200000000001</v>
      </c>
      <c r="AF4703">
        <v>-8.8049409904077507</v>
      </c>
      <c r="AG4703">
        <v>-1.1028000903199999</v>
      </c>
      <c r="AH4703">
        <v>90.087596965247201</v>
      </c>
      <c r="AI4703">
        <v>90.698020944772907</v>
      </c>
      <c r="AJ4703">
        <v>95.582219199249806</v>
      </c>
      <c r="AK4703">
        <v>90.523578590644505</v>
      </c>
    </row>
    <row r="4704" spans="1:37" x14ac:dyDescent="0.2">
      <c r="A4704" t="str">
        <f>"20200111155645604"</f>
        <v>20200111155645604</v>
      </c>
      <c r="B4704" t="str">
        <f>"1578729405597153"</f>
        <v>1578729405597153</v>
      </c>
      <c r="C4704" t="s">
        <v>37</v>
      </c>
      <c r="D4704">
        <v>4.8216599999999996</v>
      </c>
      <c r="E4704">
        <v>0.48358859999999898</v>
      </c>
      <c r="F4704" t="s">
        <v>72</v>
      </c>
      <c r="G4704">
        <v>-414.3365</v>
      </c>
      <c r="H4704" s="1">
        <v>-7.9615699999999997E-6</v>
      </c>
      <c r="I4704">
        <v>134.2834</v>
      </c>
      <c r="J4704">
        <v>-348.92649999999998</v>
      </c>
      <c r="K4704">
        <v>1.1026719999999901</v>
      </c>
      <c r="L4704">
        <v>141.92019999999999</v>
      </c>
      <c r="M4704">
        <v>-0.99972530000000004</v>
      </c>
      <c r="N4704">
        <v>0</v>
      </c>
      <c r="O4704">
        <v>-1.8540879999999999E-2</v>
      </c>
      <c r="P4704">
        <v>-0.99743369999999998</v>
      </c>
      <c r="Q4704">
        <v>1.614223E-2</v>
      </c>
      <c r="R4704">
        <v>-6.9755460000000005E-2</v>
      </c>
      <c r="S4704">
        <v>-2.98407</v>
      </c>
      <c r="T4704">
        <v>-4.999936E-2</v>
      </c>
      <c r="U4704">
        <v>-0.34654239999999997</v>
      </c>
      <c r="V4704">
        <v>-5.1119970000000001E-2</v>
      </c>
      <c r="W4704">
        <v>3.0673760000000001E-2</v>
      </c>
      <c r="X4704">
        <v>0.99822129999999998</v>
      </c>
      <c r="Y4704">
        <v>-9.6905839999999993E-2</v>
      </c>
      <c r="Z4704">
        <v>-4.9954009999999996E-4</v>
      </c>
      <c r="AA4704">
        <v>0.99529339999999999</v>
      </c>
      <c r="AB4704">
        <v>41</v>
      </c>
      <c r="AC4704">
        <v>-65.41</v>
      </c>
      <c r="AD4704">
        <v>-1.10267996156999</v>
      </c>
      <c r="AE4704">
        <v>-7.6367999999999903</v>
      </c>
      <c r="AF4704">
        <v>-6.4208031632757798</v>
      </c>
      <c r="AG4704">
        <v>-1.10267996156999</v>
      </c>
      <c r="AH4704">
        <v>65.521991095411906</v>
      </c>
      <c r="AI4704">
        <v>90.959553332725804</v>
      </c>
      <c r="AJ4704">
        <v>95.596808977780597</v>
      </c>
      <c r="AK4704">
        <v>65.845075240798494</v>
      </c>
    </row>
    <row r="4705" spans="1:37" x14ac:dyDescent="0.2">
      <c r="A4705" t="str">
        <f>"20200111155645627"</f>
        <v>20200111155645627</v>
      </c>
      <c r="B4705" t="str">
        <f>"1578729405617648"</f>
        <v>1578729405617648</v>
      </c>
      <c r="C4705" t="s">
        <v>37</v>
      </c>
      <c r="D4705">
        <v>4.7543730000000002</v>
      </c>
      <c r="E4705">
        <v>0.48326350000000001</v>
      </c>
      <c r="F4705" t="s">
        <v>38</v>
      </c>
      <c r="G4705">
        <v>-397.67660000000001</v>
      </c>
      <c r="H4705" s="1">
        <v>-1.6619619999999999E-6</v>
      </c>
      <c r="I4705">
        <v>136.28909999999999</v>
      </c>
      <c r="J4705">
        <v>-349.33510000000001</v>
      </c>
      <c r="K4705">
        <v>1.102555</v>
      </c>
      <c r="L4705">
        <v>141.9144</v>
      </c>
      <c r="M4705">
        <v>-0.99975789999999998</v>
      </c>
      <c r="N4705">
        <v>0</v>
      </c>
      <c r="O4705">
        <v>-1.6584580000000002E-2</v>
      </c>
      <c r="P4705">
        <v>-0.99757499999999999</v>
      </c>
      <c r="Q4705">
        <v>1.5969440000000001E-2</v>
      </c>
      <c r="R4705">
        <v>-6.774521E-2</v>
      </c>
      <c r="S4705">
        <v>-2.9847109999999999</v>
      </c>
      <c r="T4705">
        <v>-6.7510840000000003E-2</v>
      </c>
      <c r="U4705">
        <v>-0.34475709999999998</v>
      </c>
      <c r="V4705">
        <v>-5.1052439999999998E-2</v>
      </c>
      <c r="W4705">
        <v>3.0633730000000001E-2</v>
      </c>
      <c r="X4705">
        <v>0.99822599999999995</v>
      </c>
      <c r="Y4705">
        <v>-9.8231639999999995E-2</v>
      </c>
      <c r="Z4705">
        <v>-7.3335259999999895E-4</v>
      </c>
      <c r="AA4705">
        <v>0.99516329999999997</v>
      </c>
      <c r="AB4705">
        <v>41</v>
      </c>
      <c r="AC4705">
        <v>-48.341500000000003</v>
      </c>
      <c r="AD4705">
        <v>-1.102556661962</v>
      </c>
      <c r="AE4705">
        <v>-5.62530000000001</v>
      </c>
      <c r="AF4705">
        <v>-4.82024492457895</v>
      </c>
      <c r="AG4705">
        <v>-1.102556661962</v>
      </c>
      <c r="AH4705">
        <v>48.4033105197569</v>
      </c>
      <c r="AI4705">
        <v>91.298467984022906</v>
      </c>
      <c r="AJ4705">
        <v>95.687051307182898</v>
      </c>
      <c r="AK4705">
        <v>48.655224401884901</v>
      </c>
    </row>
    <row r="4706" spans="1:37" x14ac:dyDescent="0.2">
      <c r="A4706" t="str">
        <f>"20200111155645648"</f>
        <v>20200111155645648</v>
      </c>
      <c r="B4706" t="str">
        <f>"1578729405637169"</f>
        <v>1578729405637169</v>
      </c>
      <c r="C4706" t="s">
        <v>37</v>
      </c>
      <c r="D4706">
        <v>4.9576099999999999</v>
      </c>
      <c r="E4706">
        <v>0.48347230000000002</v>
      </c>
      <c r="F4706" t="s">
        <v>38</v>
      </c>
      <c r="G4706">
        <v>-393.04109999999997</v>
      </c>
      <c r="H4706" s="1">
        <v>-3.44699999999999E-6</v>
      </c>
      <c r="I4706">
        <v>136.91380000000001</v>
      </c>
      <c r="J4706">
        <v>-349.73540000000003</v>
      </c>
      <c r="K4706">
        <v>1.10246</v>
      </c>
      <c r="L4706">
        <v>141.90950000000001</v>
      </c>
      <c r="M4706">
        <v>-0.9997878</v>
      </c>
      <c r="N4706">
        <v>0</v>
      </c>
      <c r="O4706">
        <v>-1.458127E-2</v>
      </c>
      <c r="P4706">
        <v>-0.99773219999999996</v>
      </c>
      <c r="Q4706">
        <v>1.5800700000000001E-2</v>
      </c>
      <c r="R4706">
        <v>-6.5431230000000007E-2</v>
      </c>
      <c r="S4706">
        <v>-2.9852910000000001</v>
      </c>
      <c r="T4706">
        <v>-7.5309039999999994E-2</v>
      </c>
      <c r="U4706">
        <v>-0.34155269999999999</v>
      </c>
      <c r="V4706">
        <v>-5.0729330000000003E-2</v>
      </c>
      <c r="W4706">
        <v>3.0577010000000002E-2</v>
      </c>
      <c r="X4706">
        <v>0.99824419999999903</v>
      </c>
      <c r="Y4706">
        <v>-9.9143399999999895E-2</v>
      </c>
      <c r="Z4706">
        <v>-8.7973169999999896E-4</v>
      </c>
      <c r="AA4706">
        <v>0.99507279999999998</v>
      </c>
      <c r="AB4706">
        <v>41</v>
      </c>
      <c r="AC4706">
        <v>-43.305699999999902</v>
      </c>
      <c r="AD4706">
        <v>-1.1024634470000001</v>
      </c>
      <c r="AE4706">
        <v>-4.9956999999999896</v>
      </c>
      <c r="AF4706">
        <v>-4.3608606831302996</v>
      </c>
      <c r="AG4706">
        <v>-1.1024634470000001</v>
      </c>
      <c r="AH4706">
        <v>43.346222948350203</v>
      </c>
      <c r="AI4706">
        <v>91.449626423167601</v>
      </c>
      <c r="AJ4706">
        <v>95.744930036679506</v>
      </c>
      <c r="AK4706">
        <v>43.578980890306802</v>
      </c>
    </row>
    <row r="4707" spans="1:37" x14ac:dyDescent="0.2">
      <c r="A4707" t="str">
        <f>"20200111155645805"</f>
        <v>20200111155645805</v>
      </c>
      <c r="B4707" t="str">
        <f>"1578729405797740"</f>
        <v>1578729405797740</v>
      </c>
      <c r="C4707" t="s">
        <v>37</v>
      </c>
      <c r="D4707">
        <v>4.6457819999999996</v>
      </c>
      <c r="E4707">
        <v>0.48260890000000001</v>
      </c>
      <c r="F4707" t="s">
        <v>38</v>
      </c>
      <c r="G4707">
        <v>-391.2097</v>
      </c>
      <c r="H4707" s="1">
        <v>-4.1671399999999997E-6</v>
      </c>
      <c r="I4707">
        <v>137.2833</v>
      </c>
      <c r="J4707">
        <v>-352.58870000000002</v>
      </c>
      <c r="K4707">
        <v>1.102139</v>
      </c>
      <c r="L4707">
        <v>141.90029999999999</v>
      </c>
      <c r="M4707">
        <v>-0.99988759999999999</v>
      </c>
      <c r="N4707">
        <v>0</v>
      </c>
      <c r="O4707">
        <v>1.0313939999999999E-3</v>
      </c>
      <c r="P4707">
        <v>-0.99861800000000001</v>
      </c>
      <c r="Q4707">
        <v>1.9310460000000002E-2</v>
      </c>
      <c r="R4707">
        <v>-4.8881019999999997E-2</v>
      </c>
      <c r="S4707">
        <v>-2.9862060000000001</v>
      </c>
      <c r="T4707">
        <v>-7.9378959999999998E-2</v>
      </c>
      <c r="U4707">
        <v>-0.33308409999999999</v>
      </c>
      <c r="V4707">
        <v>-4.9710440000000002E-2</v>
      </c>
      <c r="W4707">
        <v>3.4537419999999999E-2</v>
      </c>
      <c r="X4707">
        <v>0.99816629999999995</v>
      </c>
      <c r="Y4707">
        <v>-0.1118392</v>
      </c>
      <c r="Z4707">
        <v>-1.508924E-3</v>
      </c>
      <c r="AA4707">
        <v>0.99372519999999998</v>
      </c>
      <c r="AB4707">
        <v>41</v>
      </c>
      <c r="AC4707">
        <v>-38.620999999999903</v>
      </c>
      <c r="AD4707">
        <v>-1.1021431671399999</v>
      </c>
      <c r="AE4707">
        <v>-4.6169999999999902</v>
      </c>
      <c r="AF4707">
        <v>-4.6530994529473801</v>
      </c>
      <c r="AG4707">
        <v>-1.1021431671399999</v>
      </c>
      <c r="AH4707">
        <v>38.5852365440143</v>
      </c>
      <c r="AI4707">
        <v>91.624381194689704</v>
      </c>
      <c r="AJ4707">
        <v>96.876250538323205</v>
      </c>
      <c r="AK4707">
        <v>38.880413233882003</v>
      </c>
    </row>
    <row r="4708" spans="1:37" x14ac:dyDescent="0.2">
      <c r="A4708" t="str">
        <f>"20200111155645827"</f>
        <v>20200111155645827</v>
      </c>
      <c r="B4708" t="str">
        <f>"1578729405817261"</f>
        <v>1578729405817261</v>
      </c>
      <c r="C4708" t="s">
        <v>37</v>
      </c>
      <c r="D4708">
        <v>4.6391349999999996</v>
      </c>
      <c r="E4708">
        <v>0.48137570000000002</v>
      </c>
      <c r="F4708" t="s">
        <v>38</v>
      </c>
      <c r="G4708">
        <v>-398.38119999999998</v>
      </c>
      <c r="H4708" s="1">
        <v>-1.1123999999999999E-6</v>
      </c>
      <c r="I4708">
        <v>137.45339999999999</v>
      </c>
      <c r="J4708">
        <v>-352.98660000000001</v>
      </c>
      <c r="K4708">
        <v>1.102125</v>
      </c>
      <c r="L4708">
        <v>141.90260000000001</v>
      </c>
      <c r="M4708">
        <v>-0.9998823</v>
      </c>
      <c r="N4708">
        <v>0</v>
      </c>
      <c r="O4708">
        <v>3.2760609999999998E-3</v>
      </c>
      <c r="P4708">
        <v>-0.99867129999999904</v>
      </c>
      <c r="Q4708">
        <v>1.9467209999999999E-2</v>
      </c>
      <c r="R4708">
        <v>-4.7714609999999998E-2</v>
      </c>
      <c r="S4708">
        <v>-2.9913639999999999</v>
      </c>
      <c r="T4708">
        <v>-7.1996690000000002E-2</v>
      </c>
      <c r="U4708">
        <v>-0.29048160000000001</v>
      </c>
      <c r="V4708">
        <v>-5.0782889999999997E-2</v>
      </c>
      <c r="W4708">
        <v>3.473043E-2</v>
      </c>
      <c r="X4708">
        <v>0.99810560000000004</v>
      </c>
      <c r="Y4708">
        <v>-9.9883089999999994E-2</v>
      </c>
      <c r="Z4708">
        <v>-1.2776739999999999E-3</v>
      </c>
      <c r="AA4708">
        <v>0.9949983</v>
      </c>
      <c r="AB4708">
        <v>40</v>
      </c>
      <c r="AC4708">
        <v>-45.394599999999897</v>
      </c>
      <c r="AD4708">
        <v>-1.1021261123999999</v>
      </c>
      <c r="AE4708">
        <v>-4.44920000000001</v>
      </c>
      <c r="AF4708">
        <v>-4.5952253774077798</v>
      </c>
      <c r="AG4708">
        <v>-1.1021261123999999</v>
      </c>
      <c r="AH4708">
        <v>45.353299279335303</v>
      </c>
      <c r="AI4708">
        <v>91.384977120842805</v>
      </c>
      <c r="AJ4708">
        <v>95.785501304591804</v>
      </c>
      <c r="AK4708">
        <v>45.598821626855198</v>
      </c>
    </row>
    <row r="4709" spans="1:37" x14ac:dyDescent="0.2">
      <c r="A4709" t="str">
        <f>"20200111155645850"</f>
        <v>20200111155645850</v>
      </c>
      <c r="B4709" t="str">
        <f>"1578729405847516"</f>
        <v>1578729405847516</v>
      </c>
      <c r="C4709" t="s">
        <v>37</v>
      </c>
      <c r="D4709">
        <v>4.7043809999999997</v>
      </c>
      <c r="E4709">
        <v>0.47996169999999999</v>
      </c>
      <c r="F4709" t="s">
        <v>38</v>
      </c>
      <c r="G4709">
        <v>-398.83409999999998</v>
      </c>
      <c r="H4709" s="1">
        <v>-9.8464250000000008E-7</v>
      </c>
      <c r="I4709">
        <v>137.35429999999999</v>
      </c>
      <c r="J4709">
        <v>-353.39400000000001</v>
      </c>
      <c r="K4709">
        <v>1.102115</v>
      </c>
      <c r="L4709">
        <v>141.90600000000001</v>
      </c>
      <c r="M4709">
        <v>-0.99987179999999998</v>
      </c>
      <c r="N4709">
        <v>0</v>
      </c>
      <c r="O4709">
        <v>5.5763649999999998E-3</v>
      </c>
      <c r="P4709">
        <v>-0.99873729999999905</v>
      </c>
      <c r="Q4709">
        <v>1.9527470000000002E-2</v>
      </c>
      <c r="R4709">
        <v>-4.6284550000000001E-2</v>
      </c>
      <c r="S4709">
        <v>-2.9912109999999998</v>
      </c>
      <c r="T4709">
        <v>-7.1905730000000001E-2</v>
      </c>
      <c r="U4709">
        <v>-0.29673769999999999</v>
      </c>
      <c r="V4709">
        <v>-5.1648430000000002E-2</v>
      </c>
      <c r="W4709">
        <v>3.4821449999999997E-2</v>
      </c>
      <c r="X4709">
        <v>0.99805809999999995</v>
      </c>
      <c r="Y4709">
        <v>-0.10423540000000001</v>
      </c>
      <c r="Z4709">
        <v>-1.38333799999999E-3</v>
      </c>
      <c r="AA4709">
        <v>0.99455169999999904</v>
      </c>
      <c r="AB4709">
        <v>40</v>
      </c>
      <c r="AC4709">
        <v>-45.440099999999902</v>
      </c>
      <c r="AD4709">
        <v>-1.1021159846424999</v>
      </c>
      <c r="AE4709">
        <v>-4.5517000000000101</v>
      </c>
      <c r="AF4709">
        <v>-4.8022513930778103</v>
      </c>
      <c r="AG4709">
        <v>-1.1021159846424999</v>
      </c>
      <c r="AH4709">
        <v>45.3875736724098</v>
      </c>
      <c r="AI4709">
        <v>91.383283396430002</v>
      </c>
      <c r="AJ4709">
        <v>96.039733186274404</v>
      </c>
      <c r="AK4709">
        <v>45.654223484299401</v>
      </c>
    </row>
    <row r="4710" spans="1:37" x14ac:dyDescent="0.2">
      <c r="A4710" t="str">
        <f>"20200111155645872"</f>
        <v>20200111155645872</v>
      </c>
      <c r="B4710" t="str">
        <f>"1578729405867035"</f>
        <v>1578729405867035</v>
      </c>
      <c r="C4710" t="s">
        <v>37</v>
      </c>
      <c r="D4710">
        <v>4.6732189999999996</v>
      </c>
      <c r="E4710">
        <v>0.47906339999999997</v>
      </c>
      <c r="F4710" t="s">
        <v>38</v>
      </c>
      <c r="G4710">
        <v>-397.84890000000001</v>
      </c>
      <c r="H4710" s="1">
        <v>-1.310683E-6</v>
      </c>
      <c r="I4710">
        <v>137.38900000000001</v>
      </c>
      <c r="J4710">
        <v>-353.7998</v>
      </c>
      <c r="K4710">
        <v>1.102114</v>
      </c>
      <c r="L4710">
        <v>141.9102</v>
      </c>
      <c r="M4710">
        <v>-0.99985609999999903</v>
      </c>
      <c r="N4710">
        <v>0</v>
      </c>
      <c r="O4710">
        <v>7.8690700000000006E-3</v>
      </c>
      <c r="P4710">
        <v>-0.99886010000000003</v>
      </c>
      <c r="Q4710">
        <v>1.9079019999999999E-2</v>
      </c>
      <c r="R4710">
        <v>-4.375486E-2</v>
      </c>
      <c r="S4710">
        <v>-2.9911799999999999</v>
      </c>
      <c r="T4710">
        <v>-7.4156760000000002E-2</v>
      </c>
      <c r="U4710">
        <v>-0.30392459999999999</v>
      </c>
      <c r="V4710">
        <v>-5.1410289999999997E-2</v>
      </c>
      <c r="W4710">
        <v>3.4393979999999998E-2</v>
      </c>
      <c r="X4710">
        <v>0.99808519999999901</v>
      </c>
      <c r="Y4710">
        <v>-0.108877399999999</v>
      </c>
      <c r="Z4710">
        <v>-1.540561E-3</v>
      </c>
      <c r="AA4710">
        <v>0.99405399999999999</v>
      </c>
      <c r="AB4710">
        <v>40</v>
      </c>
      <c r="AC4710">
        <v>-44.049100000000003</v>
      </c>
      <c r="AD4710">
        <v>-1.1021153106829999</v>
      </c>
      <c r="AE4710">
        <v>-4.5211999999999897</v>
      </c>
      <c r="AF4710">
        <v>-4.8647109860432298</v>
      </c>
      <c r="AG4710">
        <v>-1.1021153106829999</v>
      </c>
      <c r="AH4710">
        <v>43.984906348308201</v>
      </c>
      <c r="AI4710">
        <v>91.426645736678495</v>
      </c>
      <c r="AJ4710">
        <v>96.311237449100304</v>
      </c>
      <c r="AK4710">
        <v>44.266827959604399</v>
      </c>
    </row>
    <row r="4711" spans="1:37" x14ac:dyDescent="0.2">
      <c r="A4711" t="str">
        <f>"20200111155645895"</f>
        <v>20200111155645895</v>
      </c>
      <c r="B4711" t="str">
        <f>"1578729405887532"</f>
        <v>1578729405887532</v>
      </c>
      <c r="C4711" t="s">
        <v>37</v>
      </c>
      <c r="D4711">
        <v>4.820684</v>
      </c>
      <c r="E4711">
        <v>0.47839979999999999</v>
      </c>
      <c r="F4711" t="s">
        <v>38</v>
      </c>
      <c r="G4711">
        <v>-396.50290000000001</v>
      </c>
      <c r="H4711" s="1">
        <v>-1.8444859999999999E-6</v>
      </c>
      <c r="I4711">
        <v>137.57570000000001</v>
      </c>
      <c r="J4711">
        <v>-354.20159999999998</v>
      </c>
      <c r="K4711">
        <v>1.102114</v>
      </c>
      <c r="L4711">
        <v>141.91540000000001</v>
      </c>
      <c r="M4711">
        <v>-0.99983539999999904</v>
      </c>
      <c r="N4711">
        <v>0</v>
      </c>
      <c r="O4711">
        <v>1.014083E-2</v>
      </c>
      <c r="P4711">
        <v>-0.99895599999999996</v>
      </c>
      <c r="Q4711">
        <v>1.8959119999999999E-2</v>
      </c>
      <c r="R4711">
        <v>-4.156402E-2</v>
      </c>
      <c r="S4711">
        <v>-2.9915769999999999</v>
      </c>
      <c r="T4711">
        <v>-7.7209E-2</v>
      </c>
      <c r="U4711">
        <v>-0.30364989999999997</v>
      </c>
      <c r="V4711">
        <v>-5.1488510000000001E-2</v>
      </c>
      <c r="W4711">
        <v>3.4292000000000003E-2</v>
      </c>
      <c r="X4711">
        <v>0.99808469999999905</v>
      </c>
      <c r="Y4711">
        <v>-0.11102770000000001</v>
      </c>
      <c r="Z4711">
        <v>-1.689907E-3</v>
      </c>
      <c r="AA4711">
        <v>0.99381589999999997</v>
      </c>
      <c r="AB4711">
        <v>40</v>
      </c>
      <c r="AC4711">
        <v>-42.301299999999998</v>
      </c>
      <c r="AD4711">
        <v>-1.102115844486</v>
      </c>
      <c r="AE4711">
        <v>-4.3396999999999899</v>
      </c>
      <c r="AF4711">
        <v>-4.7652946193674799</v>
      </c>
      <c r="AG4711">
        <v>-1.102115844486</v>
      </c>
      <c r="AH4711">
        <v>42.226745930870898</v>
      </c>
      <c r="AI4711">
        <v>91.485651595226599</v>
      </c>
      <c r="AJ4711">
        <v>96.438597347705795</v>
      </c>
      <c r="AK4711">
        <v>42.509066845254999</v>
      </c>
    </row>
    <row r="4712" spans="1:37" x14ac:dyDescent="0.2">
      <c r="A4712" t="str">
        <f>"20200111155645911"</f>
        <v>20200111155645911</v>
      </c>
      <c r="B4712" t="str">
        <f>"1578729405908029"</f>
        <v>1578729405908029</v>
      </c>
      <c r="C4712" t="s">
        <v>37</v>
      </c>
      <c r="D4712">
        <v>4.6758379999999997</v>
      </c>
      <c r="E4712">
        <v>0.47760629999999998</v>
      </c>
      <c r="F4712" t="s">
        <v>38</v>
      </c>
      <c r="G4712">
        <v>-396.88819999999998</v>
      </c>
      <c r="H4712" s="1">
        <v>-1.674661E-6</v>
      </c>
      <c r="I4712">
        <v>137.60120000000001</v>
      </c>
      <c r="J4712">
        <v>-354.50389999999999</v>
      </c>
      <c r="K4712">
        <v>1.1021160000000001</v>
      </c>
      <c r="L4712">
        <v>141.91990000000001</v>
      </c>
      <c r="M4712">
        <v>-0.99981640000000005</v>
      </c>
      <c r="N4712">
        <v>0</v>
      </c>
      <c r="O4712">
        <v>1.1851169999999999E-2</v>
      </c>
      <c r="P4712">
        <v>-0.99903430000000004</v>
      </c>
      <c r="Q4712">
        <v>1.903651E-2</v>
      </c>
      <c r="R4712">
        <v>-3.9598920000000003E-2</v>
      </c>
      <c r="S4712">
        <v>-2.9920040000000001</v>
      </c>
      <c r="T4712">
        <v>-7.7249880000000007E-2</v>
      </c>
      <c r="U4712">
        <v>-0.30238340000000002</v>
      </c>
      <c r="V4712">
        <v>-5.1231829999999999E-2</v>
      </c>
      <c r="W4712">
        <v>3.4379689999999997E-2</v>
      </c>
      <c r="X4712">
        <v>0.99809490000000001</v>
      </c>
      <c r="Y4712">
        <v>-0.1122961</v>
      </c>
      <c r="Z4712">
        <v>-1.750981E-3</v>
      </c>
      <c r="AA4712">
        <v>0.99367329999999998</v>
      </c>
      <c r="AB4712">
        <v>40</v>
      </c>
      <c r="AC4712">
        <v>-42.384300000000003</v>
      </c>
      <c r="AD4712">
        <v>-1.102117674661</v>
      </c>
      <c r="AE4712">
        <v>-4.3186999999999998</v>
      </c>
      <c r="AF4712">
        <v>-4.8175332092912502</v>
      </c>
      <c r="AG4712">
        <v>-1.102117674661</v>
      </c>
      <c r="AH4712">
        <v>42.301826670104496</v>
      </c>
      <c r="AI4712">
        <v>91.482846729259506</v>
      </c>
      <c r="AJ4712">
        <v>96.497123700081502</v>
      </c>
      <c r="AK4712">
        <v>42.589527224647497</v>
      </c>
    </row>
    <row r="4713" spans="1:37" x14ac:dyDescent="0.2">
      <c r="A4713" t="str">
        <f>"20200111155645928"</f>
        <v>20200111155645928</v>
      </c>
      <c r="B4713" t="str">
        <f>"1578729405917788"</f>
        <v>1578729405917788</v>
      </c>
      <c r="C4713" t="s">
        <v>37</v>
      </c>
      <c r="D4713">
        <v>4.7570069999999998</v>
      </c>
      <c r="E4713">
        <v>0.47724240000000001</v>
      </c>
      <c r="F4713" t="s">
        <v>38</v>
      </c>
      <c r="G4713">
        <v>-397.80070000000001</v>
      </c>
      <c r="H4713" s="1">
        <v>-1.2938319999999901E-6</v>
      </c>
      <c r="I4713">
        <v>137.54130000000001</v>
      </c>
      <c r="J4713">
        <v>-354.79770000000002</v>
      </c>
      <c r="K4713">
        <v>1.102117</v>
      </c>
      <c r="L4713">
        <v>141.9248</v>
      </c>
      <c r="M4713">
        <v>-0.99979530000000005</v>
      </c>
      <c r="N4713">
        <v>0</v>
      </c>
      <c r="O4713">
        <v>1.3513829999999999E-2</v>
      </c>
      <c r="P4713">
        <v>-0.99908519999999901</v>
      </c>
      <c r="Q4713">
        <v>1.929351E-2</v>
      </c>
      <c r="R4713">
        <v>-3.8166810000000002E-2</v>
      </c>
      <c r="S4713">
        <v>-2.9923709999999999</v>
      </c>
      <c r="T4713">
        <v>-7.6170680000000004E-2</v>
      </c>
      <c r="U4713">
        <v>-0.3026123</v>
      </c>
      <c r="V4713">
        <v>-5.145885E-2</v>
      </c>
      <c r="W4713">
        <v>3.464656E-2</v>
      </c>
      <c r="X4713">
        <v>0.99807389999999996</v>
      </c>
      <c r="Y4713">
        <v>-0.1140115</v>
      </c>
      <c r="Z4713">
        <v>-1.79030799999999E-3</v>
      </c>
      <c r="AA4713">
        <v>0.99347779999999997</v>
      </c>
      <c r="AB4713">
        <v>40</v>
      </c>
      <c r="AC4713">
        <v>-43.002999999999901</v>
      </c>
      <c r="AD4713">
        <v>-1.102118293832</v>
      </c>
      <c r="AE4713">
        <v>-4.38349999999999</v>
      </c>
      <c r="AF4713">
        <v>-4.9610756334274102</v>
      </c>
      <c r="AG4713">
        <v>-1.102118293832</v>
      </c>
      <c r="AH4713">
        <v>42.911931291814803</v>
      </c>
      <c r="AI4713">
        <v>91.461488666954693</v>
      </c>
      <c r="AJ4713">
        <v>96.594724160674005</v>
      </c>
      <c r="AK4713">
        <v>43.211813007181497</v>
      </c>
    </row>
    <row r="4714" spans="1:37" x14ac:dyDescent="0.2">
      <c r="A4714" t="str">
        <f>"20200111155645945"</f>
        <v>20200111155645945</v>
      </c>
      <c r="B4714" t="str">
        <f>"1578729405937309"</f>
        <v>1578729405937309</v>
      </c>
      <c r="C4714" t="s">
        <v>37</v>
      </c>
      <c r="D4714">
        <v>4.7553140000000003</v>
      </c>
      <c r="E4714">
        <v>0.4765935</v>
      </c>
      <c r="F4714" t="s">
        <v>38</v>
      </c>
      <c r="G4714">
        <v>-398.00459999999998</v>
      </c>
      <c r="H4714" s="1">
        <v>-1.2079769999999999E-6</v>
      </c>
      <c r="I4714">
        <v>137.57589999999999</v>
      </c>
      <c r="J4714">
        <v>-355.10660000000001</v>
      </c>
      <c r="K4714">
        <v>1.1021179999999999</v>
      </c>
      <c r="L4714">
        <v>141.93039999999999</v>
      </c>
      <c r="M4714">
        <v>-0.99976989999999999</v>
      </c>
      <c r="N4714">
        <v>0</v>
      </c>
      <c r="O4714">
        <v>1.5263250000000001E-2</v>
      </c>
      <c r="P4714">
        <v>-0.99915359999999998</v>
      </c>
      <c r="Q4714">
        <v>1.9530780000000001E-2</v>
      </c>
      <c r="R4714">
        <v>-3.620578E-2</v>
      </c>
      <c r="S4714">
        <v>-2.992737</v>
      </c>
      <c r="T4714">
        <v>-7.6338649999999994E-2</v>
      </c>
      <c r="U4714">
        <v>-0.30122379999999999</v>
      </c>
      <c r="V4714">
        <v>-5.1244249999999998E-2</v>
      </c>
      <c r="W4714">
        <v>3.4891499999999999E-2</v>
      </c>
      <c r="X4714">
        <v>0.99807639999999997</v>
      </c>
      <c r="Y4714">
        <v>-0.1152801</v>
      </c>
      <c r="Z4714">
        <v>-1.8547379999999899E-3</v>
      </c>
      <c r="AA4714">
        <v>0.99333130000000003</v>
      </c>
      <c r="AB4714">
        <v>40</v>
      </c>
      <c r="AC4714">
        <v>-42.897999999999897</v>
      </c>
      <c r="AD4714">
        <v>-1.1021192079769999</v>
      </c>
      <c r="AE4714">
        <v>-4.3544999999999998</v>
      </c>
      <c r="AF4714">
        <v>-5.0055596436529601</v>
      </c>
      <c r="AG4714">
        <v>-1.1021192079769999</v>
      </c>
      <c r="AH4714">
        <v>42.798568808553199</v>
      </c>
      <c r="AI4714">
        <v>91.465133194947001</v>
      </c>
      <c r="AJ4714">
        <v>96.670792981007594</v>
      </c>
      <c r="AK4714">
        <v>43.1043824472086</v>
      </c>
    </row>
    <row r="4715" spans="1:37" x14ac:dyDescent="0.2">
      <c r="A4715" t="str">
        <f>"20200111155645959"</f>
        <v>20200111155645959</v>
      </c>
      <c r="B4715" t="str">
        <f>"1578729405947068"</f>
        <v>1578729405947068</v>
      </c>
      <c r="C4715" t="s">
        <v>37</v>
      </c>
      <c r="D4715">
        <v>4.7497930000000004</v>
      </c>
      <c r="E4715">
        <v>0.47629379999999999</v>
      </c>
      <c r="F4715" t="s">
        <v>38</v>
      </c>
      <c r="G4715">
        <v>-398.07350000000002</v>
      </c>
      <c r="H4715" s="1">
        <v>-1.173737E-6</v>
      </c>
      <c r="I4715">
        <v>137.6163</v>
      </c>
      <c r="J4715">
        <v>-355.35680000000002</v>
      </c>
      <c r="K4715">
        <v>1.10212</v>
      </c>
      <c r="L4715">
        <v>141.93530000000001</v>
      </c>
      <c r="M4715">
        <v>-0.99974719999999995</v>
      </c>
      <c r="N4715">
        <v>0</v>
      </c>
      <c r="O4715">
        <v>1.6681350000000001E-2</v>
      </c>
      <c r="P4715">
        <v>-0.99920379999999998</v>
      </c>
      <c r="Q4715">
        <v>1.9535179999999999E-2</v>
      </c>
      <c r="R4715">
        <v>-3.4789680000000003E-2</v>
      </c>
      <c r="S4715">
        <v>-2.9931640000000002</v>
      </c>
      <c r="T4715">
        <v>-7.6775789999999997E-2</v>
      </c>
      <c r="U4715">
        <v>-0.30052190000000001</v>
      </c>
      <c r="V4715">
        <v>-5.1245180000000001E-2</v>
      </c>
      <c r="W4715">
        <v>3.4901509999999997E-2</v>
      </c>
      <c r="X4715">
        <v>0.99807610000000002</v>
      </c>
      <c r="Y4715">
        <v>-0.116443</v>
      </c>
      <c r="Z4715">
        <v>-1.9162789999999999E-3</v>
      </c>
      <c r="AA4715">
        <v>0.99319550000000001</v>
      </c>
      <c r="AB4715">
        <v>40</v>
      </c>
      <c r="AC4715">
        <v>-42.716700000000003</v>
      </c>
      <c r="AD4715">
        <v>-1.102121173737</v>
      </c>
      <c r="AE4715">
        <v>-4.3190000000000097</v>
      </c>
      <c r="AF4715">
        <v>-5.0277391326952898</v>
      </c>
      <c r="AG4715">
        <v>-1.102121173737</v>
      </c>
      <c r="AH4715">
        <v>42.610622103179097</v>
      </c>
      <c r="AI4715">
        <v>91.471418747063197</v>
      </c>
      <c r="AJ4715">
        <v>96.729365177890102</v>
      </c>
      <c r="AK4715">
        <v>42.9203675180906</v>
      </c>
    </row>
    <row r="4716" spans="1:37" x14ac:dyDescent="0.2">
      <c r="A4716" t="str">
        <f>"20200111155645973"</f>
        <v>20200111155645973</v>
      </c>
      <c r="B4716" t="str">
        <f>"1578729405967563"</f>
        <v>1578729405967563</v>
      </c>
      <c r="C4716" t="s">
        <v>37</v>
      </c>
      <c r="D4716">
        <v>5.5302100000000003</v>
      </c>
      <c r="E4716">
        <v>0.47629379999999999</v>
      </c>
      <c r="F4716" t="s">
        <v>38</v>
      </c>
      <c r="G4716">
        <v>-398.21589999999998</v>
      </c>
      <c r="H4716" s="1">
        <v>-1.113662E-6</v>
      </c>
      <c r="I4716">
        <v>137.6601</v>
      </c>
      <c r="J4716">
        <v>-355.61340000000001</v>
      </c>
      <c r="K4716">
        <v>1.1021299999999901</v>
      </c>
      <c r="L4716">
        <v>141.9409</v>
      </c>
      <c r="M4716">
        <v>-0.99972179999999999</v>
      </c>
      <c r="N4716">
        <v>0</v>
      </c>
      <c r="O4716">
        <v>1.8137110000000001E-2</v>
      </c>
      <c r="P4716">
        <v>-0.99925909999999996</v>
      </c>
      <c r="Q4716">
        <v>1.941741E-2</v>
      </c>
      <c r="R4716">
        <v>-3.3230540000000003E-2</v>
      </c>
      <c r="S4716">
        <v>-2.9935299999999998</v>
      </c>
      <c r="T4716">
        <v>-7.6978679999999994E-2</v>
      </c>
      <c r="U4716">
        <v>-0.29859920000000001</v>
      </c>
      <c r="V4716">
        <v>-5.1142109999999998E-2</v>
      </c>
      <c r="W4716">
        <v>3.4788090000000001E-2</v>
      </c>
      <c r="X4716">
        <v>0.99808529999999995</v>
      </c>
      <c r="Y4716">
        <v>-0.1172446</v>
      </c>
      <c r="Z4716">
        <v>-1.9687989999999998E-3</v>
      </c>
      <c r="AA4716">
        <v>0.99310109999999996</v>
      </c>
      <c r="AB4716">
        <v>40</v>
      </c>
      <c r="AC4716">
        <v>-42.6024999999999</v>
      </c>
      <c r="AD4716">
        <v>-1.10213111366199</v>
      </c>
      <c r="AE4716">
        <v>-4.2807999999999904</v>
      </c>
      <c r="AF4716">
        <v>-5.0495240971676303</v>
      </c>
      <c r="AG4716">
        <v>-1.10213111366199</v>
      </c>
      <c r="AH4716">
        <v>42.489688015257897</v>
      </c>
      <c r="AI4716">
        <v>91.475472000071093</v>
      </c>
      <c r="AJ4716">
        <v>96.777310744421399</v>
      </c>
      <c r="AK4716">
        <v>42.802873434309603</v>
      </c>
    </row>
    <row r="4717" spans="1:37" x14ac:dyDescent="0.2">
      <c r="A4717" t="str">
        <f>"20200111155646004"</f>
        <v>20200111155646004</v>
      </c>
      <c r="B4717" t="str">
        <f>"1578729405997820"</f>
        <v>1578729405997820</v>
      </c>
      <c r="C4717" t="s">
        <v>37</v>
      </c>
      <c r="D4717">
        <v>4.8845919999999996</v>
      </c>
      <c r="E4717">
        <v>0.47913129999999998</v>
      </c>
      <c r="F4717" t="s">
        <v>38</v>
      </c>
      <c r="G4717">
        <v>-398.26479999999998</v>
      </c>
      <c r="H4717" s="1">
        <v>-1.0721719999999999E-6</v>
      </c>
      <c r="I4717">
        <v>137.7535</v>
      </c>
      <c r="J4717">
        <v>-356.17</v>
      </c>
      <c r="K4717">
        <v>1.1021399999999999</v>
      </c>
      <c r="L4717">
        <v>141.95410000000001</v>
      </c>
      <c r="M4717">
        <v>-0.99965939999999998</v>
      </c>
      <c r="N4717">
        <v>0</v>
      </c>
      <c r="O4717">
        <v>2.129727E-2</v>
      </c>
      <c r="P4717">
        <v>-0.99935359999999995</v>
      </c>
      <c r="Q4717">
        <v>2.0094689999999998E-2</v>
      </c>
      <c r="R4717">
        <v>-2.9814819999999999E-2</v>
      </c>
      <c r="S4717">
        <v>-2.9939580000000001</v>
      </c>
      <c r="T4717">
        <v>-7.7365279999999995E-2</v>
      </c>
      <c r="U4717">
        <v>-0.29393009999999897</v>
      </c>
      <c r="V4717">
        <v>-5.0881030000000001E-2</v>
      </c>
      <c r="W4717">
        <v>3.5472879999999998E-2</v>
      </c>
      <c r="X4717">
        <v>0.99807449999999998</v>
      </c>
      <c r="Y4717">
        <v>-0.118834</v>
      </c>
      <c r="Z4717">
        <v>-2.080522E-3</v>
      </c>
      <c r="AA4717">
        <v>0.99291189999999996</v>
      </c>
      <c r="AB4717">
        <v>40</v>
      </c>
      <c r="AC4717">
        <v>-42.0947999999999</v>
      </c>
      <c r="AD4717">
        <v>-1.102141072172</v>
      </c>
      <c r="AE4717">
        <v>-4.2005999999999997</v>
      </c>
      <c r="AF4717">
        <v>-5.0927965842909204</v>
      </c>
      <c r="AG4717">
        <v>-1.102141072172</v>
      </c>
      <c r="AH4717">
        <v>41.967293118769398</v>
      </c>
      <c r="AI4717">
        <v>91.493399698539605</v>
      </c>
      <c r="AJ4717">
        <v>96.919100688655504</v>
      </c>
      <c r="AK4717">
        <v>42.2895375206284</v>
      </c>
    </row>
    <row r="4718" spans="1:37" x14ac:dyDescent="0.2">
      <c r="A4718" t="str">
        <f>"20200111155646051"</f>
        <v>20200111155646051</v>
      </c>
      <c r="B4718" t="str">
        <f>"1578729406047596"</f>
        <v>1578729406047596</v>
      </c>
      <c r="C4718" t="s">
        <v>37</v>
      </c>
      <c r="D4718">
        <v>4.8655390000000001</v>
      </c>
      <c r="E4718">
        <v>0.48231299999999999</v>
      </c>
      <c r="F4718" t="s">
        <v>72</v>
      </c>
      <c r="G4718">
        <v>-402.68509999999998</v>
      </c>
      <c r="H4718" s="1">
        <v>-5.7571460000000003E-6</v>
      </c>
      <c r="I4718">
        <v>137.90379999999999</v>
      </c>
      <c r="J4718">
        <v>-357.00439999999998</v>
      </c>
      <c r="K4718">
        <v>1.1021620000000001</v>
      </c>
      <c r="L4718">
        <v>141.97710000000001</v>
      </c>
      <c r="M4718">
        <v>-0.99954690000000002</v>
      </c>
      <c r="N4718">
        <v>0</v>
      </c>
      <c r="O4718">
        <v>2.60399999999999E-2</v>
      </c>
      <c r="P4718">
        <v>-0.99940680000000004</v>
      </c>
      <c r="Q4718">
        <v>2.1866010000000002E-2</v>
      </c>
      <c r="R4718">
        <v>-2.6608630000000001E-2</v>
      </c>
      <c r="S4718">
        <v>-2.99554399999999</v>
      </c>
      <c r="T4718">
        <v>-7.0977570000000004E-2</v>
      </c>
      <c r="U4718">
        <v>-0.2608337</v>
      </c>
      <c r="V4718">
        <v>-5.240384E-2</v>
      </c>
      <c r="W4718">
        <v>3.7258409999999999E-2</v>
      </c>
      <c r="X4718">
        <v>0.99793069999999895</v>
      </c>
      <c r="Y4718">
        <v>-0.1126224</v>
      </c>
      <c r="Z4718">
        <v>-1.9474970000000001E-3</v>
      </c>
      <c r="AA4718">
        <v>0.99363599999999996</v>
      </c>
      <c r="AB4718">
        <v>40</v>
      </c>
      <c r="AC4718">
        <v>-45.680700000000002</v>
      </c>
      <c r="AD4718">
        <v>-1.102167757146</v>
      </c>
      <c r="AE4718">
        <v>-4.0733000000000104</v>
      </c>
      <c r="AF4718">
        <v>-5.2585423642825901</v>
      </c>
      <c r="AG4718">
        <v>-1.102167757146</v>
      </c>
      <c r="AH4718">
        <v>45.532827863152697</v>
      </c>
      <c r="AI4718">
        <v>91.377478796089207</v>
      </c>
      <c r="AJ4718">
        <v>96.587848798863106</v>
      </c>
      <c r="AK4718">
        <v>45.848723589401501</v>
      </c>
    </row>
    <row r="4719" spans="1:37" x14ac:dyDescent="0.2">
      <c r="A4719" t="str">
        <f>"20200111155646073"</f>
        <v>20200111155646073</v>
      </c>
      <c r="B4719" t="str">
        <f>"1578729406067115"</f>
        <v>1578729406067115</v>
      </c>
      <c r="C4719" t="s">
        <v>37</v>
      </c>
      <c r="D4719">
        <v>4.8971099999999996</v>
      </c>
      <c r="E4719">
        <v>0.48532059999999999</v>
      </c>
      <c r="F4719" t="s">
        <v>72</v>
      </c>
      <c r="G4719">
        <v>-405.59010000000001</v>
      </c>
      <c r="H4719" s="1">
        <v>-7.3905709999999999E-6</v>
      </c>
      <c r="I4719">
        <v>138.31979999999999</v>
      </c>
      <c r="J4719">
        <v>-357.41129999999998</v>
      </c>
      <c r="K4719">
        <v>1.102176</v>
      </c>
      <c r="L4719">
        <v>141.9898</v>
      </c>
      <c r="M4719">
        <v>-0.99948389999999998</v>
      </c>
      <c r="N4719">
        <v>0</v>
      </c>
      <c r="O4719">
        <v>2.8354879999999999E-2</v>
      </c>
      <c r="P4719">
        <v>-0.99946800000000002</v>
      </c>
      <c r="Q4719">
        <v>2.122023E-2</v>
      </c>
      <c r="R4719">
        <v>-2.4777250000000001E-2</v>
      </c>
      <c r="S4719">
        <v>-2.9971919999999899</v>
      </c>
      <c r="T4719">
        <v>-6.7991380000000004E-2</v>
      </c>
      <c r="U4719">
        <v>-0.2256165</v>
      </c>
      <c r="V4719">
        <v>-5.2890930000000003E-2</v>
      </c>
      <c r="W4719">
        <v>3.6617980000000001E-2</v>
      </c>
      <c r="X4719">
        <v>0.9979287</v>
      </c>
      <c r="Y4719">
        <v>-0.1032778</v>
      </c>
      <c r="Z4719">
        <v>-1.812045E-3</v>
      </c>
      <c r="AA4719">
        <v>0.9946509</v>
      </c>
      <c r="AB4719">
        <v>40</v>
      </c>
      <c r="AC4719">
        <v>-48.178800000000003</v>
      </c>
      <c r="AD4719">
        <v>-1.1021833905709999</v>
      </c>
      <c r="AE4719">
        <v>-3.6700000000000101</v>
      </c>
      <c r="AF4719">
        <v>-5.0321654267917797</v>
      </c>
      <c r="AG4719">
        <v>-1.1021833905709999</v>
      </c>
      <c r="AH4719">
        <v>48.030357682526002</v>
      </c>
      <c r="AI4719">
        <v>91.307418657188805</v>
      </c>
      <c r="AJ4719">
        <v>95.981087636851697</v>
      </c>
      <c r="AK4719">
        <v>48.305825282469101</v>
      </c>
    </row>
    <row r="4720" spans="1:37" x14ac:dyDescent="0.2">
      <c r="A4720" t="str">
        <f>"20200111155646090"</f>
        <v>20200111155646090</v>
      </c>
      <c r="B4720" t="str">
        <f>"1578729406087612"</f>
        <v>1578729406087612</v>
      </c>
      <c r="C4720" t="s">
        <v>37</v>
      </c>
      <c r="D4720">
        <v>5.0370189999999999</v>
      </c>
      <c r="E4720">
        <v>0.4878981</v>
      </c>
      <c r="F4720" t="s">
        <v>72</v>
      </c>
      <c r="G4720">
        <v>-402.8408</v>
      </c>
      <c r="H4720" s="1">
        <v>-6.3458689999999999E-6</v>
      </c>
      <c r="I4720">
        <v>139.01679999999999</v>
      </c>
      <c r="J4720">
        <v>-357.69170000000003</v>
      </c>
      <c r="K4720">
        <v>1.1021809999999901</v>
      </c>
      <c r="L4720">
        <v>141.9991</v>
      </c>
      <c r="M4720">
        <v>-0.99943729999999997</v>
      </c>
      <c r="N4720">
        <v>0</v>
      </c>
      <c r="O4720">
        <v>2.99514E-2</v>
      </c>
      <c r="P4720">
        <v>-0.99950249999999996</v>
      </c>
      <c r="Q4720">
        <v>2.1103070000000002E-2</v>
      </c>
      <c r="R4720">
        <v>-2.3446189999999999E-2</v>
      </c>
      <c r="S4720">
        <v>-2.998291</v>
      </c>
      <c r="T4720">
        <v>-7.2742580000000001E-2</v>
      </c>
      <c r="U4720">
        <v>-0.19621279999999999</v>
      </c>
      <c r="V4720">
        <v>-5.3157629999999997E-2</v>
      </c>
      <c r="W4720">
        <v>3.6502659999999999E-2</v>
      </c>
      <c r="X4720">
        <v>0.99791869999999905</v>
      </c>
      <c r="Y4720">
        <v>-9.5126769999999999E-2</v>
      </c>
      <c r="Z4720">
        <v>-1.8785079999999899E-3</v>
      </c>
      <c r="AA4720">
        <v>0.9954634</v>
      </c>
      <c r="AB4720">
        <v>40</v>
      </c>
      <c r="AC4720">
        <v>-45.149099999999898</v>
      </c>
      <c r="AD4720">
        <v>-1.1021873458689999</v>
      </c>
      <c r="AE4720">
        <v>-2.9823</v>
      </c>
      <c r="AF4720">
        <v>-4.3308248826922497</v>
      </c>
      <c r="AG4720">
        <v>-1.1021873458689999</v>
      </c>
      <c r="AH4720">
        <v>45.012796256445803</v>
      </c>
      <c r="AI4720">
        <v>91.396224329916805</v>
      </c>
      <c r="AJ4720">
        <v>95.495693748555496</v>
      </c>
      <c r="AK4720">
        <v>45.234087676598897</v>
      </c>
    </row>
    <row r="4721" spans="1:37" x14ac:dyDescent="0.2">
      <c r="A4721" t="str">
        <f>"20200111155646104"</f>
        <v>20200111155646104</v>
      </c>
      <c r="B4721" t="str">
        <f>"1578729406097372"</f>
        <v>1578729406097372</v>
      </c>
      <c r="C4721" t="s">
        <v>37</v>
      </c>
      <c r="D4721">
        <v>4.9072329999999997</v>
      </c>
      <c r="E4721">
        <v>0.48907460000000003</v>
      </c>
      <c r="F4721" t="s">
        <v>72</v>
      </c>
      <c r="G4721">
        <v>-402.83609999999999</v>
      </c>
      <c r="H4721" s="1">
        <v>-6.5306050000000001E-6</v>
      </c>
      <c r="I4721">
        <v>139.4169</v>
      </c>
      <c r="J4721">
        <v>-357.95400000000001</v>
      </c>
      <c r="K4721">
        <v>1.1021809999999901</v>
      </c>
      <c r="L4721">
        <v>142.00819999999999</v>
      </c>
      <c r="M4721">
        <v>-0.99939140000000004</v>
      </c>
      <c r="N4721">
        <v>0</v>
      </c>
      <c r="O4721">
        <v>3.1444630000000001E-2</v>
      </c>
      <c r="P4721">
        <v>-0.99952739999999995</v>
      </c>
      <c r="Q4721">
        <v>2.126981E-2</v>
      </c>
      <c r="R4721">
        <v>-2.2198570000000001E-2</v>
      </c>
      <c r="S4721">
        <v>-2.9990540000000001</v>
      </c>
      <c r="T4721">
        <v>-7.3221090000000003E-2</v>
      </c>
      <c r="U4721">
        <v>-0.17153929999999901</v>
      </c>
      <c r="V4721">
        <v>-5.3401400000000002E-2</v>
      </c>
      <c r="W4721">
        <v>3.6670870000000001E-2</v>
      </c>
      <c r="X4721">
        <v>0.997899599999999</v>
      </c>
      <c r="Y4721">
        <v>-8.8437509999999997E-2</v>
      </c>
      <c r="Z4721">
        <v>-1.8456829999999899E-3</v>
      </c>
      <c r="AA4721">
        <v>0.99607999999999997</v>
      </c>
      <c r="AB4721">
        <v>40</v>
      </c>
      <c r="AC4721">
        <v>-44.882099999999902</v>
      </c>
      <c r="AD4721">
        <v>-1.102187530605</v>
      </c>
      <c r="AE4721">
        <v>-2.59129999999998</v>
      </c>
      <c r="AF4721">
        <v>-3.9990765939260502</v>
      </c>
      <c r="AG4721">
        <v>-1.102187530605</v>
      </c>
      <c r="AH4721">
        <v>44.751510327346502</v>
      </c>
      <c r="AI4721">
        <v>91.405258381244906</v>
      </c>
      <c r="AJ4721">
        <v>95.106491505266305</v>
      </c>
      <c r="AK4721">
        <v>44.943354431276198</v>
      </c>
    </row>
    <row r="4722" spans="1:37" x14ac:dyDescent="0.2">
      <c r="A4722" t="str">
        <f>"20200111155646118"</f>
        <v>20200111155646118</v>
      </c>
      <c r="B4722" t="str">
        <f>"1578729406107133"</f>
        <v>1578729406107133</v>
      </c>
      <c r="C4722" t="s">
        <v>37</v>
      </c>
      <c r="D4722">
        <v>4.923978</v>
      </c>
      <c r="E4722">
        <v>0.49019499999999999</v>
      </c>
      <c r="F4722" t="s">
        <v>72</v>
      </c>
      <c r="G4722">
        <v>-402.48970000000003</v>
      </c>
      <c r="H4722" s="1">
        <v>-6.4866029999999997E-6</v>
      </c>
      <c r="I4722">
        <v>139.65649999999999</v>
      </c>
      <c r="J4722">
        <v>-358.20760000000001</v>
      </c>
      <c r="K4722">
        <v>1.1021840000000001</v>
      </c>
      <c r="L4722">
        <v>142.01730000000001</v>
      </c>
      <c r="M4722">
        <v>-0.99934480000000003</v>
      </c>
      <c r="N4722">
        <v>0</v>
      </c>
      <c r="O4722">
        <v>3.2888569999999999E-2</v>
      </c>
      <c r="P4722">
        <v>-0.99953709999999996</v>
      </c>
      <c r="Q4722">
        <v>2.1688410000000002E-2</v>
      </c>
      <c r="R4722">
        <v>-2.1335570000000002E-2</v>
      </c>
      <c r="S4722">
        <v>-2.9994809999999998</v>
      </c>
      <c r="T4722">
        <v>-7.4232339999999994E-2</v>
      </c>
      <c r="U4722">
        <v>-0.1583862</v>
      </c>
      <c r="V4722">
        <v>-5.3979640000000002E-2</v>
      </c>
      <c r="W4722">
        <v>3.7092590000000002E-2</v>
      </c>
      <c r="X4722">
        <v>0.99785290000000004</v>
      </c>
      <c r="Y4722">
        <v>-8.5512939999999996E-2</v>
      </c>
      <c r="Z4722">
        <v>-1.8706629999999901E-3</v>
      </c>
      <c r="AA4722">
        <v>0.99633530000000003</v>
      </c>
      <c r="AB4722">
        <v>40</v>
      </c>
      <c r="AC4722">
        <v>-44.2821</v>
      </c>
      <c r="AD4722">
        <v>-1.1021904866029999</v>
      </c>
      <c r="AE4722">
        <v>-2.36080000000001</v>
      </c>
      <c r="AF4722">
        <v>-3.8137078216537099</v>
      </c>
      <c r="AG4722">
        <v>-1.1021904866029999</v>
      </c>
      <c r="AH4722">
        <v>44.153210433020199</v>
      </c>
      <c r="AI4722">
        <v>91.424667324556097</v>
      </c>
      <c r="AJ4722">
        <v>94.936637236705906</v>
      </c>
      <c r="AK4722">
        <v>44.3313115389142</v>
      </c>
    </row>
    <row r="4723" spans="1:37" x14ac:dyDescent="0.2">
      <c r="A4723" t="str">
        <f>"20200111155646136"</f>
        <v>20200111155646136</v>
      </c>
      <c r="B4723" t="str">
        <f>"1578729406127628"</f>
        <v>1578729406127628</v>
      </c>
      <c r="C4723" t="s">
        <v>37</v>
      </c>
      <c r="D4723">
        <v>4.994497</v>
      </c>
      <c r="E4723">
        <v>0.49220379999999903</v>
      </c>
      <c r="F4723" t="s">
        <v>72</v>
      </c>
      <c r="G4723">
        <v>-402.60969999999998</v>
      </c>
      <c r="H4723" s="1">
        <v>-6.6175099999999996E-6</v>
      </c>
      <c r="I4723">
        <v>139.84559999999999</v>
      </c>
      <c r="J4723">
        <v>-358.52749999999997</v>
      </c>
      <c r="K4723">
        <v>1.10219</v>
      </c>
      <c r="L4723">
        <v>142.02940000000001</v>
      </c>
      <c r="M4723">
        <v>-0.99928320000000004</v>
      </c>
      <c r="N4723">
        <v>0</v>
      </c>
      <c r="O4723">
        <v>3.471163E-2</v>
      </c>
      <c r="P4723">
        <v>-0.9995617</v>
      </c>
      <c r="Q4723">
        <v>2.189027E-2</v>
      </c>
      <c r="R4723">
        <v>-1.9928919999999999E-2</v>
      </c>
      <c r="S4723">
        <v>-2.999908</v>
      </c>
      <c r="T4723">
        <v>-7.4466470000000007E-2</v>
      </c>
      <c r="U4723">
        <v>-0.14672850000000001</v>
      </c>
      <c r="V4723">
        <v>-5.4394619999999998E-2</v>
      </c>
      <c r="W4723">
        <v>3.7296049999999997E-2</v>
      </c>
      <c r="X4723">
        <v>0.99782280000000001</v>
      </c>
      <c r="Y4723">
        <v>-8.3460980000000004E-2</v>
      </c>
      <c r="Z4723">
        <v>-1.896242E-3</v>
      </c>
      <c r="AA4723">
        <v>0.99650930000000004</v>
      </c>
      <c r="AB4723">
        <v>40</v>
      </c>
      <c r="AC4723">
        <v>-44.0822</v>
      </c>
      <c r="AD4723">
        <v>-1.10219661751</v>
      </c>
      <c r="AE4723">
        <v>-2.1838000000000202</v>
      </c>
      <c r="AF4723">
        <v>-3.7105093193875902</v>
      </c>
      <c r="AG4723">
        <v>-1.10219661751</v>
      </c>
      <c r="AH4723">
        <v>43.952406715022398</v>
      </c>
      <c r="AI4723">
        <v>91.4314183350495</v>
      </c>
      <c r="AJ4723">
        <v>94.825529153352207</v>
      </c>
      <c r="AK4723">
        <v>44.122520019097401</v>
      </c>
    </row>
    <row r="4724" spans="1:37" x14ac:dyDescent="0.2">
      <c r="A4724" t="str">
        <f>"20200111155646153"</f>
        <v>20200111155646153</v>
      </c>
      <c r="B4724" t="str">
        <f>"1578729406148124"</f>
        <v>1578729406148124</v>
      </c>
      <c r="C4724" t="s">
        <v>37</v>
      </c>
      <c r="D4724">
        <v>4.985951</v>
      </c>
      <c r="E4724">
        <v>0.49406850000000002</v>
      </c>
      <c r="F4724" t="s">
        <v>72</v>
      </c>
      <c r="G4724">
        <v>-401.74329999999998</v>
      </c>
      <c r="H4724" s="1">
        <v>-6.3819799999999902E-6</v>
      </c>
      <c r="I4724">
        <v>140.2073</v>
      </c>
      <c r="J4724">
        <v>-358.80180000000001</v>
      </c>
      <c r="K4724">
        <v>1.10219</v>
      </c>
      <c r="L4724">
        <v>142.0403</v>
      </c>
      <c r="M4724">
        <v>-0.9992278</v>
      </c>
      <c r="N4724">
        <v>0</v>
      </c>
      <c r="O4724">
        <v>3.6274649999999999E-2</v>
      </c>
      <c r="P4724">
        <v>-0.99959010000000004</v>
      </c>
      <c r="Q4724">
        <v>2.118594E-2</v>
      </c>
      <c r="R4724">
        <v>-1.9258520000000001E-2</v>
      </c>
      <c r="S4724">
        <v>-3.0004580000000001</v>
      </c>
      <c r="T4724">
        <v>-7.6525209999999996E-2</v>
      </c>
      <c r="U4724">
        <v>-0.1265106</v>
      </c>
      <c r="V4724">
        <v>-5.5292429999999997E-2</v>
      </c>
      <c r="W4724">
        <v>3.6595580000000003E-2</v>
      </c>
      <c r="X4724">
        <v>0.99779929999999994</v>
      </c>
      <c r="Y4724">
        <v>-7.8308000000000003E-2</v>
      </c>
      <c r="Z4724">
        <v>-1.9227350000000001E-3</v>
      </c>
      <c r="AA4724">
        <v>0.99692739999999902</v>
      </c>
      <c r="AB4724">
        <v>40</v>
      </c>
      <c r="AC4724">
        <v>-42.941499999999898</v>
      </c>
      <c r="AD4724">
        <v>-1.10219638198</v>
      </c>
      <c r="AE4724">
        <v>-1.83299999999999</v>
      </c>
      <c r="AF4724">
        <v>-3.3874311728115201</v>
      </c>
      <c r="AG4724">
        <v>-1.10219638198</v>
      </c>
      <c r="AH4724">
        <v>42.818574732963803</v>
      </c>
      <c r="AI4724">
        <v>91.469938984114606</v>
      </c>
      <c r="AJ4724">
        <v>94.523320169283096</v>
      </c>
      <c r="AK4724">
        <v>42.966497052673397</v>
      </c>
    </row>
    <row r="4725" spans="1:37" x14ac:dyDescent="0.2">
      <c r="A4725" t="str">
        <f>"20200111155646169"</f>
        <v>20200111155646169</v>
      </c>
      <c r="B4725" t="str">
        <f>"1578729406157885"</f>
        <v>1578729406157885</v>
      </c>
      <c r="C4725" t="s">
        <v>37</v>
      </c>
      <c r="D4725">
        <v>5.0101649999999998</v>
      </c>
      <c r="E4725">
        <v>0.49494379999999999</v>
      </c>
      <c r="F4725" t="s">
        <v>38</v>
      </c>
      <c r="G4725">
        <v>-399.41969999999998</v>
      </c>
      <c r="H4725" s="1">
        <v>-4.8119859999999899E-7</v>
      </c>
      <c r="I4725">
        <v>140.55549999999999</v>
      </c>
      <c r="J4725">
        <v>-359.10770000000002</v>
      </c>
      <c r="K4725">
        <v>1.1021889999999901</v>
      </c>
      <c r="L4725">
        <v>142.053</v>
      </c>
      <c r="M4725">
        <v>-0.99916289999999996</v>
      </c>
      <c r="N4725">
        <v>0</v>
      </c>
      <c r="O4725">
        <v>3.8018919999999998E-2</v>
      </c>
      <c r="P4725">
        <v>-0.99961860000000002</v>
      </c>
      <c r="Q4725">
        <v>2.0926239999999999E-2</v>
      </c>
      <c r="R4725">
        <v>-1.8022159999999999E-2</v>
      </c>
      <c r="S4725">
        <v>-3.0008539999999999</v>
      </c>
      <c r="T4725">
        <v>-8.1429959999999996E-2</v>
      </c>
      <c r="U4725">
        <v>-0.1096954</v>
      </c>
      <c r="V4725">
        <v>-5.5802039999999997E-2</v>
      </c>
      <c r="W4725">
        <v>3.6337309999999998E-2</v>
      </c>
      <c r="X4725">
        <v>0.99778040000000001</v>
      </c>
      <c r="Y4725">
        <v>-7.4460449999999997E-2</v>
      </c>
      <c r="Z4725">
        <v>-2.040984E-3</v>
      </c>
      <c r="AA4725">
        <v>0.99722189999999999</v>
      </c>
      <c r="AB4725">
        <v>40</v>
      </c>
      <c r="AC4725">
        <v>-40.311999999999898</v>
      </c>
      <c r="AD4725">
        <v>-1.1021894811985999</v>
      </c>
      <c r="AE4725">
        <v>-1.4975000000000001</v>
      </c>
      <c r="AF4725">
        <v>-3.02695089031412</v>
      </c>
      <c r="AG4725">
        <v>-1.1021894811985999</v>
      </c>
      <c r="AH4725">
        <v>40.195901448219601</v>
      </c>
      <c r="AI4725">
        <v>91.566249683574796</v>
      </c>
      <c r="AJ4725">
        <v>94.306528316469198</v>
      </c>
      <c r="AK4725">
        <v>40.324778320281197</v>
      </c>
    </row>
    <row r="4726" spans="1:37" x14ac:dyDescent="0.2">
      <c r="A4726" t="str">
        <f>"20200111155646184"</f>
        <v>20200111155646184</v>
      </c>
      <c r="B4726" t="str">
        <f>"1578729406177404"</f>
        <v>1578729406177404</v>
      </c>
      <c r="C4726" t="s">
        <v>37</v>
      </c>
      <c r="D4726">
        <v>5.6208559999999999</v>
      </c>
      <c r="E4726">
        <v>0.49668409999999902</v>
      </c>
      <c r="F4726" t="s">
        <v>38</v>
      </c>
      <c r="G4726">
        <v>-398.70740000000001</v>
      </c>
      <c r="H4726" s="1">
        <v>-8.3709239999999996E-7</v>
      </c>
      <c r="I4726">
        <v>140.74459999999999</v>
      </c>
      <c r="J4726">
        <v>-359.37199999999899</v>
      </c>
      <c r="K4726">
        <v>1.10219</v>
      </c>
      <c r="L4726">
        <v>142.0643</v>
      </c>
      <c r="M4726">
        <v>-0.9991044</v>
      </c>
      <c r="N4726">
        <v>0</v>
      </c>
      <c r="O4726">
        <v>3.9525680000000001E-2</v>
      </c>
      <c r="P4726">
        <v>-0.99962969999999896</v>
      </c>
      <c r="Q4726">
        <v>2.126428E-2</v>
      </c>
      <c r="R4726">
        <v>-1.6975049999999998E-2</v>
      </c>
      <c r="S4726">
        <v>-3.0010680000000001</v>
      </c>
      <c r="T4726">
        <v>-8.3529709999999993E-2</v>
      </c>
      <c r="U4726">
        <v>-9.9151610000000001E-2</v>
      </c>
      <c r="V4726">
        <v>-5.6259990000000003E-2</v>
      </c>
      <c r="W4726">
        <v>3.6676109999999998E-2</v>
      </c>
      <c r="X4726">
        <v>0.99774229999999997</v>
      </c>
      <c r="Y4726">
        <v>-7.2460239999999995E-2</v>
      </c>
      <c r="Z4726">
        <v>-2.1076429999999902E-3</v>
      </c>
      <c r="AA4726">
        <v>0.99736909999999901</v>
      </c>
      <c r="AB4726">
        <v>40</v>
      </c>
      <c r="AC4726">
        <v>-39.3354</v>
      </c>
      <c r="AD4726">
        <v>-1.1021908370923901</v>
      </c>
      <c r="AE4726">
        <v>-1.3197000000000101</v>
      </c>
      <c r="AF4726">
        <v>-2.8713524140875699</v>
      </c>
      <c r="AG4726">
        <v>-1.1021908370923901</v>
      </c>
      <c r="AH4726">
        <v>39.221726663882599</v>
      </c>
      <c r="AI4726">
        <v>91.605381918636596</v>
      </c>
      <c r="AJ4726">
        <v>94.187052049017794</v>
      </c>
      <c r="AK4726">
        <v>39.342131765113798</v>
      </c>
    </row>
    <row r="4727" spans="1:37" x14ac:dyDescent="0.2">
      <c r="A4727" t="str">
        <f>"20200111155646196"</f>
        <v>20200111155646196</v>
      </c>
      <c r="B4727" t="str">
        <f>"1578729406187164"</f>
        <v>1578729406187164</v>
      </c>
      <c r="C4727" t="s">
        <v>37</v>
      </c>
      <c r="D4727">
        <v>5.6263969999999999</v>
      </c>
      <c r="E4727">
        <v>0.49685839999999998</v>
      </c>
      <c r="F4727" t="s">
        <v>72</v>
      </c>
      <c r="G4727">
        <v>-401.1429</v>
      </c>
      <c r="H4727" s="1">
        <v>-6.4105120000000002E-6</v>
      </c>
      <c r="I4727">
        <v>140.92449999999999</v>
      </c>
      <c r="J4727">
        <v>-359.59809999999999</v>
      </c>
      <c r="K4727">
        <v>1.102196</v>
      </c>
      <c r="L4727">
        <v>142.07419999999999</v>
      </c>
      <c r="M4727">
        <v>-0.99905259999999996</v>
      </c>
      <c r="N4727">
        <v>0</v>
      </c>
      <c r="O4727">
        <v>4.0815199999999899E-2</v>
      </c>
      <c r="P4727">
        <v>-0.999623699999999</v>
      </c>
      <c r="Q4727">
        <v>2.174684E-2</v>
      </c>
      <c r="R4727">
        <v>-1.673026E-2</v>
      </c>
      <c r="S4727">
        <v>-3.001404</v>
      </c>
      <c r="T4727">
        <v>-7.9197169999999997E-2</v>
      </c>
      <c r="U4727">
        <v>-8.1893919999999995E-2</v>
      </c>
      <c r="V4727">
        <v>-5.7300370000000003E-2</v>
      </c>
      <c r="W4727">
        <v>3.7162630000000002E-2</v>
      </c>
      <c r="X4727">
        <v>0.99766509999999997</v>
      </c>
      <c r="Y4727">
        <v>-6.8019109999999994E-2</v>
      </c>
      <c r="Z4727">
        <v>-1.9737169999999998E-3</v>
      </c>
      <c r="AA4727">
        <v>0.99768210000000002</v>
      </c>
      <c r="AB4727">
        <v>40</v>
      </c>
      <c r="AC4727">
        <v>-41.544800000000002</v>
      </c>
      <c r="AD4727">
        <v>-1.1022024105120001</v>
      </c>
      <c r="AE4727">
        <v>-1.14969999999999</v>
      </c>
      <c r="AF4727">
        <v>-2.84259515644345</v>
      </c>
      <c r="AG4727">
        <v>-1.1022024105120001</v>
      </c>
      <c r="AH4727">
        <v>41.434101058256701</v>
      </c>
      <c r="AI4727">
        <v>91.520213185761193</v>
      </c>
      <c r="AJ4727">
        <v>93.924639295171602</v>
      </c>
      <c r="AK4727">
        <v>41.546118084401101</v>
      </c>
    </row>
    <row r="4728" spans="1:37" x14ac:dyDescent="0.2">
      <c r="A4728" t="str">
        <f>"20200111155646214"</f>
        <v>20200111155646214</v>
      </c>
      <c r="B4728" t="str">
        <f>"1578729406207660"</f>
        <v>1578729406207660</v>
      </c>
      <c r="C4728" t="s">
        <v>37</v>
      </c>
      <c r="D4728">
        <v>5.0355800000000004</v>
      </c>
      <c r="E4728">
        <v>0.49805879999999902</v>
      </c>
      <c r="F4728" t="s">
        <v>72</v>
      </c>
      <c r="G4728">
        <v>-404.51589999999999</v>
      </c>
      <c r="H4728" s="1">
        <v>-7.8897610000000002E-6</v>
      </c>
      <c r="I4728">
        <v>140.8843</v>
      </c>
      <c r="J4728">
        <v>-359.9083</v>
      </c>
      <c r="K4728">
        <v>1.1022049999999901</v>
      </c>
      <c r="L4728">
        <v>142.08850000000001</v>
      </c>
      <c r="M4728">
        <v>-0.9989789</v>
      </c>
      <c r="N4728">
        <v>0</v>
      </c>
      <c r="O4728">
        <v>4.2580960000000001E-2</v>
      </c>
      <c r="P4728">
        <v>-0.99963409999999997</v>
      </c>
      <c r="Q4728">
        <v>2.2118499999999999E-2</v>
      </c>
      <c r="R4728">
        <v>-1.557383E-2</v>
      </c>
      <c r="S4728">
        <v>-3.001404</v>
      </c>
      <c r="T4728">
        <v>-7.364917E-2</v>
      </c>
      <c r="U4728">
        <v>-7.9513550000000002E-2</v>
      </c>
      <c r="V4728">
        <v>-5.7907529999999999E-2</v>
      </c>
      <c r="W4728">
        <v>3.7534779999999997E-2</v>
      </c>
      <c r="X4728">
        <v>0.99761610000000001</v>
      </c>
      <c r="Y4728">
        <v>-6.8996119999999994E-2</v>
      </c>
      <c r="Z4728">
        <v>-1.8907970000000001E-3</v>
      </c>
      <c r="AA4728">
        <v>0.99761520000000004</v>
      </c>
      <c r="AB4728">
        <v>40</v>
      </c>
      <c r="AC4728">
        <v>-44.607599999999898</v>
      </c>
      <c r="AD4728">
        <v>-1.102212889761</v>
      </c>
      <c r="AE4728">
        <v>-1.2042000000000099</v>
      </c>
      <c r="AF4728">
        <v>-3.10086676635951</v>
      </c>
      <c r="AG4728">
        <v>-1.102212889761</v>
      </c>
      <c r="AH4728">
        <v>44.488708409465701</v>
      </c>
      <c r="AI4728">
        <v>91.4157857819459</v>
      </c>
      <c r="AJ4728">
        <v>93.987072521731207</v>
      </c>
      <c r="AK4728">
        <v>44.6102614193139</v>
      </c>
    </row>
    <row r="4729" spans="1:37" x14ac:dyDescent="0.2">
      <c r="A4729" t="str">
        <f>"20200111155646229"</f>
        <v>20200111155646229</v>
      </c>
      <c r="B4729" t="str">
        <f>"1578729406217420"</f>
        <v>1578729406217420</v>
      </c>
      <c r="C4729" t="s">
        <v>37</v>
      </c>
      <c r="D4729">
        <v>4.9724870000000001</v>
      </c>
      <c r="E4729">
        <v>0.49870320000000001</v>
      </c>
      <c r="F4729" t="s">
        <v>72</v>
      </c>
      <c r="G4729">
        <v>-407.23140000000001</v>
      </c>
      <c r="H4729" s="1">
        <v>-9.5663599999999993E-6</v>
      </c>
      <c r="I4729">
        <v>141.04300000000001</v>
      </c>
      <c r="J4729">
        <v>-360.16359999999997</v>
      </c>
      <c r="K4729">
        <v>1.1022179999999999</v>
      </c>
      <c r="L4729">
        <v>142.10059999999999</v>
      </c>
      <c r="M4729">
        <v>-0.99891629999999998</v>
      </c>
      <c r="N4729">
        <v>0</v>
      </c>
      <c r="O4729">
        <v>4.4025080000000001E-2</v>
      </c>
      <c r="P4729">
        <v>-0.99964769999999903</v>
      </c>
      <c r="Q4729">
        <v>2.221132E-2</v>
      </c>
      <c r="R4729">
        <v>-1.454125E-2</v>
      </c>
      <c r="S4729">
        <v>-3.0016479999999999</v>
      </c>
      <c r="T4729">
        <v>-6.9912199999999994E-2</v>
      </c>
      <c r="U4729">
        <v>-6.6314699999999893E-2</v>
      </c>
      <c r="V4729">
        <v>-5.8319749999999997E-2</v>
      </c>
      <c r="W4729">
        <v>3.76277E-2</v>
      </c>
      <c r="X4729">
        <v>0.99758860000000005</v>
      </c>
      <c r="Y4729">
        <v>-6.605548E-2</v>
      </c>
      <c r="Z4729">
        <v>-1.7941889999999901E-3</v>
      </c>
      <c r="AA4729">
        <v>0.99781439999999999</v>
      </c>
      <c r="AB4729">
        <v>40</v>
      </c>
      <c r="AC4729">
        <v>-47.067799999999998</v>
      </c>
      <c r="AD4729">
        <v>-1.1022275663600001</v>
      </c>
      <c r="AE4729">
        <v>-1.0575999999999699</v>
      </c>
      <c r="AF4729">
        <v>-3.1272601774026998</v>
      </c>
      <c r="AG4729">
        <v>-1.1022275663600001</v>
      </c>
      <c r="AH4729">
        <v>46.9498534976345</v>
      </c>
      <c r="AI4729">
        <v>91.3418963068778</v>
      </c>
      <c r="AJ4729">
        <v>93.810757909188396</v>
      </c>
      <c r="AK4729">
        <v>47.066797270204802</v>
      </c>
    </row>
    <row r="4730" spans="1:37" x14ac:dyDescent="0.2">
      <c r="A4730" t="str">
        <f>"20200111155646242"</f>
        <v>20200111155646242</v>
      </c>
      <c r="B4730" t="str">
        <f>"1578729406237916"</f>
        <v>1578729406237916</v>
      </c>
      <c r="C4730" t="s">
        <v>37</v>
      </c>
      <c r="D4730">
        <v>4.9976769999999897</v>
      </c>
      <c r="E4730">
        <v>0.49990889999999999</v>
      </c>
      <c r="F4730" t="s">
        <v>72</v>
      </c>
      <c r="G4730">
        <v>-406.74880000000002</v>
      </c>
      <c r="H4730" s="1">
        <v>-9.3305039999999907E-6</v>
      </c>
      <c r="I4730">
        <v>141.20009999999999</v>
      </c>
      <c r="J4730">
        <v>-360.3965</v>
      </c>
      <c r="K4730">
        <v>1.1022299999999901</v>
      </c>
      <c r="L4730">
        <v>142.11189999999999</v>
      </c>
      <c r="M4730">
        <v>-0.99885769999999996</v>
      </c>
      <c r="N4730">
        <v>0</v>
      </c>
      <c r="O4730">
        <v>4.5334230000000003E-2</v>
      </c>
      <c r="P4730">
        <v>-0.99967649999999997</v>
      </c>
      <c r="Q4730">
        <v>2.1941809999999999E-2</v>
      </c>
      <c r="R4730">
        <v>-1.286283E-2</v>
      </c>
      <c r="S4730">
        <v>-3.0018310000000001</v>
      </c>
      <c r="T4730">
        <v>-7.1024660000000003E-2</v>
      </c>
      <c r="U4730">
        <v>-5.8029169999999998E-2</v>
      </c>
      <c r="V4730">
        <v>-5.7955020000000003E-2</v>
      </c>
      <c r="W4730">
        <v>3.7353230000000001E-2</v>
      </c>
      <c r="X4730">
        <v>0.99762019999999996</v>
      </c>
      <c r="Y4730">
        <v>-6.4607949999999997E-2</v>
      </c>
      <c r="Z4730">
        <v>-1.8364900000000001E-3</v>
      </c>
      <c r="AA4730">
        <v>0.99790900000000005</v>
      </c>
      <c r="AB4730">
        <v>40</v>
      </c>
      <c r="AC4730">
        <v>-46.3523</v>
      </c>
      <c r="AD4730">
        <v>-1.1022393305039999</v>
      </c>
      <c r="AE4730">
        <v>-0.91179999999999894</v>
      </c>
      <c r="AF4730">
        <v>-3.0107460467798801</v>
      </c>
      <c r="AG4730">
        <v>-1.1022393305039999</v>
      </c>
      <c r="AH4730">
        <v>46.237157118057702</v>
      </c>
      <c r="AI4730">
        <v>91.362720386864893</v>
      </c>
      <c r="AJ4730">
        <v>93.725571950975706</v>
      </c>
      <c r="AK4730">
        <v>46.348184664125299</v>
      </c>
    </row>
    <row r="4731" spans="1:37" x14ac:dyDescent="0.2">
      <c r="A4731" t="str">
        <f>"20200111155646259"</f>
        <v>20200111155646259</v>
      </c>
      <c r="B4731" t="str">
        <f>"1578729406257437"</f>
        <v>1578729406257437</v>
      </c>
      <c r="C4731" t="s">
        <v>37</v>
      </c>
      <c r="D4731">
        <v>5.0757580000000004</v>
      </c>
      <c r="E4731">
        <v>0.50091589999999997</v>
      </c>
      <c r="F4731" t="s">
        <v>72</v>
      </c>
      <c r="G4731">
        <v>-404.83620000000002</v>
      </c>
      <c r="H4731" s="1">
        <v>-8.2712350000000004E-6</v>
      </c>
      <c r="I4731">
        <v>141.46680000000001</v>
      </c>
      <c r="J4731">
        <v>-360.70150000000001</v>
      </c>
      <c r="K4731">
        <v>1.102255</v>
      </c>
      <c r="L4731">
        <v>142.12729999999999</v>
      </c>
      <c r="M4731">
        <v>-0.99877929999999904</v>
      </c>
      <c r="N4731">
        <v>0</v>
      </c>
      <c r="O4731">
        <v>4.7029729999999999E-2</v>
      </c>
      <c r="P4731">
        <v>-0.99971460000000001</v>
      </c>
      <c r="Q4731">
        <v>2.1338449999999998E-2</v>
      </c>
      <c r="R4731">
        <v>-1.0737119999999999E-2</v>
      </c>
      <c r="S4731">
        <v>-3.002075</v>
      </c>
      <c r="T4731">
        <v>-7.4460509999999994E-2</v>
      </c>
      <c r="U4731">
        <v>-4.3579100000000003E-2</v>
      </c>
      <c r="V4731">
        <v>-5.7532939999999998E-2</v>
      </c>
      <c r="W4731">
        <v>3.67433E-2</v>
      </c>
      <c r="X4731">
        <v>0.99766730000000003</v>
      </c>
      <c r="Y4731">
        <v>-6.1495500000000002E-2</v>
      </c>
      <c r="Z4731">
        <v>-1.928627E-3</v>
      </c>
      <c r="AA4731">
        <v>0.99810549999999998</v>
      </c>
      <c r="AB4731">
        <v>39</v>
      </c>
      <c r="AC4731">
        <v>-44.134700000000002</v>
      </c>
      <c r="AD4731">
        <v>-1.102263271235</v>
      </c>
      <c r="AE4731">
        <v>-0.66049999999998399</v>
      </c>
      <c r="AF4731">
        <v>-2.7339438758107999</v>
      </c>
      <c r="AG4731">
        <v>-1.102263271235</v>
      </c>
      <c r="AH4731">
        <v>44.027330804015698</v>
      </c>
      <c r="AI4731">
        <v>91.431395153575707</v>
      </c>
      <c r="AJ4731">
        <v>93.553305851748803</v>
      </c>
      <c r="AK4731">
        <v>44.125902723473203</v>
      </c>
    </row>
    <row r="4732" spans="1:37" x14ac:dyDescent="0.2">
      <c r="A4732" t="str">
        <f>"20200111155646273"</f>
        <v>20200111155646273</v>
      </c>
      <c r="B4732" t="str">
        <f>"1578729406267196"</f>
        <v>1578729406267196</v>
      </c>
      <c r="C4732" t="s">
        <v>37</v>
      </c>
      <c r="D4732">
        <v>5.0041379999999904</v>
      </c>
      <c r="E4732">
        <v>0.50146170000000001</v>
      </c>
      <c r="F4732" t="s">
        <v>72</v>
      </c>
      <c r="G4732">
        <v>-403.791</v>
      </c>
      <c r="H4732" s="1">
        <v>-7.9072579999999998E-6</v>
      </c>
      <c r="I4732">
        <v>141.709</v>
      </c>
      <c r="J4732">
        <v>-360.95650000000001</v>
      </c>
      <c r="K4732">
        <v>1.1022780000000001</v>
      </c>
      <c r="L4732">
        <v>142.1405</v>
      </c>
      <c r="M4732">
        <v>-0.99871290000000001</v>
      </c>
      <c r="N4732">
        <v>0</v>
      </c>
      <c r="O4732">
        <v>4.8422699999999999E-2</v>
      </c>
      <c r="P4732">
        <v>-0.99974669999999899</v>
      </c>
      <c r="Q4732">
        <v>2.0711449999999999E-2</v>
      </c>
      <c r="R4732">
        <v>-8.8173490000000004E-3</v>
      </c>
      <c r="S4732">
        <v>-3.0022279999999899</v>
      </c>
      <c r="T4732">
        <v>-7.6799270000000003E-2</v>
      </c>
      <c r="U4732">
        <v>-2.914429E-2</v>
      </c>
      <c r="V4732">
        <v>-5.7015240000000002E-2</v>
      </c>
      <c r="W4732">
        <v>3.6108580000000001E-2</v>
      </c>
      <c r="X4732">
        <v>0.997720099999999</v>
      </c>
      <c r="Y4732">
        <v>-5.8086800000000001E-2</v>
      </c>
      <c r="Z4732">
        <v>-1.9811210000000002E-3</v>
      </c>
      <c r="AA4732">
        <v>0.99830959999999902</v>
      </c>
      <c r="AB4732">
        <v>39</v>
      </c>
      <c r="AC4732">
        <v>-42.834499999999899</v>
      </c>
      <c r="AD4732">
        <v>-1.102285907258</v>
      </c>
      <c r="AE4732">
        <v>-0.431499999999999</v>
      </c>
      <c r="AF4732">
        <v>-2.50373427160469</v>
      </c>
      <c r="AG4732">
        <v>-1.102285907258</v>
      </c>
      <c r="AH4732">
        <v>42.735046978255802</v>
      </c>
      <c r="AI4732">
        <v>91.475002202045303</v>
      </c>
      <c r="AJ4732">
        <v>93.352976548319006</v>
      </c>
      <c r="AK4732">
        <v>42.822516971307103</v>
      </c>
    </row>
    <row r="4733" spans="1:37" x14ac:dyDescent="0.2">
      <c r="A4733" t="str">
        <f>"20200111155646286"</f>
        <v>20200111155646286</v>
      </c>
      <c r="B4733" t="str">
        <f>"1578729406277932"</f>
        <v>1578729406277932</v>
      </c>
      <c r="C4733" t="s">
        <v>37</v>
      </c>
      <c r="D4733">
        <v>5.013522</v>
      </c>
      <c r="E4733">
        <v>0.50197199999999997</v>
      </c>
      <c r="F4733" t="s">
        <v>72</v>
      </c>
      <c r="G4733">
        <v>-402.57690000000002</v>
      </c>
      <c r="H4733" s="1">
        <v>-7.4366780000000001E-6</v>
      </c>
      <c r="I4733">
        <v>141.87389999999999</v>
      </c>
      <c r="J4733">
        <v>-361.1832</v>
      </c>
      <c r="K4733">
        <v>1.102301</v>
      </c>
      <c r="L4733">
        <v>142.1525</v>
      </c>
      <c r="M4733">
        <v>-0.99865309999999896</v>
      </c>
      <c r="N4733">
        <v>0</v>
      </c>
      <c r="O4733">
        <v>4.9642510000000001E-2</v>
      </c>
      <c r="P4733">
        <v>-0.99979759999999995</v>
      </c>
      <c r="Q4733">
        <v>1.9034039999999999E-2</v>
      </c>
      <c r="R4733">
        <v>-6.5212179999999996E-3</v>
      </c>
      <c r="S4733">
        <v>-3.0022579999999999</v>
      </c>
      <c r="T4733">
        <v>-7.9512479999999996E-2</v>
      </c>
      <c r="U4733">
        <v>-1.9226070000000001E-2</v>
      </c>
      <c r="V4733">
        <v>-5.5955709999999999E-2</v>
      </c>
      <c r="W4733">
        <v>3.4421149999999998E-2</v>
      </c>
      <c r="X4733">
        <v>0.997839699999999</v>
      </c>
      <c r="Y4733">
        <v>-5.6005949999999999E-2</v>
      </c>
      <c r="Z4733">
        <v>-2.055795E-3</v>
      </c>
      <c r="AA4733">
        <v>0.99842830000000005</v>
      </c>
      <c r="AB4733">
        <v>39</v>
      </c>
      <c r="AC4733">
        <v>-41.393700000000003</v>
      </c>
      <c r="AD4733">
        <v>-1.102308436678</v>
      </c>
      <c r="AE4733">
        <v>-0.27860000000001101</v>
      </c>
      <c r="AF4733">
        <v>-2.3317240156649901</v>
      </c>
      <c r="AG4733">
        <v>-1.102308436678</v>
      </c>
      <c r="AH4733">
        <v>41.299533840648699</v>
      </c>
      <c r="AI4733">
        <v>91.526464704601196</v>
      </c>
      <c r="AJ4733">
        <v>93.231423002275704</v>
      </c>
      <c r="AK4733">
        <v>41.379989321285301</v>
      </c>
    </row>
    <row r="4734" spans="1:37" x14ac:dyDescent="0.2">
      <c r="A4734" t="str">
        <f>"20200111155646309"</f>
        <v>20200111155646309</v>
      </c>
      <c r="B4734" t="str">
        <f>"1578729406297451"</f>
        <v>1578729406297451</v>
      </c>
      <c r="C4734" t="s">
        <v>37</v>
      </c>
      <c r="D4734">
        <v>5.0905079999999998</v>
      </c>
      <c r="E4734">
        <v>0.50287870000000001</v>
      </c>
      <c r="F4734" t="s">
        <v>38</v>
      </c>
      <c r="G4734">
        <v>-399.78570000000002</v>
      </c>
      <c r="H4734" s="1">
        <v>-7.1985880000000003E-7</v>
      </c>
      <c r="I4734">
        <v>142.04259999999999</v>
      </c>
      <c r="J4734">
        <v>-361.56369999999998</v>
      </c>
      <c r="K4734">
        <v>1.102355</v>
      </c>
      <c r="L4734">
        <v>142.17330000000001</v>
      </c>
      <c r="M4734">
        <v>-0.99855179999999999</v>
      </c>
      <c r="N4734">
        <v>0</v>
      </c>
      <c r="O4734">
        <v>5.1638709999999997E-2</v>
      </c>
      <c r="P4734">
        <v>-0.99983849999999996</v>
      </c>
      <c r="Q4734">
        <v>1.7530150000000001E-2</v>
      </c>
      <c r="R4734">
        <v>-3.9496499999999999E-3</v>
      </c>
      <c r="S4734">
        <v>-3.0021360000000001</v>
      </c>
      <c r="T4734">
        <v>-8.5726499999999997E-2</v>
      </c>
      <c r="U4734">
        <v>-8.5449219999999999E-3</v>
      </c>
      <c r="V4734">
        <v>-5.5397549999999997E-2</v>
      </c>
      <c r="W4734">
        <v>3.290328E-2</v>
      </c>
      <c r="X4734">
        <v>0.99792209999999903</v>
      </c>
      <c r="Y4734">
        <v>-5.4443619999999998E-2</v>
      </c>
      <c r="Z4734">
        <v>-2.2511139999999998E-3</v>
      </c>
      <c r="AA4734">
        <v>0.99851429999999997</v>
      </c>
      <c r="AB4734">
        <v>39</v>
      </c>
      <c r="AC4734">
        <v>-38.222000000000001</v>
      </c>
      <c r="AD4734">
        <v>-1.1023557198588001</v>
      </c>
      <c r="AE4734">
        <v>-0.130700000000018</v>
      </c>
      <c r="AF4734">
        <v>-2.1027361253811301</v>
      </c>
      <c r="AG4734">
        <v>-1.1023557198588001</v>
      </c>
      <c r="AH4734">
        <v>38.132525748773297</v>
      </c>
      <c r="AI4734">
        <v>91.653365856303296</v>
      </c>
      <c r="AJ4734">
        <v>93.156256020526598</v>
      </c>
      <c r="AK4734">
        <v>38.206363440230099</v>
      </c>
    </row>
    <row r="4735" spans="1:37" x14ac:dyDescent="0.2">
      <c r="A4735" t="str">
        <f>"20200111155646325"</f>
        <v>20200111155646325</v>
      </c>
      <c r="B4735" t="str">
        <f>"1578729406317950"</f>
        <v>1578729406317950</v>
      </c>
      <c r="C4735" t="s">
        <v>37</v>
      </c>
      <c r="D4735">
        <v>5.1972199999999997</v>
      </c>
      <c r="E4735">
        <v>0.50382340000000003</v>
      </c>
      <c r="F4735" t="s">
        <v>38</v>
      </c>
      <c r="G4735">
        <v>-397.72500000000002</v>
      </c>
      <c r="H4735" s="1">
        <v>-1.6589830000000001E-6</v>
      </c>
      <c r="I4735">
        <v>142.24959999999999</v>
      </c>
      <c r="J4735">
        <v>-361.86799999999999</v>
      </c>
      <c r="K4735">
        <v>1.102409</v>
      </c>
      <c r="L4735">
        <v>142.19040000000001</v>
      </c>
      <c r="M4735">
        <v>-0.9984712</v>
      </c>
      <c r="N4735">
        <v>0</v>
      </c>
      <c r="O4735">
        <v>5.317699E-2</v>
      </c>
      <c r="P4735">
        <v>-0.99984599999999901</v>
      </c>
      <c r="Q4735">
        <v>1.7385290000000001E-2</v>
      </c>
      <c r="R4735">
        <v>-2.4764829999999998E-3</v>
      </c>
      <c r="S4735">
        <v>-3.0021059999999999</v>
      </c>
      <c r="T4735">
        <v>-9.1517570000000006E-2</v>
      </c>
      <c r="U4735">
        <v>6.3476560000000001E-3</v>
      </c>
      <c r="V4735">
        <v>-5.5469690000000002E-2</v>
      </c>
      <c r="W4735">
        <v>3.274792E-2</v>
      </c>
      <c r="X4735">
        <v>0.99792320000000001</v>
      </c>
      <c r="Y4735">
        <v>-5.102313E-2</v>
      </c>
      <c r="Z4735">
        <v>-2.3978060000000002E-3</v>
      </c>
      <c r="AA4735">
        <v>0.99869459999999999</v>
      </c>
      <c r="AB4735">
        <v>39</v>
      </c>
      <c r="AC4735">
        <v>-35.8569999999999</v>
      </c>
      <c r="AD4735">
        <v>-1.1024106589830001</v>
      </c>
      <c r="AE4735">
        <v>5.9199999999975703E-2</v>
      </c>
      <c r="AF4735">
        <v>-1.84612300333117</v>
      </c>
      <c r="AG4735">
        <v>-1.1024106589830001</v>
      </c>
      <c r="AH4735">
        <v>35.775586744012799</v>
      </c>
      <c r="AI4735">
        <v>91.762644656610505</v>
      </c>
      <c r="AJ4735">
        <v>92.954006571680196</v>
      </c>
      <c r="AK4735">
        <v>35.840146292710003</v>
      </c>
    </row>
    <row r="4736" spans="1:37" x14ac:dyDescent="0.2">
      <c r="A4736" t="str">
        <f>"20200111155646342"</f>
        <v>20200111155646342</v>
      </c>
      <c r="B4736" t="str">
        <f>"1578729406337468"</f>
        <v>1578729406337468</v>
      </c>
      <c r="C4736" t="s">
        <v>37</v>
      </c>
      <c r="D4736">
        <v>4.9948519999999998</v>
      </c>
      <c r="E4736">
        <v>0.50451459999999904</v>
      </c>
      <c r="F4736" t="s">
        <v>38</v>
      </c>
      <c r="G4736">
        <v>-397.07190000000003</v>
      </c>
      <c r="H4736" s="1">
        <v>-1.98030999999999E-6</v>
      </c>
      <c r="I4736">
        <v>142.40430000000001</v>
      </c>
      <c r="J4736">
        <v>-362.15890000000002</v>
      </c>
      <c r="K4736">
        <v>1.1024670000000001</v>
      </c>
      <c r="L4736">
        <v>142.2071</v>
      </c>
      <c r="M4736">
        <v>-0.99839460000000002</v>
      </c>
      <c r="N4736">
        <v>0</v>
      </c>
      <c r="O4736">
        <v>5.4598389999999997E-2</v>
      </c>
      <c r="P4736">
        <v>-0.99985400000000002</v>
      </c>
      <c r="Q4736">
        <v>1.7020549999999999E-2</v>
      </c>
      <c r="R4736">
        <v>-1.6113410000000001E-3</v>
      </c>
      <c r="S4736">
        <v>-3.0021360000000001</v>
      </c>
      <c r="T4736">
        <v>-9.4012020000000002E-2</v>
      </c>
      <c r="U4736">
        <v>1.824951E-2</v>
      </c>
      <c r="V4736">
        <v>-5.6034239999999999E-2</v>
      </c>
      <c r="W4736">
        <v>3.2374269999999997E-2</v>
      </c>
      <c r="X4736">
        <v>0.99790380000000001</v>
      </c>
      <c r="Y4736">
        <v>-4.8483419999999999E-2</v>
      </c>
      <c r="Z4736">
        <v>-2.4677379999999902E-3</v>
      </c>
      <c r="AA4736">
        <v>0.99882099999999996</v>
      </c>
      <c r="AB4736">
        <v>39</v>
      </c>
      <c r="AC4736">
        <v>-34.912999999999997</v>
      </c>
      <c r="AD4736">
        <v>-1.1024689803100001</v>
      </c>
      <c r="AE4736">
        <v>0.19720000000000901</v>
      </c>
      <c r="AF4736">
        <v>-1.70780154673924</v>
      </c>
      <c r="AG4736">
        <v>-1.1024689803100001</v>
      </c>
      <c r="AH4736">
        <v>34.8369434074284</v>
      </c>
      <c r="AI4736">
        <v>91.810435962306698</v>
      </c>
      <c r="AJ4736">
        <v>92.806547849688698</v>
      </c>
      <c r="AK4736">
        <v>34.896198216252202</v>
      </c>
    </row>
    <row r="4737" spans="1:37" x14ac:dyDescent="0.2">
      <c r="A4737" t="str">
        <f>"20200111155646363"</f>
        <v>20200111155646363</v>
      </c>
      <c r="B4737" t="str">
        <f>"1578729406357964"</f>
        <v>1578729406357964</v>
      </c>
      <c r="C4737" t="s">
        <v>37</v>
      </c>
      <c r="D4737">
        <v>5.0047899999999998</v>
      </c>
      <c r="E4737">
        <v>0.50513960000000002</v>
      </c>
      <c r="F4737" t="s">
        <v>38</v>
      </c>
      <c r="G4737">
        <v>-396.5992</v>
      </c>
      <c r="H4737" s="1">
        <v>-2.21127999999999E-6</v>
      </c>
      <c r="I4737">
        <v>142.51009999999999</v>
      </c>
      <c r="J4737">
        <v>-362.5419</v>
      </c>
      <c r="K4737">
        <v>1.1025479999999901</v>
      </c>
      <c r="L4737">
        <v>142.22970000000001</v>
      </c>
      <c r="M4737">
        <v>-0.99829539999999894</v>
      </c>
      <c r="N4737">
        <v>0</v>
      </c>
      <c r="O4737">
        <v>5.6381849999999997E-2</v>
      </c>
      <c r="P4737">
        <v>-0.99985959999999996</v>
      </c>
      <c r="Q4737">
        <v>1.6736569999999999E-2</v>
      </c>
      <c r="R4737">
        <v>-9.0822799999999997E-4</v>
      </c>
      <c r="S4737">
        <v>-3.0021059999999999</v>
      </c>
      <c r="T4737">
        <v>-9.6100690000000002E-2</v>
      </c>
      <c r="U4737">
        <v>2.6428219999999999E-2</v>
      </c>
      <c r="V4737">
        <v>-5.712395E-2</v>
      </c>
      <c r="W4737">
        <v>3.2078309999999999E-2</v>
      </c>
      <c r="X4737">
        <v>0.99785159999999995</v>
      </c>
      <c r="Y4737">
        <v>-4.7543990000000001E-2</v>
      </c>
      <c r="Z4737">
        <v>-2.5644800000000001E-3</v>
      </c>
      <c r="AA4737">
        <v>0.99886580000000003</v>
      </c>
      <c r="AB4737">
        <v>39</v>
      </c>
      <c r="AC4737">
        <v>-34.057299999999998</v>
      </c>
      <c r="AD4737">
        <v>-1.1025502112799901</v>
      </c>
      <c r="AE4737">
        <v>0.28039999999998599</v>
      </c>
      <c r="AF4737">
        <v>-1.6387607032040299</v>
      </c>
      <c r="AG4737">
        <v>-1.1025502112799901</v>
      </c>
      <c r="AH4737">
        <v>33.983309922825001</v>
      </c>
      <c r="AI4737">
        <v>91.856089889736893</v>
      </c>
      <c r="AJ4737">
        <v>92.760807959754999</v>
      </c>
      <c r="AK4737">
        <v>34.040659613490703</v>
      </c>
    </row>
    <row r="4738" spans="1:37" x14ac:dyDescent="0.2">
      <c r="A4738" t="str">
        <f>"20200111155646386"</f>
        <v>20200111155646386</v>
      </c>
      <c r="B4738" t="str">
        <f>"1578729406377483"</f>
        <v>1578729406377483</v>
      </c>
      <c r="C4738" t="s">
        <v>37</v>
      </c>
      <c r="D4738">
        <v>5.0873559999999998</v>
      </c>
      <c r="E4738">
        <v>0.50513960000000002</v>
      </c>
      <c r="F4738" t="s">
        <v>38</v>
      </c>
      <c r="G4738">
        <v>-396.32249999999999</v>
      </c>
      <c r="H4738" s="1">
        <v>-2.3556590000000001E-6</v>
      </c>
      <c r="I4738">
        <v>142.60679999999999</v>
      </c>
      <c r="J4738">
        <v>-362.92450000000002</v>
      </c>
      <c r="K4738">
        <v>1.102641</v>
      </c>
      <c r="L4738">
        <v>142.25280000000001</v>
      </c>
      <c r="M4738">
        <v>-0.998198699999999</v>
      </c>
      <c r="N4738">
        <v>0</v>
      </c>
      <c r="O4738">
        <v>5.8069820000000001E-2</v>
      </c>
      <c r="P4738">
        <v>-0.99986529999999996</v>
      </c>
      <c r="Q4738">
        <v>1.6406009999999999E-2</v>
      </c>
      <c r="R4738">
        <v>-5.4786500000000003E-4</v>
      </c>
      <c r="S4738">
        <v>-3.0021059999999999</v>
      </c>
      <c r="T4738">
        <v>-9.7984310000000005E-2</v>
      </c>
      <c r="U4738">
        <v>3.3523560000000001E-2</v>
      </c>
      <c r="V4738">
        <v>-5.8461100000000002E-2</v>
      </c>
      <c r="W4738">
        <v>3.1735640000000002E-2</v>
      </c>
      <c r="X4738">
        <v>0.99778519999999904</v>
      </c>
      <c r="Y4738">
        <v>-4.686982E-2</v>
      </c>
      <c r="Z4738">
        <v>-2.6586650000000002E-3</v>
      </c>
      <c r="AA4738">
        <v>0.99889749999999999</v>
      </c>
      <c r="AB4738">
        <v>39</v>
      </c>
      <c r="AC4738">
        <v>-33.397999999999897</v>
      </c>
      <c r="AD4738">
        <v>-1.1026433556590001</v>
      </c>
      <c r="AE4738">
        <v>0.35399999999998399</v>
      </c>
      <c r="AF4738">
        <v>-1.58450682645635</v>
      </c>
      <c r="AG4738">
        <v>-1.1026433556590001</v>
      </c>
      <c r="AH4738">
        <v>33.3258665742649</v>
      </c>
      <c r="AI4738">
        <v>91.892900861719994</v>
      </c>
      <c r="AJ4738">
        <v>92.722126850311895</v>
      </c>
      <c r="AK4738">
        <v>33.381729541450902</v>
      </c>
    </row>
    <row r="4739" spans="1:37" x14ac:dyDescent="0.2">
      <c r="A4739" t="str">
        <f>"20200111155646402"</f>
        <v>20200111155646402</v>
      </c>
      <c r="B4739" t="str">
        <f>"1578729406397981"</f>
        <v>1578729406397981</v>
      </c>
      <c r="C4739" t="s">
        <v>37</v>
      </c>
      <c r="D4739">
        <v>4.9886679999999997</v>
      </c>
      <c r="E4739">
        <v>0.5586972</v>
      </c>
      <c r="F4739" t="s">
        <v>38</v>
      </c>
      <c r="G4739">
        <v>-396.36959999999999</v>
      </c>
      <c r="H4739" s="1">
        <v>-2.344296E-6</v>
      </c>
      <c r="I4739">
        <v>142.63999999999999</v>
      </c>
      <c r="J4739">
        <v>-363.22109999999998</v>
      </c>
      <c r="K4739">
        <v>1.1027089999999999</v>
      </c>
      <c r="L4739">
        <v>142.27119999999999</v>
      </c>
      <c r="M4739">
        <v>-0.99812559999999995</v>
      </c>
      <c r="N4739">
        <v>0</v>
      </c>
      <c r="O4739">
        <v>5.9315220000000002E-2</v>
      </c>
      <c r="P4739">
        <v>-0.99986469999999905</v>
      </c>
      <c r="Q4739">
        <v>1.6462999999999998E-2</v>
      </c>
      <c r="R4739" s="1">
        <v>-7.0799430000000001E-5</v>
      </c>
      <c r="S4739">
        <v>-3.0020449999999999</v>
      </c>
      <c r="T4739">
        <v>-9.8973749999999999E-2</v>
      </c>
      <c r="U4739">
        <v>3.4759520000000002E-2</v>
      </c>
      <c r="V4739">
        <v>-5.9235080000000002E-2</v>
      </c>
      <c r="W4739">
        <v>3.1781869999999997E-2</v>
      </c>
      <c r="X4739">
        <v>0.99773799999999901</v>
      </c>
      <c r="Y4739">
        <v>-4.7702420000000002E-2</v>
      </c>
      <c r="Z4739">
        <v>-2.740251E-3</v>
      </c>
      <c r="AA4739">
        <v>0.99885789999999997</v>
      </c>
      <c r="AB4739">
        <v>39</v>
      </c>
      <c r="AC4739">
        <v>-33.148499999999999</v>
      </c>
      <c r="AD4739">
        <v>-1.1027113442959999</v>
      </c>
      <c r="AE4739">
        <v>0.36879999999999302</v>
      </c>
      <c r="AF4739">
        <v>-1.59651674922255</v>
      </c>
      <c r="AG4739">
        <v>-1.1027113442959999</v>
      </c>
      <c r="AH4739">
        <v>33.075403032000999</v>
      </c>
      <c r="AI4739">
        <v>91.907275944936202</v>
      </c>
      <c r="AJ4739">
        <v>92.763465325220395</v>
      </c>
      <c r="AK4739">
        <v>33.132267108797201</v>
      </c>
    </row>
    <row r="4740" spans="1:37" x14ac:dyDescent="0.2">
      <c r="A4740" t="str">
        <f>"20200111155646416"</f>
        <v>20200111155646416</v>
      </c>
      <c r="B4740" t="str">
        <f>"1578729406407741"</f>
        <v>1578729406407741</v>
      </c>
      <c r="C4740" t="s">
        <v>37</v>
      </c>
      <c r="D4740">
        <v>4.8491119999999999</v>
      </c>
      <c r="E4740">
        <v>0.55852659999999998</v>
      </c>
      <c r="F4740" t="s">
        <v>38</v>
      </c>
      <c r="G4740">
        <v>-391.51749999999998</v>
      </c>
      <c r="H4740" s="1">
        <v>-5.0046369999999999E-6</v>
      </c>
      <c r="I4740">
        <v>146.63489999999999</v>
      </c>
      <c r="J4740">
        <v>-363.46609999999998</v>
      </c>
      <c r="K4740">
        <v>1.10277</v>
      </c>
      <c r="L4740">
        <v>142.28649999999999</v>
      </c>
      <c r="M4740">
        <v>-0.99806659999999903</v>
      </c>
      <c r="N4740">
        <v>0</v>
      </c>
      <c r="O4740">
        <v>6.030112E-2</v>
      </c>
      <c r="P4740">
        <v>-0.9998686</v>
      </c>
      <c r="Q4740">
        <v>1.6216330000000001E-2</v>
      </c>
      <c r="R4740">
        <v>3.9135150000000002E-4</v>
      </c>
      <c r="S4740">
        <v>-3.00238</v>
      </c>
      <c r="T4740">
        <v>-0.1170033</v>
      </c>
      <c r="U4740">
        <v>0.463028</v>
      </c>
      <c r="V4740">
        <v>-5.9765550000000001E-2</v>
      </c>
      <c r="W4740">
        <v>3.1524980000000001E-2</v>
      </c>
      <c r="X4740">
        <v>0.99771449999999995</v>
      </c>
      <c r="Y4740">
        <v>9.2513780000000004E-2</v>
      </c>
      <c r="Z4740">
        <v>-5.4039599999999995E-4</v>
      </c>
      <c r="AA4740">
        <v>0.99571129999999997</v>
      </c>
      <c r="AB4740">
        <v>39</v>
      </c>
      <c r="AC4740">
        <v>-28.051400000000001</v>
      </c>
      <c r="AD4740">
        <v>-1.102775004637</v>
      </c>
      <c r="AE4740">
        <v>4.3483999999999901</v>
      </c>
      <c r="AF4740">
        <v>2.6447708639724099</v>
      </c>
      <c r="AG4740">
        <v>-1.102775004637</v>
      </c>
      <c r="AH4740">
        <v>28.219994352518</v>
      </c>
      <c r="AI4740">
        <v>92.228099924167907</v>
      </c>
      <c r="AJ4740">
        <v>84.645892961727398</v>
      </c>
      <c r="AK4740">
        <v>28.3651019192584</v>
      </c>
    </row>
    <row r="4741" spans="1:37" x14ac:dyDescent="0.2">
      <c r="A4741" t="str">
        <f>"20200111155646431"</f>
        <v>20200111155646431</v>
      </c>
      <c r="B4741" t="str">
        <f>"1578729406427260"</f>
        <v>1578729406427260</v>
      </c>
      <c r="C4741" t="s">
        <v>37</v>
      </c>
      <c r="D4741">
        <v>4.9238019999999896</v>
      </c>
      <c r="E4741">
        <v>0.55898369999999997</v>
      </c>
      <c r="F4741" t="s">
        <v>38</v>
      </c>
      <c r="G4741">
        <v>-390.32859999999999</v>
      </c>
      <c r="H4741" s="1">
        <v>-5.3724969999999999E-6</v>
      </c>
      <c r="I4741">
        <v>146.42779999999999</v>
      </c>
      <c r="J4741">
        <v>-363.7133</v>
      </c>
      <c r="K4741">
        <v>1.102835</v>
      </c>
      <c r="L4741">
        <v>142.3023</v>
      </c>
      <c r="M4741">
        <v>-0.99800959999999905</v>
      </c>
      <c r="N4741">
        <v>0</v>
      </c>
      <c r="O4741">
        <v>6.123725E-2</v>
      </c>
      <c r="P4741">
        <v>-0.99987209999999904</v>
      </c>
      <c r="Q4741">
        <v>1.599565E-2</v>
      </c>
      <c r="R4741">
        <v>-1.02707199999999E-4</v>
      </c>
      <c r="S4741">
        <v>-3.0022579999999999</v>
      </c>
      <c r="T4741">
        <v>-0.1232509</v>
      </c>
      <c r="U4741">
        <v>0.462860099999999</v>
      </c>
      <c r="V4741">
        <v>-6.1200789999999998E-2</v>
      </c>
      <c r="W4741">
        <v>3.1296690000000002E-2</v>
      </c>
      <c r="X4741">
        <v>0.99763469999999999</v>
      </c>
      <c r="Y4741">
        <v>9.1530490000000006E-2</v>
      </c>
      <c r="Z4741">
        <v>-6.2736300000000003E-4</v>
      </c>
      <c r="AA4741">
        <v>0.99580210000000002</v>
      </c>
      <c r="AB4741">
        <v>39</v>
      </c>
      <c r="AC4741">
        <v>-26.615299999999898</v>
      </c>
      <c r="AD4741">
        <v>-1.102840372497</v>
      </c>
      <c r="AE4741">
        <v>4.1254999999999802</v>
      </c>
      <c r="AF4741">
        <v>2.4835588503488499</v>
      </c>
      <c r="AG4741">
        <v>-1.102840372497</v>
      </c>
      <c r="AH4741">
        <v>26.7731109546848</v>
      </c>
      <c r="AI4741">
        <v>92.348726937288404</v>
      </c>
      <c r="AJ4741">
        <v>84.700228219410604</v>
      </c>
      <c r="AK4741">
        <v>26.9106631587224</v>
      </c>
    </row>
    <row r="4742" spans="1:37" x14ac:dyDescent="0.2">
      <c r="A4742" t="str">
        <f>"20200111155646454"</f>
        <v>20200111155646454</v>
      </c>
      <c r="B4742" t="str">
        <f>"1578729406447756"</f>
        <v>1578729406447756</v>
      </c>
      <c r="C4742" t="s">
        <v>37</v>
      </c>
      <c r="D4742">
        <v>4.8986799999999997</v>
      </c>
      <c r="E4742">
        <v>0.55978609999999995</v>
      </c>
      <c r="F4742" t="s">
        <v>38</v>
      </c>
      <c r="G4742">
        <v>-390.6737</v>
      </c>
      <c r="H4742" s="1">
        <v>-5.2642179999999996E-6</v>
      </c>
      <c r="I4742">
        <v>146.4796</v>
      </c>
      <c r="J4742">
        <v>-364.11470000000003</v>
      </c>
      <c r="K4742">
        <v>1.102956</v>
      </c>
      <c r="L4742">
        <v>142.32830000000001</v>
      </c>
      <c r="M4742">
        <v>-0.99792159999999996</v>
      </c>
      <c r="N4742">
        <v>0</v>
      </c>
      <c r="O4742">
        <v>6.2658000000000005E-2</v>
      </c>
      <c r="P4742">
        <v>-0.99986960000000003</v>
      </c>
      <c r="Q4742">
        <v>1.615407E-2</v>
      </c>
      <c r="R4742">
        <v>2.1674610000000001E-4</v>
      </c>
      <c r="S4742">
        <v>-3.0024109999999999</v>
      </c>
      <c r="T4742">
        <v>-0.12281639999999901</v>
      </c>
      <c r="U4742">
        <v>0.46521000000000001</v>
      </c>
      <c r="V4742">
        <v>-6.2310780000000003E-2</v>
      </c>
      <c r="W4742">
        <v>3.1434900000000002E-2</v>
      </c>
      <c r="X4742">
        <v>0.99756160000000005</v>
      </c>
      <c r="Y4742">
        <v>9.086822E-2</v>
      </c>
      <c r="Z4742">
        <v>-6.9606330000000001E-4</v>
      </c>
      <c r="AA4742">
        <v>0.99586269999999999</v>
      </c>
      <c r="AB4742">
        <v>39</v>
      </c>
      <c r="AC4742">
        <v>-26.558999999999902</v>
      </c>
      <c r="AD4742">
        <v>-1.102961264218</v>
      </c>
      <c r="AE4742">
        <v>4.1512999999999902</v>
      </c>
      <c r="AF4742">
        <v>2.4746527137647498</v>
      </c>
      <c r="AG4742">
        <v>-1.102961264218</v>
      </c>
      <c r="AH4742">
        <v>26.7219563251222</v>
      </c>
      <c r="AI4742">
        <v>92.353509429452203</v>
      </c>
      <c r="AJ4742">
        <v>84.709073745901193</v>
      </c>
      <c r="AK4742">
        <v>26.8589534316929</v>
      </c>
    </row>
    <row r="4743" spans="1:37" x14ac:dyDescent="0.2">
      <c r="A4743" t="str">
        <f>"20200111155646476"</f>
        <v>20200111155646476</v>
      </c>
      <c r="B4743" t="str">
        <f>"1578729406467276"</f>
        <v>1578729406467276</v>
      </c>
      <c r="C4743" t="s">
        <v>37</v>
      </c>
      <c r="D4743">
        <v>4.9546539999999997</v>
      </c>
      <c r="E4743">
        <v>0.56008519999999995</v>
      </c>
      <c r="F4743" t="s">
        <v>38</v>
      </c>
      <c r="G4743">
        <v>-391.80160000000001</v>
      </c>
      <c r="H4743" s="1">
        <v>-4.917019E-6</v>
      </c>
      <c r="I4743">
        <v>146.68610000000001</v>
      </c>
      <c r="J4743">
        <v>-364.4948</v>
      </c>
      <c r="K4743">
        <v>1.1030869999999999</v>
      </c>
      <c r="L4743">
        <v>142.35329999999999</v>
      </c>
      <c r="M4743">
        <v>-0.99784539999999999</v>
      </c>
      <c r="N4743">
        <v>0</v>
      </c>
      <c r="O4743">
        <v>6.3860360000000005E-2</v>
      </c>
      <c r="P4743">
        <v>-0.99986249999999999</v>
      </c>
      <c r="Q4743">
        <v>1.657202E-2</v>
      </c>
      <c r="R4743">
        <v>6.3067579999999998E-4</v>
      </c>
      <c r="S4743">
        <v>-3.0022579999999999</v>
      </c>
      <c r="T4743">
        <v>-0.1196009</v>
      </c>
      <c r="U4743">
        <v>0.47254940000000001</v>
      </c>
      <c r="V4743">
        <v>-6.3108170000000005E-2</v>
      </c>
      <c r="W4743">
        <v>3.1829530000000002E-2</v>
      </c>
      <c r="X4743">
        <v>0.99749900000000002</v>
      </c>
      <c r="Y4743">
        <v>9.2053699999999905E-2</v>
      </c>
      <c r="Z4743">
        <v>-7.0165829999999996E-4</v>
      </c>
      <c r="AA4743">
        <v>0.99575380000000002</v>
      </c>
      <c r="AB4743">
        <v>39</v>
      </c>
      <c r="AC4743">
        <v>-27.306799999999999</v>
      </c>
      <c r="AD4743">
        <v>-1.1030919170189999</v>
      </c>
      <c r="AE4743">
        <v>4.3328000000000202</v>
      </c>
      <c r="AF4743">
        <v>2.5758343888993398</v>
      </c>
      <c r="AG4743">
        <v>-1.1030919170189999</v>
      </c>
      <c r="AH4743">
        <v>27.4840268903484</v>
      </c>
      <c r="AI4743">
        <v>92.288357871410099</v>
      </c>
      <c r="AJ4743">
        <v>84.645813993469304</v>
      </c>
      <c r="AK4743">
        <v>27.626499392536498</v>
      </c>
    </row>
    <row r="4744" spans="1:37" x14ac:dyDescent="0.2">
      <c r="A4744" t="str">
        <f>"20200111155646498"</f>
        <v>20200111155646498</v>
      </c>
      <c r="B4744" t="str">
        <f>"1578729406487772"</f>
        <v>1578729406487772</v>
      </c>
      <c r="C4744" t="s">
        <v>37</v>
      </c>
      <c r="D4744">
        <v>4.9550609999999997</v>
      </c>
      <c r="E4744">
        <v>0.56062190000000001</v>
      </c>
      <c r="F4744" t="s">
        <v>38</v>
      </c>
      <c r="G4744">
        <v>-392.59379999999999</v>
      </c>
      <c r="H4744" s="1">
        <v>-4.6693609999999997E-6</v>
      </c>
      <c r="I4744">
        <v>146.80969999999999</v>
      </c>
      <c r="J4744">
        <v>-364.8759</v>
      </c>
      <c r="K4744">
        <v>1.1032439999999999</v>
      </c>
      <c r="L4744">
        <v>142.37870000000001</v>
      </c>
      <c r="M4744">
        <v>-0.99777769999999999</v>
      </c>
      <c r="N4744">
        <v>0</v>
      </c>
      <c r="O4744">
        <v>6.491152E-2</v>
      </c>
      <c r="P4744">
        <v>-0.99984949999999995</v>
      </c>
      <c r="Q4744">
        <v>1.7329520000000001E-2</v>
      </c>
      <c r="R4744">
        <v>7.5611389999999997E-4</v>
      </c>
      <c r="S4744">
        <v>-3.0021059999999999</v>
      </c>
      <c r="T4744">
        <v>-0.11785470000000001</v>
      </c>
      <c r="U4744">
        <v>0.47613529999999998</v>
      </c>
      <c r="V4744">
        <v>-6.4042219999999997E-2</v>
      </c>
      <c r="W4744">
        <v>3.2560140000000001E-2</v>
      </c>
      <c r="X4744">
        <v>0.99741589999999902</v>
      </c>
      <c r="Y4744">
        <v>9.2174220000000001E-2</v>
      </c>
      <c r="Z4744">
        <v>-7.2985029999999998E-4</v>
      </c>
      <c r="AA4744">
        <v>0.99574259999999903</v>
      </c>
      <c r="AB4744">
        <v>39</v>
      </c>
      <c r="AC4744">
        <v>-27.717899999999901</v>
      </c>
      <c r="AD4744">
        <v>-1.103248669361</v>
      </c>
      <c r="AE4744">
        <v>4.4309999999999796</v>
      </c>
      <c r="AF4744">
        <v>2.6181939651973698</v>
      </c>
      <c r="AG4744">
        <v>-1.103248669361</v>
      </c>
      <c r="AH4744">
        <v>27.9039802832757</v>
      </c>
      <c r="AI4744">
        <v>92.254251449330297</v>
      </c>
      <c r="AJ4744">
        <v>84.639705565499597</v>
      </c>
      <c r="AK4744">
        <v>28.048247947336701</v>
      </c>
    </row>
    <row r="4745" spans="1:37" x14ac:dyDescent="0.2">
      <c r="A4745" t="str">
        <f>"20200111155646521"</f>
        <v>20200111155646521</v>
      </c>
      <c r="B4745" t="str">
        <f>"1578729406517052"</f>
        <v>1578729406517052</v>
      </c>
      <c r="C4745" t="s">
        <v>37</v>
      </c>
      <c r="D4745">
        <v>4.9332659999999997</v>
      </c>
      <c r="E4745">
        <v>0.56042169999999902</v>
      </c>
      <c r="F4745" t="s">
        <v>38</v>
      </c>
      <c r="G4745">
        <v>-393.59469999999999</v>
      </c>
      <c r="H4745" s="1">
        <v>-4.3583329999999997E-6</v>
      </c>
      <c r="I4745">
        <v>146.97649999999999</v>
      </c>
      <c r="J4745">
        <v>-365.26929999999999</v>
      </c>
      <c r="K4745">
        <v>1.1034310000000001</v>
      </c>
      <c r="L4745">
        <v>142.40520000000001</v>
      </c>
      <c r="M4745">
        <v>-0.99771989999999999</v>
      </c>
      <c r="N4745">
        <v>0</v>
      </c>
      <c r="O4745">
        <v>6.5793420000000005E-2</v>
      </c>
      <c r="P4745">
        <v>-0.99983029999999995</v>
      </c>
      <c r="Q4745">
        <v>1.8416020000000002E-2</v>
      </c>
      <c r="R4745">
        <v>5.41122E-4</v>
      </c>
      <c r="S4745">
        <v>-3.0021360000000001</v>
      </c>
      <c r="T4745">
        <v>-0.11532870000000001</v>
      </c>
      <c r="U4745">
        <v>0.48063660000000002</v>
      </c>
      <c r="V4745">
        <v>-6.5147590000000005E-2</v>
      </c>
      <c r="W4745">
        <v>3.3614329999999998E-2</v>
      </c>
      <c r="X4745">
        <v>0.99730929999999995</v>
      </c>
      <c r="Y4745">
        <v>9.2749600000000001E-2</v>
      </c>
      <c r="Z4745">
        <v>-7.3663509999999995E-4</v>
      </c>
      <c r="AA4745">
        <v>0.99568919999999905</v>
      </c>
      <c r="AB4745">
        <v>39</v>
      </c>
      <c r="AC4745">
        <v>-28.325399999999998</v>
      </c>
      <c r="AD4745">
        <v>-1.1034353583330001</v>
      </c>
      <c r="AE4745">
        <v>4.5712999999999804</v>
      </c>
      <c r="AF4745">
        <v>2.6935733279815399</v>
      </c>
      <c r="AG4745">
        <v>-1.1034353583330001</v>
      </c>
      <c r="AH4745">
        <v>28.522622323453302</v>
      </c>
      <c r="AI4745">
        <v>92.205654508725203</v>
      </c>
      <c r="AJ4745">
        <v>84.605193151602293</v>
      </c>
      <c r="AK4745">
        <v>28.670767186623898</v>
      </c>
    </row>
    <row r="4746" spans="1:37" x14ac:dyDescent="0.2">
      <c r="A4746" t="str">
        <f>"20200111155646543"</f>
        <v>20200111155646543</v>
      </c>
      <c r="B4746" t="str">
        <f>"1578729406537547"</f>
        <v>1578729406537547</v>
      </c>
      <c r="C4746" t="s">
        <v>37</v>
      </c>
      <c r="D4746">
        <v>4.89886</v>
      </c>
      <c r="E4746">
        <v>0.56072599999999995</v>
      </c>
      <c r="F4746" t="s">
        <v>38</v>
      </c>
      <c r="G4746">
        <v>-394.79880000000003</v>
      </c>
      <c r="H4746" s="1">
        <v>-3.9723080000000003E-6</v>
      </c>
      <c r="I4746">
        <v>147.11019999999999</v>
      </c>
      <c r="J4746">
        <v>-365.66059999999999</v>
      </c>
      <c r="K4746">
        <v>1.103634</v>
      </c>
      <c r="L4746">
        <v>142.43170000000001</v>
      </c>
      <c r="M4746">
        <v>-0.99767619999999901</v>
      </c>
      <c r="N4746">
        <v>0</v>
      </c>
      <c r="O4746">
        <v>6.6457009999999997E-2</v>
      </c>
      <c r="P4746">
        <v>-0.99980919999999895</v>
      </c>
      <c r="Q4746">
        <v>1.9531799999999998E-2</v>
      </c>
      <c r="R4746" s="1">
        <v>8.4631119999999897E-5</v>
      </c>
      <c r="S4746">
        <v>-3.002319</v>
      </c>
      <c r="T4746">
        <v>-0.1121886</v>
      </c>
      <c r="U4746">
        <v>0.47837829999999898</v>
      </c>
      <c r="V4746">
        <v>-6.6278340000000005E-2</v>
      </c>
      <c r="W4746">
        <v>3.469469E-2</v>
      </c>
      <c r="X4746">
        <v>0.99719780000000002</v>
      </c>
      <c r="Y4746">
        <v>9.1349910000000006E-2</v>
      </c>
      <c r="Z4746">
        <v>-7.6711450000000001E-4</v>
      </c>
      <c r="AA4746">
        <v>0.9958186</v>
      </c>
      <c r="AB4746">
        <v>39</v>
      </c>
      <c r="AC4746">
        <v>-29.138200000000001</v>
      </c>
      <c r="AD4746">
        <v>-1.1036379723080001</v>
      </c>
      <c r="AE4746">
        <v>4.6784999999999801</v>
      </c>
      <c r="AF4746">
        <v>2.72768391055105</v>
      </c>
      <c r="AG4746">
        <v>-1.1036379723080001</v>
      </c>
      <c r="AH4746">
        <v>29.343685338289198</v>
      </c>
      <c r="AI4746">
        <v>92.144684541605102</v>
      </c>
      <c r="AJ4746">
        <v>84.689250965066506</v>
      </c>
      <c r="AK4746">
        <v>29.490848504618</v>
      </c>
    </row>
    <row r="4747" spans="1:37" x14ac:dyDescent="0.2">
      <c r="A4747" t="str">
        <f>"20200111155646560"</f>
        <v>20200111155646560</v>
      </c>
      <c r="B4747" t="str">
        <f>"1578729406557068"</f>
        <v>1578729406557068</v>
      </c>
      <c r="C4747" t="s">
        <v>37</v>
      </c>
      <c r="D4747">
        <v>4.9007389999999997</v>
      </c>
      <c r="E4747">
        <v>0.5610811</v>
      </c>
      <c r="F4747" t="s">
        <v>38</v>
      </c>
      <c r="G4747">
        <v>-396.21940000000001</v>
      </c>
      <c r="H4747" s="1">
        <v>-3.524713E-6</v>
      </c>
      <c r="I4747">
        <v>147.31229999999999</v>
      </c>
      <c r="J4747">
        <v>-365.96809999999999</v>
      </c>
      <c r="K4747">
        <v>1.10379</v>
      </c>
      <c r="L4747">
        <v>142.45259999999999</v>
      </c>
      <c r="M4747">
        <v>-0.99764949999999997</v>
      </c>
      <c r="N4747">
        <v>0</v>
      </c>
      <c r="O4747">
        <v>6.6857609999999998E-2</v>
      </c>
      <c r="P4747">
        <v>-0.9997954</v>
      </c>
      <c r="Q4747">
        <v>2.0235920000000001E-2</v>
      </c>
      <c r="R4747" s="1">
        <v>-5.1264870000000002E-5</v>
      </c>
      <c r="S4747">
        <v>-3.0026549999999999</v>
      </c>
      <c r="T4747">
        <v>-0.10844189999999899</v>
      </c>
      <c r="U4747">
        <v>0.47956850000000001</v>
      </c>
      <c r="V4747">
        <v>-6.6824529999999993E-2</v>
      </c>
      <c r="W4747">
        <v>3.5369959999999999E-2</v>
      </c>
      <c r="X4747">
        <v>0.99713759999999996</v>
      </c>
      <c r="Y4747">
        <v>9.1319109999999995E-2</v>
      </c>
      <c r="Z4747">
        <v>-7.5626449999999896E-4</v>
      </c>
      <c r="AA4747">
        <v>0.99582139999999997</v>
      </c>
      <c r="AB4747">
        <v>39</v>
      </c>
      <c r="AC4747">
        <v>-30.251300000000001</v>
      </c>
      <c r="AD4747">
        <v>-1.103793524713</v>
      </c>
      <c r="AE4747">
        <v>4.8597000000000001</v>
      </c>
      <c r="AF4747">
        <v>2.8224033283771699</v>
      </c>
      <c r="AG4747">
        <v>-1.103793524713</v>
      </c>
      <c r="AH4747">
        <v>30.468998842529601</v>
      </c>
      <c r="AI4747">
        <v>92.065897183441393</v>
      </c>
      <c r="AJ4747">
        <v>84.707681930730104</v>
      </c>
      <c r="AK4747">
        <v>30.6193437414864</v>
      </c>
    </row>
    <row r="4748" spans="1:37" x14ac:dyDescent="0.2">
      <c r="A4748" t="str">
        <f>"20200111155646574"</f>
        <v>20200111155646574</v>
      </c>
      <c r="B4748" t="str">
        <f>"1578729406567804"</f>
        <v>1578729406567804</v>
      </c>
      <c r="C4748" t="s">
        <v>37</v>
      </c>
      <c r="D4748">
        <v>4.9149789999999998</v>
      </c>
      <c r="E4748">
        <v>0.56121699999999997</v>
      </c>
      <c r="F4748" t="s">
        <v>38</v>
      </c>
      <c r="G4748">
        <v>-397.30549999999999</v>
      </c>
      <c r="H4748" s="1">
        <v>-3.1855019999999999E-6</v>
      </c>
      <c r="I4748">
        <v>147.4838</v>
      </c>
      <c r="J4748">
        <v>-366.21879999999999</v>
      </c>
      <c r="K4748">
        <v>1.103912</v>
      </c>
      <c r="L4748">
        <v>142.46960000000001</v>
      </c>
      <c r="M4748">
        <v>-0.99763349999999995</v>
      </c>
      <c r="N4748">
        <v>0</v>
      </c>
      <c r="O4748">
        <v>6.7097859999999995E-2</v>
      </c>
      <c r="P4748">
        <v>-0.99978670000000003</v>
      </c>
      <c r="Q4748">
        <v>2.0668829999999999E-2</v>
      </c>
      <c r="R4748" s="1">
        <v>-7.8427379999999999E-5</v>
      </c>
      <c r="S4748">
        <v>-3.002777</v>
      </c>
      <c r="T4748">
        <v>-0.10576629999999999</v>
      </c>
      <c r="U4748">
        <v>0.48210140000000001</v>
      </c>
      <c r="V4748">
        <v>-6.7100759999999995E-2</v>
      </c>
      <c r="W4748">
        <v>3.5779770000000002E-2</v>
      </c>
      <c r="X4748">
        <v>0.99710449999999995</v>
      </c>
      <c r="Y4748">
        <v>9.1892559999999998E-2</v>
      </c>
      <c r="Z4748">
        <v>-7.3586039999999902E-4</v>
      </c>
      <c r="AA4748">
        <v>0.99576869999999995</v>
      </c>
      <c r="AB4748">
        <v>39</v>
      </c>
      <c r="AC4748">
        <v>-31.0867</v>
      </c>
      <c r="AD4748">
        <v>-1.103915185502</v>
      </c>
      <c r="AE4748">
        <v>5.0141999999999802</v>
      </c>
      <c r="AF4748">
        <v>2.9132309236449401</v>
      </c>
      <c r="AG4748">
        <v>-1.103915185502</v>
      </c>
      <c r="AH4748">
        <v>31.3146201084698</v>
      </c>
      <c r="AI4748">
        <v>92.010303618046606</v>
      </c>
      <c r="AJ4748">
        <v>84.685013520216899</v>
      </c>
      <c r="AK4748">
        <v>31.4692067851899</v>
      </c>
    </row>
    <row r="4749" spans="1:37" x14ac:dyDescent="0.2">
      <c r="A4749" t="str">
        <f>"20200111155646589"</f>
        <v>20200111155646589</v>
      </c>
      <c r="B4749" t="str">
        <f>"1578729406577564"</f>
        <v>1578729406577564</v>
      </c>
      <c r="C4749" t="s">
        <v>37</v>
      </c>
      <c r="D4749">
        <v>5.0031619999999997</v>
      </c>
      <c r="E4749">
        <v>0.56113040000000003</v>
      </c>
      <c r="F4749" t="s">
        <v>38</v>
      </c>
      <c r="G4749">
        <v>-397.75240000000002</v>
      </c>
      <c r="H4749" s="1">
        <v>-3.0442250000000001E-6</v>
      </c>
      <c r="I4749">
        <v>147.5446</v>
      </c>
      <c r="J4749">
        <v>-366.44110000000001</v>
      </c>
      <c r="K4749">
        <v>1.104034</v>
      </c>
      <c r="L4749">
        <v>142.4847</v>
      </c>
      <c r="M4749">
        <v>-0.99762450000000003</v>
      </c>
      <c r="N4749">
        <v>0</v>
      </c>
      <c r="O4749">
        <v>6.7230219999999993E-2</v>
      </c>
      <c r="P4749">
        <v>-0.99975879999999995</v>
      </c>
      <c r="Q4749">
        <v>2.1922540000000001E-2</v>
      </c>
      <c r="R4749">
        <v>-1.2987070000000001E-3</v>
      </c>
      <c r="S4749">
        <v>-3.0028079999999999</v>
      </c>
      <c r="T4749">
        <v>-0.1051213</v>
      </c>
      <c r="U4749">
        <v>0.48327639999999999</v>
      </c>
      <c r="V4749">
        <v>-6.845598E-2</v>
      </c>
      <c r="W4749">
        <v>3.7013959999999999E-2</v>
      </c>
      <c r="X4749">
        <v>0.9969673</v>
      </c>
      <c r="Y4749">
        <v>9.2138750000000005E-2</v>
      </c>
      <c r="Z4749">
        <v>-7.316407E-4</v>
      </c>
      <c r="AA4749">
        <v>0.99574589999999996</v>
      </c>
      <c r="AB4749">
        <v>39</v>
      </c>
      <c r="AC4749">
        <v>-31.311299999999999</v>
      </c>
      <c r="AD4749">
        <v>-1.104037044225</v>
      </c>
      <c r="AE4749">
        <v>5.0598999999999901</v>
      </c>
      <c r="AF4749">
        <v>2.9395847286887902</v>
      </c>
      <c r="AG4749">
        <v>-1.104037044225</v>
      </c>
      <c r="AH4749">
        <v>31.5424406972231</v>
      </c>
      <c r="AI4749">
        <v>91.9959856652723</v>
      </c>
      <c r="AJ4749">
        <v>84.675722156266005</v>
      </c>
      <c r="AK4749">
        <v>31.698353605668501</v>
      </c>
    </row>
    <row r="4750" spans="1:37" x14ac:dyDescent="0.2">
      <c r="A4750" t="str">
        <f>"20200111155646622"</f>
        <v>20200111155646622</v>
      </c>
      <c r="B4750" t="str">
        <f>"1578729406617580"</f>
        <v>1578729406617580</v>
      </c>
      <c r="C4750" t="s">
        <v>37</v>
      </c>
      <c r="D4750">
        <v>4.9331389999999997</v>
      </c>
      <c r="E4750">
        <v>0.56146529999999994</v>
      </c>
      <c r="F4750" t="s">
        <v>38</v>
      </c>
      <c r="G4750">
        <v>-399.04489999999998</v>
      </c>
      <c r="H4750" s="1">
        <v>-2.5391789999999998E-6</v>
      </c>
      <c r="I4750">
        <v>147.6857</v>
      </c>
      <c r="J4750">
        <v>-367.00900000000001</v>
      </c>
      <c r="K4750">
        <v>1.104347</v>
      </c>
      <c r="L4750">
        <v>142.5231</v>
      </c>
      <c r="M4750">
        <v>-0.99762479999999998</v>
      </c>
      <c r="N4750">
        <v>0</v>
      </c>
      <c r="O4750">
        <v>6.7229449999999996E-2</v>
      </c>
      <c r="P4750">
        <v>-0.99972399999999995</v>
      </c>
      <c r="Q4750">
        <v>2.3457849999999999E-2</v>
      </c>
      <c r="R4750">
        <v>-1.2560729999999999E-3</v>
      </c>
      <c r="S4750">
        <v>-3.003571</v>
      </c>
      <c r="T4750">
        <v>-0.1017077</v>
      </c>
      <c r="U4750">
        <v>0.47914119999999999</v>
      </c>
      <c r="V4750">
        <v>-6.8436469999999999E-2</v>
      </c>
      <c r="W4750">
        <v>3.8489669999999997E-2</v>
      </c>
      <c r="X4750">
        <v>0.99691269999999998</v>
      </c>
      <c r="Y4750">
        <v>9.0764919999999999E-2</v>
      </c>
      <c r="Z4750">
        <v>-7.3090310000000001E-4</v>
      </c>
      <c r="AA4750">
        <v>0.99587209999999904</v>
      </c>
      <c r="AB4750">
        <v>39</v>
      </c>
      <c r="AC4750">
        <v>-32.035899999999899</v>
      </c>
      <c r="AD4750">
        <v>-1.1043495391789999</v>
      </c>
      <c r="AE4750">
        <v>5.1625999999999896</v>
      </c>
      <c r="AF4750">
        <v>2.9934517813377699</v>
      </c>
      <c r="AG4750">
        <v>-1.1043495391789999</v>
      </c>
      <c r="AH4750">
        <v>32.273140991322798</v>
      </c>
      <c r="AI4750">
        <v>91.951460625002795</v>
      </c>
      <c r="AJ4750">
        <v>84.700769185119199</v>
      </c>
      <c r="AK4750">
        <v>32.430479042371203</v>
      </c>
    </row>
    <row r="4751" spans="1:37" x14ac:dyDescent="0.2">
      <c r="A4751" t="str">
        <f>"20200111155646643"</f>
        <v>20200111155646643</v>
      </c>
      <c r="B4751" t="str">
        <f>"1578729406637100"</f>
        <v>1578729406637100</v>
      </c>
      <c r="C4751" t="s">
        <v>37</v>
      </c>
      <c r="D4751">
        <v>4.9059589999999904</v>
      </c>
      <c r="E4751">
        <v>0.56193110000000002</v>
      </c>
      <c r="F4751" t="s">
        <v>72</v>
      </c>
      <c r="G4751">
        <v>-400.99400000000003</v>
      </c>
      <c r="H4751" s="1">
        <v>-9.2430409999999999E-6</v>
      </c>
      <c r="I4751">
        <v>147.97669999999999</v>
      </c>
      <c r="J4751">
        <v>-367.39159999999998</v>
      </c>
      <c r="K4751">
        <v>1.1045969999999901</v>
      </c>
      <c r="L4751">
        <v>142.5487</v>
      </c>
      <c r="M4751">
        <v>-0.99764730000000001</v>
      </c>
      <c r="N4751">
        <v>0</v>
      </c>
      <c r="O4751">
        <v>6.6892499999999994E-2</v>
      </c>
      <c r="P4751">
        <v>-0.99967510000000004</v>
      </c>
      <c r="Q4751">
        <v>2.5448040000000002E-2</v>
      </c>
      <c r="R4751">
        <v>-1.533354E-3</v>
      </c>
      <c r="S4751">
        <v>-3.0036930000000002</v>
      </c>
      <c r="T4751">
        <v>-9.7606180000000001E-2</v>
      </c>
      <c r="U4751">
        <v>0.48200989999999999</v>
      </c>
      <c r="V4751">
        <v>-6.8394129999999997E-2</v>
      </c>
      <c r="W4751">
        <v>4.0434610000000003E-2</v>
      </c>
      <c r="X4751">
        <v>0.99683860000000002</v>
      </c>
      <c r="Y4751">
        <v>9.2022489999999998E-2</v>
      </c>
      <c r="Z4751">
        <v>-6.7021810000000002E-4</v>
      </c>
      <c r="AA4751">
        <v>0.99575669999999905</v>
      </c>
      <c r="AB4751">
        <v>39</v>
      </c>
      <c r="AC4751">
        <v>-33.602400000000003</v>
      </c>
      <c r="AD4751">
        <v>-1.10460624304099</v>
      </c>
      <c r="AE4751">
        <v>5.4279999999999902</v>
      </c>
      <c r="AF4751">
        <v>3.1645051373263602</v>
      </c>
      <c r="AG4751">
        <v>-1.10460624304099</v>
      </c>
      <c r="AH4751">
        <v>33.854599638422499</v>
      </c>
      <c r="AI4751">
        <v>91.860675753889296</v>
      </c>
      <c r="AJ4751">
        <v>84.659884285090797</v>
      </c>
      <c r="AK4751">
        <v>34.020114114949799</v>
      </c>
    </row>
    <row r="4752" spans="1:37" x14ac:dyDescent="0.2">
      <c r="A4752" t="str">
        <f>"20200111155646665"</f>
        <v>20200111155646665</v>
      </c>
      <c r="B4752" t="str">
        <f>"1578729406657596"</f>
        <v>1578729406657596</v>
      </c>
      <c r="C4752" t="s">
        <v>37</v>
      </c>
      <c r="D4752">
        <v>4.8510070000000001</v>
      </c>
      <c r="E4752">
        <v>0.5622646</v>
      </c>
      <c r="F4752" t="s">
        <v>72</v>
      </c>
      <c r="G4752">
        <v>-403.27640000000002</v>
      </c>
      <c r="H4752" s="1">
        <v>-1.0405069999999999E-5</v>
      </c>
      <c r="I4752">
        <v>148.34139999999999</v>
      </c>
      <c r="J4752">
        <v>-367.767</v>
      </c>
      <c r="K4752">
        <v>1.1048530000000001</v>
      </c>
      <c r="L4752">
        <v>142.57339999999999</v>
      </c>
      <c r="M4752">
        <v>-0.99768440000000003</v>
      </c>
      <c r="N4752">
        <v>0</v>
      </c>
      <c r="O4752">
        <v>6.6340789999999997E-2</v>
      </c>
      <c r="P4752">
        <v>-0.9996469</v>
      </c>
      <c r="Q4752">
        <v>2.653749E-2</v>
      </c>
      <c r="R4752">
        <v>-1.4889669999999999E-3</v>
      </c>
      <c r="S4752">
        <v>-3.004089</v>
      </c>
      <c r="T4752">
        <v>-9.2472079999999998E-2</v>
      </c>
      <c r="U4752">
        <v>0.48493959999999903</v>
      </c>
      <c r="V4752">
        <v>-6.7820359999999996E-2</v>
      </c>
      <c r="W4752">
        <v>4.1480860000000001E-2</v>
      </c>
      <c r="X4752">
        <v>0.99683489999999997</v>
      </c>
      <c r="Y4752">
        <v>9.3499440000000003E-2</v>
      </c>
      <c r="Z4752">
        <v>-5.9545449999999999E-4</v>
      </c>
      <c r="AA4752">
        <v>0.99561919999999904</v>
      </c>
      <c r="AB4752">
        <v>39</v>
      </c>
      <c r="AC4752">
        <v>-35.509399999999999</v>
      </c>
      <c r="AD4752">
        <v>-1.1048634050699999</v>
      </c>
      <c r="AE4752">
        <v>5.7679999999999998</v>
      </c>
      <c r="AF4752">
        <v>3.39610064593424</v>
      </c>
      <c r="AG4752">
        <v>-1.1048634050699999</v>
      </c>
      <c r="AH4752">
        <v>35.780103639079101</v>
      </c>
      <c r="AI4752">
        <v>91.760781037579306</v>
      </c>
      <c r="AJ4752">
        <v>84.577963163304304</v>
      </c>
      <c r="AK4752">
        <v>35.957892585139398</v>
      </c>
    </row>
    <row r="4753" spans="1:37" x14ac:dyDescent="0.2">
      <c r="A4753" t="str">
        <f>"20200111155646687"</f>
        <v>20200111155646687</v>
      </c>
      <c r="B4753" t="str">
        <f>"1578729406677115"</f>
        <v>1578729406677115</v>
      </c>
      <c r="C4753" t="s">
        <v>37</v>
      </c>
      <c r="D4753">
        <v>4.80091</v>
      </c>
      <c r="E4753">
        <v>0.56228339999999999</v>
      </c>
      <c r="F4753" t="s">
        <v>72</v>
      </c>
      <c r="G4753">
        <v>-404.89870000000002</v>
      </c>
      <c r="H4753" s="1">
        <v>-1.123214E-5</v>
      </c>
      <c r="I4753">
        <v>148.60339999999999</v>
      </c>
      <c r="J4753">
        <v>-368.1463</v>
      </c>
      <c r="K4753">
        <v>1.1051249999999999</v>
      </c>
      <c r="L4753">
        <v>142.59790000000001</v>
      </c>
      <c r="M4753">
        <v>-0.9977393</v>
      </c>
      <c r="N4753">
        <v>0</v>
      </c>
      <c r="O4753">
        <v>6.5509590000000006E-2</v>
      </c>
      <c r="P4753">
        <v>-0.99962709999999999</v>
      </c>
      <c r="Q4753">
        <v>2.722962E-2</v>
      </c>
      <c r="R4753">
        <v>-2.129887E-3</v>
      </c>
      <c r="S4753">
        <v>-3.0041500000000001</v>
      </c>
      <c r="T4753">
        <v>-8.9389319999999994E-2</v>
      </c>
      <c r="U4753">
        <v>0.48785400000000001</v>
      </c>
      <c r="V4753">
        <v>-6.7654999999999896E-2</v>
      </c>
      <c r="W4753">
        <v>4.2125929999999999E-2</v>
      </c>
      <c r="X4753">
        <v>0.99681900000000001</v>
      </c>
      <c r="Y4753">
        <v>9.5266499999999907E-2</v>
      </c>
      <c r="Z4753">
        <v>-5.2496490000000003E-4</v>
      </c>
      <c r="AA4753">
        <v>0.99545169999999905</v>
      </c>
      <c r="AB4753">
        <v>39</v>
      </c>
      <c r="AC4753">
        <v>-36.752400000000002</v>
      </c>
      <c r="AD4753">
        <v>-1.10513623214</v>
      </c>
      <c r="AE4753">
        <v>6.0054999999999801</v>
      </c>
      <c r="AF4753">
        <v>3.58153744711875</v>
      </c>
      <c r="AG4753">
        <v>-1.10513623214</v>
      </c>
      <c r="AH4753">
        <v>37.0342827166305</v>
      </c>
      <c r="AI4753">
        <v>91.701317613884598</v>
      </c>
      <c r="AJ4753">
        <v>84.476177389693504</v>
      </c>
      <c r="AK4753">
        <v>37.223471532247203</v>
      </c>
    </row>
    <row r="4754" spans="1:37" x14ac:dyDescent="0.2">
      <c r="A4754" t="str">
        <f>"20200111155646711"</f>
        <v>20200111155646711</v>
      </c>
      <c r="B4754" t="str">
        <f>"1578729406707373"</f>
        <v>1578729406707373</v>
      </c>
      <c r="C4754" t="s">
        <v>37</v>
      </c>
      <c r="D4754">
        <v>4.8530369999999996</v>
      </c>
      <c r="E4754">
        <v>0.56255440000000001</v>
      </c>
      <c r="F4754" t="s">
        <v>72</v>
      </c>
      <c r="G4754">
        <v>-405.72949999999997</v>
      </c>
      <c r="H4754" s="1">
        <v>-1.174042E-5</v>
      </c>
      <c r="I4754">
        <v>148.68109999999999</v>
      </c>
      <c r="J4754">
        <v>-368.5487</v>
      </c>
      <c r="K4754">
        <v>1.1054440000000001</v>
      </c>
      <c r="L4754">
        <v>142.6233</v>
      </c>
      <c r="M4754">
        <v>-0.99781839999999999</v>
      </c>
      <c r="N4754">
        <v>0</v>
      </c>
      <c r="O4754">
        <v>6.4291310000000004E-2</v>
      </c>
      <c r="P4754">
        <v>-0.99960149999999903</v>
      </c>
      <c r="Q4754">
        <v>2.8077620000000001E-2</v>
      </c>
      <c r="R4754">
        <v>-2.8883959999999901E-3</v>
      </c>
      <c r="S4754">
        <v>-3.0045470000000001</v>
      </c>
      <c r="T4754">
        <v>-8.8348869999999996E-2</v>
      </c>
      <c r="U4754">
        <v>0.48631289999999999</v>
      </c>
      <c r="V4754">
        <v>-6.7226359999999999E-2</v>
      </c>
      <c r="W4754">
        <v>4.2920099999999899E-2</v>
      </c>
      <c r="X4754">
        <v>0.99681419999999998</v>
      </c>
      <c r="Y4754">
        <v>9.5963069999999998E-2</v>
      </c>
      <c r="Z4754">
        <v>-4.73206E-4</v>
      </c>
      <c r="AA4754">
        <v>0.99538479999999996</v>
      </c>
      <c r="AB4754">
        <v>39</v>
      </c>
      <c r="AC4754">
        <v>-37.180799999999898</v>
      </c>
      <c r="AD4754">
        <v>-1.1054557404200001</v>
      </c>
      <c r="AE4754">
        <v>6.0577999999999799</v>
      </c>
      <c r="AF4754">
        <v>3.6514488941032801</v>
      </c>
      <c r="AG4754">
        <v>-1.1054557404200001</v>
      </c>
      <c r="AH4754">
        <v>37.461111022215199</v>
      </c>
      <c r="AI4754">
        <v>91.682306539726696</v>
      </c>
      <c r="AJ4754">
        <v>84.432792284909596</v>
      </c>
      <c r="AK4754">
        <v>37.6548795037112</v>
      </c>
    </row>
    <row r="4755" spans="1:37" x14ac:dyDescent="0.2">
      <c r="A4755" t="str">
        <f>"20200111155646732"</f>
        <v>20200111155646732</v>
      </c>
      <c r="B4755" t="str">
        <f>"1578729406727867"</f>
        <v>1578729406727867</v>
      </c>
      <c r="C4755" t="s">
        <v>37</v>
      </c>
      <c r="D4755">
        <v>4.8653570000000004</v>
      </c>
      <c r="E4755">
        <v>0.56261759999999905</v>
      </c>
      <c r="F4755" t="s">
        <v>72</v>
      </c>
      <c r="G4755">
        <v>-406.69400000000002</v>
      </c>
      <c r="H4755" s="1">
        <v>-1.228723E-5</v>
      </c>
      <c r="I4755">
        <v>148.79859999999999</v>
      </c>
      <c r="J4755">
        <v>-368.921999999999</v>
      </c>
      <c r="K4755">
        <v>1.1057709999999901</v>
      </c>
      <c r="L4755">
        <v>142.64609999999999</v>
      </c>
      <c r="M4755">
        <v>-0.99791209999999997</v>
      </c>
      <c r="N4755">
        <v>0</v>
      </c>
      <c r="O4755">
        <v>6.2821719999999998E-2</v>
      </c>
      <c r="P4755">
        <v>-0.99958359999999902</v>
      </c>
      <c r="Q4755">
        <v>2.852789E-2</v>
      </c>
      <c r="R4755">
        <v>-4.3683609999999899E-3</v>
      </c>
      <c r="S4755">
        <v>-3.0050349999999999</v>
      </c>
      <c r="T4755">
        <v>-8.7086440000000001E-2</v>
      </c>
      <c r="U4755">
        <v>0.48648069999999999</v>
      </c>
      <c r="V4755">
        <v>-6.7267510000000003E-2</v>
      </c>
      <c r="W4755">
        <v>4.3318370000000002E-2</v>
      </c>
      <c r="X4755">
        <v>0.99679419999999996</v>
      </c>
      <c r="Y4755">
        <v>9.7456769999999998E-2</v>
      </c>
      <c r="Z4755">
        <v>-4.0273279999999999E-4</v>
      </c>
      <c r="AA4755">
        <v>0.99523969999999995</v>
      </c>
      <c r="AB4755">
        <v>38</v>
      </c>
      <c r="AC4755">
        <v>-37.771999999999998</v>
      </c>
      <c r="AD4755">
        <v>-1.10578328722999</v>
      </c>
      <c r="AE4755">
        <v>6.1524999999999999</v>
      </c>
      <c r="AF4755">
        <v>3.7640332348426</v>
      </c>
      <c r="AG4755">
        <v>-1.10578328722999</v>
      </c>
      <c r="AH4755">
        <v>38.052159464163303</v>
      </c>
      <c r="AI4755">
        <v>91.656448465809007</v>
      </c>
      <c r="AJ4755">
        <v>84.350808967799097</v>
      </c>
      <c r="AK4755">
        <v>38.253856573650602</v>
      </c>
    </row>
    <row r="4756" spans="1:37" x14ac:dyDescent="0.2">
      <c r="A4756" t="str">
        <f>"20200111155646754"</f>
        <v>20200111155646754</v>
      </c>
      <c r="B4756" t="str">
        <f>"1578729406747387"</f>
        <v>1578729406747387</v>
      </c>
      <c r="C4756" t="s">
        <v>37</v>
      </c>
      <c r="D4756">
        <v>4.8444399999999996</v>
      </c>
      <c r="E4756">
        <v>0.56262609999999902</v>
      </c>
      <c r="F4756" t="s">
        <v>72</v>
      </c>
      <c r="G4756">
        <v>-407.46019999999999</v>
      </c>
      <c r="H4756" s="1">
        <v>-1.27006E-5</v>
      </c>
      <c r="I4756">
        <v>148.83369999999999</v>
      </c>
      <c r="J4756">
        <v>-369.29430000000002</v>
      </c>
      <c r="K4756">
        <v>1.1061019999999999</v>
      </c>
      <c r="L4756">
        <v>142.6679</v>
      </c>
      <c r="M4756">
        <v>-0.99802459999999904</v>
      </c>
      <c r="N4756">
        <v>0</v>
      </c>
      <c r="O4756">
        <v>6.1009809999999998E-2</v>
      </c>
      <c r="P4756">
        <v>-0.99955400000000005</v>
      </c>
      <c r="Q4756">
        <v>2.8971589999999998E-2</v>
      </c>
      <c r="R4756">
        <v>-7.2529119999999898E-3</v>
      </c>
      <c r="S4756">
        <v>-3.0057680000000002</v>
      </c>
      <c r="T4756">
        <v>-8.6245059999999998E-2</v>
      </c>
      <c r="U4756">
        <v>0.48260500000000001</v>
      </c>
      <c r="V4756">
        <v>-6.8369979999999997E-2</v>
      </c>
      <c r="W4756">
        <v>4.3704239999999998E-2</v>
      </c>
      <c r="X4756">
        <v>0.99670230000000004</v>
      </c>
      <c r="Y4756">
        <v>9.7973959999999999E-2</v>
      </c>
      <c r="Z4756">
        <v>-3.3998280000000001E-4</v>
      </c>
      <c r="AA4756">
        <v>0.99518890000000004</v>
      </c>
      <c r="AB4756">
        <v>38</v>
      </c>
      <c r="AC4756">
        <v>-38.165899999999901</v>
      </c>
      <c r="AD4756">
        <v>-1.1061147006000001</v>
      </c>
      <c r="AE4756">
        <v>6.1657999999999902</v>
      </c>
      <c r="AF4756">
        <v>3.8224266447185502</v>
      </c>
      <c r="AG4756">
        <v>-1.1061147006000001</v>
      </c>
      <c r="AH4756">
        <v>38.439538093251301</v>
      </c>
      <c r="AI4756">
        <v>91.640171687875693</v>
      </c>
      <c r="AJ4756">
        <v>84.321178087991498</v>
      </c>
      <c r="AK4756">
        <v>38.6449547031389</v>
      </c>
    </row>
    <row r="4757" spans="1:37" x14ac:dyDescent="0.2">
      <c r="A4757" t="str">
        <f>"20200111155646776"</f>
        <v>20200111155646776</v>
      </c>
      <c r="B4757" t="str">
        <f>"1578729406767883"</f>
        <v>1578729406767883</v>
      </c>
      <c r="C4757" t="s">
        <v>37</v>
      </c>
      <c r="D4757">
        <v>4.7645660000000003</v>
      </c>
      <c r="E4757">
        <v>0.56271499999999997</v>
      </c>
      <c r="F4757" t="s">
        <v>72</v>
      </c>
      <c r="G4757">
        <v>-409.50420000000003</v>
      </c>
      <c r="H4757" s="1">
        <v>-1.3832949999999999E-5</v>
      </c>
      <c r="I4757">
        <v>149.0095</v>
      </c>
      <c r="J4757">
        <v>-369.67070000000001</v>
      </c>
      <c r="K4757">
        <v>1.1064430000000001</v>
      </c>
      <c r="L4757">
        <v>142.68889999999999</v>
      </c>
      <c r="M4757">
        <v>-0.99815599999999904</v>
      </c>
      <c r="N4757">
        <v>0</v>
      </c>
      <c r="O4757">
        <v>5.8818879999999997E-2</v>
      </c>
      <c r="P4757">
        <v>-0.99951509999999999</v>
      </c>
      <c r="Q4757">
        <v>2.919221E-2</v>
      </c>
      <c r="R4757">
        <v>-1.0849660000000001E-2</v>
      </c>
      <c r="S4757">
        <v>-3.0071720000000002</v>
      </c>
      <c r="T4757">
        <v>-8.2722899999999905E-2</v>
      </c>
      <c r="U4757">
        <v>0.47427370000000002</v>
      </c>
      <c r="V4757">
        <v>-6.9806149999999997E-2</v>
      </c>
      <c r="W4757">
        <v>4.3863819999999998E-2</v>
      </c>
      <c r="X4757">
        <v>0.99659569999999997</v>
      </c>
      <c r="Y4757">
        <v>9.7397330000000004E-2</v>
      </c>
      <c r="Z4757">
        <v>-2.7426609999999999E-4</v>
      </c>
      <c r="AA4757">
        <v>0.99524550000000001</v>
      </c>
      <c r="AB4757">
        <v>38</v>
      </c>
      <c r="AC4757">
        <v>-39.833500000000001</v>
      </c>
      <c r="AD4757">
        <v>-1.10645683295</v>
      </c>
      <c r="AE4757">
        <v>6.3206000000000104</v>
      </c>
      <c r="AF4757">
        <v>3.9634461361799702</v>
      </c>
      <c r="AG4757">
        <v>-1.10645683295</v>
      </c>
      <c r="AH4757">
        <v>40.1061475247472</v>
      </c>
      <c r="AI4757">
        <v>91.5726304228982</v>
      </c>
      <c r="AJ4757">
        <v>84.356132668115904</v>
      </c>
      <c r="AK4757">
        <v>40.316699037425799</v>
      </c>
    </row>
    <row r="4758" spans="1:37" x14ac:dyDescent="0.2">
      <c r="A4758" t="str">
        <f>"20200111155646821"</f>
        <v>20200111155646821</v>
      </c>
      <c r="B4758" t="str">
        <f>"1578729406817660"</f>
        <v>1578729406817660</v>
      </c>
      <c r="C4758" t="s">
        <v>37</v>
      </c>
      <c r="D4758">
        <v>3.8748640000000001</v>
      </c>
      <c r="E4758">
        <v>0.56263099999999999</v>
      </c>
      <c r="F4758" t="s">
        <v>72</v>
      </c>
      <c r="G4758">
        <v>-409.72590000000002</v>
      </c>
      <c r="H4758" s="1">
        <v>-1.389858E-5</v>
      </c>
      <c r="I4758">
        <v>148.87029999999999</v>
      </c>
      <c r="J4758">
        <v>-370.4418</v>
      </c>
      <c r="K4758">
        <v>1.107108</v>
      </c>
      <c r="L4758">
        <v>142.72810000000001</v>
      </c>
      <c r="M4758">
        <v>-0.99846990000000002</v>
      </c>
      <c r="N4758">
        <v>0</v>
      </c>
      <c r="O4758">
        <v>5.3219889999999999E-2</v>
      </c>
      <c r="P4758">
        <v>-0.99944009999999905</v>
      </c>
      <c r="Q4758">
        <v>2.646275E-2</v>
      </c>
      <c r="R4758">
        <v>-2.0482759999999999E-2</v>
      </c>
      <c r="S4758">
        <v>-3.0089109999999999</v>
      </c>
      <c r="T4758">
        <v>-8.3116170000000003E-2</v>
      </c>
      <c r="U4758">
        <v>0.46434019999999998</v>
      </c>
      <c r="V4758">
        <v>-7.3884729999999996E-2</v>
      </c>
      <c r="W4758">
        <v>4.1004899999999997E-2</v>
      </c>
      <c r="X4758">
        <v>0.99642339999999996</v>
      </c>
      <c r="Y4758">
        <v>9.9679599999999993E-2</v>
      </c>
      <c r="Z4758" s="1">
        <v>-9.0960759999999995E-5</v>
      </c>
      <c r="AA4758">
        <v>0.9950196</v>
      </c>
      <c r="AB4758">
        <v>38</v>
      </c>
      <c r="AC4758">
        <v>-39.284100000000002</v>
      </c>
      <c r="AD4758">
        <v>-1.10712189858</v>
      </c>
      <c r="AE4758">
        <v>6.1421999999999697</v>
      </c>
      <c r="AF4758">
        <v>4.0394304100388396</v>
      </c>
      <c r="AG4758">
        <v>-1.10712189858</v>
      </c>
      <c r="AH4758">
        <v>39.524695391106697</v>
      </c>
      <c r="AI4758">
        <v>91.596176297312297</v>
      </c>
      <c r="AJ4758">
        <v>84.164622166481294</v>
      </c>
      <c r="AK4758">
        <v>39.7459968134607</v>
      </c>
    </row>
    <row r="4759" spans="1:37" x14ac:dyDescent="0.2">
      <c r="A4759" t="str">
        <f>"20200111155646844"</f>
        <v>20200111155646844</v>
      </c>
      <c r="B4759" t="str">
        <f>"1578729406837179"</f>
        <v>1578729406837179</v>
      </c>
      <c r="C4759" t="s">
        <v>37</v>
      </c>
      <c r="D4759">
        <v>3.786883</v>
      </c>
      <c r="E4759">
        <v>6.01697E-2</v>
      </c>
      <c r="F4759" t="s">
        <v>72</v>
      </c>
      <c r="G4759">
        <v>-407.74950000000001</v>
      </c>
      <c r="H4759" s="1">
        <v>-1.25947E-5</v>
      </c>
      <c r="I4759">
        <v>148.12180000000001</v>
      </c>
      <c r="J4759">
        <v>-370.8218</v>
      </c>
      <c r="K4759">
        <v>1.107394</v>
      </c>
      <c r="L4759">
        <v>142.74539999999999</v>
      </c>
      <c r="M4759">
        <v>-0.99863559999999996</v>
      </c>
      <c r="N4759">
        <v>0</v>
      </c>
      <c r="O4759">
        <v>5.0014309999999999E-2</v>
      </c>
      <c r="P4759">
        <v>-0.999388099999999</v>
      </c>
      <c r="Q4759">
        <v>2.397701E-2</v>
      </c>
      <c r="R4759">
        <v>-2.5466289999999999E-2</v>
      </c>
      <c r="S4759">
        <v>-3.0129700000000001</v>
      </c>
      <c r="T4759">
        <v>-8.941114E-2</v>
      </c>
      <c r="U4759">
        <v>0.435592699999999</v>
      </c>
      <c r="V4759">
        <v>-7.5672130000000004E-2</v>
      </c>
      <c r="W4759">
        <v>3.8460599999999998E-2</v>
      </c>
      <c r="X4759">
        <v>0.99639080000000002</v>
      </c>
      <c r="Y4759">
        <v>9.3381870000000006E-2</v>
      </c>
      <c r="Z4759" s="1">
        <v>-9.6470230000000006E-5</v>
      </c>
      <c r="AA4759">
        <v>0.99563040000000003</v>
      </c>
      <c r="AB4759">
        <v>38</v>
      </c>
      <c r="AC4759">
        <v>-36.927700000000002</v>
      </c>
      <c r="AD4759">
        <v>-1.1074065947</v>
      </c>
      <c r="AE4759">
        <v>5.3764000000000101</v>
      </c>
      <c r="AF4759">
        <v>3.5194488275400402</v>
      </c>
      <c r="AG4759">
        <v>-1.1074065947</v>
      </c>
      <c r="AH4759">
        <v>37.117714390807997</v>
      </c>
      <c r="AI4759">
        <v>91.701285882185402</v>
      </c>
      <c r="AJ4759">
        <v>84.583489525463406</v>
      </c>
      <c r="AK4759">
        <v>37.300637943783897</v>
      </c>
    </row>
    <row r="4760" spans="1:37" x14ac:dyDescent="0.2">
      <c r="A4760" t="str">
        <f>"20200111155646866"</f>
        <v>20200111155646866</v>
      </c>
      <c r="B4760" t="str">
        <f>"1578729406857677"</f>
        <v>1578729406857677</v>
      </c>
      <c r="C4760" t="s">
        <v>37</v>
      </c>
      <c r="D4760">
        <v>3.7960449999999999</v>
      </c>
      <c r="E4760">
        <v>5.5450670000000001E-2</v>
      </c>
      <c r="F4760" t="s">
        <v>77</v>
      </c>
      <c r="G4760">
        <v>-389.11059999999998</v>
      </c>
      <c r="H4760">
        <v>36.253300000000003</v>
      </c>
      <c r="I4760">
        <v>119.607999999999</v>
      </c>
      <c r="J4760">
        <v>-371.19400000000002</v>
      </c>
      <c r="K4760">
        <v>1.1076330000000001</v>
      </c>
      <c r="L4760">
        <v>142.76089999999999</v>
      </c>
      <c r="M4760">
        <v>-0.99879839999999998</v>
      </c>
      <c r="N4760">
        <v>0</v>
      </c>
      <c r="O4760">
        <v>4.6649059999999999E-2</v>
      </c>
      <c r="P4760">
        <v>-0.99926499999999996</v>
      </c>
      <c r="Q4760">
        <v>2.2959029999999998E-2</v>
      </c>
      <c r="R4760">
        <v>-3.0700559999999998E-2</v>
      </c>
      <c r="S4760">
        <v>-2.7837519999999998</v>
      </c>
      <c r="T4760">
        <v>5.3495689999999998</v>
      </c>
      <c r="U4760">
        <v>-3.521744</v>
      </c>
      <c r="V4760">
        <v>-7.7551389999999998E-2</v>
      </c>
      <c r="W4760">
        <v>3.7385170000000002E-2</v>
      </c>
      <c r="X4760">
        <v>0.99628719999999904</v>
      </c>
      <c r="Y4760">
        <v>-0.50244659999999997</v>
      </c>
      <c r="Z4760">
        <v>0.32649509999999998</v>
      </c>
      <c r="AA4760">
        <v>0.80059250000000004</v>
      </c>
      <c r="AB4760">
        <v>38</v>
      </c>
      <c r="AC4760">
        <v>-17.916599999999899</v>
      </c>
      <c r="AD4760">
        <v>35.145667000000003</v>
      </c>
      <c r="AE4760">
        <v>-23.152899999999999</v>
      </c>
      <c r="AF4760">
        <v>-9.8162107544146</v>
      </c>
      <c r="AG4760">
        <v>35.145667000000003</v>
      </c>
      <c r="AH4760">
        <v>6.88871780974935</v>
      </c>
      <c r="AI4760">
        <v>18.8403424958926</v>
      </c>
      <c r="AJ4760">
        <v>144.93999086406501</v>
      </c>
      <c r="AK4760">
        <v>37.135297703294697</v>
      </c>
    </row>
    <row r="4761" spans="1:37" x14ac:dyDescent="0.2">
      <c r="A4761" t="str">
        <f>"20200111155646888"</f>
        <v>20200111155646888</v>
      </c>
      <c r="B4761" t="str">
        <f>"1578729406878172"</f>
        <v>1578729406878172</v>
      </c>
      <c r="C4761" t="s">
        <v>37</v>
      </c>
      <c r="D4761">
        <v>3.7481300000000002</v>
      </c>
      <c r="E4761">
        <v>6.0200400000000001E-2</v>
      </c>
      <c r="F4761" t="s">
        <v>77</v>
      </c>
      <c r="G4761">
        <v>-389.1114</v>
      </c>
      <c r="H4761">
        <v>35.7789</v>
      </c>
      <c r="I4761">
        <v>119.6082</v>
      </c>
      <c r="J4761">
        <v>-371.575999999999</v>
      </c>
      <c r="K4761">
        <v>1.107858</v>
      </c>
      <c r="L4761">
        <v>142.77549999999999</v>
      </c>
      <c r="M4761">
        <v>-0.99896229999999997</v>
      </c>
      <c r="N4761">
        <v>0</v>
      </c>
      <c r="O4761">
        <v>4.299671E-2</v>
      </c>
      <c r="P4761">
        <v>-0.99911659999999902</v>
      </c>
      <c r="Q4761">
        <v>2.2066189999999999E-2</v>
      </c>
      <c r="R4761">
        <v>-3.5764789999999998E-2</v>
      </c>
      <c r="S4761">
        <v>-2.7691650000000001</v>
      </c>
      <c r="T4761">
        <v>5.3584969999999998</v>
      </c>
      <c r="U4761">
        <v>-3.5782929999999999</v>
      </c>
      <c r="V4761">
        <v>-7.8973570000000007E-2</v>
      </c>
      <c r="W4761">
        <v>3.6440229999999997E-2</v>
      </c>
      <c r="X4761">
        <v>0.9962105</v>
      </c>
      <c r="Y4761">
        <v>-0.50845189999999996</v>
      </c>
      <c r="Z4761">
        <v>0.32579550000000002</v>
      </c>
      <c r="AA4761">
        <v>0.79707839999999996</v>
      </c>
      <c r="AB4761">
        <v>38</v>
      </c>
      <c r="AC4761">
        <v>-17.535399999999999</v>
      </c>
      <c r="AD4761">
        <v>34.671042</v>
      </c>
      <c r="AE4761">
        <v>-23.167300000000001</v>
      </c>
      <c r="AF4761">
        <v>-9.8600866902313005</v>
      </c>
      <c r="AG4761">
        <v>34.671042</v>
      </c>
      <c r="AH4761">
        <v>6.8166637226320903</v>
      </c>
      <c r="AI4761">
        <v>19.072072468029901</v>
      </c>
      <c r="AJ4761">
        <v>145.34237790369701</v>
      </c>
      <c r="AK4761">
        <v>36.684729346310903</v>
      </c>
    </row>
    <row r="4762" spans="1:37" x14ac:dyDescent="0.2">
      <c r="A4762" t="str">
        <f>"20200111155646933"</f>
        <v>20200111155646933</v>
      </c>
      <c r="B4762" t="str">
        <f>"1578729406927948"</f>
        <v>1578729406927948</v>
      </c>
      <c r="C4762" t="s">
        <v>37</v>
      </c>
      <c r="D4762">
        <v>3.7841099999999899</v>
      </c>
      <c r="E4762">
        <v>7.0920800000000006E-2</v>
      </c>
      <c r="F4762" t="s">
        <v>77</v>
      </c>
      <c r="G4762">
        <v>-389.51479999999998</v>
      </c>
      <c r="H4762">
        <v>35.598909999999997</v>
      </c>
      <c r="I4762">
        <v>119.6082</v>
      </c>
      <c r="J4762">
        <v>-372.33139999999997</v>
      </c>
      <c r="K4762">
        <v>1.1082019999999999</v>
      </c>
      <c r="L4762">
        <v>142.7996</v>
      </c>
      <c r="M4762">
        <v>-0.99926139999999997</v>
      </c>
      <c r="N4762">
        <v>0</v>
      </c>
      <c r="O4762">
        <v>3.536976E-2</v>
      </c>
      <c r="P4762">
        <v>-0.99862489999999904</v>
      </c>
      <c r="Q4762">
        <v>2.2803299999999999E-2</v>
      </c>
      <c r="R4762">
        <v>-4.72085E-2</v>
      </c>
      <c r="S4762">
        <v>-2.7580259999999899</v>
      </c>
      <c r="T4762">
        <v>5.3028760000000004</v>
      </c>
      <c r="U4762">
        <v>-3.561874</v>
      </c>
      <c r="V4762">
        <v>-8.2819729999999994E-2</v>
      </c>
      <c r="W4762">
        <v>3.7074959999999997E-2</v>
      </c>
      <c r="X4762">
        <v>0.99587459999999906</v>
      </c>
      <c r="Y4762">
        <v>-0.51070919999999997</v>
      </c>
      <c r="Z4762">
        <v>0.31746849999999999</v>
      </c>
      <c r="AA4762">
        <v>0.79899310000000001</v>
      </c>
      <c r="AB4762">
        <v>38</v>
      </c>
      <c r="AC4762">
        <v>-17.183399999999999</v>
      </c>
      <c r="AD4762">
        <v>34.490707999999998</v>
      </c>
      <c r="AE4762">
        <v>-23.191400000000002</v>
      </c>
      <c r="AF4762">
        <v>-9.7963673268292606</v>
      </c>
      <c r="AG4762">
        <v>34.490707999999998</v>
      </c>
      <c r="AH4762">
        <v>6.7351175201507099</v>
      </c>
      <c r="AI4762">
        <v>19.018045802464901</v>
      </c>
      <c r="AJ4762">
        <v>145.491020358322</v>
      </c>
      <c r="AK4762">
        <v>36.482044339012397</v>
      </c>
    </row>
    <row r="4763" spans="1:37" x14ac:dyDescent="0.2">
      <c r="A4763" t="str">
        <f>"20200111155646955"</f>
        <v>20200111155646955</v>
      </c>
      <c r="B4763" t="str">
        <f>"1578729406947468"</f>
        <v>1578729406947468</v>
      </c>
      <c r="C4763" t="s">
        <v>37</v>
      </c>
      <c r="D4763">
        <v>3.7644279999999899</v>
      </c>
      <c r="E4763">
        <v>7.6237509999999994E-2</v>
      </c>
      <c r="F4763" t="s">
        <v>77</v>
      </c>
      <c r="G4763">
        <v>-390.19</v>
      </c>
      <c r="H4763">
        <v>35.412799999999997</v>
      </c>
      <c r="I4763">
        <v>119.6083</v>
      </c>
      <c r="J4763">
        <v>-372.69880000000001</v>
      </c>
      <c r="K4763">
        <v>1.1083319999999901</v>
      </c>
      <c r="L4763">
        <v>142.8092</v>
      </c>
      <c r="M4763">
        <v>-0.99938939999999998</v>
      </c>
      <c r="N4763">
        <v>0</v>
      </c>
      <c r="O4763">
        <v>3.1544700000000002E-2</v>
      </c>
      <c r="P4763">
        <v>-0.99828850000000002</v>
      </c>
      <c r="Q4763">
        <v>2.2887850000000001E-2</v>
      </c>
      <c r="R4763">
        <v>-5.3819690000000003E-2</v>
      </c>
      <c r="S4763">
        <v>-2.718048</v>
      </c>
      <c r="T4763">
        <v>5.2210989999999997</v>
      </c>
      <c r="U4763">
        <v>-3.5296780000000001</v>
      </c>
      <c r="V4763">
        <v>-8.5615339999999998E-2</v>
      </c>
      <c r="W4763">
        <v>3.7105930000000002E-2</v>
      </c>
      <c r="X4763">
        <v>0.99563709999999905</v>
      </c>
      <c r="Y4763">
        <v>-0.51328640000000003</v>
      </c>
      <c r="Z4763">
        <v>0.31417600000000001</v>
      </c>
      <c r="AA4763">
        <v>0.79864299999999999</v>
      </c>
      <c r="AB4763">
        <v>38</v>
      </c>
      <c r="AC4763">
        <v>-17.4911999999999</v>
      </c>
      <c r="AD4763">
        <v>34.304468</v>
      </c>
      <c r="AE4763">
        <v>-23.200900000000001</v>
      </c>
      <c r="AF4763">
        <v>-9.9171985274417391</v>
      </c>
      <c r="AG4763">
        <v>34.304468</v>
      </c>
      <c r="AH4763">
        <v>6.9970644242419802</v>
      </c>
      <c r="AI4763">
        <v>19.484078481064799</v>
      </c>
      <c r="AJ4763">
        <v>144.79517647518699</v>
      </c>
      <c r="AK4763">
        <v>36.388270939310999</v>
      </c>
    </row>
    <row r="4764" spans="1:37" x14ac:dyDescent="0.2">
      <c r="A4764" t="str">
        <f>"20200111155646978"</f>
        <v>20200111155646978</v>
      </c>
      <c r="B4764" t="str">
        <f>"1578729406967963"</f>
        <v>1578729406967963</v>
      </c>
      <c r="C4764" t="s">
        <v>37</v>
      </c>
      <c r="D4764">
        <v>3.7794439999999998</v>
      </c>
      <c r="E4764">
        <v>7.8605629999999996E-2</v>
      </c>
      <c r="F4764" t="s">
        <v>77</v>
      </c>
      <c r="G4764">
        <v>-390.54</v>
      </c>
      <c r="H4764">
        <v>35.429989999999997</v>
      </c>
      <c r="I4764">
        <v>119.6083</v>
      </c>
      <c r="J4764">
        <v>-373.07859999999999</v>
      </c>
      <c r="K4764">
        <v>1.10843</v>
      </c>
      <c r="L4764">
        <v>142.8177</v>
      </c>
      <c r="M4764">
        <v>-0.99950759999999905</v>
      </c>
      <c r="N4764">
        <v>0</v>
      </c>
      <c r="O4764">
        <v>2.7550760000000001E-2</v>
      </c>
      <c r="P4764">
        <v>-0.99792639999999999</v>
      </c>
      <c r="Q4764">
        <v>2.1830519999999999E-2</v>
      </c>
      <c r="R4764">
        <v>-6.0554629999999998E-2</v>
      </c>
      <c r="S4764">
        <v>-2.6971129999999999</v>
      </c>
      <c r="T4764">
        <v>5.1884829999999997</v>
      </c>
      <c r="U4764">
        <v>-3.507339</v>
      </c>
      <c r="V4764">
        <v>-8.835556E-2</v>
      </c>
      <c r="W4764">
        <v>3.5998969999999998E-2</v>
      </c>
      <c r="X4764">
        <v>0.9954383</v>
      </c>
      <c r="Y4764">
        <v>-0.51351999999999998</v>
      </c>
      <c r="Z4764">
        <v>0.31011270000000002</v>
      </c>
      <c r="AA4764">
        <v>0.800079599999999</v>
      </c>
      <c r="AB4764">
        <v>38</v>
      </c>
      <c r="AC4764">
        <v>-17.461400000000001</v>
      </c>
      <c r="AD4764">
        <v>34.321559999999998</v>
      </c>
      <c r="AE4764">
        <v>-23.209399999999999</v>
      </c>
      <c r="AF4764">
        <v>-9.8822106341315799</v>
      </c>
      <c r="AG4764">
        <v>34.321559999999998</v>
      </c>
      <c r="AH4764">
        <v>7.0168880364927197</v>
      </c>
      <c r="AI4764">
        <v>19.449720286667901</v>
      </c>
      <c r="AJ4764">
        <v>144.62324959097299</v>
      </c>
      <c r="AK4764">
        <v>36.3986852175682</v>
      </c>
    </row>
    <row r="4765" spans="1:37" x14ac:dyDescent="0.2">
      <c r="A4765" t="str">
        <f>"20200111155647001"</f>
        <v>20200111155647001</v>
      </c>
      <c r="B4765" t="str">
        <f>"1578729406998221"</f>
        <v>1578729406998221</v>
      </c>
      <c r="C4765" t="s">
        <v>37</v>
      </c>
      <c r="D4765">
        <v>3.9437089999999899</v>
      </c>
      <c r="E4765">
        <v>8.4966E-2</v>
      </c>
      <c r="F4765" t="s">
        <v>77</v>
      </c>
      <c r="G4765">
        <v>-390.83580000000001</v>
      </c>
      <c r="H4765">
        <v>35.403820000000003</v>
      </c>
      <c r="I4765">
        <v>119.6083</v>
      </c>
      <c r="J4765">
        <v>-373.46359999999999</v>
      </c>
      <c r="K4765">
        <v>1.1084879999999999</v>
      </c>
      <c r="L4765">
        <v>142.8245</v>
      </c>
      <c r="M4765">
        <v>-0.99961129999999998</v>
      </c>
      <c r="N4765">
        <v>0</v>
      </c>
      <c r="O4765">
        <v>2.348604E-2</v>
      </c>
      <c r="P4765">
        <v>-0.99753269999999905</v>
      </c>
      <c r="Q4765">
        <v>2.0266159999999998E-2</v>
      </c>
      <c r="R4765">
        <v>-6.7215399999999995E-2</v>
      </c>
      <c r="S4765">
        <v>-2.6803889999999999</v>
      </c>
      <c r="T4765">
        <v>5.1767699999999897</v>
      </c>
      <c r="U4765">
        <v>-3.5033720000000002</v>
      </c>
      <c r="V4765">
        <v>-9.0947319999999998E-2</v>
      </c>
      <c r="W4765">
        <v>3.4390650000000002E-2</v>
      </c>
      <c r="X4765">
        <v>0.99526170000000003</v>
      </c>
      <c r="Y4765">
        <v>-0.51437699999999997</v>
      </c>
      <c r="Z4765">
        <v>0.3065408</v>
      </c>
      <c r="AA4765">
        <v>0.80090519999999998</v>
      </c>
      <c r="AB4765">
        <v>38</v>
      </c>
      <c r="AC4765">
        <v>-17.372199999999999</v>
      </c>
      <c r="AD4765">
        <v>34.295332000000002</v>
      </c>
      <c r="AE4765">
        <v>-23.216200000000001</v>
      </c>
      <c r="AF4765">
        <v>-9.84530420667366</v>
      </c>
      <c r="AG4765">
        <v>34.295332000000002</v>
      </c>
      <c r="AH4765">
        <v>7.0124341692960597</v>
      </c>
      <c r="AI4765">
        <v>19.4149602404935</v>
      </c>
      <c r="AJ4765">
        <v>144.53918093288601</v>
      </c>
      <c r="AK4765">
        <v>36.363086294907298</v>
      </c>
    </row>
    <row r="4766" spans="1:37" x14ac:dyDescent="0.2">
      <c r="A4766" t="str">
        <f>"20200111155647022"</f>
        <v>20200111155647022</v>
      </c>
      <c r="B4766" t="str">
        <f>"1578729407017740"</f>
        <v>1578729407017740</v>
      </c>
      <c r="C4766" t="s">
        <v>37</v>
      </c>
      <c r="D4766">
        <v>3.8203309999999999</v>
      </c>
      <c r="E4766">
        <v>8.7717649999999994E-2</v>
      </c>
      <c r="F4766" t="s">
        <v>77</v>
      </c>
      <c r="G4766">
        <v>-391.35610000000003</v>
      </c>
      <c r="H4766">
        <v>35.586209999999902</v>
      </c>
      <c r="I4766">
        <v>119.6082</v>
      </c>
      <c r="J4766">
        <v>-373.83319999999998</v>
      </c>
      <c r="K4766">
        <v>1.108535</v>
      </c>
      <c r="L4766">
        <v>142.8297</v>
      </c>
      <c r="M4766">
        <v>-0.99969540000000001</v>
      </c>
      <c r="N4766">
        <v>0</v>
      </c>
      <c r="O4766">
        <v>1.958381E-2</v>
      </c>
      <c r="P4766">
        <v>-0.997063699999999</v>
      </c>
      <c r="Q4766">
        <v>1.960725E-2</v>
      </c>
      <c r="R4766">
        <v>-7.4024510000000002E-2</v>
      </c>
      <c r="S4766">
        <v>-2.669556</v>
      </c>
      <c r="T4766">
        <v>5.1440729999999997</v>
      </c>
      <c r="U4766">
        <v>-3.463867</v>
      </c>
      <c r="V4766">
        <v>-9.3855960000000002E-2</v>
      </c>
      <c r="W4766">
        <v>3.368724E-2</v>
      </c>
      <c r="X4766">
        <v>0.99501569999999995</v>
      </c>
      <c r="Y4766">
        <v>-0.51247109999999996</v>
      </c>
      <c r="Z4766">
        <v>0.30123620000000001</v>
      </c>
      <c r="AA4766">
        <v>0.80413319999999999</v>
      </c>
      <c r="AB4766">
        <v>38</v>
      </c>
      <c r="AC4766">
        <v>-17.5229</v>
      </c>
      <c r="AD4766">
        <v>34.477674999999898</v>
      </c>
      <c r="AE4766">
        <v>-23.221499999999999</v>
      </c>
      <c r="AF4766">
        <v>-9.7979380550817403</v>
      </c>
      <c r="AG4766">
        <v>34.477674999999898</v>
      </c>
      <c r="AH4766">
        <v>7.0966603771801102</v>
      </c>
      <c r="AI4766">
        <v>19.335687336992301</v>
      </c>
      <c r="AJ4766">
        <v>144.08413270358199</v>
      </c>
      <c r="AK4766">
        <v>36.538640533630698</v>
      </c>
    </row>
    <row r="4767" spans="1:37" x14ac:dyDescent="0.2">
      <c r="A4767" t="str">
        <f>"20200111155647045"</f>
        <v>20200111155647045</v>
      </c>
      <c r="B4767" t="str">
        <f>"1578729407038235"</f>
        <v>1578729407038235</v>
      </c>
      <c r="C4767" t="s">
        <v>37</v>
      </c>
      <c r="D4767">
        <v>3.7990930000000001</v>
      </c>
      <c r="E4767">
        <v>9.0414159999999993E-2</v>
      </c>
      <c r="F4767" t="s">
        <v>77</v>
      </c>
      <c r="G4767">
        <v>-391.61779999999999</v>
      </c>
      <c r="H4767">
        <v>35.501640000000002</v>
      </c>
      <c r="I4767">
        <v>119.6083</v>
      </c>
      <c r="J4767">
        <v>-374.21170000000001</v>
      </c>
      <c r="K4767">
        <v>1.1085700000000001</v>
      </c>
      <c r="L4767">
        <v>142.83340000000001</v>
      </c>
      <c r="M4767">
        <v>-0.99976580000000004</v>
      </c>
      <c r="N4767">
        <v>0</v>
      </c>
      <c r="O4767">
        <v>1.5593259999999999E-2</v>
      </c>
      <c r="P4767">
        <v>-0.99656520000000004</v>
      </c>
      <c r="Q4767">
        <v>2.0105459999999999E-2</v>
      </c>
      <c r="R4767">
        <v>-8.0336630000000006E-2</v>
      </c>
      <c r="S4767">
        <v>-2.6510310000000001</v>
      </c>
      <c r="T4767">
        <v>5.1267519999999998</v>
      </c>
      <c r="U4767">
        <v>-3.4614559999999899</v>
      </c>
      <c r="V4767">
        <v>-9.6193280000000006E-2</v>
      </c>
      <c r="W4767">
        <v>3.4149510000000001E-2</v>
      </c>
      <c r="X4767">
        <v>0.99477669999999996</v>
      </c>
      <c r="Y4767">
        <v>-0.51388159999999905</v>
      </c>
      <c r="Z4767">
        <v>0.2979059</v>
      </c>
      <c r="AA4767">
        <v>0.80447360000000001</v>
      </c>
      <c r="AB4767">
        <v>38</v>
      </c>
      <c r="AC4767">
        <v>-17.406099999999899</v>
      </c>
      <c r="AD4767">
        <v>34.393070000000002</v>
      </c>
      <c r="AE4767">
        <v>-23.225100000000001</v>
      </c>
      <c r="AF4767">
        <v>-9.7718703921010199</v>
      </c>
      <c r="AG4767">
        <v>34.393070000000002</v>
      </c>
      <c r="AH4767">
        <v>7.0882818768723803</v>
      </c>
      <c r="AI4767">
        <v>19.3411218309666</v>
      </c>
      <c r="AJ4767">
        <v>144.043763520483</v>
      </c>
      <c r="AK4767">
        <v>36.450191425435797</v>
      </c>
    </row>
    <row r="4768" spans="1:37" x14ac:dyDescent="0.2">
      <c r="A4768" t="str">
        <f>"20200111155647067"</f>
        <v>20200111155647067</v>
      </c>
      <c r="B4768" t="str">
        <f>"1578729407057756"</f>
        <v>1578729407057756</v>
      </c>
      <c r="C4768" t="s">
        <v>37</v>
      </c>
      <c r="D4768">
        <v>3.7810339999999898</v>
      </c>
      <c r="E4768">
        <v>9.4691880000000006E-2</v>
      </c>
      <c r="F4768" t="s">
        <v>77</v>
      </c>
      <c r="G4768">
        <v>-391.85759999999999</v>
      </c>
      <c r="H4768">
        <v>35.460349999999998</v>
      </c>
      <c r="I4768">
        <v>119.6083</v>
      </c>
      <c r="J4768">
        <v>-374.57479999999998</v>
      </c>
      <c r="K4768">
        <v>1.1085929999999999</v>
      </c>
      <c r="L4768">
        <v>142.8356</v>
      </c>
      <c r="M4768">
        <v>-0.99981790000000004</v>
      </c>
      <c r="N4768">
        <v>0</v>
      </c>
      <c r="O4768">
        <v>1.1774700000000001E-2</v>
      </c>
      <c r="P4768">
        <v>-0.99611260000000001</v>
      </c>
      <c r="Q4768">
        <v>2.039357E-2</v>
      </c>
      <c r="R4768">
        <v>-8.5697830000000003E-2</v>
      </c>
      <c r="S4768">
        <v>-2.6282649999999999</v>
      </c>
      <c r="T4768">
        <v>5.1164959999999997</v>
      </c>
      <c r="U4768">
        <v>-3.459244</v>
      </c>
      <c r="V4768">
        <v>-9.7751480000000002E-2</v>
      </c>
      <c r="W4768">
        <v>3.4412100000000001E-2</v>
      </c>
      <c r="X4768">
        <v>0.99461569999999899</v>
      </c>
      <c r="Y4768">
        <v>-0.5150091</v>
      </c>
      <c r="Z4768">
        <v>0.2950277</v>
      </c>
      <c r="AA4768">
        <v>0.80481329999999995</v>
      </c>
      <c r="AB4768">
        <v>38</v>
      </c>
      <c r="AC4768">
        <v>-17.282800000000002</v>
      </c>
      <c r="AD4768">
        <v>34.351756999999999</v>
      </c>
      <c r="AE4768">
        <v>-23.2273</v>
      </c>
      <c r="AF4768">
        <v>-9.73044364752786</v>
      </c>
      <c r="AG4768">
        <v>34.351756999999999</v>
      </c>
      <c r="AH4768">
        <v>7.0636659340633896</v>
      </c>
      <c r="AI4768">
        <v>19.291381934993499</v>
      </c>
      <c r="AJ4768">
        <v>144.02280340400301</v>
      </c>
      <c r="AK4768">
        <v>36.395331005402397</v>
      </c>
    </row>
    <row r="4769" spans="1:37" x14ac:dyDescent="0.2">
      <c r="A4769" t="str">
        <f>"20200111155647089"</f>
        <v>20200111155647089</v>
      </c>
      <c r="B4769" t="str">
        <f>"1578729407078251"</f>
        <v>1578729407078251</v>
      </c>
      <c r="C4769" t="s">
        <v>37</v>
      </c>
      <c r="D4769">
        <v>3.839798</v>
      </c>
      <c r="E4769">
        <v>9.7928810000000005E-2</v>
      </c>
      <c r="F4769" t="s">
        <v>77</v>
      </c>
      <c r="G4769">
        <v>-392.21440000000001</v>
      </c>
      <c r="H4769">
        <v>35.509520000000002</v>
      </c>
      <c r="I4769">
        <v>119.6083</v>
      </c>
      <c r="J4769">
        <v>-374.95119999999997</v>
      </c>
      <c r="K4769">
        <v>1.1085959999999999</v>
      </c>
      <c r="L4769">
        <v>142.8364</v>
      </c>
      <c r="M4769">
        <v>-0.99985659999999899</v>
      </c>
      <c r="N4769">
        <v>0</v>
      </c>
      <c r="O4769">
        <v>7.8330159999999999E-3</v>
      </c>
      <c r="P4769">
        <v>-0.99574289999999999</v>
      </c>
      <c r="Q4769">
        <v>1.887076E-2</v>
      </c>
      <c r="R4769">
        <v>-9.0220350000000005E-2</v>
      </c>
      <c r="S4769">
        <v>-2.6115719999999998</v>
      </c>
      <c r="T4769">
        <v>5.0931189999999997</v>
      </c>
      <c r="U4769">
        <v>-3.4388429999999999</v>
      </c>
      <c r="V4769">
        <v>-9.8334660000000004E-2</v>
      </c>
      <c r="W4769">
        <v>3.287706E-2</v>
      </c>
      <c r="X4769">
        <v>0.994610199999999</v>
      </c>
      <c r="Y4769">
        <v>-0.51477039999999996</v>
      </c>
      <c r="Z4769">
        <v>0.29084850000000001</v>
      </c>
      <c r="AA4769">
        <v>0.80648540000000002</v>
      </c>
      <c r="AB4769">
        <v>38</v>
      </c>
      <c r="AC4769">
        <v>-17.263200000000001</v>
      </c>
      <c r="AD4769">
        <v>34.400924000000003</v>
      </c>
      <c r="AE4769">
        <v>-23.228100000000001</v>
      </c>
      <c r="AF4769">
        <v>-9.68223482413282</v>
      </c>
      <c r="AG4769">
        <v>34.400924000000003</v>
      </c>
      <c r="AH4769">
        <v>7.07880134033877</v>
      </c>
      <c r="AI4769">
        <v>19.221226206063299</v>
      </c>
      <c r="AJ4769">
        <v>143.82900159672599</v>
      </c>
      <c r="AK4769">
        <v>36.4318359633358</v>
      </c>
    </row>
    <row r="4770" spans="1:37" x14ac:dyDescent="0.2">
      <c r="A4770" t="str">
        <f>"20200111155647714"</f>
        <v>20200111155647714</v>
      </c>
      <c r="B4770" t="str">
        <f>"1578729407707759"</f>
        <v>1578729407707759</v>
      </c>
      <c r="C4770" t="s">
        <v>37</v>
      </c>
      <c r="D4770">
        <v>3.8956900000000001</v>
      </c>
      <c r="E4770">
        <v>0.1012328</v>
      </c>
      <c r="F4770" t="s">
        <v>77</v>
      </c>
      <c r="G4770">
        <v>-392.58479999999997</v>
      </c>
      <c r="H4770">
        <v>35.396830000000001</v>
      </c>
      <c r="I4770">
        <v>119.6083</v>
      </c>
      <c r="J4770">
        <v>-385.22289999999998</v>
      </c>
      <c r="K4770">
        <v>1.1079649999999901</v>
      </c>
      <c r="L4770">
        <v>142.3537</v>
      </c>
      <c r="M4770">
        <v>-0.99615520000000002</v>
      </c>
      <c r="N4770">
        <v>0</v>
      </c>
      <c r="O4770">
        <v>-8.6333309999999996E-2</v>
      </c>
      <c r="P4770">
        <v>-0.98322140000000002</v>
      </c>
      <c r="Q4770">
        <v>1.308807E-2</v>
      </c>
      <c r="R4770">
        <v>-0.18194779999999999</v>
      </c>
      <c r="S4770">
        <v>-2.6058349999999999</v>
      </c>
      <c r="T4770">
        <v>5.0669620000000002</v>
      </c>
      <c r="U4770">
        <v>-3.4325410000000001</v>
      </c>
      <c r="V4770">
        <v>-9.6592590000000006E-2</v>
      </c>
      <c r="W4770">
        <v>2.7135200000000002E-2</v>
      </c>
      <c r="X4770">
        <v>0.99495400000000001</v>
      </c>
      <c r="Y4770">
        <v>-0.51506459999999998</v>
      </c>
      <c r="Z4770">
        <v>0.188251</v>
      </c>
      <c r="AA4770">
        <v>0.83622369999999902</v>
      </c>
      <c r="AB4770">
        <v>36</v>
      </c>
      <c r="AC4770">
        <v>-7.3618999999999897</v>
      </c>
      <c r="AD4770">
        <v>34.288865000000001</v>
      </c>
      <c r="AE4770">
        <v>-22.7454</v>
      </c>
      <c r="AF4770">
        <v>-7.20452270928938</v>
      </c>
      <c r="AG4770">
        <v>34.288865000000001</v>
      </c>
      <c r="AH4770">
        <v>3.0415648066292</v>
      </c>
      <c r="AI4770">
        <v>12.8476724484328</v>
      </c>
      <c r="AJ4770">
        <v>157.11177549016099</v>
      </c>
      <c r="AK4770">
        <v>35.169340723559401</v>
      </c>
    </row>
    <row r="4771" spans="1:37" x14ac:dyDescent="0.2">
      <c r="A4771" t="str">
        <f>"20200111155647737"</f>
        <v>20200111155647737</v>
      </c>
      <c r="B4771" t="str">
        <f>"1578729407727279"</f>
        <v>1578729407727279</v>
      </c>
      <c r="C4771" t="s">
        <v>37</v>
      </c>
      <c r="D4771">
        <v>4.385078</v>
      </c>
      <c r="E4771">
        <v>0.1012328</v>
      </c>
      <c r="F4771" t="s">
        <v>77</v>
      </c>
      <c r="G4771">
        <v>-399.21409999999997</v>
      </c>
      <c r="H4771">
        <v>31.492009999999901</v>
      </c>
      <c r="I4771">
        <v>120.1808</v>
      </c>
      <c r="J4771">
        <v>-385.58359999999999</v>
      </c>
      <c r="K4771">
        <v>1.107961</v>
      </c>
      <c r="L4771">
        <v>142.3192</v>
      </c>
      <c r="M4771">
        <v>-0.99586090000000005</v>
      </c>
      <c r="N4771">
        <v>0</v>
      </c>
      <c r="O4771">
        <v>-8.9663619999999999E-2</v>
      </c>
      <c r="P4771">
        <v>-0.98273330000000003</v>
      </c>
      <c r="Q4771">
        <v>1.186426E-2</v>
      </c>
      <c r="R4771">
        <v>-0.18464659999999999</v>
      </c>
      <c r="S4771">
        <v>-2.3076779999999899</v>
      </c>
      <c r="T4771">
        <v>5.0114849999999898</v>
      </c>
      <c r="U4771">
        <v>-3.6571500000000001</v>
      </c>
      <c r="V4771">
        <v>-9.5986489999999994E-2</v>
      </c>
      <c r="W4771">
        <v>2.591398E-2</v>
      </c>
      <c r="X4771">
        <v>0.99504519999999996</v>
      </c>
      <c r="Y4771">
        <v>-0.55566150000000003</v>
      </c>
      <c r="Z4771">
        <v>0.21229770000000001</v>
      </c>
      <c r="AA4771">
        <v>0.80384709999999904</v>
      </c>
      <c r="AB4771">
        <v>36</v>
      </c>
      <c r="AC4771">
        <v>-13.6304999999999</v>
      </c>
      <c r="AD4771">
        <v>30.384048999999901</v>
      </c>
      <c r="AE4771">
        <v>-22.138399999999901</v>
      </c>
      <c r="AF4771">
        <v>-8.8030683479874696</v>
      </c>
      <c r="AG4771">
        <v>30.384048999999901</v>
      </c>
      <c r="AH4771">
        <v>6.5772065896996903</v>
      </c>
      <c r="AI4771">
        <v>19.883200376523</v>
      </c>
      <c r="AJ4771">
        <v>143.23477765624</v>
      </c>
      <c r="AK4771">
        <v>32.310123684339601</v>
      </c>
    </row>
    <row r="4772" spans="1:37" x14ac:dyDescent="0.2">
      <c r="A4772" t="str">
        <f>"20200111155647760"</f>
        <v>20200111155647760</v>
      </c>
      <c r="B4772" t="str">
        <f>"1578729407757536"</f>
        <v>1578729407757536</v>
      </c>
      <c r="C4772" t="s">
        <v>37</v>
      </c>
      <c r="D4772">
        <v>4.9645739999999998</v>
      </c>
      <c r="E4772">
        <v>0.49365349999999902</v>
      </c>
      <c r="F4772" t="s">
        <v>77</v>
      </c>
      <c r="G4772">
        <v>-399.4803</v>
      </c>
      <c r="H4772">
        <v>31.31165</v>
      </c>
      <c r="I4772">
        <v>120.18089999999999</v>
      </c>
      <c r="J4772">
        <v>-385.94839999999999</v>
      </c>
      <c r="K4772">
        <v>1.107955</v>
      </c>
      <c r="L4772">
        <v>142.28309999999999</v>
      </c>
      <c r="M4772">
        <v>-0.9955503</v>
      </c>
      <c r="N4772">
        <v>0</v>
      </c>
      <c r="O4772">
        <v>-9.3049510000000002E-2</v>
      </c>
      <c r="P4772">
        <v>-0.98239759999999998</v>
      </c>
      <c r="Q4772">
        <v>9.6603539999999995E-3</v>
      </c>
      <c r="R4772">
        <v>-0.1865532</v>
      </c>
      <c r="S4772">
        <v>-2.30294799999999</v>
      </c>
      <c r="T4772">
        <v>5.0053179999999999</v>
      </c>
      <c r="U4772">
        <v>-3.6687470000000002</v>
      </c>
      <c r="V4772">
        <v>-9.4512620000000006E-2</v>
      </c>
      <c r="W4772">
        <v>2.3719779999999999E-2</v>
      </c>
      <c r="X4772">
        <v>0.99524099999999904</v>
      </c>
      <c r="Y4772">
        <v>-0.55735649999999903</v>
      </c>
      <c r="Z4772">
        <v>0.20938609999999999</v>
      </c>
      <c r="AA4772">
        <v>0.80343710000000002</v>
      </c>
      <c r="AB4772">
        <v>36</v>
      </c>
      <c r="AC4772">
        <v>-13.5319</v>
      </c>
      <c r="AD4772">
        <v>30.203695</v>
      </c>
      <c r="AE4772">
        <v>-22.1022</v>
      </c>
      <c r="AF4772">
        <v>-8.7974308743968805</v>
      </c>
      <c r="AG4772">
        <v>30.203695</v>
      </c>
      <c r="AH4772">
        <v>6.5852445495402101</v>
      </c>
      <c r="AI4772">
        <v>19.993048596444499</v>
      </c>
      <c r="AJ4772">
        <v>143.18361176658499</v>
      </c>
      <c r="AK4772">
        <v>32.140681813241997</v>
      </c>
    </row>
    <row r="4773" spans="1:37" x14ac:dyDescent="0.2">
      <c r="A4773" t="str">
        <f>"20200111155647782"</f>
        <v>20200111155647782</v>
      </c>
      <c r="B4773" t="str">
        <f>"1578729407778031"</f>
        <v>1578729407778031</v>
      </c>
      <c r="C4773" t="s">
        <v>37</v>
      </c>
      <c r="D4773">
        <v>4.9281110000000004</v>
      </c>
      <c r="E4773">
        <v>0.4932821</v>
      </c>
      <c r="F4773" t="s">
        <v>72</v>
      </c>
      <c r="G4773">
        <v>-416.77510000000001</v>
      </c>
      <c r="H4773" s="1">
        <v>-8.4656510000000002E-6</v>
      </c>
      <c r="I4773">
        <v>135.8896</v>
      </c>
      <c r="J4773">
        <v>-386.30439999999999</v>
      </c>
      <c r="K4773">
        <v>1.1079649999999901</v>
      </c>
      <c r="L4773">
        <v>142.2466</v>
      </c>
      <c r="M4773">
        <v>-0.99523259999999902</v>
      </c>
      <c r="N4773">
        <v>0</v>
      </c>
      <c r="O4773">
        <v>-9.6389489999999994E-2</v>
      </c>
      <c r="P4773">
        <v>-0.98200419999999999</v>
      </c>
      <c r="Q4773">
        <v>7.954806E-3</v>
      </c>
      <c r="R4773">
        <v>-0.1886919</v>
      </c>
      <c r="S4773">
        <v>-2.9390259999999899</v>
      </c>
      <c r="T4773">
        <v>-0.10563359999999999</v>
      </c>
      <c r="U4773">
        <v>-0.60955809999999999</v>
      </c>
      <c r="V4773">
        <v>-9.332646E-2</v>
      </c>
      <c r="W4773">
        <v>2.2018860000000001E-2</v>
      </c>
      <c r="X4773">
        <v>0.9953921</v>
      </c>
      <c r="Y4773">
        <v>-0.10773530000000001</v>
      </c>
      <c r="Z4773">
        <v>1.499691E-3</v>
      </c>
      <c r="AA4773">
        <v>0.99417849999999997</v>
      </c>
      <c r="AB4773">
        <v>36</v>
      </c>
      <c r="AC4773">
        <v>-30.470700000000001</v>
      </c>
      <c r="AD4773">
        <v>-1.1079734656510001</v>
      </c>
      <c r="AE4773">
        <v>-6.3569999999999904</v>
      </c>
      <c r="AF4773">
        <v>-3.3857234032422299</v>
      </c>
      <c r="AG4773">
        <v>-1.1079734656510001</v>
      </c>
      <c r="AH4773">
        <v>30.9024486495234</v>
      </c>
      <c r="AI4773">
        <v>92.041193842201693</v>
      </c>
      <c r="AJ4773">
        <v>96.252482226282893</v>
      </c>
      <c r="AK4773">
        <v>31.107106273330501</v>
      </c>
    </row>
    <row r="4774" spans="1:37" x14ac:dyDescent="0.2">
      <c r="A4774" t="str">
        <f>"20200111155647804"</f>
        <v>20200111155647804</v>
      </c>
      <c r="B4774" t="str">
        <f>"1578729407797551"</f>
        <v>1578729407797551</v>
      </c>
      <c r="C4774" t="s">
        <v>37</v>
      </c>
      <c r="D4774">
        <v>4.9428539999999996</v>
      </c>
      <c r="E4774">
        <v>0.49384549999999999</v>
      </c>
      <c r="F4774" t="s">
        <v>72</v>
      </c>
      <c r="G4774">
        <v>-416.9049</v>
      </c>
      <c r="H4774" s="1">
        <v>-8.4211100000000004E-6</v>
      </c>
      <c r="I4774">
        <v>135.7987</v>
      </c>
      <c r="J4774">
        <v>-386.65879999999999</v>
      </c>
      <c r="K4774">
        <v>1.10799</v>
      </c>
      <c r="L4774">
        <v>142.2089</v>
      </c>
      <c r="M4774">
        <v>-0.99490109999999998</v>
      </c>
      <c r="N4774">
        <v>0</v>
      </c>
      <c r="O4774">
        <v>-9.9752240000000006E-2</v>
      </c>
      <c r="P4774">
        <v>-0.98153500000000005</v>
      </c>
      <c r="Q4774">
        <v>8.0836880000000003E-3</v>
      </c>
      <c r="R4774">
        <v>-0.19111069999999999</v>
      </c>
      <c r="S4774">
        <v>-2.9369200000000002</v>
      </c>
      <c r="T4774">
        <v>-0.106339</v>
      </c>
      <c r="U4774">
        <v>-0.61883540000000004</v>
      </c>
      <c r="V4774">
        <v>-9.2417200000000005E-2</v>
      </c>
      <c r="W4774">
        <v>2.2148049999999999E-2</v>
      </c>
      <c r="X4774">
        <v>0.99547399999999997</v>
      </c>
      <c r="Y4774">
        <v>-0.10752829999999999</v>
      </c>
      <c r="Z4774">
        <v>1.6332110000000001E-3</v>
      </c>
      <c r="AA4774">
        <v>0.99420069999999905</v>
      </c>
      <c r="AB4774">
        <v>36</v>
      </c>
      <c r="AC4774">
        <v>-30.246099999999998</v>
      </c>
      <c r="AD4774">
        <v>-1.10799842111</v>
      </c>
      <c r="AE4774">
        <v>-6.4101999999999997</v>
      </c>
      <c r="AF4774">
        <v>-3.3564600636811401</v>
      </c>
      <c r="AG4774">
        <v>-1.10799842111</v>
      </c>
      <c r="AH4774">
        <v>30.695289638034001</v>
      </c>
      <c r="AI4774">
        <v>92.055051610333805</v>
      </c>
      <c r="AJ4774">
        <v>96.240370025596107</v>
      </c>
      <c r="AK4774">
        <v>30.898127623256801</v>
      </c>
    </row>
    <row r="4775" spans="1:37" x14ac:dyDescent="0.2">
      <c r="A4775" t="str">
        <f>"20200111155647826"</f>
        <v>20200111155647826</v>
      </c>
      <c r="B4775" t="str">
        <f>"1578729407818047"</f>
        <v>1578729407818047</v>
      </c>
      <c r="C4775" t="s">
        <v>37</v>
      </c>
      <c r="D4775">
        <v>4.9881440000000001</v>
      </c>
      <c r="E4775">
        <v>0.494061799999999</v>
      </c>
      <c r="F4775" t="s">
        <v>72</v>
      </c>
      <c r="G4775">
        <v>-417.81970000000001</v>
      </c>
      <c r="H4775" s="1">
        <v>-8.2919930000000004E-6</v>
      </c>
      <c r="I4775">
        <v>135.6121</v>
      </c>
      <c r="J4775">
        <v>-387.01510000000002</v>
      </c>
      <c r="K4775">
        <v>1.108036</v>
      </c>
      <c r="L4775">
        <v>142.16980000000001</v>
      </c>
      <c r="M4775">
        <v>-0.994550499999999</v>
      </c>
      <c r="N4775">
        <v>0</v>
      </c>
      <c r="O4775">
        <v>-0.103190899999999</v>
      </c>
      <c r="P4775">
        <v>-0.98124859999999903</v>
      </c>
      <c r="Q4775">
        <v>8.7449109999999993E-3</v>
      </c>
      <c r="R4775">
        <v>-0.1925482</v>
      </c>
      <c r="S4775">
        <v>-2.9362490000000001</v>
      </c>
      <c r="T4775">
        <v>-0.10440530000000001</v>
      </c>
      <c r="U4775">
        <v>-0.62161250000000001</v>
      </c>
      <c r="V4775">
        <v>-9.0440999999999994E-2</v>
      </c>
      <c r="W4775">
        <v>2.2817839999999999E-2</v>
      </c>
      <c r="X4775">
        <v>0.99564039999999998</v>
      </c>
      <c r="Y4775">
        <v>-0.1050408</v>
      </c>
      <c r="Z4775">
        <v>1.7672179999999899E-3</v>
      </c>
      <c r="AA4775">
        <v>0.99446639999999997</v>
      </c>
      <c r="AB4775">
        <v>36</v>
      </c>
      <c r="AC4775">
        <v>-30.804599999999901</v>
      </c>
      <c r="AD4775">
        <v>-1.108044291993</v>
      </c>
      <c r="AE4775">
        <v>-6.5577000000000103</v>
      </c>
      <c r="AF4775">
        <v>-3.3394453886163502</v>
      </c>
      <c r="AG4775">
        <v>-1.108044291993</v>
      </c>
      <c r="AH4775">
        <v>31.2781703770146</v>
      </c>
      <c r="AI4775">
        <v>92.017426056835006</v>
      </c>
      <c r="AJ4775">
        <v>96.094155902258194</v>
      </c>
      <c r="AK4775">
        <v>31.475444393846502</v>
      </c>
    </row>
    <row r="4776" spans="1:37" x14ac:dyDescent="0.2">
      <c r="A4776" t="str">
        <f>"20200111155647850"</f>
        <v>20200111155647850</v>
      </c>
      <c r="B4776" t="str">
        <f>"1578729407847328"</f>
        <v>1578729407847328</v>
      </c>
      <c r="C4776" t="s">
        <v>37</v>
      </c>
      <c r="D4776">
        <v>5.0370759999999999</v>
      </c>
      <c r="E4776">
        <v>0.49417939999999999</v>
      </c>
      <c r="F4776" t="s">
        <v>72</v>
      </c>
      <c r="G4776">
        <v>-418.17599999999999</v>
      </c>
      <c r="H4776" s="1">
        <v>-8.243327E-6</v>
      </c>
      <c r="I4776">
        <v>135.54339999999999</v>
      </c>
      <c r="J4776">
        <v>-387.38560000000001</v>
      </c>
      <c r="K4776">
        <v>1.1081000000000001</v>
      </c>
      <c r="L4776">
        <v>142.12780000000001</v>
      </c>
      <c r="M4776">
        <v>-0.99416299999999902</v>
      </c>
      <c r="N4776">
        <v>0</v>
      </c>
      <c r="O4776">
        <v>-0.1068605</v>
      </c>
      <c r="P4776">
        <v>-0.98108490000000004</v>
      </c>
      <c r="Q4776">
        <v>8.2757309999999997E-3</v>
      </c>
      <c r="R4776">
        <v>-0.19340179999999901</v>
      </c>
      <c r="S4776">
        <v>-2.9357599999999899</v>
      </c>
      <c r="T4776">
        <v>-0.1043921</v>
      </c>
      <c r="U4776">
        <v>-0.62429809999999997</v>
      </c>
      <c r="V4776">
        <v>-8.7630970000000002E-2</v>
      </c>
      <c r="W4776">
        <v>2.2361619999999999E-2</v>
      </c>
      <c r="X4776">
        <v>0.99590199999999995</v>
      </c>
      <c r="Y4776">
        <v>-0.10227840000000001</v>
      </c>
      <c r="Z4776">
        <v>1.943399E-3</v>
      </c>
      <c r="AA4776">
        <v>0.99475389999999997</v>
      </c>
      <c r="AB4776">
        <v>36</v>
      </c>
      <c r="AC4776">
        <v>-30.790399999999899</v>
      </c>
      <c r="AD4776">
        <v>-1.108108243327</v>
      </c>
      <c r="AE4776">
        <v>-6.5844000000000102</v>
      </c>
      <c r="AF4776">
        <v>-3.2520209494594101</v>
      </c>
      <c r="AG4776">
        <v>-1.108108243327</v>
      </c>
      <c r="AH4776">
        <v>31.279005138441899</v>
      </c>
      <c r="AI4776">
        <v>92.018076421726093</v>
      </c>
      <c r="AJ4776">
        <v>95.935611929995503</v>
      </c>
      <c r="AK4776">
        <v>31.4671210406248</v>
      </c>
    </row>
    <row r="4777" spans="1:37" x14ac:dyDescent="0.2">
      <c r="A4777" t="str">
        <f>"20200111155647871"</f>
        <v>20200111155647871</v>
      </c>
      <c r="B4777" t="str">
        <f>"1578729407867823"</f>
        <v>1578729407867823</v>
      </c>
      <c r="C4777" t="s">
        <v>37</v>
      </c>
      <c r="D4777">
        <v>4.9945680000000001</v>
      </c>
      <c r="E4777">
        <v>0.49400179999999999</v>
      </c>
      <c r="F4777" t="s">
        <v>72</v>
      </c>
      <c r="G4777">
        <v>-418.01760000000002</v>
      </c>
      <c r="H4777" s="1">
        <v>-8.2726579999999997E-6</v>
      </c>
      <c r="I4777">
        <v>135.59280000000001</v>
      </c>
      <c r="J4777">
        <v>-387.72930000000002</v>
      </c>
      <c r="K4777">
        <v>1.10819</v>
      </c>
      <c r="L4777">
        <v>142.08750000000001</v>
      </c>
      <c r="M4777">
        <v>-0.99377800000000005</v>
      </c>
      <c r="N4777">
        <v>0</v>
      </c>
      <c r="O4777">
        <v>-0.1103818</v>
      </c>
      <c r="P4777">
        <v>-0.98057299999999903</v>
      </c>
      <c r="Q4777">
        <v>7.276055E-3</v>
      </c>
      <c r="R4777">
        <v>-0.19601959999999999</v>
      </c>
      <c r="S4777">
        <v>-2.935333</v>
      </c>
      <c r="T4777">
        <v>-0.1061851</v>
      </c>
      <c r="U4777">
        <v>-0.62622069999999996</v>
      </c>
      <c r="V4777">
        <v>-8.6755739999999998E-2</v>
      </c>
      <c r="W4777">
        <v>2.1354310000000001E-2</v>
      </c>
      <c r="X4777">
        <v>0.99600069999999996</v>
      </c>
      <c r="Y4777">
        <v>-9.9410620000000005E-2</v>
      </c>
      <c r="Z4777">
        <v>2.152812E-3</v>
      </c>
      <c r="AA4777">
        <v>0.99504419999999905</v>
      </c>
      <c r="AB4777">
        <v>36</v>
      </c>
      <c r="AC4777">
        <v>-30.2882999999999</v>
      </c>
      <c r="AD4777">
        <v>-1.108198272658</v>
      </c>
      <c r="AE4777">
        <v>-6.4946999999999901</v>
      </c>
      <c r="AF4777">
        <v>-3.10737994804111</v>
      </c>
      <c r="AG4777">
        <v>-1.108198272658</v>
      </c>
      <c r="AH4777">
        <v>30.780755925992398</v>
      </c>
      <c r="AI4777">
        <v>92.051508664170498</v>
      </c>
      <c r="AJ4777">
        <v>95.764595540705599</v>
      </c>
      <c r="AK4777">
        <v>30.957048453115299</v>
      </c>
    </row>
    <row r="4778" spans="1:37" x14ac:dyDescent="0.2">
      <c r="A4778" t="str">
        <f>"20200111155647894"</f>
        <v>20200111155647894</v>
      </c>
      <c r="B4778" t="str">
        <f>"1578729407887343"</f>
        <v>1578729407887343</v>
      </c>
      <c r="C4778" t="s">
        <v>37</v>
      </c>
      <c r="D4778">
        <v>4.9622260000000002</v>
      </c>
      <c r="E4778">
        <v>0.49421989999999999</v>
      </c>
      <c r="F4778" t="s">
        <v>72</v>
      </c>
      <c r="G4778">
        <v>-416.93380000000002</v>
      </c>
      <c r="H4778" s="1">
        <v>-8.4037899999999899E-6</v>
      </c>
      <c r="I4778">
        <v>135.7603</v>
      </c>
      <c r="J4778">
        <v>-388.0847</v>
      </c>
      <c r="K4778">
        <v>1.108304</v>
      </c>
      <c r="L4778">
        <v>142.0444</v>
      </c>
      <c r="M4778">
        <v>-0.99335010000000001</v>
      </c>
      <c r="N4778">
        <v>0</v>
      </c>
      <c r="O4778">
        <v>-0.11416849999999901</v>
      </c>
      <c r="P4778">
        <v>-0.9797614</v>
      </c>
      <c r="Q4778">
        <v>7.5484699999999998E-3</v>
      </c>
      <c r="R4778">
        <v>-0.20002709999999899</v>
      </c>
      <c r="S4778">
        <v>-2.93322799999999</v>
      </c>
      <c r="T4778">
        <v>-0.1113046</v>
      </c>
      <c r="U4778">
        <v>-0.63548280000000001</v>
      </c>
      <c r="V4778">
        <v>-8.70393E-2</v>
      </c>
      <c r="W4778">
        <v>2.160364E-2</v>
      </c>
      <c r="X4778">
        <v>0.99597060000000004</v>
      </c>
      <c r="Y4778">
        <v>-9.8770730000000001E-2</v>
      </c>
      <c r="Z4778">
        <v>2.40968E-3</v>
      </c>
      <c r="AA4778">
        <v>0.99510730000000003</v>
      </c>
      <c r="AB4778">
        <v>36</v>
      </c>
      <c r="AC4778">
        <v>-28.8491</v>
      </c>
      <c r="AD4778">
        <v>-1.1083124037899901</v>
      </c>
      <c r="AE4778">
        <v>-6.2840999999999898</v>
      </c>
      <c r="AF4778">
        <v>-2.9448295457848701</v>
      </c>
      <c r="AG4778">
        <v>-1.1083124037899901</v>
      </c>
      <c r="AH4778">
        <v>29.336614196523801</v>
      </c>
      <c r="AI4778">
        <v>92.152748614532996</v>
      </c>
      <c r="AJ4778">
        <v>95.732188236017194</v>
      </c>
      <c r="AK4778">
        <v>29.504869258374999</v>
      </c>
    </row>
    <row r="4779" spans="1:37" x14ac:dyDescent="0.2">
      <c r="A4779" t="str">
        <f>"20200111155647916"</f>
        <v>20200111155647916</v>
      </c>
      <c r="B4779" t="str">
        <f>"1578729407907840"</f>
        <v>1578729407907840</v>
      </c>
      <c r="C4779" t="s">
        <v>37</v>
      </c>
      <c r="D4779">
        <v>4.9626659999999996</v>
      </c>
      <c r="E4779">
        <v>0.49446679999999998</v>
      </c>
      <c r="F4779" t="s">
        <v>72</v>
      </c>
      <c r="G4779">
        <v>-417.42540000000002</v>
      </c>
      <c r="H4779" s="1">
        <v>-8.2999539999999993E-6</v>
      </c>
      <c r="I4779">
        <v>135.57550000000001</v>
      </c>
      <c r="J4779">
        <v>-388.43630000000002</v>
      </c>
      <c r="K4779">
        <v>1.1084459999999901</v>
      </c>
      <c r="L4779">
        <v>142.00020000000001</v>
      </c>
      <c r="M4779">
        <v>-0.99289179999999999</v>
      </c>
      <c r="N4779">
        <v>0</v>
      </c>
      <c r="O4779">
        <v>-0.1180885</v>
      </c>
      <c r="P4779">
        <v>-0.97846299999999997</v>
      </c>
      <c r="Q4779">
        <v>1.001646E-2</v>
      </c>
      <c r="R4779">
        <v>-0.20618059999999999</v>
      </c>
      <c r="S4779">
        <v>-2.9309080000000001</v>
      </c>
      <c r="T4779">
        <v>-0.1107117</v>
      </c>
      <c r="U4779">
        <v>-0.64619450000000001</v>
      </c>
      <c r="V4779">
        <v>-8.9399179999999995E-2</v>
      </c>
      <c r="W4779">
        <v>2.4022479999999999E-2</v>
      </c>
      <c r="X4779">
        <v>0.99570609999999904</v>
      </c>
      <c r="Y4779">
        <v>-9.8479449999999996E-2</v>
      </c>
      <c r="Z4779">
        <v>2.5476119999999999E-3</v>
      </c>
      <c r="AA4779">
        <v>0.99513580000000001</v>
      </c>
      <c r="AB4779">
        <v>36</v>
      </c>
      <c r="AC4779">
        <v>-28.989100000000001</v>
      </c>
      <c r="AD4779">
        <v>-1.1084542999539999</v>
      </c>
      <c r="AE4779">
        <v>-6.4246999999999996</v>
      </c>
      <c r="AF4779">
        <v>-2.9519653514516802</v>
      </c>
      <c r="AG4779">
        <v>-1.1084542999539999</v>
      </c>
      <c r="AH4779">
        <v>29.5038705077516</v>
      </c>
      <c r="AI4779">
        <v>92.140899385543804</v>
      </c>
      <c r="AJ4779">
        <v>95.713627795173693</v>
      </c>
      <c r="AK4779">
        <v>29.671891502050102</v>
      </c>
    </row>
    <row r="4780" spans="1:37" x14ac:dyDescent="0.2">
      <c r="A4780" t="str">
        <f>"20200111155647939"</f>
        <v>20200111155647939</v>
      </c>
      <c r="B4780" t="str">
        <f>"1578729407927359"</f>
        <v>1578729407927359</v>
      </c>
      <c r="C4780" t="s">
        <v>37</v>
      </c>
      <c r="D4780">
        <v>4.8834179999999998</v>
      </c>
      <c r="E4780">
        <v>0.49469350000000001</v>
      </c>
      <c r="F4780" t="s">
        <v>72</v>
      </c>
      <c r="G4780">
        <v>-419.75189999999998</v>
      </c>
      <c r="H4780" s="1">
        <v>-7.8919509999999993E-6</v>
      </c>
      <c r="I4780">
        <v>134.90530000000001</v>
      </c>
      <c r="J4780">
        <v>-388.7869</v>
      </c>
      <c r="K4780">
        <v>1.1086020000000001</v>
      </c>
      <c r="L4780">
        <v>141.9545</v>
      </c>
      <c r="M4780">
        <v>-0.992396099999999</v>
      </c>
      <c r="N4780">
        <v>0</v>
      </c>
      <c r="O4780">
        <v>-0.1221838</v>
      </c>
      <c r="P4780">
        <v>-0.97682099999999905</v>
      </c>
      <c r="Q4780">
        <v>1.3964010000000001E-2</v>
      </c>
      <c r="R4780">
        <v>-0.21360299999999999</v>
      </c>
      <c r="S4780">
        <v>-2.9273380000000002</v>
      </c>
      <c r="T4780">
        <v>-0.1036168</v>
      </c>
      <c r="U4780">
        <v>-0.66322329999999996</v>
      </c>
      <c r="V4780">
        <v>-9.2901739999999997E-2</v>
      </c>
      <c r="W4780">
        <v>2.790453E-2</v>
      </c>
      <c r="X4780">
        <v>0.99528419999999895</v>
      </c>
      <c r="Y4780">
        <v>-0.10014189999999901</v>
      </c>
      <c r="Z4780">
        <v>2.497778E-3</v>
      </c>
      <c r="AA4780">
        <v>0.99497000000000002</v>
      </c>
      <c r="AB4780">
        <v>36</v>
      </c>
      <c r="AC4780">
        <v>-30.9649999999999</v>
      </c>
      <c r="AD4780">
        <v>-1.1086098919509999</v>
      </c>
      <c r="AE4780">
        <v>-7.0491999999999804</v>
      </c>
      <c r="AF4780">
        <v>-3.2086222618278</v>
      </c>
      <c r="AG4780">
        <v>-1.1086098919509999</v>
      </c>
      <c r="AH4780">
        <v>31.555881272654702</v>
      </c>
      <c r="AI4780">
        <v>92.001754291955194</v>
      </c>
      <c r="AJ4780">
        <v>95.8059174693919</v>
      </c>
      <c r="AK4780">
        <v>31.737957016882898</v>
      </c>
    </row>
    <row r="4781" spans="1:37" x14ac:dyDescent="0.2">
      <c r="A4781" t="str">
        <f>"20200111155647962"</f>
        <v>20200111155647962</v>
      </c>
      <c r="B4781" t="str">
        <f>"1578729407957617"</f>
        <v>1578729407957617</v>
      </c>
      <c r="C4781" t="s">
        <v>37</v>
      </c>
      <c r="D4781">
        <v>4.9780860000000002</v>
      </c>
      <c r="E4781">
        <v>0.495525299999999</v>
      </c>
      <c r="F4781" t="s">
        <v>72</v>
      </c>
      <c r="G4781">
        <v>-424.04340000000002</v>
      </c>
      <c r="H4781" s="1">
        <v>-7.9778610000000003E-6</v>
      </c>
      <c r="I4781">
        <v>133.70500000000001</v>
      </c>
      <c r="J4781">
        <v>-389.15039999999999</v>
      </c>
      <c r="K4781">
        <v>1.108776</v>
      </c>
      <c r="L4781">
        <v>141.90530000000001</v>
      </c>
      <c r="M4781">
        <v>-0.99183489999999996</v>
      </c>
      <c r="N4781">
        <v>0</v>
      </c>
      <c r="O4781">
        <v>-0.1266583</v>
      </c>
      <c r="P4781">
        <v>-0.97502520000000004</v>
      </c>
      <c r="Q4781">
        <v>1.7505449999999999E-2</v>
      </c>
      <c r="R4781">
        <v>-0.221404399999999</v>
      </c>
      <c r="S4781">
        <v>-2.9229430000000001</v>
      </c>
      <c r="T4781">
        <v>-9.1909530000000003E-2</v>
      </c>
      <c r="U4781">
        <v>-0.68392940000000002</v>
      </c>
      <c r="V4781">
        <v>-9.6421679999999996E-2</v>
      </c>
      <c r="W4781">
        <v>3.137533E-2</v>
      </c>
      <c r="X4781">
        <v>0.99484589999999995</v>
      </c>
      <c r="Y4781">
        <v>-0.1026676</v>
      </c>
      <c r="Z4781">
        <v>2.3146339999999999E-3</v>
      </c>
      <c r="AA4781">
        <v>0.99471299999999996</v>
      </c>
      <c r="AB4781">
        <v>36</v>
      </c>
      <c r="AC4781">
        <v>-34.893000000000001</v>
      </c>
      <c r="AD4781">
        <v>-1.108783977861</v>
      </c>
      <c r="AE4781">
        <v>-8.2002999999999897</v>
      </c>
      <c r="AF4781">
        <v>-3.71071569089374</v>
      </c>
      <c r="AG4781">
        <v>-1.108783977861</v>
      </c>
      <c r="AH4781">
        <v>35.6165927497917</v>
      </c>
      <c r="AI4781">
        <v>91.773512038815198</v>
      </c>
      <c r="AJ4781">
        <v>95.947903751197799</v>
      </c>
      <c r="AK4781">
        <v>35.826533351033603</v>
      </c>
    </row>
    <row r="4782" spans="1:37" x14ac:dyDescent="0.2">
      <c r="A4782" t="str">
        <f>"20200111155647982"</f>
        <v>20200111155647982</v>
      </c>
      <c r="B4782" t="str">
        <f>"1578729407977135"</f>
        <v>1578729407977135</v>
      </c>
      <c r="C4782" t="s">
        <v>37</v>
      </c>
      <c r="D4782">
        <v>4.9262579999999998</v>
      </c>
      <c r="E4782">
        <v>0.50455280000000002</v>
      </c>
      <c r="F4782" t="s">
        <v>72</v>
      </c>
      <c r="G4782">
        <v>-428.58229999999998</v>
      </c>
      <c r="H4782" s="1">
        <v>-8.1859329999999993E-6</v>
      </c>
      <c r="I4782">
        <v>132.43620000000001</v>
      </c>
      <c r="J4782">
        <v>-389.4939</v>
      </c>
      <c r="K4782">
        <v>1.1089290000000001</v>
      </c>
      <c r="L4782">
        <v>141.8571</v>
      </c>
      <c r="M4782">
        <v>-0.99126109999999901</v>
      </c>
      <c r="N4782">
        <v>0</v>
      </c>
      <c r="O4782">
        <v>-0.1310714</v>
      </c>
      <c r="P4782">
        <v>-0.97330249999999996</v>
      </c>
      <c r="Q4782">
        <v>1.976816E-2</v>
      </c>
      <c r="R4782">
        <v>-0.22867390000000001</v>
      </c>
      <c r="S4782">
        <v>-2.919098</v>
      </c>
      <c r="T4782">
        <v>-8.208203E-2</v>
      </c>
      <c r="U4782">
        <v>-0.70098879999999997</v>
      </c>
      <c r="V4782">
        <v>-9.9458199999999997E-2</v>
      </c>
      <c r="W4782">
        <v>3.3572869999999998E-2</v>
      </c>
      <c r="X4782">
        <v>0.9944752</v>
      </c>
      <c r="Y4782">
        <v>-0.10403319999999899</v>
      </c>
      <c r="Z4782">
        <v>2.1699129999999999E-3</v>
      </c>
      <c r="AA4782">
        <v>0.99457139999999999</v>
      </c>
      <c r="AB4782">
        <v>36</v>
      </c>
      <c r="AC4782">
        <v>-39.088399999999901</v>
      </c>
      <c r="AD4782">
        <v>-1.1089371859329999</v>
      </c>
      <c r="AE4782">
        <v>-9.4208999999999801</v>
      </c>
      <c r="AF4782">
        <v>-4.2124634657426396</v>
      </c>
      <c r="AG4782">
        <v>-1.1089371859329999</v>
      </c>
      <c r="AH4782">
        <v>39.955660963043499</v>
      </c>
      <c r="AI4782">
        <v>91.581032144794605</v>
      </c>
      <c r="AJ4782">
        <v>96.018372636985305</v>
      </c>
      <c r="AK4782">
        <v>40.192405167223299</v>
      </c>
    </row>
    <row r="4783" spans="1:37" x14ac:dyDescent="0.2">
      <c r="A4783" t="str">
        <f>"20200111155648005"</f>
        <v>20200111155648005</v>
      </c>
      <c r="B4783" t="str">
        <f>"1578729407997630"</f>
        <v>1578729407997630</v>
      </c>
      <c r="C4783" t="s">
        <v>37</v>
      </c>
      <c r="D4783">
        <v>5.0386230000000003</v>
      </c>
      <c r="E4783">
        <v>0.5056524</v>
      </c>
      <c r="F4783" t="s">
        <v>72</v>
      </c>
      <c r="G4783">
        <v>-420.43439999999998</v>
      </c>
      <c r="H4783" s="1">
        <v>-7.9723750000000001E-6</v>
      </c>
      <c r="I4783">
        <v>134.964</v>
      </c>
      <c r="J4783">
        <v>-389.84140000000002</v>
      </c>
      <c r="K4783">
        <v>1.1090599999999999</v>
      </c>
      <c r="L4783">
        <v>141.8066</v>
      </c>
      <c r="M4783">
        <v>-0.99063840000000003</v>
      </c>
      <c r="N4783">
        <v>0</v>
      </c>
      <c r="O4783">
        <v>-0.13569790000000001</v>
      </c>
      <c r="P4783">
        <v>-0.97165140000000005</v>
      </c>
      <c r="Q4783">
        <v>1.860055E-2</v>
      </c>
      <c r="R4783">
        <v>-0.2356857</v>
      </c>
      <c r="S4783">
        <v>-2.931</v>
      </c>
      <c r="T4783">
        <v>-0.1050498</v>
      </c>
      <c r="U4783">
        <v>-0.65298459999999903</v>
      </c>
      <c r="V4783">
        <v>-0.1019829</v>
      </c>
      <c r="W4783">
        <v>3.2348059999999998E-2</v>
      </c>
      <c r="X4783">
        <v>0.99426009999999998</v>
      </c>
      <c r="Y4783">
        <v>-8.3008810000000002E-2</v>
      </c>
      <c r="Z4783">
        <v>3.3056439999999999E-3</v>
      </c>
      <c r="AA4783">
        <v>0.99654330000000002</v>
      </c>
      <c r="AB4783">
        <v>36</v>
      </c>
      <c r="AC4783">
        <v>-30.5929999999999</v>
      </c>
      <c r="AD4783">
        <v>-1.1090679723749901</v>
      </c>
      <c r="AE4783">
        <v>-6.8426</v>
      </c>
      <c r="AF4783">
        <v>-2.6241432226977301</v>
      </c>
      <c r="AG4783">
        <v>-1.1090679723749901</v>
      </c>
      <c r="AH4783">
        <v>31.1995391547472</v>
      </c>
      <c r="AI4783">
        <v>92.028711690459104</v>
      </c>
      <c r="AJ4783">
        <v>94.807740464105606</v>
      </c>
      <c r="AK4783">
        <v>31.329337734608799</v>
      </c>
    </row>
    <row r="4784" spans="1:37" x14ac:dyDescent="0.2">
      <c r="A4784" t="str">
        <f>"20200111155648027"</f>
        <v>20200111155648027</v>
      </c>
      <c r="B4784" t="str">
        <f>"1578729408017151"</f>
        <v>1578729408017151</v>
      </c>
      <c r="C4784" t="s">
        <v>37</v>
      </c>
      <c r="D4784">
        <v>4.9235639999999998</v>
      </c>
      <c r="E4784">
        <v>0.50565329999999997</v>
      </c>
      <c r="F4784" t="s">
        <v>72</v>
      </c>
      <c r="G4784">
        <v>-417.99349999999998</v>
      </c>
      <c r="H4784" s="1">
        <v>-8.1990530000000006E-6</v>
      </c>
      <c r="I4784">
        <v>135.40870000000001</v>
      </c>
      <c r="J4784">
        <v>-390.18889999999999</v>
      </c>
      <c r="K4784">
        <v>1.1091789999999999</v>
      </c>
      <c r="L4784">
        <v>141.7543</v>
      </c>
      <c r="M4784">
        <v>-0.98997209999999902</v>
      </c>
      <c r="N4784">
        <v>0</v>
      </c>
      <c r="O4784">
        <v>-0.14047599999999999</v>
      </c>
      <c r="P4784">
        <v>-0.97005339999999995</v>
      </c>
      <c r="Q4784">
        <v>1.601195E-2</v>
      </c>
      <c r="R4784">
        <v>-0.24236379999999999</v>
      </c>
      <c r="S4784">
        <v>-2.9283139999999999</v>
      </c>
      <c r="T4784">
        <v>-0.115362799999999</v>
      </c>
      <c r="U4784">
        <v>-0.6654968</v>
      </c>
      <c r="V4784">
        <v>-0.10400089999999999</v>
      </c>
      <c r="W4784">
        <v>2.970909E-2</v>
      </c>
      <c r="X4784">
        <v>0.99413339999999994</v>
      </c>
      <c r="Y4784">
        <v>-8.2457660000000002E-2</v>
      </c>
      <c r="Z4784">
        <v>3.8248750000000001E-3</v>
      </c>
      <c r="AA4784">
        <v>0.99658719999999901</v>
      </c>
      <c r="AB4784">
        <v>36</v>
      </c>
      <c r="AC4784">
        <v>-27.804599999999901</v>
      </c>
      <c r="AD4784">
        <v>-1.109187199053</v>
      </c>
      <c r="AE4784">
        <v>-6.3455999999999904</v>
      </c>
      <c r="AF4784">
        <v>-2.3727623897135102</v>
      </c>
      <c r="AG4784">
        <v>-1.109187199053</v>
      </c>
      <c r="AH4784">
        <v>28.377409999789101</v>
      </c>
      <c r="AI4784">
        <v>92.230603394643794</v>
      </c>
      <c r="AJ4784">
        <v>94.779638760015899</v>
      </c>
      <c r="AK4784">
        <v>28.498029684466101</v>
      </c>
    </row>
    <row r="4785" spans="1:37" x14ac:dyDescent="0.2">
      <c r="A4785" t="str">
        <f>"20200111155649770"</f>
        <v>20200111155649770</v>
      </c>
      <c r="B4785" t="str">
        <f>"1578729409767609"</f>
        <v>1578729409767609</v>
      </c>
      <c r="C4785" t="s">
        <v>37</v>
      </c>
      <c r="D4785">
        <v>4.859629</v>
      </c>
      <c r="E4785">
        <v>0.33074130000000002</v>
      </c>
      <c r="F4785" t="s">
        <v>72</v>
      </c>
      <c r="G4785">
        <v>-415.9667</v>
      </c>
      <c r="H4785" s="1">
        <v>-8.4423019999999993E-6</v>
      </c>
      <c r="I4785">
        <v>135.71080000000001</v>
      </c>
      <c r="J4785">
        <v>-413.52190000000002</v>
      </c>
      <c r="K4785">
        <v>1.1167719999999901</v>
      </c>
      <c r="L4785">
        <v>131.32079999999999</v>
      </c>
      <c r="M4785">
        <v>-0.69518239999999998</v>
      </c>
      <c r="N4785">
        <v>0</v>
      </c>
      <c r="O4785">
        <v>-0.71865459999999903</v>
      </c>
      <c r="P4785">
        <v>-0.54282489999999906</v>
      </c>
      <c r="Q4785">
        <v>2.3962810000000001E-2</v>
      </c>
      <c r="R4785">
        <v>-0.83950409999999998</v>
      </c>
      <c r="S4785">
        <v>-2.9234619999999998</v>
      </c>
      <c r="T4785">
        <v>-0.12579309999999999</v>
      </c>
      <c r="U4785">
        <v>-0.68539430000000001</v>
      </c>
      <c r="V4785">
        <v>-0.19461500000000001</v>
      </c>
      <c r="W4785">
        <v>3.3964130000000002E-2</v>
      </c>
      <c r="X4785">
        <v>0.98029149999999998</v>
      </c>
      <c r="Y4785">
        <v>0.5401222</v>
      </c>
      <c r="Z4785">
        <v>3.8632979999999997E-2</v>
      </c>
      <c r="AA4785">
        <v>0.84069939999999999</v>
      </c>
      <c r="AB4785">
        <v>32</v>
      </c>
      <c r="AC4785">
        <v>-2.4447999999999799</v>
      </c>
      <c r="AD4785">
        <v>-1.11678044230199</v>
      </c>
      <c r="AE4785">
        <v>4.3900000000000103</v>
      </c>
      <c r="AF4785">
        <v>4.5830525890007099</v>
      </c>
      <c r="AG4785">
        <v>-1.11678044230199</v>
      </c>
      <c r="AH4785">
        <v>-1.38698761971156</v>
      </c>
      <c r="AI4785">
        <v>103.12838688327</v>
      </c>
      <c r="AJ4785">
        <v>-16.837600647935499</v>
      </c>
      <c r="AK4785">
        <v>4.9168388469714399</v>
      </c>
    </row>
    <row r="4786" spans="1:37" x14ac:dyDescent="0.2">
      <c r="A4786" t="str">
        <f>"20200111155649792"</f>
        <v>20200111155649792</v>
      </c>
      <c r="B4786" t="str">
        <f>"1578729409788104"</f>
        <v>1578729409788104</v>
      </c>
      <c r="C4786" t="s">
        <v>37</v>
      </c>
      <c r="D4786">
        <v>4.8223880000000001</v>
      </c>
      <c r="E4786">
        <v>0.33192319999999997</v>
      </c>
      <c r="F4786" t="s">
        <v>39</v>
      </c>
      <c r="G4786">
        <v>-435.80059999999997</v>
      </c>
      <c r="H4786">
        <v>-0.05</v>
      </c>
      <c r="I4786">
        <v>-15.7627399999999</v>
      </c>
      <c r="J4786">
        <v>-413.73160000000001</v>
      </c>
      <c r="K4786">
        <v>1.116803</v>
      </c>
      <c r="L4786">
        <v>131.08459999999999</v>
      </c>
      <c r="M4786">
        <v>-0.68468869999999904</v>
      </c>
      <c r="N4786">
        <v>0</v>
      </c>
      <c r="O4786">
        <v>-0.72865899999999995</v>
      </c>
      <c r="P4786">
        <v>-0.52746389999999999</v>
      </c>
      <c r="Q4786">
        <v>2.1177270000000002E-2</v>
      </c>
      <c r="R4786">
        <v>-0.84931380000000001</v>
      </c>
      <c r="S4786">
        <v>-0.49310299999999901</v>
      </c>
      <c r="T4786">
        <v>-2.5824670000000001E-2</v>
      </c>
      <c r="U4786">
        <v>-3.2554630000000002</v>
      </c>
      <c r="V4786">
        <v>-0.19820550000000001</v>
      </c>
      <c r="W4786">
        <v>3.1055050000000001E-2</v>
      </c>
      <c r="X4786">
        <v>0.97966839999999999</v>
      </c>
      <c r="Y4786">
        <v>-0.56791459999999905</v>
      </c>
      <c r="Z4786">
        <v>4.042599E-3</v>
      </c>
      <c r="AA4786">
        <v>0.82307759999999996</v>
      </c>
      <c r="AB4786">
        <v>32</v>
      </c>
      <c r="AC4786">
        <v>-22.0689999999999</v>
      </c>
      <c r="AD4786">
        <v>-1.166803</v>
      </c>
      <c r="AE4786">
        <v>-146.84734</v>
      </c>
      <c r="AF4786">
        <v>-84.469598283572495</v>
      </c>
      <c r="AG4786">
        <v>-1.166803</v>
      </c>
      <c r="AH4786">
        <v>122.120212845978</v>
      </c>
      <c r="AI4786">
        <v>90.450217224279498</v>
      </c>
      <c r="AJ4786">
        <v>124.67130732001399</v>
      </c>
      <c r="AK4786">
        <v>148.491820815073</v>
      </c>
    </row>
    <row r="4787" spans="1:37" x14ac:dyDescent="0.2">
      <c r="A4787" t="str">
        <f>"20200111155649814"</f>
        <v>20200111155649814</v>
      </c>
      <c r="B4787" t="str">
        <f>"1578729409807625"</f>
        <v>1578729409807625</v>
      </c>
      <c r="C4787" t="s">
        <v>37</v>
      </c>
      <c r="D4787">
        <v>4.8034739999999996</v>
      </c>
      <c r="E4787">
        <v>0.33420090000000002</v>
      </c>
      <c r="F4787" t="s">
        <v>78</v>
      </c>
      <c r="G4787">
        <v>-432.00619999999998</v>
      </c>
      <c r="H4787">
        <v>0.1140058</v>
      </c>
      <c r="I4787">
        <v>-3.720024</v>
      </c>
      <c r="J4787">
        <v>-413.93209999999999</v>
      </c>
      <c r="K4787">
        <v>1.116833</v>
      </c>
      <c r="L4787">
        <v>130.85210000000001</v>
      </c>
      <c r="M4787">
        <v>-0.67428849999999996</v>
      </c>
      <c r="N4787">
        <v>0</v>
      </c>
      <c r="O4787">
        <v>-0.73829309999999904</v>
      </c>
      <c r="P4787">
        <v>-0.51312020000000003</v>
      </c>
      <c r="Q4787">
        <v>1.8330659999999999E-2</v>
      </c>
      <c r="R4787">
        <v>-0.85812109999999997</v>
      </c>
      <c r="S4787">
        <v>-0.44174189999999902</v>
      </c>
      <c r="T4787">
        <v>-2.4240729999999999E-2</v>
      </c>
      <c r="U4787">
        <v>-3.2585599999999899</v>
      </c>
      <c r="V4787">
        <v>-0.2007379</v>
      </c>
      <c r="W4787">
        <v>2.8119499999999999E-2</v>
      </c>
      <c r="X4787">
        <v>0.97924129999999998</v>
      </c>
      <c r="Y4787">
        <v>-0.5690712</v>
      </c>
      <c r="Z4787">
        <v>3.8906209999999999E-3</v>
      </c>
      <c r="AA4787">
        <v>0.82227899999999998</v>
      </c>
      <c r="AB4787">
        <v>32</v>
      </c>
      <c r="AC4787">
        <v>-18.074099999999898</v>
      </c>
      <c r="AD4787">
        <v>-1.00282719999999</v>
      </c>
      <c r="AE4787">
        <v>-134.572124</v>
      </c>
      <c r="AF4787">
        <v>-77.402228545723005</v>
      </c>
      <c r="AG4787">
        <v>-1.00282719999999</v>
      </c>
      <c r="AH4787">
        <v>111.5491528637</v>
      </c>
      <c r="AI4787">
        <v>90.423182107259393</v>
      </c>
      <c r="AJ4787">
        <v>124.756181438471</v>
      </c>
      <c r="AK4787">
        <v>135.77674377759399</v>
      </c>
    </row>
    <row r="4788" spans="1:37" x14ac:dyDescent="0.2">
      <c r="A4788" t="str">
        <f>"20200111155649836"</f>
        <v>20200111155649836</v>
      </c>
      <c r="B4788" t="str">
        <f>"1578729409828122"</f>
        <v>1578729409828122</v>
      </c>
      <c r="C4788" t="s">
        <v>37</v>
      </c>
      <c r="D4788">
        <v>4.795026</v>
      </c>
      <c r="E4788">
        <v>0.3355995</v>
      </c>
      <c r="F4788" t="s">
        <v>78</v>
      </c>
      <c r="G4788">
        <v>-430.41640000000001</v>
      </c>
      <c r="H4788">
        <v>0.43835760000000001</v>
      </c>
      <c r="I4788">
        <v>-2.4186669999999899</v>
      </c>
      <c r="J4788">
        <v>-414.12810000000002</v>
      </c>
      <c r="K4788">
        <v>1.1168670000000001</v>
      </c>
      <c r="L4788">
        <v>130.6181</v>
      </c>
      <c r="M4788">
        <v>-0.66375569999999995</v>
      </c>
      <c r="N4788">
        <v>0</v>
      </c>
      <c r="O4788">
        <v>-0.74777629999999995</v>
      </c>
      <c r="P4788">
        <v>-0.4994518</v>
      </c>
      <c r="Q4788">
        <v>1.502296E-2</v>
      </c>
      <c r="R4788">
        <v>-0.86621150000000002</v>
      </c>
      <c r="S4788">
        <v>-0.40267940000000002</v>
      </c>
      <c r="T4788">
        <v>-1.6574499999999999E-2</v>
      </c>
      <c r="U4788">
        <v>-3.2555540000000001</v>
      </c>
      <c r="V4788">
        <v>-0.202328799999999</v>
      </c>
      <c r="W4788">
        <v>2.4753730000000002E-2</v>
      </c>
      <c r="X4788">
        <v>0.97900469999999895</v>
      </c>
      <c r="Y4788">
        <v>-0.56701610000000002</v>
      </c>
      <c r="Z4788">
        <v>2.7358539999999998E-3</v>
      </c>
      <c r="AA4788">
        <v>0.82370219999999905</v>
      </c>
      <c r="AB4788">
        <v>32</v>
      </c>
      <c r="AC4788">
        <v>-16.2882999999999</v>
      </c>
      <c r="AD4788">
        <v>-0.67850940000000004</v>
      </c>
      <c r="AE4788">
        <v>-133.036767</v>
      </c>
      <c r="AF4788">
        <v>-76.131815672024601</v>
      </c>
      <c r="AG4788">
        <v>-0.67850940000000004</v>
      </c>
      <c r="AH4788">
        <v>110.30465093804899</v>
      </c>
      <c r="AI4788">
        <v>90.290056971755902</v>
      </c>
      <c r="AJ4788">
        <v>124.61327808231</v>
      </c>
      <c r="AK4788">
        <v>134.028466196886</v>
      </c>
    </row>
    <row r="4789" spans="1:37" x14ac:dyDescent="0.2">
      <c r="A4789" t="str">
        <f>"20200111155649859"</f>
        <v>20200111155649859</v>
      </c>
      <c r="B4789" t="str">
        <f>"1578729409847642"</f>
        <v>1578729409847642</v>
      </c>
      <c r="C4789" t="s">
        <v>37</v>
      </c>
      <c r="D4789">
        <v>4.7559709999999997</v>
      </c>
      <c r="E4789">
        <v>0.33783079999999999</v>
      </c>
      <c r="F4789" t="s">
        <v>78</v>
      </c>
      <c r="G4789">
        <v>-428.69729999999998</v>
      </c>
      <c r="H4789">
        <v>0.1584682</v>
      </c>
      <c r="I4789">
        <v>-1.0117229999999999</v>
      </c>
      <c r="J4789">
        <v>-414.3245</v>
      </c>
      <c r="K4789">
        <v>1.116903</v>
      </c>
      <c r="L4789">
        <v>130.37639999999999</v>
      </c>
      <c r="M4789">
        <v>-0.65281679999999997</v>
      </c>
      <c r="N4789">
        <v>0</v>
      </c>
      <c r="O4789">
        <v>-0.75734449999999998</v>
      </c>
      <c r="P4789">
        <v>-0.48747659999999998</v>
      </c>
      <c r="Q4789">
        <v>1.327621E-2</v>
      </c>
      <c r="R4789">
        <v>-0.87303519999999901</v>
      </c>
      <c r="S4789">
        <v>-0.36038209999999998</v>
      </c>
      <c r="T4789">
        <v>-2.3707389999999998E-2</v>
      </c>
      <c r="U4789">
        <v>-3.2559659999999999</v>
      </c>
      <c r="V4789">
        <v>-0.20154949999999999</v>
      </c>
      <c r="W4789">
        <v>2.3029029999999999E-2</v>
      </c>
      <c r="X4789">
        <v>0.97920759999999996</v>
      </c>
      <c r="Y4789">
        <v>-0.56561030000000001</v>
      </c>
      <c r="Z4789">
        <v>4.0168729999999998E-3</v>
      </c>
      <c r="AA4789">
        <v>0.82466289999999998</v>
      </c>
      <c r="AB4789">
        <v>32</v>
      </c>
      <c r="AC4789">
        <v>-14.3727999999999</v>
      </c>
      <c r="AD4789">
        <v>-0.95843480000000003</v>
      </c>
      <c r="AE4789">
        <v>-131.38812299999901</v>
      </c>
      <c r="AF4789">
        <v>-74.892994653652494</v>
      </c>
      <c r="AG4789">
        <v>-0.95843480000000003</v>
      </c>
      <c r="AH4789">
        <v>108.89728438982</v>
      </c>
      <c r="AI4789">
        <v>90.415490629187204</v>
      </c>
      <c r="AJ4789">
        <v>124.517851011749</v>
      </c>
      <c r="AK4789">
        <v>132.168444770056</v>
      </c>
    </row>
    <row r="4790" spans="1:37" x14ac:dyDescent="0.2">
      <c r="A4790" t="str">
        <f>"20200111155649882"</f>
        <v>20200111155649882</v>
      </c>
      <c r="B4790" t="str">
        <f>"1578729409877897"</f>
        <v>1578729409877897</v>
      </c>
      <c r="C4790" t="s">
        <v>37</v>
      </c>
      <c r="D4790">
        <v>4.765447</v>
      </c>
      <c r="E4790">
        <v>0.3413042</v>
      </c>
      <c r="F4790" t="s">
        <v>78</v>
      </c>
      <c r="G4790">
        <v>-427.54329999999999</v>
      </c>
      <c r="H4790">
        <v>0.33738759999999901</v>
      </c>
      <c r="I4790">
        <v>0.687992099999999</v>
      </c>
      <c r="J4790">
        <v>-414.52140000000003</v>
      </c>
      <c r="K4790">
        <v>1.1169309999999999</v>
      </c>
      <c r="L4790">
        <v>130.12610000000001</v>
      </c>
      <c r="M4790">
        <v>-0.64142290000000002</v>
      </c>
      <c r="N4790">
        <v>0</v>
      </c>
      <c r="O4790">
        <v>-0.76701819999999998</v>
      </c>
      <c r="P4790">
        <v>-0.47556099999999901</v>
      </c>
      <c r="Q4790">
        <v>1.2824810000000001E-2</v>
      </c>
      <c r="R4790">
        <v>-0.87958950000000002</v>
      </c>
      <c r="S4790">
        <v>-0.33142090000000002</v>
      </c>
      <c r="T4790">
        <v>-1.9544599999999999E-2</v>
      </c>
      <c r="U4790">
        <v>-3.251541</v>
      </c>
      <c r="V4790">
        <v>-0.20021949999999999</v>
      </c>
      <c r="W4790">
        <v>2.2619529999999999E-2</v>
      </c>
      <c r="X4790">
        <v>0.97948989999999903</v>
      </c>
      <c r="Y4790">
        <v>-0.56041200000000002</v>
      </c>
      <c r="Z4790">
        <v>3.4113189999999999E-3</v>
      </c>
      <c r="AA4790">
        <v>0.82820699999999903</v>
      </c>
      <c r="AB4790">
        <v>32</v>
      </c>
      <c r="AC4790">
        <v>-13.021899999999899</v>
      </c>
      <c r="AD4790">
        <v>-0.779543399999999</v>
      </c>
      <c r="AE4790">
        <v>-129.43810790000001</v>
      </c>
      <c r="AF4790">
        <v>-73.043396706173695</v>
      </c>
      <c r="AG4790">
        <v>-0.779543399999999</v>
      </c>
      <c r="AH4790">
        <v>107.64404555570999</v>
      </c>
      <c r="AI4790">
        <v>90.343340050145699</v>
      </c>
      <c r="AJ4790">
        <v>124.15941134040899</v>
      </c>
      <c r="AK4790">
        <v>130.08914648765901</v>
      </c>
    </row>
    <row r="4791" spans="1:37" x14ac:dyDescent="0.2">
      <c r="A4791" t="str">
        <f>"20200111155649904"</f>
        <v>20200111155649904</v>
      </c>
      <c r="B4791" t="str">
        <f>"1578729409897417"</f>
        <v>1578729409897417</v>
      </c>
      <c r="C4791" t="s">
        <v>37</v>
      </c>
      <c r="D4791">
        <v>4.7488830000000002</v>
      </c>
      <c r="E4791">
        <v>0.34301219999999999</v>
      </c>
      <c r="F4791" t="s">
        <v>78</v>
      </c>
      <c r="G4791">
        <v>-426.90320000000003</v>
      </c>
      <c r="H4791">
        <v>0.61786770000000002</v>
      </c>
      <c r="I4791">
        <v>1.2119690000000001</v>
      </c>
      <c r="J4791">
        <v>-414.70639999999997</v>
      </c>
      <c r="K4791">
        <v>1.1169480000000001</v>
      </c>
      <c r="L4791">
        <v>129.88390000000001</v>
      </c>
      <c r="M4791">
        <v>-0.63033589999999995</v>
      </c>
      <c r="N4791">
        <v>0</v>
      </c>
      <c r="O4791">
        <v>-0.77615500000000004</v>
      </c>
      <c r="P4791">
        <v>-0.46551499999999901</v>
      </c>
      <c r="Q4791">
        <v>1.233427E-2</v>
      </c>
      <c r="R4791">
        <v>-0.88495400000000002</v>
      </c>
      <c r="S4791">
        <v>-0.31143189999999998</v>
      </c>
      <c r="T4791">
        <v>-1.255333E-2</v>
      </c>
      <c r="U4791">
        <v>-3.2425079999999999</v>
      </c>
      <c r="V4791">
        <v>-0.19728950000000001</v>
      </c>
      <c r="W4791">
        <v>2.222671E-2</v>
      </c>
      <c r="X4791">
        <v>0.980093199999999</v>
      </c>
      <c r="Y4791">
        <v>-0.55331470000000005</v>
      </c>
      <c r="Z4791">
        <v>2.2581070000000001E-3</v>
      </c>
      <c r="AA4791">
        <v>0.83296919999999997</v>
      </c>
      <c r="AB4791">
        <v>32</v>
      </c>
      <c r="AC4791">
        <v>-12.1968</v>
      </c>
      <c r="AD4791">
        <v>-0.49908029999999998</v>
      </c>
      <c r="AE4791">
        <v>-128.671931</v>
      </c>
      <c r="AF4791">
        <v>-71.648179311840593</v>
      </c>
      <c r="AG4791">
        <v>-0.49908029999999998</v>
      </c>
      <c r="AH4791">
        <v>107.569828519231</v>
      </c>
      <c r="AI4791">
        <v>90.221243834164</v>
      </c>
      <c r="AJ4791">
        <v>123.66607748253401</v>
      </c>
      <c r="AK4791">
        <v>129.24774151800199</v>
      </c>
    </row>
    <row r="4792" spans="1:37" x14ac:dyDescent="0.2">
      <c r="A4792" t="str">
        <f>"20200111155649926"</f>
        <v>20200111155649926</v>
      </c>
      <c r="B4792" t="str">
        <f>"1578729409917913"</f>
        <v>1578729409917913</v>
      </c>
      <c r="C4792" t="s">
        <v>37</v>
      </c>
      <c r="D4792">
        <v>4.7377949999999904</v>
      </c>
      <c r="E4792">
        <v>0.34400639999999999</v>
      </c>
      <c r="F4792" t="s">
        <v>78</v>
      </c>
      <c r="G4792">
        <v>-426.10950000000003</v>
      </c>
      <c r="H4792">
        <v>0.74952169999999996</v>
      </c>
      <c r="I4792">
        <v>0.93628310000000003</v>
      </c>
      <c r="J4792">
        <v>-414.89</v>
      </c>
      <c r="K4792">
        <v>1.1169639999999901</v>
      </c>
      <c r="L4792">
        <v>129.63589999999999</v>
      </c>
      <c r="M4792">
        <v>-0.61893030000000004</v>
      </c>
      <c r="N4792">
        <v>0</v>
      </c>
      <c r="O4792">
        <v>-0.78527999999999998</v>
      </c>
      <c r="P4792">
        <v>-0.454978299999999</v>
      </c>
      <c r="Q4792">
        <v>1.1408730000000001E-2</v>
      </c>
      <c r="R4792">
        <v>-0.89042949999999998</v>
      </c>
      <c r="S4792">
        <v>-0.28646850000000001</v>
      </c>
      <c r="T4792">
        <v>-9.2310910000000003E-3</v>
      </c>
      <c r="U4792">
        <v>-3.2394099999999999</v>
      </c>
      <c r="V4792">
        <v>-0.19458639999999999</v>
      </c>
      <c r="W4792">
        <v>2.1391489999999999E-2</v>
      </c>
      <c r="X4792">
        <v>0.98065210000000003</v>
      </c>
      <c r="Y4792">
        <v>-0.5474213</v>
      </c>
      <c r="Z4792">
        <v>1.705687E-3</v>
      </c>
      <c r="AA4792">
        <v>0.83685540000000003</v>
      </c>
      <c r="AB4792">
        <v>32</v>
      </c>
      <c r="AC4792">
        <v>-11.2195</v>
      </c>
      <c r="AD4792">
        <v>-0.367442299999999</v>
      </c>
      <c r="AE4792">
        <v>-128.6996169</v>
      </c>
      <c r="AF4792">
        <v>-70.854303524565296</v>
      </c>
      <c r="AG4792">
        <v>-0.367442299999999</v>
      </c>
      <c r="AH4792">
        <v>108.02252643821301</v>
      </c>
      <c r="AI4792">
        <v>90.1629644485879</v>
      </c>
      <c r="AJ4792">
        <v>123.261732315573</v>
      </c>
      <c r="AK4792">
        <v>129.18720354543399</v>
      </c>
    </row>
    <row r="4793" spans="1:37" x14ac:dyDescent="0.2">
      <c r="A4793" t="str">
        <f>"20200111155649949"</f>
        <v>20200111155649949</v>
      </c>
      <c r="B4793" t="str">
        <f>"1578729409937433"</f>
        <v>1578729409937433</v>
      </c>
      <c r="C4793" t="s">
        <v>37</v>
      </c>
      <c r="D4793">
        <v>4.923432</v>
      </c>
      <c r="E4793">
        <v>0.34357880000000002</v>
      </c>
      <c r="F4793" t="s">
        <v>78</v>
      </c>
      <c r="G4793">
        <v>-425.08280000000002</v>
      </c>
      <c r="H4793">
        <v>0.60728549999999903</v>
      </c>
      <c r="I4793">
        <v>0.4256935</v>
      </c>
      <c r="J4793">
        <v>-415.0675</v>
      </c>
      <c r="K4793">
        <v>1.116986</v>
      </c>
      <c r="L4793">
        <v>129.3888</v>
      </c>
      <c r="M4793">
        <v>-0.60750689999999996</v>
      </c>
      <c r="N4793">
        <v>0</v>
      </c>
      <c r="O4793">
        <v>-0.79415019999999903</v>
      </c>
      <c r="P4793">
        <v>-0.4448973</v>
      </c>
      <c r="Q4793">
        <v>1.250824E-2</v>
      </c>
      <c r="R4793">
        <v>-0.89549460000000003</v>
      </c>
      <c r="S4793">
        <v>-0.25549319999999998</v>
      </c>
      <c r="T4793">
        <v>-1.2776259999999999E-2</v>
      </c>
      <c r="U4793">
        <v>-3.2387700000000001</v>
      </c>
      <c r="V4793">
        <v>-0.1914979</v>
      </c>
      <c r="W4793">
        <v>2.25957E-2</v>
      </c>
      <c r="X4793">
        <v>0.98123289999999996</v>
      </c>
      <c r="Y4793">
        <v>-0.54324289999999997</v>
      </c>
      <c r="Z4793">
        <v>2.4178400000000001E-3</v>
      </c>
      <c r="AA4793">
        <v>0.83957209999999904</v>
      </c>
      <c r="AB4793">
        <v>31</v>
      </c>
      <c r="AC4793">
        <v>-10.0153</v>
      </c>
      <c r="AD4793">
        <v>-0.5097005</v>
      </c>
      <c r="AE4793">
        <v>-128.96310649999899</v>
      </c>
      <c r="AF4793">
        <v>-70.400413319147702</v>
      </c>
      <c r="AG4793">
        <v>-0.5097005</v>
      </c>
      <c r="AH4793">
        <v>108.512908446946</v>
      </c>
      <c r="AI4793">
        <v>90.225772476570597</v>
      </c>
      <c r="AJ4793">
        <v>122.974480948565</v>
      </c>
      <c r="AK4793">
        <v>129.35041279300901</v>
      </c>
    </row>
    <row r="4794" spans="1:37" x14ac:dyDescent="0.2">
      <c r="A4794" t="str">
        <f>"20200111155649971"</f>
        <v>20200111155649971</v>
      </c>
      <c r="B4794" t="str">
        <f>"1578729409967690"</f>
        <v>1578729409967690</v>
      </c>
      <c r="C4794" t="s">
        <v>37</v>
      </c>
      <c r="D4794">
        <v>4.8907099999999897</v>
      </c>
      <c r="E4794">
        <v>0.31559809999999999</v>
      </c>
      <c r="F4794" t="s">
        <v>78</v>
      </c>
      <c r="G4794">
        <v>-423.63760000000002</v>
      </c>
      <c r="H4794">
        <v>0.78281069999999997</v>
      </c>
      <c r="I4794">
        <v>0.44039149999999999</v>
      </c>
      <c r="J4794">
        <v>-415.24369999999999</v>
      </c>
      <c r="K4794">
        <v>1.1170089999999999</v>
      </c>
      <c r="L4794">
        <v>129.13570000000001</v>
      </c>
      <c r="M4794">
        <v>-0.59574989999999906</v>
      </c>
      <c r="N4794">
        <v>0</v>
      </c>
      <c r="O4794">
        <v>-0.80300740000000004</v>
      </c>
      <c r="P4794">
        <v>-0.43335010000000002</v>
      </c>
      <c r="Q4794">
        <v>1.2910059999999999E-2</v>
      </c>
      <c r="R4794">
        <v>-0.90113319999999997</v>
      </c>
      <c r="S4794">
        <v>-0.21554570000000001</v>
      </c>
      <c r="T4794">
        <v>-8.4053280000000001E-3</v>
      </c>
      <c r="U4794">
        <v>-3.2431640000000002</v>
      </c>
      <c r="V4794">
        <v>-0.18967500000000001</v>
      </c>
      <c r="W4794">
        <v>2.3060009999999999E-2</v>
      </c>
      <c r="X4794">
        <v>0.98157609999999995</v>
      </c>
      <c r="Y4794">
        <v>-0.54125760000000001</v>
      </c>
      <c r="Z4794">
        <v>1.62380799999999E-3</v>
      </c>
      <c r="AA4794">
        <v>0.84085529999999997</v>
      </c>
      <c r="AB4794">
        <v>31</v>
      </c>
      <c r="AC4794">
        <v>-8.3939000000000306</v>
      </c>
      <c r="AD4794">
        <v>-0.334198299999999</v>
      </c>
      <c r="AE4794">
        <v>-128.69530850000001</v>
      </c>
      <c r="AF4794">
        <v>-69.938517380226799</v>
      </c>
      <c r="AG4794">
        <v>-0.334198299999999</v>
      </c>
      <c r="AH4794">
        <v>108.357373533222</v>
      </c>
      <c r="AI4794">
        <v>90.148471912450503</v>
      </c>
      <c r="AJ4794">
        <v>122.839940715287</v>
      </c>
      <c r="AK4794">
        <v>128.96832285823601</v>
      </c>
    </row>
    <row r="4795" spans="1:37" x14ac:dyDescent="0.2">
      <c r="A4795" t="str">
        <f>"20200111155649994"</f>
        <v>20200111155649994</v>
      </c>
      <c r="B4795" t="str">
        <f>"1578729409988185"</f>
        <v>1578729409988185</v>
      </c>
      <c r="C4795" t="s">
        <v>37</v>
      </c>
      <c r="D4795">
        <v>4.8071549999999998</v>
      </c>
      <c r="E4795">
        <v>0.31732389999999999</v>
      </c>
      <c r="F4795" t="s">
        <v>78</v>
      </c>
      <c r="G4795">
        <v>-414.22660000000002</v>
      </c>
      <c r="H4795">
        <v>1.7104979999999901</v>
      </c>
      <c r="I4795">
        <v>0.53610800000000003</v>
      </c>
      <c r="J4795">
        <v>-415.4169</v>
      </c>
      <c r="K4795">
        <v>1.11703</v>
      </c>
      <c r="L4795">
        <v>128.87899999999999</v>
      </c>
      <c r="M4795">
        <v>-0.58375949999999999</v>
      </c>
      <c r="N4795">
        <v>0</v>
      </c>
      <c r="O4795">
        <v>-0.81176559999999998</v>
      </c>
      <c r="P4795">
        <v>-0.42173719999999998</v>
      </c>
      <c r="Q4795">
        <v>1.2905659999999999E-2</v>
      </c>
      <c r="R4795">
        <v>-0.90662640000000005</v>
      </c>
      <c r="S4795">
        <v>2.6428219999999999E-2</v>
      </c>
      <c r="T4795">
        <v>1.5421030000000001E-2</v>
      </c>
      <c r="U4795">
        <v>-3.3416290000000002</v>
      </c>
      <c r="V4795">
        <v>-0.1877104</v>
      </c>
      <c r="W4795">
        <v>2.3122940000000002E-2</v>
      </c>
      <c r="X4795">
        <v>0.98195219999999905</v>
      </c>
      <c r="Y4795">
        <v>-0.59023760000000003</v>
      </c>
      <c r="Z4795">
        <v>-2.86657599999999E-3</v>
      </c>
      <c r="AA4795">
        <v>0.80722450000000001</v>
      </c>
      <c r="AB4795">
        <v>31</v>
      </c>
      <c r="AC4795">
        <v>1.1902999999999699</v>
      </c>
      <c r="AD4795">
        <v>0.593467999999999</v>
      </c>
      <c r="AE4795">
        <v>-128.34289199999901</v>
      </c>
      <c r="AF4795">
        <v>-75.895926993610601</v>
      </c>
      <c r="AG4795">
        <v>0.593467999999999</v>
      </c>
      <c r="AH4795">
        <v>103.500814590273</v>
      </c>
      <c r="AI4795">
        <v>89.7350672600829</v>
      </c>
      <c r="AJ4795">
        <v>126.252156433785</v>
      </c>
      <c r="AK4795">
        <v>128.347039542549</v>
      </c>
    </row>
    <row r="4796" spans="1:37" x14ac:dyDescent="0.2">
      <c r="A4796" t="str">
        <f>"20200111155650015"</f>
        <v>20200111155650015</v>
      </c>
      <c r="B4796" t="str">
        <f>"1578729410007706"</f>
        <v>1578729410007706</v>
      </c>
      <c r="C4796" t="s">
        <v>37</v>
      </c>
      <c r="D4796">
        <v>4.8523149999999999</v>
      </c>
      <c r="E4796">
        <v>0.32032250000000001</v>
      </c>
      <c r="F4796" t="s">
        <v>78</v>
      </c>
      <c r="G4796">
        <v>-413.2176</v>
      </c>
      <c r="H4796">
        <v>1.9621679999999999</v>
      </c>
      <c r="I4796">
        <v>0.54637150000000001</v>
      </c>
      <c r="J4796">
        <v>-415.58319999999998</v>
      </c>
      <c r="K4796">
        <v>1.1170450000000001</v>
      </c>
      <c r="L4796">
        <v>128.62450000000001</v>
      </c>
      <c r="M4796">
        <v>-0.571806699999999</v>
      </c>
      <c r="N4796">
        <v>0</v>
      </c>
      <c r="O4796">
        <v>-0.82022890000000004</v>
      </c>
      <c r="P4796">
        <v>-0.4104254</v>
      </c>
      <c r="Q4796">
        <v>1.1715929999999999E-2</v>
      </c>
      <c r="R4796">
        <v>-0.91181919999999905</v>
      </c>
      <c r="S4796">
        <v>5.7159420000000002E-2</v>
      </c>
      <c r="T4796">
        <v>2.196383E-2</v>
      </c>
      <c r="U4796">
        <v>-3.335251</v>
      </c>
      <c r="V4796">
        <v>-0.18551819999999999</v>
      </c>
      <c r="W4796">
        <v>2.200647E-2</v>
      </c>
      <c r="X4796">
        <v>0.9823944</v>
      </c>
      <c r="Y4796">
        <v>-0.58585299999999996</v>
      </c>
      <c r="Z4796">
        <v>-4.1828209999999998E-3</v>
      </c>
      <c r="AA4796">
        <v>0.81040659999999998</v>
      </c>
      <c r="AB4796">
        <v>31</v>
      </c>
      <c r="AC4796">
        <v>2.3655999999999699</v>
      </c>
      <c r="AD4796">
        <v>0.84512299999999996</v>
      </c>
      <c r="AE4796">
        <v>-128.07812849999999</v>
      </c>
      <c r="AF4796">
        <v>-75.182829974696901</v>
      </c>
      <c r="AG4796">
        <v>0.84512299999999996</v>
      </c>
      <c r="AH4796">
        <v>103.70977180528401</v>
      </c>
      <c r="AI4796">
        <v>89.621987538760095</v>
      </c>
      <c r="AJ4796">
        <v>125.939665810771</v>
      </c>
      <c r="AK4796">
        <v>128.09718546398099</v>
      </c>
    </row>
    <row r="4797" spans="1:37" x14ac:dyDescent="0.2">
      <c r="A4797" t="str">
        <f>"20200111155650037"</f>
        <v>20200111155650037</v>
      </c>
      <c r="B4797" t="str">
        <f>"1578729410028201"</f>
        <v>1578729410028201</v>
      </c>
      <c r="C4797" t="s">
        <v>37</v>
      </c>
      <c r="D4797">
        <v>4.7944199999999997</v>
      </c>
      <c r="E4797">
        <v>0.32237509999999903</v>
      </c>
      <c r="F4797" t="s">
        <v>78</v>
      </c>
      <c r="G4797">
        <v>-412.61009999999999</v>
      </c>
      <c r="H4797">
        <v>1.5610740000000001</v>
      </c>
      <c r="I4797">
        <v>0.55254550000000002</v>
      </c>
      <c r="J4797">
        <v>-415.74740000000003</v>
      </c>
      <c r="K4797">
        <v>1.1170679999999999</v>
      </c>
      <c r="L4797">
        <v>128.3647</v>
      </c>
      <c r="M4797">
        <v>-0.55953660000000005</v>
      </c>
      <c r="N4797">
        <v>0</v>
      </c>
      <c r="O4797">
        <v>-0.82864749999999998</v>
      </c>
      <c r="P4797">
        <v>-0.39932049999999902</v>
      </c>
      <c r="Q4797">
        <v>9.9216169999999902E-3</v>
      </c>
      <c r="R4797">
        <v>-0.91675799999999996</v>
      </c>
      <c r="S4797">
        <v>7.7178960000000005E-2</v>
      </c>
      <c r="T4797">
        <v>1.152623E-2</v>
      </c>
      <c r="U4797">
        <v>-3.3247070000000001</v>
      </c>
      <c r="V4797">
        <v>-0.1827888</v>
      </c>
      <c r="W4797">
        <v>2.0302629999999999E-2</v>
      </c>
      <c r="X4797">
        <v>0.9829426</v>
      </c>
      <c r="Y4797">
        <v>-0.57869219999999999</v>
      </c>
      <c r="Z4797">
        <v>-2.2541589999999999E-3</v>
      </c>
      <c r="AA4797">
        <v>0.81554289999999996</v>
      </c>
      <c r="AB4797">
        <v>31</v>
      </c>
      <c r="AC4797">
        <v>3.13730000000003</v>
      </c>
      <c r="AD4797">
        <v>0.44400600000000001</v>
      </c>
      <c r="AE4797">
        <v>-127.81215450000001</v>
      </c>
      <c r="AF4797">
        <v>-74.124115420336096</v>
      </c>
      <c r="AG4797">
        <v>0.44400600000000001</v>
      </c>
      <c r="AH4797">
        <v>104.168184811156</v>
      </c>
      <c r="AI4797">
        <v>89.801018815218697</v>
      </c>
      <c r="AJ4797">
        <v>125.434937268553</v>
      </c>
      <c r="AK4797">
        <v>127.849882107989</v>
      </c>
    </row>
    <row r="4798" spans="1:37" x14ac:dyDescent="0.2">
      <c r="A4798" t="str">
        <f>"20200111155650062"</f>
        <v>20200111155650062</v>
      </c>
      <c r="B4798" t="str">
        <f>"1578729410057482"</f>
        <v>1578729410057482</v>
      </c>
      <c r="C4798" t="s">
        <v>37</v>
      </c>
      <c r="D4798">
        <v>4.7130179999999999</v>
      </c>
      <c r="E4798">
        <v>0.324843099999999</v>
      </c>
      <c r="F4798" t="s">
        <v>78</v>
      </c>
      <c r="G4798">
        <v>-411.7756</v>
      </c>
      <c r="H4798">
        <v>1.535787</v>
      </c>
      <c r="I4798">
        <v>0.56103319999999901</v>
      </c>
      <c r="J4798">
        <v>-415.90969999999999</v>
      </c>
      <c r="K4798">
        <v>1.1170910000000001</v>
      </c>
      <c r="L4798">
        <v>128.0985</v>
      </c>
      <c r="M4798">
        <v>-0.54687649999999999</v>
      </c>
      <c r="N4798">
        <v>0</v>
      </c>
      <c r="O4798">
        <v>-0.83705640000000003</v>
      </c>
      <c r="P4798">
        <v>-0.38859549999999998</v>
      </c>
      <c r="Q4798">
        <v>8.4327610000000004E-3</v>
      </c>
      <c r="R4798">
        <v>-0.92137009999999897</v>
      </c>
      <c r="S4798">
        <v>0.1030884</v>
      </c>
      <c r="T4798">
        <v>1.086724E-2</v>
      </c>
      <c r="U4798">
        <v>-3.3171839999999899</v>
      </c>
      <c r="V4798">
        <v>-0.17928229999999901</v>
      </c>
      <c r="W4798">
        <v>1.8928650000000002E-2</v>
      </c>
      <c r="X4798">
        <v>0.98361559999999904</v>
      </c>
      <c r="Y4798">
        <v>-0.57268819999999998</v>
      </c>
      <c r="Z4798">
        <v>-2.177638E-3</v>
      </c>
      <c r="AA4798">
        <v>0.81977040000000001</v>
      </c>
      <c r="AB4798">
        <v>31</v>
      </c>
      <c r="AC4798">
        <v>4.1340999999999797</v>
      </c>
      <c r="AD4798">
        <v>0.41869600000000001</v>
      </c>
      <c r="AE4798">
        <v>-127.5374668</v>
      </c>
      <c r="AF4798">
        <v>-73.216546940643198</v>
      </c>
      <c r="AG4798">
        <v>0.41869600000000001</v>
      </c>
      <c r="AH4798">
        <v>104.50781247179999</v>
      </c>
      <c r="AI4798">
        <v>89.811999617027197</v>
      </c>
      <c r="AJ4798">
        <v>125.014487693943</v>
      </c>
      <c r="AK4798">
        <v>127.60376530452599</v>
      </c>
    </row>
    <row r="4799" spans="1:37" x14ac:dyDescent="0.2">
      <c r="A4799" t="str">
        <f>"20200111155650083"</f>
        <v>20200111155650083</v>
      </c>
      <c r="B4799" t="str">
        <f>"1578729410077977"</f>
        <v>1578729410077977</v>
      </c>
      <c r="C4799" t="s">
        <v>37</v>
      </c>
      <c r="D4799">
        <v>4.6116679999999999</v>
      </c>
      <c r="E4799">
        <v>0.32614690000000002</v>
      </c>
      <c r="F4799" t="s">
        <v>78</v>
      </c>
      <c r="G4799">
        <v>-411.15870000000001</v>
      </c>
      <c r="H4799">
        <v>1.5525739999999999</v>
      </c>
      <c r="I4799">
        <v>0.56730839999999905</v>
      </c>
      <c r="J4799">
        <v>-416.06299999999999</v>
      </c>
      <c r="K4799">
        <v>1.1171219999999999</v>
      </c>
      <c r="L4799">
        <v>127.8379</v>
      </c>
      <c r="M4799">
        <v>-0.53439999999999999</v>
      </c>
      <c r="N4799">
        <v>0</v>
      </c>
      <c r="O4799">
        <v>-0.84507600000000005</v>
      </c>
      <c r="P4799">
        <v>-0.37860969999999999</v>
      </c>
      <c r="Q4799">
        <v>6.9683109999999996E-3</v>
      </c>
      <c r="R4799">
        <v>-0.92553039999999998</v>
      </c>
      <c r="S4799">
        <v>0.12322999999999899</v>
      </c>
      <c r="T4799">
        <v>1.129496E-2</v>
      </c>
      <c r="U4799">
        <v>-3.3079070000000002</v>
      </c>
      <c r="V4799">
        <v>-0.17529139999999899</v>
      </c>
      <c r="W4799">
        <v>1.759469E-2</v>
      </c>
      <c r="X4799">
        <v>0.9843594</v>
      </c>
      <c r="Y4799">
        <v>-0.5655635</v>
      </c>
      <c r="Z4799">
        <v>-2.3186550000000002E-3</v>
      </c>
      <c r="AA4799">
        <v>0.82470149999999998</v>
      </c>
      <c r="AB4799">
        <v>31</v>
      </c>
      <c r="AC4799">
        <v>4.9043000000000303</v>
      </c>
      <c r="AD4799">
        <v>0.43545200000000001</v>
      </c>
      <c r="AE4799">
        <v>-127.2705916</v>
      </c>
      <c r="AF4799">
        <v>-72.166564465095902</v>
      </c>
      <c r="AG4799">
        <v>0.43545200000000001</v>
      </c>
      <c r="AH4799">
        <v>104.94504937237301</v>
      </c>
      <c r="AI4799">
        <v>89.804108297792396</v>
      </c>
      <c r="AJ4799">
        <v>124.514766755651</v>
      </c>
      <c r="AK4799">
        <v>127.364304390629</v>
      </c>
    </row>
    <row r="4800" spans="1:37" x14ac:dyDescent="0.2">
      <c r="A4800" t="str">
        <f>"20200111155650105"</f>
        <v>20200111155650105</v>
      </c>
      <c r="B4800" t="str">
        <f>"1578729410097497"</f>
        <v>1578729410097497</v>
      </c>
      <c r="C4800" t="s">
        <v>37</v>
      </c>
      <c r="D4800">
        <v>4.5488239999999998</v>
      </c>
      <c r="E4800">
        <v>0.3387715</v>
      </c>
      <c r="F4800" t="s">
        <v>78</v>
      </c>
      <c r="G4800">
        <v>-410.31199999999899</v>
      </c>
      <c r="H4800">
        <v>1.7729189999999999</v>
      </c>
      <c r="I4800">
        <v>0.57591630000000005</v>
      </c>
      <c r="J4800">
        <v>-416.20920000000001</v>
      </c>
      <c r="K4800">
        <v>1.1171530000000001</v>
      </c>
      <c r="L4800">
        <v>127.5809</v>
      </c>
      <c r="M4800">
        <v>-0.52201370000000002</v>
      </c>
      <c r="N4800">
        <v>0</v>
      </c>
      <c r="O4800">
        <v>-0.85278259999999995</v>
      </c>
      <c r="P4800">
        <v>-0.36907899999999999</v>
      </c>
      <c r="Q4800">
        <v>6.854326E-3</v>
      </c>
      <c r="R4800">
        <v>-0.92937259999999999</v>
      </c>
      <c r="S4800">
        <v>0.149231</v>
      </c>
      <c r="T4800">
        <v>1.7016529999999998E-2</v>
      </c>
      <c r="U4800">
        <v>-3.3022769999999899</v>
      </c>
      <c r="V4800">
        <v>-0.17104369999999999</v>
      </c>
      <c r="W4800">
        <v>1.762186E-2</v>
      </c>
      <c r="X4800">
        <v>0.98510589999999998</v>
      </c>
      <c r="Y4800">
        <v>-0.56005249999999995</v>
      </c>
      <c r="Z4800">
        <v>-3.5672329999999999E-3</v>
      </c>
      <c r="AA4800">
        <v>0.8284494</v>
      </c>
      <c r="AB4800">
        <v>31</v>
      </c>
      <c r="AC4800">
        <v>5.8972000000000504</v>
      </c>
      <c r="AD4800">
        <v>0.65576599999999896</v>
      </c>
      <c r="AE4800">
        <v>-127.0049837</v>
      </c>
      <c r="AF4800">
        <v>-71.334873786137507</v>
      </c>
      <c r="AG4800">
        <v>0.65576599999999896</v>
      </c>
      <c r="AH4800">
        <v>105.240289863805</v>
      </c>
      <c r="AI4800">
        <v>89.704477331369304</v>
      </c>
      <c r="AJ4800">
        <v>124.13054062242099</v>
      </c>
      <c r="AK4800">
        <v>127.140130791771</v>
      </c>
    </row>
    <row r="4801" spans="1:37" x14ac:dyDescent="0.2">
      <c r="A4801" t="str">
        <f>"20200111155650128"</f>
        <v>20200111155650128</v>
      </c>
      <c r="B4801" t="str">
        <f>"1578729410117994"</f>
        <v>1578729410117994</v>
      </c>
      <c r="C4801" t="s">
        <v>37</v>
      </c>
      <c r="D4801">
        <v>4.4448819999999998</v>
      </c>
      <c r="E4801">
        <v>0.339472099999999</v>
      </c>
      <c r="F4801" t="s">
        <v>78</v>
      </c>
      <c r="G4801">
        <v>-412.8451</v>
      </c>
      <c r="H4801">
        <v>3.6655989999999998</v>
      </c>
      <c r="I4801">
        <v>1.847189</v>
      </c>
      <c r="J4801">
        <v>-416.35969999999998</v>
      </c>
      <c r="K4801">
        <v>1.117197</v>
      </c>
      <c r="L4801">
        <v>127.3065</v>
      </c>
      <c r="M4801">
        <v>-0.50869750000000002</v>
      </c>
      <c r="N4801">
        <v>0</v>
      </c>
      <c r="O4801">
        <v>-0.860792</v>
      </c>
      <c r="P4801">
        <v>-0.35642800000000002</v>
      </c>
      <c r="Q4801">
        <v>7.5998869999999996E-3</v>
      </c>
      <c r="R4801">
        <v>-0.93429180000000001</v>
      </c>
      <c r="S4801">
        <v>8.7280269999999993E-2</v>
      </c>
      <c r="T4801">
        <v>6.6118120000000002E-2</v>
      </c>
      <c r="U4801">
        <v>-3.2621310000000001</v>
      </c>
      <c r="V4801">
        <v>-0.16912959999999999</v>
      </c>
      <c r="W4801">
        <v>1.8431400000000001E-2</v>
      </c>
      <c r="X4801">
        <v>0.98542149999999995</v>
      </c>
      <c r="Y4801">
        <v>-0.53159669999999903</v>
      </c>
      <c r="Z4801">
        <v>-1.4473349999999999E-2</v>
      </c>
      <c r="AA4801">
        <v>0.84687400000000002</v>
      </c>
      <c r="AB4801">
        <v>31</v>
      </c>
      <c r="AC4801">
        <v>3.51459999999997</v>
      </c>
      <c r="AD4801">
        <v>2.5484019999999998</v>
      </c>
      <c r="AE4801">
        <v>-125.459311</v>
      </c>
      <c r="AF4801">
        <v>-66.827450964290193</v>
      </c>
      <c r="AG4801">
        <v>2.5484019999999998</v>
      </c>
      <c r="AH4801">
        <v>106.176750043838</v>
      </c>
      <c r="AI4801">
        <v>88.836311835322704</v>
      </c>
      <c r="AJ4801">
        <v>122.186235668438</v>
      </c>
      <c r="AK4801">
        <v>125.482687272029</v>
      </c>
    </row>
    <row r="4802" spans="1:37" x14ac:dyDescent="0.2">
      <c r="A4802" t="str">
        <f>"20200111155650150"</f>
        <v>20200111155650150</v>
      </c>
      <c r="B4802" t="str">
        <f>"1578729410148250"</f>
        <v>1578729410148250</v>
      </c>
      <c r="C4802" t="s">
        <v>37</v>
      </c>
      <c r="D4802">
        <v>4.399597</v>
      </c>
      <c r="E4802">
        <v>0.339970099999999</v>
      </c>
      <c r="F4802" t="s">
        <v>78</v>
      </c>
      <c r="G4802">
        <v>-411.46550000000002</v>
      </c>
      <c r="H4802">
        <v>4.1793959999999997</v>
      </c>
      <c r="I4802">
        <v>0.56419750000000002</v>
      </c>
      <c r="J4802">
        <v>-416.49880000000002</v>
      </c>
      <c r="K4802">
        <v>1.1172409999999999</v>
      </c>
      <c r="L4802">
        <v>127.0437</v>
      </c>
      <c r="M4802">
        <v>-0.49584919999999999</v>
      </c>
      <c r="N4802">
        <v>0</v>
      </c>
      <c r="O4802">
        <v>-0.86825640000000004</v>
      </c>
      <c r="P4802">
        <v>-0.34604959999999901</v>
      </c>
      <c r="Q4802">
        <v>8.7732769999999995E-3</v>
      </c>
      <c r="R4802">
        <v>-0.938175599999999</v>
      </c>
      <c r="S4802">
        <v>0.12582399999999999</v>
      </c>
      <c r="T4802">
        <v>7.872403E-2</v>
      </c>
      <c r="U4802">
        <v>-3.258362</v>
      </c>
      <c r="V4802">
        <v>-0.16544129999999899</v>
      </c>
      <c r="W4802">
        <v>1.972863E-2</v>
      </c>
      <c r="X4802">
        <v>0.98602230000000002</v>
      </c>
      <c r="Y4802">
        <v>-0.52903489999999997</v>
      </c>
      <c r="Z4802">
        <v>-1.7533690000000001E-2</v>
      </c>
      <c r="AA4802">
        <v>0.84841900000000003</v>
      </c>
      <c r="AB4802">
        <v>31</v>
      </c>
      <c r="AC4802">
        <v>5.0332999999999899</v>
      </c>
      <c r="AD4802">
        <v>3.06215499999999</v>
      </c>
      <c r="AE4802">
        <v>-126.4795025</v>
      </c>
      <c r="AF4802">
        <v>-67.054582908053206</v>
      </c>
      <c r="AG4802">
        <v>3.06215499999999</v>
      </c>
      <c r="AH4802">
        <v>107.272291091364</v>
      </c>
      <c r="AI4802">
        <v>88.613386815856401</v>
      </c>
      <c r="AJ4802">
        <v>122.008993820566</v>
      </c>
      <c r="AK4802">
        <v>126.54263438939201</v>
      </c>
    </row>
    <row r="4803" spans="1:37" x14ac:dyDescent="0.2">
      <c r="A4803" t="str">
        <f>"20200111155650172"</f>
        <v>20200111155650172</v>
      </c>
      <c r="B4803" t="str">
        <f>"1578729410167769"</f>
        <v>1578729410167769</v>
      </c>
      <c r="C4803" t="s">
        <v>37</v>
      </c>
      <c r="D4803">
        <v>4.3685359999999998</v>
      </c>
      <c r="E4803">
        <v>0.3410977</v>
      </c>
      <c r="F4803" t="s">
        <v>78</v>
      </c>
      <c r="G4803">
        <v>-410.34679999999997</v>
      </c>
      <c r="H4803">
        <v>4.3353760000000001</v>
      </c>
      <c r="I4803">
        <v>0.575573</v>
      </c>
      <c r="J4803">
        <v>-416.63760000000002</v>
      </c>
      <c r="K4803">
        <v>1.1172799999999901</v>
      </c>
      <c r="L4803">
        <v>126.7713</v>
      </c>
      <c r="M4803">
        <v>-0.48244389999999998</v>
      </c>
      <c r="N4803">
        <v>0</v>
      </c>
      <c r="O4803">
        <v>-0.87577579999999999</v>
      </c>
      <c r="P4803">
        <v>-0.33486459999999901</v>
      </c>
      <c r="Q4803">
        <v>9.4159580000000003E-3</v>
      </c>
      <c r="R4803">
        <v>-0.94221939999999904</v>
      </c>
      <c r="S4803">
        <v>0.15835569999999999</v>
      </c>
      <c r="T4803">
        <v>8.283567E-2</v>
      </c>
      <c r="U4803">
        <v>-3.2553559999999999</v>
      </c>
      <c r="V4803">
        <v>-0.16203290000000001</v>
      </c>
      <c r="W4803">
        <v>2.0486649999999999E-2</v>
      </c>
      <c r="X4803">
        <v>0.98657269999999897</v>
      </c>
      <c r="Y4803">
        <v>-0.52447310000000003</v>
      </c>
      <c r="Z4803">
        <v>-1.878198E-2</v>
      </c>
      <c r="AA4803">
        <v>0.85121990000000003</v>
      </c>
      <c r="AB4803">
        <v>31</v>
      </c>
      <c r="AC4803">
        <v>6.2908000000000399</v>
      </c>
      <c r="AD4803">
        <v>3.2180960000000001</v>
      </c>
      <c r="AE4803">
        <v>-126.19572700000001</v>
      </c>
      <c r="AF4803">
        <v>-66.357430740586494</v>
      </c>
      <c r="AG4803">
        <v>3.2180960000000001</v>
      </c>
      <c r="AH4803">
        <v>107.428743432753</v>
      </c>
      <c r="AI4803">
        <v>88.540091400167</v>
      </c>
      <c r="AJ4803">
        <v>121.70312186653</v>
      </c>
      <c r="AK4803">
        <v>126.311518365892</v>
      </c>
    </row>
    <row r="4804" spans="1:37" x14ac:dyDescent="0.2">
      <c r="A4804" t="str">
        <f>"20200111155650195"</f>
        <v>20200111155650195</v>
      </c>
      <c r="B4804" t="str">
        <f>"1578729410188265"</f>
        <v>1578729410188265</v>
      </c>
      <c r="C4804" t="s">
        <v>37</v>
      </c>
      <c r="D4804">
        <v>4.3213759999999999</v>
      </c>
      <c r="E4804">
        <v>0.34225990000000001</v>
      </c>
      <c r="F4804" t="s">
        <v>78</v>
      </c>
      <c r="G4804">
        <v>-409.32580000000002</v>
      </c>
      <c r="H4804">
        <v>4.4362510000000004</v>
      </c>
      <c r="I4804">
        <v>0.58596040000000005</v>
      </c>
      <c r="J4804">
        <v>-416.7697</v>
      </c>
      <c r="K4804">
        <v>1.117305</v>
      </c>
      <c r="L4804">
        <v>126.5021</v>
      </c>
      <c r="M4804">
        <v>-0.4691149</v>
      </c>
      <c r="N4804">
        <v>0</v>
      </c>
      <c r="O4804">
        <v>-0.88298690000000002</v>
      </c>
      <c r="P4804">
        <v>-0.32410040000000001</v>
      </c>
      <c r="Q4804">
        <v>9.1262349999999999E-3</v>
      </c>
      <c r="R4804">
        <v>-0.94597880000000001</v>
      </c>
      <c r="S4804">
        <v>0.18832399999999999</v>
      </c>
      <c r="T4804">
        <v>8.5483550000000005E-2</v>
      </c>
      <c r="U4804">
        <v>-3.2500610000000001</v>
      </c>
      <c r="V4804">
        <v>-0.1583215</v>
      </c>
      <c r="W4804">
        <v>2.0325039999999999E-2</v>
      </c>
      <c r="X4804">
        <v>0.98717840000000001</v>
      </c>
      <c r="Y4804">
        <v>-0.51945200000000002</v>
      </c>
      <c r="Z4804">
        <v>-1.9731479999999999E-2</v>
      </c>
      <c r="AA4804">
        <v>0.85427180000000003</v>
      </c>
      <c r="AB4804">
        <v>31</v>
      </c>
      <c r="AC4804">
        <v>7.4438999999999798</v>
      </c>
      <c r="AD4804">
        <v>3.318946</v>
      </c>
      <c r="AE4804">
        <v>-125.91613959999999</v>
      </c>
      <c r="AF4804">
        <v>-65.605292566342499</v>
      </c>
      <c r="AG4804">
        <v>3.318946</v>
      </c>
      <c r="AH4804">
        <v>107.63003065792</v>
      </c>
      <c r="AI4804">
        <v>88.491712717925793</v>
      </c>
      <c r="AJ4804">
        <v>121.364166304496</v>
      </c>
      <c r="AK4804">
        <v>126.092399908524</v>
      </c>
    </row>
    <row r="4805" spans="1:37" x14ac:dyDescent="0.2">
      <c r="A4805" t="str">
        <f>"20200111155650217"</f>
        <v>20200111155650217</v>
      </c>
      <c r="B4805" t="str">
        <f>"1578729410207786"</f>
        <v>1578729410207786</v>
      </c>
      <c r="C4805" t="s">
        <v>37</v>
      </c>
      <c r="D4805">
        <v>4.3362230000000004</v>
      </c>
      <c r="E4805">
        <v>0.3429487</v>
      </c>
      <c r="F4805" t="s">
        <v>78</v>
      </c>
      <c r="G4805">
        <v>-408.34589999999997</v>
      </c>
      <c r="H4805">
        <v>4.3688589999999996</v>
      </c>
      <c r="I4805">
        <v>0.59592250000000002</v>
      </c>
      <c r="J4805">
        <v>-416.89839999999998</v>
      </c>
      <c r="K4805">
        <v>1.117321</v>
      </c>
      <c r="L4805">
        <v>126.2291</v>
      </c>
      <c r="M4805">
        <v>-0.45553320000000003</v>
      </c>
      <c r="N4805">
        <v>0</v>
      </c>
      <c r="O4805">
        <v>-0.89006949999999996</v>
      </c>
      <c r="P4805">
        <v>-0.31213669999999999</v>
      </c>
      <c r="Q4805">
        <v>9.0712120000000004E-3</v>
      </c>
      <c r="R4805">
        <v>-0.94999400000000001</v>
      </c>
      <c r="S4805">
        <v>0.21710209999999999</v>
      </c>
      <c r="T4805">
        <v>8.3800079999999999E-2</v>
      </c>
      <c r="U4805">
        <v>-3.2449189999999999</v>
      </c>
      <c r="V4805">
        <v>-0.15565599999999999</v>
      </c>
      <c r="W4805">
        <v>2.0364130000000001E-2</v>
      </c>
      <c r="X4805">
        <v>0.98760139999999996</v>
      </c>
      <c r="Y4805">
        <v>-0.51397720000000002</v>
      </c>
      <c r="Z4805">
        <v>-1.9683869999999999E-2</v>
      </c>
      <c r="AA4805">
        <v>0.85757799999999995</v>
      </c>
      <c r="AB4805">
        <v>31</v>
      </c>
      <c r="AC4805">
        <v>8.5525000000000002</v>
      </c>
      <c r="AD4805">
        <v>3.251538</v>
      </c>
      <c r="AE4805">
        <v>-125.6331775</v>
      </c>
      <c r="AF4805">
        <v>-64.807811276413801</v>
      </c>
      <c r="AG4805">
        <v>3.251538</v>
      </c>
      <c r="AH4805">
        <v>107.86873630754</v>
      </c>
      <c r="AI4805">
        <v>88.519883219063402</v>
      </c>
      <c r="AJ4805">
        <v>120.99755517091</v>
      </c>
      <c r="AK4805">
        <v>125.882044686247</v>
      </c>
    </row>
    <row r="4806" spans="1:37" x14ac:dyDescent="0.2">
      <c r="A4806" t="str">
        <f>"20200111155650241"</f>
        <v>20200111155650241</v>
      </c>
      <c r="B4806" t="str">
        <f>"1578729410238042"</f>
        <v>1578729410238042</v>
      </c>
      <c r="C4806" t="s">
        <v>37</v>
      </c>
      <c r="D4806">
        <v>4.2101949999999997</v>
      </c>
      <c r="E4806">
        <v>0.35246329999999998</v>
      </c>
      <c r="F4806" t="s">
        <v>78</v>
      </c>
      <c r="G4806">
        <v>-407.1155</v>
      </c>
      <c r="H4806">
        <v>4.4559189999999997</v>
      </c>
      <c r="I4806">
        <v>0.60843659999999999</v>
      </c>
      <c r="J4806">
        <v>-417.0274</v>
      </c>
      <c r="K4806">
        <v>1.1173280000000001</v>
      </c>
      <c r="L4806">
        <v>125.9434</v>
      </c>
      <c r="M4806">
        <v>-0.44125559999999903</v>
      </c>
      <c r="N4806">
        <v>0</v>
      </c>
      <c r="O4806">
        <v>-0.89723330000000001</v>
      </c>
      <c r="P4806">
        <v>-0.3005295</v>
      </c>
      <c r="Q4806">
        <v>8.5331590000000002E-3</v>
      </c>
      <c r="R4806">
        <v>-0.95373449999999904</v>
      </c>
      <c r="S4806">
        <v>0.25231929999999902</v>
      </c>
      <c r="T4806">
        <v>8.6108450000000003E-2</v>
      </c>
      <c r="U4806">
        <v>-3.240005</v>
      </c>
      <c r="V4806">
        <v>-0.1519066</v>
      </c>
      <c r="W4806">
        <v>1.9957949999999999E-2</v>
      </c>
      <c r="X4806">
        <v>0.98819330000000005</v>
      </c>
      <c r="Y4806">
        <v>-0.50962410000000002</v>
      </c>
      <c r="Z4806">
        <v>-2.0566629999999999E-2</v>
      </c>
      <c r="AA4806">
        <v>0.86015140000000001</v>
      </c>
      <c r="AB4806">
        <v>31</v>
      </c>
      <c r="AC4806">
        <v>9.9118999999999993</v>
      </c>
      <c r="AD4806">
        <v>3.3385910000000001</v>
      </c>
      <c r="AE4806">
        <v>-125.33496340000001</v>
      </c>
      <c r="AF4806">
        <v>-64.161335470068096</v>
      </c>
      <c r="AG4806">
        <v>3.3385910000000001</v>
      </c>
      <c r="AH4806">
        <v>108.019225231999</v>
      </c>
      <c r="AI4806">
        <v>88.477828085946001</v>
      </c>
      <c r="AJ4806">
        <v>120.709494570299</v>
      </c>
      <c r="AK4806">
        <v>125.682043979596</v>
      </c>
    </row>
    <row r="4807" spans="1:37" x14ac:dyDescent="0.2">
      <c r="A4807" t="str">
        <f>"20200111155650262"</f>
        <v>20200111155650262</v>
      </c>
      <c r="B4807" t="str">
        <f>"1578729410257561"</f>
        <v>1578729410257561</v>
      </c>
      <c r="C4807" t="s">
        <v>37</v>
      </c>
      <c r="D4807">
        <v>4.2203349999999897</v>
      </c>
      <c r="E4807">
        <v>0.3534022</v>
      </c>
      <c r="F4807" t="s">
        <v>78</v>
      </c>
      <c r="G4807">
        <v>-408.49619999999999</v>
      </c>
      <c r="H4807">
        <v>4.6711</v>
      </c>
      <c r="I4807">
        <v>0.59439469999999905</v>
      </c>
      <c r="J4807">
        <v>-417.14389999999997</v>
      </c>
      <c r="K4807">
        <v>1.117327</v>
      </c>
      <c r="L4807">
        <v>125.6739</v>
      </c>
      <c r="M4807">
        <v>-0.42773709999999998</v>
      </c>
      <c r="N4807">
        <v>0</v>
      </c>
      <c r="O4807">
        <v>-0.90375620000000001</v>
      </c>
      <c r="P4807">
        <v>-0.290045099999999</v>
      </c>
      <c r="Q4807">
        <v>8.5218969999999901E-3</v>
      </c>
      <c r="R4807">
        <v>-0.95697549999999898</v>
      </c>
      <c r="S4807">
        <v>0.21871950000000001</v>
      </c>
      <c r="T4807">
        <v>9.1109159999999995E-2</v>
      </c>
      <c r="U4807">
        <v>-3.213638</v>
      </c>
      <c r="V4807">
        <v>-0.14791670000000001</v>
      </c>
      <c r="W4807">
        <v>2.0087629999999999E-2</v>
      </c>
      <c r="X4807">
        <v>0.9887958</v>
      </c>
      <c r="Y4807">
        <v>-0.48815209999999998</v>
      </c>
      <c r="Z4807">
        <v>-2.2403889999999999E-2</v>
      </c>
      <c r="AA4807">
        <v>0.872470999999999</v>
      </c>
      <c r="AB4807">
        <v>31</v>
      </c>
      <c r="AC4807">
        <v>8.6476999999999808</v>
      </c>
      <c r="AD4807">
        <v>3.5537730000000001</v>
      </c>
      <c r="AE4807">
        <v>-125.07950529999999</v>
      </c>
      <c r="AF4807">
        <v>-61.275475817451998</v>
      </c>
      <c r="AG4807">
        <v>3.5537730000000001</v>
      </c>
      <c r="AH4807">
        <v>109.26917784318</v>
      </c>
      <c r="AI4807">
        <v>88.375113645633206</v>
      </c>
      <c r="AJ4807">
        <v>119.282639618711</v>
      </c>
      <c r="AK4807">
        <v>125.327835957201</v>
      </c>
    </row>
    <row r="4808" spans="1:37" x14ac:dyDescent="0.2">
      <c r="A4808" t="str">
        <f>"20200111155650284"</f>
        <v>20200111155650284</v>
      </c>
      <c r="B4808" t="str">
        <f>"1578729410278057"</f>
        <v>1578729410278057</v>
      </c>
      <c r="C4808" t="s">
        <v>37</v>
      </c>
      <c r="D4808">
        <v>4.2397720000000003</v>
      </c>
      <c r="E4808">
        <v>0.35450039999999999</v>
      </c>
      <c r="F4808" t="s">
        <v>78</v>
      </c>
      <c r="G4808">
        <v>-407.52120000000002</v>
      </c>
      <c r="H4808">
        <v>4.7470210000000002</v>
      </c>
      <c r="I4808">
        <v>0.60431099999999904</v>
      </c>
      <c r="J4808">
        <v>-417.25749999999999</v>
      </c>
      <c r="K4808">
        <v>1.1173200000000001</v>
      </c>
      <c r="L4808">
        <v>125.3999</v>
      </c>
      <c r="M4808">
        <v>-0.41395320000000002</v>
      </c>
      <c r="N4808">
        <v>0</v>
      </c>
      <c r="O4808">
        <v>-0.91015170000000001</v>
      </c>
      <c r="P4808">
        <v>-0.27897319999999998</v>
      </c>
      <c r="Q4808">
        <v>1.006725E-2</v>
      </c>
      <c r="R4808">
        <v>-0.96024599999999904</v>
      </c>
      <c r="S4808">
        <v>0.2468872</v>
      </c>
      <c r="T4808">
        <v>9.3125459999999993E-2</v>
      </c>
      <c r="U4808">
        <v>-3.2088779999999999</v>
      </c>
      <c r="V4808">
        <v>-0.14435139999999999</v>
      </c>
      <c r="W4808">
        <v>2.1759529999999999E-2</v>
      </c>
      <c r="X4808">
        <v>0.98928719999999903</v>
      </c>
      <c r="Y4808">
        <v>-0.482583599999999</v>
      </c>
      <c r="Z4808">
        <v>-2.3248189999999998E-2</v>
      </c>
      <c r="AA4808">
        <v>0.87554129999999997</v>
      </c>
      <c r="AB4808">
        <v>31</v>
      </c>
      <c r="AC4808">
        <v>9.7362999999999698</v>
      </c>
      <c r="AD4808">
        <v>3.6297009999999998</v>
      </c>
      <c r="AE4808">
        <v>-124.79558900000001</v>
      </c>
      <c r="AF4808">
        <v>-60.478261534617801</v>
      </c>
      <c r="AG4808">
        <v>3.6297009999999998</v>
      </c>
      <c r="AH4808">
        <v>109.47510306216</v>
      </c>
      <c r="AI4808">
        <v>88.337660774283705</v>
      </c>
      <c r="AJ4808">
        <v>118.917950580498</v>
      </c>
      <c r="AK4808">
        <v>125.122312311073</v>
      </c>
    </row>
    <row r="4809" spans="1:37" x14ac:dyDescent="0.2">
      <c r="A4809" t="str">
        <f>"20200111155650306"</f>
        <v>20200111155650306</v>
      </c>
      <c r="B4809" t="str">
        <f>"1578729410297577"</f>
        <v>1578729410297577</v>
      </c>
      <c r="C4809" t="s">
        <v>37</v>
      </c>
      <c r="D4809">
        <v>4.2093309999999997</v>
      </c>
      <c r="E4809">
        <v>0.3548692</v>
      </c>
      <c r="F4809" t="s">
        <v>78</v>
      </c>
      <c r="G4809">
        <v>-406.5163</v>
      </c>
      <c r="H4809">
        <v>4.9989189999999999</v>
      </c>
      <c r="I4809">
        <v>0.61453250000000004</v>
      </c>
      <c r="J4809">
        <v>-417.36509999999998</v>
      </c>
      <c r="K4809">
        <v>1.1173169999999999</v>
      </c>
      <c r="L4809">
        <v>125.1289</v>
      </c>
      <c r="M4809">
        <v>-0.4002889</v>
      </c>
      <c r="N4809">
        <v>0</v>
      </c>
      <c r="O4809">
        <v>-0.91624359999999905</v>
      </c>
      <c r="P4809">
        <v>-0.26676369999999999</v>
      </c>
      <c r="Q4809">
        <v>1.2831260000000001E-2</v>
      </c>
      <c r="R4809">
        <v>-0.96367649999999905</v>
      </c>
      <c r="S4809">
        <v>0.27572629999999998</v>
      </c>
      <c r="T4809">
        <v>9.9640129999999993E-2</v>
      </c>
      <c r="U4809">
        <v>-3.2032470000000002</v>
      </c>
      <c r="V4809">
        <v>-0.14217650000000001</v>
      </c>
      <c r="W4809">
        <v>2.4604049999999999E-2</v>
      </c>
      <c r="X4809">
        <v>0.98953549999999901</v>
      </c>
      <c r="Y4809">
        <v>-0.47741319999999998</v>
      </c>
      <c r="Z4809">
        <v>-2.5234889999999999E-2</v>
      </c>
      <c r="AA4809">
        <v>0.87831649999999994</v>
      </c>
      <c r="AB4809">
        <v>31</v>
      </c>
      <c r="AC4809">
        <v>10.848799999999899</v>
      </c>
      <c r="AD4809">
        <v>3.881602</v>
      </c>
      <c r="AE4809">
        <v>-124.51436750000001</v>
      </c>
      <c r="AF4809">
        <v>-59.732217915309697</v>
      </c>
      <c r="AG4809">
        <v>3.881602</v>
      </c>
      <c r="AH4809">
        <v>109.651703997859</v>
      </c>
      <c r="AI4809">
        <v>88.219463958880496</v>
      </c>
      <c r="AJ4809">
        <v>118.579118457413</v>
      </c>
      <c r="AK4809">
        <v>124.925981608321</v>
      </c>
    </row>
    <row r="4810" spans="1:37" x14ac:dyDescent="0.2">
      <c r="A4810" t="str">
        <f>"20200111155650328"</f>
        <v>20200111155650328</v>
      </c>
      <c r="B4810" t="str">
        <f>"1578729410318073"</f>
        <v>1578729410318073</v>
      </c>
      <c r="C4810" t="s">
        <v>37</v>
      </c>
      <c r="D4810">
        <v>4.0911269999999904</v>
      </c>
      <c r="E4810">
        <v>0.36338959999999998</v>
      </c>
      <c r="F4810" t="s">
        <v>78</v>
      </c>
      <c r="G4810">
        <v>-405.15120000000002</v>
      </c>
      <c r="H4810">
        <v>5.2952769999999996</v>
      </c>
      <c r="I4810">
        <v>0.62841420000000003</v>
      </c>
      <c r="J4810">
        <v>-417.47190000000001</v>
      </c>
      <c r="K4810">
        <v>1.1173029999999999</v>
      </c>
      <c r="L4810">
        <v>124.8473</v>
      </c>
      <c r="M4810">
        <v>-0.38606790000000002</v>
      </c>
      <c r="N4810">
        <v>0</v>
      </c>
      <c r="O4810">
        <v>-0.92232599999999998</v>
      </c>
      <c r="P4810">
        <v>-0.2534305</v>
      </c>
      <c r="Q4810">
        <v>1.5167659999999999E-2</v>
      </c>
      <c r="R4810">
        <v>-0.9672347</v>
      </c>
      <c r="S4810">
        <v>0.3137817</v>
      </c>
      <c r="T4810">
        <v>0.1073339</v>
      </c>
      <c r="U4810">
        <v>-3.198502</v>
      </c>
      <c r="V4810">
        <v>-0.1405921</v>
      </c>
      <c r="W4810">
        <v>2.7001259999999999E-2</v>
      </c>
      <c r="X4810">
        <v>0.98969940000000001</v>
      </c>
      <c r="Y4810">
        <v>-0.47428369999999997</v>
      </c>
      <c r="Z4810">
        <v>-2.7539870000000001E-2</v>
      </c>
      <c r="AA4810">
        <v>0.87994119999999998</v>
      </c>
      <c r="AB4810">
        <v>31</v>
      </c>
      <c r="AC4810">
        <v>12.320699999999899</v>
      </c>
      <c r="AD4810">
        <v>4.1779739999999901</v>
      </c>
      <c r="AE4810">
        <v>-124.2188858</v>
      </c>
      <c r="AF4810">
        <v>-59.262140397906897</v>
      </c>
      <c r="AG4810">
        <v>4.1779739999999901</v>
      </c>
      <c r="AH4810">
        <v>109.70541278541501</v>
      </c>
      <c r="AI4810">
        <v>88.080895085644499</v>
      </c>
      <c r="AJ4810">
        <v>118.377625072773</v>
      </c>
      <c r="AK4810">
        <v>124.758704488722</v>
      </c>
    </row>
    <row r="4811" spans="1:37" x14ac:dyDescent="0.2">
      <c r="A4811" t="str">
        <f>"20200111155650352"</f>
        <v>20200111155650352</v>
      </c>
      <c r="B4811" t="str">
        <f>"1578729410348329"</f>
        <v>1578729410348329</v>
      </c>
      <c r="C4811" t="s">
        <v>37</v>
      </c>
      <c r="D4811">
        <v>4.0920180000000004</v>
      </c>
      <c r="E4811">
        <v>0.36384460000000002</v>
      </c>
      <c r="F4811" t="s">
        <v>78</v>
      </c>
      <c r="G4811">
        <v>-406.01819999999998</v>
      </c>
      <c r="H4811">
        <v>4.7826309999999896</v>
      </c>
      <c r="I4811">
        <v>0.6195946</v>
      </c>
      <c r="J4811">
        <v>-417.57709999999997</v>
      </c>
      <c r="K4811">
        <v>1.1172759999999999</v>
      </c>
      <c r="L4811">
        <v>124.5562</v>
      </c>
      <c r="M4811">
        <v>-0.37136219999999998</v>
      </c>
      <c r="N4811">
        <v>0</v>
      </c>
      <c r="O4811">
        <v>-0.92834450000000002</v>
      </c>
      <c r="P4811">
        <v>-0.23925729999999901</v>
      </c>
      <c r="Q4811">
        <v>1.537154E-2</v>
      </c>
      <c r="R4811">
        <v>-0.97083439999999999</v>
      </c>
      <c r="S4811">
        <v>0.29290769999999999</v>
      </c>
      <c r="T4811">
        <v>9.3733789999999997E-2</v>
      </c>
      <c r="U4811">
        <v>-3.1769099999999999</v>
      </c>
      <c r="V4811">
        <v>-0.139342299999999</v>
      </c>
      <c r="W4811">
        <v>2.725532E-2</v>
      </c>
      <c r="X4811">
        <v>0.98986909999999895</v>
      </c>
      <c r="Y4811">
        <v>-0.45504640000000002</v>
      </c>
      <c r="Z4811">
        <v>-2.464158E-2</v>
      </c>
      <c r="AA4811">
        <v>0.89012669999999905</v>
      </c>
      <c r="AB4811">
        <v>31</v>
      </c>
      <c r="AC4811">
        <v>11.5588999999999</v>
      </c>
      <c r="AD4811">
        <v>3.6653549999999999</v>
      </c>
      <c r="AE4811">
        <v>-123.9366054</v>
      </c>
      <c r="AF4811">
        <v>-56.714401602988502</v>
      </c>
      <c r="AG4811">
        <v>3.6653549999999999</v>
      </c>
      <c r="AH4811">
        <v>110.682122456149</v>
      </c>
      <c r="AI4811">
        <v>88.311857295556706</v>
      </c>
      <c r="AJ4811">
        <v>117.130963371416</v>
      </c>
      <c r="AK4811">
        <v>124.42061890160799</v>
      </c>
    </row>
    <row r="4812" spans="1:37" x14ac:dyDescent="0.2">
      <c r="A4812" t="str">
        <f>"20200111155650374"</f>
        <v>20200111155650374</v>
      </c>
      <c r="B4812" t="str">
        <f>"1578729410367849"</f>
        <v>1578729410367849</v>
      </c>
      <c r="C4812" t="s">
        <v>37</v>
      </c>
      <c r="D4812">
        <v>4.2686500000000001</v>
      </c>
      <c r="E4812">
        <v>0.36676129999999901</v>
      </c>
      <c r="F4812" t="s">
        <v>78</v>
      </c>
      <c r="G4812">
        <v>-404.46879999999999</v>
      </c>
      <c r="H4812">
        <v>4.9764540000000004</v>
      </c>
      <c r="I4812">
        <v>0.6353531</v>
      </c>
      <c r="J4812">
        <v>-417.67259999999999</v>
      </c>
      <c r="K4812">
        <v>1.1172340000000001</v>
      </c>
      <c r="L4812">
        <v>124.27889999999999</v>
      </c>
      <c r="M4812">
        <v>-0.35736780000000001</v>
      </c>
      <c r="N4812">
        <v>0</v>
      </c>
      <c r="O4812">
        <v>-0.93382119999999902</v>
      </c>
      <c r="P4812">
        <v>-0.22610909999999901</v>
      </c>
      <c r="Q4812">
        <v>1.5103429999999999E-2</v>
      </c>
      <c r="R4812">
        <v>-0.97398499999999999</v>
      </c>
      <c r="S4812">
        <v>0.3354492</v>
      </c>
      <c r="T4812">
        <v>9.875834E-2</v>
      </c>
      <c r="U4812">
        <v>-3.1712189999999998</v>
      </c>
      <c r="V4812">
        <v>-0.13783909999999999</v>
      </c>
      <c r="W4812">
        <v>2.7046549999999999E-2</v>
      </c>
      <c r="X4812">
        <v>0.99008529999999995</v>
      </c>
      <c r="Y4812">
        <v>-0.45362819999999998</v>
      </c>
      <c r="Z4812">
        <v>-2.6256379999999999E-2</v>
      </c>
      <c r="AA4812">
        <v>0.89080419999999905</v>
      </c>
      <c r="AB4812">
        <v>30</v>
      </c>
      <c r="AC4812">
        <v>13.203799999999999</v>
      </c>
      <c r="AD4812">
        <v>3.8592200000000001</v>
      </c>
      <c r="AE4812">
        <v>-123.6435469</v>
      </c>
      <c r="AF4812">
        <v>-56.469341975964298</v>
      </c>
      <c r="AG4812">
        <v>3.8592200000000001</v>
      </c>
      <c r="AH4812">
        <v>110.65051407927</v>
      </c>
      <c r="AI4812">
        <v>88.220627532466906</v>
      </c>
      <c r="AJ4812">
        <v>117.03702200353401</v>
      </c>
      <c r="AK4812">
        <v>124.286831274329</v>
      </c>
    </row>
    <row r="4813" spans="1:37" x14ac:dyDescent="0.2">
      <c r="A4813" t="str">
        <f>"20200111155650396"</f>
        <v>20200111155650396</v>
      </c>
      <c r="B4813" t="str">
        <f>"1578729410387369"</f>
        <v>1578729410387369</v>
      </c>
      <c r="C4813" t="s">
        <v>37</v>
      </c>
      <c r="D4813">
        <v>4.0727529999999996</v>
      </c>
      <c r="E4813">
        <v>0.36757800000000002</v>
      </c>
      <c r="F4813" t="s">
        <v>78</v>
      </c>
      <c r="G4813">
        <v>-403.85070000000002</v>
      </c>
      <c r="H4813">
        <v>3.8015479999999999</v>
      </c>
      <c r="I4813">
        <v>1.9386669999999999</v>
      </c>
      <c r="J4813">
        <v>-417.76609999999999</v>
      </c>
      <c r="K4813">
        <v>1.117178</v>
      </c>
      <c r="L4813">
        <v>123.9937</v>
      </c>
      <c r="M4813">
        <v>-0.34300839999999999</v>
      </c>
      <c r="N4813">
        <v>0</v>
      </c>
      <c r="O4813">
        <v>-0.93919069999999905</v>
      </c>
      <c r="P4813">
        <v>-0.21273699999999901</v>
      </c>
      <c r="Q4813">
        <v>1.528128E-2</v>
      </c>
      <c r="R4813">
        <v>-0.97698989999999997</v>
      </c>
      <c r="S4813">
        <v>0.35723879999999902</v>
      </c>
      <c r="T4813">
        <v>6.9377659999999994E-2</v>
      </c>
      <c r="U4813">
        <v>-3.1619869999999999</v>
      </c>
      <c r="V4813">
        <v>-0.13623099999999999</v>
      </c>
      <c r="W4813">
        <v>2.728821E-2</v>
      </c>
      <c r="X4813">
        <v>0.99030119999999899</v>
      </c>
      <c r="Y4813">
        <v>-0.4463124</v>
      </c>
      <c r="Z4813">
        <v>-1.8713380000000002E-2</v>
      </c>
      <c r="AA4813">
        <v>0.89468150000000002</v>
      </c>
      <c r="AB4813">
        <v>30</v>
      </c>
      <c r="AC4813">
        <v>13.915399999999901</v>
      </c>
      <c r="AD4813">
        <v>2.6843699999999999</v>
      </c>
      <c r="AE4813">
        <v>-122.05503299999999</v>
      </c>
      <c r="AF4813">
        <v>-54.916203539954097</v>
      </c>
      <c r="AG4813">
        <v>2.6843699999999999</v>
      </c>
      <c r="AH4813">
        <v>109.82203174933299</v>
      </c>
      <c r="AI4813">
        <v>88.747599746791707</v>
      </c>
      <c r="AJ4813">
        <v>116.56721632158001</v>
      </c>
      <c r="AK4813">
        <v>122.816423621151</v>
      </c>
    </row>
    <row r="4814" spans="1:37" x14ac:dyDescent="0.2">
      <c r="A4814" t="str">
        <f>"20200111155650418"</f>
        <v>20200111155650418</v>
      </c>
      <c r="B4814" t="str">
        <f>"1578729410407865"</f>
        <v>1578729410407865</v>
      </c>
      <c r="C4814" t="s">
        <v>37</v>
      </c>
      <c r="D4814">
        <v>4.1567059999999998</v>
      </c>
      <c r="E4814">
        <v>0.36996780000000001</v>
      </c>
      <c r="F4814" t="s">
        <v>78</v>
      </c>
      <c r="G4814">
        <v>-402.37630000000001</v>
      </c>
      <c r="H4814">
        <v>4.5133619999999999</v>
      </c>
      <c r="I4814">
        <v>0.65663530000000003</v>
      </c>
      <c r="J4814">
        <v>-417.85160000000002</v>
      </c>
      <c r="K4814">
        <v>1.1171120000000001</v>
      </c>
      <c r="L4814">
        <v>123.7191</v>
      </c>
      <c r="M4814">
        <v>-0.3292525</v>
      </c>
      <c r="N4814">
        <v>0</v>
      </c>
      <c r="O4814">
        <v>-0.94410130000000003</v>
      </c>
      <c r="P4814">
        <v>-0.1999513</v>
      </c>
      <c r="Q4814">
        <v>1.8115920000000001E-2</v>
      </c>
      <c r="R4814">
        <v>-0.97963860000000003</v>
      </c>
      <c r="S4814">
        <v>0.39367679999999999</v>
      </c>
      <c r="T4814">
        <v>8.6874720000000002E-2</v>
      </c>
      <c r="U4814">
        <v>-3.1549990000000001</v>
      </c>
      <c r="V4814">
        <v>-0.13477039999999901</v>
      </c>
      <c r="W4814">
        <v>3.0182850000000001E-2</v>
      </c>
      <c r="X4814">
        <v>0.99041710000000005</v>
      </c>
      <c r="Y4814">
        <v>-0.44363180000000002</v>
      </c>
      <c r="Z4814">
        <v>-2.368605E-2</v>
      </c>
      <c r="AA4814">
        <v>0.89589609999999997</v>
      </c>
      <c r="AB4814">
        <v>30</v>
      </c>
      <c r="AC4814">
        <v>15.475300000000001</v>
      </c>
      <c r="AD4814">
        <v>3.3962500000000002</v>
      </c>
      <c r="AE4814">
        <v>-123.06246470000001</v>
      </c>
      <c r="AF4814">
        <v>-55.094886485638</v>
      </c>
      <c r="AG4814">
        <v>3.3962500000000002</v>
      </c>
      <c r="AH4814">
        <v>111.01966268317101</v>
      </c>
      <c r="AI4814">
        <v>88.430336616594403</v>
      </c>
      <c r="AJ4814">
        <v>116.39347713897099</v>
      </c>
      <c r="AK4814">
        <v>123.985267403885</v>
      </c>
    </row>
    <row r="4815" spans="1:37" x14ac:dyDescent="0.2">
      <c r="A4815" t="str">
        <f>"20200111155650464"</f>
        <v>20200111155650464</v>
      </c>
      <c r="B4815" t="str">
        <f>"1578729410457641"</f>
        <v>1578729410457641</v>
      </c>
      <c r="C4815" t="s">
        <v>37</v>
      </c>
      <c r="D4815">
        <v>3.8193109999999999</v>
      </c>
      <c r="E4815">
        <v>0.37072579999999999</v>
      </c>
      <c r="F4815" t="s">
        <v>78</v>
      </c>
      <c r="G4815">
        <v>-401.5718</v>
      </c>
      <c r="H4815">
        <v>4.5012790000000003</v>
      </c>
      <c r="I4815">
        <v>0.66481590000000002</v>
      </c>
      <c r="J4815">
        <v>-418.01769999999999</v>
      </c>
      <c r="K4815">
        <v>1.1168830000000001</v>
      </c>
      <c r="L4815">
        <v>123.13849999999999</v>
      </c>
      <c r="M4815">
        <v>-0.30054520000000001</v>
      </c>
      <c r="N4815">
        <v>0</v>
      </c>
      <c r="O4815">
        <v>-0.95362930000000001</v>
      </c>
      <c r="P4815">
        <v>-0.17144989999999999</v>
      </c>
      <c r="Q4815">
        <v>2.2323429999999998E-2</v>
      </c>
      <c r="R4815">
        <v>-0.98494020000000004</v>
      </c>
      <c r="S4815">
        <v>0.41616819999999999</v>
      </c>
      <c r="T4815">
        <v>8.6510180000000006E-2</v>
      </c>
      <c r="U4815">
        <v>-3.1456909999999998</v>
      </c>
      <c r="V4815">
        <v>-0.13362170000000001</v>
      </c>
      <c r="W4815">
        <v>3.4459740000000003E-2</v>
      </c>
      <c r="X4815">
        <v>0.99043320000000001</v>
      </c>
      <c r="Y4815">
        <v>-0.42303279999999899</v>
      </c>
      <c r="Z4815">
        <v>-2.4175200000000001E-2</v>
      </c>
      <c r="AA4815">
        <v>0.90579179999999904</v>
      </c>
      <c r="AB4815">
        <v>30</v>
      </c>
      <c r="AC4815">
        <v>16.445899999999899</v>
      </c>
      <c r="AD4815">
        <v>3.3843960000000002</v>
      </c>
      <c r="AE4815">
        <v>-122.4736841</v>
      </c>
      <c r="AF4815">
        <v>-52.459743792961099</v>
      </c>
      <c r="AG4815">
        <v>3.3843960000000002</v>
      </c>
      <c r="AH4815">
        <v>111.78266270634801</v>
      </c>
      <c r="AI4815">
        <v>88.430008290612903</v>
      </c>
      <c r="AJ4815">
        <v>115.14072416451801</v>
      </c>
      <c r="AK4815">
        <v>123.526687549003</v>
      </c>
    </row>
    <row r="4816" spans="1:37" x14ac:dyDescent="0.2">
      <c r="A4816" t="str">
        <f>"20200111155650508"</f>
        <v>20200111155650508</v>
      </c>
      <c r="B4816" t="str">
        <f>"1578729410497658"</f>
        <v>1578729410497658</v>
      </c>
      <c r="C4816" t="s">
        <v>37</v>
      </c>
      <c r="D4816">
        <v>4.0406949999999897</v>
      </c>
      <c r="E4816">
        <v>0.3719478</v>
      </c>
      <c r="F4816" t="s">
        <v>78</v>
      </c>
      <c r="G4816">
        <v>-398.40249999999997</v>
      </c>
      <c r="H4816">
        <v>4.934088</v>
      </c>
      <c r="I4816">
        <v>0.69704820000000001</v>
      </c>
      <c r="J4816">
        <v>-418.1628</v>
      </c>
      <c r="K4816">
        <v>1.1165689999999999</v>
      </c>
      <c r="L4816">
        <v>122.57089999999999</v>
      </c>
      <c r="M4816">
        <v>-0.273097599999999</v>
      </c>
      <c r="N4816">
        <v>0</v>
      </c>
      <c r="O4816">
        <v>-0.96185030000000005</v>
      </c>
      <c r="P4816">
        <v>-0.14442070000000001</v>
      </c>
      <c r="Q4816">
        <v>2.1992589999999999E-2</v>
      </c>
      <c r="R4816">
        <v>-0.98927219999999905</v>
      </c>
      <c r="S4816">
        <v>0.50158689999999995</v>
      </c>
      <c r="T4816">
        <v>9.7610589999999997E-2</v>
      </c>
      <c r="U4816">
        <v>-3.1309969999999998</v>
      </c>
      <c r="V4816">
        <v>-0.1323211</v>
      </c>
      <c r="W4816">
        <v>3.4203829999999998E-2</v>
      </c>
      <c r="X4816">
        <v>0.99061659999999996</v>
      </c>
      <c r="Y4816">
        <v>-0.421793999999999</v>
      </c>
      <c r="Z4816">
        <v>-2.773958E-2</v>
      </c>
      <c r="AA4816">
        <v>0.9062673</v>
      </c>
      <c r="AB4816">
        <v>30</v>
      </c>
      <c r="AC4816">
        <v>19.760300000000001</v>
      </c>
      <c r="AD4816">
        <v>3.8175189999999999</v>
      </c>
      <c r="AE4816">
        <v>-121.8738518</v>
      </c>
      <c r="AF4816">
        <v>-52.246800873474598</v>
      </c>
      <c r="AG4816">
        <v>3.8175189999999999</v>
      </c>
      <c r="AH4816">
        <v>111.73572324598</v>
      </c>
      <c r="AI4816">
        <v>88.227301151645307</v>
      </c>
      <c r="AJ4816">
        <v>115.060444159482</v>
      </c>
      <c r="AK4816">
        <v>123.406537517792</v>
      </c>
    </row>
    <row r="4817" spans="1:37" x14ac:dyDescent="0.2">
      <c r="A4817" t="str">
        <f>"20200111155650530"</f>
        <v>20200111155650530</v>
      </c>
      <c r="B4817" t="str">
        <f>"1578729410527913"</f>
        <v>1578729410527913</v>
      </c>
      <c r="C4817" t="s">
        <v>37</v>
      </c>
      <c r="D4817">
        <v>4.0487650000000004</v>
      </c>
      <c r="E4817">
        <v>0.37449660000000001</v>
      </c>
      <c r="F4817" t="s">
        <v>78</v>
      </c>
      <c r="G4817">
        <v>-395.7011</v>
      </c>
      <c r="H4817">
        <v>5.1374459999999997</v>
      </c>
      <c r="I4817">
        <v>1.328579</v>
      </c>
      <c r="J4817">
        <v>-418.23099999999999</v>
      </c>
      <c r="K4817">
        <v>1.116366</v>
      </c>
      <c r="L4817">
        <v>122.2794</v>
      </c>
      <c r="M4817">
        <v>-0.2593491</v>
      </c>
      <c r="N4817">
        <v>0</v>
      </c>
      <c r="O4817">
        <v>-0.96564889999999903</v>
      </c>
      <c r="P4817">
        <v>-0.13067619999999999</v>
      </c>
      <c r="Q4817">
        <v>2.215373E-2</v>
      </c>
      <c r="R4817">
        <v>-0.99117759999999999</v>
      </c>
      <c r="S4817">
        <v>0.57699579999999995</v>
      </c>
      <c r="T4817">
        <v>0.10328759999999999</v>
      </c>
      <c r="U4817">
        <v>-3.114471</v>
      </c>
      <c r="V4817">
        <v>-0.13192390000000001</v>
      </c>
      <c r="W4817">
        <v>3.4400180000000002E-2</v>
      </c>
      <c r="X4817">
        <v>0.99066279999999995</v>
      </c>
      <c r="Y4817">
        <v>-0.4308825</v>
      </c>
      <c r="Z4817">
        <v>-2.9561489999999999E-2</v>
      </c>
      <c r="AA4817">
        <v>0.90192380000000005</v>
      </c>
      <c r="AB4817">
        <v>30</v>
      </c>
      <c r="AC4817">
        <v>22.529900000000001</v>
      </c>
      <c r="AD4817">
        <v>4.0210800000000004</v>
      </c>
      <c r="AE4817">
        <v>-120.950820999999</v>
      </c>
      <c r="AF4817">
        <v>-53.074679196111802</v>
      </c>
      <c r="AG4817">
        <v>4.0210800000000004</v>
      </c>
      <c r="AH4817">
        <v>110.848949007345</v>
      </c>
      <c r="AI4817">
        <v>88.126047619991198</v>
      </c>
      <c r="AJ4817">
        <v>115.58518463196501</v>
      </c>
      <c r="AK4817">
        <v>122.965768212822</v>
      </c>
    </row>
    <row r="4818" spans="1:37" x14ac:dyDescent="0.2">
      <c r="A4818" t="str">
        <f>"20200111155650553"</f>
        <v>20200111155650553</v>
      </c>
      <c r="B4818" t="str">
        <f>"1578729410548409"</f>
        <v>1578729410548409</v>
      </c>
      <c r="C4818" t="s">
        <v>37</v>
      </c>
      <c r="D4818">
        <v>4.0356680000000003</v>
      </c>
      <c r="E4818">
        <v>0.39620090000000002</v>
      </c>
      <c r="F4818" t="s">
        <v>78</v>
      </c>
      <c r="G4818">
        <v>-394.84120000000001</v>
      </c>
      <c r="H4818">
        <v>4.9144569999999996</v>
      </c>
      <c r="I4818">
        <v>1.3641889999999901</v>
      </c>
      <c r="J4818">
        <v>-418.29489999999998</v>
      </c>
      <c r="K4818">
        <v>1.1161179999999999</v>
      </c>
      <c r="L4818">
        <v>121.98860000000001</v>
      </c>
      <c r="M4818">
        <v>-0.24594530000000001</v>
      </c>
      <c r="N4818">
        <v>0</v>
      </c>
      <c r="O4818">
        <v>-0.96915039999999997</v>
      </c>
      <c r="P4818">
        <v>-0.11759409999999999</v>
      </c>
      <c r="Q4818">
        <v>2.2426580000000002E-2</v>
      </c>
      <c r="R4818">
        <v>-0.99280849999999898</v>
      </c>
      <c r="S4818">
        <v>0.60037229999999997</v>
      </c>
      <c r="T4818">
        <v>9.7489709999999993E-2</v>
      </c>
      <c r="U4818">
        <v>-3.1036830000000002</v>
      </c>
      <c r="V4818">
        <v>-0.131246</v>
      </c>
      <c r="W4818">
        <v>3.4721380000000003E-2</v>
      </c>
      <c r="X4818">
        <v>0.990741599999999</v>
      </c>
      <c r="Y4818">
        <v>-0.42549989999999999</v>
      </c>
      <c r="Z4818">
        <v>-2.818404E-2</v>
      </c>
      <c r="AA4818">
        <v>0.90451949999999903</v>
      </c>
      <c r="AB4818">
        <v>30</v>
      </c>
      <c r="AC4818">
        <v>23.453699999999898</v>
      </c>
      <c r="AD4818">
        <v>3.7983389999999999</v>
      </c>
      <c r="AE4818">
        <v>-120.62441099999999</v>
      </c>
      <c r="AF4818">
        <v>-52.353920247774099</v>
      </c>
      <c r="AG4818">
        <v>3.7983389999999999</v>
      </c>
      <c r="AH4818">
        <v>111.04313643720501</v>
      </c>
      <c r="AI4818">
        <v>88.227854257611398</v>
      </c>
      <c r="AJ4818">
        <v>115.24264552421501</v>
      </c>
      <c r="AK4818">
        <v>122.82482849278</v>
      </c>
    </row>
    <row r="4819" spans="1:37" x14ac:dyDescent="0.2">
      <c r="A4819" t="str">
        <f>"20200111155650574"</f>
        <v>20200111155650574</v>
      </c>
      <c r="B4819" t="str">
        <f>"1578729410567929"</f>
        <v>1578729410567929</v>
      </c>
      <c r="C4819" t="s">
        <v>37</v>
      </c>
      <c r="D4819">
        <v>4.1396629999999996</v>
      </c>
      <c r="E4819">
        <v>0.39728989999999997</v>
      </c>
      <c r="F4819" t="s">
        <v>78</v>
      </c>
      <c r="G4819">
        <v>-399.7038</v>
      </c>
      <c r="H4819">
        <v>3.0687099999999998</v>
      </c>
      <c r="I4819">
        <v>0.68380929999999995</v>
      </c>
      <c r="J4819">
        <v>-418.3528</v>
      </c>
      <c r="K4819">
        <v>1.1158360000000001</v>
      </c>
      <c r="L4819">
        <v>121.709</v>
      </c>
      <c r="M4819">
        <v>-0.23341139999999999</v>
      </c>
      <c r="N4819">
        <v>0</v>
      </c>
      <c r="O4819">
        <v>-0.972246099999999</v>
      </c>
      <c r="P4819">
        <v>-0.1056039</v>
      </c>
      <c r="Q4819">
        <v>2.2409220000000001E-2</v>
      </c>
      <c r="R4819">
        <v>-0.99415599999999904</v>
      </c>
      <c r="S4819">
        <v>0.47149659999999899</v>
      </c>
      <c r="T4819">
        <v>4.9519899999999999E-2</v>
      </c>
      <c r="U4819">
        <v>-3.0764619999999998</v>
      </c>
      <c r="V4819">
        <v>-0.13038359999999999</v>
      </c>
      <c r="W4819">
        <v>3.4760449999999998E-2</v>
      </c>
      <c r="X4819">
        <v>0.99085409999999996</v>
      </c>
      <c r="Y4819">
        <v>-0.37803429999999999</v>
      </c>
      <c r="Z4819">
        <v>-1.4740059999999999E-2</v>
      </c>
      <c r="AA4819">
        <v>0.92567429999999995</v>
      </c>
      <c r="AB4819">
        <v>30</v>
      </c>
      <c r="AC4819">
        <v>18.649000000000001</v>
      </c>
      <c r="AD4819">
        <v>1.952874</v>
      </c>
      <c r="AE4819">
        <v>-121.0251907</v>
      </c>
      <c r="AF4819">
        <v>-46.374234767362303</v>
      </c>
      <c r="AG4819">
        <v>1.952874</v>
      </c>
      <c r="AH4819">
        <v>113.299107718846</v>
      </c>
      <c r="AI4819">
        <v>89.086099450505202</v>
      </c>
      <c r="AJ4819">
        <v>112.25967958904199</v>
      </c>
      <c r="AK4819">
        <v>122.438029945785</v>
      </c>
    </row>
    <row r="4820" spans="1:37" x14ac:dyDescent="0.2">
      <c r="A4820" t="str">
        <f>"20200111155650631"</f>
        <v>20200111155650631</v>
      </c>
      <c r="B4820" t="str">
        <f>"1578729410627465"</f>
        <v>1578729410627465</v>
      </c>
      <c r="C4820" t="s">
        <v>37</v>
      </c>
      <c r="D4820">
        <v>4.2482889999999998</v>
      </c>
      <c r="E4820">
        <v>0.39937059999999902</v>
      </c>
      <c r="F4820" t="s">
        <v>78</v>
      </c>
      <c r="G4820">
        <v>-398.63409999999999</v>
      </c>
      <c r="H4820">
        <v>2.800154</v>
      </c>
      <c r="I4820">
        <v>0.694685</v>
      </c>
      <c r="J4820">
        <v>-418.48750000000001</v>
      </c>
      <c r="K4820">
        <v>1.114879</v>
      </c>
      <c r="L4820">
        <v>120.9823</v>
      </c>
      <c r="M4820">
        <v>-0.20290810000000001</v>
      </c>
      <c r="N4820">
        <v>0</v>
      </c>
      <c r="O4820">
        <v>-0.97906990000000005</v>
      </c>
      <c r="P4820">
        <v>-8.049038E-2</v>
      </c>
      <c r="Q4820">
        <v>1.9129420000000001E-2</v>
      </c>
      <c r="R4820">
        <v>-0.99657180000000001</v>
      </c>
      <c r="S4820">
        <v>0.50021359999999904</v>
      </c>
      <c r="T4820">
        <v>4.2726159999999999E-2</v>
      </c>
      <c r="U4820">
        <v>-3.0698240000000001</v>
      </c>
      <c r="V4820">
        <v>-0.1242494</v>
      </c>
      <c r="W4820">
        <v>3.1757090000000002E-2</v>
      </c>
      <c r="X4820">
        <v>0.99174269999999998</v>
      </c>
      <c r="Y4820">
        <v>-0.3577555</v>
      </c>
      <c r="Z4820">
        <v>-1.293417E-2</v>
      </c>
      <c r="AA4820">
        <v>0.93372569999999999</v>
      </c>
      <c r="AB4820">
        <v>30</v>
      </c>
      <c r="AC4820">
        <v>19.853400000000001</v>
      </c>
      <c r="AD4820">
        <v>1.6852750000000001</v>
      </c>
      <c r="AE4820">
        <v>-120.28761499999899</v>
      </c>
      <c r="AF4820">
        <v>-43.842311337759497</v>
      </c>
      <c r="AG4820">
        <v>1.6852750000000001</v>
      </c>
      <c r="AH4820">
        <v>113.734079653281</v>
      </c>
      <c r="AI4820">
        <v>89.207878925702303</v>
      </c>
      <c r="AJ4820">
        <v>111.08069658389</v>
      </c>
      <c r="AK4820">
        <v>121.903360453441</v>
      </c>
    </row>
    <row r="4821" spans="1:37" x14ac:dyDescent="0.2">
      <c r="A4821" t="str">
        <f>"20200111155650664"</f>
        <v>20200111155650664</v>
      </c>
      <c r="B4821" t="str">
        <f>"1578729410657721"</f>
        <v>1578729410657721</v>
      </c>
      <c r="C4821" t="s">
        <v>37</v>
      </c>
      <c r="D4821">
        <v>4.2842859999999998</v>
      </c>
      <c r="E4821">
        <v>0.40177360000000001</v>
      </c>
      <c r="F4821" t="s">
        <v>78</v>
      </c>
      <c r="G4821">
        <v>-396.4307</v>
      </c>
      <c r="H4821">
        <v>2.5132340000000002</v>
      </c>
      <c r="I4821">
        <v>0.71709250000000002</v>
      </c>
      <c r="J4821">
        <v>-418.55849999999998</v>
      </c>
      <c r="K4821">
        <v>1.114233</v>
      </c>
      <c r="L4821">
        <v>120.5493</v>
      </c>
      <c r="M4821">
        <v>-0.1862646</v>
      </c>
      <c r="N4821">
        <v>0</v>
      </c>
      <c r="O4821">
        <v>-0.98237430000000003</v>
      </c>
      <c r="P4821">
        <v>-7.0118180000000002E-2</v>
      </c>
      <c r="Q4821">
        <v>1.7158099999999999E-2</v>
      </c>
      <c r="R4821">
        <v>-0.99739129999999998</v>
      </c>
      <c r="S4821">
        <v>0.5602722</v>
      </c>
      <c r="T4821">
        <v>3.5519479999999999E-2</v>
      </c>
      <c r="U4821">
        <v>-3.0549009999999899</v>
      </c>
      <c r="V4821">
        <v>-0.117641</v>
      </c>
      <c r="W4821">
        <v>3.001937E-2</v>
      </c>
      <c r="X4821">
        <v>0.99260230000000005</v>
      </c>
      <c r="Y4821">
        <v>-0.36045500000000003</v>
      </c>
      <c r="Z4821">
        <v>-1.083809E-2</v>
      </c>
      <c r="AA4821">
        <v>0.93271360000000003</v>
      </c>
      <c r="AB4821">
        <v>30</v>
      </c>
      <c r="AC4821">
        <v>22.127799999999901</v>
      </c>
      <c r="AD4821">
        <v>1.3990009999999999</v>
      </c>
      <c r="AE4821">
        <v>-119.8322075</v>
      </c>
      <c r="AF4821">
        <v>-44.057898557656998</v>
      </c>
      <c r="AG4821">
        <v>1.3990009999999999</v>
      </c>
      <c r="AH4821">
        <v>113.59747104585399</v>
      </c>
      <c r="AI4821">
        <v>89.342153763606603</v>
      </c>
      <c r="AJ4821">
        <v>111.198396848985</v>
      </c>
      <c r="AK4821">
        <v>121.85007614740501</v>
      </c>
    </row>
    <row r="4822" spans="1:37" x14ac:dyDescent="0.2">
      <c r="A4822" t="str">
        <f>"20200111155650687"</f>
        <v>20200111155650687</v>
      </c>
      <c r="B4822" t="str">
        <f>"1578729410678217"</f>
        <v>1578729410678217</v>
      </c>
      <c r="C4822" t="s">
        <v>37</v>
      </c>
      <c r="D4822">
        <v>4.3638979999999998</v>
      </c>
      <c r="E4822">
        <v>0.4248036</v>
      </c>
      <c r="F4822" t="s">
        <v>78</v>
      </c>
      <c r="G4822">
        <v>-396.04349999999999</v>
      </c>
      <c r="H4822">
        <v>2.4340950000000001</v>
      </c>
      <c r="I4822">
        <v>0.76289560000000001</v>
      </c>
      <c r="J4822">
        <v>-418.60210000000001</v>
      </c>
      <c r="K4822">
        <v>1.113801</v>
      </c>
      <c r="L4822">
        <v>120.2612</v>
      </c>
      <c r="M4822">
        <v>-0.17585689999999901</v>
      </c>
      <c r="N4822">
        <v>0</v>
      </c>
      <c r="O4822">
        <v>-0.9842919</v>
      </c>
      <c r="P4822">
        <v>-6.4537360000000002E-2</v>
      </c>
      <c r="Q4822">
        <v>1.5314650000000001E-2</v>
      </c>
      <c r="R4822">
        <v>-0.9977975</v>
      </c>
      <c r="S4822">
        <v>0.57281490000000002</v>
      </c>
      <c r="T4822">
        <v>3.3578629999999998E-2</v>
      </c>
      <c r="U4822">
        <v>-3.0475460000000001</v>
      </c>
      <c r="V4822">
        <v>-0.1126171</v>
      </c>
      <c r="W4822">
        <v>2.8333509999999999E-2</v>
      </c>
      <c r="X4822">
        <v>0.99323439999999996</v>
      </c>
      <c r="Y4822">
        <v>-0.35468640000000001</v>
      </c>
      <c r="Z4822">
        <v>-1.0310130000000001E-2</v>
      </c>
      <c r="AA4822">
        <v>0.93492849999999905</v>
      </c>
      <c r="AB4822">
        <v>30</v>
      </c>
      <c r="AC4822">
        <v>22.558599999999998</v>
      </c>
      <c r="AD4822">
        <v>1.3202940000000001</v>
      </c>
      <c r="AE4822">
        <v>-119.49830439999999</v>
      </c>
      <c r="AF4822">
        <v>-43.219023791848599</v>
      </c>
      <c r="AG4822">
        <v>1.3202940000000001</v>
      </c>
      <c r="AH4822">
        <v>113.65458826963101</v>
      </c>
      <c r="AI4822">
        <v>89.377897585237903</v>
      </c>
      <c r="AJ4822">
        <v>110.820128647806</v>
      </c>
      <c r="AK4822">
        <v>121.601778887096</v>
      </c>
    </row>
    <row r="4823" spans="1:37" x14ac:dyDescent="0.2">
      <c r="A4823" t="str">
        <f>"20200111155650709"</f>
        <v>20200111155650709</v>
      </c>
      <c r="B4823" t="str">
        <f>"1578729410697737"</f>
        <v>1578729410697737</v>
      </c>
      <c r="C4823" t="s">
        <v>37</v>
      </c>
      <c r="D4823">
        <v>4.323277</v>
      </c>
      <c r="E4823">
        <v>0.4620129</v>
      </c>
      <c r="F4823" t="s">
        <v>38</v>
      </c>
      <c r="G4823">
        <v>-408.80439999999999</v>
      </c>
      <c r="H4823">
        <v>7.998632E-2</v>
      </c>
      <c r="I4823">
        <v>47.731540000000003</v>
      </c>
      <c r="J4823">
        <v>-418.6438</v>
      </c>
      <c r="K4823">
        <v>1.1133919999999999</v>
      </c>
      <c r="L4823">
        <v>119.96799999999899</v>
      </c>
      <c r="M4823">
        <v>-0.1657681</v>
      </c>
      <c r="N4823">
        <v>0</v>
      </c>
      <c r="O4823">
        <v>-0.98604239999999999</v>
      </c>
      <c r="P4823">
        <v>-6.0364849999999998E-2</v>
      </c>
      <c r="Q4823">
        <v>1.313989E-2</v>
      </c>
      <c r="R4823">
        <v>-0.99808989999999997</v>
      </c>
      <c r="S4823">
        <v>0.40982059999999998</v>
      </c>
      <c r="T4823">
        <v>-4.3242570000000001E-2</v>
      </c>
      <c r="U4823">
        <v>-3.0337830000000001</v>
      </c>
      <c r="V4823">
        <v>-0.10652449999999999</v>
      </c>
      <c r="W4823">
        <v>2.6326780000000001E-2</v>
      </c>
      <c r="X4823">
        <v>0.99396149999999905</v>
      </c>
      <c r="Y4823">
        <v>-0.29630009999999901</v>
      </c>
      <c r="Z4823">
        <v>1.357365E-2</v>
      </c>
      <c r="AA4823">
        <v>0.95499840000000003</v>
      </c>
      <c r="AB4823">
        <v>30</v>
      </c>
      <c r="AC4823">
        <v>9.8394000000000101</v>
      </c>
      <c r="AD4823">
        <v>-1.03340568</v>
      </c>
      <c r="AE4823">
        <v>-72.236459999999994</v>
      </c>
      <c r="AF4823">
        <v>-21.674827184940199</v>
      </c>
      <c r="AG4823">
        <v>-1.03340568</v>
      </c>
      <c r="AH4823">
        <v>69.591569900091997</v>
      </c>
      <c r="AI4823">
        <v>90.812275343016694</v>
      </c>
      <c r="AJ4823">
        <v>107.299599887155</v>
      </c>
      <c r="AK4823">
        <v>72.896177279442298</v>
      </c>
    </row>
    <row r="4824" spans="1:37" x14ac:dyDescent="0.2">
      <c r="A4824" t="str">
        <f>"20200111155650731"</f>
        <v>20200111155650731</v>
      </c>
      <c r="B4824" t="str">
        <f>"1578729410727994"</f>
        <v>1578729410727994</v>
      </c>
      <c r="C4824" t="s">
        <v>37</v>
      </c>
      <c r="D4824">
        <v>4.3935170000000001</v>
      </c>
      <c r="E4824">
        <v>0.46263500000000002</v>
      </c>
      <c r="F4824" t="s">
        <v>38</v>
      </c>
      <c r="G4824">
        <v>-417.19310000000002</v>
      </c>
      <c r="H4824" s="1">
        <v>-3.164042E-6</v>
      </c>
      <c r="I4824">
        <v>85.847639999999998</v>
      </c>
      <c r="J4824">
        <v>-418.68299999999999</v>
      </c>
      <c r="K4824">
        <v>1.112951</v>
      </c>
      <c r="L4824">
        <v>119.6742</v>
      </c>
      <c r="M4824">
        <v>-0.1562453</v>
      </c>
      <c r="N4824">
        <v>0</v>
      </c>
      <c r="O4824">
        <v>-0.98759750000000002</v>
      </c>
      <c r="P4824">
        <v>-5.7195629999999997E-2</v>
      </c>
      <c r="Q4824">
        <v>1.2408590000000001E-2</v>
      </c>
      <c r="R4824">
        <v>-0.99828569999999905</v>
      </c>
      <c r="S4824">
        <v>0.1281738</v>
      </c>
      <c r="T4824">
        <v>-9.8377229999999996E-2</v>
      </c>
      <c r="U4824">
        <v>-3.0148009999999998</v>
      </c>
      <c r="V4824">
        <v>-0.1000428</v>
      </c>
      <c r="W4824">
        <v>2.57642999999999E-2</v>
      </c>
      <c r="X4824">
        <v>0.99464949999999996</v>
      </c>
      <c r="Y4824">
        <v>-0.19805519999999999</v>
      </c>
      <c r="Z4824">
        <v>3.1675170000000002E-2</v>
      </c>
      <c r="AA4824">
        <v>0.97967890000000002</v>
      </c>
      <c r="AB4824">
        <v>30</v>
      </c>
      <c r="AC4824">
        <v>1.48990000000003</v>
      </c>
      <c r="AD4824">
        <v>-1.112954164042</v>
      </c>
      <c r="AE4824">
        <v>-33.826560000000001</v>
      </c>
      <c r="AF4824">
        <v>-6.7501755898429998</v>
      </c>
      <c r="AG4824">
        <v>-1.112954164042</v>
      </c>
      <c r="AH4824">
        <v>33.142386276720202</v>
      </c>
      <c r="AI4824">
        <v>91.884662204618195</v>
      </c>
      <c r="AJ4824">
        <v>101.512086214606</v>
      </c>
      <c r="AK4824">
        <v>33.841118562782498</v>
      </c>
    </row>
    <row r="4825" spans="1:37" x14ac:dyDescent="0.2">
      <c r="A4825" t="str">
        <f>"20200111155650754"</f>
        <v>20200111155650754</v>
      </c>
      <c r="B4825" t="str">
        <f>"1578729410747513"</f>
        <v>1578729410747513</v>
      </c>
      <c r="C4825" t="s">
        <v>37</v>
      </c>
      <c r="D4825">
        <v>4.3873709999999999</v>
      </c>
      <c r="E4825">
        <v>0.46586670000000002</v>
      </c>
      <c r="F4825" t="s">
        <v>38</v>
      </c>
      <c r="G4825">
        <v>-416.71080000000001</v>
      </c>
      <c r="H4825" s="1">
        <v>-2.670758E-6</v>
      </c>
      <c r="I4825">
        <v>74.498339999999999</v>
      </c>
      <c r="J4825">
        <v>-418.71940000000001</v>
      </c>
      <c r="K4825">
        <v>1.1124849999999999</v>
      </c>
      <c r="L4825">
        <v>119.3844</v>
      </c>
      <c r="M4825">
        <v>-0.1474626</v>
      </c>
      <c r="N4825">
        <v>0</v>
      </c>
      <c r="O4825">
        <v>-0.98894850000000001</v>
      </c>
      <c r="P4825">
        <v>-5.5008580000000001E-2</v>
      </c>
      <c r="Q4825">
        <v>1.236483E-2</v>
      </c>
      <c r="R4825">
        <v>-0.9984094</v>
      </c>
      <c r="S4825">
        <v>0.13156129999999999</v>
      </c>
      <c r="T4825">
        <v>-7.4243429999999999E-2</v>
      </c>
      <c r="U4825">
        <v>-3.013611</v>
      </c>
      <c r="V4825">
        <v>-9.334721E-2</v>
      </c>
      <c r="W4825">
        <v>2.5884899999999999E-2</v>
      </c>
      <c r="X4825">
        <v>0.99529709999999905</v>
      </c>
      <c r="Y4825">
        <v>-0.19046379999999999</v>
      </c>
      <c r="Z4825">
        <v>2.3987350000000001E-2</v>
      </c>
      <c r="AA4825">
        <v>0.98140110000000003</v>
      </c>
      <c r="AB4825">
        <v>30</v>
      </c>
      <c r="AC4825">
        <v>2.0085999999999999</v>
      </c>
      <c r="AD4825">
        <v>-1.112487670758</v>
      </c>
      <c r="AE4825">
        <v>-44.886060000000001</v>
      </c>
      <c r="AF4825">
        <v>-8.6011581900171592</v>
      </c>
      <c r="AG4825">
        <v>-1.112487670758</v>
      </c>
      <c r="AH4825">
        <v>44.071986009017799</v>
      </c>
      <c r="AI4825">
        <v>91.419218585380094</v>
      </c>
      <c r="AJ4825">
        <v>101.043127158178</v>
      </c>
      <c r="AK4825">
        <v>44.917229453811402</v>
      </c>
    </row>
    <row r="4826" spans="1:37" x14ac:dyDescent="0.2">
      <c r="A4826" t="str">
        <f>"20200111155650775"</f>
        <v>20200111155650775</v>
      </c>
      <c r="B4826" t="str">
        <f>"1578729410768009"</f>
        <v>1578729410768009</v>
      </c>
      <c r="C4826" t="s">
        <v>37</v>
      </c>
      <c r="D4826">
        <v>4.5338229999999999</v>
      </c>
      <c r="E4826">
        <v>0.46822229999999998</v>
      </c>
      <c r="F4826" t="s">
        <v>38</v>
      </c>
      <c r="G4826">
        <v>-417.08319999999998</v>
      </c>
      <c r="H4826" s="1">
        <v>-3.0201519999999998E-6</v>
      </c>
      <c r="I4826">
        <v>75.466759999999994</v>
      </c>
      <c r="J4826">
        <v>-418.75299999999999</v>
      </c>
      <c r="K4826">
        <v>1.1119840000000001</v>
      </c>
      <c r="L4826">
        <v>119.10120000000001</v>
      </c>
      <c r="M4826">
        <v>-0.13950940000000001</v>
      </c>
      <c r="N4826">
        <v>0</v>
      </c>
      <c r="O4826">
        <v>-0.99010309999999901</v>
      </c>
      <c r="P4826">
        <v>-5.3353959999999999E-2</v>
      </c>
      <c r="Q4826">
        <v>1.333611E-2</v>
      </c>
      <c r="R4826">
        <v>-0.9984864</v>
      </c>
      <c r="S4826">
        <v>0.1122131</v>
      </c>
      <c r="T4826">
        <v>-7.6295260000000004E-2</v>
      </c>
      <c r="U4826">
        <v>-3.0119020000000001</v>
      </c>
      <c r="V4826">
        <v>-8.6975609999999995E-2</v>
      </c>
      <c r="W4826">
        <v>2.700603E-2</v>
      </c>
      <c r="X4826">
        <v>0.99584430000000002</v>
      </c>
      <c r="Y4826">
        <v>-0.17628360000000001</v>
      </c>
      <c r="Z4826">
        <v>2.474442E-2</v>
      </c>
      <c r="AA4826">
        <v>0.98402829999999997</v>
      </c>
      <c r="AB4826">
        <v>30</v>
      </c>
      <c r="AC4826">
        <v>1.6698000000000599</v>
      </c>
      <c r="AD4826">
        <v>-1.1119870201519999</v>
      </c>
      <c r="AE4826">
        <v>-43.634439999999998</v>
      </c>
      <c r="AF4826">
        <v>-7.73657345402275</v>
      </c>
      <c r="AG4826">
        <v>-1.1119870201519999</v>
      </c>
      <c r="AH4826">
        <v>42.946797210186702</v>
      </c>
      <c r="AI4826">
        <v>91.459697114401095</v>
      </c>
      <c r="AJ4826">
        <v>100.211920755004</v>
      </c>
      <c r="AK4826">
        <v>43.652244782546703</v>
      </c>
    </row>
    <row r="4827" spans="1:37" x14ac:dyDescent="0.2">
      <c r="A4827" t="str">
        <f>"20200111155650798"</f>
        <v>20200111155650798</v>
      </c>
      <c r="B4827" t="str">
        <f>"1578729410787529"</f>
        <v>1578729410787529</v>
      </c>
      <c r="C4827" t="s">
        <v>37</v>
      </c>
      <c r="D4827">
        <v>4.3902449999999904</v>
      </c>
      <c r="E4827">
        <v>0.46893869999999999</v>
      </c>
      <c r="F4827" t="s">
        <v>38</v>
      </c>
      <c r="G4827">
        <v>-417.37279999999998</v>
      </c>
      <c r="H4827" s="1">
        <v>-3.5739950000000001E-6</v>
      </c>
      <c r="I4827">
        <v>76.877529999999993</v>
      </c>
      <c r="J4827">
        <v>-418.78590000000003</v>
      </c>
      <c r="K4827">
        <v>1.111407</v>
      </c>
      <c r="L4827">
        <v>118.8095</v>
      </c>
      <c r="M4827">
        <v>-0.1320036</v>
      </c>
      <c r="N4827">
        <v>0</v>
      </c>
      <c r="O4827">
        <v>-0.99113309999999999</v>
      </c>
      <c r="P4827">
        <v>-5.1984509999999998E-2</v>
      </c>
      <c r="Q4827">
        <v>1.4502640000000001E-2</v>
      </c>
      <c r="R4827">
        <v>-0.99854310000000002</v>
      </c>
      <c r="S4827">
        <v>9.8419190000000004E-2</v>
      </c>
      <c r="T4827">
        <v>-7.9293489999999994E-2</v>
      </c>
      <c r="U4827">
        <v>-3.0108799999999998</v>
      </c>
      <c r="V4827">
        <v>-8.0769899999999895E-2</v>
      </c>
      <c r="W4827">
        <v>2.8313970000000001E-2</v>
      </c>
      <c r="X4827">
        <v>0.99633059999999996</v>
      </c>
      <c r="Y4827">
        <v>-0.16432149999999901</v>
      </c>
      <c r="Z4827">
        <v>2.5794850000000001E-2</v>
      </c>
      <c r="AA4827">
        <v>0.98606949999999904</v>
      </c>
      <c r="AB4827">
        <v>30</v>
      </c>
      <c r="AC4827">
        <v>1.41310000000004</v>
      </c>
      <c r="AD4827">
        <v>-1.111410573995</v>
      </c>
      <c r="AE4827">
        <v>-41.9319699999999</v>
      </c>
      <c r="AF4827">
        <v>-6.9316756016663001</v>
      </c>
      <c r="AG4827">
        <v>-1.111410573995</v>
      </c>
      <c r="AH4827">
        <v>41.349376827948902</v>
      </c>
      <c r="AI4827">
        <v>91.518477537705195</v>
      </c>
      <c r="AJ4827">
        <v>99.5163937733994</v>
      </c>
      <c r="AK4827">
        <v>41.941081580837199</v>
      </c>
    </row>
    <row r="4828" spans="1:37" x14ac:dyDescent="0.2">
      <c r="A4828" t="str">
        <f>"20200111155650821"</f>
        <v>20200111155650821</v>
      </c>
      <c r="B4828" t="str">
        <f>"1578729410817785"</f>
        <v>1578729410817785</v>
      </c>
      <c r="C4828" t="s">
        <v>37</v>
      </c>
      <c r="D4828">
        <v>4.641527</v>
      </c>
      <c r="E4828">
        <v>0.47104269999999998</v>
      </c>
      <c r="F4828" t="s">
        <v>38</v>
      </c>
      <c r="G4828">
        <v>-417.2552</v>
      </c>
      <c r="H4828" s="1">
        <v>-1.137909E-6</v>
      </c>
      <c r="I4828">
        <v>70.84581</v>
      </c>
      <c r="J4828">
        <v>-418.8177</v>
      </c>
      <c r="K4828">
        <v>1.1107670000000001</v>
      </c>
      <c r="L4828">
        <v>118.5134</v>
      </c>
      <c r="M4828">
        <v>-0.1252239</v>
      </c>
      <c r="N4828">
        <v>0</v>
      </c>
      <c r="O4828">
        <v>-0.99201379999999995</v>
      </c>
      <c r="P4828">
        <v>-5.1320919999999999E-2</v>
      </c>
      <c r="Q4828">
        <v>1.444427E-2</v>
      </c>
      <c r="R4828">
        <v>-0.99857809999999902</v>
      </c>
      <c r="S4828">
        <v>9.6069340000000003E-2</v>
      </c>
      <c r="T4828">
        <v>-6.9756750000000006E-2</v>
      </c>
      <c r="U4828">
        <v>-3.0104060000000001</v>
      </c>
      <c r="V4828">
        <v>-7.4569750000000004E-2</v>
      </c>
      <c r="W4828">
        <v>2.839071E-2</v>
      </c>
      <c r="X4828">
        <v>0.99681160000000002</v>
      </c>
      <c r="Y4828">
        <v>-0.1568109</v>
      </c>
      <c r="Z4828">
        <v>2.274282E-2</v>
      </c>
      <c r="AA4828">
        <v>0.98736669999999904</v>
      </c>
      <c r="AB4828">
        <v>30</v>
      </c>
      <c r="AC4828">
        <v>1.5625</v>
      </c>
      <c r="AD4828">
        <v>-1.110768137909</v>
      </c>
      <c r="AE4828">
        <v>-47.667589999999997</v>
      </c>
      <c r="AF4828">
        <v>-7.5159221224139499</v>
      </c>
      <c r="AG4828">
        <v>-1.110768137909</v>
      </c>
      <c r="AH4828">
        <v>47.071072346610002</v>
      </c>
      <c r="AI4828">
        <v>91.334893362811101</v>
      </c>
      <c r="AJ4828">
        <v>99.071940023215404</v>
      </c>
      <c r="AK4828">
        <v>47.6802762477964</v>
      </c>
    </row>
    <row r="4829" spans="1:37" x14ac:dyDescent="0.2">
      <c r="A4829" t="str">
        <f>"20200111155650844"</f>
        <v>20200111155650844</v>
      </c>
      <c r="B4829" t="str">
        <f>"1578729410837305"</f>
        <v>1578729410837305</v>
      </c>
      <c r="C4829" t="s">
        <v>37</v>
      </c>
      <c r="D4829">
        <v>4.7534229999999997</v>
      </c>
      <c r="E4829">
        <v>0.472105</v>
      </c>
      <c r="F4829" t="s">
        <v>38</v>
      </c>
      <c r="G4829">
        <v>-417.5385</v>
      </c>
      <c r="H4829" s="1">
        <v>-1.1453000000000001E-6</v>
      </c>
      <c r="I4829">
        <v>71.088989999999995</v>
      </c>
      <c r="J4829">
        <v>-418.84859999999998</v>
      </c>
      <c r="K4829">
        <v>1.110101</v>
      </c>
      <c r="L4829">
        <v>118.215</v>
      </c>
      <c r="M4829">
        <v>-0.119216899999999</v>
      </c>
      <c r="N4829">
        <v>0</v>
      </c>
      <c r="O4829">
        <v>-0.9927551</v>
      </c>
      <c r="P4829">
        <v>-5.1406159999999999E-2</v>
      </c>
      <c r="Q4829">
        <v>1.3606139999999999E-2</v>
      </c>
      <c r="R4829">
        <v>-0.99858530000000001</v>
      </c>
      <c r="S4829">
        <v>8.1176760000000001E-2</v>
      </c>
      <c r="T4829">
        <v>-7.0487620000000001E-2</v>
      </c>
      <c r="U4829">
        <v>-3.0094759999999998</v>
      </c>
      <c r="V4829">
        <v>-6.8390149999999997E-2</v>
      </c>
      <c r="W4829">
        <v>2.767383E-2</v>
      </c>
      <c r="X4829">
        <v>0.99727479999999902</v>
      </c>
      <c r="Y4829">
        <v>-0.1459511</v>
      </c>
      <c r="Z4829">
        <v>2.303525E-2</v>
      </c>
      <c r="AA4829">
        <v>0.989023599999999</v>
      </c>
      <c r="AB4829">
        <v>30</v>
      </c>
      <c r="AC4829">
        <v>1.3100999999999701</v>
      </c>
      <c r="AD4829">
        <v>-1.1101021453</v>
      </c>
      <c r="AE4829">
        <v>-47.126010000000001</v>
      </c>
      <c r="AF4829">
        <v>-6.9157680327710196</v>
      </c>
      <c r="AG4829">
        <v>-1.1101021453</v>
      </c>
      <c r="AH4829">
        <v>46.607796856414097</v>
      </c>
      <c r="AI4829">
        <v>91.349638767343805</v>
      </c>
      <c r="AJ4829">
        <v>98.440091474767897</v>
      </c>
      <c r="AK4829">
        <v>47.131166992393297</v>
      </c>
    </row>
    <row r="4830" spans="1:37" x14ac:dyDescent="0.2">
      <c r="A4830" t="str">
        <f>"20200111155650865"</f>
        <v>20200111155650865</v>
      </c>
      <c r="B4830" t="str">
        <f>"1578729410857801"</f>
        <v>1578729410857801</v>
      </c>
      <c r="C4830" t="s">
        <v>37</v>
      </c>
      <c r="D4830">
        <v>4.4069929999999999</v>
      </c>
      <c r="E4830">
        <v>0.47381059999999903</v>
      </c>
      <c r="F4830" t="s">
        <v>38</v>
      </c>
      <c r="G4830">
        <v>-417.76330000000002</v>
      </c>
      <c r="H4830" s="1">
        <v>-1.860537E-6</v>
      </c>
      <c r="I4830">
        <v>73.044880000000006</v>
      </c>
      <c r="J4830">
        <v>-418.87670000000003</v>
      </c>
      <c r="K4830">
        <v>1.1095269999999999</v>
      </c>
      <c r="L4830">
        <v>117.93389999999999</v>
      </c>
      <c r="M4830">
        <v>-0.114191899999999</v>
      </c>
      <c r="N4830">
        <v>0</v>
      </c>
      <c r="O4830">
        <v>-0.99334679999999997</v>
      </c>
      <c r="P4830">
        <v>-5.3122860000000001E-2</v>
      </c>
      <c r="Q4830">
        <v>1.1327149999999999E-2</v>
      </c>
      <c r="R4830">
        <v>-0.99852399999999997</v>
      </c>
      <c r="S4830">
        <v>7.2296139999999995E-2</v>
      </c>
      <c r="T4830">
        <v>-7.3949100000000004E-2</v>
      </c>
      <c r="U4830">
        <v>-3.0089869999999999</v>
      </c>
      <c r="V4830">
        <v>-6.1562949999999998E-2</v>
      </c>
      <c r="W4830">
        <v>2.5500689999999999E-2</v>
      </c>
      <c r="X4830">
        <v>0.99777739999999904</v>
      </c>
      <c r="Y4830">
        <v>-0.13802709999999899</v>
      </c>
      <c r="Z4830">
        <v>2.420638E-2</v>
      </c>
      <c r="AA4830">
        <v>0.99013259999999903</v>
      </c>
      <c r="AB4830">
        <v>30</v>
      </c>
      <c r="AC4830">
        <v>1.1134000000000099</v>
      </c>
      <c r="AD4830">
        <v>-1.109528860537</v>
      </c>
      <c r="AE4830">
        <v>-44.889019999999903</v>
      </c>
      <c r="AF4830">
        <v>-6.2288446506950104</v>
      </c>
      <c r="AG4830">
        <v>-1.109528860537</v>
      </c>
      <c r="AH4830">
        <v>44.441033009193902</v>
      </c>
      <c r="AI4830">
        <v>91.416329080522999</v>
      </c>
      <c r="AJ4830">
        <v>97.978587974186198</v>
      </c>
      <c r="AK4830">
        <v>44.889140946326002</v>
      </c>
    </row>
    <row r="4831" spans="1:37" x14ac:dyDescent="0.2">
      <c r="A4831" t="str">
        <f>"20200111155650887"</f>
        <v>20200111155650887</v>
      </c>
      <c r="B4831" t="str">
        <f>"1578729410877321"</f>
        <v>1578729410877321</v>
      </c>
      <c r="C4831" t="s">
        <v>37</v>
      </c>
      <c r="D4831">
        <v>4.3984480000000001</v>
      </c>
      <c r="E4831">
        <v>0.47538149999999901</v>
      </c>
      <c r="F4831" t="s">
        <v>38</v>
      </c>
      <c r="G4831">
        <v>-418.17099999999999</v>
      </c>
      <c r="H4831" s="1">
        <v>-4.0122310000000001E-6</v>
      </c>
      <c r="I4831">
        <v>78.229129999999998</v>
      </c>
      <c r="J4831">
        <v>-418.90449999999998</v>
      </c>
      <c r="K4831">
        <v>1.108973</v>
      </c>
      <c r="L4831">
        <v>117.6476</v>
      </c>
      <c r="M4831">
        <v>-0.10976039999999999</v>
      </c>
      <c r="N4831">
        <v>0</v>
      </c>
      <c r="O4831">
        <v>-0.99384729999999999</v>
      </c>
      <c r="P4831">
        <v>-5.5162620000000002E-2</v>
      </c>
      <c r="Q4831">
        <v>8.7387000000000003E-3</v>
      </c>
      <c r="R4831">
        <v>-0.99843939999999998</v>
      </c>
      <c r="S4831">
        <v>5.3466800000000002E-2</v>
      </c>
      <c r="T4831">
        <v>-8.4063890000000002E-2</v>
      </c>
      <c r="U4831">
        <v>-3.0082399999999998</v>
      </c>
      <c r="V4831">
        <v>-5.5012129999999999E-2</v>
      </c>
      <c r="W4831">
        <v>2.2995649999999999E-2</v>
      </c>
      <c r="X4831">
        <v>0.99822089999999997</v>
      </c>
      <c r="Y4831">
        <v>-0.12741140000000001</v>
      </c>
      <c r="Z4831">
        <v>2.756436E-2</v>
      </c>
      <c r="AA4831">
        <v>0.99146690000000004</v>
      </c>
      <c r="AB4831">
        <v>30</v>
      </c>
      <c r="AC4831">
        <v>0.73349999999999205</v>
      </c>
      <c r="AD4831">
        <v>-1.1089770122310001</v>
      </c>
      <c r="AE4831">
        <v>-39.418469999999999</v>
      </c>
      <c r="AF4831">
        <v>-5.0521334067912598</v>
      </c>
      <c r="AG4831">
        <v>-1.1089770122310001</v>
      </c>
      <c r="AH4831">
        <v>39.068823933048499</v>
      </c>
      <c r="AI4831">
        <v>91.612497460919698</v>
      </c>
      <c r="AJ4831">
        <v>97.368239035613101</v>
      </c>
      <c r="AK4831">
        <v>39.409730847662701</v>
      </c>
    </row>
    <row r="4832" spans="1:37" x14ac:dyDescent="0.2">
      <c r="A4832" t="str">
        <f>"20200111155650910"</f>
        <v>20200111155650910</v>
      </c>
      <c r="B4832" t="str">
        <f>"1578729410907578"</f>
        <v>1578729410907578</v>
      </c>
      <c r="C4832" t="s">
        <v>37</v>
      </c>
      <c r="D4832">
        <v>4.6771839999999996</v>
      </c>
      <c r="E4832">
        <v>0.47702479999999903</v>
      </c>
      <c r="F4832" t="s">
        <v>38</v>
      </c>
      <c r="G4832">
        <v>-418.49630000000002</v>
      </c>
      <c r="H4832" s="1">
        <v>-1.4877959999999899E-6</v>
      </c>
      <c r="I4832">
        <v>82.479100000000003</v>
      </c>
      <c r="J4832">
        <v>-418.93329999999997</v>
      </c>
      <c r="K4832">
        <v>1.108376</v>
      </c>
      <c r="L4832">
        <v>117.3455</v>
      </c>
      <c r="M4832">
        <v>-0.1058916</v>
      </c>
      <c r="N4832">
        <v>0</v>
      </c>
      <c r="O4832">
        <v>-0.99426819999999905</v>
      </c>
      <c r="P4832">
        <v>-5.6561390000000003E-2</v>
      </c>
      <c r="Q4832">
        <v>5.8256799999999997E-3</v>
      </c>
      <c r="R4832">
        <v>-0.99838259999999901</v>
      </c>
      <c r="S4832">
        <v>3.4912110000000003E-2</v>
      </c>
      <c r="T4832">
        <v>-9.4833970000000004E-2</v>
      </c>
      <c r="U4832">
        <v>-3.007431</v>
      </c>
      <c r="V4832">
        <v>-4.9669079999999997E-2</v>
      </c>
      <c r="W4832">
        <v>2.0138639999999999E-2</v>
      </c>
      <c r="X4832">
        <v>0.99856270000000003</v>
      </c>
      <c r="Y4832">
        <v>-0.1174327</v>
      </c>
      <c r="Z4832">
        <v>3.114159E-2</v>
      </c>
      <c r="AA4832">
        <v>0.99259249999999899</v>
      </c>
      <c r="AB4832">
        <v>30</v>
      </c>
      <c r="AC4832">
        <v>0.43699999999995498</v>
      </c>
      <c r="AD4832">
        <v>-1.108377487796</v>
      </c>
      <c r="AE4832">
        <v>-34.866399999999999</v>
      </c>
      <c r="AF4832">
        <v>-4.1228376549067098</v>
      </c>
      <c r="AG4832">
        <v>-1.108377487796</v>
      </c>
      <c r="AH4832">
        <v>34.589098645930299</v>
      </c>
      <c r="AI4832">
        <v>91.822473402847294</v>
      </c>
      <c r="AJ4832">
        <v>96.797284469352903</v>
      </c>
      <c r="AK4832">
        <v>34.851571501469898</v>
      </c>
    </row>
    <row r="4833" spans="1:37" x14ac:dyDescent="0.2">
      <c r="A4833" t="str">
        <f>"20200111155650932"</f>
        <v>20200111155650932</v>
      </c>
      <c r="B4833" t="str">
        <f>"1578729410928047"</f>
        <v>1578729410928047</v>
      </c>
      <c r="C4833" t="s">
        <v>37</v>
      </c>
      <c r="D4833">
        <v>4.4361629999999996</v>
      </c>
      <c r="E4833">
        <v>0.4778077</v>
      </c>
      <c r="F4833" t="s">
        <v>38</v>
      </c>
      <c r="G4833">
        <v>-418.74470000000002</v>
      </c>
      <c r="H4833" s="1">
        <v>-2.7294779999999899E-6</v>
      </c>
      <c r="I4833">
        <v>85.476209999999995</v>
      </c>
      <c r="J4833">
        <v>-418.9606</v>
      </c>
      <c r="K4833">
        <v>1.107758</v>
      </c>
      <c r="L4833">
        <v>117.0552</v>
      </c>
      <c r="M4833">
        <v>-0.10295499999999901</v>
      </c>
      <c r="N4833">
        <v>0</v>
      </c>
      <c r="O4833">
        <v>-0.99457739999999994</v>
      </c>
      <c r="P4833">
        <v>-5.7896419999999997E-2</v>
      </c>
      <c r="Q4833">
        <v>2.1011070000000001E-3</v>
      </c>
      <c r="R4833">
        <v>-0.9983204</v>
      </c>
      <c r="S4833">
        <v>1.7791749999999999E-2</v>
      </c>
      <c r="T4833">
        <v>-0.10456169999999999</v>
      </c>
      <c r="U4833">
        <v>-3.0064700000000002</v>
      </c>
      <c r="V4833">
        <v>-4.5327270000000003E-2</v>
      </c>
      <c r="W4833">
        <v>1.6455210000000001E-2</v>
      </c>
      <c r="X4833">
        <v>0.99883659999999996</v>
      </c>
      <c r="Y4833">
        <v>-0.1088469</v>
      </c>
      <c r="Z4833">
        <v>3.4377230000000002E-2</v>
      </c>
      <c r="AA4833">
        <v>0.99346389999999996</v>
      </c>
      <c r="AB4833">
        <v>29</v>
      </c>
      <c r="AC4833">
        <v>0.215899999999976</v>
      </c>
      <c r="AD4833">
        <v>-1.1077607294780001</v>
      </c>
      <c r="AE4833">
        <v>-31.578990000000001</v>
      </c>
      <c r="AF4833">
        <v>-3.46205866877097</v>
      </c>
      <c r="AG4833">
        <v>-1.1077607294780001</v>
      </c>
      <c r="AH4833">
        <v>31.350336948957899</v>
      </c>
      <c r="AI4833">
        <v>92.011480382425503</v>
      </c>
      <c r="AJ4833">
        <v>96.301713945369499</v>
      </c>
      <c r="AK4833">
        <v>31.560364555451201</v>
      </c>
    </row>
    <row r="4834" spans="1:37" x14ac:dyDescent="0.2">
      <c r="A4834" t="str">
        <f>"20200111155650954"</f>
        <v>20200111155650954</v>
      </c>
      <c r="B4834" t="str">
        <f>"1578729410947554"</f>
        <v>1578729410947554</v>
      </c>
      <c r="C4834" t="s">
        <v>37</v>
      </c>
      <c r="D4834">
        <v>4.4253669999999996</v>
      </c>
      <c r="E4834">
        <v>0.47881599999999902</v>
      </c>
      <c r="F4834" t="s">
        <v>38</v>
      </c>
      <c r="G4834">
        <v>-418.8947</v>
      </c>
      <c r="H4834" s="1">
        <v>-4.0328910000000003E-6</v>
      </c>
      <c r="I4834">
        <v>88.576490000000007</v>
      </c>
      <c r="J4834">
        <v>-418.98739999999998</v>
      </c>
      <c r="K4834">
        <v>1.1071120000000001</v>
      </c>
      <c r="L4834">
        <v>116.7683</v>
      </c>
      <c r="M4834">
        <v>-0.1007933</v>
      </c>
      <c r="N4834">
        <v>0</v>
      </c>
      <c r="O4834">
        <v>-0.99479969999999995</v>
      </c>
      <c r="P4834">
        <v>-5.9219109999999998E-2</v>
      </c>
      <c r="Q4834">
        <v>-2.8192479999999999E-3</v>
      </c>
      <c r="R4834">
        <v>-0.99824099999999905</v>
      </c>
      <c r="S4834">
        <v>6.9580079999999999E-3</v>
      </c>
      <c r="T4834">
        <v>-0.1169157</v>
      </c>
      <c r="U4834">
        <v>-3.0057070000000001</v>
      </c>
      <c r="V4834">
        <v>-4.1777740000000001E-2</v>
      </c>
      <c r="W4834">
        <v>1.156716E-2</v>
      </c>
      <c r="X4834">
        <v>0.99905999999999995</v>
      </c>
      <c r="Y4834">
        <v>-0.103105</v>
      </c>
      <c r="Z4834">
        <v>3.8467969999999997E-2</v>
      </c>
      <c r="AA4834">
        <v>0.99392630000000004</v>
      </c>
      <c r="AB4834">
        <v>29</v>
      </c>
      <c r="AC4834">
        <v>9.2699999999979299E-2</v>
      </c>
      <c r="AD4834">
        <v>-1.1071160328909999</v>
      </c>
      <c r="AE4834">
        <v>-28.191809999999901</v>
      </c>
      <c r="AF4834">
        <v>-2.9295599357797499</v>
      </c>
      <c r="AG4834">
        <v>-1.1071160328909999</v>
      </c>
      <c r="AH4834">
        <v>27.9956902089476</v>
      </c>
      <c r="AI4834">
        <v>92.252350204586094</v>
      </c>
      <c r="AJ4834">
        <v>95.973874678899605</v>
      </c>
      <c r="AK4834">
        <v>28.170315894625201</v>
      </c>
    </row>
    <row r="4835" spans="1:37" x14ac:dyDescent="0.2">
      <c r="A4835" t="str">
        <f>"20200111155650976"</f>
        <v>20200111155650976</v>
      </c>
      <c r="B4835" t="str">
        <f>"1578729410968051"</f>
        <v>1578729410968051</v>
      </c>
      <c r="C4835" t="s">
        <v>37</v>
      </c>
      <c r="D4835">
        <v>4.6644439999999996</v>
      </c>
      <c r="E4835">
        <v>0.47928179999999998</v>
      </c>
      <c r="F4835" t="s">
        <v>38</v>
      </c>
      <c r="G4835">
        <v>-419.03219999999999</v>
      </c>
      <c r="H4835" s="1">
        <v>-1.0588299999999999E-6</v>
      </c>
      <c r="I4835">
        <v>91.700779999999995</v>
      </c>
      <c r="J4835">
        <v>-419.0145</v>
      </c>
      <c r="K4835">
        <v>1.10646</v>
      </c>
      <c r="L4835">
        <v>116.4807</v>
      </c>
      <c r="M4835">
        <v>-9.9356910000000007E-2</v>
      </c>
      <c r="N4835">
        <v>0</v>
      </c>
      <c r="O4835">
        <v>-0.99494499999999997</v>
      </c>
      <c r="P4835">
        <v>-6.1779170000000001E-2</v>
      </c>
      <c r="Q4835">
        <v>-4.6570930000000002E-3</v>
      </c>
      <c r="R4835">
        <v>-0.99807919999999895</v>
      </c>
      <c r="S4835">
        <v>-5.3710939999999999E-3</v>
      </c>
      <c r="T4835">
        <v>-0.13269839999999999</v>
      </c>
      <c r="U4835">
        <v>-3.0045929999999998</v>
      </c>
      <c r="V4835">
        <v>-3.7745019999999997E-2</v>
      </c>
      <c r="W4835">
        <v>9.7624340000000004E-3</v>
      </c>
      <c r="X4835">
        <v>0.99923969999999995</v>
      </c>
      <c r="Y4835">
        <v>-9.7590040000000003E-2</v>
      </c>
      <c r="Z4835">
        <v>4.3689390000000002E-2</v>
      </c>
      <c r="AA4835">
        <v>0.99426729999999997</v>
      </c>
      <c r="AB4835">
        <v>29</v>
      </c>
      <c r="AC4835">
        <v>-1.7699999999990699E-2</v>
      </c>
      <c r="AD4835">
        <v>-1.1064610588299999</v>
      </c>
      <c r="AE4835">
        <v>-24.779919999999901</v>
      </c>
      <c r="AF4835">
        <v>-2.4398412528138902</v>
      </c>
      <c r="AG4835">
        <v>-1.1064610588299999</v>
      </c>
      <c r="AH4835">
        <v>24.609971844724999</v>
      </c>
      <c r="AI4835">
        <v>92.561735249777996</v>
      </c>
      <c r="AJ4835">
        <v>95.661822418487702</v>
      </c>
      <c r="AK4835">
        <v>24.755358927145402</v>
      </c>
    </row>
    <row r="4836" spans="1:37" x14ac:dyDescent="0.2">
      <c r="A4836" t="str">
        <f>"20200111155651000"</f>
        <v>20200111155651000</v>
      </c>
      <c r="B4836" t="str">
        <f>"1578729410987571"</f>
        <v>1578729410987571</v>
      </c>
      <c r="C4836" t="s">
        <v>37</v>
      </c>
      <c r="D4836">
        <v>4.4075879999999996</v>
      </c>
      <c r="E4836">
        <v>0.495278</v>
      </c>
      <c r="F4836" t="s">
        <v>38</v>
      </c>
      <c r="G4836">
        <v>-419.14929999999998</v>
      </c>
      <c r="H4836" s="1">
        <v>-1.357379E-6</v>
      </c>
      <c r="I4836">
        <v>92.44511</v>
      </c>
      <c r="J4836">
        <v>-419.04309999999998</v>
      </c>
      <c r="K4836">
        <v>1.1058219999999901</v>
      </c>
      <c r="L4836">
        <v>116.1828</v>
      </c>
      <c r="M4836">
        <v>-9.8650500000000002E-2</v>
      </c>
      <c r="N4836">
        <v>0</v>
      </c>
      <c r="O4836">
        <v>-0.99501620000000002</v>
      </c>
      <c r="P4836">
        <v>-6.3426029999999994E-2</v>
      </c>
      <c r="Q4836">
        <v>-3.190699E-3</v>
      </c>
      <c r="R4836">
        <v>-0.99798159999999903</v>
      </c>
      <c r="S4836">
        <v>-1.6845699999999901E-2</v>
      </c>
      <c r="T4836">
        <v>-0.1382912</v>
      </c>
      <c r="U4836">
        <v>-3.004089</v>
      </c>
      <c r="V4836">
        <v>-3.5374860000000001E-2</v>
      </c>
      <c r="W4836">
        <v>1.124961E-2</v>
      </c>
      <c r="X4836">
        <v>0.99931080000000005</v>
      </c>
      <c r="Y4836">
        <v>-9.3084810000000004E-2</v>
      </c>
      <c r="Z4836">
        <v>4.5549039999999999E-2</v>
      </c>
      <c r="AA4836">
        <v>0.99461569999999899</v>
      </c>
      <c r="AB4836">
        <v>29</v>
      </c>
      <c r="AC4836">
        <v>-0.106200000000001</v>
      </c>
      <c r="AD4836">
        <v>-1.1058233573789999</v>
      </c>
      <c r="AE4836">
        <v>-23.737690000000001</v>
      </c>
      <c r="AF4836">
        <v>-2.2314574760676198</v>
      </c>
      <c r="AG4836">
        <v>-1.1058233573789999</v>
      </c>
      <c r="AH4836">
        <v>23.581179998942499</v>
      </c>
      <c r="AI4836">
        <v>92.672956061210897</v>
      </c>
      <c r="AJ4836">
        <v>95.405730692044202</v>
      </c>
      <c r="AK4836">
        <v>23.712323755966001</v>
      </c>
    </row>
    <row r="4837" spans="1:37" x14ac:dyDescent="0.2">
      <c r="A4837" t="str">
        <f>"20200111155651021"</f>
        <v>20200111155651021</v>
      </c>
      <c r="B4837" t="str">
        <f>"1578729411017827"</f>
        <v>1578729411017827</v>
      </c>
      <c r="C4837" t="s">
        <v>37</v>
      </c>
      <c r="D4837">
        <v>5.7937820000000002</v>
      </c>
      <c r="E4837">
        <v>0.49200259999999901</v>
      </c>
      <c r="F4837" t="s">
        <v>38</v>
      </c>
      <c r="G4837">
        <v>-422.1626</v>
      </c>
      <c r="H4837" s="1">
        <v>-2.637149E-6</v>
      </c>
      <c r="I4837">
        <v>54.395040000000002</v>
      </c>
      <c r="J4837">
        <v>-419.07130000000001</v>
      </c>
      <c r="K4837">
        <v>1.105264</v>
      </c>
      <c r="L4837">
        <v>115.8943</v>
      </c>
      <c r="M4837">
        <v>-9.8712910000000001E-2</v>
      </c>
      <c r="N4837">
        <v>0</v>
      </c>
      <c r="O4837">
        <v>-0.99501030000000001</v>
      </c>
      <c r="P4837">
        <v>-6.5254320000000005E-2</v>
      </c>
      <c r="Q4837">
        <v>-3.3125139999999999E-4</v>
      </c>
      <c r="R4837">
        <v>-0.99786859999999999</v>
      </c>
      <c r="S4837">
        <v>-0.15127560000000001</v>
      </c>
      <c r="T4837">
        <v>-5.3625109999999997E-2</v>
      </c>
      <c r="U4837">
        <v>-2.996292</v>
      </c>
      <c r="V4837">
        <v>-3.3594300000000001E-2</v>
      </c>
      <c r="W4837">
        <v>1.4123749999999999E-2</v>
      </c>
      <c r="X4837">
        <v>0.9993358</v>
      </c>
      <c r="Y4837">
        <v>-4.8428609999999997E-2</v>
      </c>
      <c r="Z4837">
        <v>1.7741489999999999E-2</v>
      </c>
      <c r="AA4837">
        <v>0.99866909999999898</v>
      </c>
      <c r="AB4837">
        <v>29</v>
      </c>
      <c r="AC4837">
        <v>-3.09129999999998</v>
      </c>
      <c r="AD4837">
        <v>-1.1052666371490001</v>
      </c>
      <c r="AE4837">
        <v>-61.49926</v>
      </c>
      <c r="AF4837">
        <v>-2.9942458007520298</v>
      </c>
      <c r="AG4837">
        <v>-1.1052666371490001</v>
      </c>
      <c r="AH4837">
        <v>61.4842057757566</v>
      </c>
      <c r="AI4837">
        <v>91.028643954191097</v>
      </c>
      <c r="AJ4837">
        <v>92.788069125982901</v>
      </c>
      <c r="AK4837">
        <v>61.566993447220497</v>
      </c>
    </row>
    <row r="4838" spans="1:37" x14ac:dyDescent="0.2">
      <c r="A4838" t="str">
        <f>"20200111155651044"</f>
        <v>20200111155651044</v>
      </c>
      <c r="B4838" t="str">
        <f>"1578729411037939"</f>
        <v>1578729411037939</v>
      </c>
      <c r="C4838" t="s">
        <v>37</v>
      </c>
      <c r="D4838">
        <v>4.3587660000000001</v>
      </c>
      <c r="E4838">
        <v>0.49238029999999999</v>
      </c>
      <c r="F4838" t="s">
        <v>38</v>
      </c>
      <c r="G4838">
        <v>-421.4049</v>
      </c>
      <c r="H4838" s="1">
        <v>-1.4975489999999999E-6</v>
      </c>
      <c r="I4838">
        <v>62.208559999999999</v>
      </c>
      <c r="J4838">
        <v>-419.10079999999999</v>
      </c>
      <c r="K4838">
        <v>1.104784</v>
      </c>
      <c r="L4838">
        <v>115.601</v>
      </c>
      <c r="M4838">
        <v>-9.9354999999999999E-2</v>
      </c>
      <c r="N4838">
        <v>0</v>
      </c>
      <c r="O4838">
        <v>-0.99494699999999903</v>
      </c>
      <c r="P4838">
        <v>-6.7469399999999999E-2</v>
      </c>
      <c r="Q4838">
        <v>3.7189689999999999E-3</v>
      </c>
      <c r="R4838">
        <v>-0.99771489999999996</v>
      </c>
      <c r="S4838">
        <v>-0.13031010000000001</v>
      </c>
      <c r="T4838">
        <v>-6.1719059999999999E-2</v>
      </c>
      <c r="U4838">
        <v>-2.9978639999999999</v>
      </c>
      <c r="V4838">
        <v>-3.200153E-2</v>
      </c>
      <c r="W4838">
        <v>1.8181579999999999E-2</v>
      </c>
      <c r="X4838">
        <v>0.99932240000000006</v>
      </c>
      <c r="Y4838">
        <v>-5.6069010000000002E-2</v>
      </c>
      <c r="Z4838">
        <v>2.0404829999999999E-2</v>
      </c>
      <c r="AA4838">
        <v>0.99821839999999995</v>
      </c>
      <c r="AB4838">
        <v>29</v>
      </c>
      <c r="AC4838">
        <v>-2.3041</v>
      </c>
      <c r="AD4838">
        <v>-1.1047854975489999</v>
      </c>
      <c r="AE4838">
        <v>-53.392440000000001</v>
      </c>
      <c r="AF4838">
        <v>-3.0113764848028599</v>
      </c>
      <c r="AG4838">
        <v>-1.1047854975489999</v>
      </c>
      <c r="AH4838">
        <v>53.3343566528388</v>
      </c>
      <c r="AI4838">
        <v>91.184787513186606</v>
      </c>
      <c r="AJ4838">
        <v>93.231616038883701</v>
      </c>
      <c r="AK4838">
        <v>53.430726542889502</v>
      </c>
    </row>
    <row r="4839" spans="1:37" x14ac:dyDescent="0.2">
      <c r="A4839" t="str">
        <f>"20200111155651066"</f>
        <v>20200111155651066</v>
      </c>
      <c r="B4839" t="str">
        <f>"1578729411057460"</f>
        <v>1578729411057460</v>
      </c>
      <c r="C4839" t="s">
        <v>37</v>
      </c>
      <c r="D4839">
        <v>4.3328049999999996</v>
      </c>
      <c r="E4839">
        <v>0.49157909999999999</v>
      </c>
      <c r="F4839" t="s">
        <v>75</v>
      </c>
      <c r="G4839">
        <v>-422.77870000000001</v>
      </c>
      <c r="H4839" s="1">
        <v>-2.0338030000000002E-6</v>
      </c>
      <c r="I4839">
        <v>37.0321</v>
      </c>
      <c r="J4839">
        <v>-419.12979999999999</v>
      </c>
      <c r="K4839">
        <v>1.1043780000000001</v>
      </c>
      <c r="L4839">
        <v>115.3185</v>
      </c>
      <c r="M4839">
        <v>-0.1004828</v>
      </c>
      <c r="N4839">
        <v>0</v>
      </c>
      <c r="O4839">
        <v>-0.994834199999999</v>
      </c>
      <c r="P4839">
        <v>-6.9119420000000001E-2</v>
      </c>
      <c r="Q4839">
        <v>8.0315530000000003E-3</v>
      </c>
      <c r="R4839">
        <v>-0.99757649999999998</v>
      </c>
      <c r="S4839">
        <v>-0.14031979999999999</v>
      </c>
      <c r="T4839">
        <v>-4.2149539999999999E-2</v>
      </c>
      <c r="U4839">
        <v>-2.9975429999999998</v>
      </c>
      <c r="V4839">
        <v>-3.1454589999999998E-2</v>
      </c>
      <c r="W4839">
        <v>2.2495580000000001E-2</v>
      </c>
      <c r="X4839">
        <v>0.99925200000000003</v>
      </c>
      <c r="Y4839">
        <v>-5.3864199999999897E-2</v>
      </c>
      <c r="Z4839">
        <v>1.393546E-2</v>
      </c>
      <c r="AA4839">
        <v>0.99845110000000004</v>
      </c>
      <c r="AB4839">
        <v>29</v>
      </c>
      <c r="AC4839">
        <v>-3.6489000000000198</v>
      </c>
      <c r="AD4839">
        <v>-1.1043800338030001</v>
      </c>
      <c r="AE4839">
        <v>-78.2864</v>
      </c>
      <c r="AF4839">
        <v>-4.2359859158096196</v>
      </c>
      <c r="AG4839">
        <v>-1.1043800338030001</v>
      </c>
      <c r="AH4839">
        <v>78.241247020707803</v>
      </c>
      <c r="AI4839">
        <v>90.807497339930293</v>
      </c>
      <c r="AJ4839">
        <v>93.098971536199301</v>
      </c>
      <c r="AK4839">
        <v>78.363613796796102</v>
      </c>
    </row>
    <row r="4840" spans="1:37" x14ac:dyDescent="0.2">
      <c r="A4840" t="str">
        <f>"20200111155651088"</f>
        <v>20200111155651088</v>
      </c>
      <c r="B4840" t="str">
        <f>"1578729411077955"</f>
        <v>1578729411077955</v>
      </c>
      <c r="C4840" t="s">
        <v>37</v>
      </c>
      <c r="D4840">
        <v>4.4017970000000002</v>
      </c>
      <c r="E4840">
        <v>0.48900569999999999</v>
      </c>
      <c r="F4840" t="s">
        <v>75</v>
      </c>
      <c r="G4840">
        <v>-423.35629999999998</v>
      </c>
      <c r="H4840" s="1">
        <v>-8.2556350000000001E-6</v>
      </c>
      <c r="I4840">
        <v>23.885549999999999</v>
      </c>
      <c r="J4840">
        <v>-419.16059999999999</v>
      </c>
      <c r="K4840">
        <v>1.1040000000000001</v>
      </c>
      <c r="L4840">
        <v>115.0271</v>
      </c>
      <c r="M4840">
        <v>-0.1021315</v>
      </c>
      <c r="N4840">
        <v>0</v>
      </c>
      <c r="O4840">
        <v>-0.99466659999999996</v>
      </c>
      <c r="P4840">
        <v>-7.1566660000000004E-2</v>
      </c>
      <c r="Q4840">
        <v>1.1994309999999999E-2</v>
      </c>
      <c r="R4840">
        <v>-0.99736380000000002</v>
      </c>
      <c r="S4840">
        <v>-0.13858029999999999</v>
      </c>
      <c r="T4840">
        <v>-3.6211609999999998E-2</v>
      </c>
      <c r="U4840">
        <v>-2.997986</v>
      </c>
      <c r="V4840">
        <v>-3.0624439999999999E-2</v>
      </c>
      <c r="W4840">
        <v>2.6458820000000001E-2</v>
      </c>
      <c r="X4840">
        <v>0.99918069999999903</v>
      </c>
      <c r="Y4840">
        <v>-5.6102770000000003E-2</v>
      </c>
      <c r="Z4840">
        <v>1.1967190000000001E-2</v>
      </c>
      <c r="AA4840">
        <v>0.9983533</v>
      </c>
      <c r="AB4840">
        <v>29</v>
      </c>
      <c r="AC4840">
        <v>-4.19569999999998</v>
      </c>
      <c r="AD4840">
        <v>-1.1040082556349999</v>
      </c>
      <c r="AE4840">
        <v>-91.141549999999995</v>
      </c>
      <c r="AF4840">
        <v>-5.1348816039217002</v>
      </c>
      <c r="AG4840">
        <v>-1.1040082556349999</v>
      </c>
      <c r="AH4840">
        <v>91.080085049477105</v>
      </c>
      <c r="AI4840">
        <v>90.693363905915405</v>
      </c>
      <c r="AJ4840">
        <v>93.226785862857199</v>
      </c>
      <c r="AK4840">
        <v>91.231396656714494</v>
      </c>
    </row>
    <row r="4841" spans="1:37" x14ac:dyDescent="0.2">
      <c r="A4841" t="str">
        <f>"20200111155651111"</f>
        <v>20200111155651111</v>
      </c>
      <c r="B4841" t="str">
        <f>"1578729411108211"</f>
        <v>1578729411108211</v>
      </c>
      <c r="C4841" t="s">
        <v>37</v>
      </c>
      <c r="D4841">
        <v>4.338876</v>
      </c>
      <c r="E4841">
        <v>0.48613669999999998</v>
      </c>
      <c r="F4841" t="s">
        <v>78</v>
      </c>
      <c r="G4841">
        <v>-423.94459999999998</v>
      </c>
      <c r="H4841">
        <v>0.22799349999999999</v>
      </c>
      <c r="I4841">
        <v>0.43727109999999902</v>
      </c>
      <c r="J4841">
        <v>-419.19279999999998</v>
      </c>
      <c r="K4841">
        <v>1.1036299999999899</v>
      </c>
      <c r="L4841">
        <v>114.73220000000001</v>
      </c>
      <c r="M4841">
        <v>-0.1042289</v>
      </c>
      <c r="N4841">
        <v>0</v>
      </c>
      <c r="O4841">
        <v>-0.99444940000000004</v>
      </c>
      <c r="P4841">
        <v>-7.4159100000000006E-2</v>
      </c>
      <c r="Q4841">
        <v>1.519212E-2</v>
      </c>
      <c r="R4841">
        <v>-0.99713090000000004</v>
      </c>
      <c r="S4841">
        <v>-0.12521360000000001</v>
      </c>
      <c r="T4841">
        <v>-2.292895E-2</v>
      </c>
      <c r="U4841">
        <v>-2.9992220000000001</v>
      </c>
      <c r="V4841">
        <v>-3.009477E-2</v>
      </c>
      <c r="W4841">
        <v>2.9659990000000001E-2</v>
      </c>
      <c r="X4841">
        <v>0.99910689999999902</v>
      </c>
      <c r="Y4841">
        <v>-6.2665040000000005E-2</v>
      </c>
      <c r="Z4841">
        <v>7.57151099999999E-3</v>
      </c>
      <c r="AA4841">
        <v>0.9980059</v>
      </c>
      <c r="AB4841">
        <v>29</v>
      </c>
      <c r="AC4841">
        <v>-4.7518000000000002</v>
      </c>
      <c r="AD4841">
        <v>-0.87563649999999904</v>
      </c>
      <c r="AE4841">
        <v>-114.2949289</v>
      </c>
      <c r="AF4841">
        <v>-7.1877319389751699</v>
      </c>
      <c r="AG4841">
        <v>-0.87563649999999904</v>
      </c>
      <c r="AH4841">
        <v>114.160910741263</v>
      </c>
      <c r="AI4841">
        <v>90.438592782717095</v>
      </c>
      <c r="AJ4841">
        <v>93.602667611126293</v>
      </c>
      <c r="AK4841">
        <v>114.390313274251</v>
      </c>
    </row>
    <row r="4842" spans="1:37" x14ac:dyDescent="0.2">
      <c r="A4842" t="str">
        <f>"20200111155651134"</f>
        <v>20200111155651134</v>
      </c>
      <c r="B4842" t="str">
        <f>"1578729411127731"</f>
        <v>1578729411127731</v>
      </c>
      <c r="C4842" t="s">
        <v>37</v>
      </c>
      <c r="D4842">
        <v>4.3957899999999999</v>
      </c>
      <c r="E4842">
        <v>0.48478209999999999</v>
      </c>
      <c r="F4842" t="s">
        <v>78</v>
      </c>
      <c r="G4842">
        <v>-423.39599999999899</v>
      </c>
      <c r="H4842">
        <v>0.66884929999999998</v>
      </c>
      <c r="I4842">
        <v>0.44284819999999903</v>
      </c>
      <c r="J4842">
        <v>-419.226</v>
      </c>
      <c r="K4842">
        <v>1.103286</v>
      </c>
      <c r="L4842">
        <v>114.43770000000001</v>
      </c>
      <c r="M4842">
        <v>-0.1066841</v>
      </c>
      <c r="N4842">
        <v>0</v>
      </c>
      <c r="O4842">
        <v>-0.99418899999999999</v>
      </c>
      <c r="P4842">
        <v>-7.6070869999999999E-2</v>
      </c>
      <c r="Q4842">
        <v>1.691229E-2</v>
      </c>
      <c r="R4842">
        <v>-0.99695889999999998</v>
      </c>
      <c r="S4842">
        <v>-0.11035159999999999</v>
      </c>
      <c r="T4842">
        <v>-1.141548E-2</v>
      </c>
      <c r="U4842">
        <v>-3.0005950000000001</v>
      </c>
      <c r="V4842">
        <v>-3.0610060000000001E-2</v>
      </c>
      <c r="W4842">
        <v>3.1390580000000001E-2</v>
      </c>
      <c r="X4842">
        <v>0.99903829999999905</v>
      </c>
      <c r="Y4842">
        <v>-7.0081379999999999E-2</v>
      </c>
      <c r="Z4842">
        <v>3.7658759999999901E-3</v>
      </c>
      <c r="AA4842">
        <v>0.99753419999999904</v>
      </c>
      <c r="AB4842">
        <v>29</v>
      </c>
      <c r="AC4842">
        <v>-4.1699999999999502</v>
      </c>
      <c r="AD4842">
        <v>-0.43443669999999901</v>
      </c>
      <c r="AE4842">
        <v>-113.99485180000001</v>
      </c>
      <c r="AF4842">
        <v>-8.0163824541705306</v>
      </c>
      <c r="AG4842">
        <v>-0.43443669999999901</v>
      </c>
      <c r="AH4842">
        <v>113.787412691264</v>
      </c>
      <c r="AI4842">
        <v>90.218211543058004</v>
      </c>
      <c r="AJ4842">
        <v>94.029859191407397</v>
      </c>
      <c r="AK4842">
        <v>114.07026961426</v>
      </c>
    </row>
    <row r="4843" spans="1:37" x14ac:dyDescent="0.2">
      <c r="A4843" t="str">
        <f>"20200111155651155"</f>
        <v>20200111155651155</v>
      </c>
      <c r="B4843" t="str">
        <f>"1578729411148172"</f>
        <v>1578729411148172</v>
      </c>
      <c r="C4843" t="s">
        <v>37</v>
      </c>
      <c r="D4843">
        <v>4.3506159999999996</v>
      </c>
      <c r="E4843">
        <v>0.48338629999999999</v>
      </c>
      <c r="F4843" t="s">
        <v>78</v>
      </c>
      <c r="G4843">
        <v>-423.2296</v>
      </c>
      <c r="H4843">
        <v>0.84686450000000002</v>
      </c>
      <c r="I4843">
        <v>0.44454379999999999</v>
      </c>
      <c r="J4843">
        <v>-419.25869999999998</v>
      </c>
      <c r="K4843">
        <v>1.1029879999999901</v>
      </c>
      <c r="L4843">
        <v>114.1574</v>
      </c>
      <c r="M4843">
        <v>-0.1093105</v>
      </c>
      <c r="N4843">
        <v>0</v>
      </c>
      <c r="O4843">
        <v>-0.99390409999999996</v>
      </c>
      <c r="P4843">
        <v>-7.7318109999999995E-2</v>
      </c>
      <c r="Q4843">
        <v>1.61835E-2</v>
      </c>
      <c r="R4843">
        <v>-0.99687519999999996</v>
      </c>
      <c r="S4843">
        <v>-0.10540769999999999</v>
      </c>
      <c r="T4843">
        <v>-6.7517760000000001E-3</v>
      </c>
      <c r="U4843">
        <v>-3.0012050000000001</v>
      </c>
      <c r="V4843">
        <v>-3.198223E-2</v>
      </c>
      <c r="W4843">
        <v>3.0675190000000001E-2</v>
      </c>
      <c r="X4843">
        <v>0.99901759999999995</v>
      </c>
      <c r="Y4843">
        <v>-7.4364669999999994E-2</v>
      </c>
      <c r="Z4843">
        <v>2.225669E-3</v>
      </c>
      <c r="AA4843">
        <v>0.99722860000000002</v>
      </c>
      <c r="AB4843">
        <v>29</v>
      </c>
      <c r="AC4843">
        <v>-3.9709000000000199</v>
      </c>
      <c r="AD4843">
        <v>-0.256123499999999</v>
      </c>
      <c r="AE4843">
        <v>-113.712856199999</v>
      </c>
      <c r="AF4843">
        <v>-8.4841456873877199</v>
      </c>
      <c r="AG4843">
        <v>-0.256123499999999</v>
      </c>
      <c r="AH4843">
        <v>113.464839428034</v>
      </c>
      <c r="AI4843">
        <v>90.128973154910199</v>
      </c>
      <c r="AJ4843">
        <v>94.276239427550394</v>
      </c>
      <c r="AK4843">
        <v>113.781879549081</v>
      </c>
    </row>
    <row r="4844" spans="1:37" x14ac:dyDescent="0.2">
      <c r="A4844" t="str">
        <f>"20200111155651193"</f>
        <v>20200111155651193</v>
      </c>
      <c r="B4844" t="str">
        <f>"1578729411188188"</f>
        <v>1578729411188188</v>
      </c>
      <c r="C4844" t="s">
        <v>37</v>
      </c>
      <c r="D4844">
        <v>3.9336790000000001</v>
      </c>
      <c r="E4844">
        <v>0.44179359999999901</v>
      </c>
      <c r="F4844" t="s">
        <v>78</v>
      </c>
      <c r="G4844">
        <v>-422.95310000000001</v>
      </c>
      <c r="H4844">
        <v>0.67762449999999996</v>
      </c>
      <c r="I4844">
        <v>0.44735720000000001</v>
      </c>
      <c r="J4844">
        <v>-419.31729999999999</v>
      </c>
      <c r="K4844">
        <v>1.102611</v>
      </c>
      <c r="L4844">
        <v>113.6771</v>
      </c>
      <c r="M4844">
        <v>-0.1143627</v>
      </c>
      <c r="N4844">
        <v>0</v>
      </c>
      <c r="O4844">
        <v>-0.99333570000000004</v>
      </c>
      <c r="P4844">
        <v>-8.0312449999999994E-2</v>
      </c>
      <c r="Q4844">
        <v>1.374158E-2</v>
      </c>
      <c r="R4844">
        <v>-0.99667510000000004</v>
      </c>
      <c r="S4844">
        <v>-9.7534179999999998E-2</v>
      </c>
      <c r="T4844">
        <v>-1.123059E-2</v>
      </c>
      <c r="U4844">
        <v>-3.002014</v>
      </c>
      <c r="V4844">
        <v>-3.4051079999999997E-2</v>
      </c>
      <c r="W4844">
        <v>2.825343E-2</v>
      </c>
      <c r="X4844">
        <v>0.99902060000000004</v>
      </c>
      <c r="Y4844">
        <v>-8.2054989999999994E-2</v>
      </c>
      <c r="Z4844">
        <v>3.6969070000000001E-3</v>
      </c>
      <c r="AA4844">
        <v>0.99662099999999898</v>
      </c>
      <c r="AB4844">
        <v>29</v>
      </c>
      <c r="AC4844">
        <v>-3.6358000000000099</v>
      </c>
      <c r="AD4844">
        <v>-0.42498649999999999</v>
      </c>
      <c r="AE4844">
        <v>-113.2297428</v>
      </c>
      <c r="AF4844">
        <v>-9.3385166908323498</v>
      </c>
      <c r="AG4844">
        <v>-0.42498649999999999</v>
      </c>
      <c r="AH4844">
        <v>112.900950318338</v>
      </c>
      <c r="AI4844">
        <v>90.214940149538094</v>
      </c>
      <c r="AJ4844">
        <v>94.728413282240695</v>
      </c>
      <c r="AK4844">
        <v>113.287303305772</v>
      </c>
    </row>
    <row r="4845" spans="1:37" x14ac:dyDescent="0.2">
      <c r="A4845" t="str">
        <f>"20200111155651212"</f>
        <v>20200111155651212</v>
      </c>
      <c r="B4845" t="str">
        <f>"1578729411207707"</f>
        <v>1578729411207707</v>
      </c>
      <c r="C4845" t="s">
        <v>37</v>
      </c>
      <c r="D4845">
        <v>4.0415409999999996</v>
      </c>
      <c r="E4845">
        <v>0.44055230000000001</v>
      </c>
      <c r="F4845" t="s">
        <v>78</v>
      </c>
      <c r="G4845">
        <v>-411.03320000000002</v>
      </c>
      <c r="H4845">
        <v>3.0050539999999999</v>
      </c>
      <c r="I4845">
        <v>0.56858830000000005</v>
      </c>
      <c r="J4845">
        <v>-419.34890000000001</v>
      </c>
      <c r="K4845">
        <v>1.102473</v>
      </c>
      <c r="L4845">
        <v>113.42829999999999</v>
      </c>
      <c r="M4845">
        <v>-0.1171668</v>
      </c>
      <c r="N4845">
        <v>0</v>
      </c>
      <c r="O4845">
        <v>-0.99300900000000003</v>
      </c>
      <c r="P4845">
        <v>-8.1527310000000006E-2</v>
      </c>
      <c r="Q4845">
        <v>1.1271949999999999E-2</v>
      </c>
      <c r="R4845">
        <v>-0.99660729999999997</v>
      </c>
      <c r="S4845">
        <v>0.2217102</v>
      </c>
      <c r="T4845">
        <v>5.0914880000000003E-2</v>
      </c>
      <c r="U4845">
        <v>-3.027161</v>
      </c>
      <c r="V4845">
        <v>-3.566449E-2</v>
      </c>
      <c r="W4845">
        <v>2.5794810000000001E-2</v>
      </c>
      <c r="X4845">
        <v>0.99903090000000005</v>
      </c>
      <c r="Y4845">
        <v>-0.18939710000000001</v>
      </c>
      <c r="Z4845">
        <v>-1.6468710000000001E-2</v>
      </c>
      <c r="AA4845">
        <v>0.98176249999999998</v>
      </c>
      <c r="AB4845">
        <v>29</v>
      </c>
      <c r="AC4845">
        <v>8.3156999999999908</v>
      </c>
      <c r="AD4845">
        <v>1.9025810000000001</v>
      </c>
      <c r="AE4845">
        <v>-112.85971170000001</v>
      </c>
      <c r="AF4845">
        <v>-21.477108450385298</v>
      </c>
      <c r="AG4845">
        <v>1.9025810000000001</v>
      </c>
      <c r="AH4845">
        <v>111.076382023842</v>
      </c>
      <c r="AI4845">
        <v>89.036541640422399</v>
      </c>
      <c r="AJ4845">
        <v>100.943349566509</v>
      </c>
      <c r="AK4845">
        <v>113.149673642294</v>
      </c>
    </row>
    <row r="4846" spans="1:37" x14ac:dyDescent="0.2">
      <c r="A4846" t="str">
        <f>"20200111155651234"</f>
        <v>20200111155651234</v>
      </c>
      <c r="B4846" t="str">
        <f>"1578729411228202"</f>
        <v>1578729411228202</v>
      </c>
      <c r="C4846" t="s">
        <v>37</v>
      </c>
      <c r="D4846">
        <v>4.0835900000000001</v>
      </c>
      <c r="E4846">
        <v>0.44099460000000001</v>
      </c>
      <c r="F4846" t="s">
        <v>78</v>
      </c>
      <c r="G4846">
        <v>-410.85750000000002</v>
      </c>
      <c r="H4846">
        <v>3.0495540000000001</v>
      </c>
      <c r="I4846">
        <v>0.57037539999999998</v>
      </c>
      <c r="J4846">
        <v>-419.38569999999999</v>
      </c>
      <c r="K4846">
        <v>1.102368</v>
      </c>
      <c r="L4846">
        <v>113.14579999999999</v>
      </c>
      <c r="M4846">
        <v>-0.12044049999999901</v>
      </c>
      <c r="N4846">
        <v>0</v>
      </c>
      <c r="O4846">
        <v>-0.99261749999999904</v>
      </c>
      <c r="P4846">
        <v>-8.2766640000000002E-2</v>
      </c>
      <c r="Q4846">
        <v>8.851945E-3</v>
      </c>
      <c r="R4846">
        <v>-0.99652969999999896</v>
      </c>
      <c r="S4846">
        <v>0.2278442</v>
      </c>
      <c r="T4846">
        <v>5.2244190000000003E-2</v>
      </c>
      <c r="U4846">
        <v>-3.0282589999999998</v>
      </c>
      <c r="V4846">
        <v>-3.772793E-2</v>
      </c>
      <c r="W4846">
        <v>2.338465E-2</v>
      </c>
      <c r="X4846">
        <v>0.99901439999999997</v>
      </c>
      <c r="Y4846">
        <v>-0.19458339999999999</v>
      </c>
      <c r="Z4846">
        <v>-1.687228E-2</v>
      </c>
      <c r="AA4846">
        <v>0.98074079999999997</v>
      </c>
      <c r="AB4846">
        <v>29</v>
      </c>
      <c r="AC4846">
        <v>8.5281999999999698</v>
      </c>
      <c r="AD4846">
        <v>1.9471860000000001</v>
      </c>
      <c r="AE4846">
        <v>-112.57542460000001</v>
      </c>
      <c r="AF4846">
        <v>-22.019584055082799</v>
      </c>
      <c r="AG4846">
        <v>1.9471860000000001</v>
      </c>
      <c r="AH4846">
        <v>110.69559454996001</v>
      </c>
      <c r="AI4846">
        <v>89.011606357823297</v>
      </c>
      <c r="AJ4846">
        <v>101.250428831061</v>
      </c>
      <c r="AK4846">
        <v>112.881213087239</v>
      </c>
    </row>
    <row r="4847" spans="1:37" x14ac:dyDescent="0.2">
      <c r="A4847" t="str">
        <f>"20200111155651289"</f>
        <v>20200111155651289</v>
      </c>
      <c r="B4847" t="str">
        <f>"1578729411277979"</f>
        <v>1578729411277979</v>
      </c>
      <c r="C4847" t="s">
        <v>37</v>
      </c>
      <c r="D4847">
        <v>4.4602789999999999</v>
      </c>
      <c r="E4847">
        <v>0.44610459999999902</v>
      </c>
      <c r="F4847" t="s">
        <v>78</v>
      </c>
      <c r="G4847">
        <v>-411.18669999999997</v>
      </c>
      <c r="H4847">
        <v>2.852328</v>
      </c>
      <c r="I4847">
        <v>0.56702419999999998</v>
      </c>
      <c r="J4847">
        <v>-419.48309999999998</v>
      </c>
      <c r="K4847">
        <v>1.1022730000000001</v>
      </c>
      <c r="L4847">
        <v>112.4335</v>
      </c>
      <c r="M4847">
        <v>-0.12883039999999901</v>
      </c>
      <c r="N4847">
        <v>0</v>
      </c>
      <c r="O4847">
        <v>-0.99156369999999905</v>
      </c>
      <c r="P4847">
        <v>-8.6821860000000001E-2</v>
      </c>
      <c r="Q4847">
        <v>5.2467919999999897E-3</v>
      </c>
      <c r="R4847">
        <v>-0.99621009999999999</v>
      </c>
      <c r="S4847">
        <v>0.22055050000000001</v>
      </c>
      <c r="T4847">
        <v>4.7072889999999999E-2</v>
      </c>
      <c r="U4847">
        <v>-3.0283509999999998</v>
      </c>
      <c r="V4847">
        <v>-4.2132450000000002E-2</v>
      </c>
      <c r="W4847">
        <v>1.9790140000000001E-2</v>
      </c>
      <c r="X4847">
        <v>0.99891600000000003</v>
      </c>
      <c r="Y4847">
        <v>-0.20052539999999999</v>
      </c>
      <c r="Z4847">
        <v>-1.516964E-2</v>
      </c>
      <c r="AA4847">
        <v>0.97957099999999897</v>
      </c>
      <c r="AB4847">
        <v>29</v>
      </c>
      <c r="AC4847">
        <v>8.2964000000000002</v>
      </c>
      <c r="AD4847">
        <v>1.7500549999999999</v>
      </c>
      <c r="AE4847">
        <v>-111.86647579999899</v>
      </c>
      <c r="AF4847">
        <v>-22.6350137600521</v>
      </c>
      <c r="AG4847">
        <v>1.7500549999999999</v>
      </c>
      <c r="AH4847">
        <v>109.838388842901</v>
      </c>
      <c r="AI4847">
        <v>89.105966616662201</v>
      </c>
      <c r="AJ4847">
        <v>101.644256532619</v>
      </c>
      <c r="AK4847">
        <v>112.160056187687</v>
      </c>
    </row>
    <row r="4848" spans="1:37" x14ac:dyDescent="0.2">
      <c r="A4848" t="str">
        <f>"20200111155651313"</f>
        <v>20200111155651313</v>
      </c>
      <c r="B4848" t="str">
        <f>"1578729411308235"</f>
        <v>1578729411308235</v>
      </c>
      <c r="C4848" t="s">
        <v>37</v>
      </c>
      <c r="D4848">
        <v>4.6028599999999997</v>
      </c>
      <c r="E4848">
        <v>0.45468229999999998</v>
      </c>
      <c r="F4848" t="s">
        <v>78</v>
      </c>
      <c r="G4848">
        <v>-413.27890000000002</v>
      </c>
      <c r="H4848">
        <v>2.0480339999999999</v>
      </c>
      <c r="I4848">
        <v>0.54574780000000001</v>
      </c>
      <c r="J4848">
        <v>-419.52440000000001</v>
      </c>
      <c r="K4848">
        <v>1.102271</v>
      </c>
      <c r="L4848">
        <v>112.1438</v>
      </c>
      <c r="M4848">
        <v>-0.13222439999999999</v>
      </c>
      <c r="N4848">
        <v>0</v>
      </c>
      <c r="O4848">
        <v>-0.99111680000000002</v>
      </c>
      <c r="P4848">
        <v>-8.8493039999999995E-2</v>
      </c>
      <c r="Q4848">
        <v>5.1245800000000001E-3</v>
      </c>
      <c r="R4848">
        <v>-0.99606360000000005</v>
      </c>
      <c r="S4848">
        <v>0.16778560000000001</v>
      </c>
      <c r="T4848">
        <v>2.557659E-2</v>
      </c>
      <c r="U4848">
        <v>-3.0258940000000001</v>
      </c>
      <c r="V4848">
        <v>-4.3877729999999997E-2</v>
      </c>
      <c r="W4848">
        <v>1.967E-2</v>
      </c>
      <c r="X4848">
        <v>0.99884329999999999</v>
      </c>
      <c r="Y4848">
        <v>-0.18691179999999999</v>
      </c>
      <c r="Z4848">
        <v>-8.2599730000000003E-3</v>
      </c>
      <c r="AA4848">
        <v>0.98234200000000005</v>
      </c>
      <c r="AB4848">
        <v>29</v>
      </c>
      <c r="AC4848">
        <v>6.2454999999999901</v>
      </c>
      <c r="AD4848">
        <v>0.94576299999999902</v>
      </c>
      <c r="AE4848">
        <v>-111.5980522</v>
      </c>
      <c r="AF4848">
        <v>-20.946644637211001</v>
      </c>
      <c r="AG4848">
        <v>0.94576299999999902</v>
      </c>
      <c r="AH4848">
        <v>109.78424686778401</v>
      </c>
      <c r="AI4848">
        <v>89.515169399331697</v>
      </c>
      <c r="AJ4848">
        <v>100.80210465712</v>
      </c>
      <c r="AK4848">
        <v>111.768677408012</v>
      </c>
    </row>
    <row r="4849" spans="1:37" x14ac:dyDescent="0.2">
      <c r="A4849" t="str">
        <f>"20200111155651326"</f>
        <v>20200111155651326</v>
      </c>
      <c r="B4849" t="str">
        <f>"1578729411317995"</f>
        <v>1578729411317995</v>
      </c>
      <c r="C4849" t="s">
        <v>37</v>
      </c>
      <c r="D4849">
        <v>4.3128120000000001</v>
      </c>
      <c r="E4849">
        <v>0.45638079999999998</v>
      </c>
      <c r="F4849" t="s">
        <v>78</v>
      </c>
      <c r="G4849">
        <v>-416.04270000000002</v>
      </c>
      <c r="H4849">
        <v>1.4066069999999999</v>
      </c>
      <c r="I4849">
        <v>1.2772539999999999</v>
      </c>
      <c r="J4849">
        <v>-419.55029999999999</v>
      </c>
      <c r="K4849">
        <v>1.1022749999999999</v>
      </c>
      <c r="L4849">
        <v>111.9662</v>
      </c>
      <c r="M4849">
        <v>-0.13428789999999999</v>
      </c>
      <c r="N4849">
        <v>0</v>
      </c>
      <c r="O4849">
        <v>-0.99083949999999998</v>
      </c>
      <c r="P4849">
        <v>-8.9661690000000002E-2</v>
      </c>
      <c r="Q4849">
        <v>5.1350179999999999E-3</v>
      </c>
      <c r="R4849">
        <v>-0.99595929999999999</v>
      </c>
      <c r="S4849">
        <v>9.4848630000000003E-2</v>
      </c>
      <c r="T4849">
        <v>8.2900519999999991E-3</v>
      </c>
      <c r="U4849">
        <v>-3.0202330000000002</v>
      </c>
      <c r="V4849">
        <v>-4.4785499999999999E-2</v>
      </c>
      <c r="W4849">
        <v>1.9680489999999998E-2</v>
      </c>
      <c r="X4849">
        <v>0.99880279999999999</v>
      </c>
      <c r="Y4849">
        <v>-0.16533989999999901</v>
      </c>
      <c r="Z4849">
        <v>-2.6879509999999901E-3</v>
      </c>
      <c r="AA4849">
        <v>0.98623300000000003</v>
      </c>
      <c r="AB4849">
        <v>29</v>
      </c>
      <c r="AC4849">
        <v>3.5075999999999601</v>
      </c>
      <c r="AD4849">
        <v>0.30433199999999999</v>
      </c>
      <c r="AE4849">
        <v>-110.688946</v>
      </c>
      <c r="AF4849">
        <v>-18.341385741849301</v>
      </c>
      <c r="AG4849">
        <v>0.30433199999999999</v>
      </c>
      <c r="AH4849">
        <v>109.214258957269</v>
      </c>
      <c r="AI4849">
        <v>89.842547253208394</v>
      </c>
      <c r="AJ4849">
        <v>99.5332633068071</v>
      </c>
      <c r="AK4849">
        <v>110.74408972258</v>
      </c>
    </row>
    <row r="4850" spans="1:37" x14ac:dyDescent="0.2">
      <c r="A4850" t="str">
        <f>"20200111155651340"</f>
        <v>20200111155651340</v>
      </c>
      <c r="B4850" t="str">
        <f>"1578729411337515"</f>
        <v>1578729411337515</v>
      </c>
      <c r="C4850" t="s">
        <v>37</v>
      </c>
      <c r="D4850">
        <v>4.4040220000000003</v>
      </c>
      <c r="E4850">
        <v>0.45850999999999997</v>
      </c>
      <c r="F4850" t="s">
        <v>78</v>
      </c>
      <c r="G4850">
        <v>-416.68270000000001</v>
      </c>
      <c r="H4850">
        <v>1.2320040000000001</v>
      </c>
      <c r="I4850">
        <v>1.2747269999999999</v>
      </c>
      <c r="J4850">
        <v>-419.5772</v>
      </c>
      <c r="K4850">
        <v>1.1022860000000001</v>
      </c>
      <c r="L4850">
        <v>111.7837</v>
      </c>
      <c r="M4850">
        <v>-0.13639689999999999</v>
      </c>
      <c r="N4850">
        <v>0</v>
      </c>
      <c r="O4850">
        <v>-0.99055159999999998</v>
      </c>
      <c r="P4850">
        <v>-9.0781089999999995E-2</v>
      </c>
      <c r="Q4850">
        <v>5.4431069999999896E-3</v>
      </c>
      <c r="R4850">
        <v>-0.99585630000000003</v>
      </c>
      <c r="S4850">
        <v>7.8216549999999996E-2</v>
      </c>
      <c r="T4850">
        <v>3.537774E-3</v>
      </c>
      <c r="U4850">
        <v>-3.0192109999999999</v>
      </c>
      <c r="V4850">
        <v>-4.578774E-2</v>
      </c>
      <c r="W4850">
        <v>1.998894E-2</v>
      </c>
      <c r="X4850">
        <v>0.99875119999999895</v>
      </c>
      <c r="Y4850">
        <v>-0.16202049999999901</v>
      </c>
      <c r="Z4850">
        <v>-1.1473810000000001E-3</v>
      </c>
      <c r="AA4850">
        <v>0.98678670000000002</v>
      </c>
      <c r="AB4850">
        <v>29</v>
      </c>
      <c r="AC4850">
        <v>2.8944999999999901</v>
      </c>
      <c r="AD4850">
        <v>0.129718</v>
      </c>
      <c r="AE4850">
        <v>-110.508973</v>
      </c>
      <c r="AF4850">
        <v>-17.942033161279699</v>
      </c>
      <c r="AG4850">
        <v>0.129718</v>
      </c>
      <c r="AH4850">
        <v>109.08098384390701</v>
      </c>
      <c r="AI4850">
        <v>89.932767879243997</v>
      </c>
      <c r="AJ4850">
        <v>99.340579467085902</v>
      </c>
      <c r="AK4850">
        <v>110.546797407589</v>
      </c>
    </row>
    <row r="4851" spans="1:37" x14ac:dyDescent="0.2">
      <c r="A4851" t="str">
        <f>"20200111155651354"</f>
        <v>20200111155651354</v>
      </c>
      <c r="B4851" t="str">
        <f>"1578729411348251"</f>
        <v>1578729411348251</v>
      </c>
      <c r="C4851" t="s">
        <v>37</v>
      </c>
      <c r="D4851">
        <v>4.4745699999999999</v>
      </c>
      <c r="E4851">
        <v>0.4595339</v>
      </c>
      <c r="F4851" t="s">
        <v>78</v>
      </c>
      <c r="G4851">
        <v>-417.44130000000001</v>
      </c>
      <c r="H4851">
        <v>0.93692169999999897</v>
      </c>
      <c r="I4851">
        <v>0.50341219999999998</v>
      </c>
      <c r="J4851">
        <v>-419.60489999999999</v>
      </c>
      <c r="K4851">
        <v>1.102304</v>
      </c>
      <c r="L4851">
        <v>111.59950000000001</v>
      </c>
      <c r="M4851">
        <v>-0.1385044</v>
      </c>
      <c r="N4851">
        <v>0</v>
      </c>
      <c r="O4851">
        <v>-0.99025909999999995</v>
      </c>
      <c r="P4851">
        <v>-9.2020649999999996E-2</v>
      </c>
      <c r="Q4851">
        <v>6.2746109999999898E-3</v>
      </c>
      <c r="R4851">
        <v>-0.99573739999999999</v>
      </c>
      <c r="S4851">
        <v>5.7922359999999999E-2</v>
      </c>
      <c r="T4851">
        <v>-4.4852499999999997E-3</v>
      </c>
      <c r="U4851">
        <v>-3.017792</v>
      </c>
      <c r="V4851">
        <v>-4.666464E-2</v>
      </c>
      <c r="W4851">
        <v>2.0818940000000001E-2</v>
      </c>
      <c r="X4851">
        <v>0.99869359999999996</v>
      </c>
      <c r="Y4851">
        <v>-0.157498</v>
      </c>
      <c r="Z4851">
        <v>1.455357E-3</v>
      </c>
      <c r="AA4851">
        <v>0.98751829999999996</v>
      </c>
      <c r="AB4851">
        <v>29</v>
      </c>
      <c r="AC4851">
        <v>2.16359999999997</v>
      </c>
      <c r="AD4851">
        <v>-0.16538230000000001</v>
      </c>
      <c r="AE4851">
        <v>-111.09608780000001</v>
      </c>
      <c r="AF4851">
        <v>-17.531566194253799</v>
      </c>
      <c r="AG4851">
        <v>-0.16538230000000001</v>
      </c>
      <c r="AH4851">
        <v>109.725162901557</v>
      </c>
      <c r="AI4851">
        <v>90.085276858323894</v>
      </c>
      <c r="AJ4851">
        <v>99.077822956214902</v>
      </c>
      <c r="AK4851">
        <v>111.11703082021999</v>
      </c>
    </row>
    <row r="4852" spans="1:37" x14ac:dyDescent="0.2">
      <c r="A4852" t="str">
        <f>"20200111155651367"</f>
        <v>20200111155651367</v>
      </c>
      <c r="B4852" t="str">
        <f>"1578729411358011"</f>
        <v>1578729411358011</v>
      </c>
      <c r="C4852" t="s">
        <v>37</v>
      </c>
      <c r="D4852">
        <v>4.3881899999999998</v>
      </c>
      <c r="E4852">
        <v>0.46043790000000001</v>
      </c>
      <c r="F4852" t="s">
        <v>78</v>
      </c>
      <c r="G4852">
        <v>-417.89109999999999</v>
      </c>
      <c r="H4852">
        <v>0.85778140000000003</v>
      </c>
      <c r="I4852">
        <v>0.49883459999999902</v>
      </c>
      <c r="J4852">
        <v>-419.6293</v>
      </c>
      <c r="K4852">
        <v>1.10233799999999</v>
      </c>
      <c r="L4852">
        <v>111.43899999999999</v>
      </c>
      <c r="M4852">
        <v>-0.14032420000000001</v>
      </c>
      <c r="N4852">
        <v>0</v>
      </c>
      <c r="O4852">
        <v>-0.99000309999999903</v>
      </c>
      <c r="P4852">
        <v>-9.2724979999999999E-2</v>
      </c>
      <c r="Q4852">
        <v>8.153792E-3</v>
      </c>
      <c r="R4852">
        <v>-0.99565879999999995</v>
      </c>
      <c r="S4852">
        <v>4.653931E-2</v>
      </c>
      <c r="T4852">
        <v>-6.641269E-3</v>
      </c>
      <c r="U4852">
        <v>-3.0171809999999999</v>
      </c>
      <c r="V4852">
        <v>-4.7780820000000002E-2</v>
      </c>
      <c r="W4852">
        <v>2.2698670000000001E-2</v>
      </c>
      <c r="X4852">
        <v>0.99859989999999998</v>
      </c>
      <c r="Y4852">
        <v>-0.15559200000000001</v>
      </c>
      <c r="Z4852">
        <v>2.1549260000000002E-3</v>
      </c>
      <c r="AA4852">
        <v>0.98781909999999895</v>
      </c>
      <c r="AB4852">
        <v>29</v>
      </c>
      <c r="AC4852">
        <v>1.7382</v>
      </c>
      <c r="AD4852">
        <v>-0.24455659999999901</v>
      </c>
      <c r="AE4852">
        <v>-110.9401654</v>
      </c>
      <c r="AF4852">
        <v>-17.290084223393801</v>
      </c>
      <c r="AG4852">
        <v>-0.24455659999999901</v>
      </c>
      <c r="AH4852">
        <v>109.597787435594</v>
      </c>
      <c r="AI4852">
        <v>90.126287776940799</v>
      </c>
      <c r="AJ4852">
        <v>98.965062392477506</v>
      </c>
      <c r="AK4852">
        <v>110.95351202715599</v>
      </c>
    </row>
    <row r="4853" spans="1:37" x14ac:dyDescent="0.2">
      <c r="A4853" t="str">
        <f>"20200111155651391"</f>
        <v>20200111155651391</v>
      </c>
      <c r="B4853" t="str">
        <f>"1578729411387291"</f>
        <v>1578729411387291</v>
      </c>
      <c r="C4853" t="s">
        <v>37</v>
      </c>
      <c r="D4853">
        <v>4.422072</v>
      </c>
      <c r="E4853">
        <v>0.46242870000000003</v>
      </c>
      <c r="F4853" t="s">
        <v>78</v>
      </c>
      <c r="G4853">
        <v>-418.26900000000001</v>
      </c>
      <c r="H4853">
        <v>0.95142459999999995</v>
      </c>
      <c r="I4853">
        <v>0.49499319999999902</v>
      </c>
      <c r="J4853">
        <v>-419.6737</v>
      </c>
      <c r="K4853">
        <v>1.1023909999999999</v>
      </c>
      <c r="L4853">
        <v>111.15130000000001</v>
      </c>
      <c r="M4853">
        <v>-0.14354020000000001</v>
      </c>
      <c r="N4853">
        <v>0</v>
      </c>
      <c r="O4853">
        <v>-0.98954179999999903</v>
      </c>
      <c r="P4853">
        <v>-9.5023049999999998E-2</v>
      </c>
      <c r="Q4853">
        <v>1.0577909999999999E-2</v>
      </c>
      <c r="R4853">
        <v>-0.99541919999999995</v>
      </c>
      <c r="S4853">
        <v>3.6987300000000001E-2</v>
      </c>
      <c r="T4853">
        <v>-4.1041369999999999E-3</v>
      </c>
      <c r="U4853">
        <v>-3.0165709999999999</v>
      </c>
      <c r="V4853">
        <v>-4.8705070000000003E-2</v>
      </c>
      <c r="W4853">
        <v>2.5116010000000001E-2</v>
      </c>
      <c r="X4853">
        <v>0.99849739999999998</v>
      </c>
      <c r="Y4853">
        <v>-0.1556775</v>
      </c>
      <c r="Z4853">
        <v>1.3310419999999999E-3</v>
      </c>
      <c r="AA4853">
        <v>0.98780699999999999</v>
      </c>
      <c r="AB4853">
        <v>29</v>
      </c>
      <c r="AC4853">
        <v>1.4046999999999901</v>
      </c>
      <c r="AD4853">
        <v>-0.150966399999999</v>
      </c>
      <c r="AE4853">
        <v>-110.6563068</v>
      </c>
      <c r="AF4853">
        <v>-17.275361216027999</v>
      </c>
      <c r="AG4853">
        <v>-0.150966399999999</v>
      </c>
      <c r="AH4853">
        <v>109.308315008424</v>
      </c>
      <c r="AI4853">
        <v>90.078161396356094</v>
      </c>
      <c r="AJ4853">
        <v>98.980887639035004</v>
      </c>
      <c r="AK4853">
        <v>110.665119283263</v>
      </c>
    </row>
    <row r="4854" spans="1:37" x14ac:dyDescent="0.2">
      <c r="A4854" t="str">
        <f>"20200111155651445"</f>
        <v>20200111155651445</v>
      </c>
      <c r="B4854" t="str">
        <f>"1578729411437851"</f>
        <v>1578729411437851</v>
      </c>
      <c r="C4854" t="s">
        <v>37</v>
      </c>
      <c r="D4854">
        <v>4.0189760000000003</v>
      </c>
      <c r="E4854">
        <v>0.46158500000000002</v>
      </c>
      <c r="F4854" t="s">
        <v>78</v>
      </c>
      <c r="G4854">
        <v>-419.13380000000001</v>
      </c>
      <c r="H4854">
        <v>0.9024972</v>
      </c>
      <c r="I4854">
        <v>0.48619839999999998</v>
      </c>
      <c r="J4854">
        <v>-419.78590000000003</v>
      </c>
      <c r="K4854">
        <v>1.102619</v>
      </c>
      <c r="L4854">
        <v>110.44759999999999</v>
      </c>
      <c r="M4854">
        <v>-0.15096519999999999</v>
      </c>
      <c r="N4854">
        <v>0</v>
      </c>
      <c r="O4854">
        <v>-0.9884368</v>
      </c>
      <c r="P4854">
        <v>-9.9950189999999994E-2</v>
      </c>
      <c r="Q4854">
        <v>1.519618E-2</v>
      </c>
      <c r="R4854">
        <v>-0.9948766</v>
      </c>
      <c r="S4854">
        <v>1.4709470000000001E-2</v>
      </c>
      <c r="T4854">
        <v>-5.4471490000000001E-3</v>
      </c>
      <c r="U4854">
        <v>-3.0152739999999998</v>
      </c>
      <c r="V4854">
        <v>-5.1235240000000001E-2</v>
      </c>
      <c r="W4854">
        <v>2.9701459999999999E-2</v>
      </c>
      <c r="X4854">
        <v>0.99824480000000004</v>
      </c>
      <c r="Y4854">
        <v>-0.155801</v>
      </c>
      <c r="Z4854">
        <v>1.764409E-3</v>
      </c>
      <c r="AA4854">
        <v>0.98778690000000002</v>
      </c>
      <c r="AB4854">
        <v>29</v>
      </c>
      <c r="AC4854">
        <v>0.652100000000018</v>
      </c>
      <c r="AD4854">
        <v>-0.20012179999999999</v>
      </c>
      <c r="AE4854">
        <v>-109.96140159999899</v>
      </c>
      <c r="AF4854">
        <v>-17.246591232195499</v>
      </c>
      <c r="AG4854">
        <v>-0.20012179999999999</v>
      </c>
      <c r="AH4854">
        <v>108.602072125923</v>
      </c>
      <c r="AI4854">
        <v>90.104272572587007</v>
      </c>
      <c r="AJ4854">
        <v>99.023525243345304</v>
      </c>
      <c r="AK4854">
        <v>109.963153046416</v>
      </c>
    </row>
    <row r="4855" spans="1:37" x14ac:dyDescent="0.2">
      <c r="A4855" t="str">
        <f>"20200111155651463"</f>
        <v>20200111155651463</v>
      </c>
      <c r="B4855" t="str">
        <f>"1578729411457372"</f>
        <v>1578729411457372</v>
      </c>
      <c r="C4855" t="s">
        <v>37</v>
      </c>
      <c r="D4855">
        <v>4.1095610000000002</v>
      </c>
      <c r="E4855">
        <v>0.45970270000000002</v>
      </c>
      <c r="F4855" t="s">
        <v>78</v>
      </c>
      <c r="G4855">
        <v>-419.54219999999998</v>
      </c>
      <c r="H4855">
        <v>1.520079</v>
      </c>
      <c r="I4855">
        <v>0.48204419999999998</v>
      </c>
      <c r="J4855">
        <v>-419.82209999999998</v>
      </c>
      <c r="K4855">
        <v>1.1027279999999999</v>
      </c>
      <c r="L4855">
        <v>110.2269</v>
      </c>
      <c r="M4855">
        <v>-0.15309200000000001</v>
      </c>
      <c r="N4855">
        <v>0</v>
      </c>
      <c r="O4855">
        <v>-0.98810959999999903</v>
      </c>
      <c r="P4855">
        <v>-0.1014718</v>
      </c>
      <c r="Q4855">
        <v>1.6109080000000001E-2</v>
      </c>
      <c r="R4855">
        <v>-0.99470829999999999</v>
      </c>
      <c r="S4855">
        <v>6.6833500000000002E-3</v>
      </c>
      <c r="T4855">
        <v>1.14485E-2</v>
      </c>
      <c r="U4855">
        <v>-3.01593</v>
      </c>
      <c r="V4855">
        <v>-5.1857390000000003E-2</v>
      </c>
      <c r="W4855">
        <v>3.0597030000000001E-2</v>
      </c>
      <c r="X4855">
        <v>0.99818569999999995</v>
      </c>
      <c r="Y4855">
        <v>-0.15529699999999999</v>
      </c>
      <c r="Z4855">
        <v>-3.705814E-3</v>
      </c>
      <c r="AA4855">
        <v>0.98786090000000004</v>
      </c>
      <c r="AB4855">
        <v>29</v>
      </c>
      <c r="AC4855">
        <v>0.27989999999999698</v>
      </c>
      <c r="AD4855">
        <v>0.41735100000000003</v>
      </c>
      <c r="AE4855">
        <v>-109.7448558</v>
      </c>
      <c r="AF4855">
        <v>-17.0791116462876</v>
      </c>
      <c r="AG4855">
        <v>0.41735100000000003</v>
      </c>
      <c r="AH4855">
        <v>108.40649107774399</v>
      </c>
      <c r="AI4855">
        <v>89.782107293566398</v>
      </c>
      <c r="AJ4855">
        <v>98.953183362024006</v>
      </c>
      <c r="AK4855">
        <v>109.744419194201</v>
      </c>
    </row>
    <row r="4856" spans="1:37" x14ac:dyDescent="0.2">
      <c r="A4856" t="str">
        <f>"20200111155651480"</f>
        <v>20200111155651480</v>
      </c>
      <c r="B4856" t="str">
        <f>"1578729411468107"</f>
        <v>1578729411468107</v>
      </c>
      <c r="C4856" t="s">
        <v>37</v>
      </c>
      <c r="D4856">
        <v>4.1353229999999996</v>
      </c>
      <c r="E4856">
        <v>0.45970270000000002</v>
      </c>
      <c r="F4856" t="s">
        <v>78</v>
      </c>
      <c r="G4856">
        <v>-419.22050000000002</v>
      </c>
      <c r="H4856">
        <v>1.780411</v>
      </c>
      <c r="I4856">
        <v>0.4853191</v>
      </c>
      <c r="J4856">
        <v>-419.8569</v>
      </c>
      <c r="K4856">
        <v>1.1028549999999999</v>
      </c>
      <c r="L4856">
        <v>110.0159</v>
      </c>
      <c r="M4856">
        <v>-0.155006</v>
      </c>
      <c r="N4856">
        <v>0</v>
      </c>
      <c r="O4856">
        <v>-0.98781109999999905</v>
      </c>
      <c r="P4856">
        <v>-0.1024056</v>
      </c>
      <c r="Q4856">
        <v>1.7003170000000001E-2</v>
      </c>
      <c r="R4856">
        <v>-0.99459739999999996</v>
      </c>
      <c r="S4856">
        <v>1.6540530000000001E-2</v>
      </c>
      <c r="T4856">
        <v>1.8632409999999999E-2</v>
      </c>
      <c r="U4856">
        <v>-3.0173649999999999</v>
      </c>
      <c r="V4856">
        <v>-5.2856420000000001E-2</v>
      </c>
      <c r="W4856">
        <v>3.1473029999999999E-2</v>
      </c>
      <c r="X4856">
        <v>0.99810599999999905</v>
      </c>
      <c r="Y4856">
        <v>-0.16043460000000001</v>
      </c>
      <c r="Z4856">
        <v>-6.0229180000000004E-3</v>
      </c>
      <c r="AA4856">
        <v>0.98702809999999896</v>
      </c>
      <c r="AB4856">
        <v>28</v>
      </c>
      <c r="AC4856">
        <v>0.63639999999997998</v>
      </c>
      <c r="AD4856">
        <v>0.67755600000000005</v>
      </c>
      <c r="AE4856">
        <v>-109.5305809</v>
      </c>
      <c r="AF4856">
        <v>-17.6076482395599</v>
      </c>
      <c r="AG4856">
        <v>0.67755600000000005</v>
      </c>
      <c r="AH4856">
        <v>108.103680645735</v>
      </c>
      <c r="AI4856">
        <v>89.645565340089803</v>
      </c>
      <c r="AJ4856">
        <v>99.250953039783496</v>
      </c>
      <c r="AK4856">
        <v>109.530334281496</v>
      </c>
    </row>
    <row r="4857" spans="1:37" x14ac:dyDescent="0.2">
      <c r="A4857" t="str">
        <f>"20200111155651503"</f>
        <v>20200111155651503</v>
      </c>
      <c r="B4857" t="str">
        <f>"1578729411498364"</f>
        <v>1578729411498364</v>
      </c>
      <c r="C4857" t="s">
        <v>37</v>
      </c>
      <c r="D4857">
        <v>4.084111</v>
      </c>
      <c r="E4857">
        <v>0.4366449</v>
      </c>
      <c r="F4857" t="s">
        <v>78</v>
      </c>
      <c r="G4857">
        <v>-419.36059999999998</v>
      </c>
      <c r="H4857">
        <v>1.8753310000000001</v>
      </c>
      <c r="I4857">
        <v>0.4838963</v>
      </c>
      <c r="J4857">
        <v>-419.90359999999998</v>
      </c>
      <c r="K4857">
        <v>1.10304</v>
      </c>
      <c r="L4857">
        <v>109.7359</v>
      </c>
      <c r="M4857">
        <v>-0.15730329999999901</v>
      </c>
      <c r="N4857">
        <v>0</v>
      </c>
      <c r="O4857">
        <v>-0.9874482</v>
      </c>
      <c r="P4857">
        <v>-0.10464130000000001</v>
      </c>
      <c r="Q4857">
        <v>1.6986790000000002E-2</v>
      </c>
      <c r="R4857">
        <v>-0.99436519999999995</v>
      </c>
      <c r="S4857">
        <v>1.3671880000000001E-2</v>
      </c>
      <c r="T4857">
        <v>2.1279340000000001E-2</v>
      </c>
      <c r="U4857">
        <v>-3.0173489999999998</v>
      </c>
      <c r="V4857">
        <v>-5.2949309999999999E-2</v>
      </c>
      <c r="W4857">
        <v>3.1422510000000001E-2</v>
      </c>
      <c r="X4857">
        <v>0.99810270000000001</v>
      </c>
      <c r="Y4857">
        <v>-0.16179199999999999</v>
      </c>
      <c r="Z4857">
        <v>-6.8739219999999898E-3</v>
      </c>
      <c r="AA4857">
        <v>0.98680089999999998</v>
      </c>
      <c r="AB4857">
        <v>28</v>
      </c>
      <c r="AC4857">
        <v>0.54300000000000603</v>
      </c>
      <c r="AD4857">
        <v>0.77229099999999995</v>
      </c>
      <c r="AE4857">
        <v>-109.2520037</v>
      </c>
      <c r="AF4857">
        <v>-17.722787249475399</v>
      </c>
      <c r="AG4857">
        <v>0.77229099999999995</v>
      </c>
      <c r="AH4857">
        <v>107.80076621341399</v>
      </c>
      <c r="AI4857">
        <v>89.594973632016206</v>
      </c>
      <c r="AJ4857">
        <v>99.336092145997796</v>
      </c>
      <c r="AK4857">
        <v>109.250623876836</v>
      </c>
    </row>
    <row r="4858" spans="1:37" x14ac:dyDescent="0.2">
      <c r="A4858" t="str">
        <f>"20200111155651524"</f>
        <v>20200111155651524</v>
      </c>
      <c r="B4858" t="str">
        <f>"1578729411517883"</f>
        <v>1578729411517883</v>
      </c>
      <c r="C4858" t="s">
        <v>37</v>
      </c>
      <c r="D4858">
        <v>4.5661319999999996</v>
      </c>
      <c r="E4858">
        <v>0.4366449</v>
      </c>
      <c r="F4858" t="s">
        <v>78</v>
      </c>
      <c r="G4858">
        <v>-413.19290000000001</v>
      </c>
      <c r="H4858">
        <v>3.5402879999999999</v>
      </c>
      <c r="I4858">
        <v>1.8436549999999901</v>
      </c>
      <c r="J4858">
        <v>-419.94979999999998</v>
      </c>
      <c r="K4858">
        <v>1.1032519999999999</v>
      </c>
      <c r="L4858">
        <v>109.4606</v>
      </c>
      <c r="M4858">
        <v>-0.15928329999999999</v>
      </c>
      <c r="N4858">
        <v>0</v>
      </c>
      <c r="O4858">
        <v>-0.98713079999999997</v>
      </c>
      <c r="P4858">
        <v>-0.10809729999999999</v>
      </c>
      <c r="Q4858">
        <v>1.588357E-2</v>
      </c>
      <c r="R4858">
        <v>-0.99401360000000005</v>
      </c>
      <c r="S4858">
        <v>0.18881229999999999</v>
      </c>
      <c r="T4858">
        <v>6.8574430000000006E-2</v>
      </c>
      <c r="U4858">
        <v>-3.0356900000000002</v>
      </c>
      <c r="V4858">
        <v>-5.150424E-2</v>
      </c>
      <c r="W4858">
        <v>3.0277220000000001E-2</v>
      </c>
      <c r="X4858">
        <v>0.99821369999999898</v>
      </c>
      <c r="Y4858">
        <v>-0.2202614</v>
      </c>
      <c r="Z4858">
        <v>-2.185194E-2</v>
      </c>
      <c r="AA4858">
        <v>0.97519609999999901</v>
      </c>
      <c r="AB4858">
        <v>28</v>
      </c>
      <c r="AC4858">
        <v>6.7568999999999697</v>
      </c>
      <c r="AD4858">
        <v>2.437036</v>
      </c>
      <c r="AE4858">
        <v>-107.616945</v>
      </c>
      <c r="AF4858">
        <v>-23.801768942638699</v>
      </c>
      <c r="AG4858">
        <v>2.437036</v>
      </c>
      <c r="AH4858">
        <v>105.11264980974801</v>
      </c>
      <c r="AI4858">
        <v>88.704619516398196</v>
      </c>
      <c r="AJ4858">
        <v>102.758920936815</v>
      </c>
      <c r="AK4858">
        <v>107.801356667208</v>
      </c>
    </row>
    <row r="4859" spans="1:37" x14ac:dyDescent="0.2">
      <c r="A4859" t="str">
        <f>"20200111155651546"</f>
        <v>20200111155651546</v>
      </c>
      <c r="B4859" t="str">
        <f>"1578729411538379"</f>
        <v>1578729411538379</v>
      </c>
      <c r="C4859" t="s">
        <v>37</v>
      </c>
      <c r="D4859">
        <v>4.6568990000000001</v>
      </c>
      <c r="E4859">
        <v>0.4366449</v>
      </c>
      <c r="F4859" t="s">
        <v>78</v>
      </c>
      <c r="G4859">
        <v>-413.649</v>
      </c>
      <c r="H4859">
        <v>3.4626169999999998</v>
      </c>
      <c r="I4859">
        <v>1.8390139999999999</v>
      </c>
      <c r="J4859">
        <v>-419.99680000000001</v>
      </c>
      <c r="K4859">
        <v>1.103485</v>
      </c>
      <c r="L4859">
        <v>109.1825</v>
      </c>
      <c r="M4859">
        <v>-0.16096549999999901</v>
      </c>
      <c r="N4859">
        <v>0</v>
      </c>
      <c r="O4859">
        <v>-0.98685809999999996</v>
      </c>
      <c r="P4859">
        <v>-0.1110266</v>
      </c>
      <c r="Q4859">
        <v>1.571465E-2</v>
      </c>
      <c r="R4859">
        <v>-0.99369339999999995</v>
      </c>
      <c r="S4859">
        <v>0.177764899999999</v>
      </c>
      <c r="T4859">
        <v>6.6564079999999998E-2</v>
      </c>
      <c r="U4859">
        <v>-3.0363310000000001</v>
      </c>
      <c r="V4859">
        <v>-5.028171E-2</v>
      </c>
      <c r="W4859">
        <v>3.0064649999999998E-2</v>
      </c>
      <c r="X4859">
        <v>0.99828240000000001</v>
      </c>
      <c r="Y4859">
        <v>-0.2183763</v>
      </c>
      <c r="Z4859">
        <v>-2.1205189999999999E-2</v>
      </c>
      <c r="AA4859">
        <v>0.97563419999999901</v>
      </c>
      <c r="AB4859">
        <v>28</v>
      </c>
      <c r="AC4859">
        <v>6.3478000000000003</v>
      </c>
      <c r="AD4859">
        <v>2.3591319999999998</v>
      </c>
      <c r="AE4859">
        <v>-107.343486</v>
      </c>
      <c r="AF4859">
        <v>-23.5340170292504</v>
      </c>
      <c r="AG4859">
        <v>2.3591319999999998</v>
      </c>
      <c r="AH4859">
        <v>104.871090475975</v>
      </c>
      <c r="AI4859">
        <v>88.742579908759595</v>
      </c>
      <c r="AJ4859">
        <v>102.64814951439401</v>
      </c>
      <c r="AK4859">
        <v>107.50516768484501</v>
      </c>
    </row>
    <row r="4860" spans="1:37" x14ac:dyDescent="0.2">
      <c r="A4860" t="str">
        <f>"20200111155651568"</f>
        <v>20200111155651568</v>
      </c>
      <c r="B4860" t="str">
        <f>"1578729411557899"</f>
        <v>1578729411557899</v>
      </c>
      <c r="C4860" t="s">
        <v>37</v>
      </c>
      <c r="D4860">
        <v>4.6559010000000001</v>
      </c>
      <c r="E4860">
        <v>0.46900989999999998</v>
      </c>
      <c r="F4860" t="s">
        <v>78</v>
      </c>
      <c r="G4860">
        <v>-414.03030000000001</v>
      </c>
      <c r="H4860">
        <v>3.4451689999999999</v>
      </c>
      <c r="I4860">
        <v>1.8351379999999999</v>
      </c>
      <c r="J4860">
        <v>-420.0437</v>
      </c>
      <c r="K4860">
        <v>1.10375499999999</v>
      </c>
      <c r="L4860">
        <v>108.9054</v>
      </c>
      <c r="M4860">
        <v>-0.16227279999999999</v>
      </c>
      <c r="N4860">
        <v>0</v>
      </c>
      <c r="O4860">
        <v>-0.98664409999999902</v>
      </c>
      <c r="P4860">
        <v>-0.1135173</v>
      </c>
      <c r="Q4860">
        <v>1.539422E-2</v>
      </c>
      <c r="R4860">
        <v>-0.99341689999999905</v>
      </c>
      <c r="S4860">
        <v>0.16879269999999999</v>
      </c>
      <c r="T4860">
        <v>6.6245680000000001E-2</v>
      </c>
      <c r="U4860">
        <v>-3.0368650000000001</v>
      </c>
      <c r="V4860">
        <v>-4.9123119999999999E-2</v>
      </c>
      <c r="W4860">
        <v>2.9699550000000002E-2</v>
      </c>
      <c r="X4860">
        <v>0.99835110000000005</v>
      </c>
      <c r="Y4860">
        <v>-0.2167859</v>
      </c>
      <c r="Z4860">
        <v>-2.1098760000000001E-2</v>
      </c>
      <c r="AA4860">
        <v>0.9759911</v>
      </c>
      <c r="AB4860">
        <v>28</v>
      </c>
      <c r="AC4860">
        <v>6.0133999999999901</v>
      </c>
      <c r="AD4860">
        <v>2.3414139999999999</v>
      </c>
      <c r="AE4860">
        <v>-107.070262</v>
      </c>
      <c r="AF4860">
        <v>-23.298912391278002</v>
      </c>
      <c r="AG4860">
        <v>2.3414139999999999</v>
      </c>
      <c r="AH4860">
        <v>104.62507377249401</v>
      </c>
      <c r="AI4860">
        <v>88.748629165029698</v>
      </c>
      <c r="AJ4860">
        <v>102.554321985214</v>
      </c>
      <c r="AK4860">
        <v>107.21346743779699</v>
      </c>
    </row>
    <row r="4861" spans="1:37" x14ac:dyDescent="0.2">
      <c r="A4861" t="str">
        <f>"20200111155651585"</f>
        <v>20200111155651585</v>
      </c>
      <c r="B4861" t="str">
        <f>"1578729411577419"</f>
        <v>1578729411577419</v>
      </c>
      <c r="C4861" t="s">
        <v>37</v>
      </c>
      <c r="D4861">
        <v>4.6123529999999997</v>
      </c>
      <c r="E4861">
        <v>0.46841819999999901</v>
      </c>
      <c r="F4861" t="s">
        <v>38</v>
      </c>
      <c r="G4861">
        <v>-421.09039999999999</v>
      </c>
      <c r="H4861" s="1">
        <v>-1.9894189999999998E-6</v>
      </c>
      <c r="I4861">
        <v>73.550219999999996</v>
      </c>
      <c r="J4861">
        <v>-420.07760000000002</v>
      </c>
      <c r="K4861">
        <v>1.1039729999999901</v>
      </c>
      <c r="L4861">
        <v>108.70480000000001</v>
      </c>
      <c r="M4861">
        <v>-0.16297129999999899</v>
      </c>
      <c r="N4861">
        <v>0</v>
      </c>
      <c r="O4861">
        <v>-0.9865292</v>
      </c>
      <c r="P4861">
        <v>-0.1145268</v>
      </c>
      <c r="Q4861">
        <v>1.534192E-2</v>
      </c>
      <c r="R4861">
        <v>-0.99330209999999997</v>
      </c>
      <c r="S4861">
        <v>-8.9141849999999995E-2</v>
      </c>
      <c r="T4861">
        <v>-9.4005110000000003E-2</v>
      </c>
      <c r="U4861">
        <v>-3.011139</v>
      </c>
      <c r="V4861">
        <v>-4.8830949999999998E-2</v>
      </c>
      <c r="W4861">
        <v>2.961424E-2</v>
      </c>
      <c r="X4861">
        <v>0.99836800000000003</v>
      </c>
      <c r="Y4861">
        <v>-0.13373450000000001</v>
      </c>
      <c r="Z4861">
        <v>3.043185E-2</v>
      </c>
      <c r="AA4861">
        <v>0.99054989999999998</v>
      </c>
      <c r="AB4861">
        <v>28</v>
      </c>
      <c r="AC4861">
        <v>-1.0127999999999699</v>
      </c>
      <c r="AD4861">
        <v>-1.1039749894190001</v>
      </c>
      <c r="AE4861">
        <v>-35.154580000000003</v>
      </c>
      <c r="AF4861">
        <v>-4.7258484144670101</v>
      </c>
      <c r="AG4861">
        <v>-1.1039749894190001</v>
      </c>
      <c r="AH4861">
        <v>34.815265215809703</v>
      </c>
      <c r="AI4861">
        <v>91.799718799612194</v>
      </c>
      <c r="AJ4861">
        <v>97.7301229555964</v>
      </c>
      <c r="AK4861">
        <v>35.151886095357</v>
      </c>
    </row>
    <row r="4862" spans="1:37" x14ac:dyDescent="0.2">
      <c r="A4862" t="str">
        <f>"20200111155651603"</f>
        <v>20200111155651603</v>
      </c>
      <c r="B4862" t="str">
        <f>"1578729411597915"</f>
        <v>1578729411597915</v>
      </c>
      <c r="C4862" t="s">
        <v>37</v>
      </c>
      <c r="D4862">
        <v>4.6468590000000001</v>
      </c>
      <c r="E4862">
        <v>0.47023229999999999</v>
      </c>
      <c r="F4862" t="s">
        <v>38</v>
      </c>
      <c r="G4862">
        <v>-421.0324</v>
      </c>
      <c r="H4862" s="1">
        <v>-2.9559489999999998E-6</v>
      </c>
      <c r="I4862">
        <v>75.839179999999999</v>
      </c>
      <c r="J4862">
        <v>-420.11669999999998</v>
      </c>
      <c r="K4862">
        <v>1.1042399999999899</v>
      </c>
      <c r="L4862">
        <v>108.4731</v>
      </c>
      <c r="M4862">
        <v>-0.16349739999999999</v>
      </c>
      <c r="N4862">
        <v>0</v>
      </c>
      <c r="O4862">
        <v>-0.98644229999999999</v>
      </c>
      <c r="P4862">
        <v>-0.1159591</v>
      </c>
      <c r="Q4862">
        <v>1.5772669999999999E-2</v>
      </c>
      <c r="R4862">
        <v>-0.99312939999999905</v>
      </c>
      <c r="S4862">
        <v>-8.7493899999999999E-2</v>
      </c>
      <c r="T4862">
        <v>-0.10116549999999901</v>
      </c>
      <c r="U4862">
        <v>-3.0117189999999998</v>
      </c>
      <c r="V4862">
        <v>-4.7941089999999999E-2</v>
      </c>
      <c r="W4862">
        <v>3.0005549999999999E-2</v>
      </c>
      <c r="X4862">
        <v>0.99839940000000005</v>
      </c>
      <c r="Y4862">
        <v>-0.13481209999999999</v>
      </c>
      <c r="Z4862">
        <v>3.2734489999999998E-2</v>
      </c>
      <c r="AA4862">
        <v>0.9903303</v>
      </c>
      <c r="AB4862">
        <v>28</v>
      </c>
      <c r="AC4862">
        <v>-0.91570000000001495</v>
      </c>
      <c r="AD4862">
        <v>-1.1042429559489999</v>
      </c>
      <c r="AE4862">
        <v>-32.633920000000003</v>
      </c>
      <c r="AF4862">
        <v>-4.4276540666973299</v>
      </c>
      <c r="AG4862">
        <v>-1.1042429559489999</v>
      </c>
      <c r="AH4862">
        <v>32.307469634354199</v>
      </c>
      <c r="AI4862">
        <v>91.939446394701093</v>
      </c>
      <c r="AJ4862">
        <v>97.803622941477002</v>
      </c>
      <c r="AK4862">
        <v>32.6281483877775</v>
      </c>
    </row>
    <row r="4863" spans="1:37" x14ac:dyDescent="0.2">
      <c r="A4863" t="str">
        <f>"20200111155651626"</f>
        <v>20200111155651626</v>
      </c>
      <c r="B4863" t="str">
        <f>"1578729411618411"</f>
        <v>1578729411618411</v>
      </c>
      <c r="C4863" t="s">
        <v>37</v>
      </c>
      <c r="D4863">
        <v>4.7053949999999896</v>
      </c>
      <c r="E4863">
        <v>0.4717132</v>
      </c>
      <c r="F4863" t="s">
        <v>38</v>
      </c>
      <c r="G4863">
        <v>-421.49189999999999</v>
      </c>
      <c r="H4863" s="1">
        <v>-4.5013169999999999E-7</v>
      </c>
      <c r="I4863">
        <v>69.713080000000005</v>
      </c>
      <c r="J4863">
        <v>-420.1628</v>
      </c>
      <c r="K4863">
        <v>1.1045879999999999</v>
      </c>
      <c r="L4863">
        <v>108.1978</v>
      </c>
      <c r="M4863">
        <v>-0.16370599999999999</v>
      </c>
      <c r="N4863">
        <v>0</v>
      </c>
      <c r="O4863">
        <v>-0.98640759999999905</v>
      </c>
      <c r="P4863">
        <v>-0.11599520000000001</v>
      </c>
      <c r="Q4863">
        <v>1.7328329999999999E-2</v>
      </c>
      <c r="R4863">
        <v>-0.99309859999999905</v>
      </c>
      <c r="S4863">
        <v>-0.106781</v>
      </c>
      <c r="T4863">
        <v>-8.5742120000000005E-2</v>
      </c>
      <c r="U4863">
        <v>-3.00964399999999</v>
      </c>
      <c r="V4863">
        <v>-4.8134990000000002E-2</v>
      </c>
      <c r="W4863">
        <v>3.1514500000000001E-2</v>
      </c>
      <c r="X4863">
        <v>0.9983436</v>
      </c>
      <c r="Y4863">
        <v>-0.1286542</v>
      </c>
      <c r="Z4863">
        <v>2.7774770000000001E-2</v>
      </c>
      <c r="AA4863">
        <v>0.99130049999999903</v>
      </c>
      <c r="AB4863">
        <v>28</v>
      </c>
      <c r="AC4863">
        <v>-1.32909999999998</v>
      </c>
      <c r="AD4863">
        <v>-1.10458845013169</v>
      </c>
      <c r="AE4863">
        <v>-38.484720000000003</v>
      </c>
      <c r="AF4863">
        <v>-4.98554297768725</v>
      </c>
      <c r="AG4863">
        <v>-1.10458845013169</v>
      </c>
      <c r="AH4863">
        <v>38.151635859240102</v>
      </c>
      <c r="AI4863">
        <v>91.644424311275401</v>
      </c>
      <c r="AJ4863">
        <v>97.445055869755393</v>
      </c>
      <c r="AK4863">
        <v>38.491857231921003</v>
      </c>
    </row>
    <row r="4864" spans="1:37" x14ac:dyDescent="0.2">
      <c r="A4864" t="str">
        <f>"20200111155651646"</f>
        <v>20200111155651646</v>
      </c>
      <c r="B4864" t="str">
        <f>"1578729411637931"</f>
        <v>1578729411637931</v>
      </c>
      <c r="C4864" t="s">
        <v>37</v>
      </c>
      <c r="D4864">
        <v>4.6736199999999997</v>
      </c>
      <c r="E4864">
        <v>0.47237659999999998</v>
      </c>
      <c r="F4864" t="s">
        <v>38</v>
      </c>
      <c r="G4864">
        <v>-421.91070000000002</v>
      </c>
      <c r="H4864" s="1">
        <v>-2.33050099999999E-6</v>
      </c>
      <c r="I4864">
        <v>63.836500000000001</v>
      </c>
      <c r="J4864">
        <v>-420.20659999999998</v>
      </c>
      <c r="K4864">
        <v>1.104935</v>
      </c>
      <c r="L4864">
        <v>107.934</v>
      </c>
      <c r="M4864">
        <v>-0.1634969</v>
      </c>
      <c r="N4864">
        <v>0</v>
      </c>
      <c r="O4864">
        <v>-0.98644259999999995</v>
      </c>
      <c r="P4864">
        <v>-0.1150906</v>
      </c>
      <c r="Q4864">
        <v>2.0219580000000001E-2</v>
      </c>
      <c r="R4864">
        <v>-0.99314990000000003</v>
      </c>
      <c r="S4864">
        <v>-0.11853030000000001</v>
      </c>
      <c r="T4864">
        <v>-7.4906589999999995E-2</v>
      </c>
      <c r="U4864">
        <v>-3.00831599999999</v>
      </c>
      <c r="V4864">
        <v>-4.8848750000000003E-2</v>
      </c>
      <c r="W4864">
        <v>3.4360149999999999E-2</v>
      </c>
      <c r="X4864">
        <v>0.99821499999999996</v>
      </c>
      <c r="Y4864">
        <v>-0.1245576</v>
      </c>
      <c r="Z4864">
        <v>2.4283860000000001E-2</v>
      </c>
      <c r="AA4864">
        <v>0.9919152</v>
      </c>
      <c r="AB4864">
        <v>28</v>
      </c>
      <c r="AC4864">
        <v>-1.7041000000000299</v>
      </c>
      <c r="AD4864">
        <v>-1.104937330501</v>
      </c>
      <c r="AE4864">
        <v>-44.097499999999997</v>
      </c>
      <c r="AF4864">
        <v>-5.52589582261382</v>
      </c>
      <c r="AG4864">
        <v>-1.104937330501</v>
      </c>
      <c r="AH4864">
        <v>43.755210656764099</v>
      </c>
      <c r="AI4864">
        <v>91.435170856712702</v>
      </c>
      <c r="AJ4864">
        <v>97.1978440036482</v>
      </c>
      <c r="AK4864">
        <v>44.116605385778698</v>
      </c>
    </row>
    <row r="4865" spans="1:37" x14ac:dyDescent="0.2">
      <c r="A4865" t="str">
        <f>"20200111155651670"</f>
        <v>20200111155651670</v>
      </c>
      <c r="B4865" t="str">
        <f>"1578729411658427"</f>
        <v>1578729411658427</v>
      </c>
      <c r="C4865" t="s">
        <v>37</v>
      </c>
      <c r="D4865">
        <v>4.7356489999999898</v>
      </c>
      <c r="E4865">
        <v>0.47246969999999999</v>
      </c>
      <c r="F4865" t="s">
        <v>38</v>
      </c>
      <c r="G4865">
        <v>-422.33120000000002</v>
      </c>
      <c r="H4865" s="1">
        <v>-3.123359E-6</v>
      </c>
      <c r="I4865">
        <v>55.423850000000002</v>
      </c>
      <c r="J4865">
        <v>-420.25279999999998</v>
      </c>
      <c r="K4865">
        <v>1.10531</v>
      </c>
      <c r="L4865">
        <v>107.6521</v>
      </c>
      <c r="M4865">
        <v>-0.16281499999999999</v>
      </c>
      <c r="N4865">
        <v>0</v>
      </c>
      <c r="O4865">
        <v>-0.98655509999999902</v>
      </c>
      <c r="P4865">
        <v>-0.1131703</v>
      </c>
      <c r="Q4865">
        <v>2.2766479999999999E-2</v>
      </c>
      <c r="R4865">
        <v>-0.99331499999999995</v>
      </c>
      <c r="S4865">
        <v>-0.1217041</v>
      </c>
      <c r="T4865">
        <v>-6.3293459999999996E-2</v>
      </c>
      <c r="U4865">
        <v>-3.0079039999999999</v>
      </c>
      <c r="V4865">
        <v>-5.011227E-2</v>
      </c>
      <c r="W4865">
        <v>3.6859099999999999E-2</v>
      </c>
      <c r="X4865">
        <v>0.99806319999999904</v>
      </c>
      <c r="Y4865">
        <v>-0.12281789999999899</v>
      </c>
      <c r="Z4865">
        <v>2.052903E-2</v>
      </c>
      <c r="AA4865">
        <v>0.99221689999999996</v>
      </c>
      <c r="AB4865">
        <v>28</v>
      </c>
      <c r="AC4865">
        <v>-2.0784000000000402</v>
      </c>
      <c r="AD4865">
        <v>-1.1053131233589999</v>
      </c>
      <c r="AE4865">
        <v>-52.228250000000003</v>
      </c>
      <c r="AF4865">
        <v>-6.4508481866074803</v>
      </c>
      <c r="AG4865">
        <v>-1.1053131233589999</v>
      </c>
      <c r="AH4865">
        <v>51.846452203241</v>
      </c>
      <c r="AI4865">
        <v>91.211959928745202</v>
      </c>
      <c r="AJ4865">
        <v>97.092416260760004</v>
      </c>
      <c r="AK4865">
        <v>52.257915816556299</v>
      </c>
    </row>
    <row r="4866" spans="1:37" x14ac:dyDescent="0.2">
      <c r="A4866" t="str">
        <f>"20200111155651692"</f>
        <v>20200111155651692</v>
      </c>
      <c r="B4866" t="str">
        <f>"1578729411687707"</f>
        <v>1578729411687707</v>
      </c>
      <c r="C4866" t="s">
        <v>37</v>
      </c>
      <c r="D4866">
        <v>4.7102659999999998</v>
      </c>
      <c r="E4866">
        <v>0.4722942</v>
      </c>
      <c r="F4866" t="s">
        <v>38</v>
      </c>
      <c r="G4866">
        <v>-422.59140000000002</v>
      </c>
      <c r="H4866" s="1">
        <v>-3.9500389999999902E-6</v>
      </c>
      <c r="I4866">
        <v>47.243380000000002</v>
      </c>
      <c r="J4866">
        <v>-420.298</v>
      </c>
      <c r="K4866">
        <v>1.105667</v>
      </c>
      <c r="L4866">
        <v>107.37269999999999</v>
      </c>
      <c r="M4866">
        <v>-0.16167279999999901</v>
      </c>
      <c r="N4866">
        <v>0</v>
      </c>
      <c r="O4866">
        <v>-0.98674289999999998</v>
      </c>
      <c r="P4866">
        <v>-0.1118719</v>
      </c>
      <c r="Q4866">
        <v>2.443795E-2</v>
      </c>
      <c r="R4866">
        <v>-0.99342229999999998</v>
      </c>
      <c r="S4866">
        <v>-0.11645510000000001</v>
      </c>
      <c r="T4866">
        <v>-5.5041430000000002E-2</v>
      </c>
      <c r="U4866">
        <v>-3.0081790000000002</v>
      </c>
      <c r="V4866">
        <v>-5.028908E-2</v>
      </c>
      <c r="W4866">
        <v>3.848443E-2</v>
      </c>
      <c r="X4866">
        <v>0.99799300000000002</v>
      </c>
      <c r="Y4866">
        <v>-0.1233992</v>
      </c>
      <c r="Z4866">
        <v>1.785693E-2</v>
      </c>
      <c r="AA4866">
        <v>0.99219639999999998</v>
      </c>
      <c r="AB4866">
        <v>28</v>
      </c>
      <c r="AC4866">
        <v>-2.2934000000000201</v>
      </c>
      <c r="AD4866">
        <v>-1.1056709500389901</v>
      </c>
      <c r="AE4866">
        <v>-60.1293199999999</v>
      </c>
      <c r="AF4866">
        <v>-7.4565090429635399</v>
      </c>
      <c r="AG4866">
        <v>-1.1056709500389901</v>
      </c>
      <c r="AH4866">
        <v>59.688788740799502</v>
      </c>
      <c r="AI4866">
        <v>91.053038572665997</v>
      </c>
      <c r="AJ4866">
        <v>97.120678537517705</v>
      </c>
      <c r="AK4866">
        <v>60.162891691651197</v>
      </c>
    </row>
    <row r="4867" spans="1:37" x14ac:dyDescent="0.2">
      <c r="A4867" t="str">
        <f>"20200111155651714"</f>
        <v>20200111155651714</v>
      </c>
      <c r="B4867" t="str">
        <f>"1578729411708204"</f>
        <v>1578729411708204</v>
      </c>
      <c r="C4867" t="s">
        <v>37</v>
      </c>
      <c r="D4867">
        <v>4.786022</v>
      </c>
      <c r="E4867">
        <v>0.47209129999999899</v>
      </c>
      <c r="F4867" t="s">
        <v>75</v>
      </c>
      <c r="G4867">
        <v>-422.8535</v>
      </c>
      <c r="H4867" s="1">
        <v>-1.2808529999999899E-6</v>
      </c>
      <c r="I4867">
        <v>38.275950000000002</v>
      </c>
      <c r="J4867">
        <v>-420.34129999999999</v>
      </c>
      <c r="K4867">
        <v>1.1060140000000001</v>
      </c>
      <c r="L4867">
        <v>107.0992</v>
      </c>
      <c r="M4867">
        <v>-0.1601117</v>
      </c>
      <c r="N4867">
        <v>0</v>
      </c>
      <c r="O4867">
        <v>-0.98699769999999898</v>
      </c>
      <c r="P4867">
        <v>-0.11084529999999999</v>
      </c>
      <c r="Q4867">
        <v>2.5756060000000001E-2</v>
      </c>
      <c r="R4867">
        <v>-0.993504099999999</v>
      </c>
      <c r="S4867">
        <v>-0.11126709999999999</v>
      </c>
      <c r="T4867">
        <v>-4.8141240000000002E-2</v>
      </c>
      <c r="U4867">
        <v>-3.008499</v>
      </c>
      <c r="V4867">
        <v>-4.9771200000000002E-2</v>
      </c>
      <c r="W4867">
        <v>3.9762329999999999E-2</v>
      </c>
      <c r="X4867">
        <v>0.99796890000000005</v>
      </c>
      <c r="Y4867">
        <v>-0.123540699999999</v>
      </c>
      <c r="Z4867">
        <v>1.5623720000000001E-2</v>
      </c>
      <c r="AA4867">
        <v>0.99221649999999995</v>
      </c>
      <c r="AB4867">
        <v>28</v>
      </c>
      <c r="AC4867">
        <v>-2.5122</v>
      </c>
      <c r="AD4867">
        <v>-1.1060152808529999</v>
      </c>
      <c r="AE4867">
        <v>-68.823250000000002</v>
      </c>
      <c r="AF4867">
        <v>-8.5385229285498099</v>
      </c>
      <c r="AG4867">
        <v>-1.1060152808529999</v>
      </c>
      <c r="AH4867">
        <v>68.319828177222405</v>
      </c>
      <c r="AI4867">
        <v>90.920309891369897</v>
      </c>
      <c r="AJ4867">
        <v>97.123814406209405</v>
      </c>
      <c r="AK4867">
        <v>68.860210323292193</v>
      </c>
    </row>
    <row r="4868" spans="1:37" x14ac:dyDescent="0.2">
      <c r="A4868" t="str">
        <f>"20200111155651736"</f>
        <v>20200111155651736</v>
      </c>
      <c r="B4868" t="str">
        <f>"1578729411727723"</f>
        <v>1578729411727723</v>
      </c>
      <c r="C4868" t="s">
        <v>37</v>
      </c>
      <c r="D4868">
        <v>4.8078709999999996</v>
      </c>
      <c r="E4868">
        <v>0.47189029999999998</v>
      </c>
      <c r="F4868" t="s">
        <v>75</v>
      </c>
      <c r="G4868">
        <v>-423.0009</v>
      </c>
      <c r="H4868" s="1">
        <v>-4.6391430000000003E-6</v>
      </c>
      <c r="I4868">
        <v>32.09254</v>
      </c>
      <c r="J4868">
        <v>-420.38339999999999</v>
      </c>
      <c r="K4868">
        <v>1.1063459999999901</v>
      </c>
      <c r="L4868">
        <v>106.82810000000001</v>
      </c>
      <c r="M4868">
        <v>-0.15815190000000001</v>
      </c>
      <c r="N4868">
        <v>0</v>
      </c>
      <c r="O4868">
        <v>-0.9873132</v>
      </c>
      <c r="P4868">
        <v>-0.1101828</v>
      </c>
      <c r="Q4868">
        <v>2.688894E-2</v>
      </c>
      <c r="R4868">
        <v>-0.99354759999999998</v>
      </c>
      <c r="S4868">
        <v>-0.10668949999999899</v>
      </c>
      <c r="T4868">
        <v>-4.436731E-2</v>
      </c>
      <c r="U4868">
        <v>-3.0088499999999998</v>
      </c>
      <c r="V4868">
        <v>-4.8485599999999997E-2</v>
      </c>
      <c r="W4868">
        <v>4.0861969999999997E-2</v>
      </c>
      <c r="X4868">
        <v>0.99798770000000003</v>
      </c>
      <c r="Y4868">
        <v>-0.12308180000000001</v>
      </c>
      <c r="Z4868">
        <v>1.4405309999999999E-2</v>
      </c>
      <c r="AA4868">
        <v>0.99229199999999995</v>
      </c>
      <c r="AB4868">
        <v>28</v>
      </c>
      <c r="AC4868">
        <v>-2.6175000000000002</v>
      </c>
      <c r="AD4868">
        <v>-1.10635063914299</v>
      </c>
      <c r="AE4868">
        <v>-74.735559999999893</v>
      </c>
      <c r="AF4868">
        <v>-9.2341839049531096</v>
      </c>
      <c r="AG4868">
        <v>-1.10635063914299</v>
      </c>
      <c r="AH4868">
        <v>74.192572824955803</v>
      </c>
      <c r="AI4868">
        <v>90.847784126964299</v>
      </c>
      <c r="AJ4868">
        <v>97.094684667180104</v>
      </c>
      <c r="AK4868">
        <v>74.773203933719401</v>
      </c>
    </row>
    <row r="4869" spans="1:37" x14ac:dyDescent="0.2">
      <c r="A4869" t="str">
        <f>"20200111155651825"</f>
        <v>20200111155651825</v>
      </c>
      <c r="B4869" t="str">
        <f>"1578729411818021"</f>
        <v>1578729411818021</v>
      </c>
      <c r="C4869" t="s">
        <v>37</v>
      </c>
      <c r="D4869">
        <v>4.8371069999999996</v>
      </c>
      <c r="E4869">
        <v>0.44569560000000003</v>
      </c>
      <c r="F4869" t="s">
        <v>75</v>
      </c>
      <c r="G4869">
        <v>-423.15280000000001</v>
      </c>
      <c r="H4869" s="1">
        <v>-7.3096249999999902E-6</v>
      </c>
      <c r="I4869">
        <v>26.179189999999998</v>
      </c>
      <c r="J4869">
        <v>-420.54360000000003</v>
      </c>
      <c r="K4869">
        <v>1.107372</v>
      </c>
      <c r="L4869">
        <v>105.72399999999899</v>
      </c>
      <c r="M4869">
        <v>-0.1466983</v>
      </c>
      <c r="N4869">
        <v>0</v>
      </c>
      <c r="O4869">
        <v>-0.98907990000000001</v>
      </c>
      <c r="P4869">
        <v>-9.7841830000000005E-2</v>
      </c>
      <c r="Q4869">
        <v>2.6217859999999999E-2</v>
      </c>
      <c r="R4869">
        <v>-0.99485679999999999</v>
      </c>
      <c r="S4869">
        <v>-0.10333249999999999</v>
      </c>
      <c r="T4869">
        <v>-4.1279789999999997E-2</v>
      </c>
      <c r="U4869">
        <v>-3.0091399999999999</v>
      </c>
      <c r="V4869">
        <v>-4.9407489999999998E-2</v>
      </c>
      <c r="W4869">
        <v>4.0080600000000001E-2</v>
      </c>
      <c r="X4869">
        <v>0.99797420000000003</v>
      </c>
      <c r="Y4869">
        <v>-0.1126817</v>
      </c>
      <c r="Z4869">
        <v>1.344676E-2</v>
      </c>
      <c r="AA4869">
        <v>0.99354019999999998</v>
      </c>
      <c r="AB4869">
        <v>28</v>
      </c>
      <c r="AC4869">
        <v>-2.60919999999998</v>
      </c>
      <c r="AD4869">
        <v>-1.107379309625</v>
      </c>
      <c r="AE4869">
        <v>-79.544809999999899</v>
      </c>
      <c r="AF4869">
        <v>-9.0875333133813605</v>
      </c>
      <c r="AG4869">
        <v>-1.107379309625</v>
      </c>
      <c r="AH4869">
        <v>79.051562887921193</v>
      </c>
      <c r="AI4869">
        <v>90.797314589310801</v>
      </c>
      <c r="AJ4869">
        <v>96.557766829433902</v>
      </c>
      <c r="AK4869">
        <v>79.579891591281793</v>
      </c>
    </row>
    <row r="4870" spans="1:37" x14ac:dyDescent="0.2">
      <c r="A4870" t="str">
        <f>"20200111155651848"</f>
        <v>20200111155651848</v>
      </c>
      <c r="B4870" t="str">
        <f>"1578729411838050"</f>
        <v>1578729411838050</v>
      </c>
      <c r="C4870" t="s">
        <v>37</v>
      </c>
      <c r="D4870">
        <v>4.8307089999999997</v>
      </c>
      <c r="E4870">
        <v>0.44872089999999998</v>
      </c>
      <c r="F4870" t="s">
        <v>78</v>
      </c>
      <c r="G4870">
        <v>-415.74149999999997</v>
      </c>
      <c r="H4870">
        <v>2.5700069999999999</v>
      </c>
      <c r="I4870">
        <v>1.278446</v>
      </c>
      <c r="J4870">
        <v>-420.5806</v>
      </c>
      <c r="K4870">
        <v>1.107507</v>
      </c>
      <c r="L4870">
        <v>105.4494</v>
      </c>
      <c r="M4870">
        <v>-0.1432515</v>
      </c>
      <c r="N4870">
        <v>0</v>
      </c>
      <c r="O4870">
        <v>-0.98958489999999999</v>
      </c>
      <c r="P4870">
        <v>-9.2678199999999905E-2</v>
      </c>
      <c r="Q4870">
        <v>2.521141E-2</v>
      </c>
      <c r="R4870">
        <v>-0.99537690000000001</v>
      </c>
      <c r="S4870">
        <v>0.13922119999999999</v>
      </c>
      <c r="T4870">
        <v>4.2403820000000002E-2</v>
      </c>
      <c r="U4870">
        <v>-3.028076</v>
      </c>
      <c r="V4870">
        <v>-5.1121220000000002E-2</v>
      </c>
      <c r="W4870">
        <v>3.9048109999999997E-2</v>
      </c>
      <c r="X4870">
        <v>0.99792879999999995</v>
      </c>
      <c r="Y4870">
        <v>-0.1885647</v>
      </c>
      <c r="Z4870">
        <v>-1.365248E-2</v>
      </c>
      <c r="AA4870">
        <v>0.9819658</v>
      </c>
      <c r="AB4870">
        <v>28</v>
      </c>
      <c r="AC4870">
        <v>4.8391000000000304</v>
      </c>
      <c r="AD4870">
        <v>1.4624999999999999</v>
      </c>
      <c r="AE4870">
        <v>-104.17095399999999</v>
      </c>
      <c r="AF4870">
        <v>-19.7094478945458</v>
      </c>
      <c r="AG4870">
        <v>1.4624999999999999</v>
      </c>
      <c r="AH4870">
        <v>102.382936366309</v>
      </c>
      <c r="AI4870">
        <v>89.1963615425543</v>
      </c>
      <c r="AJ4870">
        <v>100.896547494267</v>
      </c>
      <c r="AK4870">
        <v>104.273040147228</v>
      </c>
    </row>
    <row r="4871" spans="1:37" x14ac:dyDescent="0.2">
      <c r="A4871" t="str">
        <f>"20200111155651871"</f>
        <v>20200111155651871</v>
      </c>
      <c r="B4871" t="str">
        <f>"1578729411868305"</f>
        <v>1578729411868305</v>
      </c>
      <c r="C4871" t="s">
        <v>37</v>
      </c>
      <c r="D4871">
        <v>4.8587590000000001</v>
      </c>
      <c r="E4871">
        <v>0.4495691</v>
      </c>
      <c r="F4871" t="s">
        <v>78</v>
      </c>
      <c r="G4871">
        <v>-416.04610000000002</v>
      </c>
      <c r="H4871">
        <v>1.478939</v>
      </c>
      <c r="I4871">
        <v>1.277245</v>
      </c>
      <c r="J4871">
        <v>-420.61649999999997</v>
      </c>
      <c r="K4871">
        <v>1.107615</v>
      </c>
      <c r="L4871">
        <v>105.1738</v>
      </c>
      <c r="M4871">
        <v>-0.13963780000000001</v>
      </c>
      <c r="N4871">
        <v>0</v>
      </c>
      <c r="O4871">
        <v>-0.99010119999999902</v>
      </c>
      <c r="P4871">
        <v>-8.7189299999999997E-2</v>
      </c>
      <c r="Q4871">
        <v>2.3736130000000001E-2</v>
      </c>
      <c r="R4871">
        <v>-0.99590909999999999</v>
      </c>
      <c r="S4871">
        <v>0.13171389999999999</v>
      </c>
      <c r="T4871">
        <v>1.078844E-2</v>
      </c>
      <c r="U4871">
        <v>-3.0259399999999999</v>
      </c>
      <c r="V4871">
        <v>-5.2987599999999899E-2</v>
      </c>
      <c r="W4871">
        <v>3.7548129999999999E-2</v>
      </c>
      <c r="X4871">
        <v>0.99788899999999903</v>
      </c>
      <c r="Y4871">
        <v>-0.182580399999999</v>
      </c>
      <c r="Z4871">
        <v>-3.4812229999999999E-3</v>
      </c>
      <c r="AA4871">
        <v>0.98318479999999997</v>
      </c>
      <c r="AB4871">
        <v>28</v>
      </c>
      <c r="AC4871">
        <v>4.5703999999999496</v>
      </c>
      <c r="AD4871">
        <v>0.37132399999999999</v>
      </c>
      <c r="AE4871">
        <v>-103.89655500000001</v>
      </c>
      <c r="AF4871">
        <v>-19.034714369238301</v>
      </c>
      <c r="AG4871">
        <v>0.37132399999999999</v>
      </c>
      <c r="AH4871">
        <v>102.23887024100399</v>
      </c>
      <c r="AI4871">
        <v>89.795422249951002</v>
      </c>
      <c r="AJ4871">
        <v>100.546511814886</v>
      </c>
      <c r="AK4871">
        <v>103.996369267337</v>
      </c>
    </row>
    <row r="4872" spans="1:37" x14ac:dyDescent="0.2">
      <c r="A4872" t="str">
        <f>"20200111155652071"</f>
        <v>20200111155652071</v>
      </c>
      <c r="B4872" t="str">
        <f>"1578729412068386"</f>
        <v>1578729412068386</v>
      </c>
      <c r="C4872" t="s">
        <v>37</v>
      </c>
      <c r="D4872">
        <v>4.7521719999999998</v>
      </c>
      <c r="E4872">
        <v>0.47715429999999998</v>
      </c>
      <c r="F4872" t="s">
        <v>78</v>
      </c>
      <c r="G4872">
        <v>-415.73790000000002</v>
      </c>
      <c r="H4872">
        <v>1.236397</v>
      </c>
      <c r="I4872">
        <v>1.2784610000000001</v>
      </c>
      <c r="J4872">
        <v>-420.88580000000002</v>
      </c>
      <c r="K4872">
        <v>1.1077699999999999</v>
      </c>
      <c r="L4872">
        <v>102.72320000000001</v>
      </c>
      <c r="M4872">
        <v>-0.10529089999999899</v>
      </c>
      <c r="N4872">
        <v>0</v>
      </c>
      <c r="O4872">
        <v>-0.99434040000000001</v>
      </c>
      <c r="P4872">
        <v>-4.8520999999999898E-2</v>
      </c>
      <c r="Q4872">
        <v>1.265055E-2</v>
      </c>
      <c r="R4872">
        <v>-0.99874200000000002</v>
      </c>
      <c r="S4872">
        <v>0.14202879999999901</v>
      </c>
      <c r="T4872">
        <v>3.748417E-3</v>
      </c>
      <c r="U4872">
        <v>-3.0246580000000001</v>
      </c>
      <c r="V4872">
        <v>-5.7102970000000003E-2</v>
      </c>
      <c r="W4872">
        <v>2.640638E-2</v>
      </c>
      <c r="X4872">
        <v>0.99801899999999999</v>
      </c>
      <c r="Y4872">
        <v>-0.1518301</v>
      </c>
      <c r="Z4872">
        <v>-1.221085E-3</v>
      </c>
      <c r="AA4872">
        <v>0.9884058</v>
      </c>
      <c r="AB4872">
        <v>27</v>
      </c>
      <c r="AC4872">
        <v>5.1478999999999902</v>
      </c>
      <c r="AD4872">
        <v>0.12862699999999899</v>
      </c>
      <c r="AE4872">
        <v>-101.444739</v>
      </c>
      <c r="AF4872">
        <v>-15.8015355754273</v>
      </c>
      <c r="AG4872">
        <v>0.12862699999999899</v>
      </c>
      <c r="AH4872">
        <v>100.338498737602</v>
      </c>
      <c r="AI4872">
        <v>89.927445017450196</v>
      </c>
      <c r="AJ4872">
        <v>98.949567960520298</v>
      </c>
      <c r="AK4872">
        <v>101.575190870421</v>
      </c>
    </row>
    <row r="4873" spans="1:37" x14ac:dyDescent="0.2">
      <c r="A4873" t="str">
        <f>"20200111155652093"</f>
        <v>20200111155652093</v>
      </c>
      <c r="B4873" t="str">
        <f>"1578729412087906"</f>
        <v>1578729412087906</v>
      </c>
      <c r="C4873" t="s">
        <v>37</v>
      </c>
      <c r="D4873">
        <v>4.6769379999999998</v>
      </c>
      <c r="E4873">
        <v>0.47807959999999899</v>
      </c>
      <c r="F4873" t="s">
        <v>78</v>
      </c>
      <c r="G4873">
        <v>-419.5675</v>
      </c>
      <c r="H4873">
        <v>0.59441440000000001</v>
      </c>
      <c r="I4873">
        <v>0.48178670000000001</v>
      </c>
      <c r="J4873">
        <v>-420.91039999999998</v>
      </c>
      <c r="K4873">
        <v>1.1077619999999999</v>
      </c>
      <c r="L4873">
        <v>102.45010000000001</v>
      </c>
      <c r="M4873">
        <v>-0.10145410000000001</v>
      </c>
      <c r="N4873">
        <v>0</v>
      </c>
      <c r="O4873">
        <v>-0.99473919999999905</v>
      </c>
      <c r="P4873">
        <v>-4.6067070000000002E-2</v>
      </c>
      <c r="Q4873">
        <v>1.1788180000000001E-2</v>
      </c>
      <c r="R4873">
        <v>-0.99886889999999995</v>
      </c>
      <c r="S4873">
        <v>3.8757319999999998E-2</v>
      </c>
      <c r="T4873">
        <v>-1.509309E-2</v>
      </c>
      <c r="U4873">
        <v>-3.0058590000000001</v>
      </c>
      <c r="V4873">
        <v>-5.5698839999999999E-2</v>
      </c>
      <c r="W4873">
        <v>2.555456E-2</v>
      </c>
      <c r="X4873">
        <v>0.99812049999999997</v>
      </c>
      <c r="Y4873">
        <v>-0.11428199999999999</v>
      </c>
      <c r="Z4873">
        <v>4.9656270000000002E-3</v>
      </c>
      <c r="AA4873">
        <v>0.99343590000000004</v>
      </c>
      <c r="AB4873">
        <v>27</v>
      </c>
      <c r="AC4873">
        <v>1.34289999999998</v>
      </c>
      <c r="AD4873">
        <v>-0.51334760000000002</v>
      </c>
      <c r="AE4873">
        <v>-101.96831330000001</v>
      </c>
      <c r="AF4873">
        <v>-11.681816751985201</v>
      </c>
      <c r="AG4873">
        <v>-0.51334760000000002</v>
      </c>
      <c r="AH4873">
        <v>101.303249817299</v>
      </c>
      <c r="AI4873">
        <v>90.288428791308206</v>
      </c>
      <c r="AJ4873">
        <v>96.578026502065697</v>
      </c>
      <c r="AK4873">
        <v>101.975863771441</v>
      </c>
    </row>
    <row r="4874" spans="1:37" x14ac:dyDescent="0.2">
      <c r="A4874" t="str">
        <f>"20200111155652116"</f>
        <v>20200111155652116</v>
      </c>
      <c r="B4874" t="str">
        <f>"1578729412107425"</f>
        <v>1578729412107425</v>
      </c>
      <c r="C4874" t="s">
        <v>37</v>
      </c>
      <c r="D4874">
        <v>4.8212630000000001</v>
      </c>
      <c r="E4874">
        <v>0.47957709999999998</v>
      </c>
      <c r="F4874" t="s">
        <v>78</v>
      </c>
      <c r="G4874">
        <v>-419.58929999999998</v>
      </c>
      <c r="H4874">
        <v>0.27004129999999998</v>
      </c>
      <c r="I4874">
        <v>0.48156549999999998</v>
      </c>
      <c r="J4874">
        <v>-420.9332</v>
      </c>
      <c r="K4874">
        <v>1.1077440000000001</v>
      </c>
      <c r="L4874">
        <v>102.1862</v>
      </c>
      <c r="M4874">
        <v>-9.7756239999999994E-2</v>
      </c>
      <c r="N4874">
        <v>0</v>
      </c>
      <c r="O4874">
        <v>-0.99510959999999904</v>
      </c>
      <c r="P4874">
        <v>-4.3753050000000002E-2</v>
      </c>
      <c r="Q4874">
        <v>1.132003E-2</v>
      </c>
      <c r="R4874">
        <v>-0.99897860000000005</v>
      </c>
      <c r="S4874">
        <v>3.8940429999999998E-2</v>
      </c>
      <c r="T4874">
        <v>-2.469242E-2</v>
      </c>
      <c r="U4874">
        <v>-3.005493</v>
      </c>
      <c r="V4874">
        <v>-5.4297289999999998E-2</v>
      </c>
      <c r="W4874">
        <v>2.509695E-2</v>
      </c>
      <c r="X4874">
        <v>0.99820940000000002</v>
      </c>
      <c r="Y4874">
        <v>-0.1106507</v>
      </c>
      <c r="Z4874">
        <v>8.1308739999999997E-3</v>
      </c>
      <c r="AA4874">
        <v>0.99382610000000005</v>
      </c>
      <c r="AB4874">
        <v>27</v>
      </c>
      <c r="AC4874">
        <v>1.3439000000000101</v>
      </c>
      <c r="AD4874">
        <v>-0.83770270000000002</v>
      </c>
      <c r="AE4874">
        <v>-101.7046345</v>
      </c>
      <c r="AF4874">
        <v>-11.279956851807301</v>
      </c>
      <c r="AG4874">
        <v>-0.83770270000000002</v>
      </c>
      <c r="AH4874">
        <v>101.07916684741799</v>
      </c>
      <c r="AI4874">
        <v>90.471903859968606</v>
      </c>
      <c r="AJ4874">
        <v>96.367592217077899</v>
      </c>
      <c r="AK4874">
        <v>101.71006411835801</v>
      </c>
    </row>
    <row r="4875" spans="1:37" x14ac:dyDescent="0.2">
      <c r="A4875" t="str">
        <f>"20200111155652138"</f>
        <v>20200111155652138</v>
      </c>
      <c r="B4875" t="str">
        <f>"1578729412127921"</f>
        <v>1578729412127921</v>
      </c>
      <c r="C4875" t="s">
        <v>37</v>
      </c>
      <c r="D4875">
        <v>4.6981570000000001</v>
      </c>
      <c r="E4875">
        <v>0.47991499999999998</v>
      </c>
      <c r="F4875" t="s">
        <v>78</v>
      </c>
      <c r="G4875">
        <v>-419.8082</v>
      </c>
      <c r="H4875">
        <v>0.70295669999999899</v>
      </c>
      <c r="I4875">
        <v>0.47933579999999998</v>
      </c>
      <c r="J4875">
        <v>-420.95569999999998</v>
      </c>
      <c r="K4875">
        <v>1.1077250000000001</v>
      </c>
      <c r="L4875">
        <v>101.91379999999999</v>
      </c>
      <c r="M4875">
        <v>-9.3946779999999994E-2</v>
      </c>
      <c r="N4875">
        <v>0</v>
      </c>
      <c r="O4875">
        <v>-0.99547669999999999</v>
      </c>
      <c r="P4875">
        <v>-4.089462E-2</v>
      </c>
      <c r="Q4875">
        <v>1.024629E-2</v>
      </c>
      <c r="R4875">
        <v>-0.99911109999999903</v>
      </c>
      <c r="S4875">
        <v>3.3233640000000002E-2</v>
      </c>
      <c r="T4875">
        <v>-1.195908E-2</v>
      </c>
      <c r="U4875">
        <v>-3.0046689999999998</v>
      </c>
      <c r="V4875">
        <v>-5.3325280000000003E-2</v>
      </c>
      <c r="W4875">
        <v>2.4030579999999999E-2</v>
      </c>
      <c r="X4875">
        <v>0.99828799999999995</v>
      </c>
      <c r="Y4875">
        <v>-0.1049614</v>
      </c>
      <c r="Z4875">
        <v>3.9426050000000001E-3</v>
      </c>
      <c r="AA4875">
        <v>0.99446849999999998</v>
      </c>
      <c r="AB4875">
        <v>27</v>
      </c>
      <c r="AC4875">
        <v>1.14749999999997</v>
      </c>
      <c r="AD4875">
        <v>-0.40476830000000003</v>
      </c>
      <c r="AE4875">
        <v>-101.43446419999999</v>
      </c>
      <c r="AF4875">
        <v>-10.672648974990601</v>
      </c>
      <c r="AG4875">
        <v>-0.40476830000000003</v>
      </c>
      <c r="AH4875">
        <v>100.87633112241799</v>
      </c>
      <c r="AI4875">
        <v>90.228623256808604</v>
      </c>
      <c r="AJ4875">
        <v>96.039388405209806</v>
      </c>
      <c r="AK4875">
        <v>101.4401471521</v>
      </c>
    </row>
    <row r="4876" spans="1:37" x14ac:dyDescent="0.2">
      <c r="A4876" t="str">
        <f>"20200111155652154"</f>
        <v>20200111155652154</v>
      </c>
      <c r="B4876" t="str">
        <f>"1578729412147442"</f>
        <v>1578729412147442</v>
      </c>
      <c r="C4876" t="s">
        <v>37</v>
      </c>
      <c r="D4876">
        <v>4.675052</v>
      </c>
      <c r="E4876">
        <v>0.48010659999999999</v>
      </c>
      <c r="F4876" t="s">
        <v>78</v>
      </c>
      <c r="G4876">
        <v>-419.63069999999999</v>
      </c>
      <c r="H4876">
        <v>0.70007140000000001</v>
      </c>
      <c r="I4876">
        <v>0.48114399999999902</v>
      </c>
      <c r="J4876">
        <v>-420.97039999999998</v>
      </c>
      <c r="K4876">
        <v>1.1077090000000001</v>
      </c>
      <c r="L4876">
        <v>101.7281</v>
      </c>
      <c r="M4876">
        <v>-9.1361429999999993E-2</v>
      </c>
      <c r="N4876">
        <v>0</v>
      </c>
      <c r="O4876">
        <v>-0.99571710000000002</v>
      </c>
      <c r="P4876">
        <v>-3.8504940000000001E-2</v>
      </c>
      <c r="Q4876">
        <v>9.8554269999999999E-3</v>
      </c>
      <c r="R4876">
        <v>-0.99920989999999998</v>
      </c>
      <c r="S4876">
        <v>3.924561E-2</v>
      </c>
      <c r="T4876">
        <v>-1.207542E-2</v>
      </c>
      <c r="U4876">
        <v>-3.0043950000000001</v>
      </c>
      <c r="V4876">
        <v>-5.3117270000000001E-2</v>
      </c>
      <c r="W4876">
        <v>2.3640640000000001E-2</v>
      </c>
      <c r="X4876">
        <v>0.99830839999999998</v>
      </c>
      <c r="Y4876">
        <v>-0.1043697</v>
      </c>
      <c r="Z4876">
        <v>3.9828529999999997E-3</v>
      </c>
      <c r="AA4876">
        <v>0.99453060000000004</v>
      </c>
      <c r="AB4876">
        <v>27</v>
      </c>
      <c r="AC4876">
        <v>1.3396999999999899</v>
      </c>
      <c r="AD4876">
        <v>-0.40763759999999999</v>
      </c>
      <c r="AE4876">
        <v>-101.246956</v>
      </c>
      <c r="AF4876">
        <v>-10.584918781411</v>
      </c>
      <c r="AG4876">
        <v>-0.40763759999999999</v>
      </c>
      <c r="AH4876">
        <v>100.699394541378</v>
      </c>
      <c r="AI4876">
        <v>90.230664929847194</v>
      </c>
      <c r="AJ4876">
        <v>96.000554840985998</v>
      </c>
      <c r="AK4876">
        <v>101.25499856808101</v>
      </c>
    </row>
    <row r="4877" spans="1:37" x14ac:dyDescent="0.2">
      <c r="A4877" t="str">
        <f>"20200111155652172"</f>
        <v>20200111155652172</v>
      </c>
      <c r="B4877" t="str">
        <f>"1578729412167938"</f>
        <v>1578729412167938</v>
      </c>
      <c r="C4877" t="s">
        <v>37</v>
      </c>
      <c r="D4877">
        <v>4.6443599999999998</v>
      </c>
      <c r="E4877">
        <v>0.4803423</v>
      </c>
      <c r="F4877" t="s">
        <v>78</v>
      </c>
      <c r="G4877">
        <v>-419.45740000000001</v>
      </c>
      <c r="H4877">
        <v>0.70904730000000005</v>
      </c>
      <c r="I4877">
        <v>0.48290249999999901</v>
      </c>
      <c r="J4877">
        <v>-420.98759999999999</v>
      </c>
      <c r="K4877">
        <v>1.1076859999999999</v>
      </c>
      <c r="L4877">
        <v>101.502</v>
      </c>
      <c r="M4877">
        <v>-8.8223490000000002E-2</v>
      </c>
      <c r="N4877">
        <v>0</v>
      </c>
      <c r="O4877">
        <v>-0.99599989999999905</v>
      </c>
      <c r="P4877">
        <v>-3.5173639999999999E-2</v>
      </c>
      <c r="Q4877">
        <v>9.6221580000000004E-3</v>
      </c>
      <c r="R4877">
        <v>-0.99933490000000003</v>
      </c>
      <c r="S4877">
        <v>4.4891359999999998E-2</v>
      </c>
      <c r="T4877">
        <v>-1.182997E-2</v>
      </c>
      <c r="U4877">
        <v>-3.0042110000000002</v>
      </c>
      <c r="V4877">
        <v>-5.3297509999999999E-2</v>
      </c>
      <c r="W4877">
        <v>2.340658E-2</v>
      </c>
      <c r="X4877">
        <v>0.99830429999999903</v>
      </c>
      <c r="Y4877">
        <v>-0.10310519999999999</v>
      </c>
      <c r="Z4877">
        <v>3.9040120000000001E-3</v>
      </c>
      <c r="AA4877">
        <v>0.99466279999999996</v>
      </c>
      <c r="AB4877">
        <v>27</v>
      </c>
      <c r="AC4877">
        <v>1.53019999999997</v>
      </c>
      <c r="AD4877">
        <v>-0.39863869999999901</v>
      </c>
      <c r="AE4877">
        <v>-101.0190975</v>
      </c>
      <c r="AF4877">
        <v>-10.4372219354774</v>
      </c>
      <c r="AG4877">
        <v>-0.39863869999999901</v>
      </c>
      <c r="AH4877">
        <v>100.488537415069</v>
      </c>
      <c r="AI4877">
        <v>90.2260753931115</v>
      </c>
      <c r="AJ4877">
        <v>95.929752545305007</v>
      </c>
      <c r="AK4877">
        <v>101.029899863176</v>
      </c>
    </row>
    <row r="4878" spans="1:37" x14ac:dyDescent="0.2">
      <c r="A4878" t="str">
        <f>"20200111155652187"</f>
        <v>20200111155652187</v>
      </c>
      <c r="B4878" t="str">
        <f>"1578729412177698"</f>
        <v>1578729412177698</v>
      </c>
      <c r="C4878" t="s">
        <v>37</v>
      </c>
      <c r="D4878">
        <v>4.617985</v>
      </c>
      <c r="E4878">
        <v>0.4804774</v>
      </c>
      <c r="F4878" t="s">
        <v>78</v>
      </c>
      <c r="G4878">
        <v>-419.21019999999999</v>
      </c>
      <c r="H4878">
        <v>0.58106029999999997</v>
      </c>
      <c r="I4878">
        <v>0.48541640000000003</v>
      </c>
      <c r="J4878">
        <v>-421.0009</v>
      </c>
      <c r="K4878">
        <v>1.1076680000000001</v>
      </c>
      <c r="L4878">
        <v>101.3219</v>
      </c>
      <c r="M4878">
        <v>-8.5737309999999997E-2</v>
      </c>
      <c r="N4878">
        <v>0</v>
      </c>
      <c r="O4878">
        <v>-0.99621719999999903</v>
      </c>
      <c r="P4878">
        <v>-3.2385169999999998E-2</v>
      </c>
      <c r="Q4878">
        <v>9.6101039999999995E-3</v>
      </c>
      <c r="R4878">
        <v>-0.99942949999999997</v>
      </c>
      <c r="S4878">
        <v>5.2856449999999999E-2</v>
      </c>
      <c r="T4878">
        <v>-1.5661479999999998E-2</v>
      </c>
      <c r="U4878">
        <v>-3.0039980000000002</v>
      </c>
      <c r="V4878">
        <v>-5.35898E-2</v>
      </c>
      <c r="W4878">
        <v>2.3392280000000001E-2</v>
      </c>
      <c r="X4878">
        <v>0.99828899999999998</v>
      </c>
      <c r="Y4878">
        <v>-0.103260199999999</v>
      </c>
      <c r="Z4878">
        <v>5.1703309999999898E-3</v>
      </c>
      <c r="AA4878">
        <v>0.99464089999999905</v>
      </c>
      <c r="AB4878">
        <v>27</v>
      </c>
      <c r="AC4878">
        <v>1.79070000000001</v>
      </c>
      <c r="AD4878">
        <v>-0.52660770000000001</v>
      </c>
      <c r="AE4878">
        <v>-100.83648359999999</v>
      </c>
      <c r="AF4878">
        <v>-10.4301358201909</v>
      </c>
      <c r="AG4878">
        <v>-0.52660770000000001</v>
      </c>
      <c r="AH4878">
        <v>100.308826577814</v>
      </c>
      <c r="AI4878">
        <v>90.299179319011003</v>
      </c>
      <c r="AJ4878">
        <v>95.936296023619093</v>
      </c>
      <c r="AK4878">
        <v>100.851007621715</v>
      </c>
    </row>
    <row r="4879" spans="1:37" x14ac:dyDescent="0.2">
      <c r="A4879" t="str">
        <f>"20200111155652203"</f>
        <v>20200111155652203</v>
      </c>
      <c r="B4879" t="str">
        <f>"1578729412198194"</f>
        <v>1578729412198194</v>
      </c>
      <c r="C4879" t="s">
        <v>37</v>
      </c>
      <c r="D4879">
        <v>5.0008410000000003</v>
      </c>
      <c r="E4879">
        <v>0.48010909999999901</v>
      </c>
      <c r="F4879" t="s">
        <v>78</v>
      </c>
      <c r="G4879">
        <v>-418.97559999999999</v>
      </c>
      <c r="H4879">
        <v>0.54161519999999996</v>
      </c>
      <c r="I4879">
        <v>0.48780630000000003</v>
      </c>
      <c r="J4879">
        <v>-421.01400000000001</v>
      </c>
      <c r="K4879">
        <v>1.1076469999999901</v>
      </c>
      <c r="L4879">
        <v>101.1378</v>
      </c>
      <c r="M4879">
        <v>-8.3208470000000007E-2</v>
      </c>
      <c r="N4879">
        <v>0</v>
      </c>
      <c r="O4879">
        <v>-0.99643159999999897</v>
      </c>
      <c r="P4879">
        <v>-2.9367830000000001E-2</v>
      </c>
      <c r="Q4879">
        <v>9.6333919999999993E-3</v>
      </c>
      <c r="R4879">
        <v>-0.99952229999999997</v>
      </c>
      <c r="S4879">
        <v>6.0333249999999998E-2</v>
      </c>
      <c r="T4879">
        <v>-1.6863349999999999E-2</v>
      </c>
      <c r="U4879">
        <v>-3.0038149999999999</v>
      </c>
      <c r="V4879">
        <v>-5.406913E-2</v>
      </c>
      <c r="W4879">
        <v>2.34123E-2</v>
      </c>
      <c r="X4879">
        <v>0.99826269999999995</v>
      </c>
      <c r="Y4879">
        <v>-0.1032116</v>
      </c>
      <c r="Z4879">
        <v>5.5691200000000003E-3</v>
      </c>
      <c r="AA4879">
        <v>0.99464379999999997</v>
      </c>
      <c r="AB4879">
        <v>27</v>
      </c>
      <c r="AC4879">
        <v>2.0384000000000202</v>
      </c>
      <c r="AD4879">
        <v>-0.56603179999999897</v>
      </c>
      <c r="AE4879">
        <v>-100.6499937</v>
      </c>
      <c r="AF4879">
        <v>-10.4067720900618</v>
      </c>
      <c r="AG4879">
        <v>-0.56603179999999897</v>
      </c>
      <c r="AH4879">
        <v>100.128091200339</v>
      </c>
      <c r="AI4879">
        <v>90.322158665349903</v>
      </c>
      <c r="AJ4879">
        <v>95.933708449921298</v>
      </c>
      <c r="AK4879">
        <v>100.669041640201</v>
      </c>
    </row>
    <row r="4880" spans="1:37" x14ac:dyDescent="0.2">
      <c r="A4880" t="str">
        <f>"20200111155652215"</f>
        <v>20200111155652215</v>
      </c>
      <c r="B4880" t="str">
        <f>"1578729412207955"</f>
        <v>1578729412207955</v>
      </c>
      <c r="C4880" t="s">
        <v>37</v>
      </c>
      <c r="D4880">
        <v>4.6651850000000001</v>
      </c>
      <c r="E4880">
        <v>0.48016690000000001</v>
      </c>
      <c r="F4880" t="s">
        <v>78</v>
      </c>
      <c r="G4880">
        <v>-418.5926</v>
      </c>
      <c r="H4880">
        <v>0.41423009999999899</v>
      </c>
      <c r="I4880">
        <v>0.491703</v>
      </c>
      <c r="J4880">
        <v>-421.0256</v>
      </c>
      <c r="K4880">
        <v>1.107621</v>
      </c>
      <c r="L4880">
        <v>100.96980000000001</v>
      </c>
      <c r="M4880">
        <v>-8.0912129999999999E-2</v>
      </c>
      <c r="N4880">
        <v>0</v>
      </c>
      <c r="O4880">
        <v>-0.99662070000000003</v>
      </c>
      <c r="P4880">
        <v>-2.5959909999999999E-2</v>
      </c>
      <c r="Q4880">
        <v>9.6747499999999993E-3</v>
      </c>
      <c r="R4880">
        <v>-0.99961619999999995</v>
      </c>
      <c r="S4880">
        <v>7.2265629999999997E-2</v>
      </c>
      <c r="T4880">
        <v>-2.0695450000000001E-2</v>
      </c>
      <c r="U4880">
        <v>-3.0037539999999998</v>
      </c>
      <c r="V4880">
        <v>-5.5171489999999997E-2</v>
      </c>
      <c r="W4880">
        <v>2.3446149999999999E-2</v>
      </c>
      <c r="X4880">
        <v>0.99820149999999996</v>
      </c>
      <c r="Y4880">
        <v>-0.104868899999999</v>
      </c>
      <c r="Z4880">
        <v>6.8358129999999996E-3</v>
      </c>
      <c r="AA4880">
        <v>0.99446250000000003</v>
      </c>
      <c r="AB4880">
        <v>27</v>
      </c>
      <c r="AC4880">
        <v>2.4329999999999901</v>
      </c>
      <c r="AD4880">
        <v>-0.69339090000000003</v>
      </c>
      <c r="AE4880">
        <v>-100.47809700000001</v>
      </c>
      <c r="AF4880">
        <v>-10.555230413602199</v>
      </c>
      <c r="AG4880">
        <v>-0.69339090000000003</v>
      </c>
      <c r="AH4880">
        <v>99.946951246257399</v>
      </c>
      <c r="AI4880">
        <v>90.395290034457901</v>
      </c>
      <c r="AJ4880">
        <v>96.028565314304103</v>
      </c>
      <c r="AK4880">
        <v>100.50515779524</v>
      </c>
    </row>
    <row r="4881" spans="1:37" x14ac:dyDescent="0.2">
      <c r="A4881" t="str">
        <f>"20200111155652232"</f>
        <v>20200111155652232</v>
      </c>
      <c r="B4881" t="str">
        <f>"1578729412227475"</f>
        <v>1578729412227475</v>
      </c>
      <c r="C4881" t="s">
        <v>37</v>
      </c>
      <c r="D4881">
        <v>4.6731099999999897</v>
      </c>
      <c r="E4881">
        <v>0.48044880000000001</v>
      </c>
      <c r="F4881" t="s">
        <v>78</v>
      </c>
      <c r="G4881">
        <v>-418.27429999999998</v>
      </c>
      <c r="H4881">
        <v>0.38711669999999998</v>
      </c>
      <c r="I4881">
        <v>0.49493789999999999</v>
      </c>
      <c r="J4881">
        <v>-421.03809999999999</v>
      </c>
      <c r="K4881">
        <v>1.107593</v>
      </c>
      <c r="L4881">
        <v>100.7812</v>
      </c>
      <c r="M4881">
        <v>-7.8358380000000005E-2</v>
      </c>
      <c r="N4881">
        <v>0</v>
      </c>
      <c r="O4881">
        <v>-0.99682479999999996</v>
      </c>
      <c r="P4881">
        <v>-2.2789239999999999E-2</v>
      </c>
      <c r="Q4881">
        <v>9.4138550000000005E-3</v>
      </c>
      <c r="R4881">
        <v>-0.99969599999999903</v>
      </c>
      <c r="S4881">
        <v>8.2244869999999998E-2</v>
      </c>
      <c r="T4881">
        <v>-2.1538620000000001E-2</v>
      </c>
      <c r="U4881">
        <v>-3.003479</v>
      </c>
      <c r="V4881">
        <v>-5.577679E-2</v>
      </c>
      <c r="W4881">
        <v>2.3180619999999999E-2</v>
      </c>
      <c r="X4881">
        <v>0.99817409999999995</v>
      </c>
      <c r="Y4881">
        <v>-0.10562489999999999</v>
      </c>
      <c r="Z4881">
        <v>7.1165559999999996E-3</v>
      </c>
      <c r="AA4881">
        <v>0.99438059999999995</v>
      </c>
      <c r="AB4881">
        <v>27</v>
      </c>
      <c r="AC4881">
        <v>2.7637999999999998</v>
      </c>
      <c r="AD4881">
        <v>-0.72047629999999996</v>
      </c>
      <c r="AE4881">
        <v>-100.2862621</v>
      </c>
      <c r="AF4881">
        <v>-10.6138090126992</v>
      </c>
      <c r="AG4881">
        <v>-0.72047629999999996</v>
      </c>
      <c r="AH4881">
        <v>99.756112207633095</v>
      </c>
      <c r="AI4881">
        <v>90.411482108384703</v>
      </c>
      <c r="AJ4881">
        <v>96.073283682903707</v>
      </c>
      <c r="AK4881">
        <v>100.321752131024</v>
      </c>
    </row>
    <row r="4882" spans="1:37" x14ac:dyDescent="0.2">
      <c r="A4882" t="str">
        <f>"20200111155652250"</f>
        <v>20200111155652250</v>
      </c>
      <c r="B4882" t="str">
        <f>"1578729412247970"</f>
        <v>1578729412247970</v>
      </c>
      <c r="C4882" t="s">
        <v>37</v>
      </c>
      <c r="D4882">
        <v>5.4407370000000004</v>
      </c>
      <c r="E4882">
        <v>0.4809119</v>
      </c>
      <c r="F4882" t="s">
        <v>78</v>
      </c>
      <c r="G4882">
        <v>-418.0421</v>
      </c>
      <c r="H4882">
        <v>0.25063429999999998</v>
      </c>
      <c r="I4882">
        <v>0.4972992</v>
      </c>
      <c r="J4882">
        <v>-421.05259999999998</v>
      </c>
      <c r="K4882">
        <v>1.1075549999999901</v>
      </c>
      <c r="L4882">
        <v>100.5548</v>
      </c>
      <c r="M4882">
        <v>-7.5323810000000005E-2</v>
      </c>
      <c r="N4882">
        <v>0</v>
      </c>
      <c r="O4882">
        <v>-0.99705889999999997</v>
      </c>
      <c r="P4882">
        <v>-1.8960870000000001E-2</v>
      </c>
      <c r="Q4882">
        <v>8.9299779999999999E-3</v>
      </c>
      <c r="R4882">
        <v>-0.99978049999999996</v>
      </c>
      <c r="S4882">
        <v>8.9721679999999998E-2</v>
      </c>
      <c r="T4882">
        <v>-2.566421E-2</v>
      </c>
      <c r="U4882">
        <v>-3.0032040000000002</v>
      </c>
      <c r="V4882">
        <v>-5.6556559999999999E-2</v>
      </c>
      <c r="W4882">
        <v>2.2692460000000001E-2</v>
      </c>
      <c r="X4882">
        <v>0.99814150000000001</v>
      </c>
      <c r="Y4882">
        <v>-0.10507379999999999</v>
      </c>
      <c r="Z4882">
        <v>8.4833180000000001E-3</v>
      </c>
      <c r="AA4882">
        <v>0.99442819999999899</v>
      </c>
      <c r="AB4882">
        <v>27</v>
      </c>
      <c r="AC4882">
        <v>3.0104999999999702</v>
      </c>
      <c r="AD4882">
        <v>-0.85692069999999898</v>
      </c>
      <c r="AE4882">
        <v>-100.0575008</v>
      </c>
      <c r="AF4882">
        <v>-10.538639047599499</v>
      </c>
      <c r="AG4882">
        <v>-0.85692069999999898</v>
      </c>
      <c r="AH4882">
        <v>99.539113914386206</v>
      </c>
      <c r="AI4882">
        <v>90.490499243502001</v>
      </c>
      <c r="AJ4882">
        <v>96.0436387462657</v>
      </c>
      <c r="AK4882">
        <v>100.099113007672</v>
      </c>
    </row>
    <row r="4883" spans="1:37" x14ac:dyDescent="0.2">
      <c r="A4883" t="str">
        <f>"20200111155652265"</f>
        <v>20200111155652265</v>
      </c>
      <c r="B4883" t="str">
        <f>"1578729412257731"</f>
        <v>1578729412257731</v>
      </c>
      <c r="C4883" t="s">
        <v>37</v>
      </c>
      <c r="D4883">
        <v>4.3293629999999999</v>
      </c>
      <c r="E4883">
        <v>0.4809119</v>
      </c>
      <c r="F4883" t="s">
        <v>78</v>
      </c>
      <c r="G4883">
        <v>-417.80259999999998</v>
      </c>
      <c r="H4883">
        <v>0.22034419999999999</v>
      </c>
      <c r="I4883">
        <v>0.49973489999999998</v>
      </c>
      <c r="J4883">
        <v>-421.06310000000002</v>
      </c>
      <c r="K4883">
        <v>1.1075219999999999</v>
      </c>
      <c r="L4883">
        <v>100.3824</v>
      </c>
      <c r="M4883">
        <v>-7.3039580000000007E-2</v>
      </c>
      <c r="N4883">
        <v>0</v>
      </c>
      <c r="O4883">
        <v>-0.99722860000000002</v>
      </c>
      <c r="P4883">
        <v>-1.6282520000000002E-2</v>
      </c>
      <c r="Q4883">
        <v>8.5140690000000008E-3</v>
      </c>
      <c r="R4883">
        <v>-0.99983129999999998</v>
      </c>
      <c r="S4883">
        <v>9.7534179999999998E-2</v>
      </c>
      <c r="T4883">
        <v>-2.6626589999999999E-2</v>
      </c>
      <c r="U4883">
        <v>-3.0027159999999999</v>
      </c>
      <c r="V4883">
        <v>-5.6939759999999999E-2</v>
      </c>
      <c r="W4883">
        <v>2.227486E-2</v>
      </c>
      <c r="X4883">
        <v>0.99812909999999899</v>
      </c>
      <c r="Y4883">
        <v>-0.1053853</v>
      </c>
      <c r="Z4883">
        <v>8.8045959999999996E-3</v>
      </c>
      <c r="AA4883">
        <v>0.99439249999999901</v>
      </c>
      <c r="AB4883">
        <v>27</v>
      </c>
      <c r="AC4883">
        <v>3.2605000000000302</v>
      </c>
      <c r="AD4883">
        <v>-0.88717779999999902</v>
      </c>
      <c r="AE4883">
        <v>-99.882665099999997</v>
      </c>
      <c r="AF4883">
        <v>-10.547077180772</v>
      </c>
      <c r="AG4883">
        <v>-0.88717779999999902</v>
      </c>
      <c r="AH4883">
        <v>99.369828558992694</v>
      </c>
      <c r="AI4883">
        <v>90.508668361226199</v>
      </c>
      <c r="AJ4883">
        <v>96.058669426240499</v>
      </c>
      <c r="AK4883">
        <v>99.931930579517797</v>
      </c>
    </row>
    <row r="4884" spans="1:37" x14ac:dyDescent="0.2">
      <c r="A4884" t="str">
        <f>"20200111155652284"</f>
        <v>20200111155652284</v>
      </c>
      <c r="B4884" t="str">
        <f>"1578729412278226"</f>
        <v>1578729412278226</v>
      </c>
      <c r="C4884" t="s">
        <v>37</v>
      </c>
      <c r="D4884">
        <v>4.658582</v>
      </c>
      <c r="E4884">
        <v>0.4813441</v>
      </c>
      <c r="F4884" t="s">
        <v>78</v>
      </c>
      <c r="G4884">
        <v>-417.5607</v>
      </c>
      <c r="H4884">
        <v>0.1809605</v>
      </c>
      <c r="I4884">
        <v>0.50219539999999996</v>
      </c>
      <c r="J4884">
        <v>-421.0763</v>
      </c>
      <c r="K4884">
        <v>1.1074809999999999</v>
      </c>
      <c r="L4884">
        <v>100.1584</v>
      </c>
      <c r="M4884">
        <v>-7.0111870000000007E-2</v>
      </c>
      <c r="N4884">
        <v>0</v>
      </c>
      <c r="O4884">
        <v>-0.99743890000000002</v>
      </c>
      <c r="P4884">
        <v>-1.3061089999999999E-2</v>
      </c>
      <c r="Q4884">
        <v>7.8548079999999996E-3</v>
      </c>
      <c r="R4884">
        <v>-0.99988390000000005</v>
      </c>
      <c r="S4884">
        <v>0.10528559999999999</v>
      </c>
      <c r="T4884">
        <v>-2.7853969999999999E-2</v>
      </c>
      <c r="U4884">
        <v>-3.002472</v>
      </c>
      <c r="V4884">
        <v>-5.7219970000000002E-2</v>
      </c>
      <c r="W4884">
        <v>2.1615079999999998E-2</v>
      </c>
      <c r="X4884">
        <v>0.9981276</v>
      </c>
      <c r="Y4884">
        <v>-0.1050328</v>
      </c>
      <c r="Z4884">
        <v>9.2138619999999997E-3</v>
      </c>
      <c r="AA4884">
        <v>0.99442609999999998</v>
      </c>
      <c r="AB4884">
        <v>27</v>
      </c>
      <c r="AC4884">
        <v>3.5156000000000001</v>
      </c>
      <c r="AD4884">
        <v>-0.92652049999999997</v>
      </c>
      <c r="AE4884">
        <v>-99.656204599999995</v>
      </c>
      <c r="AF4884">
        <v>-10.493822477057799</v>
      </c>
      <c r="AG4884">
        <v>-0.92652049999999997</v>
      </c>
      <c r="AH4884">
        <v>99.155844962789701</v>
      </c>
      <c r="AI4884">
        <v>90.532387984321005</v>
      </c>
      <c r="AJ4884">
        <v>96.041216888802495</v>
      </c>
      <c r="AK4884">
        <v>99.713892415759801</v>
      </c>
    </row>
    <row r="4885" spans="1:37" x14ac:dyDescent="0.2">
      <c r="A4885" t="str">
        <f>"20200111155652300"</f>
        <v>20200111155652300</v>
      </c>
      <c r="B4885" t="str">
        <f>"1578729412297747"</f>
        <v>1578729412297747</v>
      </c>
      <c r="C4885" t="s">
        <v>37</v>
      </c>
      <c r="D4885">
        <v>4.7103659999999996</v>
      </c>
      <c r="E4885">
        <v>0.4819486</v>
      </c>
      <c r="F4885" t="s">
        <v>78</v>
      </c>
      <c r="G4885">
        <v>-417.3836</v>
      </c>
      <c r="H4885">
        <v>0.27321230000000002</v>
      </c>
      <c r="I4885">
        <v>0.50399589999999905</v>
      </c>
      <c r="J4885">
        <v>-421.08749999999998</v>
      </c>
      <c r="K4885">
        <v>1.10744</v>
      </c>
      <c r="L4885">
        <v>99.958919999999907</v>
      </c>
      <c r="M4885">
        <v>-6.7541279999999995E-2</v>
      </c>
      <c r="N4885">
        <v>0</v>
      </c>
      <c r="O4885">
        <v>-0.99761639999999996</v>
      </c>
      <c r="P4885">
        <v>-1.025908E-2</v>
      </c>
      <c r="Q4885">
        <v>8.2908140000000005E-3</v>
      </c>
      <c r="R4885">
        <v>-0.9999133</v>
      </c>
      <c r="S4885">
        <v>0.1112366</v>
      </c>
      <c r="T4885">
        <v>-2.5132419999999999E-2</v>
      </c>
      <c r="U4885">
        <v>-3.002014</v>
      </c>
      <c r="V4885">
        <v>-5.7445019999999999E-2</v>
      </c>
      <c r="W4885">
        <v>2.2051279999999999E-2</v>
      </c>
      <c r="X4885">
        <v>0.99810509999999997</v>
      </c>
      <c r="Y4885">
        <v>-0.10444439999999899</v>
      </c>
      <c r="Z4885">
        <v>8.3171189999999996E-3</v>
      </c>
      <c r="AA4885">
        <v>0.99449589999999999</v>
      </c>
      <c r="AB4885">
        <v>27</v>
      </c>
      <c r="AC4885">
        <v>3.7038999999999702</v>
      </c>
      <c r="AD4885">
        <v>-0.83422770000000002</v>
      </c>
      <c r="AE4885">
        <v>-99.4549240999999</v>
      </c>
      <c r="AF4885">
        <v>-10.412692453957099</v>
      </c>
      <c r="AG4885">
        <v>-0.83422770000000002</v>
      </c>
      <c r="AH4885">
        <v>98.970626520059</v>
      </c>
      <c r="AI4885">
        <v>90.480286435851696</v>
      </c>
      <c r="AJ4885">
        <v>96.005989494660199</v>
      </c>
      <c r="AK4885">
        <v>99.520374867507101</v>
      </c>
    </row>
    <row r="4886" spans="1:37" x14ac:dyDescent="0.2">
      <c r="A4886" t="str">
        <f>"20200111155652316"</f>
        <v>20200111155652316</v>
      </c>
      <c r="B4886" t="str">
        <f>"1578729412307507"</f>
        <v>1578729412307507</v>
      </c>
      <c r="C4886" t="s">
        <v>37</v>
      </c>
      <c r="D4886">
        <v>4.6351269999999998</v>
      </c>
      <c r="E4886">
        <v>0.48239409999999999</v>
      </c>
      <c r="F4886" t="s">
        <v>78</v>
      </c>
      <c r="G4886">
        <v>-417.27140000000003</v>
      </c>
      <c r="H4886">
        <v>0.46753409999999901</v>
      </c>
      <c r="I4886">
        <v>0.50513649999999999</v>
      </c>
      <c r="J4886">
        <v>-421.09809999999999</v>
      </c>
      <c r="K4886">
        <v>1.107399</v>
      </c>
      <c r="L4886">
        <v>99.761290000000002</v>
      </c>
      <c r="M4886">
        <v>-6.5035830000000003E-2</v>
      </c>
      <c r="N4886">
        <v>0</v>
      </c>
      <c r="O4886">
        <v>-0.99778299999999998</v>
      </c>
      <c r="P4886">
        <v>-7.9506809999999994E-3</v>
      </c>
      <c r="Q4886">
        <v>8.9815050000000007E-3</v>
      </c>
      <c r="R4886">
        <v>-0.9999285</v>
      </c>
      <c r="S4886">
        <v>0.11517329999999899</v>
      </c>
      <c r="T4886">
        <v>-1.9313339999999998E-2</v>
      </c>
      <c r="U4886">
        <v>-3.0015869999999998</v>
      </c>
      <c r="V4886">
        <v>-5.724423E-2</v>
      </c>
      <c r="W4886">
        <v>2.2745379999999999E-2</v>
      </c>
      <c r="X4886">
        <v>0.99810109999999996</v>
      </c>
      <c r="Y4886">
        <v>-0.1032551</v>
      </c>
      <c r="Z4886">
        <v>6.3942490000000003E-3</v>
      </c>
      <c r="AA4886">
        <v>0.99463429999999997</v>
      </c>
      <c r="AB4886">
        <v>27</v>
      </c>
      <c r="AC4886">
        <v>3.8266999999999598</v>
      </c>
      <c r="AD4886">
        <v>-0.63986489999999996</v>
      </c>
      <c r="AE4886">
        <v>-99.256153499999996</v>
      </c>
      <c r="AF4886">
        <v>-10.274020736223999</v>
      </c>
      <c r="AG4886">
        <v>-0.63986489999999996</v>
      </c>
      <c r="AH4886">
        <v>98.792982216369197</v>
      </c>
      <c r="AI4886">
        <v>90.369099082922205</v>
      </c>
      <c r="AJ4886">
        <v>95.937158246891002</v>
      </c>
      <c r="AK4886">
        <v>99.327832274657297</v>
      </c>
    </row>
    <row r="4887" spans="1:37" x14ac:dyDescent="0.2">
      <c r="A4887" t="str">
        <f>"20200111155652332"</f>
        <v>20200111155652332</v>
      </c>
      <c r="B4887" t="str">
        <f>"1578729412328002"</f>
        <v>1578729412328002</v>
      </c>
      <c r="C4887" t="s">
        <v>37</v>
      </c>
      <c r="D4887">
        <v>4.6731020000000001</v>
      </c>
      <c r="E4887">
        <v>0.4828075</v>
      </c>
      <c r="F4887" t="s">
        <v>78</v>
      </c>
      <c r="G4887">
        <v>-417.18729999999999</v>
      </c>
      <c r="H4887">
        <v>0.58648100000000003</v>
      </c>
      <c r="I4887">
        <v>0.50599289999999997</v>
      </c>
      <c r="J4887">
        <v>-421.1078</v>
      </c>
      <c r="K4887">
        <v>1.107359</v>
      </c>
      <c r="L4887">
        <v>99.572450000000003</v>
      </c>
      <c r="M4887">
        <v>-6.2685969999999994E-2</v>
      </c>
      <c r="N4887">
        <v>0</v>
      </c>
      <c r="O4887">
        <v>-0.99793330000000002</v>
      </c>
      <c r="P4887">
        <v>-5.6790119999999998E-3</v>
      </c>
      <c r="Q4887">
        <v>9.4601319999999996E-3</v>
      </c>
      <c r="R4887">
        <v>-0.99993929999999998</v>
      </c>
      <c r="S4887">
        <v>0.1182556</v>
      </c>
      <c r="T4887">
        <v>-1.5752550000000001E-2</v>
      </c>
      <c r="U4887">
        <v>-3.001312</v>
      </c>
      <c r="V4887">
        <v>-5.716127E-2</v>
      </c>
      <c r="W4887">
        <v>2.322639E-2</v>
      </c>
      <c r="X4887">
        <v>0.9980947</v>
      </c>
      <c r="Y4887">
        <v>-0.1019364</v>
      </c>
      <c r="Z4887">
        <v>5.2172959999999997E-3</v>
      </c>
      <c r="AA4887">
        <v>0.99477729999999998</v>
      </c>
      <c r="AB4887">
        <v>27</v>
      </c>
      <c r="AC4887">
        <v>3.9205000000000001</v>
      </c>
      <c r="AD4887">
        <v>-0.52087799999999995</v>
      </c>
      <c r="AE4887">
        <v>-99.066457099999994</v>
      </c>
      <c r="AF4887">
        <v>-10.1232054042807</v>
      </c>
      <c r="AG4887">
        <v>-0.52087799999999995</v>
      </c>
      <c r="AH4887">
        <v>98.623077165654394</v>
      </c>
      <c r="AI4887">
        <v>90.301023354147503</v>
      </c>
      <c r="AJ4887">
        <v>95.860623172706397</v>
      </c>
      <c r="AK4887">
        <v>99.142634376794504</v>
      </c>
    </row>
    <row r="4888" spans="1:37" x14ac:dyDescent="0.2">
      <c r="A4888" t="str">
        <f>"20200111155652347"</f>
        <v>20200111155652347</v>
      </c>
      <c r="B4888" t="str">
        <f>"1578729412337763"</f>
        <v>1578729412337763</v>
      </c>
      <c r="C4888" t="s">
        <v>37</v>
      </c>
      <c r="D4888">
        <v>4.8948559999999999</v>
      </c>
      <c r="E4888">
        <v>0.48342790000000002</v>
      </c>
      <c r="F4888" t="s">
        <v>78</v>
      </c>
      <c r="G4888">
        <v>-417.0872</v>
      </c>
      <c r="H4888">
        <v>0.61590400000000001</v>
      </c>
      <c r="I4888">
        <v>0.5070114</v>
      </c>
      <c r="J4888">
        <v>-421.1164</v>
      </c>
      <c r="K4888">
        <v>1.1073200000000001</v>
      </c>
      <c r="L4888">
        <v>99.399349999999998</v>
      </c>
      <c r="M4888">
        <v>-6.0569129999999999E-2</v>
      </c>
      <c r="N4888">
        <v>0</v>
      </c>
      <c r="O4888">
        <v>-0.99806410000000001</v>
      </c>
      <c r="P4888">
        <v>-3.8947609999999901E-3</v>
      </c>
      <c r="Q4888">
        <v>9.8970020000000002E-3</v>
      </c>
      <c r="R4888">
        <v>-0.99994369999999999</v>
      </c>
      <c r="S4888">
        <v>0.12179569999999899</v>
      </c>
      <c r="T4888">
        <v>-1.488864E-2</v>
      </c>
      <c r="U4888">
        <v>-3.001007</v>
      </c>
      <c r="V4888">
        <v>-5.6825149999999998E-2</v>
      </c>
      <c r="W4888">
        <v>2.3667339999999999E-2</v>
      </c>
      <c r="X4888">
        <v>0.99810359999999998</v>
      </c>
      <c r="Y4888">
        <v>-0.10100189999999901</v>
      </c>
      <c r="Z4888">
        <v>4.932769E-3</v>
      </c>
      <c r="AA4888">
        <v>0.99487399999999904</v>
      </c>
      <c r="AB4888">
        <v>27</v>
      </c>
      <c r="AC4888">
        <v>4.0292000000000003</v>
      </c>
      <c r="AD4888">
        <v>-0.49141600000000002</v>
      </c>
      <c r="AE4888">
        <v>-98.892338600000002</v>
      </c>
      <c r="AF4888">
        <v>-10.0119744010928</v>
      </c>
      <c r="AG4888">
        <v>-0.49141600000000002</v>
      </c>
      <c r="AH4888">
        <v>98.464239668510402</v>
      </c>
      <c r="AI4888">
        <v>90.284482952028597</v>
      </c>
      <c r="AJ4888">
        <v>95.805956237441606</v>
      </c>
      <c r="AK4888">
        <v>98.973166134013496</v>
      </c>
    </row>
    <row r="4889" spans="1:37" x14ac:dyDescent="0.2">
      <c r="A4889" t="str">
        <f>"20200111155652363"</f>
        <v>20200111155652363</v>
      </c>
      <c r="B4889" t="str">
        <f>"1578729412358258"</f>
        <v>1578729412358258</v>
      </c>
      <c r="C4889" t="s">
        <v>37</v>
      </c>
      <c r="D4889">
        <v>4.7388779999999997</v>
      </c>
      <c r="E4889">
        <v>0.48424909999999999</v>
      </c>
      <c r="F4889" t="s">
        <v>78</v>
      </c>
      <c r="G4889">
        <v>-417.08440000000002</v>
      </c>
      <c r="H4889">
        <v>0.66702289999999997</v>
      </c>
      <c r="I4889">
        <v>0.50704189999999905</v>
      </c>
      <c r="J4889">
        <v>-421.12520000000001</v>
      </c>
      <c r="K4889">
        <v>1.1072739999999901</v>
      </c>
      <c r="L4889">
        <v>99.212859999999907</v>
      </c>
      <c r="M4889">
        <v>-5.832938E-2</v>
      </c>
      <c r="N4889">
        <v>0</v>
      </c>
      <c r="O4889">
        <v>-0.99819760000000002</v>
      </c>
      <c r="P4889">
        <v>-2.1044340000000001E-3</v>
      </c>
      <c r="Q4889">
        <v>1.067865E-2</v>
      </c>
      <c r="R4889">
        <v>-0.99994110000000003</v>
      </c>
      <c r="S4889">
        <v>0.122345</v>
      </c>
      <c r="T4889">
        <v>-1.33610999999999E-2</v>
      </c>
      <c r="U4889">
        <v>-3.0007630000000001</v>
      </c>
      <c r="V4889">
        <v>-5.6373359999999997E-2</v>
      </c>
      <c r="W4889">
        <v>2.445437E-2</v>
      </c>
      <c r="X4889">
        <v>0.99811019999999995</v>
      </c>
      <c r="Y4889">
        <v>-9.8954449999999999E-2</v>
      </c>
      <c r="Z4889">
        <v>4.4283780000000002E-3</v>
      </c>
      <c r="AA4889">
        <v>0.99508209999999997</v>
      </c>
      <c r="AB4889">
        <v>27</v>
      </c>
      <c r="AC4889">
        <v>4.0407999999999902</v>
      </c>
      <c r="AD4889">
        <v>-0.44025109999999901</v>
      </c>
      <c r="AE4889">
        <v>-98.705818100000002</v>
      </c>
      <c r="AF4889">
        <v>-9.7917470624171408</v>
      </c>
      <c r="AG4889">
        <v>-0.44025109999999901</v>
      </c>
      <c r="AH4889">
        <v>98.300054172831494</v>
      </c>
      <c r="AI4889">
        <v>90.255342123850696</v>
      </c>
      <c r="AJ4889">
        <v>95.688513572809399</v>
      </c>
      <c r="AK4889">
        <v>98.787513289620804</v>
      </c>
    </row>
    <row r="4890" spans="1:37" x14ac:dyDescent="0.2">
      <c r="A4890" t="str">
        <f>"20200111155652384"</f>
        <v>20200111155652384</v>
      </c>
      <c r="B4890" t="str">
        <f>"1578729412377777"</f>
        <v>1578729412377777</v>
      </c>
      <c r="C4890" t="s">
        <v>37</v>
      </c>
      <c r="D4890">
        <v>4.7202229999999998</v>
      </c>
      <c r="E4890">
        <v>0.48502269999999997</v>
      </c>
      <c r="F4890" t="s">
        <v>78</v>
      </c>
      <c r="G4890">
        <v>-417.13959999999997</v>
      </c>
      <c r="H4890">
        <v>0.87595020000000001</v>
      </c>
      <c r="I4890">
        <v>0.50647739999999997</v>
      </c>
      <c r="J4890">
        <v>-421.13699999999898</v>
      </c>
      <c r="K4890">
        <v>1.107202</v>
      </c>
      <c r="L4890">
        <v>98.953919999999997</v>
      </c>
      <c r="M4890">
        <v>-5.5305300000000002E-2</v>
      </c>
      <c r="N4890">
        <v>0</v>
      </c>
      <c r="O4890">
        <v>-0.99836970000000003</v>
      </c>
      <c r="P4890" s="1">
        <v>-3.1753330000000002E-5</v>
      </c>
      <c r="Q4890">
        <v>1.1369499999999999E-2</v>
      </c>
      <c r="R4890">
        <v>-0.99993539999999903</v>
      </c>
      <c r="S4890">
        <v>0.12115480000000001</v>
      </c>
      <c r="T4890">
        <v>-7.0326329999999999E-3</v>
      </c>
      <c r="U4890">
        <v>-3.0005189999999899</v>
      </c>
      <c r="V4890">
        <v>-5.5417639999999997E-2</v>
      </c>
      <c r="W4890">
        <v>2.51551E-2</v>
      </c>
      <c r="X4890">
        <v>0.99814639999999999</v>
      </c>
      <c r="Y4890">
        <v>-9.554899E-2</v>
      </c>
      <c r="Z4890">
        <v>2.3321039999999898E-3</v>
      </c>
      <c r="AA4890">
        <v>0.99542199999999903</v>
      </c>
      <c r="AB4890">
        <v>27</v>
      </c>
      <c r="AC4890">
        <v>3.9973999999999701</v>
      </c>
      <c r="AD4890">
        <v>-0.23125180000000001</v>
      </c>
      <c r="AE4890">
        <v>-98.447442600000002</v>
      </c>
      <c r="AF4890">
        <v>-9.4364366359949301</v>
      </c>
      <c r="AG4890">
        <v>-0.23125180000000001</v>
      </c>
      <c r="AH4890">
        <v>98.075098118477001</v>
      </c>
      <c r="AI4890">
        <v>90.134476745661601</v>
      </c>
      <c r="AJ4890">
        <v>95.495877953716402</v>
      </c>
      <c r="AK4890">
        <v>98.528293828367097</v>
      </c>
    </row>
    <row r="4891" spans="1:37" x14ac:dyDescent="0.2">
      <c r="A4891" t="str">
        <f>"20200111155652407"</f>
        <v>20200111155652407</v>
      </c>
      <c r="B4891" t="str">
        <f>"1578729412398274"</f>
        <v>1578729412398274</v>
      </c>
      <c r="C4891" t="s">
        <v>37</v>
      </c>
      <c r="D4891">
        <v>4.7430580000000004</v>
      </c>
      <c r="E4891">
        <v>0.48584949999999999</v>
      </c>
      <c r="F4891" t="s">
        <v>78</v>
      </c>
      <c r="G4891">
        <v>-417.16849999999999</v>
      </c>
      <c r="H4891">
        <v>1.0310079999999999</v>
      </c>
      <c r="I4891">
        <v>0.50618549999999995</v>
      </c>
      <c r="J4891">
        <v>-421.14819999999997</v>
      </c>
      <c r="K4891">
        <v>1.1071260000000001</v>
      </c>
      <c r="L4891">
        <v>98.688689999999994</v>
      </c>
      <c r="M4891">
        <v>-5.2301430000000003E-2</v>
      </c>
      <c r="N4891">
        <v>0</v>
      </c>
      <c r="O4891">
        <v>-0.99853159999999896</v>
      </c>
      <c r="P4891">
        <v>2.288488E-3</v>
      </c>
      <c r="Q4891">
        <v>1.142556E-2</v>
      </c>
      <c r="R4891">
        <v>-0.9999325</v>
      </c>
      <c r="S4891">
        <v>0.1209412</v>
      </c>
      <c r="T4891">
        <v>-2.3227930000000001E-3</v>
      </c>
      <c r="U4891">
        <v>-3.0002439999999999</v>
      </c>
      <c r="V4891">
        <v>-5.472598E-2</v>
      </c>
      <c r="W4891">
        <v>2.5219450000000001E-2</v>
      </c>
      <c r="X4891">
        <v>0.99818289999999998</v>
      </c>
      <c r="Y4891">
        <v>-9.2486780000000005E-2</v>
      </c>
      <c r="Z4891">
        <v>7.7063879999999998E-4</v>
      </c>
      <c r="AA4891">
        <v>0.99571359999999998</v>
      </c>
      <c r="AB4891">
        <v>27</v>
      </c>
      <c r="AC4891">
        <v>3.9796999999999798</v>
      </c>
      <c r="AD4891">
        <v>-7.6118000000000102E-2</v>
      </c>
      <c r="AE4891">
        <v>-98.182504499999993</v>
      </c>
      <c r="AF4891">
        <v>-9.1098435337931605</v>
      </c>
      <c r="AG4891">
        <v>-7.6118000000000102E-2</v>
      </c>
      <c r="AH4891">
        <v>97.839876149159593</v>
      </c>
      <c r="AI4891">
        <v>90.044383300288104</v>
      </c>
      <c r="AJ4891">
        <v>95.319457197866996</v>
      </c>
      <c r="AK4891">
        <v>98.263097895613996</v>
      </c>
    </row>
    <row r="4892" spans="1:37" x14ac:dyDescent="0.2">
      <c r="A4892" t="str">
        <f>"20200111155652429"</f>
        <v>20200111155652429</v>
      </c>
      <c r="B4892" t="str">
        <f>"1578729412417793"</f>
        <v>1578729412417793</v>
      </c>
      <c r="C4892" t="s">
        <v>37</v>
      </c>
      <c r="D4892">
        <v>4.75786</v>
      </c>
      <c r="E4892">
        <v>0.4866644</v>
      </c>
      <c r="F4892" t="s">
        <v>78</v>
      </c>
      <c r="G4892">
        <v>-417.18099999999998</v>
      </c>
      <c r="H4892">
        <v>0.99644460000000001</v>
      </c>
      <c r="I4892">
        <v>0.50605579999999994</v>
      </c>
      <c r="J4892">
        <v>-421.15890000000002</v>
      </c>
      <c r="K4892">
        <v>1.107048</v>
      </c>
      <c r="L4892">
        <v>98.41995</v>
      </c>
      <c r="M4892">
        <v>-4.9358399999999997E-2</v>
      </c>
      <c r="N4892">
        <v>0</v>
      </c>
      <c r="O4892">
        <v>-0.9986815</v>
      </c>
      <c r="P4892">
        <v>4.2484089999999999E-3</v>
      </c>
      <c r="Q4892">
        <v>1.171987E-2</v>
      </c>
      <c r="R4892">
        <v>-0.99992219999999998</v>
      </c>
      <c r="S4892">
        <v>0.1212158</v>
      </c>
      <c r="T4892">
        <v>-3.3828019999999999E-3</v>
      </c>
      <c r="U4892">
        <v>-2.9999689999999899</v>
      </c>
      <c r="V4892">
        <v>-5.3736470000000001E-2</v>
      </c>
      <c r="W4892">
        <v>2.5523580000000001E-2</v>
      </c>
      <c r="X4892">
        <v>0.99822889999999997</v>
      </c>
      <c r="Y4892">
        <v>-8.964656E-2</v>
      </c>
      <c r="Z4892">
        <v>1.122821E-3</v>
      </c>
      <c r="AA4892">
        <v>0.995973</v>
      </c>
      <c r="AB4892">
        <v>27</v>
      </c>
      <c r="AC4892">
        <v>3.9779000000000302</v>
      </c>
      <c r="AD4892">
        <v>-0.1106034</v>
      </c>
      <c r="AE4892">
        <v>-97.913894200000001</v>
      </c>
      <c r="AF4892">
        <v>-8.8063934004350592</v>
      </c>
      <c r="AG4892">
        <v>-0.1106034</v>
      </c>
      <c r="AH4892">
        <v>97.598039605916895</v>
      </c>
      <c r="AI4892">
        <v>90.064667942918206</v>
      </c>
      <c r="AJ4892">
        <v>95.155907643926298</v>
      </c>
      <c r="AK4892">
        <v>97.994602569495896</v>
      </c>
    </row>
    <row r="4893" spans="1:37" x14ac:dyDescent="0.2">
      <c r="A4893" t="str">
        <f>"20200111155652444"</f>
        <v>20200111155652444</v>
      </c>
      <c r="B4893" t="str">
        <f>"1578729412438290"</f>
        <v>1578729412438290</v>
      </c>
      <c r="C4893" t="s">
        <v>37</v>
      </c>
      <c r="D4893">
        <v>4.7766339999999996</v>
      </c>
      <c r="E4893">
        <v>0.48753000000000002</v>
      </c>
      <c r="F4893" t="s">
        <v>78</v>
      </c>
      <c r="G4893">
        <v>-417.21039999999999</v>
      </c>
      <c r="H4893">
        <v>0.86966759999999999</v>
      </c>
      <c r="I4893">
        <v>0.50576019999999999</v>
      </c>
      <c r="J4893">
        <v>-421.16570000000002</v>
      </c>
      <c r="K4893">
        <v>1.106995</v>
      </c>
      <c r="L4893">
        <v>98.240569999999906</v>
      </c>
      <c r="M4893">
        <v>-4.7454919999999998E-2</v>
      </c>
      <c r="N4893">
        <v>0</v>
      </c>
      <c r="O4893">
        <v>-0.99877389999999999</v>
      </c>
      <c r="P4893">
        <v>5.6409019999999997E-3</v>
      </c>
      <c r="Q4893">
        <v>1.1717109999999999E-2</v>
      </c>
      <c r="R4893">
        <v>-0.99991569999999996</v>
      </c>
      <c r="S4893">
        <v>0.120971699999999</v>
      </c>
      <c r="T4893">
        <v>-7.2734359999999899E-3</v>
      </c>
      <c r="U4893">
        <v>-2.99981699999999</v>
      </c>
      <c r="V4893">
        <v>-5.3220969999999999E-2</v>
      </c>
      <c r="W4893">
        <v>2.5526440000000001E-2</v>
      </c>
      <c r="X4893">
        <v>0.99825640000000004</v>
      </c>
      <c r="Y4893">
        <v>-8.7669189999999994E-2</v>
      </c>
      <c r="Z4893">
        <v>2.4148709999999999E-3</v>
      </c>
      <c r="AA4893">
        <v>0.99614669999999905</v>
      </c>
      <c r="AB4893">
        <v>27</v>
      </c>
      <c r="AC4893">
        <v>3.9553000000000198</v>
      </c>
      <c r="AD4893">
        <v>-0.23732739999999999</v>
      </c>
      <c r="AE4893">
        <v>-97.734809799999994</v>
      </c>
      <c r="AF4893">
        <v>-8.5892509294235904</v>
      </c>
      <c r="AG4893">
        <v>-0.23732739999999999</v>
      </c>
      <c r="AH4893">
        <v>97.436387277077898</v>
      </c>
      <c r="AI4893">
        <v>90.139016898073606</v>
      </c>
      <c r="AJ4893">
        <v>95.037737976878205</v>
      </c>
      <c r="AK4893">
        <v>97.814524082224594</v>
      </c>
    </row>
    <row r="4894" spans="1:37" x14ac:dyDescent="0.2">
      <c r="A4894" t="str">
        <f>"20200111155652463"</f>
        <v>20200111155652463</v>
      </c>
      <c r="B4894" t="str">
        <f>"1578729412457809"</f>
        <v>1578729412457809</v>
      </c>
      <c r="C4894" t="s">
        <v>37</v>
      </c>
      <c r="D4894">
        <v>4.7880599999999998</v>
      </c>
      <c r="E4894">
        <v>0.4883518</v>
      </c>
      <c r="F4894" t="s">
        <v>78</v>
      </c>
      <c r="G4894">
        <v>-417.29379999999998</v>
      </c>
      <c r="H4894">
        <v>0.73630879999999999</v>
      </c>
      <c r="I4894">
        <v>0.50490950000000001</v>
      </c>
      <c r="J4894">
        <v>-421.17380000000003</v>
      </c>
      <c r="K4894">
        <v>1.106919</v>
      </c>
      <c r="L4894">
        <v>98.0137</v>
      </c>
      <c r="M4894">
        <v>-4.5128219999999997E-2</v>
      </c>
      <c r="N4894">
        <v>0</v>
      </c>
      <c r="O4894">
        <v>-0.99888180000000004</v>
      </c>
      <c r="P4894">
        <v>6.9359230000000001E-3</v>
      </c>
      <c r="Q4894">
        <v>1.2201770000000001E-2</v>
      </c>
      <c r="R4894">
        <v>-0.9999017</v>
      </c>
      <c r="S4894">
        <v>0.11883539999999999</v>
      </c>
      <c r="T4894">
        <v>-1.137793E-2</v>
      </c>
      <c r="U4894">
        <v>-2.9997250000000002</v>
      </c>
      <c r="V4894">
        <v>-5.218544E-2</v>
      </c>
      <c r="W4894">
        <v>2.6019799999999999E-2</v>
      </c>
      <c r="X4894">
        <v>0.99829840000000003</v>
      </c>
      <c r="Y4894">
        <v>-8.4641110000000006E-2</v>
      </c>
      <c r="Z4894">
        <v>3.7788769999999999E-3</v>
      </c>
      <c r="AA4894">
        <v>0.99640430000000002</v>
      </c>
      <c r="AB4894">
        <v>27</v>
      </c>
      <c r="AC4894">
        <v>3.8800000000000501</v>
      </c>
      <c r="AD4894">
        <v>-0.370610199999999</v>
      </c>
      <c r="AE4894">
        <v>-97.508790500000003</v>
      </c>
      <c r="AF4894">
        <v>-8.2767620644159408</v>
      </c>
      <c r="AG4894">
        <v>-0.370610199999999</v>
      </c>
      <c r="AH4894">
        <v>97.232911797416904</v>
      </c>
      <c r="AI4894">
        <v>90.217598982005995</v>
      </c>
      <c r="AJ4894">
        <v>94.865462549672401</v>
      </c>
      <c r="AK4894">
        <v>97.585251338486401</v>
      </c>
    </row>
    <row r="4895" spans="1:37" x14ac:dyDescent="0.2">
      <c r="A4895" t="str">
        <f>"20200111155652485"</f>
        <v>20200111155652485</v>
      </c>
      <c r="B4895" t="str">
        <f>"1578729412478306"</f>
        <v>1578729412478306</v>
      </c>
      <c r="C4895" t="s">
        <v>37</v>
      </c>
      <c r="D4895">
        <v>4.7989649999999999</v>
      </c>
      <c r="E4895">
        <v>0.48911880000000002</v>
      </c>
      <c r="F4895" t="s">
        <v>78</v>
      </c>
      <c r="G4895">
        <v>-417.40109999999999</v>
      </c>
      <c r="H4895">
        <v>0.66011929999999996</v>
      </c>
      <c r="I4895">
        <v>0.50382039999999995</v>
      </c>
      <c r="J4895">
        <v>-421.18270000000001</v>
      </c>
      <c r="K4895">
        <v>1.1068249999999999</v>
      </c>
      <c r="L4895">
        <v>97.751619999999903</v>
      </c>
      <c r="M4895">
        <v>-4.2558739999999998E-2</v>
      </c>
      <c r="N4895">
        <v>0</v>
      </c>
      <c r="O4895">
        <v>-0.99899459999999995</v>
      </c>
      <c r="P4895">
        <v>8.6438160000000003E-3</v>
      </c>
      <c r="Q4895">
        <v>1.2620259999999999E-2</v>
      </c>
      <c r="R4895">
        <v>-0.99988339999999998</v>
      </c>
      <c r="S4895">
        <v>0.1160583</v>
      </c>
      <c r="T4895">
        <v>-1.374555E-2</v>
      </c>
      <c r="U4895">
        <v>-2.9996640000000001</v>
      </c>
      <c r="V4895">
        <v>-5.1317999999999898E-2</v>
      </c>
      <c r="W4895">
        <v>2.644738E-2</v>
      </c>
      <c r="X4895">
        <v>0.99833209999999994</v>
      </c>
      <c r="Y4895">
        <v>-8.1157220000000002E-2</v>
      </c>
      <c r="Z4895">
        <v>4.5668169999999999E-3</v>
      </c>
      <c r="AA4895">
        <v>0.99669089999999905</v>
      </c>
      <c r="AB4895">
        <v>27</v>
      </c>
      <c r="AC4895">
        <v>3.7816000000000201</v>
      </c>
      <c r="AD4895">
        <v>-0.44670569999999898</v>
      </c>
      <c r="AE4895">
        <v>-97.247799599999993</v>
      </c>
      <c r="AF4895">
        <v>-7.9171610011767202</v>
      </c>
      <c r="AG4895">
        <v>-0.44670569999999898</v>
      </c>
      <c r="AH4895">
        <v>96.996672664222004</v>
      </c>
      <c r="AI4895">
        <v>90.2629918766103</v>
      </c>
      <c r="AJ4895">
        <v>94.666309884605099</v>
      </c>
      <c r="AK4895">
        <v>97.320272771048096</v>
      </c>
    </row>
    <row r="4896" spans="1:37" x14ac:dyDescent="0.2">
      <c r="A4896" t="str">
        <f>"20200111155652507"</f>
        <v>20200111155652507</v>
      </c>
      <c r="B4896" t="str">
        <f>"1578729412497826"</f>
        <v>1578729412497826</v>
      </c>
      <c r="C4896" t="s">
        <v>37</v>
      </c>
      <c r="D4896">
        <v>4.8164829999999998</v>
      </c>
      <c r="E4896">
        <v>0.48984620000000001</v>
      </c>
      <c r="F4896" t="s">
        <v>78</v>
      </c>
      <c r="G4896">
        <v>-417.44369999999998</v>
      </c>
      <c r="H4896">
        <v>0.57780969999999998</v>
      </c>
      <c r="I4896">
        <v>0.50338359999999904</v>
      </c>
      <c r="J4896">
        <v>-421.19099999999997</v>
      </c>
      <c r="K4896">
        <v>1.106722</v>
      </c>
      <c r="L4896">
        <v>97.488129999999998</v>
      </c>
      <c r="M4896">
        <v>-4.0101190000000002E-2</v>
      </c>
      <c r="N4896">
        <v>0</v>
      </c>
      <c r="O4896">
        <v>-0.9990964</v>
      </c>
      <c r="P4896">
        <v>1.09745E-2</v>
      </c>
      <c r="Q4896">
        <v>1.2963229999999999E-2</v>
      </c>
      <c r="R4896">
        <v>-0.99985559999999996</v>
      </c>
      <c r="S4896">
        <v>0.1153259</v>
      </c>
      <c r="T4896">
        <v>-1.631784E-2</v>
      </c>
      <c r="U4896">
        <v>-2.9995729999999998</v>
      </c>
      <c r="V4896">
        <v>-5.1184229999999997E-2</v>
      </c>
      <c r="W4896">
        <v>2.6795820000000001E-2</v>
      </c>
      <c r="X4896">
        <v>0.99832969999999899</v>
      </c>
      <c r="Y4896">
        <v>-7.8463149999999995E-2</v>
      </c>
      <c r="Z4896">
        <v>5.4230199999999998E-3</v>
      </c>
      <c r="AA4896">
        <v>0.99690230000000002</v>
      </c>
      <c r="AB4896">
        <v>27</v>
      </c>
      <c r="AC4896">
        <v>3.7472999999999899</v>
      </c>
      <c r="AD4896">
        <v>-0.5289123</v>
      </c>
      <c r="AE4896">
        <v>-96.984746400000006</v>
      </c>
      <c r="AF4896">
        <v>-7.6336478382264898</v>
      </c>
      <c r="AG4896">
        <v>-0.5289123</v>
      </c>
      <c r="AH4896">
        <v>96.753559318115705</v>
      </c>
      <c r="AI4896">
        <v>90.312239271895095</v>
      </c>
      <c r="AJ4896">
        <v>94.511168840924398</v>
      </c>
      <c r="AK4896">
        <v>97.055672519761998</v>
      </c>
    </row>
    <row r="4897" spans="1:37" x14ac:dyDescent="0.2">
      <c r="A4897" t="str">
        <f>"20200111155652523"</f>
        <v>20200111155652523</v>
      </c>
      <c r="B4897" t="str">
        <f>"1578729412518322"</f>
        <v>1578729412518322</v>
      </c>
      <c r="C4897" t="s">
        <v>37</v>
      </c>
      <c r="D4897">
        <v>4.7994409999999998</v>
      </c>
      <c r="E4897">
        <v>0.49053449999999998</v>
      </c>
      <c r="F4897" t="s">
        <v>78</v>
      </c>
      <c r="G4897">
        <v>-417.42450000000002</v>
      </c>
      <c r="H4897">
        <v>0.496227999999999</v>
      </c>
      <c r="I4897">
        <v>0.50358199999999997</v>
      </c>
      <c r="J4897">
        <v>-421.1968</v>
      </c>
      <c r="K4897">
        <v>1.1066469999999999</v>
      </c>
      <c r="L4897">
        <v>97.298159999999996</v>
      </c>
      <c r="M4897">
        <v>-3.8408749999999998E-2</v>
      </c>
      <c r="N4897">
        <v>0</v>
      </c>
      <c r="O4897">
        <v>-0.99916299999999902</v>
      </c>
      <c r="P4897">
        <v>1.252372E-2</v>
      </c>
      <c r="Q4897">
        <v>1.3197479999999999E-2</v>
      </c>
      <c r="R4897">
        <v>-0.99983449999999996</v>
      </c>
      <c r="S4897">
        <v>0.11648559999999999</v>
      </c>
      <c r="T4897">
        <v>-1.8881080000000001E-2</v>
      </c>
      <c r="U4897">
        <v>-2.99939</v>
      </c>
      <c r="V4897">
        <v>-5.1035850000000001E-2</v>
      </c>
      <c r="W4897">
        <v>2.703463E-2</v>
      </c>
      <c r="X4897">
        <v>0.99833079999999996</v>
      </c>
      <c r="Y4897">
        <v>-7.7161389999999996E-2</v>
      </c>
      <c r="Z4897">
        <v>6.2761319999999898E-3</v>
      </c>
      <c r="AA4897">
        <v>0.99699879999999996</v>
      </c>
      <c r="AB4897">
        <v>27</v>
      </c>
      <c r="AC4897">
        <v>3.7722999999999698</v>
      </c>
      <c r="AD4897">
        <v>-0.61041899999999905</v>
      </c>
      <c r="AE4897">
        <v>-96.794578000000001</v>
      </c>
      <c r="AF4897">
        <v>-7.48734557910785</v>
      </c>
      <c r="AG4897">
        <v>-0.61041899999999905</v>
      </c>
      <c r="AH4897">
        <v>96.574401656662104</v>
      </c>
      <c r="AI4897">
        <v>90.361061831390501</v>
      </c>
      <c r="AJ4897">
        <v>94.433233350406596</v>
      </c>
      <c r="AK4897">
        <v>96.866134487336893</v>
      </c>
    </row>
    <row r="4898" spans="1:37" x14ac:dyDescent="0.2">
      <c r="A4898" t="str">
        <f>"20200111155652536"</f>
        <v>20200111155652536</v>
      </c>
      <c r="B4898" t="str">
        <f>"1578729412528081"</f>
        <v>1578729412528081</v>
      </c>
      <c r="C4898" t="s">
        <v>37</v>
      </c>
      <c r="D4898">
        <v>4.8456339999999898</v>
      </c>
      <c r="E4898">
        <v>0.4908535</v>
      </c>
      <c r="F4898" t="s">
        <v>78</v>
      </c>
      <c r="G4898">
        <v>-417.44929999999999</v>
      </c>
      <c r="H4898">
        <v>0.39439380000000002</v>
      </c>
      <c r="I4898">
        <v>0.50332639999999995</v>
      </c>
      <c r="J4898">
        <v>-421.20179999999999</v>
      </c>
      <c r="K4898">
        <v>1.1065750000000001</v>
      </c>
      <c r="L4898">
        <v>97.124600000000001</v>
      </c>
      <c r="M4898">
        <v>-3.6924730000000003E-2</v>
      </c>
      <c r="N4898">
        <v>0</v>
      </c>
      <c r="O4898">
        <v>-0.99921909999999903</v>
      </c>
      <c r="P4898">
        <v>1.419639E-2</v>
      </c>
      <c r="Q4898">
        <v>1.3035110000000001E-2</v>
      </c>
      <c r="R4898">
        <v>-0.99981430000000004</v>
      </c>
      <c r="S4898">
        <v>0.1161194</v>
      </c>
      <c r="T4898">
        <v>-2.207112E-2</v>
      </c>
      <c r="U4898">
        <v>-2.9993289999999999</v>
      </c>
      <c r="V4898">
        <v>-5.1217930000000002E-2</v>
      </c>
      <c r="W4898">
        <v>2.6874950000000002E-2</v>
      </c>
      <c r="X4898">
        <v>0.99832579999999904</v>
      </c>
      <c r="Y4898">
        <v>-7.5559459999999995E-2</v>
      </c>
      <c r="Z4898">
        <v>7.3376930000000002E-3</v>
      </c>
      <c r="AA4898">
        <v>0.99711430000000001</v>
      </c>
      <c r="AB4898">
        <v>27</v>
      </c>
      <c r="AC4898">
        <v>3.7524999999999902</v>
      </c>
      <c r="AD4898">
        <v>-0.71218119999999996</v>
      </c>
      <c r="AE4898">
        <v>-96.621273599999995</v>
      </c>
      <c r="AF4898">
        <v>-7.3176107697900203</v>
      </c>
      <c r="AG4898">
        <v>-0.71218119999999996</v>
      </c>
      <c r="AH4898">
        <v>96.411565796704195</v>
      </c>
      <c r="AI4898">
        <v>90.422015888585506</v>
      </c>
      <c r="AJ4898">
        <v>94.340411640039093</v>
      </c>
      <c r="AK4898">
        <v>96.691492122171795</v>
      </c>
    </row>
    <row r="4899" spans="1:37" x14ac:dyDescent="0.2">
      <c r="A4899" t="str">
        <f>"20200111155652552"</f>
        <v>20200111155652552</v>
      </c>
      <c r="B4899" t="str">
        <f>"1578729412548579"</f>
        <v>1578729412548579</v>
      </c>
      <c r="C4899" t="s">
        <v>37</v>
      </c>
      <c r="D4899">
        <v>4.8659809999999997</v>
      </c>
      <c r="E4899">
        <v>0.50635059999999998</v>
      </c>
      <c r="F4899" t="s">
        <v>78</v>
      </c>
      <c r="G4899">
        <v>-417.39409999999998</v>
      </c>
      <c r="H4899">
        <v>0.33817900000000001</v>
      </c>
      <c r="I4899">
        <v>0.50389099999999998</v>
      </c>
      <c r="J4899">
        <v>-421.20659999999998</v>
      </c>
      <c r="K4899">
        <v>1.1064969999999901</v>
      </c>
      <c r="L4899">
        <v>96.950839999999999</v>
      </c>
      <c r="M4899">
        <v>-3.553738E-2</v>
      </c>
      <c r="N4899">
        <v>0</v>
      </c>
      <c r="O4899">
        <v>-0.99926949999999903</v>
      </c>
      <c r="P4899">
        <v>1.5987069999999999E-2</v>
      </c>
      <c r="Q4899">
        <v>1.261867E-2</v>
      </c>
      <c r="R4899">
        <v>-0.99979269999999998</v>
      </c>
      <c r="S4899">
        <v>0.1181946</v>
      </c>
      <c r="T4899">
        <v>-2.385259E-2</v>
      </c>
      <c r="U4899">
        <v>-2.9992070000000002</v>
      </c>
      <c r="V4899">
        <v>-5.1613119999999998E-2</v>
      </c>
      <c r="W4899">
        <v>2.6461680000000001E-2</v>
      </c>
      <c r="X4899">
        <v>0.99831650000000005</v>
      </c>
      <c r="Y4899">
        <v>-7.4865269999999998E-2</v>
      </c>
      <c r="Z4899">
        <v>7.9309389999999997E-3</v>
      </c>
      <c r="AA4899">
        <v>0.99716209999999905</v>
      </c>
      <c r="AB4899">
        <v>27</v>
      </c>
      <c r="AC4899">
        <v>3.8125</v>
      </c>
      <c r="AD4899">
        <v>-0.76831799999999895</v>
      </c>
      <c r="AE4899">
        <v>-96.446949000000004</v>
      </c>
      <c r="AF4899">
        <v>-7.2374432672232301</v>
      </c>
      <c r="AG4899">
        <v>-0.76831799999999895</v>
      </c>
      <c r="AH4899">
        <v>96.244418174324494</v>
      </c>
      <c r="AI4899">
        <v>90.456094089616499</v>
      </c>
      <c r="AJ4899">
        <v>94.300467129952295</v>
      </c>
      <c r="AK4899">
        <v>96.519215326843806</v>
      </c>
    </row>
    <row r="4900" spans="1:37" x14ac:dyDescent="0.2">
      <c r="A4900" t="str">
        <f>"20200111155652570"</f>
        <v>20200111155652570</v>
      </c>
      <c r="B4900" t="str">
        <f>"1578729412558339"</f>
        <v>1578729412558339</v>
      </c>
      <c r="C4900" t="s">
        <v>37</v>
      </c>
      <c r="D4900">
        <v>4.861612</v>
      </c>
      <c r="E4900">
        <v>0.50634880000000004</v>
      </c>
      <c r="F4900" t="s">
        <v>38</v>
      </c>
      <c r="G4900">
        <v>-421.17250000000001</v>
      </c>
      <c r="H4900" s="1">
        <v>-3.695636E-6</v>
      </c>
      <c r="I4900">
        <v>67.47654</v>
      </c>
      <c r="J4900">
        <v>-421.21199999999999</v>
      </c>
      <c r="K4900">
        <v>1.1063959999999999</v>
      </c>
      <c r="L4900">
        <v>96.748319999999893</v>
      </c>
      <c r="M4900">
        <v>-3.4023610000000003E-2</v>
      </c>
      <c r="N4900">
        <v>0</v>
      </c>
      <c r="O4900">
        <v>-0.99932219999999905</v>
      </c>
      <c r="P4900">
        <v>1.7925079999999999E-2</v>
      </c>
      <c r="Q4900">
        <v>1.253054E-2</v>
      </c>
      <c r="R4900">
        <v>-0.99976100000000001</v>
      </c>
      <c r="S4900">
        <v>3.479004E-3</v>
      </c>
      <c r="T4900">
        <v>-0.1126981</v>
      </c>
      <c r="U4900">
        <v>-3.0019840000000002</v>
      </c>
      <c r="V4900">
        <v>-5.2029289999999999E-2</v>
      </c>
      <c r="W4900">
        <v>2.6378740000000001E-2</v>
      </c>
      <c r="X4900">
        <v>0.99829709999999905</v>
      </c>
      <c r="Y4900">
        <v>-3.5184359999999998E-2</v>
      </c>
      <c r="Z4900">
        <v>3.7470580000000003E-2</v>
      </c>
      <c r="AA4900">
        <v>0.99867809999999901</v>
      </c>
      <c r="AB4900">
        <v>27</v>
      </c>
      <c r="AC4900">
        <v>3.9499999999975402E-2</v>
      </c>
      <c r="AD4900">
        <v>-1.1063996956359901</v>
      </c>
      <c r="AE4900">
        <v>-29.27178</v>
      </c>
      <c r="AF4900">
        <v>-1.03402986886389</v>
      </c>
      <c r="AG4900">
        <v>-1.1063996956359901</v>
      </c>
      <c r="AH4900">
        <v>29.211751792869698</v>
      </c>
      <c r="AI4900">
        <v>92.167693535616394</v>
      </c>
      <c r="AJ4900">
        <v>92.027294408724501</v>
      </c>
      <c r="AK4900">
        <v>29.250979143687399</v>
      </c>
    </row>
    <row r="4901" spans="1:37" x14ac:dyDescent="0.2">
      <c r="A4901" t="str">
        <f>"20200111155652585"</f>
        <v>20200111155652585</v>
      </c>
      <c r="B4901" t="str">
        <f>"1578729412577857"</f>
        <v>1578729412577857</v>
      </c>
      <c r="C4901" t="s">
        <v>37</v>
      </c>
      <c r="D4901">
        <v>4.9631339999999904</v>
      </c>
      <c r="E4901">
        <v>0.50548470000000001</v>
      </c>
      <c r="F4901" t="s">
        <v>38</v>
      </c>
      <c r="G4901">
        <v>-421.1234</v>
      </c>
      <c r="H4901" s="1">
        <v>-4.0578390000000004E-6</v>
      </c>
      <c r="I4901">
        <v>68.35127</v>
      </c>
      <c r="J4901">
        <v>-421.21690000000001</v>
      </c>
      <c r="K4901">
        <v>1.1062829999999999</v>
      </c>
      <c r="L4901">
        <v>96.559569999999994</v>
      </c>
      <c r="M4901">
        <v>-3.2725110000000002E-2</v>
      </c>
      <c r="N4901">
        <v>0</v>
      </c>
      <c r="O4901">
        <v>-0.99936569999999902</v>
      </c>
      <c r="P4901">
        <v>1.9912590000000001E-2</v>
      </c>
      <c r="Q4901">
        <v>1.2604519999999999E-2</v>
      </c>
      <c r="R4901">
        <v>-0.99972260000000002</v>
      </c>
      <c r="S4901">
        <v>9.3688959999999998E-3</v>
      </c>
      <c r="T4901">
        <v>-0.1169639</v>
      </c>
      <c r="U4901">
        <v>-3.002014</v>
      </c>
      <c r="V4901">
        <v>-5.2709880000000001E-2</v>
      </c>
      <c r="W4901">
        <v>2.645834E-2</v>
      </c>
      <c r="X4901">
        <v>0.99825929999999996</v>
      </c>
      <c r="Y4901">
        <v>-3.5845000000000002E-2</v>
      </c>
      <c r="Z4901">
        <v>3.8888390000000002E-2</v>
      </c>
      <c r="AA4901">
        <v>0.99860040000000005</v>
      </c>
      <c r="AB4901">
        <v>27</v>
      </c>
      <c r="AC4901">
        <v>9.3500000000005898E-2</v>
      </c>
      <c r="AD4901">
        <v>-1.1062870578389901</v>
      </c>
      <c r="AE4901">
        <v>-28.208299999999898</v>
      </c>
      <c r="AF4901">
        <v>-1.0150993966214601</v>
      </c>
      <c r="AG4901">
        <v>-1.1062870578389901</v>
      </c>
      <c r="AH4901">
        <v>28.146836374591</v>
      </c>
      <c r="AI4901">
        <v>92.249341691880005</v>
      </c>
      <c r="AJ4901">
        <v>92.065444037107994</v>
      </c>
      <c r="AK4901">
        <v>28.186853242910299</v>
      </c>
    </row>
    <row r="4902" spans="1:37" x14ac:dyDescent="0.2">
      <c r="A4902" t="str">
        <f>"20200111155652607"</f>
        <v>20200111155652607</v>
      </c>
      <c r="B4902" t="str">
        <f>"1578729412598354"</f>
        <v>1578729412598354</v>
      </c>
      <c r="C4902" t="s">
        <v>37</v>
      </c>
      <c r="D4902">
        <v>4.8751129999999998</v>
      </c>
      <c r="E4902">
        <v>0.50590679999999999</v>
      </c>
      <c r="F4902" t="s">
        <v>38</v>
      </c>
      <c r="G4902">
        <v>-420.98419999999999</v>
      </c>
      <c r="H4902" s="1">
        <v>-2.6872089999999999E-6</v>
      </c>
      <c r="I4902">
        <v>65.242620000000002</v>
      </c>
      <c r="J4902">
        <v>-421.2235</v>
      </c>
      <c r="K4902">
        <v>1.1061219999999901</v>
      </c>
      <c r="L4902">
        <v>96.299930000000003</v>
      </c>
      <c r="M4902">
        <v>-3.1132549999999998E-2</v>
      </c>
      <c r="N4902">
        <v>0</v>
      </c>
      <c r="O4902">
        <v>-0.99941679999999999</v>
      </c>
      <c r="P4902">
        <v>2.2542489999999998E-2</v>
      </c>
      <c r="Q4902">
        <v>1.3332709999999999E-2</v>
      </c>
      <c r="R4902">
        <v>-0.99965729999999997</v>
      </c>
      <c r="S4902">
        <v>2.2308350000000001E-2</v>
      </c>
      <c r="T4902">
        <v>-0.1060368</v>
      </c>
      <c r="U4902">
        <v>-3.001709</v>
      </c>
      <c r="V4902">
        <v>-5.3736480000000003E-2</v>
      </c>
      <c r="W4902">
        <v>2.7195270000000001E-2</v>
      </c>
      <c r="X4902">
        <v>0.99818469999999904</v>
      </c>
      <c r="Y4902">
        <v>-3.8558200000000001E-2</v>
      </c>
      <c r="Z4902">
        <v>3.5264160000000003E-2</v>
      </c>
      <c r="AA4902">
        <v>0.99863389999999996</v>
      </c>
      <c r="AB4902">
        <v>27</v>
      </c>
      <c r="AC4902">
        <v>0.239300000000014</v>
      </c>
      <c r="AD4902">
        <v>-1.10612468720899</v>
      </c>
      <c r="AE4902">
        <v>-31.057310000000001</v>
      </c>
      <c r="AF4902">
        <v>-1.20464443882608</v>
      </c>
      <c r="AG4902">
        <v>-1.10612468720899</v>
      </c>
      <c r="AH4902">
        <v>30.995487169658801</v>
      </c>
      <c r="AI4902">
        <v>92.042285780948106</v>
      </c>
      <c r="AJ4902">
        <v>92.2256892153504</v>
      </c>
      <c r="AK4902">
        <v>31.038603462980301</v>
      </c>
    </row>
    <row r="4903" spans="1:37" x14ac:dyDescent="0.2">
      <c r="A4903" t="str">
        <f>"20200111155652630"</f>
        <v>20200111155652630</v>
      </c>
      <c r="B4903" t="str">
        <f>"1578729412627635"</f>
        <v>1578729412627635</v>
      </c>
      <c r="C4903" t="s">
        <v>37</v>
      </c>
      <c r="D4903">
        <v>4.91282</v>
      </c>
      <c r="E4903">
        <v>0.50688679999999997</v>
      </c>
      <c r="F4903" t="s">
        <v>38</v>
      </c>
      <c r="G4903">
        <v>-420.9153</v>
      </c>
      <c r="H4903" s="1">
        <v>-6.4223709999999997E-7</v>
      </c>
      <c r="I4903">
        <v>60.518450000000001</v>
      </c>
      <c r="J4903">
        <v>-421.23020000000002</v>
      </c>
      <c r="K4903">
        <v>1.105942</v>
      </c>
      <c r="L4903">
        <v>96.026949999999999</v>
      </c>
      <c r="M4903">
        <v>-2.970395E-2</v>
      </c>
      <c r="N4903">
        <v>0</v>
      </c>
      <c r="O4903">
        <v>-0.99946049999999997</v>
      </c>
      <c r="P4903">
        <v>2.4842900000000001E-2</v>
      </c>
      <c r="Q4903">
        <v>1.51796E-2</v>
      </c>
      <c r="R4903">
        <v>-0.99957649999999998</v>
      </c>
      <c r="S4903">
        <v>2.5848389999999999E-2</v>
      </c>
      <c r="T4903">
        <v>-9.2791680000000001E-2</v>
      </c>
      <c r="U4903">
        <v>-3.0016780000000001</v>
      </c>
      <c r="V4903">
        <v>-5.459845E-2</v>
      </c>
      <c r="W4903">
        <v>2.9054670000000001E-2</v>
      </c>
      <c r="X4903">
        <v>0.99808560000000002</v>
      </c>
      <c r="Y4903">
        <v>-3.8308849999999998E-2</v>
      </c>
      <c r="Z4903">
        <v>3.086614E-2</v>
      </c>
      <c r="AA4903">
        <v>0.99878909999999999</v>
      </c>
      <c r="AB4903">
        <v>27</v>
      </c>
      <c r="AC4903">
        <v>0.314900000000022</v>
      </c>
      <c r="AD4903">
        <v>-1.1059426422370999</v>
      </c>
      <c r="AE4903">
        <v>-35.508499999999998</v>
      </c>
      <c r="AF4903">
        <v>-1.36828009592096</v>
      </c>
      <c r="AG4903">
        <v>-1.1059426422370999</v>
      </c>
      <c r="AH4903">
        <v>35.449088566414503</v>
      </c>
      <c r="AI4903">
        <v>91.785608542637107</v>
      </c>
      <c r="AJ4903">
        <v>92.210431347223107</v>
      </c>
      <c r="AK4903">
        <v>35.492720094947799</v>
      </c>
    </row>
    <row r="4904" spans="1:37" x14ac:dyDescent="0.2">
      <c r="A4904" t="str">
        <f>"20200111155652645"</f>
        <v>20200111155652645</v>
      </c>
      <c r="B4904" t="str">
        <f>"1578729412638371"</f>
        <v>1578729412638371</v>
      </c>
      <c r="C4904" t="s">
        <v>37</v>
      </c>
      <c r="D4904">
        <v>4.9033069999999999</v>
      </c>
      <c r="E4904">
        <v>0.50644400000000001</v>
      </c>
      <c r="F4904" t="s">
        <v>38</v>
      </c>
      <c r="G4904">
        <v>-420.83199999999999</v>
      </c>
      <c r="H4904" s="1">
        <v>-2.89056199999999E-6</v>
      </c>
      <c r="I4904">
        <v>45.811039999999998</v>
      </c>
      <c r="J4904">
        <v>-421.23430000000002</v>
      </c>
      <c r="K4904">
        <v>1.1058269999999999</v>
      </c>
      <c r="L4904">
        <v>95.859589999999997</v>
      </c>
      <c r="M4904">
        <v>-2.896321E-2</v>
      </c>
      <c r="N4904">
        <v>0</v>
      </c>
      <c r="O4904">
        <v>-0.99948219999999999</v>
      </c>
      <c r="P4904">
        <v>2.6051700000000001E-2</v>
      </c>
      <c r="Q4904">
        <v>1.5859000000000002E-2</v>
      </c>
      <c r="R4904">
        <v>-0.99953510000000001</v>
      </c>
      <c r="S4904">
        <v>2.3803709999999999E-2</v>
      </c>
      <c r="T4904">
        <v>-6.6108349999999996E-2</v>
      </c>
      <c r="U4904">
        <v>-3.0016780000000001</v>
      </c>
      <c r="V4904">
        <v>-5.5058019999999999E-2</v>
      </c>
      <c r="W4904">
        <v>2.97434E-2</v>
      </c>
      <c r="X4904">
        <v>0.99804009999999999</v>
      </c>
      <c r="Y4904">
        <v>-3.6889779999999997E-2</v>
      </c>
      <c r="Z4904">
        <v>2.1996760000000001E-2</v>
      </c>
      <c r="AA4904">
        <v>0.999077199999999</v>
      </c>
      <c r="AB4904">
        <v>27</v>
      </c>
      <c r="AC4904">
        <v>0.40230000000002503</v>
      </c>
      <c r="AD4904">
        <v>-1.1058298905620001</v>
      </c>
      <c r="AE4904">
        <v>-50.048549999999899</v>
      </c>
      <c r="AF4904">
        <v>-1.8509367117998301</v>
      </c>
      <c r="AG4904">
        <v>-1.1058298905620001</v>
      </c>
      <c r="AH4904">
        <v>49.991492335100503</v>
      </c>
      <c r="AI4904">
        <v>91.266329311743306</v>
      </c>
      <c r="AJ4904">
        <v>92.1204096246733</v>
      </c>
      <c r="AK4904">
        <v>50.037966908622103</v>
      </c>
    </row>
    <row r="4905" spans="1:37" x14ac:dyDescent="0.2">
      <c r="A4905" t="str">
        <f>"20200111155652679"</f>
        <v>20200111155652679</v>
      </c>
      <c r="B4905" t="str">
        <f>"1578729412667649"</f>
        <v>1578729412667649</v>
      </c>
      <c r="C4905" t="s">
        <v>37</v>
      </c>
      <c r="D4905">
        <v>5.0621479999999996</v>
      </c>
      <c r="E4905">
        <v>0.48573899999999998</v>
      </c>
      <c r="F4905" t="s">
        <v>38</v>
      </c>
      <c r="G4905">
        <v>-420.71980000000002</v>
      </c>
      <c r="H4905" s="1">
        <v>-3.0254849999999999E-6</v>
      </c>
      <c r="I4905">
        <v>46.195159999999902</v>
      </c>
      <c r="J4905">
        <v>-421.24430000000001</v>
      </c>
      <c r="K4905">
        <v>1.105523</v>
      </c>
      <c r="L4905">
        <v>95.451139999999995</v>
      </c>
      <c r="M4905">
        <v>-2.7637620000000002E-2</v>
      </c>
      <c r="N4905">
        <v>0</v>
      </c>
      <c r="O4905">
        <v>-0.99951990000000002</v>
      </c>
      <c r="P4905">
        <v>2.8174270000000001E-2</v>
      </c>
      <c r="Q4905">
        <v>1.7254019999999998E-2</v>
      </c>
      <c r="R4905">
        <v>-0.99945409999999901</v>
      </c>
      <c r="S4905">
        <v>3.1097409999999999E-2</v>
      </c>
      <c r="T4905">
        <v>-6.6834809999999995E-2</v>
      </c>
      <c r="U4905">
        <v>-3.0016479999999999</v>
      </c>
      <c r="V4905">
        <v>-5.5832729999999997E-2</v>
      </c>
      <c r="W4905">
        <v>3.1165620000000002E-2</v>
      </c>
      <c r="X4905">
        <v>0.9979536</v>
      </c>
      <c r="Y4905">
        <v>-3.7991869999999997E-2</v>
      </c>
      <c r="Z4905">
        <v>2.2239129999999999E-2</v>
      </c>
      <c r="AA4905">
        <v>0.99903050000000004</v>
      </c>
      <c r="AB4905">
        <v>26</v>
      </c>
      <c r="AC4905">
        <v>0.52449999999998898</v>
      </c>
      <c r="AD4905">
        <v>-1.1055260254849999</v>
      </c>
      <c r="AE4905">
        <v>-49.255980000000001</v>
      </c>
      <c r="AF4905">
        <v>-1.8848018100628701</v>
      </c>
      <c r="AG4905">
        <v>-1.1055260254849999</v>
      </c>
      <c r="AH4905">
        <v>49.197882659363898</v>
      </c>
      <c r="AI4905">
        <v>91.286333977379499</v>
      </c>
      <c r="AJ4905">
        <v>92.193964384951698</v>
      </c>
      <c r="AK4905">
        <v>49.246383865424797</v>
      </c>
    </row>
    <row r="4906" spans="1:37" x14ac:dyDescent="0.2">
      <c r="A4906" t="str">
        <f>"20200111155652723"</f>
        <v>20200111155652723</v>
      </c>
      <c r="B4906" t="str">
        <f>"1578729412718403"</f>
        <v>1578729412718403</v>
      </c>
      <c r="C4906" t="s">
        <v>37</v>
      </c>
      <c r="D4906">
        <v>4.9801099999999998</v>
      </c>
      <c r="E4906">
        <v>0.48654170000000002</v>
      </c>
      <c r="F4906" t="s">
        <v>78</v>
      </c>
      <c r="G4906">
        <v>-414.99770000000001</v>
      </c>
      <c r="H4906">
        <v>4.1360970000000004</v>
      </c>
      <c r="I4906">
        <v>0.52827259999999998</v>
      </c>
      <c r="J4906">
        <v>-421.25720000000001</v>
      </c>
      <c r="K4906">
        <v>1.1051139999999999</v>
      </c>
      <c r="L4906">
        <v>94.937559999999905</v>
      </c>
      <c r="M4906">
        <v>-2.7031240000000002E-2</v>
      </c>
      <c r="N4906">
        <v>0</v>
      </c>
      <c r="O4906">
        <v>-0.99953649999999905</v>
      </c>
      <c r="P4906">
        <v>2.894116E-2</v>
      </c>
      <c r="Q4906">
        <v>1.9067540000000001E-2</v>
      </c>
      <c r="R4906">
        <v>-0.99939940000000005</v>
      </c>
      <c r="S4906">
        <v>0.197052</v>
      </c>
      <c r="T4906">
        <v>9.5600959999999999E-2</v>
      </c>
      <c r="U4906">
        <v>-2.994415</v>
      </c>
      <c r="V4906">
        <v>-5.5961199999999899E-2</v>
      </c>
      <c r="W4906">
        <v>3.302385E-2</v>
      </c>
      <c r="X4906">
        <v>0.99788670000000002</v>
      </c>
      <c r="Y4906">
        <v>-9.2582810000000001E-2</v>
      </c>
      <c r="Z4906">
        <v>-3.1789789999999998E-2</v>
      </c>
      <c r="AA4906">
        <v>0.99519740000000001</v>
      </c>
      <c r="AB4906">
        <v>26</v>
      </c>
      <c r="AC4906">
        <v>6.2595000000000001</v>
      </c>
      <c r="AD4906">
        <v>3.030983</v>
      </c>
      <c r="AE4906">
        <v>-94.409287399999997</v>
      </c>
      <c r="AF4906">
        <v>-8.8004316100234394</v>
      </c>
      <c r="AG4906">
        <v>3.030983</v>
      </c>
      <c r="AH4906">
        <v>94.108989046012198</v>
      </c>
      <c r="AI4906">
        <v>88.163311140728595</v>
      </c>
      <c r="AJ4906">
        <v>95.342374647858804</v>
      </c>
      <c r="AK4906">
        <v>94.568156763952203</v>
      </c>
    </row>
    <row r="4907" spans="1:37" x14ac:dyDescent="0.2">
      <c r="A4907" t="str">
        <f>"20200111155652741"</f>
        <v>20200111155652741</v>
      </c>
      <c r="B4907" t="str">
        <f>"1578729412737922"</f>
        <v>1578729412737922</v>
      </c>
      <c r="C4907" t="s">
        <v>37</v>
      </c>
      <c r="D4907">
        <v>4.9117389999999999</v>
      </c>
      <c r="E4907">
        <v>0.48715969999999997</v>
      </c>
      <c r="F4907" t="s">
        <v>78</v>
      </c>
      <c r="G4907">
        <v>-415.1259</v>
      </c>
      <c r="H4907">
        <v>2.697559</v>
      </c>
      <c r="I4907">
        <v>0.52696229999999999</v>
      </c>
      <c r="J4907">
        <v>-421.26319999999998</v>
      </c>
      <c r="K4907">
        <v>1.104927</v>
      </c>
      <c r="L4907">
        <v>94.713200000000001</v>
      </c>
      <c r="M4907">
        <v>-2.7131229999999999E-2</v>
      </c>
      <c r="N4907">
        <v>0</v>
      </c>
      <c r="O4907">
        <v>-0.99953409999999998</v>
      </c>
      <c r="P4907">
        <v>2.8600199999999999E-2</v>
      </c>
      <c r="Q4907">
        <v>1.9480890000000001E-2</v>
      </c>
      <c r="R4907">
        <v>-0.99940149999999905</v>
      </c>
      <c r="S4907">
        <v>0.194519</v>
      </c>
      <c r="T4907">
        <v>5.0520179999999998E-2</v>
      </c>
      <c r="U4907">
        <v>-2.995209</v>
      </c>
      <c r="V4907">
        <v>-5.5704400000000001E-2</v>
      </c>
      <c r="W4907">
        <v>3.3458499999999898E-2</v>
      </c>
      <c r="X4907">
        <v>0.99788650000000001</v>
      </c>
      <c r="Y4907">
        <v>-9.1850710000000002E-2</v>
      </c>
      <c r="Z4907">
        <v>-1.680195E-2</v>
      </c>
      <c r="AA4907">
        <v>0.99563099999999904</v>
      </c>
      <c r="AB4907">
        <v>26</v>
      </c>
      <c r="AC4907">
        <v>6.1372999999999802</v>
      </c>
      <c r="AD4907">
        <v>1.592632</v>
      </c>
      <c r="AE4907">
        <v>-94.186237700000007</v>
      </c>
      <c r="AF4907">
        <v>-8.6882048814966293</v>
      </c>
      <c r="AG4907">
        <v>1.592632</v>
      </c>
      <c r="AH4907">
        <v>93.958278675470694</v>
      </c>
      <c r="AI4907">
        <v>89.033030080300193</v>
      </c>
      <c r="AJ4907">
        <v>95.283045965773994</v>
      </c>
      <c r="AK4907">
        <v>94.372556987758401</v>
      </c>
    </row>
    <row r="4908" spans="1:37" x14ac:dyDescent="0.2">
      <c r="A4908" t="str">
        <f>"20200111155652757"</f>
        <v>20200111155652757</v>
      </c>
      <c r="B4908" t="str">
        <f>"1578729412747683"</f>
        <v>1578729412747683</v>
      </c>
      <c r="C4908" t="s">
        <v>37</v>
      </c>
      <c r="D4908">
        <v>4.8455399999999997</v>
      </c>
      <c r="E4908">
        <v>0.48730669999999998</v>
      </c>
      <c r="F4908" t="s">
        <v>78</v>
      </c>
      <c r="G4908">
        <v>-415.37950000000001</v>
      </c>
      <c r="H4908">
        <v>2.6069399999999998</v>
      </c>
      <c r="I4908">
        <v>1.279879</v>
      </c>
      <c r="J4908">
        <v>-421.26830000000001</v>
      </c>
      <c r="K4908">
        <v>1.1047639999999901</v>
      </c>
      <c r="L4908">
        <v>94.526519999999906</v>
      </c>
      <c r="M4908">
        <v>-2.7385550000000002E-2</v>
      </c>
      <c r="N4908">
        <v>0</v>
      </c>
      <c r="O4908">
        <v>-0.99952700000000005</v>
      </c>
      <c r="P4908">
        <v>2.8157229999999998E-2</v>
      </c>
      <c r="Q4908">
        <v>1.9810089999999999E-2</v>
      </c>
      <c r="R4908">
        <v>-0.9994075</v>
      </c>
      <c r="S4908">
        <v>0.1886292</v>
      </c>
      <c r="T4908">
        <v>4.8153399999999999E-2</v>
      </c>
      <c r="U4908">
        <v>-2.9954529999999999</v>
      </c>
      <c r="V4908">
        <v>-5.5502469999999998E-2</v>
      </c>
      <c r="W4908">
        <v>3.3807339999999998E-2</v>
      </c>
      <c r="X4908">
        <v>0.997886099999999</v>
      </c>
      <c r="Y4908">
        <v>-9.0149789999999994E-2</v>
      </c>
      <c r="Z4908">
        <v>-1.6015789999999998E-2</v>
      </c>
      <c r="AA4908">
        <v>0.9957994</v>
      </c>
      <c r="AB4908">
        <v>26</v>
      </c>
      <c r="AC4908">
        <v>5.8887999999999998</v>
      </c>
      <c r="AD4908">
        <v>1.502176</v>
      </c>
      <c r="AE4908">
        <v>-93.246640999999997</v>
      </c>
      <c r="AF4908">
        <v>-8.4382703183259409</v>
      </c>
      <c r="AG4908">
        <v>1.502176</v>
      </c>
      <c r="AH4908">
        <v>93.026331224389295</v>
      </c>
      <c r="AI4908">
        <v>89.078658270243594</v>
      </c>
      <c r="AJ4908">
        <v>95.183024611607394</v>
      </c>
      <c r="AK4908">
        <v>93.420336328713205</v>
      </c>
    </row>
    <row r="4909" spans="1:37" x14ac:dyDescent="0.2">
      <c r="A4909" t="str">
        <f>"20200111155652775"</f>
        <v>20200111155652775</v>
      </c>
      <c r="B4909" t="str">
        <f>"1578729412768178"</f>
        <v>1578729412768178</v>
      </c>
      <c r="C4909" t="s">
        <v>37</v>
      </c>
      <c r="D4909">
        <v>4.8720489999999996</v>
      </c>
      <c r="E4909">
        <v>0.48719669999999998</v>
      </c>
      <c r="F4909" t="s">
        <v>78</v>
      </c>
      <c r="G4909">
        <v>-415.47359999999998</v>
      </c>
      <c r="H4909">
        <v>2.6176219999999999</v>
      </c>
      <c r="I4909">
        <v>1.2795069999999999</v>
      </c>
      <c r="J4909">
        <v>-421.27440000000001</v>
      </c>
      <c r="K4909">
        <v>1.1045849999999999</v>
      </c>
      <c r="L4909">
        <v>94.318939999999998</v>
      </c>
      <c r="M4909">
        <v>-2.787479E-2</v>
      </c>
      <c r="N4909">
        <v>0</v>
      </c>
      <c r="O4909">
        <v>-0.9995134</v>
      </c>
      <c r="P4909">
        <v>2.7113390000000001E-2</v>
      </c>
      <c r="Q4909">
        <v>1.9985320000000001E-2</v>
      </c>
      <c r="R4909">
        <v>-0.9994324</v>
      </c>
      <c r="S4909">
        <v>0.18615719999999999</v>
      </c>
      <c r="T4909">
        <v>4.8599959999999998E-2</v>
      </c>
      <c r="U4909">
        <v>-2.9955750000000001</v>
      </c>
      <c r="V4909">
        <v>-5.4933000000000003E-2</v>
      </c>
      <c r="W4909">
        <v>3.4004159999999999E-2</v>
      </c>
      <c r="X4909">
        <v>0.99791090000000005</v>
      </c>
      <c r="Y4909">
        <v>-8.9816030000000005E-2</v>
      </c>
      <c r="Z4909">
        <v>-1.616395E-2</v>
      </c>
      <c r="AA4909">
        <v>0.99582719999999902</v>
      </c>
      <c r="AB4909">
        <v>26</v>
      </c>
      <c r="AC4909">
        <v>5.8008000000000299</v>
      </c>
      <c r="AD4909">
        <v>1.513037</v>
      </c>
      <c r="AE4909">
        <v>-93.039433000000002</v>
      </c>
      <c r="AF4909">
        <v>-8.3900440330320993</v>
      </c>
      <c r="AG4909">
        <v>1.513037</v>
      </c>
      <c r="AH4909">
        <v>92.817109314074301</v>
      </c>
      <c r="AI4909">
        <v>89.069880176099701</v>
      </c>
      <c r="AJ4909">
        <v>95.165116665579703</v>
      </c>
      <c r="AK4909">
        <v>93.207821030535797</v>
      </c>
    </row>
    <row r="4910" spans="1:37" x14ac:dyDescent="0.2">
      <c r="A4910" t="str">
        <f>"20200111155652791"</f>
        <v>20200111155652791</v>
      </c>
      <c r="B4910" t="str">
        <f>"1578729412777939"</f>
        <v>1578729412777939</v>
      </c>
      <c r="C4910" t="s">
        <v>37</v>
      </c>
      <c r="D4910">
        <v>4.8671419999999896</v>
      </c>
      <c r="E4910">
        <v>0.48688819999999999</v>
      </c>
      <c r="F4910" t="s">
        <v>78</v>
      </c>
      <c r="G4910">
        <v>-415.55630000000002</v>
      </c>
      <c r="H4910">
        <v>2.6147770000000001</v>
      </c>
      <c r="I4910">
        <v>1.279182</v>
      </c>
      <c r="J4910">
        <v>-421.2799</v>
      </c>
      <c r="K4910">
        <v>1.10442</v>
      </c>
      <c r="L4910">
        <v>94.1387</v>
      </c>
      <c r="M4910">
        <v>-2.8478099999999999E-2</v>
      </c>
      <c r="N4910">
        <v>0</v>
      </c>
      <c r="O4910">
        <v>-0.99949659999999996</v>
      </c>
      <c r="P4910">
        <v>2.6201619999999998E-2</v>
      </c>
      <c r="Q4910">
        <v>2.057227E-2</v>
      </c>
      <c r="R4910">
        <v>-0.99944509999999898</v>
      </c>
      <c r="S4910">
        <v>0.18411250000000001</v>
      </c>
      <c r="T4910">
        <v>4.8624870000000001E-2</v>
      </c>
      <c r="U4910">
        <v>-2.99572799999999</v>
      </c>
      <c r="V4910">
        <v>-5.4610190000000003E-2</v>
      </c>
      <c r="W4910">
        <v>3.4610809999999999E-2</v>
      </c>
      <c r="X4910">
        <v>0.99790769999999995</v>
      </c>
      <c r="Y4910">
        <v>-8.9736960000000005E-2</v>
      </c>
      <c r="Z4910">
        <v>-1.6171399999999999E-2</v>
      </c>
      <c r="AA4910">
        <v>0.995834199999999</v>
      </c>
      <c r="AB4910">
        <v>26</v>
      </c>
      <c r="AC4910">
        <v>5.72359999999997</v>
      </c>
      <c r="AD4910">
        <v>1.5103569999999999</v>
      </c>
      <c r="AE4910">
        <v>-92.859517999999994</v>
      </c>
      <c r="AF4910">
        <v>-8.3637951208960999</v>
      </c>
      <c r="AG4910">
        <v>1.5103569999999999</v>
      </c>
      <c r="AH4910">
        <v>92.634421560015795</v>
      </c>
      <c r="AI4910">
        <v>89.069687869636297</v>
      </c>
      <c r="AJ4910">
        <v>95.159144065243197</v>
      </c>
      <c r="AK4910">
        <v>93.023493295245004</v>
      </c>
    </row>
    <row r="4911" spans="1:37" x14ac:dyDescent="0.2">
      <c r="A4911" t="str">
        <f>"20200111155652810"</f>
        <v>20200111155652810</v>
      </c>
      <c r="B4911" t="str">
        <f>"1578729412797459"</f>
        <v>1578729412797459</v>
      </c>
      <c r="C4911" t="s">
        <v>37</v>
      </c>
      <c r="D4911">
        <v>4.9085369999999999</v>
      </c>
      <c r="E4911">
        <v>0.48632959999999897</v>
      </c>
      <c r="F4911" t="s">
        <v>78</v>
      </c>
      <c r="G4911">
        <v>-415.58449999999999</v>
      </c>
      <c r="H4911">
        <v>2.5575109999999999</v>
      </c>
      <c r="I4911">
        <v>1.2790680000000001</v>
      </c>
      <c r="J4911">
        <v>-421.28699999999998</v>
      </c>
      <c r="K4911">
        <v>1.104223</v>
      </c>
      <c r="L4911">
        <v>93.921779999999998</v>
      </c>
      <c r="M4911">
        <v>-2.940297E-2</v>
      </c>
      <c r="N4911">
        <v>0</v>
      </c>
      <c r="O4911">
        <v>-0.99946990000000002</v>
      </c>
      <c r="P4911">
        <v>2.486915E-2</v>
      </c>
      <c r="Q4911">
        <v>2.1615700000000002E-2</v>
      </c>
      <c r="R4911">
        <v>-0.99945729999999999</v>
      </c>
      <c r="S4911">
        <v>0.1837463</v>
      </c>
      <c r="T4911">
        <v>4.6879410000000003E-2</v>
      </c>
      <c r="U4911">
        <v>-2.9958800000000001</v>
      </c>
      <c r="V4911">
        <v>-5.4183229999999999E-2</v>
      </c>
      <c r="W4911">
        <v>3.5679229999999999E-2</v>
      </c>
      <c r="X4911">
        <v>0.99789340000000004</v>
      </c>
      <c r="Y4911">
        <v>-9.0534749999999997E-2</v>
      </c>
      <c r="Z4911">
        <v>-1.558912E-2</v>
      </c>
      <c r="AA4911">
        <v>0.99577130000000003</v>
      </c>
      <c r="AB4911">
        <v>26</v>
      </c>
      <c r="AC4911">
        <v>5.7024999999999801</v>
      </c>
      <c r="AD4911">
        <v>1.4532879999999999</v>
      </c>
      <c r="AE4911">
        <v>-92.642712000000003</v>
      </c>
      <c r="AF4911">
        <v>-8.4222062767744301</v>
      </c>
      <c r="AG4911">
        <v>1.4532879999999999</v>
      </c>
      <c r="AH4911">
        <v>92.412307054822193</v>
      </c>
      <c r="AI4911">
        <v>89.102751320864598</v>
      </c>
      <c r="AJ4911">
        <v>95.207395729971296</v>
      </c>
      <c r="AK4911">
        <v>92.8066813315411</v>
      </c>
    </row>
    <row r="4912" spans="1:37" x14ac:dyDescent="0.2">
      <c r="A4912" t="str">
        <f>"20200111155652832"</f>
        <v>20200111155652832</v>
      </c>
      <c r="B4912" t="str">
        <f>"1578729412827714"</f>
        <v>1578729412827714</v>
      </c>
      <c r="C4912" t="s">
        <v>37</v>
      </c>
      <c r="D4912">
        <v>4.7922359999999999</v>
      </c>
      <c r="E4912">
        <v>0.48584179999999999</v>
      </c>
      <c r="F4912" t="s">
        <v>78</v>
      </c>
      <c r="G4912">
        <v>-415.601</v>
      </c>
      <c r="H4912">
        <v>2.8362889999999998</v>
      </c>
      <c r="I4912">
        <v>1.2790029999999999</v>
      </c>
      <c r="J4912">
        <v>-421.29610000000002</v>
      </c>
      <c r="K4912">
        <v>1.103985</v>
      </c>
      <c r="L4912">
        <v>93.657560000000004</v>
      </c>
      <c r="M4912">
        <v>-3.0820219999999999E-2</v>
      </c>
      <c r="N4912">
        <v>0</v>
      </c>
      <c r="O4912">
        <v>-0.99942710000000001</v>
      </c>
      <c r="P4912">
        <v>2.3441070000000001E-2</v>
      </c>
      <c r="Q4912">
        <v>2.2301990000000001E-2</v>
      </c>
      <c r="R4912">
        <v>-0.9994767</v>
      </c>
      <c r="S4912">
        <v>0.18386839999999999</v>
      </c>
      <c r="T4912">
        <v>5.6009530000000002E-2</v>
      </c>
      <c r="U4912">
        <v>-2.995819</v>
      </c>
      <c r="V4912">
        <v>-5.4148990000000001E-2</v>
      </c>
      <c r="W4912">
        <v>3.6397350000000002E-2</v>
      </c>
      <c r="X4912">
        <v>0.99786929999999996</v>
      </c>
      <c r="Y4912">
        <v>-9.1985339999999999E-2</v>
      </c>
      <c r="Z4912">
        <v>-1.862217E-2</v>
      </c>
      <c r="AA4912">
        <v>0.99558619999999898</v>
      </c>
      <c r="AB4912">
        <v>26</v>
      </c>
      <c r="AC4912">
        <v>5.6951000000000196</v>
      </c>
      <c r="AD4912">
        <v>1.7323039999999901</v>
      </c>
      <c r="AE4912">
        <v>-92.378557000000001</v>
      </c>
      <c r="AF4912">
        <v>-8.5368093300058892</v>
      </c>
      <c r="AG4912">
        <v>1.7323039999999901</v>
      </c>
      <c r="AH4912">
        <v>92.126848648265494</v>
      </c>
      <c r="AI4912">
        <v>88.927361952878698</v>
      </c>
      <c r="AJ4912">
        <v>95.294117411180096</v>
      </c>
      <c r="AK4912">
        <v>92.537744907392806</v>
      </c>
    </row>
    <row r="4913" spans="1:37" x14ac:dyDescent="0.2">
      <c r="A4913" t="str">
        <f>"20200111155652847"</f>
        <v>20200111155652847</v>
      </c>
      <c r="B4913" t="str">
        <f>"1578729412837473"</f>
        <v>1578729412837473</v>
      </c>
      <c r="C4913" t="s">
        <v>37</v>
      </c>
      <c r="D4913">
        <v>4.821504</v>
      </c>
      <c r="E4913">
        <v>0.48568630000000002</v>
      </c>
      <c r="F4913" t="s">
        <v>78</v>
      </c>
      <c r="G4913">
        <v>-415.62950000000001</v>
      </c>
      <c r="H4913">
        <v>2.7803810000000002</v>
      </c>
      <c r="I4913">
        <v>1.2788889999999999</v>
      </c>
      <c r="J4913">
        <v>-421.30279999999999</v>
      </c>
      <c r="K4913">
        <v>1.1038319999999999</v>
      </c>
      <c r="L4913">
        <v>93.476100000000002</v>
      </c>
      <c r="M4913">
        <v>-3.196653E-2</v>
      </c>
      <c r="N4913">
        <v>0</v>
      </c>
      <c r="O4913">
        <v>-0.99939129999999998</v>
      </c>
      <c r="P4913">
        <v>2.229269E-2</v>
      </c>
      <c r="Q4913">
        <v>2.2506310000000002E-2</v>
      </c>
      <c r="R4913">
        <v>-0.99949880000000002</v>
      </c>
      <c r="S4913">
        <v>0.18377689999999999</v>
      </c>
      <c r="T4913">
        <v>5.4368140000000002E-2</v>
      </c>
      <c r="U4913">
        <v>-2.9960330000000002</v>
      </c>
      <c r="V4913">
        <v>-5.4132369999999999E-2</v>
      </c>
      <c r="W4913">
        <v>3.6622750000000003E-2</v>
      </c>
      <c r="X4913">
        <v>0.99786189999999997</v>
      </c>
      <c r="Y4913">
        <v>-9.3093369999999995E-2</v>
      </c>
      <c r="Z4913">
        <v>-1.8073430000000001E-2</v>
      </c>
      <c r="AA4913">
        <v>0.99549339999999997</v>
      </c>
      <c r="AB4913">
        <v>26</v>
      </c>
      <c r="AC4913">
        <v>5.6732999999999798</v>
      </c>
      <c r="AD4913">
        <v>1.6765490000000001</v>
      </c>
      <c r="AE4913">
        <v>-92.197210999999996</v>
      </c>
      <c r="AF4913">
        <v>-8.6150745809384297</v>
      </c>
      <c r="AG4913">
        <v>1.6765490000000001</v>
      </c>
      <c r="AH4913">
        <v>91.938423320005498</v>
      </c>
      <c r="AI4913">
        <v>88.959850515519705</v>
      </c>
      <c r="AJ4913">
        <v>95.353259686547105</v>
      </c>
      <c r="AK4913">
        <v>92.356396687793406</v>
      </c>
    </row>
    <row r="4914" spans="1:37" x14ac:dyDescent="0.2">
      <c r="A4914" t="str">
        <f>"20200111155652865"</f>
        <v>20200111155652865</v>
      </c>
      <c r="B4914" t="str">
        <f>"1578729412857971"</f>
        <v>1578729412857971</v>
      </c>
      <c r="C4914" t="s">
        <v>37</v>
      </c>
      <c r="D4914">
        <v>4.7462200000000001</v>
      </c>
      <c r="E4914">
        <v>0.48565619999999998</v>
      </c>
      <c r="F4914" t="s">
        <v>78</v>
      </c>
      <c r="G4914">
        <v>-415.72019999999998</v>
      </c>
      <c r="H4914">
        <v>2.6988029999999998</v>
      </c>
      <c r="I4914">
        <v>1.2785340000000001</v>
      </c>
      <c r="J4914">
        <v>-421.31110000000001</v>
      </c>
      <c r="K4914">
        <v>1.103674</v>
      </c>
      <c r="L4914">
        <v>93.26379</v>
      </c>
      <c r="M4914">
        <v>-3.3464189999999998E-2</v>
      </c>
      <c r="N4914">
        <v>0</v>
      </c>
      <c r="O4914">
        <v>-0.99934210000000001</v>
      </c>
      <c r="P4914">
        <v>2.0965310000000001E-2</v>
      </c>
      <c r="Q4914">
        <v>2.2717040000000001E-2</v>
      </c>
      <c r="R4914">
        <v>-0.99952229999999997</v>
      </c>
      <c r="S4914">
        <v>0.181427</v>
      </c>
      <c r="T4914">
        <v>5.1833749999999998E-2</v>
      </c>
      <c r="U4914">
        <v>-2.9963069999999998</v>
      </c>
      <c r="V4914">
        <v>-5.4287009999999997E-2</v>
      </c>
      <c r="W4914">
        <v>3.6856229999999997E-2</v>
      </c>
      <c r="X4914">
        <v>0.99784490000000003</v>
      </c>
      <c r="Y4914">
        <v>-9.3802940000000001E-2</v>
      </c>
      <c r="Z4914">
        <v>-1.7228179999999999E-2</v>
      </c>
      <c r="AA4914">
        <v>0.99544169999999998</v>
      </c>
      <c r="AB4914">
        <v>26</v>
      </c>
      <c r="AC4914">
        <v>5.5909000000000297</v>
      </c>
      <c r="AD4914">
        <v>1.59512899999999</v>
      </c>
      <c r="AE4914">
        <v>-91.985256000000007</v>
      </c>
      <c r="AF4914">
        <v>-8.66368535548993</v>
      </c>
      <c r="AG4914">
        <v>1.59512899999999</v>
      </c>
      <c r="AH4914">
        <v>91.7191335179985</v>
      </c>
      <c r="AI4914">
        <v>89.0080581626205</v>
      </c>
      <c r="AJ4914">
        <v>95.396083564167398</v>
      </c>
      <c r="AK4914">
        <v>92.1412140887996</v>
      </c>
    </row>
    <row r="4915" spans="1:37" x14ac:dyDescent="0.2">
      <c r="A4915" t="str">
        <f>"20200111155652888"</f>
        <v>20200111155652888</v>
      </c>
      <c r="B4915" t="str">
        <f>"1578729412877490"</f>
        <v>1578729412877490</v>
      </c>
      <c r="C4915" t="s">
        <v>37</v>
      </c>
      <c r="D4915">
        <v>4.7823120000000001</v>
      </c>
      <c r="E4915">
        <v>0.4858751</v>
      </c>
      <c r="F4915" t="s">
        <v>78</v>
      </c>
      <c r="G4915">
        <v>-415.85680000000002</v>
      </c>
      <c r="H4915">
        <v>2.8270599999999999</v>
      </c>
      <c r="I4915">
        <v>1.2779940000000001</v>
      </c>
      <c r="J4915">
        <v>-421.32209999999998</v>
      </c>
      <c r="K4915">
        <v>1.103502</v>
      </c>
      <c r="L4915">
        <v>93.001400000000004</v>
      </c>
      <c r="M4915">
        <v>-3.5540700000000001E-2</v>
      </c>
      <c r="N4915">
        <v>0</v>
      </c>
      <c r="O4915">
        <v>-0.99927029999999994</v>
      </c>
      <c r="P4915">
        <v>1.895024E-2</v>
      </c>
      <c r="Q4915">
        <v>2.2795010000000001E-2</v>
      </c>
      <c r="R4915">
        <v>-0.99956039999999902</v>
      </c>
      <c r="S4915">
        <v>0.17767330000000001</v>
      </c>
      <c r="T4915">
        <v>5.6138279999999999E-2</v>
      </c>
      <c r="U4915">
        <v>-2.996429</v>
      </c>
      <c r="V4915">
        <v>-5.4333439999999997E-2</v>
      </c>
      <c r="W4915">
        <v>3.6957730000000001E-2</v>
      </c>
      <c r="X4915">
        <v>0.99783869999999897</v>
      </c>
      <c r="Y4915">
        <v>-9.4625199999999896E-2</v>
      </c>
      <c r="Z4915">
        <v>-1.865561E-2</v>
      </c>
      <c r="AA4915">
        <v>0.995338099999999</v>
      </c>
      <c r="AB4915">
        <v>26</v>
      </c>
      <c r="AC4915">
        <v>5.4652999999999503</v>
      </c>
      <c r="AD4915">
        <v>1.7235579999999999</v>
      </c>
      <c r="AE4915">
        <v>-91.723405999999997</v>
      </c>
      <c r="AF4915">
        <v>-8.7190118904132596</v>
      </c>
      <c r="AG4915">
        <v>1.7235579999999999</v>
      </c>
      <c r="AH4915">
        <v>91.439014505792699</v>
      </c>
      <c r="AI4915">
        <v>88.925019467382697</v>
      </c>
      <c r="AJ4915">
        <v>95.446873441331505</v>
      </c>
      <c r="AK4915">
        <v>91.869936292103205</v>
      </c>
    </row>
    <row r="4916" spans="1:37" x14ac:dyDescent="0.2">
      <c r="A4916" t="str">
        <f>"20200111155652904"</f>
        <v>20200111155652904</v>
      </c>
      <c r="B4916" t="str">
        <f>"1578729412897986"</f>
        <v>1578729412897986</v>
      </c>
      <c r="C4916" t="s">
        <v>37</v>
      </c>
      <c r="D4916">
        <v>4.6716920000000002</v>
      </c>
      <c r="E4916">
        <v>0.4857764</v>
      </c>
      <c r="F4916" t="s">
        <v>78</v>
      </c>
      <c r="G4916">
        <v>-416.1284</v>
      </c>
      <c r="H4916">
        <v>3.024905</v>
      </c>
      <c r="I4916">
        <v>1.2769219999999999</v>
      </c>
      <c r="J4916">
        <v>-421.33069999999998</v>
      </c>
      <c r="K4916">
        <v>1.1033999999999999</v>
      </c>
      <c r="L4916">
        <v>92.807829999999996</v>
      </c>
      <c r="M4916">
        <v>-3.7199999999999997E-2</v>
      </c>
      <c r="N4916">
        <v>0</v>
      </c>
      <c r="O4916">
        <v>-0.99920989999999998</v>
      </c>
      <c r="P4916">
        <v>1.7776810000000001E-2</v>
      </c>
      <c r="Q4916">
        <v>2.272824E-2</v>
      </c>
      <c r="R4916">
        <v>-0.99958380000000002</v>
      </c>
      <c r="S4916">
        <v>0.16967769999999999</v>
      </c>
      <c r="T4916">
        <v>6.2771439999999998E-2</v>
      </c>
      <c r="U4916">
        <v>-2.9966430000000002</v>
      </c>
      <c r="V4916">
        <v>-5.480935E-2</v>
      </c>
      <c r="W4916">
        <v>3.6907219999999998E-2</v>
      </c>
      <c r="X4916">
        <v>0.99781450000000005</v>
      </c>
      <c r="Y4916">
        <v>-9.3624730000000003E-2</v>
      </c>
      <c r="Z4916">
        <v>-2.0858209999999999E-2</v>
      </c>
      <c r="AA4916">
        <v>0.99538899999999997</v>
      </c>
      <c r="AB4916">
        <v>26</v>
      </c>
      <c r="AC4916">
        <v>5.2022999999999797</v>
      </c>
      <c r="AD4916">
        <v>1.921505</v>
      </c>
      <c r="AE4916">
        <v>-91.530907999999997</v>
      </c>
      <c r="AF4916">
        <v>-8.6002035906525496</v>
      </c>
      <c r="AG4916">
        <v>1.921505</v>
      </c>
      <c r="AH4916">
        <v>91.233919365442702</v>
      </c>
      <c r="AI4916">
        <v>88.798778377718094</v>
      </c>
      <c r="AJ4916">
        <v>95.385097651933293</v>
      </c>
      <c r="AK4916">
        <v>91.658516931302202</v>
      </c>
    </row>
    <row r="4917" spans="1:37" x14ac:dyDescent="0.2">
      <c r="A4917" t="str">
        <f>"20200111155652921"</f>
        <v>20200111155652921</v>
      </c>
      <c r="B4917" t="str">
        <f>"1578729412917505"</f>
        <v>1578729412917505</v>
      </c>
      <c r="C4917" t="s">
        <v>37</v>
      </c>
      <c r="D4917">
        <v>4.7199099999999996</v>
      </c>
      <c r="E4917">
        <v>0.48568549999999899</v>
      </c>
      <c r="F4917" t="s">
        <v>78</v>
      </c>
      <c r="G4917">
        <v>-416.23509999999999</v>
      </c>
      <c r="H4917">
        <v>2.9246539999999999</v>
      </c>
      <c r="I4917">
        <v>1.2764990000000001</v>
      </c>
      <c r="J4917">
        <v>-421.33980000000003</v>
      </c>
      <c r="K4917">
        <v>1.1033139999999999</v>
      </c>
      <c r="L4917">
        <v>92.612579999999994</v>
      </c>
      <c r="M4917">
        <v>-3.8964510000000001E-2</v>
      </c>
      <c r="N4917">
        <v>0</v>
      </c>
      <c r="O4917">
        <v>-0.99914259999999999</v>
      </c>
      <c r="P4917">
        <v>1.6493069999999999E-2</v>
      </c>
      <c r="Q4917">
        <v>2.316619E-2</v>
      </c>
      <c r="R4917">
        <v>-0.99959589999999998</v>
      </c>
      <c r="S4917">
        <v>0.1668396</v>
      </c>
      <c r="T4917">
        <v>5.9630629999999997E-2</v>
      </c>
      <c r="U4917">
        <v>-2.996918</v>
      </c>
      <c r="V4917">
        <v>-5.5280410000000002E-2</v>
      </c>
      <c r="W4917">
        <v>3.7358009999999997E-2</v>
      </c>
      <c r="X4917">
        <v>0.99777169999999904</v>
      </c>
      <c r="Y4917">
        <v>-9.4439250000000002E-2</v>
      </c>
      <c r="Z4917">
        <v>-1.9810919999999999E-2</v>
      </c>
      <c r="AA4917">
        <v>0.99533349999999898</v>
      </c>
      <c r="AB4917">
        <v>26</v>
      </c>
      <c r="AC4917">
        <v>5.1047000000000304</v>
      </c>
      <c r="AD4917">
        <v>1.82134</v>
      </c>
      <c r="AE4917">
        <v>-91.336080999999993</v>
      </c>
      <c r="AF4917">
        <v>-8.6566053175183093</v>
      </c>
      <c r="AG4917">
        <v>1.82134</v>
      </c>
      <c r="AH4917">
        <v>91.031699001074998</v>
      </c>
      <c r="AI4917">
        <v>88.858939261060499</v>
      </c>
      <c r="AJ4917">
        <v>95.432173119769402</v>
      </c>
      <c r="AK4917">
        <v>91.460506876144095</v>
      </c>
    </row>
    <row r="4918" spans="1:37" x14ac:dyDescent="0.2">
      <c r="A4918" t="str">
        <f>"20200111155652943"</f>
        <v>20200111155652943</v>
      </c>
      <c r="B4918" t="str">
        <f>"1578729412938002"</f>
        <v>1578729412938002</v>
      </c>
      <c r="C4918" t="s">
        <v>37</v>
      </c>
      <c r="D4918">
        <v>4.7270810000000001</v>
      </c>
      <c r="E4918">
        <v>0.48554309999999901</v>
      </c>
      <c r="F4918" t="s">
        <v>78</v>
      </c>
      <c r="G4918">
        <v>-416.32709999999997</v>
      </c>
      <c r="H4918">
        <v>2.816074</v>
      </c>
      <c r="I4918">
        <v>1.2761359999999999</v>
      </c>
      <c r="J4918">
        <v>-421.35270000000003</v>
      </c>
      <c r="K4918">
        <v>1.1032309999999901</v>
      </c>
      <c r="L4918">
        <v>92.352080000000001</v>
      </c>
      <c r="M4918">
        <v>-4.1433009999999999E-2</v>
      </c>
      <c r="N4918">
        <v>0</v>
      </c>
      <c r="O4918">
        <v>-0.99904349999999997</v>
      </c>
      <c r="P4918">
        <v>1.425004E-2</v>
      </c>
      <c r="Q4918">
        <v>2.4182619999999998E-2</v>
      </c>
      <c r="R4918">
        <v>-0.99960629999999995</v>
      </c>
      <c r="S4918">
        <v>0.16448969999999999</v>
      </c>
      <c r="T4918">
        <v>5.6203719999999999E-2</v>
      </c>
      <c r="U4918">
        <v>-2.997223</v>
      </c>
      <c r="V4918">
        <v>-5.549424E-2</v>
      </c>
      <c r="W4918">
        <v>3.838627E-2</v>
      </c>
      <c r="X4918">
        <v>0.99772079999999996</v>
      </c>
      <c r="Y4918">
        <v>-9.6116439999999997E-2</v>
      </c>
      <c r="Z4918">
        <v>-1.8667030000000001E-2</v>
      </c>
      <c r="AA4918">
        <v>0.99519500000000005</v>
      </c>
      <c r="AB4918">
        <v>26</v>
      </c>
      <c r="AC4918">
        <v>5.0256000000000496</v>
      </c>
      <c r="AD4918">
        <v>1.7128429999999999</v>
      </c>
      <c r="AE4918">
        <v>-91.075944000000007</v>
      </c>
      <c r="AF4918">
        <v>-8.7921025304925404</v>
      </c>
      <c r="AG4918">
        <v>1.7128429999999999</v>
      </c>
      <c r="AH4918">
        <v>90.757471338653005</v>
      </c>
      <c r="AI4918">
        <v>88.923836230345799</v>
      </c>
      <c r="AJ4918">
        <v>95.533245087890293</v>
      </c>
      <c r="AK4918">
        <v>91.198429272854099</v>
      </c>
    </row>
    <row r="4919" spans="1:37" x14ac:dyDescent="0.2">
      <c r="A4919" t="str">
        <f>"20200111155652965"</f>
        <v>20200111155652965</v>
      </c>
      <c r="B4919" t="str">
        <f>"1578729412957521"</f>
        <v>1578729412957521</v>
      </c>
      <c r="C4919" t="s">
        <v>37</v>
      </c>
      <c r="D4919">
        <v>4.7041199999999996</v>
      </c>
      <c r="E4919">
        <v>0.48541250000000002</v>
      </c>
      <c r="F4919" t="s">
        <v>78</v>
      </c>
      <c r="G4919">
        <v>-416.53750000000002</v>
      </c>
      <c r="H4919">
        <v>2.7984830000000001</v>
      </c>
      <c r="I4919">
        <v>1.275301</v>
      </c>
      <c r="J4919">
        <v>-421.36599999999999</v>
      </c>
      <c r="K4919">
        <v>1.103183</v>
      </c>
      <c r="L4919">
        <v>92.095460000000003</v>
      </c>
      <c r="M4919">
        <v>-4.3933399999999997E-2</v>
      </c>
      <c r="N4919">
        <v>0</v>
      </c>
      <c r="O4919">
        <v>-0.99893670000000001</v>
      </c>
      <c r="P4919">
        <v>1.0962639999999999E-2</v>
      </c>
      <c r="Q4919">
        <v>2.5005759999999998E-2</v>
      </c>
      <c r="R4919">
        <v>-0.99962719999999905</v>
      </c>
      <c r="S4919">
        <v>0.158477799999999</v>
      </c>
      <c r="T4919">
        <v>5.57946E-2</v>
      </c>
      <c r="U4919">
        <v>-2.9975890000000001</v>
      </c>
      <c r="V4919">
        <v>-5.4700810000000002E-2</v>
      </c>
      <c r="W4919">
        <v>3.9212959999999998E-2</v>
      </c>
      <c r="X4919">
        <v>0.99773250000000002</v>
      </c>
      <c r="Y4919">
        <v>-9.6611039999999995E-2</v>
      </c>
      <c r="Z4919">
        <v>-1.852651E-2</v>
      </c>
      <c r="AA4919">
        <v>0.99514979999999997</v>
      </c>
      <c r="AB4919">
        <v>26</v>
      </c>
      <c r="AC4919">
        <v>4.82849999999996</v>
      </c>
      <c r="AD4919">
        <v>1.6953</v>
      </c>
      <c r="AE4919">
        <v>-90.820159000000004</v>
      </c>
      <c r="AF4919">
        <v>-8.8112035714901307</v>
      </c>
      <c r="AG4919">
        <v>1.6953</v>
      </c>
      <c r="AH4919">
        <v>90.488857297015599</v>
      </c>
      <c r="AI4919">
        <v>88.931745905502396</v>
      </c>
      <c r="AJ4919">
        <v>95.561549062372706</v>
      </c>
      <c r="AK4919">
        <v>90.932637954630493</v>
      </c>
    </row>
    <row r="4920" spans="1:37" x14ac:dyDescent="0.2">
      <c r="A4920" t="str">
        <f>"20200111155652987"</f>
        <v>20200111155652987</v>
      </c>
      <c r="B4920" t="str">
        <f>"1578729412978018"</f>
        <v>1578729412978018</v>
      </c>
      <c r="C4920" t="s">
        <v>37</v>
      </c>
      <c r="D4920">
        <v>4.6837939999999998</v>
      </c>
      <c r="E4920">
        <v>0.48526439999999998</v>
      </c>
      <c r="F4920" t="s">
        <v>78</v>
      </c>
      <c r="G4920">
        <v>-416.81380000000001</v>
      </c>
      <c r="H4920">
        <v>2.7807879999999998</v>
      </c>
      <c r="I4920">
        <v>0.93899149999999998</v>
      </c>
      <c r="J4920">
        <v>-421.37990000000002</v>
      </c>
      <c r="K4920">
        <v>1.1031569999999999</v>
      </c>
      <c r="L4920">
        <v>91.842250000000007</v>
      </c>
      <c r="M4920">
        <v>-4.6430190000000003E-2</v>
      </c>
      <c r="N4920">
        <v>0</v>
      </c>
      <c r="O4920">
        <v>-0.99882359999999903</v>
      </c>
      <c r="P4920">
        <v>7.5980269999999898E-3</v>
      </c>
      <c r="Q4920">
        <v>2.4880840000000001E-2</v>
      </c>
      <c r="R4920">
        <v>-0.99966180000000004</v>
      </c>
      <c r="S4920">
        <v>0.1497192</v>
      </c>
      <c r="T4920">
        <v>5.517507E-2</v>
      </c>
      <c r="U4920">
        <v>-2.9981080000000002</v>
      </c>
      <c r="V4920">
        <v>-5.3834229999999997E-2</v>
      </c>
      <c r="W4920">
        <v>3.9086699999999898E-2</v>
      </c>
      <c r="X4920">
        <v>0.99778459999999902</v>
      </c>
      <c r="Y4920">
        <v>-9.6190499999999998E-2</v>
      </c>
      <c r="Z4920">
        <v>-1.8316329999999999E-2</v>
      </c>
      <c r="AA4920">
        <v>0.99519439999999904</v>
      </c>
      <c r="AB4920">
        <v>26</v>
      </c>
      <c r="AC4920">
        <v>4.5660999999999996</v>
      </c>
      <c r="AD4920">
        <v>1.6776310000000001</v>
      </c>
      <c r="AE4920">
        <v>-90.903258500000007</v>
      </c>
      <c r="AF4920">
        <v>-8.7792605668930594</v>
      </c>
      <c r="AG4920">
        <v>1.6776310000000001</v>
      </c>
      <c r="AH4920">
        <v>90.562410715903098</v>
      </c>
      <c r="AI4920">
        <v>88.943691572149106</v>
      </c>
      <c r="AJ4920">
        <v>95.537039911976805</v>
      </c>
      <c r="AK4920">
        <v>91.002418080782206</v>
      </c>
    </row>
    <row r="4921" spans="1:37" x14ac:dyDescent="0.2">
      <c r="A4921" t="str">
        <f>"20200111155653004"</f>
        <v>20200111155653004</v>
      </c>
      <c r="B4921" t="str">
        <f>"1578729412997538"</f>
        <v>1578729412997538</v>
      </c>
      <c r="C4921" t="s">
        <v>37</v>
      </c>
      <c r="D4921">
        <v>4.7021360000000003</v>
      </c>
      <c r="E4921">
        <v>0.48520479999999999</v>
      </c>
      <c r="F4921" t="s">
        <v>78</v>
      </c>
      <c r="G4921">
        <v>-417.07990000000001</v>
      </c>
      <c r="H4921">
        <v>2.6922359999999999</v>
      </c>
      <c r="I4921">
        <v>0.50709340000000003</v>
      </c>
      <c r="J4921">
        <v>-421.39089999999999</v>
      </c>
      <c r="K4921">
        <v>1.103151</v>
      </c>
      <c r="L4921">
        <v>91.650540000000007</v>
      </c>
      <c r="M4921">
        <v>-4.832148E-2</v>
      </c>
      <c r="N4921">
        <v>0</v>
      </c>
      <c r="O4921">
        <v>-0.9987338</v>
      </c>
      <c r="P4921">
        <v>5.1641730000000002E-3</v>
      </c>
      <c r="Q4921">
        <v>2.469153E-2</v>
      </c>
      <c r="R4921">
        <v>-0.99968189999999901</v>
      </c>
      <c r="S4921">
        <v>0.1411743</v>
      </c>
      <c r="T4921">
        <v>5.217016E-2</v>
      </c>
      <c r="U4921">
        <v>-2.9986269999999999</v>
      </c>
      <c r="V4921">
        <v>-5.3295090000000003E-2</v>
      </c>
      <c r="W4921">
        <v>3.8895159999999998E-2</v>
      </c>
      <c r="X4921">
        <v>0.99782099999999996</v>
      </c>
      <c r="Y4921">
        <v>-9.5238310000000007E-2</v>
      </c>
      <c r="Z4921">
        <v>-1.7315770000000001E-2</v>
      </c>
      <c r="AA4921">
        <v>0.99530390000000002</v>
      </c>
      <c r="AB4921">
        <v>26</v>
      </c>
      <c r="AC4921">
        <v>4.3109999999999697</v>
      </c>
      <c r="AD4921">
        <v>1.5890850000000001</v>
      </c>
      <c r="AE4921">
        <v>-91.143446600000004</v>
      </c>
      <c r="AF4921">
        <v>-8.7079394671013102</v>
      </c>
      <c r="AG4921">
        <v>1.5890850000000001</v>
      </c>
      <c r="AH4921">
        <v>90.8010808516879</v>
      </c>
      <c r="AI4921">
        <v>89.001962574657895</v>
      </c>
      <c r="AJ4921">
        <v>95.477985546797598</v>
      </c>
      <c r="AK4921">
        <v>91.231516948556205</v>
      </c>
    </row>
    <row r="4922" spans="1:37" x14ac:dyDescent="0.2">
      <c r="A4922" t="str">
        <f>"20200111155653312"</f>
        <v>20200111155653312</v>
      </c>
      <c r="B4922" t="str">
        <f>"1578729413307628"</f>
        <v>1578729413307628</v>
      </c>
      <c r="C4922" t="s">
        <v>37</v>
      </c>
      <c r="D4922">
        <v>4.8010039999999998</v>
      </c>
      <c r="E4922">
        <v>0.48695490000000002</v>
      </c>
      <c r="F4922" t="s">
        <v>78</v>
      </c>
      <c r="G4922">
        <v>-417.3091</v>
      </c>
      <c r="H4922">
        <v>2.5319989999999999</v>
      </c>
      <c r="I4922">
        <v>0.50475879999999995</v>
      </c>
      <c r="J4922">
        <v>-421.64179999999999</v>
      </c>
      <c r="K4922">
        <v>1.1043049999999901</v>
      </c>
      <c r="L4922">
        <v>88.113069999999993</v>
      </c>
      <c r="M4922">
        <v>-7.4210890000000002E-2</v>
      </c>
      <c r="N4922">
        <v>0</v>
      </c>
      <c r="O4922">
        <v>-0.99714530000000001</v>
      </c>
      <c r="P4922">
        <v>-1.6784380000000002E-2</v>
      </c>
      <c r="Q4922">
        <v>2.9061960000000001E-2</v>
      </c>
      <c r="R4922">
        <v>-0.99943660000000001</v>
      </c>
      <c r="S4922">
        <v>0.13430790000000001</v>
      </c>
      <c r="T4922">
        <v>4.701495E-2</v>
      </c>
      <c r="U4922">
        <v>-2.9991150000000002</v>
      </c>
      <c r="V4922">
        <v>-5.7363850000000001E-2</v>
      </c>
      <c r="W4922">
        <v>4.3058260000000001E-2</v>
      </c>
      <c r="X4922">
        <v>0.99742439999999999</v>
      </c>
      <c r="Y4922">
        <v>-0.1187526</v>
      </c>
      <c r="Z4922">
        <v>-1.5546229999999999E-2</v>
      </c>
      <c r="AA4922">
        <v>0.99280210000000002</v>
      </c>
      <c r="AB4922">
        <v>25</v>
      </c>
      <c r="AC4922">
        <v>4.3326999999999796</v>
      </c>
      <c r="AD4922">
        <v>1.427694</v>
      </c>
      <c r="AE4922">
        <v>-87.608311199999903</v>
      </c>
      <c r="AF4922">
        <v>-10.8200055643516</v>
      </c>
      <c r="AG4922">
        <v>1.427694</v>
      </c>
      <c r="AH4922">
        <v>87.022071678904496</v>
      </c>
      <c r="AI4922">
        <v>89.0672641428784</v>
      </c>
      <c r="AJ4922">
        <v>97.087573165241693</v>
      </c>
      <c r="AK4922">
        <v>87.703772951103005</v>
      </c>
    </row>
    <row r="4923" spans="1:37" x14ac:dyDescent="0.2">
      <c r="A4923" t="str">
        <f>"20200111155653333"</f>
        <v>20200111155653333</v>
      </c>
      <c r="B4923" t="str">
        <f>"1578729413328123"</f>
        <v>1578729413328123</v>
      </c>
      <c r="C4923" t="s">
        <v>37</v>
      </c>
      <c r="D4923">
        <v>4.8334739999999998</v>
      </c>
      <c r="E4923">
        <v>0.4896237</v>
      </c>
      <c r="F4923" t="s">
        <v>78</v>
      </c>
      <c r="G4923">
        <v>-420.0283</v>
      </c>
      <c r="H4923">
        <v>2.0865640000000001</v>
      </c>
      <c r="I4923">
        <v>0.47710609999999998</v>
      </c>
      <c r="J4923">
        <v>-421.66120000000001</v>
      </c>
      <c r="K4923">
        <v>1.1044419999999999</v>
      </c>
      <c r="L4923">
        <v>87.866550000000004</v>
      </c>
      <c r="M4923">
        <v>-7.4987899999999996E-2</v>
      </c>
      <c r="N4923">
        <v>0</v>
      </c>
      <c r="O4923">
        <v>-0.99708730000000001</v>
      </c>
      <c r="P4923">
        <v>-1.6864830000000001E-2</v>
      </c>
      <c r="Q4923">
        <v>2.9518349999999999E-2</v>
      </c>
      <c r="R4923">
        <v>-0.99942180000000003</v>
      </c>
      <c r="S4923">
        <v>5.5267330000000003E-2</v>
      </c>
      <c r="T4923">
        <v>3.3643010000000001E-2</v>
      </c>
      <c r="U4923">
        <v>-3.0016479999999999</v>
      </c>
      <c r="V4923">
        <v>-5.8072829999999999E-2</v>
      </c>
      <c r="W4923">
        <v>4.3491299999999997E-2</v>
      </c>
      <c r="X4923">
        <v>0.99736460000000005</v>
      </c>
      <c r="Y4923">
        <v>-9.3338679999999993E-2</v>
      </c>
      <c r="Z4923">
        <v>-1.1134720000000001E-2</v>
      </c>
      <c r="AA4923">
        <v>0.99557209999999996</v>
      </c>
      <c r="AB4923">
        <v>25</v>
      </c>
      <c r="AC4923">
        <v>1.6329</v>
      </c>
      <c r="AD4923">
        <v>0.98212200000000005</v>
      </c>
      <c r="AE4923">
        <v>-87.389443900000003</v>
      </c>
      <c r="AF4923">
        <v>-8.1810544035824009</v>
      </c>
      <c r="AG4923">
        <v>0.98212200000000005</v>
      </c>
      <c r="AH4923">
        <v>87.009900898996904</v>
      </c>
      <c r="AI4923">
        <v>89.356142375475599</v>
      </c>
      <c r="AJ4923">
        <v>95.371410071764799</v>
      </c>
      <c r="AK4923">
        <v>87.399182314427406</v>
      </c>
    </row>
    <row r="4924" spans="1:37" x14ac:dyDescent="0.2">
      <c r="A4924" t="str">
        <f>"20200111155653356"</f>
        <v>20200111155653356</v>
      </c>
      <c r="B4924" t="str">
        <f>"1578729413348245"</f>
        <v>1578729413348245</v>
      </c>
      <c r="C4924" t="s">
        <v>37</v>
      </c>
      <c r="D4924">
        <v>4.9180699999999904</v>
      </c>
      <c r="E4924">
        <v>0.49202699999999999</v>
      </c>
      <c r="F4924" t="s">
        <v>78</v>
      </c>
      <c r="G4924">
        <v>-420.67399999999998</v>
      </c>
      <c r="H4924">
        <v>1.8060830000000001</v>
      </c>
      <c r="I4924">
        <v>0.47053719999999999</v>
      </c>
      <c r="J4924">
        <v>-421.68079999999998</v>
      </c>
      <c r="K4924">
        <v>1.1045940000000001</v>
      </c>
      <c r="L4924">
        <v>87.617549999999994</v>
      </c>
      <c r="M4924">
        <v>-7.5560039999999995E-2</v>
      </c>
      <c r="N4924">
        <v>0</v>
      </c>
      <c r="O4924">
        <v>-0.99704429999999999</v>
      </c>
      <c r="P4924">
        <v>-1.6326810000000001E-2</v>
      </c>
      <c r="Q4924">
        <v>2.947017E-2</v>
      </c>
      <c r="R4924">
        <v>-0.99943289999999996</v>
      </c>
      <c r="S4924">
        <v>3.3905030000000003E-2</v>
      </c>
      <c r="T4924">
        <v>2.4096969999999999E-2</v>
      </c>
      <c r="U4924">
        <v>-3.001617</v>
      </c>
      <c r="V4924">
        <v>-5.9198679999999997E-2</v>
      </c>
      <c r="W4924">
        <v>4.3417459999999998E-2</v>
      </c>
      <c r="X4924">
        <v>0.99730160000000001</v>
      </c>
      <c r="Y4924">
        <v>-8.6824739999999997E-2</v>
      </c>
      <c r="Z4924">
        <v>-7.9778890000000002E-3</v>
      </c>
      <c r="AA4924">
        <v>0.99619169999999901</v>
      </c>
      <c r="AB4924">
        <v>25</v>
      </c>
      <c r="AC4924">
        <v>1.00679999999994</v>
      </c>
      <c r="AD4924">
        <v>0.70148900000000003</v>
      </c>
      <c r="AE4924">
        <v>-87.147012799999999</v>
      </c>
      <c r="AF4924">
        <v>-7.5888980403436603</v>
      </c>
      <c r="AG4924">
        <v>0.70148900000000003</v>
      </c>
      <c r="AH4924">
        <v>86.816127734048393</v>
      </c>
      <c r="AI4924">
        <v>89.538809059505098</v>
      </c>
      <c r="AJ4924">
        <v>94.995723812972699</v>
      </c>
      <c r="AK4924">
        <v>87.150005708654206</v>
      </c>
    </row>
    <row r="4925" spans="1:37" x14ac:dyDescent="0.2">
      <c r="A4925" t="str">
        <f>"20200111155653379"</f>
        <v>20200111155653379</v>
      </c>
      <c r="B4925" t="str">
        <f>"1578729413367766"</f>
        <v>1578729413367766</v>
      </c>
      <c r="C4925" t="s">
        <v>37</v>
      </c>
      <c r="D4925">
        <v>4.734629</v>
      </c>
      <c r="E4925">
        <v>0.49410169999999998</v>
      </c>
      <c r="F4925" t="s">
        <v>78</v>
      </c>
      <c r="G4925">
        <v>-421.1952</v>
      </c>
      <c r="H4925">
        <v>1.5116940000000001</v>
      </c>
      <c r="I4925">
        <v>0.4652348</v>
      </c>
      <c r="J4925">
        <v>-421.7011</v>
      </c>
      <c r="K4925">
        <v>1.1047709999999999</v>
      </c>
      <c r="L4925">
        <v>87.356960000000001</v>
      </c>
      <c r="M4925">
        <v>-7.5926430000000003E-2</v>
      </c>
      <c r="N4925">
        <v>0</v>
      </c>
      <c r="O4925">
        <v>-0.99701649999999997</v>
      </c>
      <c r="P4925">
        <v>-1.601313E-2</v>
      </c>
      <c r="Q4925">
        <v>2.9001570000000001E-2</v>
      </c>
      <c r="R4925">
        <v>-0.99945149999999905</v>
      </c>
      <c r="S4925">
        <v>1.672363E-2</v>
      </c>
      <c r="T4925">
        <v>1.401997E-2</v>
      </c>
      <c r="U4925">
        <v>-3.0015869999999998</v>
      </c>
      <c r="V4925">
        <v>-5.9898069999999998E-2</v>
      </c>
      <c r="W4925">
        <v>4.2918669999999999E-2</v>
      </c>
      <c r="X4925">
        <v>0.99728139999999998</v>
      </c>
      <c r="Y4925">
        <v>-8.1487950000000003E-2</v>
      </c>
      <c r="Z4925">
        <v>-4.6427680000000002E-3</v>
      </c>
      <c r="AA4925">
        <v>0.99666350000000004</v>
      </c>
      <c r="AB4925">
        <v>25</v>
      </c>
      <c r="AC4925">
        <v>0.50589999999999602</v>
      </c>
      <c r="AD4925">
        <v>0.40692299999999998</v>
      </c>
      <c r="AE4925">
        <v>-86.891725199999996</v>
      </c>
      <c r="AF4925">
        <v>-7.1022997798777201</v>
      </c>
      <c r="AG4925">
        <v>0.40692299999999998</v>
      </c>
      <c r="AH4925">
        <v>86.600542833848095</v>
      </c>
      <c r="AI4925">
        <v>89.731678521280401</v>
      </c>
      <c r="AJ4925">
        <v>94.688459359226599</v>
      </c>
      <c r="AK4925">
        <v>86.892245152305406</v>
      </c>
    </row>
    <row r="4926" spans="1:37" x14ac:dyDescent="0.2">
      <c r="A4926" t="str">
        <f>"20200111155653400"</f>
        <v>20200111155653400</v>
      </c>
      <c r="B4926" t="str">
        <f>"1578729413398021"</f>
        <v>1578729413398021</v>
      </c>
      <c r="C4926" t="s">
        <v>37</v>
      </c>
      <c r="D4926">
        <v>4.81027</v>
      </c>
      <c r="E4926">
        <v>0.49694460000000001</v>
      </c>
      <c r="F4926" t="s">
        <v>78</v>
      </c>
      <c r="G4926">
        <v>-421.65600000000001</v>
      </c>
      <c r="H4926">
        <v>1.2105170000000001</v>
      </c>
      <c r="I4926">
        <v>0.46054650000000003</v>
      </c>
      <c r="J4926">
        <v>-421.72030000000001</v>
      </c>
      <c r="K4926">
        <v>1.104938</v>
      </c>
      <c r="L4926">
        <v>87.109009999999998</v>
      </c>
      <c r="M4926">
        <v>-7.6032150000000007E-2</v>
      </c>
      <c r="N4926">
        <v>0</v>
      </c>
      <c r="O4926">
        <v>-0.99700869999999997</v>
      </c>
      <c r="P4926">
        <v>-1.525702E-2</v>
      </c>
      <c r="Q4926">
        <v>2.951585E-2</v>
      </c>
      <c r="R4926">
        <v>-0.99944820000000001</v>
      </c>
      <c r="S4926">
        <v>1.556396E-3</v>
      </c>
      <c r="T4926">
        <v>3.651619E-3</v>
      </c>
      <c r="U4926">
        <v>-3.0015869999999998</v>
      </c>
      <c r="V4926">
        <v>-6.0775089999999997E-2</v>
      </c>
      <c r="W4926">
        <v>4.3404119999999997E-2</v>
      </c>
      <c r="X4926">
        <v>0.99720730000000002</v>
      </c>
      <c r="Y4926">
        <v>-7.65565E-2</v>
      </c>
      <c r="Z4926">
        <v>-1.2094930000000001E-3</v>
      </c>
      <c r="AA4926">
        <v>0.99706450000000002</v>
      </c>
      <c r="AB4926">
        <v>25</v>
      </c>
      <c r="AC4926">
        <v>6.4300000000002897E-2</v>
      </c>
      <c r="AD4926">
        <v>0.10557900000000001</v>
      </c>
      <c r="AE4926">
        <v>-86.648463499999906</v>
      </c>
      <c r="AF4926">
        <v>-6.6528079999779504</v>
      </c>
      <c r="AG4926">
        <v>0.10557900000000001</v>
      </c>
      <c r="AH4926">
        <v>86.3925819345354</v>
      </c>
      <c r="AI4926">
        <v>89.930186466294799</v>
      </c>
      <c r="AJ4926">
        <v>94.403468627904005</v>
      </c>
      <c r="AK4926">
        <v>86.648423035420706</v>
      </c>
    </row>
    <row r="4927" spans="1:37" x14ac:dyDescent="0.2">
      <c r="A4927" t="str">
        <f>"20200111155653423"</f>
        <v>20200111155653423</v>
      </c>
      <c r="B4927" t="str">
        <f>"1578729413417541"</f>
        <v>1578729413417541</v>
      </c>
      <c r="C4927" t="s">
        <v>37</v>
      </c>
      <c r="D4927">
        <v>4.6797610000000001</v>
      </c>
      <c r="E4927">
        <v>0.498571599999999</v>
      </c>
      <c r="F4927" t="s">
        <v>78</v>
      </c>
      <c r="G4927">
        <v>-422.26119999999997</v>
      </c>
      <c r="H4927">
        <v>0.90017709999999995</v>
      </c>
      <c r="I4927">
        <v>0.4543915</v>
      </c>
      <c r="J4927">
        <v>-421.73950000000002</v>
      </c>
      <c r="K4927">
        <v>1.105086</v>
      </c>
      <c r="L4927">
        <v>86.857640000000004</v>
      </c>
      <c r="M4927">
        <v>-7.5950080000000003E-2</v>
      </c>
      <c r="N4927">
        <v>0</v>
      </c>
      <c r="O4927">
        <v>-0.99701489999999904</v>
      </c>
      <c r="P4927">
        <v>-1.470744E-2</v>
      </c>
      <c r="Q4927">
        <v>3.0684980000000001E-2</v>
      </c>
      <c r="R4927">
        <v>-0.99942109999999995</v>
      </c>
      <c r="S4927">
        <v>-1.8737790000000001E-2</v>
      </c>
      <c r="T4927">
        <v>-7.093668E-3</v>
      </c>
      <c r="U4927">
        <v>-3.0015869999999998</v>
      </c>
      <c r="V4927">
        <v>-6.1254650000000001E-2</v>
      </c>
      <c r="W4927">
        <v>4.4540749999999997E-2</v>
      </c>
      <c r="X4927">
        <v>0.99712789999999996</v>
      </c>
      <c r="Y4927">
        <v>-6.9731479999999998E-2</v>
      </c>
      <c r="Z4927">
        <v>2.35016E-3</v>
      </c>
      <c r="AA4927">
        <v>0.99756299999999898</v>
      </c>
      <c r="AB4927">
        <v>25</v>
      </c>
      <c r="AC4927">
        <v>-0.52169999999995198</v>
      </c>
      <c r="AD4927">
        <v>-0.20490889999999901</v>
      </c>
      <c r="AE4927">
        <v>-86.403248500000004</v>
      </c>
      <c r="AF4927">
        <v>-6.0427397547709196</v>
      </c>
      <c r="AG4927">
        <v>-0.20490889999999901</v>
      </c>
      <c r="AH4927">
        <v>86.192777214176601</v>
      </c>
      <c r="AI4927">
        <v>90.1358773584506</v>
      </c>
      <c r="AJ4927">
        <v>94.010288680678599</v>
      </c>
      <c r="AK4927">
        <v>86.404580522642803</v>
      </c>
    </row>
    <row r="4928" spans="1:37" x14ac:dyDescent="0.2">
      <c r="A4928" t="str">
        <f>"20200111155653445"</f>
        <v>20200111155653445</v>
      </c>
      <c r="B4928" t="str">
        <f>"1578729413438038"</f>
        <v>1578729413438038</v>
      </c>
      <c r="C4928" t="s">
        <v>37</v>
      </c>
      <c r="D4928">
        <v>4.6460119999999998</v>
      </c>
      <c r="E4928">
        <v>0.50011019999999995</v>
      </c>
      <c r="F4928" t="s">
        <v>78</v>
      </c>
      <c r="G4928">
        <v>-422.59859999999998</v>
      </c>
      <c r="H4928">
        <v>0.810056</v>
      </c>
      <c r="I4928">
        <v>0.45096019999999998</v>
      </c>
      <c r="J4928">
        <v>-421.75869999999998</v>
      </c>
      <c r="K4928">
        <v>1.105202</v>
      </c>
      <c r="L4928">
        <v>86.60275</v>
      </c>
      <c r="M4928">
        <v>-7.5659770000000001E-2</v>
      </c>
      <c r="N4928">
        <v>0</v>
      </c>
      <c r="O4928">
        <v>-0.99703779999999997</v>
      </c>
      <c r="P4928">
        <v>-1.421792E-2</v>
      </c>
      <c r="Q4928">
        <v>3.056625E-2</v>
      </c>
      <c r="R4928">
        <v>-0.99943199999999999</v>
      </c>
      <c r="S4928">
        <v>-2.9846190000000002E-2</v>
      </c>
      <c r="T4928">
        <v>-1.0249609999999999E-2</v>
      </c>
      <c r="U4928">
        <v>-3.001617</v>
      </c>
      <c r="V4928">
        <v>-6.1467720000000003E-2</v>
      </c>
      <c r="W4928">
        <v>4.434544E-2</v>
      </c>
      <c r="X4928">
        <v>0.99712350000000005</v>
      </c>
      <c r="Y4928">
        <v>-6.574895E-2</v>
      </c>
      <c r="Z4928">
        <v>3.396217E-3</v>
      </c>
      <c r="AA4928">
        <v>0.99783040000000001</v>
      </c>
      <c r="AB4928">
        <v>25</v>
      </c>
      <c r="AC4928">
        <v>-0.83989999999999998</v>
      </c>
      <c r="AD4928">
        <v>-0.29514600000000002</v>
      </c>
      <c r="AE4928">
        <v>-86.151789799999904</v>
      </c>
      <c r="AF4928">
        <v>-5.6812891134046604</v>
      </c>
      <c r="AG4928">
        <v>-0.29514600000000002</v>
      </c>
      <c r="AH4928">
        <v>85.967348758162203</v>
      </c>
      <c r="AI4928">
        <v>90.196280877070606</v>
      </c>
      <c r="AJ4928">
        <v>93.780984802080098</v>
      </c>
      <c r="AK4928">
        <v>86.155378297927001</v>
      </c>
    </row>
    <row r="4929" spans="1:37" x14ac:dyDescent="0.2">
      <c r="A4929" t="str">
        <f>"20200111155653468"</f>
        <v>20200111155653468</v>
      </c>
      <c r="B4929" t="str">
        <f>"1578729413457558"</f>
        <v>1578729413457558</v>
      </c>
      <c r="C4929" t="s">
        <v>37</v>
      </c>
      <c r="D4929">
        <v>4.6481789999999998</v>
      </c>
      <c r="E4929">
        <v>0.50153689999999995</v>
      </c>
      <c r="F4929" t="s">
        <v>78</v>
      </c>
      <c r="G4929">
        <v>-422.92020000000002</v>
      </c>
      <c r="H4929">
        <v>0.61992939999999996</v>
      </c>
      <c r="I4929">
        <v>0.4476929</v>
      </c>
      <c r="J4929">
        <v>-421.77710000000002</v>
      </c>
      <c r="K4929">
        <v>1.1052919999999999</v>
      </c>
      <c r="L4929">
        <v>86.355219999999903</v>
      </c>
      <c r="M4929">
        <v>-7.5168410000000005E-2</v>
      </c>
      <c r="N4929">
        <v>0</v>
      </c>
      <c r="O4929">
        <v>-0.99707699999999999</v>
      </c>
      <c r="P4929">
        <v>-1.2777149999999999E-2</v>
      </c>
      <c r="Q4929">
        <v>2.968465E-2</v>
      </c>
      <c r="R4929">
        <v>-0.99947830000000004</v>
      </c>
      <c r="S4929">
        <v>-4.0466309999999998E-2</v>
      </c>
      <c r="T4929">
        <v>-1.6907809999999999E-2</v>
      </c>
      <c r="U4929">
        <v>-3.0016479999999999</v>
      </c>
      <c r="V4929">
        <v>-6.2429079999999998E-2</v>
      </c>
      <c r="W4929">
        <v>4.3305030000000001E-2</v>
      </c>
      <c r="X4929">
        <v>0.99710949999999998</v>
      </c>
      <c r="Y4929">
        <v>-6.1726830000000003E-2</v>
      </c>
      <c r="Z4929">
        <v>5.6032249999999999E-3</v>
      </c>
      <c r="AA4929">
        <v>0.99807729999999995</v>
      </c>
      <c r="AB4929">
        <v>25</v>
      </c>
      <c r="AC4929">
        <v>-1.1431</v>
      </c>
      <c r="AD4929">
        <v>-0.48536259999999998</v>
      </c>
      <c r="AE4929">
        <v>-85.907527099999896</v>
      </c>
      <c r="AF4929">
        <v>-5.3181014974593497</v>
      </c>
      <c r="AG4929">
        <v>-0.48536259999999998</v>
      </c>
      <c r="AH4929">
        <v>85.747632943173699</v>
      </c>
      <c r="AI4929">
        <v>90.3236894311882</v>
      </c>
      <c r="AJ4929">
        <v>93.548960762856694</v>
      </c>
      <c r="AK4929">
        <v>85.913761038310994</v>
      </c>
    </row>
    <row r="4930" spans="1:37" x14ac:dyDescent="0.2">
      <c r="A4930" t="str">
        <f>"20200111155653490"</f>
        <v>20200111155653490</v>
      </c>
      <c r="B4930" t="str">
        <f>"1578729413478054"</f>
        <v>1578729413478054</v>
      </c>
      <c r="C4930" t="s">
        <v>37</v>
      </c>
      <c r="D4930">
        <v>4.5736179999999997</v>
      </c>
      <c r="E4930">
        <v>0.50281739999999997</v>
      </c>
      <c r="F4930" t="s">
        <v>78</v>
      </c>
      <c r="G4930">
        <v>-423.1431</v>
      </c>
      <c r="H4930">
        <v>0.37804989999999999</v>
      </c>
      <c r="I4930">
        <v>0.44542309999999902</v>
      </c>
      <c r="J4930">
        <v>-421.7955</v>
      </c>
      <c r="K4930">
        <v>1.1053839999999999</v>
      </c>
      <c r="L4930">
        <v>86.102630000000005</v>
      </c>
      <c r="M4930">
        <v>-7.4461540000000007E-2</v>
      </c>
      <c r="N4930">
        <v>0</v>
      </c>
      <c r="O4930">
        <v>-0.99713280000000004</v>
      </c>
      <c r="P4930">
        <v>-1.096951E-2</v>
      </c>
      <c r="Q4930">
        <v>2.7947659999999999E-2</v>
      </c>
      <c r="R4930">
        <v>-0.99954929999999997</v>
      </c>
      <c r="S4930">
        <v>-4.7729489999999999E-2</v>
      </c>
      <c r="T4930">
        <v>-2.5411130000000001E-2</v>
      </c>
      <c r="U4930">
        <v>-3.001709</v>
      </c>
      <c r="V4930">
        <v>-6.3542660000000001E-2</v>
      </c>
      <c r="W4930">
        <v>4.1327450000000002E-2</v>
      </c>
      <c r="X4930">
        <v>0.99712309999999904</v>
      </c>
      <c r="Y4930">
        <v>-5.8604839999999998E-2</v>
      </c>
      <c r="Z4930">
        <v>8.4221939999999992E-3</v>
      </c>
      <c r="AA4930">
        <v>0.99824570000000001</v>
      </c>
      <c r="AB4930">
        <v>25</v>
      </c>
      <c r="AC4930">
        <v>-1.3475999999999999</v>
      </c>
      <c r="AD4930">
        <v>-0.72733409999999898</v>
      </c>
      <c r="AE4930">
        <v>-85.657206900000006</v>
      </c>
      <c r="AF4930">
        <v>-5.03452580832277</v>
      </c>
      <c r="AG4930">
        <v>-0.72733409999999898</v>
      </c>
      <c r="AH4930">
        <v>85.513558890719594</v>
      </c>
      <c r="AI4930">
        <v>90.4864741871299</v>
      </c>
      <c r="AJ4930">
        <v>93.3693427970627</v>
      </c>
      <c r="AK4930">
        <v>85.664719804387701</v>
      </c>
    </row>
    <row r="4931" spans="1:37" x14ac:dyDescent="0.2">
      <c r="A4931" t="str">
        <f>"20200111155653513"</f>
        <v>20200111155653513</v>
      </c>
      <c r="B4931" t="str">
        <f>"1578729413508310"</f>
        <v>1578729413508310</v>
      </c>
      <c r="C4931" t="s">
        <v>37</v>
      </c>
      <c r="D4931">
        <v>4.5855449999999998</v>
      </c>
      <c r="E4931">
        <v>0.50452229999999998</v>
      </c>
      <c r="F4931" t="s">
        <v>39</v>
      </c>
      <c r="G4931">
        <v>-423.47739999999999</v>
      </c>
      <c r="H4931">
        <v>-0.05</v>
      </c>
      <c r="I4931">
        <v>-9.8030240000000006</v>
      </c>
      <c r="J4931">
        <v>-421.81349999999998</v>
      </c>
      <c r="K4931">
        <v>1.105483</v>
      </c>
      <c r="L4931">
        <v>85.849239999999995</v>
      </c>
      <c r="M4931">
        <v>-7.3548470000000005E-2</v>
      </c>
      <c r="N4931">
        <v>0</v>
      </c>
      <c r="O4931">
        <v>-0.99720409999999904</v>
      </c>
      <c r="P4931">
        <v>-8.6098879999999996E-3</v>
      </c>
      <c r="Q4931">
        <v>2.7486799999999999E-2</v>
      </c>
      <c r="R4931">
        <v>-0.99958519999999895</v>
      </c>
      <c r="S4931">
        <v>-5.264282E-2</v>
      </c>
      <c r="T4931">
        <v>-3.6162970000000003E-2</v>
      </c>
      <c r="U4931">
        <v>-3.0018009999999999</v>
      </c>
      <c r="V4931">
        <v>-6.4999539999999995E-2</v>
      </c>
      <c r="W4931">
        <v>4.0572289999999997E-2</v>
      </c>
      <c r="X4931">
        <v>0.99706019999999895</v>
      </c>
      <c r="Y4931">
        <v>-5.6057940000000001E-2</v>
      </c>
      <c r="Z4931">
        <v>1.198689E-2</v>
      </c>
      <c r="AA4931">
        <v>0.99835560000000001</v>
      </c>
      <c r="AB4931">
        <v>25</v>
      </c>
      <c r="AC4931">
        <v>-1.6639000000000099</v>
      </c>
      <c r="AD4931">
        <v>-1.155483</v>
      </c>
      <c r="AE4931">
        <v>-95.652264000000002</v>
      </c>
      <c r="AF4931">
        <v>-5.3755149562401998</v>
      </c>
      <c r="AG4931">
        <v>-1.155483</v>
      </c>
      <c r="AH4931">
        <v>95.501614189366094</v>
      </c>
      <c r="AI4931">
        <v>90.692097800261607</v>
      </c>
      <c r="AJ4931">
        <v>93.221617478446305</v>
      </c>
      <c r="AK4931">
        <v>95.659759642090805</v>
      </c>
    </row>
    <row r="4932" spans="1:37" x14ac:dyDescent="0.2">
      <c r="A4932" t="str">
        <f>"20200111155653534"</f>
        <v>20200111155653534</v>
      </c>
      <c r="B4932" t="str">
        <f>"1578729413527829"</f>
        <v>1578729413527829</v>
      </c>
      <c r="C4932" t="s">
        <v>37</v>
      </c>
      <c r="D4932">
        <v>4.5407630000000001</v>
      </c>
      <c r="E4932">
        <v>0.50564770000000003</v>
      </c>
      <c r="F4932" t="s">
        <v>75</v>
      </c>
      <c r="G4932">
        <v>-423.27080000000001</v>
      </c>
      <c r="H4932" s="1">
        <v>-9.1798809999999997E-6</v>
      </c>
      <c r="I4932">
        <v>11.1106</v>
      </c>
      <c r="J4932">
        <v>-421.83109999999999</v>
      </c>
      <c r="K4932">
        <v>1.105577</v>
      </c>
      <c r="L4932">
        <v>85.594999999999999</v>
      </c>
      <c r="M4932">
        <v>-7.24268E-2</v>
      </c>
      <c r="N4932">
        <v>0</v>
      </c>
      <c r="O4932">
        <v>-0.99729029999999996</v>
      </c>
      <c r="P4932">
        <v>-7.148611E-3</v>
      </c>
      <c r="Q4932">
        <v>2.793209E-2</v>
      </c>
      <c r="R4932">
        <v>-0.99958440000000004</v>
      </c>
      <c r="S4932">
        <v>-5.8532710000000002E-2</v>
      </c>
      <c r="T4932">
        <v>-4.4403199999999997E-2</v>
      </c>
      <c r="U4932">
        <v>-3.0019529999999999</v>
      </c>
      <c r="V4932">
        <v>-6.535009E-2</v>
      </c>
      <c r="W4932">
        <v>4.0691890000000001E-2</v>
      </c>
      <c r="X4932">
        <v>0.99703229999999998</v>
      </c>
      <c r="Y4932">
        <v>-5.2977879999999998E-2</v>
      </c>
      <c r="Z4932">
        <v>1.471978E-2</v>
      </c>
      <c r="AA4932">
        <v>0.99848719999999902</v>
      </c>
      <c r="AB4932">
        <v>25</v>
      </c>
      <c r="AC4932">
        <v>-1.43970000000001</v>
      </c>
      <c r="AD4932">
        <v>-1.1055861798810001</v>
      </c>
      <c r="AE4932">
        <v>-74.484399999999994</v>
      </c>
      <c r="AF4932">
        <v>-3.9583255740814698</v>
      </c>
      <c r="AG4932">
        <v>-1.1055861798810001</v>
      </c>
      <c r="AH4932">
        <v>74.376652276536305</v>
      </c>
      <c r="AI4932">
        <v>90.8504181912961</v>
      </c>
      <c r="AJ4932">
        <v>93.046407479672297</v>
      </c>
      <c r="AK4932">
        <v>74.490113881080703</v>
      </c>
    </row>
    <row r="4933" spans="1:37" x14ac:dyDescent="0.2">
      <c r="A4933" t="str">
        <f>"20200111155653557"</f>
        <v>20200111155653557</v>
      </c>
      <c r="B4933" t="str">
        <f>"1578729413548325"</f>
        <v>1578729413548325</v>
      </c>
      <c r="C4933" t="s">
        <v>37</v>
      </c>
      <c r="D4933">
        <v>4.570881</v>
      </c>
      <c r="E4933">
        <v>0.50665740000000004</v>
      </c>
      <c r="F4933" t="s">
        <v>75</v>
      </c>
      <c r="G4933">
        <v>-423.31110000000001</v>
      </c>
      <c r="H4933" s="1">
        <v>-9.6402889999999997E-6</v>
      </c>
      <c r="I4933">
        <v>15.8665</v>
      </c>
      <c r="J4933">
        <v>-421.84739999999999</v>
      </c>
      <c r="K4933">
        <v>1.105672</v>
      </c>
      <c r="L4933">
        <v>85.352230000000006</v>
      </c>
      <c r="M4933">
        <v>-7.1160479999999998E-2</v>
      </c>
      <c r="N4933">
        <v>0</v>
      </c>
      <c r="O4933">
        <v>-0.99738539999999998</v>
      </c>
      <c r="P4933">
        <v>-5.9158479999999996E-3</v>
      </c>
      <c r="Q4933">
        <v>2.8373700000000002E-2</v>
      </c>
      <c r="R4933">
        <v>-0.99958029999999998</v>
      </c>
      <c r="S4933">
        <v>-6.3720700000000005E-2</v>
      </c>
      <c r="T4933">
        <v>-4.7600150000000001E-2</v>
      </c>
      <c r="U4933">
        <v>-3.0021059999999999</v>
      </c>
      <c r="V4933">
        <v>-6.5326969999999998E-2</v>
      </c>
      <c r="W4933">
        <v>4.0800990000000002E-2</v>
      </c>
      <c r="X4933">
        <v>0.99702939999999995</v>
      </c>
      <c r="Y4933">
        <v>-4.9985990000000001E-2</v>
      </c>
      <c r="Z4933">
        <v>1.5781630000000001E-2</v>
      </c>
      <c r="AA4933">
        <v>0.99862519999999999</v>
      </c>
      <c r="AB4933">
        <v>25</v>
      </c>
      <c r="AC4933">
        <v>-1.46370000000001</v>
      </c>
      <c r="AD4933">
        <v>-1.105681640289</v>
      </c>
      <c r="AE4933">
        <v>-69.485730000000004</v>
      </c>
      <c r="AF4933">
        <v>-3.4841593689502099</v>
      </c>
      <c r="AG4933">
        <v>-1.105681640289</v>
      </c>
      <c r="AH4933">
        <v>69.396149669536598</v>
      </c>
      <c r="AI4933">
        <v>90.911662357074604</v>
      </c>
      <c r="AJ4933">
        <v>92.874224950516407</v>
      </c>
      <c r="AK4933">
        <v>69.492355603725599</v>
      </c>
    </row>
    <row r="4934" spans="1:37" x14ac:dyDescent="0.2">
      <c r="A4934" t="str">
        <f>"20200111155653579"</f>
        <v>20200111155653579</v>
      </c>
      <c r="B4934" t="str">
        <f>"1578729413567846"</f>
        <v>1578729413567846</v>
      </c>
      <c r="C4934" t="s">
        <v>37</v>
      </c>
      <c r="D4934">
        <v>4.539536</v>
      </c>
      <c r="E4934">
        <v>0.50762609999999997</v>
      </c>
      <c r="F4934" t="s">
        <v>75</v>
      </c>
      <c r="G4934">
        <v>-423.32369999999997</v>
      </c>
      <c r="H4934" s="1">
        <v>-9.9805399999999998E-6</v>
      </c>
      <c r="I4934">
        <v>19.873419999999999</v>
      </c>
      <c r="J4934">
        <v>-421.86430000000001</v>
      </c>
      <c r="K4934">
        <v>1.10575</v>
      </c>
      <c r="L4934">
        <v>85.093959999999996</v>
      </c>
      <c r="M4934">
        <v>-6.9612789999999994E-2</v>
      </c>
      <c r="N4934">
        <v>0</v>
      </c>
      <c r="O4934">
        <v>-0.99749929999999998</v>
      </c>
      <c r="P4934">
        <v>-5.0230250000000004E-3</v>
      </c>
      <c r="Q4934">
        <v>2.8973280000000001E-2</v>
      </c>
      <c r="R4934">
        <v>-0.99956789999999995</v>
      </c>
      <c r="S4934">
        <v>-6.7687990000000003E-2</v>
      </c>
      <c r="T4934">
        <v>-5.0696970000000001E-2</v>
      </c>
      <c r="U4934">
        <v>-3.00228899999999</v>
      </c>
      <c r="V4934">
        <v>-6.4682160000000002E-2</v>
      </c>
      <c r="W4934">
        <v>4.1022049999999997E-2</v>
      </c>
      <c r="X4934">
        <v>0.99706240000000002</v>
      </c>
      <c r="Y4934">
        <v>-4.7118439999999998E-2</v>
      </c>
      <c r="Z4934">
        <v>1.6810760000000001E-2</v>
      </c>
      <c r="AA4934">
        <v>0.99874779999999996</v>
      </c>
      <c r="AB4934">
        <v>25</v>
      </c>
      <c r="AC4934">
        <v>-1.4593999999999501</v>
      </c>
      <c r="AD4934">
        <v>-1.10575998053999</v>
      </c>
      <c r="AE4934">
        <v>-65.22054</v>
      </c>
      <c r="AF4934">
        <v>-3.08377744084728</v>
      </c>
      <c r="AG4934">
        <v>-1.10575998053999</v>
      </c>
      <c r="AH4934">
        <v>65.145181296268007</v>
      </c>
      <c r="AI4934">
        <v>90.971345105929402</v>
      </c>
      <c r="AJ4934">
        <v>92.710187196053099</v>
      </c>
      <c r="AK4934">
        <v>65.227502133401302</v>
      </c>
    </row>
    <row r="4935" spans="1:37" x14ac:dyDescent="0.2">
      <c r="A4935" t="str">
        <f>"20200111155653602"</f>
        <v>20200111155653602</v>
      </c>
      <c r="B4935" t="str">
        <f>"1578729413598103"</f>
        <v>1578729413598103</v>
      </c>
      <c r="C4935" t="s">
        <v>37</v>
      </c>
      <c r="D4935">
        <v>4.5565739999999897</v>
      </c>
      <c r="E4935">
        <v>0.50901249999999998</v>
      </c>
      <c r="F4935" t="s">
        <v>75</v>
      </c>
      <c r="G4935">
        <v>-423.3802</v>
      </c>
      <c r="H4935" s="1">
        <v>-8.8464149999999999E-6</v>
      </c>
      <c r="I4935">
        <v>22.479420000000001</v>
      </c>
      <c r="J4935">
        <v>-421.88049999999998</v>
      </c>
      <c r="K4935">
        <v>1.105799</v>
      </c>
      <c r="L4935">
        <v>84.834810000000004</v>
      </c>
      <c r="M4935">
        <v>-6.7871230000000005E-2</v>
      </c>
      <c r="N4935">
        <v>0</v>
      </c>
      <c r="O4935">
        <v>-0.99762390000000001</v>
      </c>
      <c r="P4935">
        <v>-5.3551959999999996E-3</v>
      </c>
      <c r="Q4935">
        <v>2.9210409999999999E-2</v>
      </c>
      <c r="R4935">
        <v>-0.99955930000000004</v>
      </c>
      <c r="S4935">
        <v>-7.2692870000000007E-2</v>
      </c>
      <c r="T4935">
        <v>-5.3022979999999997E-2</v>
      </c>
      <c r="U4935">
        <v>-3.002472</v>
      </c>
      <c r="V4935">
        <v>-6.2619049999999996E-2</v>
      </c>
      <c r="W4935">
        <v>4.0862929999999999E-2</v>
      </c>
      <c r="X4935">
        <v>0.99720059999999999</v>
      </c>
      <c r="Y4935">
        <v>-4.3711750000000001E-2</v>
      </c>
      <c r="Z4935">
        <v>1.7584949999999998E-2</v>
      </c>
      <c r="AA4935">
        <v>0.99888940000000004</v>
      </c>
      <c r="AB4935">
        <v>25</v>
      </c>
      <c r="AC4935">
        <v>-1.49970000000001</v>
      </c>
      <c r="AD4935">
        <v>-1.1058078464150001</v>
      </c>
      <c r="AE4935">
        <v>-62.35539</v>
      </c>
      <c r="AF4935">
        <v>-2.73533231630286</v>
      </c>
      <c r="AG4935">
        <v>-1.1058078464150001</v>
      </c>
      <c r="AH4935">
        <v>62.293797843946997</v>
      </c>
      <c r="AI4935">
        <v>91.015999951814507</v>
      </c>
      <c r="AJ4935">
        <v>92.514253312045298</v>
      </c>
      <c r="AK4935">
        <v>62.363628051103198</v>
      </c>
    </row>
    <row r="4936" spans="1:37" x14ac:dyDescent="0.2">
      <c r="A4936" t="str">
        <f>"20200111155653624"</f>
        <v>20200111155653624</v>
      </c>
      <c r="B4936" t="str">
        <f>"1578729413617621"</f>
        <v>1578729413617621</v>
      </c>
      <c r="C4936" t="s">
        <v>37</v>
      </c>
      <c r="D4936">
        <v>4.6879239999999998</v>
      </c>
      <c r="E4936">
        <v>0.50973950000000001</v>
      </c>
      <c r="F4936" t="s">
        <v>75</v>
      </c>
      <c r="G4936">
        <v>-423.49250000000001</v>
      </c>
      <c r="H4936" s="1">
        <v>-6.8266379999999998E-6</v>
      </c>
      <c r="I4936">
        <v>27.413409999999999</v>
      </c>
      <c r="J4936">
        <v>-421.89569999999998</v>
      </c>
      <c r="K4936">
        <v>1.105836</v>
      </c>
      <c r="L4936">
        <v>84.584630000000004</v>
      </c>
      <c r="M4936">
        <v>-6.607333E-2</v>
      </c>
      <c r="N4936">
        <v>0</v>
      </c>
      <c r="O4936">
        <v>-0.99774859999999899</v>
      </c>
      <c r="P4936">
        <v>-5.5982879999999999E-3</v>
      </c>
      <c r="Q4936">
        <v>2.9087109999999999E-2</v>
      </c>
      <c r="R4936">
        <v>-0.99956129999999999</v>
      </c>
      <c r="S4936">
        <v>-8.4289550000000005E-2</v>
      </c>
      <c r="T4936">
        <v>-5.782259E-2</v>
      </c>
      <c r="U4936">
        <v>-3.0025629999999999</v>
      </c>
      <c r="V4936">
        <v>-6.0585470000000002E-2</v>
      </c>
      <c r="W4936">
        <v>4.0366470000000002E-2</v>
      </c>
      <c r="X4936">
        <v>0.99734650000000002</v>
      </c>
      <c r="Y4936">
        <v>-3.8056689999999997E-2</v>
      </c>
      <c r="Z4936">
        <v>1.9180320000000001E-2</v>
      </c>
      <c r="AA4936">
        <v>0.99909150000000002</v>
      </c>
      <c r="AB4936">
        <v>26</v>
      </c>
      <c r="AC4936">
        <v>-1.59680000000003</v>
      </c>
      <c r="AD4936">
        <v>-1.105842826638</v>
      </c>
      <c r="AE4936">
        <v>-57.171219999999998</v>
      </c>
      <c r="AF4936">
        <v>-2.18361581192638</v>
      </c>
      <c r="AG4936">
        <v>-1.105842826638</v>
      </c>
      <c r="AH4936">
        <v>57.130426067322801</v>
      </c>
      <c r="AI4936">
        <v>91.108096099863801</v>
      </c>
      <c r="AJ4936">
        <v>92.1888703990507</v>
      </c>
      <c r="AK4936">
        <v>57.182835265533697</v>
      </c>
    </row>
    <row r="4937" spans="1:37" x14ac:dyDescent="0.2">
      <c r="A4937" t="str">
        <f>"20200111155653645"</f>
        <v>20200111155653645</v>
      </c>
      <c r="B4937" t="str">
        <f>"1578729413638118"</f>
        <v>1578729413638118</v>
      </c>
      <c r="C4937" t="s">
        <v>37</v>
      </c>
      <c r="D4937">
        <v>4.4532059999999998</v>
      </c>
      <c r="E4937">
        <v>0.51059129999999997</v>
      </c>
      <c r="F4937" t="s">
        <v>75</v>
      </c>
      <c r="G4937">
        <v>-423.54910000000001</v>
      </c>
      <c r="H4937" s="1">
        <v>-5.7775040000000003E-6</v>
      </c>
      <c r="I4937">
        <v>29.920859999999902</v>
      </c>
      <c r="J4937">
        <v>-421.9101</v>
      </c>
      <c r="K4937">
        <v>1.1058509999999999</v>
      </c>
      <c r="L4937">
        <v>84.336119999999994</v>
      </c>
      <c r="M4937">
        <v>-6.4198199999999997E-2</v>
      </c>
      <c r="N4937">
        <v>0</v>
      </c>
      <c r="O4937">
        <v>-0.99787519999999996</v>
      </c>
      <c r="P4937">
        <v>-5.8038369999999897E-3</v>
      </c>
      <c r="Q4937">
        <v>2.9320579999999999E-2</v>
      </c>
      <c r="R4937">
        <v>-0.99955319999999903</v>
      </c>
      <c r="S4937">
        <v>-9.0820310000000001E-2</v>
      </c>
      <c r="T4937">
        <v>-6.074214E-2</v>
      </c>
      <c r="U4937">
        <v>-3.00259399999999</v>
      </c>
      <c r="V4937">
        <v>-5.8510260000000001E-2</v>
      </c>
      <c r="W4937">
        <v>4.0234499999999999E-2</v>
      </c>
      <c r="X4937">
        <v>0.99747569999999997</v>
      </c>
      <c r="Y4937">
        <v>-3.4007889999999999E-2</v>
      </c>
      <c r="Z4937">
        <v>2.0152730000000001E-2</v>
      </c>
      <c r="AA4937">
        <v>0.9992183</v>
      </c>
      <c r="AB4937">
        <v>26</v>
      </c>
      <c r="AC4937">
        <v>-1.63900000000001</v>
      </c>
      <c r="AD4937">
        <v>-1.105856777504</v>
      </c>
      <c r="AE4937">
        <v>-54.415259999999897</v>
      </c>
      <c r="AF4937">
        <v>-1.8571928515516101</v>
      </c>
      <c r="AG4937">
        <v>-1.105856777504</v>
      </c>
      <c r="AH4937">
        <v>54.385782619799301</v>
      </c>
      <c r="AI4937">
        <v>91.164188455945293</v>
      </c>
      <c r="AJ4937">
        <v>91.955804879858206</v>
      </c>
      <c r="AK4937">
        <v>54.428718850146304</v>
      </c>
    </row>
    <row r="4938" spans="1:37" x14ac:dyDescent="0.2">
      <c r="A4938" t="str">
        <f>"20200111155653668"</f>
        <v>20200111155653668</v>
      </c>
      <c r="B4938" t="str">
        <f>"1578729413657642"</f>
        <v>1578729413657642</v>
      </c>
      <c r="C4938" t="s">
        <v>37</v>
      </c>
      <c r="D4938">
        <v>4.475746</v>
      </c>
      <c r="E4938">
        <v>0.51135589999999997</v>
      </c>
      <c r="F4938" t="s">
        <v>75</v>
      </c>
      <c r="G4938">
        <v>-423.64440000000002</v>
      </c>
      <c r="H4938" s="1">
        <v>-5.007833E-6</v>
      </c>
      <c r="I4938">
        <v>31.442259999999902</v>
      </c>
      <c r="J4938">
        <v>-421.92469999999997</v>
      </c>
      <c r="K4938">
        <v>1.10585</v>
      </c>
      <c r="L4938">
        <v>84.076930000000004</v>
      </c>
      <c r="M4938">
        <v>-6.2171820000000003E-2</v>
      </c>
      <c r="N4938">
        <v>0</v>
      </c>
      <c r="O4938">
        <v>-0.99800769999999905</v>
      </c>
      <c r="P4938">
        <v>-4.4817329999999999E-3</v>
      </c>
      <c r="Q4938">
        <v>2.919561E-2</v>
      </c>
      <c r="R4938">
        <v>-0.9995638</v>
      </c>
      <c r="S4938">
        <v>-9.8449709999999996E-2</v>
      </c>
      <c r="T4938">
        <v>-6.2776090000000007E-2</v>
      </c>
      <c r="U4938">
        <v>-3.0026250000000001</v>
      </c>
      <c r="V4938">
        <v>-5.7807030000000002E-2</v>
      </c>
      <c r="W4938">
        <v>3.9716590000000003E-2</v>
      </c>
      <c r="X4938">
        <v>0.99753740000000002</v>
      </c>
      <c r="Y4938">
        <v>-2.944227E-2</v>
      </c>
      <c r="Z4938">
        <v>2.083175E-2</v>
      </c>
      <c r="AA4938">
        <v>0.99934940000000005</v>
      </c>
      <c r="AB4938">
        <v>26</v>
      </c>
      <c r="AC4938">
        <v>-1.71970000000004</v>
      </c>
      <c r="AD4938">
        <v>-1.1058550078330001</v>
      </c>
      <c r="AE4938">
        <v>-52.63467</v>
      </c>
      <c r="AF4938">
        <v>-1.55552319413652</v>
      </c>
      <c r="AG4938">
        <v>-1.1058550078330001</v>
      </c>
      <c r="AH4938">
        <v>52.616556214532999</v>
      </c>
      <c r="AI4938">
        <v>91.203496470762005</v>
      </c>
      <c r="AJ4938">
        <v>91.693363631425299</v>
      </c>
      <c r="AK4938">
        <v>52.651159109586203</v>
      </c>
    </row>
    <row r="4939" spans="1:37" x14ac:dyDescent="0.2">
      <c r="A4939" t="str">
        <f>"20200111155653691"</f>
        <v>20200111155653691</v>
      </c>
      <c r="B4939" t="str">
        <f>"1578729413687898"</f>
        <v>1578729413687898</v>
      </c>
      <c r="C4939" t="s">
        <v>37</v>
      </c>
      <c r="D4939">
        <v>4.6193689999999998</v>
      </c>
      <c r="E4939">
        <v>0.51239219999999996</v>
      </c>
      <c r="F4939" t="s">
        <v>75</v>
      </c>
      <c r="G4939">
        <v>-423.6241</v>
      </c>
      <c r="H4939" s="1">
        <v>-4.16677399999999E-6</v>
      </c>
      <c r="I4939">
        <v>33.23442</v>
      </c>
      <c r="J4939">
        <v>-421.93869999999998</v>
      </c>
      <c r="K4939">
        <v>1.1058349999999999</v>
      </c>
      <c r="L4939">
        <v>83.815700000000007</v>
      </c>
      <c r="M4939">
        <v>-6.0087559999999998E-2</v>
      </c>
      <c r="N4939">
        <v>0</v>
      </c>
      <c r="O4939">
        <v>-0.99813960000000002</v>
      </c>
      <c r="P4939">
        <v>-1.5881809999999999E-3</v>
      </c>
      <c r="Q4939">
        <v>2.9541660000000001E-2</v>
      </c>
      <c r="R4939">
        <v>-0.99956230000000001</v>
      </c>
      <c r="S4939">
        <v>-0.1003723</v>
      </c>
      <c r="T4939">
        <v>-6.5312149999999999E-2</v>
      </c>
      <c r="U4939">
        <v>-3.002777</v>
      </c>
      <c r="V4939">
        <v>-5.8614359999999997E-2</v>
      </c>
      <c r="W4939">
        <v>3.9653220000000003E-2</v>
      </c>
      <c r="X4939">
        <v>0.99749279999999996</v>
      </c>
      <c r="Y4939">
        <v>-2.6717629999999999E-2</v>
      </c>
      <c r="Z4939">
        <v>2.1676589999999999E-2</v>
      </c>
      <c r="AA4939">
        <v>0.99940790000000002</v>
      </c>
      <c r="AB4939">
        <v>26</v>
      </c>
      <c r="AC4939">
        <v>-1.68540000000001</v>
      </c>
      <c r="AD4939">
        <v>-1.105839166774</v>
      </c>
      <c r="AE4939">
        <v>-50.58128</v>
      </c>
      <c r="AF4939">
        <v>-1.35646606664904</v>
      </c>
      <c r="AG4939">
        <v>-1.105839166774</v>
      </c>
      <c r="AH4939">
        <v>50.567009495706301</v>
      </c>
      <c r="AI4939">
        <v>91.252339159543595</v>
      </c>
      <c r="AJ4939">
        <v>91.536597624468797</v>
      </c>
      <c r="AK4939">
        <v>50.597285794710302</v>
      </c>
    </row>
    <row r="4940" spans="1:37" x14ac:dyDescent="0.2">
      <c r="A4940" t="str">
        <f>"20200111155653713"</f>
        <v>20200111155653713</v>
      </c>
      <c r="B4940" t="str">
        <f>"1578729413707417"</f>
        <v>1578729413707417</v>
      </c>
      <c r="C4940" t="s">
        <v>37</v>
      </c>
      <c r="D4940">
        <v>4.514983</v>
      </c>
      <c r="E4940">
        <v>0.51275300000000001</v>
      </c>
      <c r="F4940" t="s">
        <v>75</v>
      </c>
      <c r="G4940">
        <v>-423.58339999999998</v>
      </c>
      <c r="H4940" s="1">
        <v>-3.77316999999999E-6</v>
      </c>
      <c r="I4940">
        <v>34.351900000000001</v>
      </c>
      <c r="J4940">
        <v>-421.952</v>
      </c>
      <c r="K4940">
        <v>1.105812</v>
      </c>
      <c r="L4940">
        <v>83.559780000000003</v>
      </c>
      <c r="M4940">
        <v>-5.8029129999999998E-2</v>
      </c>
      <c r="N4940">
        <v>0</v>
      </c>
      <c r="O4940">
        <v>-0.99826539999999997</v>
      </c>
      <c r="P4940">
        <v>2.1868719999999999E-3</v>
      </c>
      <c r="Q4940">
        <v>3.0351739999999999E-2</v>
      </c>
      <c r="R4940">
        <v>-0.99953700000000001</v>
      </c>
      <c r="S4940">
        <v>-9.9853520000000001E-2</v>
      </c>
      <c r="T4940">
        <v>-6.7139859999999996E-2</v>
      </c>
      <c r="U4940">
        <v>-3.0031430000000001</v>
      </c>
      <c r="V4940">
        <v>-6.032655E-2</v>
      </c>
      <c r="W4940">
        <v>4.0059160000000003E-2</v>
      </c>
      <c r="X4940">
        <v>0.99737450000000005</v>
      </c>
      <c r="Y4940">
        <v>-2.483291E-2</v>
      </c>
      <c r="Z4940">
        <v>2.2284869999999998E-2</v>
      </c>
      <c r="AA4940">
        <v>0.99944319999999898</v>
      </c>
      <c r="AB4940">
        <v>26</v>
      </c>
      <c r="AC4940">
        <v>-1.63139999999998</v>
      </c>
      <c r="AD4940">
        <v>-1.10581577317</v>
      </c>
      <c r="AE4940">
        <v>-49.207880000000003</v>
      </c>
      <c r="AF4940">
        <v>-1.2263622733042301</v>
      </c>
      <c r="AG4940">
        <v>-1.10581577317</v>
      </c>
      <c r="AH4940">
        <v>49.194808139769002</v>
      </c>
      <c r="AI4940">
        <v>91.287295215452204</v>
      </c>
      <c r="AJ4940">
        <v>91.428013143295303</v>
      </c>
      <c r="AK4940">
        <v>49.222514572685697</v>
      </c>
    </row>
    <row r="4941" spans="1:37" x14ac:dyDescent="0.2">
      <c r="A4941" t="str">
        <f>"20200111155653734"</f>
        <v>20200111155653734</v>
      </c>
      <c r="B4941" t="str">
        <f>"1578729413727913"</f>
        <v>1578729413727913</v>
      </c>
      <c r="C4941" t="s">
        <v>37</v>
      </c>
      <c r="D4941">
        <v>4.4184729999999997</v>
      </c>
      <c r="E4941">
        <v>0.51313719999999996</v>
      </c>
      <c r="F4941" t="s">
        <v>75</v>
      </c>
      <c r="G4941">
        <v>-423.49720000000002</v>
      </c>
      <c r="H4941" s="1">
        <v>-4.3086039999999998E-6</v>
      </c>
      <c r="I4941">
        <v>32.797779999999896</v>
      </c>
      <c r="J4941">
        <v>-421.96449999999999</v>
      </c>
      <c r="K4941">
        <v>1.1057779999999999</v>
      </c>
      <c r="L4941">
        <v>83.307500000000005</v>
      </c>
      <c r="M4941">
        <v>-5.5998230000000003E-2</v>
      </c>
      <c r="N4941">
        <v>0</v>
      </c>
      <c r="O4941">
        <v>-0.99838539999999998</v>
      </c>
      <c r="P4941">
        <v>5.673783E-3</v>
      </c>
      <c r="Q4941">
        <v>3.0404259999999999E-2</v>
      </c>
      <c r="R4941">
        <v>-0.99952189999999996</v>
      </c>
      <c r="S4941">
        <v>-9.1430659999999997E-2</v>
      </c>
      <c r="T4941">
        <v>-6.5430760000000004E-2</v>
      </c>
      <c r="U4941">
        <v>-3.003571</v>
      </c>
      <c r="V4941">
        <v>-6.1777390000000001E-2</v>
      </c>
      <c r="W4941">
        <v>3.9717540000000003E-2</v>
      </c>
      <c r="X4941">
        <v>0.99729939999999995</v>
      </c>
      <c r="Y4941">
        <v>-2.5603210000000001E-2</v>
      </c>
      <c r="Z4941">
        <v>2.171932E-2</v>
      </c>
      <c r="AA4941">
        <v>0.999436199999999</v>
      </c>
      <c r="AB4941">
        <v>26</v>
      </c>
      <c r="AC4941">
        <v>-1.5327000000000299</v>
      </c>
      <c r="AD4941">
        <v>-1.105782308604</v>
      </c>
      <c r="AE4941">
        <v>-50.509720000000002</v>
      </c>
      <c r="AF4941">
        <v>-1.29766717937649</v>
      </c>
      <c r="AG4941">
        <v>-1.105782308604</v>
      </c>
      <c r="AH4941">
        <v>50.492111166194</v>
      </c>
      <c r="AI4941">
        <v>91.254168787793404</v>
      </c>
      <c r="AJ4941">
        <v>91.472200063025298</v>
      </c>
      <c r="AK4941">
        <v>50.520886617732103</v>
      </c>
    </row>
    <row r="4942" spans="1:37" x14ac:dyDescent="0.2">
      <c r="A4942" t="str">
        <f>"20200111155653752"</f>
        <v>20200111155653752</v>
      </c>
      <c r="B4942" t="str">
        <f>"1578729413747434"</f>
        <v>1578729413747434</v>
      </c>
      <c r="C4942" t="s">
        <v>37</v>
      </c>
      <c r="D4942">
        <v>4.5553970000000001</v>
      </c>
      <c r="E4942">
        <v>0.51346309999999995</v>
      </c>
      <c r="F4942" t="s">
        <v>75</v>
      </c>
      <c r="G4942">
        <v>-423.36810000000003</v>
      </c>
      <c r="H4942" s="1">
        <v>-4.1632399999999996E-6</v>
      </c>
      <c r="I4942">
        <v>33.141889999999997</v>
      </c>
      <c r="J4942">
        <v>-421.97359999999998</v>
      </c>
      <c r="K4942">
        <v>1.105748</v>
      </c>
      <c r="L4942">
        <v>83.116150000000005</v>
      </c>
      <c r="M4942">
        <v>-5.4462370000000003E-2</v>
      </c>
      <c r="N4942">
        <v>0</v>
      </c>
      <c r="O4942">
        <v>-0.99847299999999894</v>
      </c>
      <c r="P4942">
        <v>7.542361E-3</v>
      </c>
      <c r="Q4942">
        <v>3.0419649999999999E-2</v>
      </c>
      <c r="R4942">
        <v>-0.99950910000000004</v>
      </c>
      <c r="S4942">
        <v>-8.4045410000000001E-2</v>
      </c>
      <c r="T4942">
        <v>-6.6214679999999998E-2</v>
      </c>
      <c r="U4942">
        <v>-3.0039370000000001</v>
      </c>
      <c r="V4942">
        <v>-6.2107160000000002E-2</v>
      </c>
      <c r="W4942">
        <v>3.9437850000000003E-2</v>
      </c>
      <c r="X4942">
        <v>0.99729000000000001</v>
      </c>
      <c r="Y4942">
        <v>-2.6524200000000001E-2</v>
      </c>
      <c r="Z4942">
        <v>2.1980059999999999E-2</v>
      </c>
      <c r="AA4942">
        <v>0.99940649999999998</v>
      </c>
      <c r="AB4942">
        <v>26</v>
      </c>
      <c r="AC4942">
        <v>-1.39450000000005</v>
      </c>
      <c r="AD4942">
        <v>-1.10575216324</v>
      </c>
      <c r="AE4942">
        <v>-49.974260000000001</v>
      </c>
      <c r="AF4942">
        <v>-1.3287528621384599</v>
      </c>
      <c r="AG4942">
        <v>-1.10575216324</v>
      </c>
      <c r="AH4942">
        <v>49.951597834064998</v>
      </c>
      <c r="AI4942">
        <v>91.267671050572105</v>
      </c>
      <c r="AJ4942">
        <v>91.523754692067897</v>
      </c>
      <c r="AK4942">
        <v>49.981500559620201</v>
      </c>
    </row>
    <row r="4943" spans="1:37" x14ac:dyDescent="0.2">
      <c r="A4943" t="str">
        <f>"20200111155653769"</f>
        <v>20200111155653769</v>
      </c>
      <c r="B4943" t="str">
        <f>"1578729413758169"</f>
        <v>1578729413758169</v>
      </c>
      <c r="C4943" t="s">
        <v>37</v>
      </c>
      <c r="D4943">
        <v>4.3631690000000001</v>
      </c>
      <c r="E4943">
        <v>0.51366509999999999</v>
      </c>
      <c r="F4943" t="s">
        <v>75</v>
      </c>
      <c r="G4943">
        <v>-423.30439999999999</v>
      </c>
      <c r="H4943" s="1">
        <v>-4.1295089999999996E-6</v>
      </c>
      <c r="I4943">
        <v>33.213500000000003</v>
      </c>
      <c r="J4943">
        <v>-421.983</v>
      </c>
      <c r="K4943">
        <v>1.1057170000000001</v>
      </c>
      <c r="L4943">
        <v>82.913300000000007</v>
      </c>
      <c r="M4943">
        <v>-5.2838959999999997E-2</v>
      </c>
      <c r="N4943">
        <v>0</v>
      </c>
      <c r="O4943">
        <v>-0.99856329999999904</v>
      </c>
      <c r="P4943">
        <v>9.2941650000000001E-3</v>
      </c>
      <c r="Q4943">
        <v>2.9930749999999999E-2</v>
      </c>
      <c r="R4943">
        <v>-0.99950930000000004</v>
      </c>
      <c r="S4943">
        <v>-8.0108639999999995E-2</v>
      </c>
      <c r="T4943">
        <v>-6.6565159999999998E-2</v>
      </c>
      <c r="U4943">
        <v>-3.004089</v>
      </c>
      <c r="V4943">
        <v>-6.2231799999999997E-2</v>
      </c>
      <c r="W4943">
        <v>3.8634519999999999E-2</v>
      </c>
      <c r="X4943">
        <v>0.99731369999999897</v>
      </c>
      <c r="Y4943">
        <v>-2.6208990000000001E-2</v>
      </c>
      <c r="Z4943">
        <v>2.2098610000000001E-2</v>
      </c>
      <c r="AA4943">
        <v>0.99941219999999997</v>
      </c>
      <c r="AB4943">
        <v>26</v>
      </c>
      <c r="AC4943">
        <v>-1.3213999999999799</v>
      </c>
      <c r="AD4943">
        <v>-1.1057211295089999</v>
      </c>
      <c r="AE4943">
        <v>-49.699800000000003</v>
      </c>
      <c r="AF4943">
        <v>-1.30599008730768</v>
      </c>
      <c r="AG4943">
        <v>-1.1057211295089999</v>
      </c>
      <c r="AH4943">
        <v>49.6756195982843</v>
      </c>
      <c r="AI4943">
        <v>91.274686106177398</v>
      </c>
      <c r="AJ4943">
        <v>91.505979954591297</v>
      </c>
      <c r="AK4943">
        <v>49.705084365664597</v>
      </c>
    </row>
    <row r="4944" spans="1:37" x14ac:dyDescent="0.2">
      <c r="A4944" t="str">
        <f>"20200111155653785"</f>
        <v>20200111155653785</v>
      </c>
      <c r="B4944" t="str">
        <f>"1578729413777689"</f>
        <v>1578729413777689</v>
      </c>
      <c r="C4944" t="s">
        <v>37</v>
      </c>
      <c r="D4944">
        <v>4.5397550000000004</v>
      </c>
      <c r="E4944">
        <v>0.51400140000000005</v>
      </c>
      <c r="F4944" t="s">
        <v>75</v>
      </c>
      <c r="G4944">
        <v>-423.22149999999999</v>
      </c>
      <c r="H4944" s="1">
        <v>-3.6859440000000001E-6</v>
      </c>
      <c r="I4944">
        <v>34.458009999999902</v>
      </c>
      <c r="J4944">
        <v>-421.99149999999997</v>
      </c>
      <c r="K4944">
        <v>1.1056839999999999</v>
      </c>
      <c r="L4944">
        <v>82.724980000000002</v>
      </c>
      <c r="M4944">
        <v>-5.1337140000000003E-2</v>
      </c>
      <c r="N4944">
        <v>0</v>
      </c>
      <c r="O4944">
        <v>-0.99864390000000003</v>
      </c>
      <c r="P4944">
        <v>1.0562510000000001E-2</v>
      </c>
      <c r="Q4944">
        <v>2.995954E-2</v>
      </c>
      <c r="R4944">
        <v>-0.99949539999999903</v>
      </c>
      <c r="S4944">
        <v>-7.6782230000000007E-2</v>
      </c>
      <c r="T4944">
        <v>-6.8554999999999894E-2</v>
      </c>
      <c r="U4944">
        <v>-3.0042419999999899</v>
      </c>
      <c r="V4944">
        <v>-6.1996559999999999E-2</v>
      </c>
      <c r="W4944">
        <v>3.8370550000000003E-2</v>
      </c>
      <c r="X4944">
        <v>0.99733850000000002</v>
      </c>
      <c r="Y4944">
        <v>-2.5813030000000001E-2</v>
      </c>
      <c r="Z4944">
        <v>2.2760829999999999E-2</v>
      </c>
      <c r="AA4944">
        <v>0.99940759999999995</v>
      </c>
      <c r="AB4944">
        <v>26</v>
      </c>
      <c r="AC4944">
        <v>-1.23000000000001</v>
      </c>
      <c r="AD4944">
        <v>-1.1056876859439999</v>
      </c>
      <c r="AE4944">
        <v>-48.266970000000001</v>
      </c>
      <c r="AF4944">
        <v>-1.24894799331671</v>
      </c>
      <c r="AG4944">
        <v>-1.1056876859439999</v>
      </c>
      <c r="AH4944">
        <v>48.241167620892597</v>
      </c>
      <c r="AI4944">
        <v>91.312549872797703</v>
      </c>
      <c r="AJ4944">
        <v>91.483037634269607</v>
      </c>
      <c r="AK4944">
        <v>48.269997615246602</v>
      </c>
    </row>
    <row r="4945" spans="1:37" x14ac:dyDescent="0.2">
      <c r="A4945" t="str">
        <f>"20200111155653801"</f>
        <v>20200111155653801</v>
      </c>
      <c r="B4945" t="str">
        <f>"1578729413798186"</f>
        <v>1578729413798186</v>
      </c>
      <c r="C4945" t="s">
        <v>37</v>
      </c>
      <c r="D4945">
        <v>4.3579629999999998</v>
      </c>
      <c r="E4945">
        <v>0.51429150000000001</v>
      </c>
      <c r="F4945" t="s">
        <v>75</v>
      </c>
      <c r="G4945">
        <v>-423.1979</v>
      </c>
      <c r="H4945" s="1">
        <v>-3.6256789999999999E-6</v>
      </c>
      <c r="I4945">
        <v>34.619509999999998</v>
      </c>
      <c r="J4945">
        <v>-421.99959999999999</v>
      </c>
      <c r="K4945">
        <v>1.10565</v>
      </c>
      <c r="L4945">
        <v>82.538300000000007</v>
      </c>
      <c r="M4945">
        <v>-4.9854089999999997E-2</v>
      </c>
      <c r="N4945">
        <v>0</v>
      </c>
      <c r="O4945">
        <v>-0.99872159999999999</v>
      </c>
      <c r="P4945">
        <v>1.158824E-2</v>
      </c>
      <c r="Q4945">
        <v>3.0206779999999999E-2</v>
      </c>
      <c r="R4945">
        <v>-0.99947659999999905</v>
      </c>
      <c r="S4945">
        <v>-7.5347899999999995E-2</v>
      </c>
      <c r="T4945">
        <v>-6.9054959999999999E-2</v>
      </c>
      <c r="U4945">
        <v>-3.0043950000000001</v>
      </c>
      <c r="V4945">
        <v>-6.1538679999999998E-2</v>
      </c>
      <c r="W4945">
        <v>3.8328139999999997E-2</v>
      </c>
      <c r="X4945">
        <v>0.99736849999999999</v>
      </c>
      <c r="Y4945">
        <v>-2.480659E-2</v>
      </c>
      <c r="Z4945">
        <v>2.29285999999999E-2</v>
      </c>
      <c r="AA4945">
        <v>0.99942929999999996</v>
      </c>
      <c r="AB4945">
        <v>26</v>
      </c>
      <c r="AC4945">
        <v>-1.1983000000000099</v>
      </c>
      <c r="AD4945">
        <v>-1.1056536256789999</v>
      </c>
      <c r="AE4945">
        <v>-47.918790000000001</v>
      </c>
      <c r="AF4945">
        <v>-1.19158715912778</v>
      </c>
      <c r="AG4945">
        <v>-1.1056536256789999</v>
      </c>
      <c r="AH4945">
        <v>47.893459762162898</v>
      </c>
      <c r="AI4945">
        <v>91.322068792426805</v>
      </c>
      <c r="AJ4945">
        <v>91.425222430223798</v>
      </c>
      <c r="AK4945">
        <v>47.921037529332501</v>
      </c>
    </row>
    <row r="4946" spans="1:37" x14ac:dyDescent="0.2">
      <c r="A4946" t="str">
        <f>"20200111155653813"</f>
        <v>20200111155653813</v>
      </c>
      <c r="B4946" t="str">
        <f>"1578729413807945"</f>
        <v>1578729413807945</v>
      </c>
      <c r="C4946" t="s">
        <v>37</v>
      </c>
      <c r="D4946">
        <v>4.3753199999999897</v>
      </c>
      <c r="E4946">
        <v>0.51448519999999998</v>
      </c>
      <c r="F4946" t="s">
        <v>75</v>
      </c>
      <c r="G4946">
        <v>-423.19420000000002</v>
      </c>
      <c r="H4946" s="1">
        <v>-3.7041539999999899E-6</v>
      </c>
      <c r="I4946">
        <v>34.394629999999999</v>
      </c>
      <c r="J4946">
        <v>-422.00630000000001</v>
      </c>
      <c r="K4946">
        <v>1.1056219999999899</v>
      </c>
      <c r="L4946">
        <v>82.378479999999996</v>
      </c>
      <c r="M4946">
        <v>-4.8589769999999997E-2</v>
      </c>
      <c r="N4946">
        <v>0</v>
      </c>
      <c r="O4946">
        <v>-0.99878619999999996</v>
      </c>
      <c r="P4946">
        <v>1.227897E-2</v>
      </c>
      <c r="Q4946">
        <v>3.053871E-2</v>
      </c>
      <c r="R4946">
        <v>-0.99945869999999903</v>
      </c>
      <c r="S4946">
        <v>-7.455444E-2</v>
      </c>
      <c r="T4946">
        <v>-6.9001560000000003E-2</v>
      </c>
      <c r="U4946">
        <v>-3.0045470000000001</v>
      </c>
      <c r="V4946">
        <v>-6.0964919999999999E-2</v>
      </c>
      <c r="W4946">
        <v>3.841344E-2</v>
      </c>
      <c r="X4946">
        <v>0.99740049999999902</v>
      </c>
      <c r="Y4946">
        <v>-2.3805989999999999E-2</v>
      </c>
      <c r="Z4946">
        <v>2.2912209999999999E-2</v>
      </c>
      <c r="AA4946">
        <v>0.99945399999999995</v>
      </c>
      <c r="AB4946">
        <v>26</v>
      </c>
      <c r="AC4946">
        <v>-1.1879000000000099</v>
      </c>
      <c r="AD4946">
        <v>-1.1056257041540001</v>
      </c>
      <c r="AE4946">
        <v>-47.983849999999997</v>
      </c>
      <c r="AF4946">
        <v>-1.14449615733905</v>
      </c>
      <c r="AG4946">
        <v>-1.1056257041540001</v>
      </c>
      <c r="AH4946">
        <v>47.959443531010201</v>
      </c>
      <c r="AI4946">
        <v>91.320249837617098</v>
      </c>
      <c r="AJ4946">
        <v>91.367037459321693</v>
      </c>
      <c r="AK4946">
        <v>47.9858364880306</v>
      </c>
    </row>
    <row r="4947" spans="1:37" x14ac:dyDescent="0.2">
      <c r="A4947" t="str">
        <f>"20200111155653836"</f>
        <v>20200111155653836</v>
      </c>
      <c r="B4947" t="str">
        <f>"1578729413827466"</f>
        <v>1578729413827466</v>
      </c>
      <c r="C4947" t="s">
        <v>37</v>
      </c>
      <c r="D4947">
        <v>4.3991959999999999</v>
      </c>
      <c r="E4947">
        <v>0.51472050000000003</v>
      </c>
      <c r="F4947" t="s">
        <v>75</v>
      </c>
      <c r="G4947">
        <v>-423.20350000000002</v>
      </c>
      <c r="H4947" s="1">
        <v>-3.9210240000000001E-6</v>
      </c>
      <c r="I4947">
        <v>33.773609999999998</v>
      </c>
      <c r="J4947">
        <v>-422.01650000000001</v>
      </c>
      <c r="K4947">
        <v>1.1055779999999999</v>
      </c>
      <c r="L4947">
        <v>82.12518</v>
      </c>
      <c r="M4947">
        <v>-4.6592250000000002E-2</v>
      </c>
      <c r="N4947">
        <v>0</v>
      </c>
      <c r="O4947">
        <v>-0.99888429999999995</v>
      </c>
      <c r="P4947">
        <v>1.3376849999999999E-2</v>
      </c>
      <c r="Q4947">
        <v>3.1099990000000001E-2</v>
      </c>
      <c r="R4947">
        <v>-0.99942679999999995</v>
      </c>
      <c r="S4947">
        <v>-7.4005130000000002E-2</v>
      </c>
      <c r="T4947">
        <v>-6.8346500000000004E-2</v>
      </c>
      <c r="U4947">
        <v>-3.0046080000000002</v>
      </c>
      <c r="V4947">
        <v>-6.0066090000000003E-2</v>
      </c>
      <c r="W4947">
        <v>3.8587360000000001E-2</v>
      </c>
      <c r="X4947">
        <v>0.99744829999999995</v>
      </c>
      <c r="Y4947">
        <v>-2.1989519999999999E-2</v>
      </c>
      <c r="Z4947">
        <v>2.2698119999999999E-2</v>
      </c>
      <c r="AA4947">
        <v>0.99950049999999901</v>
      </c>
      <c r="AB4947">
        <v>26</v>
      </c>
      <c r="AC4947">
        <v>-1.18700000000001</v>
      </c>
      <c r="AD4947">
        <v>-1.1055819210240001</v>
      </c>
      <c r="AE4947">
        <v>-48.351570000000002</v>
      </c>
      <c r="AF4947">
        <v>-1.06660710587434</v>
      </c>
      <c r="AG4947">
        <v>-1.1055819210240001</v>
      </c>
      <c r="AH4947">
        <v>48.329110602965997</v>
      </c>
      <c r="AI4947">
        <v>91.310156916506898</v>
      </c>
      <c r="AJ4947">
        <v>91.264293212682404</v>
      </c>
      <c r="AK4947">
        <v>48.3535199729669</v>
      </c>
    </row>
    <row r="4948" spans="1:37" x14ac:dyDescent="0.2">
      <c r="A4948" t="str">
        <f>"20200111155653881"</f>
        <v>20200111155653881</v>
      </c>
      <c r="B4948" t="str">
        <f>"1578729413877750"</f>
        <v>1578729413877750</v>
      </c>
      <c r="C4948" t="s">
        <v>37</v>
      </c>
      <c r="D4948">
        <v>4.4741939999999998</v>
      </c>
      <c r="E4948">
        <v>0.46662939999999897</v>
      </c>
      <c r="F4948" t="s">
        <v>75</v>
      </c>
      <c r="G4948">
        <v>-423.2122</v>
      </c>
      <c r="H4948" s="1">
        <v>-4.3402210000000003E-6</v>
      </c>
      <c r="I4948">
        <v>32.703270000000003</v>
      </c>
      <c r="J4948">
        <v>-422.0369</v>
      </c>
      <c r="K4948">
        <v>1.1054809999999999</v>
      </c>
      <c r="L4948">
        <v>81.581819999999993</v>
      </c>
      <c r="M4948">
        <v>-4.2327980000000001E-2</v>
      </c>
      <c r="N4948">
        <v>0</v>
      </c>
      <c r="O4948">
        <v>-0.99908050000000004</v>
      </c>
      <c r="P4948">
        <v>1.6310209999999999E-2</v>
      </c>
      <c r="Q4948">
        <v>2.9792119999999998E-2</v>
      </c>
      <c r="R4948">
        <v>-0.99942350000000002</v>
      </c>
      <c r="S4948">
        <v>-7.2692870000000007E-2</v>
      </c>
      <c r="T4948">
        <v>-6.7217349999999995E-2</v>
      </c>
      <c r="U4948">
        <v>-3.0047609999999998</v>
      </c>
      <c r="V4948">
        <v>-5.8730499999999998E-2</v>
      </c>
      <c r="W4948">
        <v>3.6423079999999997E-2</v>
      </c>
      <c r="X4948">
        <v>0.99760919999999897</v>
      </c>
      <c r="Y4948">
        <v>-1.8158810000000001E-2</v>
      </c>
      <c r="Z4948">
        <v>2.2329519999999999E-2</v>
      </c>
      <c r="AA4948">
        <v>0.99958570000000002</v>
      </c>
      <c r="AB4948">
        <v>27</v>
      </c>
      <c r="AC4948">
        <v>-1.17529999999999</v>
      </c>
      <c r="AD4948">
        <v>-1.1054853402210001</v>
      </c>
      <c r="AE4948">
        <v>-48.878549999999898</v>
      </c>
      <c r="AF4948">
        <v>-0.894274594330699</v>
      </c>
      <c r="AG4948">
        <v>-1.1054853402210001</v>
      </c>
      <c r="AH4948">
        <v>48.859512180521797</v>
      </c>
      <c r="AI4948">
        <v>91.295924480534794</v>
      </c>
      <c r="AJ4948">
        <v>91.048566333688498</v>
      </c>
      <c r="AK4948">
        <v>48.880197988613602</v>
      </c>
    </row>
    <row r="4949" spans="1:37" x14ac:dyDescent="0.2">
      <c r="A4949" t="str">
        <f>"20200111155653897"</f>
        <v>20200111155653897</v>
      </c>
      <c r="B4949" t="str">
        <f>"1578729413887510"</f>
        <v>1578729413887510</v>
      </c>
      <c r="C4949" t="s">
        <v>37</v>
      </c>
      <c r="D4949">
        <v>4.4640399999999998</v>
      </c>
      <c r="E4949">
        <v>0.46539239999999998</v>
      </c>
      <c r="F4949" t="s">
        <v>78</v>
      </c>
      <c r="G4949">
        <v>-413.42619999999999</v>
      </c>
      <c r="H4949">
        <v>0.40644170000000002</v>
      </c>
      <c r="I4949">
        <v>0.54424479999999997</v>
      </c>
      <c r="J4949">
        <v>-422.0437</v>
      </c>
      <c r="K4949">
        <v>1.105451</v>
      </c>
      <c r="L4949">
        <v>81.384460000000004</v>
      </c>
      <c r="M4949">
        <v>-4.0785729999999999E-2</v>
      </c>
      <c r="N4949">
        <v>0</v>
      </c>
      <c r="O4949">
        <v>-0.99914650000000005</v>
      </c>
      <c r="P4949">
        <v>1.7394299999999901E-2</v>
      </c>
      <c r="Q4949">
        <v>2.926457E-2</v>
      </c>
      <c r="R4949">
        <v>-0.99942050000000004</v>
      </c>
      <c r="S4949">
        <v>0.31848140000000003</v>
      </c>
      <c r="T4949">
        <v>-2.585602E-2</v>
      </c>
      <c r="U4949">
        <v>-2.9973139999999998</v>
      </c>
      <c r="V4949">
        <v>-5.8270349999999999E-2</v>
      </c>
      <c r="W4949">
        <v>3.5588199999999903E-2</v>
      </c>
      <c r="X4949">
        <v>0.99766630000000001</v>
      </c>
      <c r="Y4949">
        <v>-0.14612729999999999</v>
      </c>
      <c r="Z4949">
        <v>8.5449529999999992E-3</v>
      </c>
      <c r="AA4949">
        <v>0.98922889999999997</v>
      </c>
      <c r="AB4949">
        <v>27</v>
      </c>
      <c r="AC4949">
        <v>8.6174999999999997</v>
      </c>
      <c r="AD4949">
        <v>-0.69900929999999994</v>
      </c>
      <c r="AE4949">
        <v>-80.840215200000003</v>
      </c>
      <c r="AF4949">
        <v>-11.9066467285889</v>
      </c>
      <c r="AG4949">
        <v>-0.69900929999999994</v>
      </c>
      <c r="AH4949">
        <v>80.415523027986893</v>
      </c>
      <c r="AI4949">
        <v>90.492658424938796</v>
      </c>
      <c r="AJ4949">
        <v>98.422253076897107</v>
      </c>
      <c r="AK4949">
        <v>81.295222456092702</v>
      </c>
    </row>
    <row r="4950" spans="1:37" x14ac:dyDescent="0.2">
      <c r="A4950" t="str">
        <f>"20200111155653914"</f>
        <v>20200111155653914</v>
      </c>
      <c r="B4950" t="str">
        <f>"1578729413908006"</f>
        <v>1578729413908006</v>
      </c>
      <c r="C4950" t="s">
        <v>37</v>
      </c>
      <c r="D4950">
        <v>4.4822489999999897</v>
      </c>
      <c r="E4950">
        <v>0.4653217</v>
      </c>
      <c r="F4950" t="s">
        <v>78</v>
      </c>
      <c r="G4950">
        <v>-413.09660000000002</v>
      </c>
      <c r="H4950">
        <v>0.27946339999999997</v>
      </c>
      <c r="I4950">
        <v>0.54759599999999997</v>
      </c>
      <c r="J4950">
        <v>-422.0505</v>
      </c>
      <c r="K4950">
        <v>1.105418</v>
      </c>
      <c r="L4950">
        <v>81.178069999999906</v>
      </c>
      <c r="M4950">
        <v>-3.9181199999999902E-2</v>
      </c>
      <c r="N4950">
        <v>0</v>
      </c>
      <c r="O4950">
        <v>-0.99921289999999996</v>
      </c>
      <c r="P4950">
        <v>1.8240059999999999E-2</v>
      </c>
      <c r="Q4950">
        <v>2.8603420000000001E-2</v>
      </c>
      <c r="R4950">
        <v>-0.99942450000000005</v>
      </c>
      <c r="S4950">
        <v>0.33169559999999998</v>
      </c>
      <c r="T4950">
        <v>-3.0622719999999999E-2</v>
      </c>
      <c r="U4950">
        <v>-2.9968569999999999</v>
      </c>
      <c r="V4950">
        <v>-5.7510180000000001E-2</v>
      </c>
      <c r="W4950">
        <v>3.461653E-2</v>
      </c>
      <c r="X4950">
        <v>0.99774459999999998</v>
      </c>
      <c r="Y4950">
        <v>-0.14886340000000001</v>
      </c>
      <c r="Z4950">
        <v>1.0118149999999999E-2</v>
      </c>
      <c r="AA4950">
        <v>0.98880599999999996</v>
      </c>
      <c r="AB4950">
        <v>27</v>
      </c>
      <c r="AC4950">
        <v>8.9538999999999707</v>
      </c>
      <c r="AD4950">
        <v>-0.82595459999999998</v>
      </c>
      <c r="AE4950">
        <v>-80.630473999999893</v>
      </c>
      <c r="AF4950">
        <v>-12.1050288919939</v>
      </c>
      <c r="AG4950">
        <v>-0.82595459999999998</v>
      </c>
      <c r="AH4950">
        <v>80.209411843672299</v>
      </c>
      <c r="AI4950">
        <v>90.583375471774104</v>
      </c>
      <c r="AJ4950">
        <v>98.5821882291132</v>
      </c>
      <c r="AK4950">
        <v>81.121906250932696</v>
      </c>
    </row>
    <row r="4951" spans="1:37" x14ac:dyDescent="0.2">
      <c r="A4951" t="str">
        <f>"20200111155653936"</f>
        <v>20200111155653936</v>
      </c>
      <c r="B4951" t="str">
        <f>"1578729413927526"</f>
        <v>1578729413927526</v>
      </c>
      <c r="C4951" t="s">
        <v>37</v>
      </c>
      <c r="D4951">
        <v>4.5560140000000002</v>
      </c>
      <c r="E4951">
        <v>0.46441349999999998</v>
      </c>
      <c r="F4951" t="s">
        <v>78</v>
      </c>
      <c r="G4951">
        <v>-413.04329999999999</v>
      </c>
      <c r="H4951">
        <v>0.21639529999999901</v>
      </c>
      <c r="I4951">
        <v>0.54813769999999995</v>
      </c>
      <c r="J4951">
        <v>-422.05880000000002</v>
      </c>
      <c r="K4951">
        <v>1.1053629999999901</v>
      </c>
      <c r="L4951">
        <v>80.912629999999993</v>
      </c>
      <c r="M4951">
        <v>-3.7143009999999997E-2</v>
      </c>
      <c r="N4951">
        <v>0</v>
      </c>
      <c r="O4951">
        <v>-0.99929310000000005</v>
      </c>
      <c r="P4951">
        <v>1.9618469999999999E-2</v>
      </c>
      <c r="Q4951">
        <v>2.7989480000000001E-2</v>
      </c>
      <c r="R4951">
        <v>-0.99941589999999902</v>
      </c>
      <c r="S4951">
        <v>0.33474729999999903</v>
      </c>
      <c r="T4951">
        <v>-3.3041239999999999E-2</v>
      </c>
      <c r="U4951">
        <v>-2.9965820000000001</v>
      </c>
      <c r="V4951">
        <v>-5.6847990000000001E-2</v>
      </c>
      <c r="W4951">
        <v>3.3600030000000003E-2</v>
      </c>
      <c r="X4951">
        <v>0.99781730000000002</v>
      </c>
      <c r="Y4951">
        <v>-0.14785000000000001</v>
      </c>
      <c r="Z4951">
        <v>1.0919679999999999E-2</v>
      </c>
      <c r="AA4951">
        <v>0.98894950000000004</v>
      </c>
      <c r="AB4951">
        <v>27</v>
      </c>
      <c r="AC4951">
        <v>9.0155000000000296</v>
      </c>
      <c r="AD4951">
        <v>-0.88896769999999903</v>
      </c>
      <c r="AE4951">
        <v>-80.364492299999995</v>
      </c>
      <c r="AF4951">
        <v>-11.9928589509509</v>
      </c>
      <c r="AG4951">
        <v>-0.88896769999999903</v>
      </c>
      <c r="AH4951">
        <v>79.964504352663695</v>
      </c>
      <c r="AI4951">
        <v>90.629888466678295</v>
      </c>
      <c r="AJ4951">
        <v>98.529492554864603</v>
      </c>
      <c r="AK4951">
        <v>80.863717981281397</v>
      </c>
    </row>
    <row r="4952" spans="1:37" x14ac:dyDescent="0.2">
      <c r="A4952" t="str">
        <f>"20200111155653953"</f>
        <v>20200111155653953</v>
      </c>
      <c r="B4952" t="str">
        <f>"1578729413947553"</f>
        <v>1578729413947553</v>
      </c>
      <c r="C4952" t="s">
        <v>37</v>
      </c>
      <c r="D4952">
        <v>4.5129849999999996</v>
      </c>
      <c r="E4952">
        <v>0.46413179999999998</v>
      </c>
      <c r="F4952" t="s">
        <v>78</v>
      </c>
      <c r="G4952">
        <v>-412.76940000000002</v>
      </c>
      <c r="H4952">
        <v>0.15455729999999901</v>
      </c>
      <c r="I4952">
        <v>0.55092240000000003</v>
      </c>
      <c r="J4952">
        <v>-422.06490000000002</v>
      </c>
      <c r="K4952">
        <v>1.10531</v>
      </c>
      <c r="L4952">
        <v>80.705659999999995</v>
      </c>
      <c r="M4952">
        <v>-3.5589429999999998E-2</v>
      </c>
      <c r="N4952">
        <v>0</v>
      </c>
      <c r="O4952">
        <v>-0.99935149999999995</v>
      </c>
      <c r="P4952">
        <v>2.0988799999999998E-2</v>
      </c>
      <c r="Q4952">
        <v>2.8086340000000001E-2</v>
      </c>
      <c r="R4952">
        <v>-0.99938530000000003</v>
      </c>
      <c r="S4952">
        <v>0.3463135</v>
      </c>
      <c r="T4952">
        <v>-3.5447720000000002E-2</v>
      </c>
      <c r="U4952">
        <v>-2.9959410000000002</v>
      </c>
      <c r="V4952">
        <v>-5.6662839999999999E-2</v>
      </c>
      <c r="W4952">
        <v>3.3380800000000002E-2</v>
      </c>
      <c r="X4952">
        <v>0.99783519999999903</v>
      </c>
      <c r="Y4952">
        <v>-0.1501035</v>
      </c>
      <c r="Z4952">
        <v>1.171382E-2</v>
      </c>
      <c r="AA4952">
        <v>0.9886009</v>
      </c>
      <c r="AB4952">
        <v>27</v>
      </c>
      <c r="AC4952">
        <v>9.2955000000000005</v>
      </c>
      <c r="AD4952">
        <v>-0.95075270000000001</v>
      </c>
      <c r="AE4952">
        <v>-80.154737599999905</v>
      </c>
      <c r="AF4952">
        <v>-12.140629805976999</v>
      </c>
      <c r="AG4952">
        <v>-0.95075270000000001</v>
      </c>
      <c r="AH4952">
        <v>79.762058040756799</v>
      </c>
      <c r="AI4952">
        <v>90.675149979826202</v>
      </c>
      <c r="AJ4952">
        <v>98.654595577544001</v>
      </c>
      <c r="AK4952">
        <v>80.686335433451106</v>
      </c>
    </row>
    <row r="4953" spans="1:37" x14ac:dyDescent="0.2">
      <c r="A4953" t="str">
        <f>"20200111155653967"</f>
        <v>20200111155653967</v>
      </c>
      <c r="B4953" t="str">
        <f>"1578729413958289"</f>
        <v>1578729413958289</v>
      </c>
      <c r="C4953" t="s">
        <v>37</v>
      </c>
      <c r="D4953">
        <v>4.5129669999999997</v>
      </c>
      <c r="E4953">
        <v>0.46400829999999998</v>
      </c>
      <c r="F4953" t="s">
        <v>78</v>
      </c>
      <c r="G4953">
        <v>-412.63170000000002</v>
      </c>
      <c r="H4953">
        <v>0.10200389999999999</v>
      </c>
      <c r="I4953">
        <v>0.55232429999999999</v>
      </c>
      <c r="J4953">
        <v>-422.06990000000002</v>
      </c>
      <c r="K4953">
        <v>1.105261</v>
      </c>
      <c r="L4953">
        <v>80.530090000000001</v>
      </c>
      <c r="M4953">
        <v>-3.4302109999999997E-2</v>
      </c>
      <c r="N4953">
        <v>0</v>
      </c>
      <c r="O4953">
        <v>-0.99939789999999995</v>
      </c>
      <c r="P4953">
        <v>2.2122389999999999E-2</v>
      </c>
      <c r="Q4953">
        <v>2.853783E-2</v>
      </c>
      <c r="R4953">
        <v>-0.99934799999999901</v>
      </c>
      <c r="S4953">
        <v>0.35253909999999899</v>
      </c>
      <c r="T4953">
        <v>-3.7496689999999999E-2</v>
      </c>
      <c r="U4953">
        <v>-2.995514</v>
      </c>
      <c r="V4953">
        <v>-5.6508330000000002E-2</v>
      </c>
      <c r="W4953">
        <v>3.3568580000000001E-2</v>
      </c>
      <c r="X4953">
        <v>0.99783770000000005</v>
      </c>
      <c r="Y4953">
        <v>-0.15087210000000001</v>
      </c>
      <c r="Z4953">
        <v>1.239119E-2</v>
      </c>
      <c r="AA4953">
        <v>0.98847559999999901</v>
      </c>
      <c r="AB4953">
        <v>27</v>
      </c>
      <c r="AC4953">
        <v>9.4381999999999895</v>
      </c>
      <c r="AD4953">
        <v>-1.0032570999999999</v>
      </c>
      <c r="AE4953">
        <v>-79.977765700000006</v>
      </c>
      <c r="AF4953">
        <v>-12.174199606252101</v>
      </c>
      <c r="AG4953">
        <v>-1.0032570999999999</v>
      </c>
      <c r="AH4953">
        <v>79.594590949772694</v>
      </c>
      <c r="AI4953">
        <v>90.713850565623503</v>
      </c>
      <c r="AJ4953">
        <v>98.696142418500798</v>
      </c>
      <c r="AK4953">
        <v>80.526496070071303</v>
      </c>
    </row>
    <row r="4954" spans="1:37" x14ac:dyDescent="0.2">
      <c r="A4954" t="str">
        <f>"20200111155653981"</f>
        <v>20200111155653981</v>
      </c>
      <c r="B4954" t="str">
        <f>"1578729413977809"</f>
        <v>1578729413977809</v>
      </c>
      <c r="C4954" t="s">
        <v>37</v>
      </c>
      <c r="D4954">
        <v>4.550529</v>
      </c>
      <c r="E4954">
        <v>0.464005099999999</v>
      </c>
      <c r="F4954" t="s">
        <v>78</v>
      </c>
      <c r="G4954">
        <v>-412.53730000000002</v>
      </c>
      <c r="H4954">
        <v>0.1118618</v>
      </c>
      <c r="I4954">
        <v>0.55328369999999905</v>
      </c>
      <c r="J4954">
        <v>-422.07479999999998</v>
      </c>
      <c r="K4954">
        <v>1.10521</v>
      </c>
      <c r="L4954">
        <v>80.354339999999993</v>
      </c>
      <c r="M4954">
        <v>-3.3041479999999998E-2</v>
      </c>
      <c r="N4954">
        <v>0</v>
      </c>
      <c r="O4954">
        <v>-0.99944169999999999</v>
      </c>
      <c r="P4954">
        <v>2.3831870000000002E-2</v>
      </c>
      <c r="Q4954">
        <v>3.0238950000000001E-2</v>
      </c>
      <c r="R4954">
        <v>-0.99925900000000001</v>
      </c>
      <c r="S4954">
        <v>0.3569946</v>
      </c>
      <c r="T4954">
        <v>-3.7203550000000002E-2</v>
      </c>
      <c r="U4954">
        <v>-2.995117</v>
      </c>
      <c r="V4954">
        <v>-5.6958469999999997E-2</v>
      </c>
      <c r="W4954">
        <v>3.5009209999999999E-2</v>
      </c>
      <c r="X4954">
        <v>0.99776260000000006</v>
      </c>
      <c r="Y4954">
        <v>-0.15109049999999999</v>
      </c>
      <c r="Z4954">
        <v>1.2295459999999999E-2</v>
      </c>
      <c r="AA4954">
        <v>0.98844339999999997</v>
      </c>
      <c r="AB4954">
        <v>28</v>
      </c>
      <c r="AC4954">
        <v>9.5374999999999606</v>
      </c>
      <c r="AD4954">
        <v>-0.99334820000000001</v>
      </c>
      <c r="AE4954">
        <v>-79.801056299999999</v>
      </c>
      <c r="AF4954">
        <v>-12.167210855334</v>
      </c>
      <c r="AG4954">
        <v>-0.99334820000000001</v>
      </c>
      <c r="AH4954">
        <v>79.430211152201394</v>
      </c>
      <c r="AI4954">
        <v>90.708239133941703</v>
      </c>
      <c r="AJ4954">
        <v>98.708937438102495</v>
      </c>
      <c r="AK4954">
        <v>80.362840942365295</v>
      </c>
    </row>
    <row r="4955" spans="1:37" x14ac:dyDescent="0.2">
      <c r="A4955" t="str">
        <f>"20200111155653997"</f>
        <v>20200111155653997</v>
      </c>
      <c r="B4955" t="str">
        <f>"1578729413987569"</f>
        <v>1578729413987569</v>
      </c>
      <c r="C4955" t="s">
        <v>37</v>
      </c>
      <c r="D4955">
        <v>4.5985529999999999</v>
      </c>
      <c r="E4955">
        <v>0.46406059999999999</v>
      </c>
      <c r="F4955" t="s">
        <v>78</v>
      </c>
      <c r="G4955">
        <v>-412.41680000000002</v>
      </c>
      <c r="H4955">
        <v>0.21807070000000001</v>
      </c>
      <c r="I4955">
        <v>0.55450819999999901</v>
      </c>
      <c r="J4955">
        <v>-422.08</v>
      </c>
      <c r="K4955">
        <v>1.105145</v>
      </c>
      <c r="L4955">
        <v>80.154719999999998</v>
      </c>
      <c r="M4955">
        <v>-3.1658369999999998E-2</v>
      </c>
      <c r="N4955">
        <v>0</v>
      </c>
      <c r="O4955">
        <v>-0.99948789999999998</v>
      </c>
      <c r="P4955">
        <v>2.6168879999999999E-2</v>
      </c>
      <c r="Q4955">
        <v>3.1742680000000002E-2</v>
      </c>
      <c r="R4955">
        <v>-0.99915370000000003</v>
      </c>
      <c r="S4955">
        <v>0.36242679999999999</v>
      </c>
      <c r="T4955">
        <v>-3.3292059999999998E-2</v>
      </c>
      <c r="U4955">
        <v>-2.9945979999999999</v>
      </c>
      <c r="V4955">
        <v>-5.7910799999999998E-2</v>
      </c>
      <c r="W4955">
        <v>3.6227229999999999E-2</v>
      </c>
      <c r="X4955">
        <v>0.9976642</v>
      </c>
      <c r="Y4955">
        <v>-0.15151199999999901</v>
      </c>
      <c r="Z4955">
        <v>1.100401E-2</v>
      </c>
      <c r="AA4955">
        <v>0.98839409999999905</v>
      </c>
      <c r="AB4955">
        <v>28</v>
      </c>
      <c r="AC4955">
        <v>9.6631999999999607</v>
      </c>
      <c r="AD4955">
        <v>-0.88707429999999998</v>
      </c>
      <c r="AE4955">
        <v>-79.600211799999997</v>
      </c>
      <c r="AF4955">
        <v>-12.1769061754345</v>
      </c>
      <c r="AG4955">
        <v>-0.88707429999999998</v>
      </c>
      <c r="AH4955">
        <v>79.244688125362799</v>
      </c>
      <c r="AI4955">
        <v>90.6339091995074</v>
      </c>
      <c r="AJ4955">
        <v>98.735860991118798</v>
      </c>
      <c r="AK4955">
        <v>80.1797015516089</v>
      </c>
    </row>
    <row r="4956" spans="1:37" x14ac:dyDescent="0.2">
      <c r="A4956" t="str">
        <f>"20200111155654015"</f>
        <v>20200111155654015</v>
      </c>
      <c r="B4956" t="str">
        <f>"1578729414008065"</f>
        <v>1578729414008065</v>
      </c>
      <c r="C4956" t="s">
        <v>37</v>
      </c>
      <c r="D4956">
        <v>4.6251089999999904</v>
      </c>
      <c r="E4956">
        <v>0.46421859999999998</v>
      </c>
      <c r="F4956" t="s">
        <v>78</v>
      </c>
      <c r="G4956">
        <v>-412.25970000000001</v>
      </c>
      <c r="H4956">
        <v>0.32795829999999998</v>
      </c>
      <c r="I4956">
        <v>0.55610470000000001</v>
      </c>
      <c r="J4956">
        <v>-422.08569999999997</v>
      </c>
      <c r="K4956">
        <v>1.1050709999999999</v>
      </c>
      <c r="L4956">
        <v>79.92801</v>
      </c>
      <c r="M4956">
        <v>-3.0167900000000001E-2</v>
      </c>
      <c r="N4956">
        <v>0</v>
      </c>
      <c r="O4956">
        <v>-0.99953519999999896</v>
      </c>
      <c r="P4956">
        <v>2.9621939999999999E-2</v>
      </c>
      <c r="Q4956">
        <v>3.3577179999999998E-2</v>
      </c>
      <c r="R4956">
        <v>-0.99899699999999902</v>
      </c>
      <c r="S4956">
        <v>0.36935419999999902</v>
      </c>
      <c r="T4956">
        <v>-2.923191E-2</v>
      </c>
      <c r="U4956">
        <v>-2.993805</v>
      </c>
      <c r="V4956">
        <v>-5.9870600000000003E-2</v>
      </c>
      <c r="W4956">
        <v>3.7755879999999999E-2</v>
      </c>
      <c r="X4956">
        <v>0.99749179999999904</v>
      </c>
      <c r="Y4956">
        <v>-0.1523243</v>
      </c>
      <c r="Z4956">
        <v>9.6633989999999996E-3</v>
      </c>
      <c r="AA4956">
        <v>0.98828329999999998</v>
      </c>
      <c r="AB4956">
        <v>28</v>
      </c>
      <c r="AC4956">
        <v>9.8259999999999597</v>
      </c>
      <c r="AD4956">
        <v>-0.77711269999999899</v>
      </c>
      <c r="AE4956">
        <v>-79.371905299999995</v>
      </c>
      <c r="AF4956">
        <v>-12.2148811148348</v>
      </c>
      <c r="AG4956">
        <v>-0.77711269999999899</v>
      </c>
      <c r="AH4956">
        <v>79.031883876269802</v>
      </c>
      <c r="AI4956">
        <v>90.556755451427605</v>
      </c>
      <c r="AJ4956">
        <v>98.785909557628301</v>
      </c>
      <c r="AK4956">
        <v>79.9740326220345</v>
      </c>
    </row>
    <row r="4957" spans="1:37" x14ac:dyDescent="0.2">
      <c r="A4957" t="str">
        <f>"20200111155654037"</f>
        <v>20200111155654037</v>
      </c>
      <c r="B4957" t="str">
        <f>"1578729414028560"</f>
        <v>1578729414028560</v>
      </c>
      <c r="C4957" t="s">
        <v>37</v>
      </c>
      <c r="D4957">
        <v>4.6840339999999996</v>
      </c>
      <c r="E4957">
        <v>0.464317699999999</v>
      </c>
      <c r="F4957" t="s">
        <v>78</v>
      </c>
      <c r="G4957">
        <v>-412.05450000000002</v>
      </c>
      <c r="H4957">
        <v>0.40233340000000001</v>
      </c>
      <c r="I4957">
        <v>0.55819319999999994</v>
      </c>
      <c r="J4957">
        <v>-422.09219999999999</v>
      </c>
      <c r="K4957">
        <v>1.1049549999999999</v>
      </c>
      <c r="L4957">
        <v>79.657200000000003</v>
      </c>
      <c r="M4957">
        <v>-2.851298E-2</v>
      </c>
      <c r="N4957">
        <v>0</v>
      </c>
      <c r="O4957">
        <v>-0.99958539999999996</v>
      </c>
      <c r="P4957">
        <v>3.3568019999999997E-2</v>
      </c>
      <c r="Q4957">
        <v>3.2860889999999997E-2</v>
      </c>
      <c r="R4957">
        <v>-0.99889619999999901</v>
      </c>
      <c r="S4957">
        <v>0.37823489999999999</v>
      </c>
      <c r="T4957">
        <v>-2.64982E-2</v>
      </c>
      <c r="U4957">
        <v>-2.9927060000000001</v>
      </c>
      <c r="V4957">
        <v>-6.2150270000000001E-2</v>
      </c>
      <c r="W4957">
        <v>3.6700900000000002E-2</v>
      </c>
      <c r="X4957">
        <v>0.99739179999999905</v>
      </c>
      <c r="Y4957">
        <v>-0.15362049999999999</v>
      </c>
      <c r="Z4957">
        <v>8.7611169999999901E-3</v>
      </c>
      <c r="AA4957">
        <v>0.9880911</v>
      </c>
      <c r="AB4957">
        <v>28</v>
      </c>
      <c r="AC4957">
        <v>10.0376999999999</v>
      </c>
      <c r="AD4957">
        <v>-0.70262159999999896</v>
      </c>
      <c r="AE4957">
        <v>-79.099006799999998</v>
      </c>
      <c r="AF4957">
        <v>-12.2880311020413</v>
      </c>
      <c r="AG4957">
        <v>-0.70262159999999896</v>
      </c>
      <c r="AH4957">
        <v>78.774522216526194</v>
      </c>
      <c r="AI4957">
        <v>90.504924631672495</v>
      </c>
      <c r="AJ4957">
        <v>98.866111998180799</v>
      </c>
      <c r="AK4957">
        <v>79.730262359530101</v>
      </c>
    </row>
    <row r="4958" spans="1:37" x14ac:dyDescent="0.2">
      <c r="A4958" t="str">
        <f>"20200111155654053"</f>
        <v>20200111155654053</v>
      </c>
      <c r="B4958" t="str">
        <f>"1578729414048080"</f>
        <v>1578729414048080</v>
      </c>
      <c r="C4958" t="s">
        <v>37</v>
      </c>
      <c r="D4958">
        <v>4.8952339999999896</v>
      </c>
      <c r="E4958">
        <v>0.46453869999999903</v>
      </c>
      <c r="F4958" t="s">
        <v>78</v>
      </c>
      <c r="G4958">
        <v>-411.81799999999998</v>
      </c>
      <c r="H4958">
        <v>0.28770699999999999</v>
      </c>
      <c r="I4958">
        <v>0.56059840000000005</v>
      </c>
      <c r="J4958">
        <v>-422.09699999999998</v>
      </c>
      <c r="K4958">
        <v>1.1048469999999999</v>
      </c>
      <c r="L4958">
        <v>79.446809999999999</v>
      </c>
      <c r="M4958">
        <v>-2.73551E-2</v>
      </c>
      <c r="N4958">
        <v>0</v>
      </c>
      <c r="O4958">
        <v>-0.99961889999999998</v>
      </c>
      <c r="P4958">
        <v>3.5621960000000001E-2</v>
      </c>
      <c r="Q4958">
        <v>3.2313830000000002E-2</v>
      </c>
      <c r="R4958">
        <v>-0.99884289999999998</v>
      </c>
      <c r="S4958">
        <v>0.3885498</v>
      </c>
      <c r="T4958">
        <v>-3.0907629999999998E-2</v>
      </c>
      <c r="U4958">
        <v>-2.9912719999999999</v>
      </c>
      <c r="V4958">
        <v>-6.3037599999999999E-2</v>
      </c>
      <c r="W4958">
        <v>3.5913199999999902E-2</v>
      </c>
      <c r="X4958">
        <v>0.99736480000000005</v>
      </c>
      <c r="Y4958">
        <v>-0.15588479999999999</v>
      </c>
      <c r="Z4958">
        <v>1.0220170000000001E-2</v>
      </c>
      <c r="AA4958">
        <v>0.9877224</v>
      </c>
      <c r="AB4958">
        <v>28</v>
      </c>
      <c r="AC4958">
        <v>10.2789999999999</v>
      </c>
      <c r="AD4958">
        <v>-0.81713999999999998</v>
      </c>
      <c r="AE4958">
        <v>-78.886211599999996</v>
      </c>
      <c r="AF4958">
        <v>-12.4317967436569</v>
      </c>
      <c r="AG4958">
        <v>-0.81713999999999998</v>
      </c>
      <c r="AH4958">
        <v>78.567215981483102</v>
      </c>
      <c r="AI4958">
        <v>90.588562594147504</v>
      </c>
      <c r="AJ4958">
        <v>98.991443086618602</v>
      </c>
      <c r="AK4958">
        <v>79.548882551147301</v>
      </c>
    </row>
    <row r="4959" spans="1:37" x14ac:dyDescent="0.2">
      <c r="A4959" t="str">
        <f>"20200111155654071"</f>
        <v>20200111155654071</v>
      </c>
      <c r="B4959" t="str">
        <f>"1578729414068576"</f>
        <v>1578729414068576</v>
      </c>
      <c r="C4959" t="s">
        <v>37</v>
      </c>
      <c r="D4959">
        <v>4.6091350000000002</v>
      </c>
      <c r="E4959">
        <v>0.46487899999999999</v>
      </c>
      <c r="F4959" t="s">
        <v>78</v>
      </c>
      <c r="G4959">
        <v>-411.7448</v>
      </c>
      <c r="H4959">
        <v>0.2324368</v>
      </c>
      <c r="I4959">
        <v>0.56134219999999901</v>
      </c>
      <c r="J4959">
        <v>-422.1019</v>
      </c>
      <c r="K4959">
        <v>1.104719</v>
      </c>
      <c r="L4959">
        <v>79.225949999999997</v>
      </c>
      <c r="M4959">
        <v>-2.6255270000000001E-2</v>
      </c>
      <c r="N4959">
        <v>0</v>
      </c>
      <c r="O4959">
        <v>-0.99964900000000001</v>
      </c>
      <c r="P4959">
        <v>3.7791949999999998E-2</v>
      </c>
      <c r="Q4959">
        <v>3.0554040000000001E-2</v>
      </c>
      <c r="R4959">
        <v>-0.99881849999999905</v>
      </c>
      <c r="S4959">
        <v>0.39245609999999997</v>
      </c>
      <c r="T4959">
        <v>-3.3074140000000002E-2</v>
      </c>
      <c r="U4959">
        <v>-2.99057</v>
      </c>
      <c r="V4959">
        <v>-6.4095449999999998E-2</v>
      </c>
      <c r="W4959">
        <v>3.391599E-2</v>
      </c>
      <c r="X4959">
        <v>0.99736729999999996</v>
      </c>
      <c r="Y4959">
        <v>-0.15609519999999999</v>
      </c>
      <c r="Z4959">
        <v>1.0938410000000001E-2</v>
      </c>
      <c r="AA4959">
        <v>0.98768140000000004</v>
      </c>
      <c r="AB4959">
        <v>28</v>
      </c>
      <c r="AC4959">
        <v>10.357100000000001</v>
      </c>
      <c r="AD4959">
        <v>-0.87228220000000001</v>
      </c>
      <c r="AE4959">
        <v>-78.664607799999999</v>
      </c>
      <c r="AF4959">
        <v>-12.4174022293713</v>
      </c>
      <c r="AG4959">
        <v>-0.87228220000000001</v>
      </c>
      <c r="AH4959">
        <v>78.356089016607896</v>
      </c>
      <c r="AI4959">
        <v>90.6299459789428</v>
      </c>
      <c r="AJ4959">
        <v>99.005005304768105</v>
      </c>
      <c r="AK4959">
        <v>79.338700772958305</v>
      </c>
    </row>
    <row r="4960" spans="1:37" x14ac:dyDescent="0.2">
      <c r="A4960" t="str">
        <f>"20200111155654087"</f>
        <v>20200111155654087</v>
      </c>
      <c r="B4960" t="str">
        <f>"1578729414078338"</f>
        <v>1578729414078338</v>
      </c>
      <c r="C4960" t="s">
        <v>37</v>
      </c>
      <c r="D4960">
        <v>4.6408579999999997</v>
      </c>
      <c r="E4960">
        <v>0.46514420000000001</v>
      </c>
      <c r="F4960" t="s">
        <v>75</v>
      </c>
      <c r="G4960">
        <v>-412.19959999999998</v>
      </c>
      <c r="H4960">
        <v>7.9986559999999998E-2</v>
      </c>
      <c r="I4960">
        <v>4.6294820000000003</v>
      </c>
      <c r="J4960">
        <v>-422.10640000000001</v>
      </c>
      <c r="K4960">
        <v>1.104598</v>
      </c>
      <c r="L4960">
        <v>79.021270000000001</v>
      </c>
      <c r="M4960">
        <v>-2.5346879999999999E-2</v>
      </c>
      <c r="N4960">
        <v>0</v>
      </c>
      <c r="O4960">
        <v>-0.99967340000000005</v>
      </c>
      <c r="P4960">
        <v>3.8904260000000003E-2</v>
      </c>
      <c r="Q4960">
        <v>3.0312559999999999E-2</v>
      </c>
      <c r="R4960">
        <v>-0.99878339999999999</v>
      </c>
      <c r="S4960">
        <v>0.39688109999999999</v>
      </c>
      <c r="T4960">
        <v>-4.1070580000000002E-2</v>
      </c>
      <c r="U4960">
        <v>-2.9897770000000001</v>
      </c>
      <c r="V4960">
        <v>-6.4291399999999999E-2</v>
      </c>
      <c r="W4960">
        <v>3.3468970000000001E-2</v>
      </c>
      <c r="X4960">
        <v>0.99736979999999997</v>
      </c>
      <c r="Y4960">
        <v>-0.15666389999999999</v>
      </c>
      <c r="Z4960">
        <v>1.358471E-2</v>
      </c>
      <c r="AA4960">
        <v>0.98755849999999901</v>
      </c>
      <c r="AB4960">
        <v>28</v>
      </c>
      <c r="AC4960">
        <v>9.9068000000000307</v>
      </c>
      <c r="AD4960">
        <v>-1.0246114399999999</v>
      </c>
      <c r="AE4960">
        <v>-74.391788000000005</v>
      </c>
      <c r="AF4960">
        <v>-11.7870297747502</v>
      </c>
      <c r="AG4960">
        <v>-1.0246114399999999</v>
      </c>
      <c r="AH4960">
        <v>74.102966653584502</v>
      </c>
      <c r="AI4960">
        <v>90.782336436719802</v>
      </c>
      <c r="AJ4960">
        <v>99.037915346469802</v>
      </c>
      <c r="AK4960">
        <v>75.041545602260101</v>
      </c>
    </row>
    <row r="4961" spans="1:37" x14ac:dyDescent="0.2">
      <c r="A4961" t="str">
        <f>"20200111155654104"</f>
        <v>20200111155654104</v>
      </c>
      <c r="B4961" t="str">
        <f>"1578729414097857"</f>
        <v>1578729414097857</v>
      </c>
      <c r="C4961" t="s">
        <v>37</v>
      </c>
      <c r="D4961">
        <v>4.6679680000000001</v>
      </c>
      <c r="E4961">
        <v>0.46550409999999998</v>
      </c>
      <c r="F4961" t="s">
        <v>75</v>
      </c>
      <c r="G4961">
        <v>-412.75139999999999</v>
      </c>
      <c r="H4961">
        <v>7.9986559999999998E-2</v>
      </c>
      <c r="I4961">
        <v>8.7018620000000002</v>
      </c>
      <c r="J4961">
        <v>-422.1112</v>
      </c>
      <c r="K4961">
        <v>1.1044510000000001</v>
      </c>
      <c r="L4961">
        <v>78.794159999999906</v>
      </c>
      <c r="M4961">
        <v>-2.4464329999999999E-2</v>
      </c>
      <c r="N4961">
        <v>0</v>
      </c>
      <c r="O4961">
        <v>-0.99969599999999903</v>
      </c>
      <c r="P4961">
        <v>4.036613E-2</v>
      </c>
      <c r="Q4961">
        <v>3.0464990000000001E-2</v>
      </c>
      <c r="R4961">
        <v>-0.99872050000000001</v>
      </c>
      <c r="S4961">
        <v>0.39770509999999998</v>
      </c>
      <c r="T4961">
        <v>-4.3559069999999998E-2</v>
      </c>
      <c r="U4961">
        <v>-2.989471</v>
      </c>
      <c r="V4961">
        <v>-6.4861279999999993E-2</v>
      </c>
      <c r="W4961">
        <v>3.340655E-2</v>
      </c>
      <c r="X4961">
        <v>0.99733499999999997</v>
      </c>
      <c r="Y4961">
        <v>-0.15607099999999999</v>
      </c>
      <c r="Z4961">
        <v>1.4409999999999999E-2</v>
      </c>
      <c r="AA4961">
        <v>0.98764069999999904</v>
      </c>
      <c r="AB4961">
        <v>29</v>
      </c>
      <c r="AC4961">
        <v>9.3597999999999999</v>
      </c>
      <c r="AD4961">
        <v>-1.02446444</v>
      </c>
      <c r="AE4961">
        <v>-70.0922979999999</v>
      </c>
      <c r="AF4961">
        <v>-11.0694445019528</v>
      </c>
      <c r="AG4961">
        <v>-1.02446444</v>
      </c>
      <c r="AH4961">
        <v>69.827681468384995</v>
      </c>
      <c r="AI4961">
        <v>90.830179462360604</v>
      </c>
      <c r="AJ4961">
        <v>99.007865265361701</v>
      </c>
      <c r="AK4961">
        <v>70.707052181666299</v>
      </c>
    </row>
    <row r="4962" spans="1:37" x14ac:dyDescent="0.2">
      <c r="A4962" t="str">
        <f>"20200111155654128"</f>
        <v>20200111155654128</v>
      </c>
      <c r="B4962" t="str">
        <f>"1578729414118352"</f>
        <v>1578729414118352</v>
      </c>
      <c r="C4962" t="s">
        <v>37</v>
      </c>
      <c r="D4962">
        <v>4.7185239999999897</v>
      </c>
      <c r="E4962">
        <v>0.46604119999999999</v>
      </c>
      <c r="F4962" t="s">
        <v>75</v>
      </c>
      <c r="G4962">
        <v>-412.86450000000002</v>
      </c>
      <c r="H4962">
        <v>5.5423510000000002E-2</v>
      </c>
      <c r="I4962">
        <v>9.6108250000000002</v>
      </c>
      <c r="J4962">
        <v>-422.11739999999998</v>
      </c>
      <c r="K4962">
        <v>1.1042730000000001</v>
      </c>
      <c r="L4962">
        <v>78.497010000000003</v>
      </c>
      <c r="M4962">
        <v>-2.351959E-2</v>
      </c>
      <c r="N4962">
        <v>0</v>
      </c>
      <c r="O4962">
        <v>-0.99971949999999998</v>
      </c>
      <c r="P4962">
        <v>4.2074670000000002E-2</v>
      </c>
      <c r="Q4962">
        <v>3.1297220000000001E-2</v>
      </c>
      <c r="R4962">
        <v>-0.99862439999999997</v>
      </c>
      <c r="S4962">
        <v>0.39950559999999902</v>
      </c>
      <c r="T4962">
        <v>-4.5323370000000002E-2</v>
      </c>
      <c r="U4962">
        <v>-2.9890750000000001</v>
      </c>
      <c r="V4962">
        <v>-6.5613279999999996E-2</v>
      </c>
      <c r="W4962">
        <v>3.3979370000000002E-2</v>
      </c>
      <c r="X4962">
        <v>0.9972664</v>
      </c>
      <c r="Y4962">
        <v>-0.15573809999999999</v>
      </c>
      <c r="Z4962">
        <v>1.499582E-2</v>
      </c>
      <c r="AA4962">
        <v>0.98768449999999997</v>
      </c>
      <c r="AB4962">
        <v>29</v>
      </c>
      <c r="AC4962">
        <v>9.2528999999999506</v>
      </c>
      <c r="AD4962">
        <v>-1.0488494900000001</v>
      </c>
      <c r="AE4962">
        <v>-68.886184999999998</v>
      </c>
      <c r="AF4962">
        <v>-10.8680466703101</v>
      </c>
      <c r="AG4962">
        <v>-1.0488494900000001</v>
      </c>
      <c r="AH4962">
        <v>68.633874906116503</v>
      </c>
      <c r="AI4962">
        <v>90.864742233378806</v>
      </c>
      <c r="AJ4962">
        <v>98.997971224683596</v>
      </c>
      <c r="AK4962">
        <v>69.496930207809598</v>
      </c>
    </row>
    <row r="4963" spans="1:37" x14ac:dyDescent="0.2">
      <c r="A4963" t="str">
        <f>"20200111155654149"</f>
        <v>20200111155654149</v>
      </c>
      <c r="B4963" t="str">
        <f>"1578729414137872"</f>
        <v>1578729414137872</v>
      </c>
      <c r="C4963" t="s">
        <v>37</v>
      </c>
      <c r="D4963">
        <v>4.7308500000000002</v>
      </c>
      <c r="E4963">
        <v>0.46658809999999901</v>
      </c>
      <c r="F4963" t="s">
        <v>75</v>
      </c>
      <c r="G4963">
        <v>-412.89569999999998</v>
      </c>
      <c r="H4963">
        <v>7.7654470000000003E-2</v>
      </c>
      <c r="I4963">
        <v>9.5885940000000005</v>
      </c>
      <c r="J4963">
        <v>-422.1232</v>
      </c>
      <c r="K4963">
        <v>1.1041080000000001</v>
      </c>
      <c r="L4963">
        <v>78.219359999999995</v>
      </c>
      <c r="M4963">
        <v>-2.2838069999999999E-2</v>
      </c>
      <c r="N4963">
        <v>0</v>
      </c>
      <c r="O4963">
        <v>-0.99973609999999902</v>
      </c>
      <c r="P4963">
        <v>4.3108180000000003E-2</v>
      </c>
      <c r="Q4963">
        <v>3.1912690000000001E-2</v>
      </c>
      <c r="R4963">
        <v>-0.99856080000000003</v>
      </c>
      <c r="S4963">
        <v>0.39996340000000002</v>
      </c>
      <c r="T4963">
        <v>-4.4526219999999998E-2</v>
      </c>
      <c r="U4963">
        <v>-2.98867799999999</v>
      </c>
      <c r="V4963">
        <v>-6.5954769999999996E-2</v>
      </c>
      <c r="W4963">
        <v>3.4373019999999997E-2</v>
      </c>
      <c r="X4963">
        <v>0.99723039999999996</v>
      </c>
      <c r="Y4963">
        <v>-0.15523100000000001</v>
      </c>
      <c r="Z4963">
        <v>1.4734860000000001E-2</v>
      </c>
      <c r="AA4963">
        <v>0.98776830000000004</v>
      </c>
      <c r="AB4963">
        <v>29</v>
      </c>
      <c r="AC4963">
        <v>9.2275000000000098</v>
      </c>
      <c r="AD4963">
        <v>-1.0264535299999999</v>
      </c>
      <c r="AE4963">
        <v>-68.630765999999994</v>
      </c>
      <c r="AF4963">
        <v>-10.7901215492923</v>
      </c>
      <c r="AG4963">
        <v>-1.0264535299999999</v>
      </c>
      <c r="AH4963">
        <v>68.387100797788094</v>
      </c>
      <c r="AI4963">
        <v>90.849407951915893</v>
      </c>
      <c r="AJ4963">
        <v>98.966216383224605</v>
      </c>
      <c r="AK4963">
        <v>69.240709740907306</v>
      </c>
    </row>
    <row r="4964" spans="1:37" x14ac:dyDescent="0.2">
      <c r="A4964" t="str">
        <f>"20200111155654674"</f>
        <v>20200111155654674</v>
      </c>
      <c r="B4964" t="str">
        <f>"1578729414668347"</f>
        <v>1578729414668347</v>
      </c>
      <c r="C4964" t="s">
        <v>37</v>
      </c>
      <c r="D4964">
        <v>4.9973769999999904</v>
      </c>
      <c r="E4964">
        <v>0.46670040000000002</v>
      </c>
      <c r="F4964" t="s">
        <v>75</v>
      </c>
      <c r="G4964">
        <v>-412.90010000000001</v>
      </c>
      <c r="H4964">
        <v>7.9986570000000007E-2</v>
      </c>
      <c r="I4964">
        <v>9.1099509999999899</v>
      </c>
      <c r="J4964">
        <v>-422.34969999999998</v>
      </c>
      <c r="K4964">
        <v>1.1039159999999999</v>
      </c>
      <c r="L4964">
        <v>70.804109999999994</v>
      </c>
      <c r="M4964">
        <v>-3.8278619999999999E-2</v>
      </c>
      <c r="N4964">
        <v>0</v>
      </c>
      <c r="O4964">
        <v>-0.99923490000000004</v>
      </c>
      <c r="P4964">
        <v>3.7543340000000001E-2</v>
      </c>
      <c r="Q4964">
        <v>2.8745130000000001E-2</v>
      </c>
      <c r="R4964">
        <v>-0.99888180000000004</v>
      </c>
      <c r="S4964">
        <v>0.39883420000000003</v>
      </c>
      <c r="T4964">
        <v>-4.4286489999999998E-2</v>
      </c>
      <c r="U4964">
        <v>-2.9885250000000001</v>
      </c>
      <c r="V4964">
        <v>-7.5708979999999995E-2</v>
      </c>
      <c r="W4964">
        <v>3.6870050000000001E-2</v>
      </c>
      <c r="X4964">
        <v>0.996448</v>
      </c>
      <c r="Y4964">
        <v>-0.17011470000000001</v>
      </c>
      <c r="Z4964">
        <v>1.46281E-2</v>
      </c>
      <c r="AA4964">
        <v>0.98531569999999902</v>
      </c>
      <c r="AB4964">
        <v>32</v>
      </c>
      <c r="AC4964">
        <v>9.44959999999997</v>
      </c>
      <c r="AD4964">
        <v>-1.0239294299999999</v>
      </c>
      <c r="AE4964">
        <v>-61.694158999999999</v>
      </c>
      <c r="AF4964">
        <v>-11.801141081689201</v>
      </c>
      <c r="AG4964">
        <v>-1.0239294299999999</v>
      </c>
      <c r="AH4964">
        <v>61.270720962936302</v>
      </c>
      <c r="AI4964">
        <v>90.940136560449602</v>
      </c>
      <c r="AJ4964">
        <v>100.9020377591</v>
      </c>
      <c r="AK4964">
        <v>62.405261073290603</v>
      </c>
    </row>
    <row r="4965" spans="1:37" x14ac:dyDescent="0.2">
      <c r="A4965" t="str">
        <f>"20200111155654695"</f>
        <v>20200111155654695</v>
      </c>
      <c r="B4965" t="str">
        <f>"1578729414687868"</f>
        <v>1578729414687868</v>
      </c>
      <c r="C4965" t="s">
        <v>37</v>
      </c>
      <c r="D4965">
        <v>4.8306190000000004</v>
      </c>
      <c r="E4965">
        <v>0.46759099999999998</v>
      </c>
      <c r="F4965" t="s">
        <v>75</v>
      </c>
      <c r="G4965">
        <v>-415.02269999999999</v>
      </c>
      <c r="H4965" s="1">
        <v>-1.274552E-5</v>
      </c>
      <c r="I4965">
        <v>13.11529</v>
      </c>
      <c r="J4965">
        <v>-422.3621</v>
      </c>
      <c r="K4965">
        <v>1.1040809999999901</v>
      </c>
      <c r="L4965">
        <v>70.488829999999993</v>
      </c>
      <c r="M4965">
        <v>-3.8546089999999998E-2</v>
      </c>
      <c r="N4965">
        <v>0</v>
      </c>
      <c r="O4965">
        <v>-0.99921769999999999</v>
      </c>
      <c r="P4965">
        <v>3.6731760000000002E-2</v>
      </c>
      <c r="Q4965">
        <v>2.6801559999999999E-2</v>
      </c>
      <c r="R4965">
        <v>-0.99896559999999901</v>
      </c>
      <c r="S4965">
        <v>0.37985229999999998</v>
      </c>
      <c r="T4965">
        <v>-5.7230830000000003E-2</v>
      </c>
      <c r="U4965">
        <v>-2.99075299999999</v>
      </c>
      <c r="V4965">
        <v>-7.5179109999999993E-2</v>
      </c>
      <c r="W4965">
        <v>3.5678269999999998E-2</v>
      </c>
      <c r="X4965">
        <v>0.99653150000000001</v>
      </c>
      <c r="Y4965">
        <v>-0.16412089999999999</v>
      </c>
      <c r="Z4965">
        <v>1.8905450000000001E-2</v>
      </c>
      <c r="AA4965">
        <v>0.986259</v>
      </c>
      <c r="AB4965">
        <v>32</v>
      </c>
      <c r="AC4965">
        <v>7.3394000000000101</v>
      </c>
      <c r="AD4965">
        <v>-1.1040937455199999</v>
      </c>
      <c r="AE4965">
        <v>-57.373539999999998</v>
      </c>
      <c r="AF4965">
        <v>-9.5420803796628508</v>
      </c>
      <c r="AG4965">
        <v>-1.1040937455199999</v>
      </c>
      <c r="AH4965">
        <v>57.027202915718497</v>
      </c>
      <c r="AI4965">
        <v>91.093950489822404</v>
      </c>
      <c r="AJ4965">
        <v>99.499022124067693</v>
      </c>
      <c r="AK4965">
        <v>57.830547233805198</v>
      </c>
    </row>
    <row r="4966" spans="1:37" x14ac:dyDescent="0.2">
      <c r="A4966" t="str">
        <f>"20200111155654718"</f>
        <v>20200111155654718</v>
      </c>
      <c r="B4966" t="str">
        <f>"1578729414708364"</f>
        <v>1578729414708364</v>
      </c>
      <c r="C4966" t="s">
        <v>37</v>
      </c>
      <c r="D4966">
        <v>5.3222300000000002</v>
      </c>
      <c r="E4966">
        <v>0.52584330000000001</v>
      </c>
      <c r="F4966" t="s">
        <v>75</v>
      </c>
      <c r="G4966">
        <v>-414.86079999999998</v>
      </c>
      <c r="H4966" s="1">
        <v>-1.328887E-5</v>
      </c>
      <c r="I4966">
        <v>9.9198339999999998</v>
      </c>
      <c r="J4966">
        <v>-422.37479999999999</v>
      </c>
      <c r="K4966">
        <v>1.104241</v>
      </c>
      <c r="L4966">
        <v>70.168059999999997</v>
      </c>
      <c r="M4966">
        <v>-3.8688979999999998E-2</v>
      </c>
      <c r="N4966">
        <v>0</v>
      </c>
      <c r="O4966">
        <v>-0.99920580000000003</v>
      </c>
      <c r="P4966">
        <v>3.6111940000000002E-2</v>
      </c>
      <c r="Q4966">
        <v>2.541908E-2</v>
      </c>
      <c r="R4966">
        <v>-0.99902459999999904</v>
      </c>
      <c r="S4966">
        <v>0.37042239999999999</v>
      </c>
      <c r="T4966">
        <v>-5.4521439999999997E-2</v>
      </c>
      <c r="U4966">
        <v>-2.9909669999999999</v>
      </c>
      <c r="V4966">
        <v>-7.4715740000000003E-2</v>
      </c>
      <c r="W4966">
        <v>3.4982520000000003E-2</v>
      </c>
      <c r="X4966">
        <v>0.99659109999999995</v>
      </c>
      <c r="Y4966">
        <v>-0.16119339999999999</v>
      </c>
      <c r="Z4966">
        <v>1.8017209999999999E-2</v>
      </c>
      <c r="AA4966">
        <v>0.98675840000000004</v>
      </c>
      <c r="AB4966">
        <v>32</v>
      </c>
      <c r="AC4966">
        <v>7.5140000000000002</v>
      </c>
      <c r="AD4966">
        <v>-1.10425428887</v>
      </c>
      <c r="AE4966">
        <v>-60.248226000000003</v>
      </c>
      <c r="AF4966">
        <v>-9.8361684997546899</v>
      </c>
      <c r="AG4966">
        <v>-1.10425428887</v>
      </c>
      <c r="AH4966">
        <v>59.8925803071321</v>
      </c>
      <c r="AI4966">
        <v>91.042297236921797</v>
      </c>
      <c r="AJ4966">
        <v>99.3264406626122</v>
      </c>
      <c r="AK4966">
        <v>60.704948432037398</v>
      </c>
    </row>
    <row r="4967" spans="1:37" x14ac:dyDescent="0.2">
      <c r="A4967" t="str">
        <f>"20200111155654734"</f>
        <v>20200111155654734</v>
      </c>
      <c r="B4967" t="str">
        <f>"1578729414727884"</f>
        <v>1578729414727884</v>
      </c>
      <c r="C4967" t="s">
        <v>37</v>
      </c>
      <c r="D4967">
        <v>4.9224430000000003</v>
      </c>
      <c r="E4967">
        <v>0.52670879999999998</v>
      </c>
      <c r="F4967" t="s">
        <v>38</v>
      </c>
      <c r="G4967">
        <v>-423.15280000000001</v>
      </c>
      <c r="H4967" s="1">
        <v>-3.3618830000000001E-6</v>
      </c>
      <c r="I4967">
        <v>45.470279999999903</v>
      </c>
      <c r="J4967">
        <v>-422.38400000000001</v>
      </c>
      <c r="K4967">
        <v>1.104358</v>
      </c>
      <c r="L4967">
        <v>69.932739999999995</v>
      </c>
      <c r="M4967">
        <v>-3.8684219999999998E-2</v>
      </c>
      <c r="N4967">
        <v>0</v>
      </c>
      <c r="O4967">
        <v>-0.99920169999999997</v>
      </c>
      <c r="P4967">
        <v>3.5999339999999998E-2</v>
      </c>
      <c r="Q4967">
        <v>2.527745E-2</v>
      </c>
      <c r="R4967">
        <v>-0.99903259999999905</v>
      </c>
      <c r="S4967">
        <v>-9.4818120000000006E-2</v>
      </c>
      <c r="T4967">
        <v>-0.13456879999999999</v>
      </c>
      <c r="U4967">
        <v>-3.0097959999999899</v>
      </c>
      <c r="V4967">
        <v>-7.4606580000000006E-2</v>
      </c>
      <c r="W4967">
        <v>3.5287499999999999E-2</v>
      </c>
      <c r="X4967">
        <v>0.99658849999999999</v>
      </c>
      <c r="Y4967">
        <v>-7.2343440000000002E-3</v>
      </c>
      <c r="Z4967">
        <v>4.4603900000000002E-2</v>
      </c>
      <c r="AA4967">
        <v>0.99897860000000005</v>
      </c>
      <c r="AB4967">
        <v>32</v>
      </c>
      <c r="AC4967">
        <v>-0.76879999999999804</v>
      </c>
      <c r="AD4967">
        <v>-1.1043613618829999</v>
      </c>
      <c r="AE4967">
        <v>-24.46246</v>
      </c>
      <c r="AF4967">
        <v>-0.17777182278746001</v>
      </c>
      <c r="AG4967">
        <v>-1.1043613618829999</v>
      </c>
      <c r="AH4967">
        <v>24.424160197092199</v>
      </c>
      <c r="AI4967">
        <v>92.588850676619998</v>
      </c>
      <c r="AJ4967">
        <v>90.417021310818797</v>
      </c>
      <c r="AK4967">
        <v>24.449761106641098</v>
      </c>
    </row>
    <row r="4968" spans="1:37" x14ac:dyDescent="0.2">
      <c r="A4968" t="str">
        <f>"20200111155654749"</f>
        <v>20200111155654749</v>
      </c>
      <c r="B4968" t="str">
        <f>"1578729414737644"</f>
        <v>1578729414737644</v>
      </c>
      <c r="C4968" t="s">
        <v>37</v>
      </c>
      <c r="D4968">
        <v>4.8863209999999997</v>
      </c>
      <c r="E4968">
        <v>0.52587689999999998</v>
      </c>
      <c r="F4968" t="s">
        <v>75</v>
      </c>
      <c r="G4968">
        <v>-424.21839999999997</v>
      </c>
      <c r="H4968" s="1">
        <v>-9.4106799999999998E-6</v>
      </c>
      <c r="I4968">
        <v>16.700839999999999</v>
      </c>
      <c r="J4968">
        <v>-422.39210000000003</v>
      </c>
      <c r="K4968">
        <v>1.1044659999999999</v>
      </c>
      <c r="L4968">
        <v>69.721279999999993</v>
      </c>
      <c r="M4968">
        <v>-3.8600839999999997E-2</v>
      </c>
      <c r="N4968">
        <v>0</v>
      </c>
      <c r="O4968">
        <v>-0.99920069999999905</v>
      </c>
      <c r="P4968">
        <v>3.603431E-2</v>
      </c>
      <c r="Q4968">
        <v>2.5147039999999999E-2</v>
      </c>
      <c r="R4968">
        <v>-0.99903430000000004</v>
      </c>
      <c r="S4968">
        <v>-0.1036682</v>
      </c>
      <c r="T4968">
        <v>-6.241E-2</v>
      </c>
      <c r="U4968">
        <v>-3.0082399999999998</v>
      </c>
      <c r="V4968">
        <v>-7.4566510000000003E-2</v>
      </c>
      <c r="W4968">
        <v>3.5524350000000003E-2</v>
      </c>
      <c r="X4968">
        <v>0.99658310000000006</v>
      </c>
      <c r="Y4968">
        <v>-4.1721099999999997E-3</v>
      </c>
      <c r="Z4968">
        <v>2.071247E-2</v>
      </c>
      <c r="AA4968">
        <v>0.99977680000000002</v>
      </c>
      <c r="AB4968">
        <v>32</v>
      </c>
      <c r="AC4968">
        <v>-1.8262999999999401</v>
      </c>
      <c r="AD4968">
        <v>-1.1044754106799901</v>
      </c>
      <c r="AE4968">
        <v>-53.020440000000001</v>
      </c>
      <c r="AF4968">
        <v>-0.22170915997659299</v>
      </c>
      <c r="AG4968">
        <v>-1.1044754106799901</v>
      </c>
      <c r="AH4968">
        <v>53.028436973936103</v>
      </c>
      <c r="AI4968">
        <v>91.193172608978102</v>
      </c>
      <c r="AJ4968">
        <v>90.239549303245099</v>
      </c>
      <c r="AK4968">
        <v>53.040401099380098</v>
      </c>
    </row>
    <row r="4969" spans="1:37" x14ac:dyDescent="0.2">
      <c r="A4969" t="str">
        <f>"20200111155654763"</f>
        <v>20200111155654763</v>
      </c>
      <c r="B4969" t="str">
        <f>"1578729414758140"</f>
        <v>1578729414758140</v>
      </c>
      <c r="C4969" t="s">
        <v>37</v>
      </c>
      <c r="D4969">
        <v>4.7774159999999997</v>
      </c>
      <c r="E4969">
        <v>0.52604600000000001</v>
      </c>
      <c r="F4969" t="s">
        <v>75</v>
      </c>
      <c r="G4969">
        <v>-424.00360000000001</v>
      </c>
      <c r="H4969" s="1">
        <v>-9.7888969999999904E-6</v>
      </c>
      <c r="I4969">
        <v>19.392949999999999</v>
      </c>
      <c r="J4969">
        <v>-422.4</v>
      </c>
      <c r="K4969">
        <v>1.1045719999999899</v>
      </c>
      <c r="L4969">
        <v>69.516719999999907</v>
      </c>
      <c r="M4969">
        <v>-3.8454580000000002E-2</v>
      </c>
      <c r="N4969">
        <v>0</v>
      </c>
      <c r="O4969">
        <v>-0.9992029</v>
      </c>
      <c r="P4969">
        <v>3.5685260000000003E-2</v>
      </c>
      <c r="Q4969">
        <v>2.5614809999999998E-2</v>
      </c>
      <c r="R4969">
        <v>-0.99903509999999995</v>
      </c>
      <c r="S4969">
        <v>-9.6313480000000007E-2</v>
      </c>
      <c r="T4969">
        <v>-6.6012379999999996E-2</v>
      </c>
      <c r="U4969">
        <v>-3.0080259999999899</v>
      </c>
      <c r="V4969">
        <v>-7.4079660000000006E-2</v>
      </c>
      <c r="W4969">
        <v>3.6322529999999999E-2</v>
      </c>
      <c r="X4969">
        <v>0.99659059999999899</v>
      </c>
      <c r="Y4969">
        <v>-6.4660230000000004E-3</v>
      </c>
      <c r="Z4969">
        <v>2.1909959999999999E-2</v>
      </c>
      <c r="AA4969">
        <v>0.99973909999999999</v>
      </c>
      <c r="AB4969">
        <v>32</v>
      </c>
      <c r="AC4969">
        <v>-1.6036000000000199</v>
      </c>
      <c r="AD4969">
        <v>-1.104581788897</v>
      </c>
      <c r="AE4969">
        <v>-50.123769999999901</v>
      </c>
      <c r="AF4969">
        <v>-0.32502773787580103</v>
      </c>
      <c r="AG4969">
        <v>-1.104581788897</v>
      </c>
      <c r="AH4969">
        <v>50.124043947835702</v>
      </c>
      <c r="AI4969">
        <v>91.262394211648399</v>
      </c>
      <c r="AJ4969">
        <v>90.371527417319598</v>
      </c>
      <c r="AK4969">
        <v>50.1372668345943</v>
      </c>
    </row>
    <row r="4970" spans="1:37" x14ac:dyDescent="0.2">
      <c r="A4970" t="str">
        <f>"20200111155654780"</f>
        <v>20200111155654780</v>
      </c>
      <c r="B4970" t="str">
        <f>"1578729414777660"</f>
        <v>1578729414777660</v>
      </c>
      <c r="C4970" t="s">
        <v>37</v>
      </c>
      <c r="D4970">
        <v>4.8111790000000001</v>
      </c>
      <c r="E4970">
        <v>0.52651139999999996</v>
      </c>
      <c r="F4970" t="s">
        <v>75</v>
      </c>
      <c r="G4970">
        <v>-423.92540000000002</v>
      </c>
      <c r="H4970" s="1">
        <v>-8.6892210000000005E-6</v>
      </c>
      <c r="I4970">
        <v>22.948609999999999</v>
      </c>
      <c r="J4970">
        <v>-422.40929999999997</v>
      </c>
      <c r="K4970">
        <v>1.104706</v>
      </c>
      <c r="L4970">
        <v>69.270169999999993</v>
      </c>
      <c r="M4970">
        <v>-3.8176340000000003E-2</v>
      </c>
      <c r="N4970">
        <v>0</v>
      </c>
      <c r="O4970">
        <v>-0.99920889999999996</v>
      </c>
      <c r="P4970">
        <v>3.5802090000000002E-2</v>
      </c>
      <c r="Q4970">
        <v>2.5720730000000001E-2</v>
      </c>
      <c r="R4970">
        <v>-0.99902760000000002</v>
      </c>
      <c r="S4970">
        <v>-9.8541260000000006E-2</v>
      </c>
      <c r="T4970">
        <v>-7.1354509999999996E-2</v>
      </c>
      <c r="U4970">
        <v>-3.0082399999999998</v>
      </c>
      <c r="V4970">
        <v>-7.3930140000000005E-2</v>
      </c>
      <c r="W4970">
        <v>3.678857E-2</v>
      </c>
      <c r="X4970">
        <v>0.99658469999999999</v>
      </c>
      <c r="Y4970">
        <v>-5.45174099999999E-3</v>
      </c>
      <c r="Z4970">
        <v>2.3680570000000001E-2</v>
      </c>
      <c r="AA4970">
        <v>0.999704699999999</v>
      </c>
      <c r="AB4970">
        <v>32</v>
      </c>
      <c r="AC4970">
        <v>-1.51610000000005</v>
      </c>
      <c r="AD4970">
        <v>-1.104714689221</v>
      </c>
      <c r="AE4970">
        <v>-46.321559999999899</v>
      </c>
      <c r="AF4970">
        <v>-0.25335879840082998</v>
      </c>
      <c r="AG4970">
        <v>-1.104714689221</v>
      </c>
      <c r="AH4970">
        <v>46.319354257467801</v>
      </c>
      <c r="AI4970">
        <v>91.366222539153497</v>
      </c>
      <c r="AJ4970">
        <v>90.313394806863101</v>
      </c>
      <c r="AK4970">
        <v>46.333218796605401</v>
      </c>
    </row>
    <row r="4971" spans="1:37" x14ac:dyDescent="0.2">
      <c r="A4971" t="str">
        <f>"20200111155654796"</f>
        <v>20200111155654796</v>
      </c>
      <c r="B4971" t="str">
        <f>"1578729414788395"</f>
        <v>1578729414788395</v>
      </c>
      <c r="C4971" t="s">
        <v>37</v>
      </c>
      <c r="D4971">
        <v>4.7903120000000001</v>
      </c>
      <c r="E4971">
        <v>0.52663439999999995</v>
      </c>
      <c r="F4971" t="s">
        <v>75</v>
      </c>
      <c r="G4971">
        <v>-423.6653</v>
      </c>
      <c r="H4971" s="1">
        <v>-4.6149840000000003E-6</v>
      </c>
      <c r="I4971">
        <v>32.215629999999997</v>
      </c>
      <c r="J4971">
        <v>-422.41770000000002</v>
      </c>
      <c r="K4971">
        <v>1.1048359999999999</v>
      </c>
      <c r="L4971">
        <v>69.043909999999997</v>
      </c>
      <c r="M4971">
        <v>-3.7814680000000003E-2</v>
      </c>
      <c r="N4971">
        <v>0</v>
      </c>
      <c r="O4971">
        <v>-0.99921939999999998</v>
      </c>
      <c r="P4971">
        <v>3.5258329999999997E-2</v>
      </c>
      <c r="Q4971">
        <v>2.6168319999999998E-2</v>
      </c>
      <c r="R4971">
        <v>-0.99903580000000003</v>
      </c>
      <c r="S4971">
        <v>-0.101989699999999</v>
      </c>
      <c r="T4971">
        <v>-8.9704039999999999E-2</v>
      </c>
      <c r="U4971">
        <v>-3.0088810000000001</v>
      </c>
      <c r="V4971">
        <v>-7.3037069999999996E-2</v>
      </c>
      <c r="W4971">
        <v>3.75324E-2</v>
      </c>
      <c r="X4971">
        <v>0.99662269999999897</v>
      </c>
      <c r="Y4971">
        <v>-3.9579009999999998E-3</v>
      </c>
      <c r="Z4971">
        <v>2.9759239999999999E-2</v>
      </c>
      <c r="AA4971">
        <v>0.99954929999999997</v>
      </c>
      <c r="AB4971">
        <v>32</v>
      </c>
      <c r="AC4971">
        <v>-1.2475999999999701</v>
      </c>
      <c r="AD4971">
        <v>-1.104840614984</v>
      </c>
      <c r="AE4971">
        <v>-36.828279999999999</v>
      </c>
      <c r="AF4971">
        <v>-0.14590187962317899</v>
      </c>
      <c r="AG4971">
        <v>-1.104840614984</v>
      </c>
      <c r="AH4971">
        <v>36.816020543259597</v>
      </c>
      <c r="AI4971">
        <v>91.718904264096693</v>
      </c>
      <c r="AJ4971">
        <v>90.227061970282605</v>
      </c>
      <c r="AK4971">
        <v>36.832883796747502</v>
      </c>
    </row>
    <row r="4972" spans="1:37" x14ac:dyDescent="0.2">
      <c r="A4972" t="str">
        <f>"20200111155654819"</f>
        <v>20200111155654819</v>
      </c>
      <c r="B4972" t="str">
        <f>"1578729414807916"</f>
        <v>1578729414807916</v>
      </c>
      <c r="C4972" t="s">
        <v>37</v>
      </c>
      <c r="D4972">
        <v>4.8115629999999996</v>
      </c>
      <c r="E4972">
        <v>0.52684609999999998</v>
      </c>
      <c r="F4972" t="s">
        <v>75</v>
      </c>
      <c r="G4972">
        <v>-423.63670000000002</v>
      </c>
      <c r="H4972" s="1">
        <v>-3.9382699999999996E-6</v>
      </c>
      <c r="I4972">
        <v>33.8977</v>
      </c>
      <c r="J4972">
        <v>-422.42930000000001</v>
      </c>
      <c r="K4972">
        <v>1.105029</v>
      </c>
      <c r="L4972">
        <v>68.721069999999997</v>
      </c>
      <c r="M4972">
        <v>-3.71347E-2</v>
      </c>
      <c r="N4972">
        <v>0</v>
      </c>
      <c r="O4972">
        <v>-0.99924009999999996</v>
      </c>
      <c r="P4972">
        <v>3.4571299999999999E-2</v>
      </c>
      <c r="Q4972">
        <v>2.619486E-2</v>
      </c>
      <c r="R4972">
        <v>-0.99905900000000003</v>
      </c>
      <c r="S4972">
        <v>-0.10437009999999999</v>
      </c>
      <c r="T4972">
        <v>-9.4591499999999995E-2</v>
      </c>
      <c r="U4972">
        <v>-3.009064</v>
      </c>
      <c r="V4972">
        <v>-7.1689119999999995E-2</v>
      </c>
      <c r="W4972">
        <v>3.7935040000000003E-2</v>
      </c>
      <c r="X4972">
        <v>0.99670539999999996</v>
      </c>
      <c r="Y4972">
        <v>-2.4915810000000001E-3</v>
      </c>
      <c r="Z4972">
        <v>3.1378040000000003E-2</v>
      </c>
      <c r="AA4972">
        <v>0.99950450000000002</v>
      </c>
      <c r="AB4972">
        <v>32</v>
      </c>
      <c r="AC4972">
        <v>-1.2074</v>
      </c>
      <c r="AD4972">
        <v>-1.1050329382699999</v>
      </c>
      <c r="AE4972">
        <v>-34.823369999999997</v>
      </c>
      <c r="AF4972">
        <v>-8.6591889996298299E-2</v>
      </c>
      <c r="AG4972">
        <v>-1.1050329382699999</v>
      </c>
      <c r="AH4972">
        <v>34.809178366773899</v>
      </c>
      <c r="AI4972">
        <v>91.818263891168499</v>
      </c>
      <c r="AJ4972">
        <v>90.142529638321506</v>
      </c>
      <c r="AK4972">
        <v>34.826821481725197</v>
      </c>
    </row>
    <row r="4973" spans="1:37" x14ac:dyDescent="0.2">
      <c r="A4973" t="str">
        <f>"20200111155654834"</f>
        <v>20200111155654834</v>
      </c>
      <c r="B4973" t="str">
        <f>"1578729414828411"</f>
        <v>1578729414828411</v>
      </c>
      <c r="C4973" t="s">
        <v>37</v>
      </c>
      <c r="D4973">
        <v>4.809634</v>
      </c>
      <c r="E4973">
        <v>0.52708189999999999</v>
      </c>
      <c r="F4973" t="s">
        <v>75</v>
      </c>
      <c r="G4973">
        <v>-423.58499999999998</v>
      </c>
      <c r="H4973" s="1">
        <v>-2.454939E-6</v>
      </c>
      <c r="I4973">
        <v>36.546169999999996</v>
      </c>
      <c r="J4973">
        <v>-422.43729999999999</v>
      </c>
      <c r="K4973">
        <v>1.105181</v>
      </c>
      <c r="L4973">
        <v>68.489649999999997</v>
      </c>
      <c r="M4973">
        <v>-3.6470719999999998E-2</v>
      </c>
      <c r="N4973">
        <v>0</v>
      </c>
      <c r="O4973">
        <v>-0.99926159999999997</v>
      </c>
      <c r="P4973">
        <v>3.4327400000000001E-2</v>
      </c>
      <c r="Q4973">
        <v>2.6219429999999998E-2</v>
      </c>
      <c r="R4973">
        <v>-0.99906709999999999</v>
      </c>
      <c r="S4973">
        <v>-0.1080933</v>
      </c>
      <c r="T4973">
        <v>-0.10335219999999901</v>
      </c>
      <c r="U4973">
        <v>-3.009277</v>
      </c>
      <c r="V4973">
        <v>-7.0796810000000002E-2</v>
      </c>
      <c r="W4973">
        <v>3.8190910000000002E-2</v>
      </c>
      <c r="X4973">
        <v>0.99675939999999996</v>
      </c>
      <c r="Y4973">
        <v>-5.9802439999999998E-4</v>
      </c>
      <c r="Z4973">
        <v>3.4278999999999997E-2</v>
      </c>
      <c r="AA4973">
        <v>0.99941209999999903</v>
      </c>
      <c r="AB4973">
        <v>32</v>
      </c>
      <c r="AC4973">
        <v>-1.14769999999998</v>
      </c>
      <c r="AD4973">
        <v>-1.1051834549390001</v>
      </c>
      <c r="AE4973">
        <v>-31.943479999999902</v>
      </c>
      <c r="AF4973">
        <v>-1.81288301642967E-2</v>
      </c>
      <c r="AG4973">
        <v>-1.1051834549390001</v>
      </c>
      <c r="AH4973">
        <v>31.925919154191099</v>
      </c>
      <c r="AI4973">
        <v>91.982622997148297</v>
      </c>
      <c r="AJ4973">
        <v>90.032534861072094</v>
      </c>
      <c r="AK4973">
        <v>31.945047706389499</v>
      </c>
    </row>
    <row r="4974" spans="1:37" x14ac:dyDescent="0.2">
      <c r="A4974" t="str">
        <f>"20200111155654852"</f>
        <v>20200111155654852</v>
      </c>
      <c r="B4974" t="str">
        <f>"1578729414847932"</f>
        <v>1578729414847932</v>
      </c>
      <c r="C4974" t="s">
        <v>37</v>
      </c>
      <c r="D4974">
        <v>4.8306719999999999</v>
      </c>
      <c r="E4974">
        <v>0.52709790000000001</v>
      </c>
      <c r="F4974" t="s">
        <v>75</v>
      </c>
      <c r="G4974">
        <v>-423.56139999999999</v>
      </c>
      <c r="H4974" s="1">
        <v>-1.606092E-6</v>
      </c>
      <c r="I4974">
        <v>37.917569999999998</v>
      </c>
      <c r="J4974">
        <v>-422.44580000000002</v>
      </c>
      <c r="K4974">
        <v>1.1053519999999999</v>
      </c>
      <c r="L4974">
        <v>68.232150000000004</v>
      </c>
      <c r="M4974">
        <v>-3.560464E-2</v>
      </c>
      <c r="N4974">
        <v>0</v>
      </c>
      <c r="O4974">
        <v>-0.99928969999999995</v>
      </c>
      <c r="P4974">
        <v>3.288025E-2</v>
      </c>
      <c r="Q4974">
        <v>2.6050259999999999E-2</v>
      </c>
      <c r="R4974">
        <v>-0.9991198</v>
      </c>
      <c r="S4974">
        <v>-0.1106567</v>
      </c>
      <c r="T4974">
        <v>-0.10879220000000001</v>
      </c>
      <c r="U4974">
        <v>-3.0094599999999998</v>
      </c>
      <c r="V4974">
        <v>-6.8503170000000002E-2</v>
      </c>
      <c r="W4974">
        <v>3.8257149999999997E-2</v>
      </c>
      <c r="X4974">
        <v>0.9969171</v>
      </c>
      <c r="Y4974">
        <v>1.1142459999999999E-3</v>
      </c>
      <c r="Z4974">
        <v>3.6079939999999998E-2</v>
      </c>
      <c r="AA4974">
        <v>0.99934829999999997</v>
      </c>
      <c r="AB4974">
        <v>32</v>
      </c>
      <c r="AC4974">
        <v>-1.1155999999999699</v>
      </c>
      <c r="AD4974">
        <v>-1.105353606092</v>
      </c>
      <c r="AE4974">
        <v>-30.314579999999999</v>
      </c>
      <c r="AF4974">
        <v>3.5423551611248397E-2</v>
      </c>
      <c r="AG4974">
        <v>-1.105353606092</v>
      </c>
      <c r="AH4974">
        <v>30.294856230493298</v>
      </c>
      <c r="AI4974">
        <v>92.089594723986906</v>
      </c>
      <c r="AJ4974">
        <v>89.933004498775205</v>
      </c>
      <c r="AK4974">
        <v>30.315035468373999</v>
      </c>
    </row>
    <row r="4975" spans="1:37" x14ac:dyDescent="0.2">
      <c r="A4975" t="str">
        <f>"20200111155654869"</f>
        <v>20200111155654869</v>
      </c>
      <c r="B4975" t="str">
        <f>"1578729414857692"</f>
        <v>1578729414857692</v>
      </c>
      <c r="C4975" t="s">
        <v>37</v>
      </c>
      <c r="D4975">
        <v>4.862933</v>
      </c>
      <c r="E4975">
        <v>0.52711549999999996</v>
      </c>
      <c r="F4975" t="s">
        <v>75</v>
      </c>
      <c r="G4975">
        <v>-423.56400000000002</v>
      </c>
      <c r="H4975" s="1">
        <v>-1.1316319999999999E-6</v>
      </c>
      <c r="I4975">
        <v>39.1616</v>
      </c>
      <c r="J4975">
        <v>-422.45299999999997</v>
      </c>
      <c r="K4975">
        <v>1.105515</v>
      </c>
      <c r="L4975">
        <v>68.006649999999993</v>
      </c>
      <c r="M4975">
        <v>-3.4699679999999997E-2</v>
      </c>
      <c r="N4975">
        <v>0</v>
      </c>
      <c r="O4975">
        <v>-0.99931899999999996</v>
      </c>
      <c r="P4975">
        <v>3.2586619999999997E-2</v>
      </c>
      <c r="Q4975">
        <v>2.5737940000000001E-2</v>
      </c>
      <c r="R4975">
        <v>-0.99913770000000002</v>
      </c>
      <c r="S4975">
        <v>-0.115753199999999</v>
      </c>
      <c r="T4975">
        <v>-0.1144279</v>
      </c>
      <c r="U4975">
        <v>-3.00943</v>
      </c>
      <c r="V4975">
        <v>-6.7320740000000004E-2</v>
      </c>
      <c r="W4975">
        <v>3.8126109999999998E-2</v>
      </c>
      <c r="X4975">
        <v>0.99700270000000002</v>
      </c>
      <c r="Y4975">
        <v>3.7074439999999998E-3</v>
      </c>
      <c r="Z4975">
        <v>3.7947219999999997E-2</v>
      </c>
      <c r="AA4975">
        <v>0.99927289999999902</v>
      </c>
      <c r="AB4975">
        <v>32</v>
      </c>
      <c r="AC4975">
        <v>-1.11099999999999</v>
      </c>
      <c r="AD4975">
        <v>-1.1055161316319999</v>
      </c>
      <c r="AE4975">
        <v>-28.845050000000001</v>
      </c>
      <c r="AF4975">
        <v>0.109177881282391</v>
      </c>
      <c r="AG4975">
        <v>-1.1055161316319999</v>
      </c>
      <c r="AH4975">
        <v>28.823954379019501</v>
      </c>
      <c r="AI4975">
        <v>92.196434334586598</v>
      </c>
      <c r="AJ4975">
        <v>89.782979052213705</v>
      </c>
      <c r="AK4975">
        <v>28.845353729341898</v>
      </c>
    </row>
    <row r="4976" spans="1:37" x14ac:dyDescent="0.2">
      <c r="A4976" t="str">
        <f>"20200111155654885"</f>
        <v>20200111155654885</v>
      </c>
      <c r="B4976" t="str">
        <f>"1578729414878188"</f>
        <v>1578729414878188</v>
      </c>
      <c r="C4976" t="s">
        <v>37</v>
      </c>
      <c r="D4976">
        <v>4.9013799999999996</v>
      </c>
      <c r="E4976">
        <v>0.52699459999999998</v>
      </c>
      <c r="F4976" t="s">
        <v>38</v>
      </c>
      <c r="G4976">
        <v>-423.55040000000002</v>
      </c>
      <c r="H4976" s="1">
        <v>-9.8287680000000006E-7</v>
      </c>
      <c r="I4976">
        <v>39.678150000000002</v>
      </c>
      <c r="J4976">
        <v>-422.46050000000002</v>
      </c>
      <c r="K4976">
        <v>1.105704</v>
      </c>
      <c r="L4976">
        <v>67.760469999999998</v>
      </c>
      <c r="M4976">
        <v>-3.354729E-2</v>
      </c>
      <c r="N4976">
        <v>0</v>
      </c>
      <c r="O4976">
        <v>-0.99935560000000001</v>
      </c>
      <c r="P4976">
        <v>3.003113E-2</v>
      </c>
      <c r="Q4976">
        <v>2.5944289999999998E-2</v>
      </c>
      <c r="R4976">
        <v>-0.99921249999999995</v>
      </c>
      <c r="S4976">
        <v>-0.116577099999999</v>
      </c>
      <c r="T4976">
        <v>-0.1174414</v>
      </c>
      <c r="U4976">
        <v>-3.0093990000000002</v>
      </c>
      <c r="V4976">
        <v>-6.3636349999999994E-2</v>
      </c>
      <c r="W4976">
        <v>3.8516830000000002E-2</v>
      </c>
      <c r="X4976">
        <v>0.99722960000000005</v>
      </c>
      <c r="Y4976">
        <v>5.13259299999999E-3</v>
      </c>
      <c r="Z4976">
        <v>3.8947420000000003E-2</v>
      </c>
      <c r="AA4976">
        <v>0.99922809999999995</v>
      </c>
      <c r="AB4976">
        <v>32</v>
      </c>
      <c r="AC4976">
        <v>-1.0899000000000001</v>
      </c>
      <c r="AD4976">
        <v>-1.1057049828768</v>
      </c>
      <c r="AE4976">
        <v>-28.082319999999999</v>
      </c>
      <c r="AF4976">
        <v>0.14689653445762299</v>
      </c>
      <c r="AG4976">
        <v>-1.1057049828768</v>
      </c>
      <c r="AH4976">
        <v>28.0596418153694</v>
      </c>
      <c r="AI4976">
        <v>92.256571984780905</v>
      </c>
      <c r="AJ4976">
        <v>89.700050534649506</v>
      </c>
      <c r="AK4976">
        <v>28.081803020956801</v>
      </c>
    </row>
    <row r="4977" spans="1:37" x14ac:dyDescent="0.2">
      <c r="A4977" t="str">
        <f>"20200111155654909"</f>
        <v>20200111155654909</v>
      </c>
      <c r="B4977" t="str">
        <f>"1578729414897709"</f>
        <v>1578729414897709</v>
      </c>
      <c r="C4977" t="s">
        <v>37</v>
      </c>
      <c r="D4977">
        <v>4.8668760000000004</v>
      </c>
      <c r="E4977">
        <v>0.52679469999999995</v>
      </c>
      <c r="F4977" t="s">
        <v>38</v>
      </c>
      <c r="G4977">
        <v>-423.59140000000002</v>
      </c>
      <c r="H4977" s="1">
        <v>-1.144322E-6</v>
      </c>
      <c r="I4977">
        <v>40.02908</v>
      </c>
      <c r="J4977">
        <v>-422.46940000000001</v>
      </c>
      <c r="K4977">
        <v>1.1059619999999999</v>
      </c>
      <c r="L4977">
        <v>67.443209999999993</v>
      </c>
      <c r="M4977">
        <v>-3.1782379999999999E-2</v>
      </c>
      <c r="N4977">
        <v>0</v>
      </c>
      <c r="O4977">
        <v>-0.99941029999999997</v>
      </c>
      <c r="P4977">
        <v>2.7272089999999999E-2</v>
      </c>
      <c r="Q4977">
        <v>2.6454620000000002E-2</v>
      </c>
      <c r="R4977">
        <v>-0.99927809999999995</v>
      </c>
      <c r="S4977">
        <v>-0.12271120000000001</v>
      </c>
      <c r="T4977">
        <v>-0.119982199999999</v>
      </c>
      <c r="U4977">
        <v>-3.0091860000000001</v>
      </c>
      <c r="V4977">
        <v>-5.9144240000000001E-2</v>
      </c>
      <c r="W4977">
        <v>3.9236310000000003E-2</v>
      </c>
      <c r="X4977">
        <v>0.99747809999999903</v>
      </c>
      <c r="Y4977">
        <v>8.9334600000000007E-3</v>
      </c>
      <c r="Z4977">
        <v>3.9792849999999998E-2</v>
      </c>
      <c r="AA4977">
        <v>0.99916799999999995</v>
      </c>
      <c r="AB4977">
        <v>32</v>
      </c>
      <c r="AC4977">
        <v>-1.1220000000000101</v>
      </c>
      <c r="AD4977">
        <v>-1.1059631443219999</v>
      </c>
      <c r="AE4977">
        <v>-27.41413</v>
      </c>
      <c r="AF4977">
        <v>0.249667518209782</v>
      </c>
      <c r="AG4977">
        <v>-1.1059631443219999</v>
      </c>
      <c r="AH4977">
        <v>27.391435051206301</v>
      </c>
      <c r="AI4977">
        <v>92.3120362874607</v>
      </c>
      <c r="AJ4977">
        <v>89.477774752600496</v>
      </c>
      <c r="AK4977">
        <v>27.414890160471199</v>
      </c>
    </row>
    <row r="4978" spans="1:37" x14ac:dyDescent="0.2">
      <c r="A4978" t="str">
        <f>"20200111155654930"</f>
        <v>20200111155654930</v>
      </c>
      <c r="B4978" t="str">
        <f>"1578729414927964"</f>
        <v>1578729414927964</v>
      </c>
      <c r="C4978" t="s">
        <v>37</v>
      </c>
      <c r="D4978">
        <v>5.142118</v>
      </c>
      <c r="E4978">
        <v>0.52673249999999905</v>
      </c>
      <c r="F4978" t="s">
        <v>38</v>
      </c>
      <c r="G4978">
        <v>-423.6413</v>
      </c>
      <c r="H4978" s="1">
        <v>-1.202825E-6</v>
      </c>
      <c r="I4978">
        <v>40.134479999999897</v>
      </c>
      <c r="J4978">
        <v>-422.47750000000002</v>
      </c>
      <c r="K4978">
        <v>1.1062350000000001</v>
      </c>
      <c r="L4978">
        <v>67.122919999999993</v>
      </c>
      <c r="M4978">
        <v>-2.9692980000000001E-2</v>
      </c>
      <c r="N4978">
        <v>0</v>
      </c>
      <c r="O4978">
        <v>-0.99947229999999998</v>
      </c>
      <c r="P4978">
        <v>2.4514770000000002E-2</v>
      </c>
      <c r="Q4978">
        <v>2.79113E-2</v>
      </c>
      <c r="R4978">
        <v>-0.99931029999999998</v>
      </c>
      <c r="S4978">
        <v>-0.12911989999999901</v>
      </c>
      <c r="T4978">
        <v>-0.12185650000000001</v>
      </c>
      <c r="U4978">
        <v>-3.0089109999999999</v>
      </c>
      <c r="V4978">
        <v>-5.4332749999999999E-2</v>
      </c>
      <c r="W4978">
        <v>4.0880079999999999E-2</v>
      </c>
      <c r="X4978">
        <v>0.99768570000000001</v>
      </c>
      <c r="Y4978">
        <v>1.3150830000000001E-2</v>
      </c>
      <c r="Z4978">
        <v>4.0418290000000003E-2</v>
      </c>
      <c r="AA4978">
        <v>0.99909629999999905</v>
      </c>
      <c r="AB4978">
        <v>32</v>
      </c>
      <c r="AC4978">
        <v>-1.16379999999998</v>
      </c>
      <c r="AD4978">
        <v>-1.1062362028249999</v>
      </c>
      <c r="AE4978">
        <v>-26.988440000000001</v>
      </c>
      <c r="AF4978">
        <v>0.36124422915758098</v>
      </c>
      <c r="AG4978">
        <v>-1.1062362028249999</v>
      </c>
      <c r="AH4978">
        <v>26.965875706216</v>
      </c>
      <c r="AI4978">
        <v>92.348949049314598</v>
      </c>
      <c r="AJ4978">
        <v>89.232491764487705</v>
      </c>
      <c r="AK4978">
        <v>26.9909745754507</v>
      </c>
    </row>
    <row r="4979" spans="1:37" x14ac:dyDescent="0.2">
      <c r="A4979" t="str">
        <f>"20200111155654947"</f>
        <v>20200111155654947</v>
      </c>
      <c r="B4979" t="str">
        <f>"1578729414937724"</f>
        <v>1578729414937724</v>
      </c>
      <c r="C4979" t="s">
        <v>37</v>
      </c>
      <c r="D4979">
        <v>4.9129449999999997</v>
      </c>
      <c r="E4979">
        <v>0.56781990000000004</v>
      </c>
      <c r="F4979" t="s">
        <v>75</v>
      </c>
      <c r="G4979">
        <v>-423.74209999999999</v>
      </c>
      <c r="H4979" s="1">
        <v>-1.140151E-6</v>
      </c>
      <c r="I4979">
        <v>39.263359999999999</v>
      </c>
      <c r="J4979">
        <v>-422.48270000000002</v>
      </c>
      <c r="K4979">
        <v>1.10643</v>
      </c>
      <c r="L4979">
        <v>66.895569999999907</v>
      </c>
      <c r="M4979">
        <v>-2.8015869999999998E-2</v>
      </c>
      <c r="N4979">
        <v>0</v>
      </c>
      <c r="O4979">
        <v>-0.99951869999999998</v>
      </c>
      <c r="P4979">
        <v>2.377485E-2</v>
      </c>
      <c r="Q4979">
        <v>2.8337310000000001E-2</v>
      </c>
      <c r="R4979">
        <v>-0.99931589999999904</v>
      </c>
      <c r="S4979">
        <v>-0.1365662</v>
      </c>
      <c r="T4979">
        <v>-0.11947049999999999</v>
      </c>
      <c r="U4979">
        <v>-3.008759</v>
      </c>
      <c r="V4979">
        <v>-5.1938970000000001E-2</v>
      </c>
      <c r="W4979">
        <v>4.1421779999999998E-2</v>
      </c>
      <c r="X4979">
        <v>0.99779089999999904</v>
      </c>
      <c r="Y4979">
        <v>1.7299889999999998E-2</v>
      </c>
      <c r="Z4979">
        <v>3.9629619999999997E-2</v>
      </c>
      <c r="AA4979">
        <v>0.99906469999999903</v>
      </c>
      <c r="AB4979">
        <v>32</v>
      </c>
      <c r="AC4979">
        <v>-1.2593999999999701</v>
      </c>
      <c r="AD4979">
        <v>-1.1064311401510001</v>
      </c>
      <c r="AE4979">
        <v>-27.632209999999901</v>
      </c>
      <c r="AF4979">
        <v>0.48392219234900902</v>
      </c>
      <c r="AG4979">
        <v>-1.1064311401510001</v>
      </c>
      <c r="AH4979">
        <v>27.612468578006801</v>
      </c>
      <c r="AI4979">
        <v>92.294261413939907</v>
      </c>
      <c r="AJ4979">
        <v>88.995965862599206</v>
      </c>
      <c r="AK4979">
        <v>27.638863788650202</v>
      </c>
    </row>
    <row r="4980" spans="1:37" x14ac:dyDescent="0.2">
      <c r="A4980" t="str">
        <f>"20200111155654962"</f>
        <v>20200111155654962</v>
      </c>
      <c r="B4980" t="str">
        <f>"1578729414958220"</f>
        <v>1578729414958220</v>
      </c>
      <c r="C4980" t="s">
        <v>37</v>
      </c>
      <c r="D4980">
        <v>4.8434099999999898</v>
      </c>
      <c r="E4980">
        <v>0.57898139999999998</v>
      </c>
      <c r="F4980" t="s">
        <v>38</v>
      </c>
      <c r="G4980">
        <v>-425.21350000000001</v>
      </c>
      <c r="H4980" s="1">
        <v>-5.0747029999999998E-6</v>
      </c>
      <c r="I4980">
        <v>49.181509999999903</v>
      </c>
      <c r="J4980">
        <v>-422.48719999999997</v>
      </c>
      <c r="K4980">
        <v>1.1066180000000001</v>
      </c>
      <c r="L4980">
        <v>66.676940000000002</v>
      </c>
      <c r="M4980">
        <v>-2.626218E-2</v>
      </c>
      <c r="N4980">
        <v>0</v>
      </c>
      <c r="O4980">
        <v>-0.99956489999999998</v>
      </c>
      <c r="P4980">
        <v>2.3300330000000001E-2</v>
      </c>
      <c r="Q4980">
        <v>2.8809069999999999E-2</v>
      </c>
      <c r="R4980">
        <v>-0.99931349999999997</v>
      </c>
      <c r="S4980">
        <v>-0.46533199999999902</v>
      </c>
      <c r="T4980">
        <v>-0.1885377</v>
      </c>
      <c r="U4980">
        <v>-3.018494</v>
      </c>
      <c r="V4980">
        <v>-4.973288E-2</v>
      </c>
      <c r="W4980">
        <v>4.1994919999999998E-2</v>
      </c>
      <c r="X4980">
        <v>0.99787929999999903</v>
      </c>
      <c r="Y4980">
        <v>0.1260599</v>
      </c>
      <c r="Z4980">
        <v>6.1695609999999998E-2</v>
      </c>
      <c r="AA4980">
        <v>0.99010229999999999</v>
      </c>
      <c r="AB4980">
        <v>32</v>
      </c>
      <c r="AC4980">
        <v>-2.7263000000000299</v>
      </c>
      <c r="AD4980">
        <v>-1.1066230747029999</v>
      </c>
      <c r="AE4980">
        <v>-17.495429999999999</v>
      </c>
      <c r="AF4980">
        <v>2.2570340041062602</v>
      </c>
      <c r="AG4980">
        <v>-1.1066230747029999</v>
      </c>
      <c r="AH4980">
        <v>17.492673506944801</v>
      </c>
      <c r="AI4980">
        <v>93.590144583657903</v>
      </c>
      <c r="AJ4980">
        <v>82.647895000488006</v>
      </c>
      <c r="AK4980">
        <v>17.6723638358235</v>
      </c>
    </row>
    <row r="4981" spans="1:37" x14ac:dyDescent="0.2">
      <c r="A4981" t="str">
        <f>"20200111155654974"</f>
        <v>20200111155654974</v>
      </c>
      <c r="B4981" t="str">
        <f>"1578729414967980"</f>
        <v>1578729414967980</v>
      </c>
      <c r="C4981" t="s">
        <v>37</v>
      </c>
      <c r="D4981">
        <v>4.8039110000000003</v>
      </c>
      <c r="E4981">
        <v>0.58130199999999999</v>
      </c>
      <c r="F4981" t="s">
        <v>38</v>
      </c>
      <c r="G4981">
        <v>-426.55399999999997</v>
      </c>
      <c r="H4981" s="1">
        <v>-3.750511E-6</v>
      </c>
      <c r="I4981">
        <v>44.591569999999997</v>
      </c>
      <c r="J4981">
        <v>-422.49059999999997</v>
      </c>
      <c r="K4981">
        <v>1.1067819999999999</v>
      </c>
      <c r="L4981">
        <v>66.488860000000003</v>
      </c>
      <c r="M4981">
        <v>-2.462775E-2</v>
      </c>
      <c r="N4981">
        <v>0</v>
      </c>
      <c r="O4981">
        <v>-0.99960519999999997</v>
      </c>
      <c r="P4981">
        <v>2.0407539999999998E-2</v>
      </c>
      <c r="Q4981">
        <v>2.9279469999999998E-2</v>
      </c>
      <c r="R4981">
        <v>-0.99936329999999995</v>
      </c>
      <c r="S4981">
        <v>-0.55599980000000004</v>
      </c>
      <c r="T4981">
        <v>-0.15129210000000001</v>
      </c>
      <c r="U4981">
        <v>-3.019409</v>
      </c>
      <c r="V4981">
        <v>-4.5228079999999997E-2</v>
      </c>
      <c r="W4981">
        <v>4.2560420000000002E-2</v>
      </c>
      <c r="X4981">
        <v>0.9980696</v>
      </c>
      <c r="Y4981">
        <v>0.1565994</v>
      </c>
      <c r="Z4981">
        <v>4.9298969999999998E-2</v>
      </c>
      <c r="AA4981">
        <v>0.98643110000000001</v>
      </c>
      <c r="AB4981">
        <v>32</v>
      </c>
      <c r="AC4981">
        <v>-4.0634000000000503</v>
      </c>
      <c r="AD4981">
        <v>-1.1067857505109999</v>
      </c>
      <c r="AE4981">
        <v>-21.897289999999899</v>
      </c>
      <c r="AF4981">
        <v>3.5141580990901802</v>
      </c>
      <c r="AG4981">
        <v>-1.1067857505109999</v>
      </c>
      <c r="AH4981">
        <v>21.936552110778301</v>
      </c>
      <c r="AI4981">
        <v>92.852046429809803</v>
      </c>
      <c r="AJ4981">
        <v>80.898747785255395</v>
      </c>
      <c r="AK4981">
        <v>22.243799143847401</v>
      </c>
    </row>
    <row r="4982" spans="1:37" x14ac:dyDescent="0.2">
      <c r="A4982" t="str">
        <f>"20200111155654993"</f>
        <v>20200111155654993</v>
      </c>
      <c r="B4982" t="str">
        <f>"1578729414988476"</f>
        <v>1578729414988476</v>
      </c>
      <c r="C4982" t="s">
        <v>37</v>
      </c>
      <c r="D4982">
        <v>4.7694479999999997</v>
      </c>
      <c r="E4982">
        <v>0.58362979999999998</v>
      </c>
      <c r="F4982" t="s">
        <v>38</v>
      </c>
      <c r="G4982">
        <v>-426.95490000000001</v>
      </c>
      <c r="H4982" s="1">
        <v>-3.4042660000000001E-6</v>
      </c>
      <c r="I4982">
        <v>43.365130000000001</v>
      </c>
      <c r="J4982">
        <v>-422.49430000000001</v>
      </c>
      <c r="K4982">
        <v>1.1069799999999901</v>
      </c>
      <c r="L4982">
        <v>66.25076</v>
      </c>
      <c r="M4982">
        <v>-2.2393929999999999E-2</v>
      </c>
      <c r="N4982">
        <v>0</v>
      </c>
      <c r="O4982">
        <v>-0.9996564</v>
      </c>
      <c r="P4982">
        <v>2.058393E-2</v>
      </c>
      <c r="Q4982">
        <v>2.9020310000000001E-2</v>
      </c>
      <c r="R4982">
        <v>-0.99936709999999995</v>
      </c>
      <c r="S4982">
        <v>-0.58267209999999903</v>
      </c>
      <c r="T4982">
        <v>-0.1444541</v>
      </c>
      <c r="U4982">
        <v>-3.0180359999999999</v>
      </c>
      <c r="V4982">
        <v>-4.319042E-2</v>
      </c>
      <c r="W4982">
        <v>4.239511E-2</v>
      </c>
      <c r="X4982">
        <v>0.99816689999999997</v>
      </c>
      <c r="Y4982">
        <v>0.16731579999999999</v>
      </c>
      <c r="Z4982">
        <v>4.7020850000000003E-2</v>
      </c>
      <c r="AA4982">
        <v>0.98478140000000003</v>
      </c>
      <c r="AB4982">
        <v>32</v>
      </c>
      <c r="AC4982">
        <v>-4.4606000000000003</v>
      </c>
      <c r="AD4982">
        <v>-1.1069834042659901</v>
      </c>
      <c r="AE4982">
        <v>-22.885629999999999</v>
      </c>
      <c r="AF4982">
        <v>3.9380578412389702</v>
      </c>
      <c r="AG4982">
        <v>-1.1069834042659901</v>
      </c>
      <c r="AH4982">
        <v>22.928108303349401</v>
      </c>
      <c r="AI4982">
        <v>92.724299193636298</v>
      </c>
      <c r="AJ4982">
        <v>80.254154856032102</v>
      </c>
      <c r="AK4982">
        <v>23.290166641490199</v>
      </c>
    </row>
    <row r="4983" spans="1:37" x14ac:dyDescent="0.2">
      <c r="A4983" t="str">
        <f>"20200111155655008"</f>
        <v>20200111155655008</v>
      </c>
      <c r="B4983" t="str">
        <f>"1578729414998236"</f>
        <v>1578729414998236</v>
      </c>
      <c r="C4983" t="s">
        <v>37</v>
      </c>
      <c r="D4983">
        <v>4.8300400000000003</v>
      </c>
      <c r="E4983">
        <v>0.58449700000000004</v>
      </c>
      <c r="F4983" t="s">
        <v>38</v>
      </c>
      <c r="G4983">
        <v>-427.339</v>
      </c>
      <c r="H4983" s="1">
        <v>-2.953395E-6</v>
      </c>
      <c r="I4983">
        <v>41.921680000000002</v>
      </c>
      <c r="J4983">
        <v>-422.49720000000002</v>
      </c>
      <c r="K4983">
        <v>1.1071690000000001</v>
      </c>
      <c r="L4983">
        <v>66.023439999999994</v>
      </c>
      <c r="M4983">
        <v>-2.0113559999999999E-2</v>
      </c>
      <c r="N4983">
        <v>0</v>
      </c>
      <c r="O4983">
        <v>-0.99970380000000003</v>
      </c>
      <c r="P4983">
        <v>1.873476E-2</v>
      </c>
      <c r="Q4983">
        <v>2.8918360000000001E-2</v>
      </c>
      <c r="R4983">
        <v>-0.99940669999999898</v>
      </c>
      <c r="S4983">
        <v>-0.60104369999999996</v>
      </c>
      <c r="T4983">
        <v>-0.13733299999999901</v>
      </c>
      <c r="U4983">
        <v>-3.0182799999999999</v>
      </c>
      <c r="V4983">
        <v>-3.9082029999999997E-2</v>
      </c>
      <c r="W4983">
        <v>4.2388910000000002E-2</v>
      </c>
      <c r="X4983">
        <v>0.99833649999999996</v>
      </c>
      <c r="Y4983">
        <v>0.17533760000000001</v>
      </c>
      <c r="Z4983">
        <v>4.4650130000000003E-2</v>
      </c>
      <c r="AA4983">
        <v>0.98349540000000002</v>
      </c>
      <c r="AB4983">
        <v>32</v>
      </c>
      <c r="AC4983">
        <v>-4.8417999999999699</v>
      </c>
      <c r="AD4983">
        <v>-1.107171953395</v>
      </c>
      <c r="AE4983">
        <v>-24.101759999999999</v>
      </c>
      <c r="AF4983">
        <v>4.3471848534149302</v>
      </c>
      <c r="AG4983">
        <v>-1.107171953395</v>
      </c>
      <c r="AH4983">
        <v>24.1453023580024</v>
      </c>
      <c r="AI4983">
        <v>92.583944962104894</v>
      </c>
      <c r="AJ4983">
        <v>79.793657868635705</v>
      </c>
      <c r="AK4983">
        <v>24.5584908299248</v>
      </c>
    </row>
    <row r="4984" spans="1:37" x14ac:dyDescent="0.2">
      <c r="A4984" t="str">
        <f>"20200111155655025"</f>
        <v>20200111155655025</v>
      </c>
      <c r="B4984" t="str">
        <f>"1578729415017756"</f>
        <v>1578729415017756</v>
      </c>
      <c r="C4984" t="s">
        <v>37</v>
      </c>
      <c r="D4984">
        <v>4.7473970000000003</v>
      </c>
      <c r="E4984">
        <v>0.5852501</v>
      </c>
      <c r="F4984" t="s">
        <v>38</v>
      </c>
      <c r="G4984">
        <v>-427.57260000000002</v>
      </c>
      <c r="H4984" s="1">
        <v>-2.6532249999999999E-6</v>
      </c>
      <c r="I4984">
        <v>41.077089999999998</v>
      </c>
      <c r="J4984">
        <v>-422.49950000000001</v>
      </c>
      <c r="K4984">
        <v>1.1073549999999901</v>
      </c>
      <c r="L4984">
        <v>65.785030000000006</v>
      </c>
      <c r="M4984">
        <v>-1.7579279999999999E-2</v>
      </c>
      <c r="N4984">
        <v>0</v>
      </c>
      <c r="O4984">
        <v>-0.99975040000000004</v>
      </c>
      <c r="P4984">
        <v>1.9582280000000001E-2</v>
      </c>
      <c r="Q4984">
        <v>2.9097499999999998E-2</v>
      </c>
      <c r="R4984">
        <v>-0.99938479999999996</v>
      </c>
      <c r="S4984">
        <v>-0.61386109999999905</v>
      </c>
      <c r="T4984">
        <v>-0.1339089</v>
      </c>
      <c r="U4984">
        <v>-3.0171809999999999</v>
      </c>
      <c r="V4984">
        <v>-3.7416850000000001E-2</v>
      </c>
      <c r="W4984">
        <v>4.2646650000000001E-2</v>
      </c>
      <c r="X4984">
        <v>0.99838930000000004</v>
      </c>
      <c r="Y4984">
        <v>0.1819231</v>
      </c>
      <c r="Z4984">
        <v>4.3513450000000002E-2</v>
      </c>
      <c r="AA4984">
        <v>0.98234949999999999</v>
      </c>
      <c r="AB4984">
        <v>32</v>
      </c>
      <c r="AC4984">
        <v>-5.0731000000000099</v>
      </c>
      <c r="AD4984">
        <v>-1.10735765322499</v>
      </c>
      <c r="AE4984">
        <v>-24.707940000000001</v>
      </c>
      <c r="AF4984">
        <v>4.6290049356463099</v>
      </c>
      <c r="AG4984">
        <v>-1.10735765322499</v>
      </c>
      <c r="AH4984">
        <v>24.745616706171301</v>
      </c>
      <c r="AI4984">
        <v>92.518626318471902</v>
      </c>
      <c r="AJ4984">
        <v>79.404499553618095</v>
      </c>
      <c r="AK4984">
        <v>25.199195896598301</v>
      </c>
    </row>
    <row r="4985" spans="1:37" x14ac:dyDescent="0.2">
      <c r="A4985" t="str">
        <f>"20200111155655041"</f>
        <v>20200111155655041</v>
      </c>
      <c r="B4985" t="str">
        <f>"1578729415038252"</f>
        <v>1578729415038252</v>
      </c>
      <c r="C4985" t="s">
        <v>37</v>
      </c>
      <c r="D4985">
        <v>4.7046559999999999</v>
      </c>
      <c r="E4985">
        <v>0.58591470000000001</v>
      </c>
      <c r="F4985" t="s">
        <v>38</v>
      </c>
      <c r="G4985">
        <v>-427.731999999999</v>
      </c>
      <c r="H4985" s="1">
        <v>-2.3240059999999999E-6</v>
      </c>
      <c r="I4985">
        <v>40.210839999999997</v>
      </c>
      <c r="J4985">
        <v>-422.50099999999998</v>
      </c>
      <c r="K4985">
        <v>1.10751</v>
      </c>
      <c r="L4985">
        <v>65.575530000000001</v>
      </c>
      <c r="M4985">
        <v>-1.5247739999999999E-2</v>
      </c>
      <c r="N4985">
        <v>0</v>
      </c>
      <c r="O4985">
        <v>-0.99978789999999995</v>
      </c>
      <c r="P4985">
        <v>2.0077250000000001E-2</v>
      </c>
      <c r="Q4985">
        <v>2.9692659999999999E-2</v>
      </c>
      <c r="R4985">
        <v>-0.99935769999999902</v>
      </c>
      <c r="S4985">
        <v>-0.61743159999999997</v>
      </c>
      <c r="T4985">
        <v>-0.13066839999999999</v>
      </c>
      <c r="U4985">
        <v>-3.0177610000000001</v>
      </c>
      <c r="V4985">
        <v>-3.5600519999999997E-2</v>
      </c>
      <c r="W4985">
        <v>4.3308840000000001E-2</v>
      </c>
      <c r="X4985">
        <v>0.99842719999999896</v>
      </c>
      <c r="Y4985">
        <v>0.185303299999999</v>
      </c>
      <c r="Z4985">
        <v>4.2438379999999998E-2</v>
      </c>
      <c r="AA4985">
        <v>0.98176459999999999</v>
      </c>
      <c r="AB4985">
        <v>32</v>
      </c>
      <c r="AC4985">
        <v>-5.2309999999999901</v>
      </c>
      <c r="AD4985">
        <v>-1.1075123240060001</v>
      </c>
      <c r="AE4985">
        <v>-25.36469</v>
      </c>
      <c r="AF4985">
        <v>4.8347590407791996</v>
      </c>
      <c r="AG4985">
        <v>-1.1075123240060001</v>
      </c>
      <c r="AH4985">
        <v>25.395068627715801</v>
      </c>
      <c r="AI4985">
        <v>92.453155302893293</v>
      </c>
      <c r="AJ4985">
        <v>79.220920695805702</v>
      </c>
      <c r="AK4985">
        <v>25.874910417943799</v>
      </c>
    </row>
    <row r="4986" spans="1:37" x14ac:dyDescent="0.2">
      <c r="A4986" t="str">
        <f>"20200111155655053"</f>
        <v>20200111155655053</v>
      </c>
      <c r="B4986" t="str">
        <f>"1578729415048012"</f>
        <v>1578729415048012</v>
      </c>
      <c r="C4986" t="s">
        <v>37</v>
      </c>
      <c r="D4986">
        <v>4.6966950000000001</v>
      </c>
      <c r="E4986">
        <v>0.58609429999999996</v>
      </c>
      <c r="F4986" t="s">
        <v>75</v>
      </c>
      <c r="G4986">
        <v>-427.8852</v>
      </c>
      <c r="H4986" s="1">
        <v>-2.1846580000000001E-6</v>
      </c>
      <c r="I4986">
        <v>39.414859999999997</v>
      </c>
      <c r="J4986">
        <v>-422.50170000000003</v>
      </c>
      <c r="K4986">
        <v>1.107626</v>
      </c>
      <c r="L4986">
        <v>65.384280000000004</v>
      </c>
      <c r="M4986">
        <v>-1.3017610000000001E-2</v>
      </c>
      <c r="N4986">
        <v>0</v>
      </c>
      <c r="O4986">
        <v>-0.99981830000000005</v>
      </c>
      <c r="P4986">
        <v>1.9410719999999999E-2</v>
      </c>
      <c r="Q4986">
        <v>2.7587819999999999E-2</v>
      </c>
      <c r="R4986">
        <v>-0.99943090000000001</v>
      </c>
      <c r="S4986">
        <v>-0.62118530000000005</v>
      </c>
      <c r="T4986">
        <v>-0.12777629999999901</v>
      </c>
      <c r="U4986">
        <v>-3.01821899999999</v>
      </c>
      <c r="V4986">
        <v>-3.2705730000000002E-2</v>
      </c>
      <c r="W4986">
        <v>4.1271710000000003E-2</v>
      </c>
      <c r="X4986">
        <v>0.99861250000000001</v>
      </c>
      <c r="Y4986">
        <v>0.1886446</v>
      </c>
      <c r="Z4986">
        <v>4.147812E-2</v>
      </c>
      <c r="AA4986">
        <v>0.98116909999999902</v>
      </c>
      <c r="AB4986">
        <v>32</v>
      </c>
      <c r="AC4986">
        <v>-5.3834999999999598</v>
      </c>
      <c r="AD4986">
        <v>-1.1076281846580001</v>
      </c>
      <c r="AE4986">
        <v>-25.96942</v>
      </c>
      <c r="AF4986">
        <v>5.03616723371925</v>
      </c>
      <c r="AG4986">
        <v>-1.1076281846580001</v>
      </c>
      <c r="AH4986">
        <v>25.991971667515902</v>
      </c>
      <c r="AI4986">
        <v>92.395638575952006</v>
      </c>
      <c r="AJ4986">
        <v>79.034330116107498</v>
      </c>
      <c r="AK4986">
        <v>26.498536030626099</v>
      </c>
    </row>
    <row r="4987" spans="1:37" x14ac:dyDescent="0.2">
      <c r="A4987" t="str">
        <f>"20200111155655070"</f>
        <v>20200111155655070</v>
      </c>
      <c r="B4987" t="str">
        <f>"1578729415057772"</f>
        <v>1578729415057772</v>
      </c>
      <c r="C4987" t="s">
        <v>37</v>
      </c>
      <c r="D4987">
        <v>4.6649589999999996</v>
      </c>
      <c r="E4987">
        <v>0.58634770000000003</v>
      </c>
      <c r="F4987" t="s">
        <v>38</v>
      </c>
      <c r="G4987">
        <v>-427.67520000000002</v>
      </c>
      <c r="H4987" s="1">
        <v>-2.3829870000000002E-6</v>
      </c>
      <c r="I4987">
        <v>40.38355</v>
      </c>
      <c r="J4987">
        <v>-422.50199999999899</v>
      </c>
      <c r="K4987">
        <v>1.107758</v>
      </c>
      <c r="L4987">
        <v>65.155760000000001</v>
      </c>
      <c r="M4987">
        <v>-1.026646E-2</v>
      </c>
      <c r="N4987">
        <v>0</v>
      </c>
      <c r="O4987">
        <v>-0.99984969999999995</v>
      </c>
      <c r="P4987">
        <v>2.0736669999999999E-2</v>
      </c>
      <c r="Q4987">
        <v>2.5389620000000002E-2</v>
      </c>
      <c r="R4987">
        <v>-0.99946290000000004</v>
      </c>
      <c r="S4987">
        <v>-0.62442019999999998</v>
      </c>
      <c r="T4987">
        <v>-0.13368759999999999</v>
      </c>
      <c r="U4987">
        <v>-3.0175169999999998</v>
      </c>
      <c r="V4987">
        <v>-3.1280339999999997E-2</v>
      </c>
      <c r="W4987">
        <v>3.9134820000000001E-2</v>
      </c>
      <c r="X4987">
        <v>0.99874419999999897</v>
      </c>
      <c r="Y4987">
        <v>0.19238279999999999</v>
      </c>
      <c r="Z4987">
        <v>4.3384880000000001E-2</v>
      </c>
      <c r="AA4987">
        <v>0.98036039999999902</v>
      </c>
      <c r="AB4987">
        <v>32</v>
      </c>
      <c r="AC4987">
        <v>-5.17320000000006</v>
      </c>
      <c r="AD4987">
        <v>-1.107760382987</v>
      </c>
      <c r="AE4987">
        <v>-24.772210000000001</v>
      </c>
      <c r="AF4987">
        <v>4.9091729974497804</v>
      </c>
      <c r="AG4987">
        <v>-1.107760382987</v>
      </c>
      <c r="AH4987">
        <v>24.776544894609401</v>
      </c>
      <c r="AI4987">
        <v>92.511236862653107</v>
      </c>
      <c r="AJ4987">
        <v>78.792690216041905</v>
      </c>
      <c r="AK4987">
        <v>25.282489780470598</v>
      </c>
    </row>
    <row r="4988" spans="1:37" x14ac:dyDescent="0.2">
      <c r="A4988" t="str">
        <f>"20200111155655086"</f>
        <v>20200111155655086</v>
      </c>
      <c r="B4988" t="str">
        <f>"1578729415078267"</f>
        <v>1578729415078267</v>
      </c>
      <c r="C4988" t="s">
        <v>37</v>
      </c>
      <c r="D4988">
        <v>4.6510160000000003</v>
      </c>
      <c r="E4988">
        <v>0.58663330000000002</v>
      </c>
      <c r="F4988" t="s">
        <v>38</v>
      </c>
      <c r="G4988">
        <v>-427.43150000000003</v>
      </c>
      <c r="H4988" s="1">
        <v>-2.6886809999999999E-6</v>
      </c>
      <c r="I4988">
        <v>41.247230000000002</v>
      </c>
      <c r="J4988">
        <v>-422.50150000000002</v>
      </c>
      <c r="K4988">
        <v>1.1078669999999999</v>
      </c>
      <c r="L4988">
        <v>64.935580000000002</v>
      </c>
      <c r="M4988">
        <v>-7.5368719999999896E-3</v>
      </c>
      <c r="N4988">
        <v>0</v>
      </c>
      <c r="O4988">
        <v>-0.99987320000000002</v>
      </c>
      <c r="P4988">
        <v>2.225767E-2</v>
      </c>
      <c r="Q4988">
        <v>2.345378E-2</v>
      </c>
      <c r="R4988">
        <v>-0.99947710000000001</v>
      </c>
      <c r="S4988">
        <v>-0.6222839</v>
      </c>
      <c r="T4988">
        <v>-0.13983689999999999</v>
      </c>
      <c r="U4988">
        <v>-3.0180660000000001</v>
      </c>
      <c r="V4988">
        <v>-3.0069499999999999E-2</v>
      </c>
      <c r="W4988">
        <v>3.7253170000000002E-2</v>
      </c>
      <c r="X4988">
        <v>0.9988534</v>
      </c>
      <c r="Y4988">
        <v>0.1943426</v>
      </c>
      <c r="Z4988">
        <v>4.5364340000000003E-2</v>
      </c>
      <c r="AA4988">
        <v>0.97988419999999898</v>
      </c>
      <c r="AB4988">
        <v>32</v>
      </c>
      <c r="AC4988">
        <v>-4.93</v>
      </c>
      <c r="AD4988">
        <v>-1.107869688681</v>
      </c>
      <c r="AE4988">
        <v>-23.68835</v>
      </c>
      <c r="AF4988">
        <v>4.7413660886053597</v>
      </c>
      <c r="AG4988">
        <v>-1.107869688681</v>
      </c>
      <c r="AH4988">
        <v>23.675202657234099</v>
      </c>
      <c r="AI4988">
        <v>92.627084943065498</v>
      </c>
      <c r="AJ4988">
        <v>78.675348738018201</v>
      </c>
      <c r="AK4988">
        <v>24.1707084814322</v>
      </c>
    </row>
    <row r="4989" spans="1:37" x14ac:dyDescent="0.2">
      <c r="A4989" t="str">
        <f>"20200111155655098"</f>
        <v>20200111155655098</v>
      </c>
      <c r="B4989" t="str">
        <f>"1578729415088030"</f>
        <v>1578729415088030</v>
      </c>
      <c r="C4989" t="s">
        <v>37</v>
      </c>
      <c r="D4989">
        <v>4.7081439999999999</v>
      </c>
      <c r="E4989">
        <v>0.58696169999999903</v>
      </c>
      <c r="F4989" t="s">
        <v>38</v>
      </c>
      <c r="G4989">
        <v>-427.21809999999999</v>
      </c>
      <c r="H4989" s="1">
        <v>-2.9473620000000002E-6</v>
      </c>
      <c r="I4989">
        <v>41.982610000000001</v>
      </c>
      <c r="J4989">
        <v>-422.50080000000003</v>
      </c>
      <c r="K4989">
        <v>1.1079479999999999</v>
      </c>
      <c r="L4989">
        <v>64.753780000000006</v>
      </c>
      <c r="M4989">
        <v>-5.2378900000000003E-3</v>
      </c>
      <c r="N4989">
        <v>0</v>
      </c>
      <c r="O4989">
        <v>-0.99988750000000004</v>
      </c>
      <c r="P4989">
        <v>2.3046069999999998E-2</v>
      </c>
      <c r="Q4989">
        <v>2.1609159999999999E-2</v>
      </c>
      <c r="R4989">
        <v>-0.99950119999999898</v>
      </c>
      <c r="S4989">
        <v>-0.62033079999999996</v>
      </c>
      <c r="T4989">
        <v>-0.14570820000000001</v>
      </c>
      <c r="U4989">
        <v>-3.018799</v>
      </c>
      <c r="V4989">
        <v>-2.8553869999999999E-2</v>
      </c>
      <c r="W4989">
        <v>3.5455729999999998E-2</v>
      </c>
      <c r="X4989">
        <v>0.99896319999999905</v>
      </c>
      <c r="Y4989">
        <v>0.19592490000000001</v>
      </c>
      <c r="Z4989">
        <v>4.7250159999999999E-2</v>
      </c>
      <c r="AA4989">
        <v>0.97947989999999996</v>
      </c>
      <c r="AB4989">
        <v>32</v>
      </c>
      <c r="AC4989">
        <v>-4.7172999999999599</v>
      </c>
      <c r="AD4989">
        <v>-1.1079509473619999</v>
      </c>
      <c r="AE4989">
        <v>-22.771170000000001</v>
      </c>
      <c r="AF4989">
        <v>4.5875370128556296</v>
      </c>
      <c r="AG4989">
        <v>-1.1079509473619999</v>
      </c>
      <c r="AH4989">
        <v>22.7439405192377</v>
      </c>
      <c r="AI4989">
        <v>92.733934814363593</v>
      </c>
      <c r="AJ4989">
        <v>78.596237808984895</v>
      </c>
      <c r="AK4989">
        <v>23.228428304314999</v>
      </c>
    </row>
    <row r="4990" spans="1:37" x14ac:dyDescent="0.2">
      <c r="A4990" t="str">
        <f>"20200111155655121"</f>
        <v>20200111155655121</v>
      </c>
      <c r="B4990" t="str">
        <f>"1578729415118284"</f>
        <v>1578729415118284</v>
      </c>
      <c r="C4990" t="s">
        <v>37</v>
      </c>
      <c r="D4990">
        <v>4.6079369999999997</v>
      </c>
      <c r="E4990">
        <v>0.58740439999999905</v>
      </c>
      <c r="F4990" t="s">
        <v>38</v>
      </c>
      <c r="G4990">
        <v>-427.08620000000002</v>
      </c>
      <c r="H4990" s="1">
        <v>-3.110832E-6</v>
      </c>
      <c r="I4990">
        <v>42.445509999999999</v>
      </c>
      <c r="J4990">
        <v>-422.49829999999997</v>
      </c>
      <c r="K4990">
        <v>1.1080760000000001</v>
      </c>
      <c r="L4990">
        <v>64.439210000000003</v>
      </c>
      <c r="M4990">
        <v>-1.1442569999999899E-3</v>
      </c>
      <c r="N4990">
        <v>0</v>
      </c>
      <c r="O4990">
        <v>-0.99989939999999999</v>
      </c>
      <c r="P4990">
        <v>2.5737019999999999E-2</v>
      </c>
      <c r="Q4990">
        <v>2.3370289999999998E-2</v>
      </c>
      <c r="R4990">
        <v>-0.99939549999999999</v>
      </c>
      <c r="S4990">
        <v>-0.6205444</v>
      </c>
      <c r="T4990">
        <v>-0.149942299999999</v>
      </c>
      <c r="U4990">
        <v>-3.0190429999999999</v>
      </c>
      <c r="V4990">
        <v>-2.717731E-2</v>
      </c>
      <c r="W4990">
        <v>3.7279380000000001E-2</v>
      </c>
      <c r="X4990">
        <v>0.99893529999999997</v>
      </c>
      <c r="Y4990">
        <v>0.1999755</v>
      </c>
      <c r="Z4990">
        <v>4.8596599999999997E-2</v>
      </c>
      <c r="AA4990">
        <v>0.97859499999999999</v>
      </c>
      <c r="AB4990">
        <v>32</v>
      </c>
      <c r="AC4990">
        <v>-4.5879000000000403</v>
      </c>
      <c r="AD4990">
        <v>-1.1080791108319901</v>
      </c>
      <c r="AE4990">
        <v>-21.9937</v>
      </c>
      <c r="AF4990">
        <v>4.5516562914101</v>
      </c>
      <c r="AG4990">
        <v>-1.1080791108319901</v>
      </c>
      <c r="AH4990">
        <v>21.9455540720461</v>
      </c>
      <c r="AI4990">
        <v>92.830398351575198</v>
      </c>
      <c r="AJ4990">
        <v>78.282600798250499</v>
      </c>
      <c r="AK4990">
        <v>22.4399812352883</v>
      </c>
    </row>
    <row r="4991" spans="1:37" x14ac:dyDescent="0.2">
      <c r="A4991" t="str">
        <f>"20200111155655143"</f>
        <v>20200111155655143</v>
      </c>
      <c r="B4991" t="str">
        <f>"1578729415137804"</f>
        <v>1578729415137804</v>
      </c>
      <c r="C4991" t="s">
        <v>37</v>
      </c>
      <c r="D4991">
        <v>4.5961669999999897</v>
      </c>
      <c r="E4991">
        <v>0.58784399999999903</v>
      </c>
      <c r="F4991" t="s">
        <v>38</v>
      </c>
      <c r="G4991">
        <v>-427.33089999999999</v>
      </c>
      <c r="H4991" s="1">
        <v>-2.4372979999999999E-6</v>
      </c>
      <c r="I4991">
        <v>40.723669999999998</v>
      </c>
      <c r="J4991">
        <v>-422.49439999999998</v>
      </c>
      <c r="K4991">
        <v>1.1081729999999901</v>
      </c>
      <c r="L4991">
        <v>64.130279999999999</v>
      </c>
      <c r="M4991">
        <v>2.9538250000000002E-3</v>
      </c>
      <c r="N4991">
        <v>0</v>
      </c>
      <c r="O4991">
        <v>-0.99989519999999998</v>
      </c>
      <c r="P4991">
        <v>2.8478630000000001E-2</v>
      </c>
      <c r="Q4991">
        <v>2.3987390000000001E-2</v>
      </c>
      <c r="R4991">
        <v>-0.99930680000000005</v>
      </c>
      <c r="S4991">
        <v>-0.61560059999999905</v>
      </c>
      <c r="T4991">
        <v>-0.14115079999999999</v>
      </c>
      <c r="U4991">
        <v>-3.020966</v>
      </c>
      <c r="V4991">
        <v>-2.583624E-2</v>
      </c>
      <c r="W4991">
        <v>3.7952670000000001E-2</v>
      </c>
      <c r="X4991">
        <v>0.99894550000000004</v>
      </c>
      <c r="Y4991">
        <v>0.2023576</v>
      </c>
      <c r="Z4991">
        <v>4.572093E-2</v>
      </c>
      <c r="AA4991">
        <v>0.9782438</v>
      </c>
      <c r="AB4991">
        <v>32</v>
      </c>
      <c r="AC4991">
        <v>-4.8365</v>
      </c>
      <c r="AD4991">
        <v>-1.1081754372979999</v>
      </c>
      <c r="AE4991">
        <v>-23.406610000000001</v>
      </c>
      <c r="AF4991">
        <v>4.8951017612730299</v>
      </c>
      <c r="AG4991">
        <v>-1.1081754372979999</v>
      </c>
      <c r="AH4991">
        <v>23.342041349608699</v>
      </c>
      <c r="AI4991">
        <v>92.660321817052903</v>
      </c>
      <c r="AJ4991">
        <v>78.156036391446605</v>
      </c>
      <c r="AK4991">
        <v>23.875530746349799</v>
      </c>
    </row>
    <row r="4992" spans="1:37" x14ac:dyDescent="0.2">
      <c r="A4992" t="str">
        <f>"20200111155655165"</f>
        <v>20200111155655165</v>
      </c>
      <c r="B4992" t="str">
        <f>"1578729415158300"</f>
        <v>1578729415158300</v>
      </c>
      <c r="C4992" t="s">
        <v>37</v>
      </c>
      <c r="D4992">
        <v>4.668577</v>
      </c>
      <c r="E4992">
        <v>0.58831160000000005</v>
      </c>
      <c r="F4992" t="s">
        <v>38</v>
      </c>
      <c r="G4992">
        <v>-427.39479999999998</v>
      </c>
      <c r="H4992" s="1">
        <v>-2.1005059999999998E-6</v>
      </c>
      <c r="I4992">
        <v>39.898959999999903</v>
      </c>
      <c r="J4992">
        <v>-422.48930000000001</v>
      </c>
      <c r="K4992">
        <v>1.1082350000000001</v>
      </c>
      <c r="L4992">
        <v>63.827759999999998</v>
      </c>
      <c r="M4992">
        <v>7.0128869999999998E-3</v>
      </c>
      <c r="N4992">
        <v>0</v>
      </c>
      <c r="O4992">
        <v>-0.99987420000000005</v>
      </c>
      <c r="P4992">
        <v>3.2306849999999998E-2</v>
      </c>
      <c r="Q4992">
        <v>2.325791E-2</v>
      </c>
      <c r="R4992">
        <v>-0.99920750000000003</v>
      </c>
      <c r="S4992">
        <v>-0.61132810000000004</v>
      </c>
      <c r="T4992">
        <v>-0.13824339999999999</v>
      </c>
      <c r="U4992">
        <v>-3.0228269999999999</v>
      </c>
      <c r="V4992">
        <v>-2.5608269999999999E-2</v>
      </c>
      <c r="W4992">
        <v>3.7263650000000002E-2</v>
      </c>
      <c r="X4992">
        <v>0.99897729999999996</v>
      </c>
      <c r="Y4992">
        <v>0.2048951</v>
      </c>
      <c r="Z4992">
        <v>4.4747049999999997E-2</v>
      </c>
      <c r="AA4992">
        <v>0.97776059999999998</v>
      </c>
      <c r="AB4992">
        <v>31</v>
      </c>
      <c r="AC4992">
        <v>-4.90549999999996</v>
      </c>
      <c r="AD4992">
        <v>-1.1082371005060001</v>
      </c>
      <c r="AE4992">
        <v>-23.928799999999999</v>
      </c>
      <c r="AF4992">
        <v>5.0627847077360997</v>
      </c>
      <c r="AG4992">
        <v>-1.1082371005060001</v>
      </c>
      <c r="AH4992">
        <v>23.844722593568498</v>
      </c>
      <c r="AI4992">
        <v>92.603089465037002</v>
      </c>
      <c r="AJ4992">
        <v>78.012800388898697</v>
      </c>
      <c r="AK4992">
        <v>24.401450244443701</v>
      </c>
    </row>
    <row r="4993" spans="1:37" x14ac:dyDescent="0.2">
      <c r="A4993" t="str">
        <f>"20200111155655181"</f>
        <v>20200111155655181</v>
      </c>
      <c r="B4993" t="str">
        <f>"1578729415177820"</f>
        <v>1578729415177820</v>
      </c>
      <c r="C4993" t="s">
        <v>37</v>
      </c>
      <c r="D4993">
        <v>4.5677099999999999</v>
      </c>
      <c r="E4993">
        <v>0.58875699999999997</v>
      </c>
      <c r="F4993" t="s">
        <v>38</v>
      </c>
      <c r="G4993">
        <v>-427.28199999999998</v>
      </c>
      <c r="H4993" s="1">
        <v>-2.028694E-6</v>
      </c>
      <c r="I4993">
        <v>39.801549999999999</v>
      </c>
      <c r="J4993">
        <v>-422.48480000000001</v>
      </c>
      <c r="K4993">
        <v>1.108274</v>
      </c>
      <c r="L4993">
        <v>63.606749999999998</v>
      </c>
      <c r="M4993">
        <v>9.9940849999999998E-3</v>
      </c>
      <c r="N4993">
        <v>0</v>
      </c>
      <c r="O4993">
        <v>-0.99984850000000003</v>
      </c>
      <c r="P4993">
        <v>3.526406E-2</v>
      </c>
      <c r="Q4993">
        <v>2.3626319999999999E-2</v>
      </c>
      <c r="R4993">
        <v>-0.99909869999999901</v>
      </c>
      <c r="S4993">
        <v>-0.60345459999999995</v>
      </c>
      <c r="T4993">
        <v>-0.13953850000000001</v>
      </c>
      <c r="U4993">
        <v>-3.0251459999999999</v>
      </c>
      <c r="V4993">
        <v>-2.5592170000000001E-2</v>
      </c>
      <c r="W4993">
        <v>3.7657250000000003E-2</v>
      </c>
      <c r="X4993">
        <v>0.99896289999999999</v>
      </c>
      <c r="Y4993">
        <v>0.20521799999999901</v>
      </c>
      <c r="Z4993">
        <v>4.513963E-2</v>
      </c>
      <c r="AA4993">
        <v>0.97767479999999995</v>
      </c>
      <c r="AB4993">
        <v>31</v>
      </c>
      <c r="AC4993">
        <v>-4.7971999999999699</v>
      </c>
      <c r="AD4993">
        <v>-1.1082760286939899</v>
      </c>
      <c r="AE4993">
        <v>-23.805199999999999</v>
      </c>
      <c r="AF4993">
        <v>5.0244304384735798</v>
      </c>
      <c r="AG4993">
        <v>-1.1082760286939899</v>
      </c>
      <c r="AH4993">
        <v>23.706684203635302</v>
      </c>
      <c r="AI4993">
        <v>92.6185199754471</v>
      </c>
      <c r="AJ4993">
        <v>78.033720775857802</v>
      </c>
      <c r="AK4993">
        <v>24.258607810790199</v>
      </c>
    </row>
    <row r="4994" spans="1:37" x14ac:dyDescent="0.2">
      <c r="A4994" t="str">
        <f>"20200111155655199"</f>
        <v>20200111155655199</v>
      </c>
      <c r="B4994" t="str">
        <f>"1578729415187580"</f>
        <v>1578729415187580</v>
      </c>
      <c r="C4994" t="s">
        <v>37</v>
      </c>
      <c r="D4994">
        <v>4.6649979999999998</v>
      </c>
      <c r="E4994">
        <v>0.58906309999999995</v>
      </c>
      <c r="F4994" t="s">
        <v>75</v>
      </c>
      <c r="G4994">
        <v>-427.35309999999998</v>
      </c>
      <c r="H4994" s="1">
        <v>-2.2184409999999999E-6</v>
      </c>
      <c r="I4994">
        <v>38.955800000000004</v>
      </c>
      <c r="J4994">
        <v>-422.47899999999998</v>
      </c>
      <c r="K4994">
        <v>1.1083099999999999</v>
      </c>
      <c r="L4994">
        <v>63.360169999999997</v>
      </c>
      <c r="M4994">
        <v>1.3330710000000001E-2</v>
      </c>
      <c r="N4994">
        <v>0</v>
      </c>
      <c r="O4994">
        <v>-0.99980919999999895</v>
      </c>
      <c r="P4994">
        <v>3.8910689999999998E-2</v>
      </c>
      <c r="Q4994">
        <v>2.5078119999999999E-2</v>
      </c>
      <c r="R4994">
        <v>-0.99892789999999998</v>
      </c>
      <c r="S4994">
        <v>-0.59780880000000003</v>
      </c>
      <c r="T4994">
        <v>-0.13609189999999999</v>
      </c>
      <c r="U4994">
        <v>-3.0270389999999998</v>
      </c>
      <c r="V4994">
        <v>-2.5920329999999998E-2</v>
      </c>
      <c r="W4994">
        <v>3.9130529999999997E-2</v>
      </c>
      <c r="X4994">
        <v>0.99889789999999901</v>
      </c>
      <c r="Y4994">
        <v>0.206621999999999</v>
      </c>
      <c r="Z4994">
        <v>4.399873E-2</v>
      </c>
      <c r="AA4994">
        <v>0.9774311</v>
      </c>
      <c r="AB4994">
        <v>31</v>
      </c>
      <c r="AC4994">
        <v>-4.8740999999999399</v>
      </c>
      <c r="AD4994">
        <v>-1.1083122184409999</v>
      </c>
      <c r="AE4994">
        <v>-24.40437</v>
      </c>
      <c r="AF4994">
        <v>5.1887364100392199</v>
      </c>
      <c r="AG4994">
        <v>-1.1083122184409999</v>
      </c>
      <c r="AH4994">
        <v>24.289045225598599</v>
      </c>
      <c r="AI4994">
        <v>92.5550308488545</v>
      </c>
      <c r="AJ4994">
        <v>77.9414665179211</v>
      </c>
      <c r="AK4994">
        <v>24.861799200331099</v>
      </c>
    </row>
    <row r="4995" spans="1:37" x14ac:dyDescent="0.2">
      <c r="A4995" t="str">
        <f>"20200111155655213"</f>
        <v>20200111155655213</v>
      </c>
      <c r="B4995" t="str">
        <f>"1578729415208077"</f>
        <v>1578729415208077</v>
      </c>
      <c r="C4995" t="s">
        <v>37</v>
      </c>
      <c r="D4995">
        <v>4.6178689999999998</v>
      </c>
      <c r="E4995">
        <v>0.58953809999999995</v>
      </c>
      <c r="F4995" t="s">
        <v>75</v>
      </c>
      <c r="G4995">
        <v>-427.44189999999998</v>
      </c>
      <c r="H4995" s="1">
        <v>-2.6742140000000001E-6</v>
      </c>
      <c r="I4995">
        <v>37.824370000000002</v>
      </c>
      <c r="J4995">
        <v>-422.47289999999998</v>
      </c>
      <c r="K4995">
        <v>1.10833</v>
      </c>
      <c r="L4995">
        <v>63.133669999999903</v>
      </c>
      <c r="M4995">
        <v>1.6399560000000001E-2</v>
      </c>
      <c r="N4995">
        <v>0</v>
      </c>
      <c r="O4995">
        <v>-0.99976330000000002</v>
      </c>
      <c r="P4995">
        <v>4.204608E-2</v>
      </c>
      <c r="Q4995">
        <v>2.6148589999999999E-2</v>
      </c>
      <c r="R4995">
        <v>-0.99877329999999998</v>
      </c>
      <c r="S4995">
        <v>-0.58877559999999995</v>
      </c>
      <c r="T4995">
        <v>-0.13148499999999999</v>
      </c>
      <c r="U4995">
        <v>-3.0294490000000001</v>
      </c>
      <c r="V4995">
        <v>-2.6001130000000001E-2</v>
      </c>
      <c r="W4995">
        <v>4.0220199999999998E-2</v>
      </c>
      <c r="X4995">
        <v>0.99885249999999903</v>
      </c>
      <c r="Y4995">
        <v>0.206682899999999</v>
      </c>
      <c r="Z4995">
        <v>4.2487799999999999E-2</v>
      </c>
      <c r="AA4995">
        <v>0.97748500000000005</v>
      </c>
      <c r="AB4995">
        <v>31</v>
      </c>
      <c r="AC4995">
        <v>-4.9689999999999896</v>
      </c>
      <c r="AD4995">
        <v>-1.1083326742140001</v>
      </c>
      <c r="AE4995">
        <v>-25.3093</v>
      </c>
      <c r="AF4995">
        <v>5.3735131259547897</v>
      </c>
      <c r="AG4995">
        <v>-1.1083326742140001</v>
      </c>
      <c r="AH4995">
        <v>25.1779063790928</v>
      </c>
      <c r="AI4995">
        <v>92.465090718686099</v>
      </c>
      <c r="AJ4995">
        <v>77.952578940748197</v>
      </c>
      <c r="AK4995">
        <v>25.7687798365756</v>
      </c>
    </row>
    <row r="4996" spans="1:37" x14ac:dyDescent="0.2">
      <c r="A4996" t="str">
        <f>"20200111155655229"</f>
        <v>20200111155655229</v>
      </c>
      <c r="B4996" t="str">
        <f>"1578729415217836"</f>
        <v>1578729415217836</v>
      </c>
      <c r="C4996" t="s">
        <v>37</v>
      </c>
      <c r="D4996">
        <v>4.5787059999999897</v>
      </c>
      <c r="E4996">
        <v>0.58980669999999902</v>
      </c>
      <c r="F4996" t="s">
        <v>75</v>
      </c>
      <c r="G4996">
        <v>-427.54969999999997</v>
      </c>
      <c r="H4996" s="1">
        <v>-3.1237930000000001E-6</v>
      </c>
      <c r="I4996">
        <v>36.72242</v>
      </c>
      <c r="J4996">
        <v>-422.46679999999998</v>
      </c>
      <c r="K4996">
        <v>1.1083499999999999</v>
      </c>
      <c r="L4996">
        <v>62.929259999999999</v>
      </c>
      <c r="M4996">
        <v>1.916874E-2</v>
      </c>
      <c r="N4996">
        <v>0</v>
      </c>
      <c r="O4996">
        <v>-0.99971369999999904</v>
      </c>
      <c r="P4996">
        <v>4.5448830000000003E-2</v>
      </c>
      <c r="Q4996">
        <v>2.6142680000000001E-2</v>
      </c>
      <c r="R4996">
        <v>-0.99862459999999997</v>
      </c>
      <c r="S4996">
        <v>-0.58273319999999995</v>
      </c>
      <c r="T4996">
        <v>-0.12721749999999901</v>
      </c>
      <c r="U4996">
        <v>-3.031555</v>
      </c>
      <c r="V4996">
        <v>-2.6638390000000001E-2</v>
      </c>
      <c r="W4996">
        <v>4.0224969999999999E-2</v>
      </c>
      <c r="X4996">
        <v>0.99883549999999999</v>
      </c>
      <c r="Y4996">
        <v>0.20739850000000001</v>
      </c>
      <c r="Z4996">
        <v>4.108469E-2</v>
      </c>
      <c r="AA4996">
        <v>0.97739339999999997</v>
      </c>
      <c r="AB4996">
        <v>31</v>
      </c>
      <c r="AC4996">
        <v>-5.0828999999999898</v>
      </c>
      <c r="AD4996">
        <v>-1.108353123793</v>
      </c>
      <c r="AE4996">
        <v>-26.20684</v>
      </c>
      <c r="AF4996">
        <v>5.5747596813362001</v>
      </c>
      <c r="AG4996">
        <v>-1.108353123793</v>
      </c>
      <c r="AH4996">
        <v>26.059659143109702</v>
      </c>
      <c r="AI4996">
        <v>92.381580066564496</v>
      </c>
      <c r="AJ4996">
        <v>77.925115659327304</v>
      </c>
      <c r="AK4996">
        <v>26.6723119884035</v>
      </c>
    </row>
    <row r="4997" spans="1:37" x14ac:dyDescent="0.2">
      <c r="A4997" t="str">
        <f>"20200111155655244"</f>
        <v>20200111155655244</v>
      </c>
      <c r="B4997" t="str">
        <f>"1578729415238331"</f>
        <v>1578729415238331</v>
      </c>
      <c r="C4997" t="s">
        <v>37</v>
      </c>
      <c r="D4997">
        <v>4.5837260000000004</v>
      </c>
      <c r="E4997">
        <v>0.59828950000000003</v>
      </c>
      <c r="F4997" t="s">
        <v>75</v>
      </c>
      <c r="G4997">
        <v>-427.48750000000001</v>
      </c>
      <c r="H4997" s="1">
        <v>-3.2285989999999899E-6</v>
      </c>
      <c r="I4997">
        <v>36.404699999999998</v>
      </c>
      <c r="J4997">
        <v>-422.46030000000002</v>
      </c>
      <c r="K4997">
        <v>1.1083510000000001</v>
      </c>
      <c r="L4997">
        <v>62.730619999999902</v>
      </c>
      <c r="M4997">
        <v>2.185813E-2</v>
      </c>
      <c r="N4997">
        <v>0</v>
      </c>
      <c r="O4997">
        <v>-0.9996583</v>
      </c>
      <c r="P4997">
        <v>4.8565629999999999E-2</v>
      </c>
      <c r="Q4997">
        <v>2.483517E-2</v>
      </c>
      <c r="R4997">
        <v>-0.99851119999999904</v>
      </c>
      <c r="S4997">
        <v>-0.57421880000000003</v>
      </c>
      <c r="T4997">
        <v>-0.1267605</v>
      </c>
      <c r="U4997">
        <v>-3.033569</v>
      </c>
      <c r="V4997">
        <v>-2.7058430000000001E-2</v>
      </c>
      <c r="W4997">
        <v>3.8928989999999997E-2</v>
      </c>
      <c r="X4997">
        <v>0.99887559999999997</v>
      </c>
      <c r="Y4997">
        <v>0.20726410000000001</v>
      </c>
      <c r="Z4997">
        <v>4.0918540000000003E-2</v>
      </c>
      <c r="AA4997">
        <v>0.97742890000000004</v>
      </c>
      <c r="AB4997">
        <v>31</v>
      </c>
      <c r="AC4997">
        <v>-5.0271999999999899</v>
      </c>
      <c r="AD4997">
        <v>-1.108354228599</v>
      </c>
      <c r="AE4997">
        <v>-26.32592</v>
      </c>
      <c r="AF4997">
        <v>5.5919301267283501</v>
      </c>
      <c r="AG4997">
        <v>-1.108354228599</v>
      </c>
      <c r="AH4997">
        <v>26.1649863581329</v>
      </c>
      <c r="AI4997">
        <v>92.372105616329307</v>
      </c>
      <c r="AJ4997">
        <v>77.936342835262593</v>
      </c>
      <c r="AK4997">
        <v>26.778809584437202</v>
      </c>
    </row>
    <row r="4998" spans="1:37" x14ac:dyDescent="0.2">
      <c r="A4998" t="str">
        <f>"20200111155655265"</f>
        <v>20200111155655265</v>
      </c>
      <c r="B4998" t="str">
        <f>"1578729415257852"</f>
        <v>1578729415257852</v>
      </c>
      <c r="C4998" t="s">
        <v>37</v>
      </c>
      <c r="D4998">
        <v>4.579059</v>
      </c>
      <c r="E4998">
        <v>0.59904279999999999</v>
      </c>
      <c r="F4998" t="s">
        <v>75</v>
      </c>
      <c r="G4998">
        <v>-428.4742</v>
      </c>
      <c r="H4998" s="1">
        <v>-4.6295159999999999E-6</v>
      </c>
      <c r="I4998">
        <v>33.846739999999997</v>
      </c>
      <c r="J4998">
        <v>-422.44959999999998</v>
      </c>
      <c r="K4998">
        <v>1.1083590000000001</v>
      </c>
      <c r="L4998">
        <v>62.430390000000003</v>
      </c>
      <c r="M4998">
        <v>2.5911819999999999E-2</v>
      </c>
      <c r="N4998">
        <v>0</v>
      </c>
      <c r="O4998">
        <v>-0.99956139999999905</v>
      </c>
      <c r="P4998">
        <v>5.2747389999999998E-2</v>
      </c>
      <c r="Q4998">
        <v>2.3427099999999999E-2</v>
      </c>
      <c r="R4998">
        <v>-0.99833359999999904</v>
      </c>
      <c r="S4998">
        <v>-0.63256840000000003</v>
      </c>
      <c r="T4998">
        <v>-0.1165823</v>
      </c>
      <c r="U4998">
        <v>-3.0381469999999999</v>
      </c>
      <c r="V4998">
        <v>-2.7178959999999999E-2</v>
      </c>
      <c r="W4998">
        <v>3.7540030000000002E-2</v>
      </c>
      <c r="X4998">
        <v>0.99892539999999996</v>
      </c>
      <c r="Y4998">
        <v>0.22899620000000001</v>
      </c>
      <c r="Z4998">
        <v>3.7415169999999998E-2</v>
      </c>
      <c r="AA4998">
        <v>0.97270800000000002</v>
      </c>
      <c r="AB4998">
        <v>31</v>
      </c>
      <c r="AC4998">
        <v>-6.0246000000000199</v>
      </c>
      <c r="AD4998">
        <v>-1.108363629516</v>
      </c>
      <c r="AE4998">
        <v>-28.583649999999999</v>
      </c>
      <c r="AF4998">
        <v>6.7535845661754301</v>
      </c>
      <c r="AG4998">
        <v>-1.108363629516</v>
      </c>
      <c r="AH4998">
        <v>28.3770735558799</v>
      </c>
      <c r="AI4998">
        <v>92.176028687910303</v>
      </c>
      <c r="AJ4998">
        <v>76.612970065284102</v>
      </c>
      <c r="AK4998">
        <v>29.190712187672599</v>
      </c>
    </row>
    <row r="4999" spans="1:37" x14ac:dyDescent="0.2">
      <c r="A4999" t="str">
        <f>"20200111155655288"</f>
        <v>20200111155655288</v>
      </c>
      <c r="B4999" t="str">
        <f>"1578729415278347"</f>
        <v>1578729415278347</v>
      </c>
      <c r="C4999" t="s">
        <v>37</v>
      </c>
      <c r="D4999">
        <v>4.5722079999999998</v>
      </c>
      <c r="E4999">
        <v>0.60041160000000005</v>
      </c>
      <c r="F4999" t="s">
        <v>75</v>
      </c>
      <c r="G4999">
        <v>-428.450999999999</v>
      </c>
      <c r="H4999" s="1">
        <v>-4.8169749999999997E-6</v>
      </c>
      <c r="I4999">
        <v>33.297420000000002</v>
      </c>
      <c r="J4999">
        <v>-422.43709999999999</v>
      </c>
      <c r="K4999">
        <v>1.1083529999999999</v>
      </c>
      <c r="L4999">
        <v>62.119230000000002</v>
      </c>
      <c r="M4999">
        <v>3.0094659999999999E-2</v>
      </c>
      <c r="N4999">
        <v>0</v>
      </c>
      <c r="O4999">
        <v>-0.99944369999999905</v>
      </c>
      <c r="P4999">
        <v>5.5882790000000002E-2</v>
      </c>
      <c r="Q4999">
        <v>2.260554E-2</v>
      </c>
      <c r="R4999">
        <v>-0.99818150000000005</v>
      </c>
      <c r="S4999">
        <v>-0.62640379999999996</v>
      </c>
      <c r="T4999">
        <v>-0.11568730000000001</v>
      </c>
      <c r="U4999">
        <v>-3.0408019999999998</v>
      </c>
      <c r="V4999">
        <v>-2.612751E-2</v>
      </c>
      <c r="W4999">
        <v>3.6745689999999998E-2</v>
      </c>
      <c r="X4999">
        <v>0.99898299999999995</v>
      </c>
      <c r="Y4999">
        <v>0.2310112</v>
      </c>
      <c r="Z4999">
        <v>3.7088599999999999E-2</v>
      </c>
      <c r="AA4999">
        <v>0.97224390000000005</v>
      </c>
      <c r="AB4999">
        <v>31</v>
      </c>
      <c r="AC4999">
        <v>-6.0138999999999703</v>
      </c>
      <c r="AD4999">
        <v>-1.1083578169749999</v>
      </c>
      <c r="AE4999">
        <v>-28.821809999999999</v>
      </c>
      <c r="AF4999">
        <v>6.8689135165375301</v>
      </c>
      <c r="AG4999">
        <v>-1.1083578169749999</v>
      </c>
      <c r="AH4999">
        <v>28.587235799920201</v>
      </c>
      <c r="AI4999">
        <v>92.158920329376599</v>
      </c>
      <c r="AJ4999">
        <v>76.489150715088996</v>
      </c>
      <c r="AK4999">
        <v>29.421768822223498</v>
      </c>
    </row>
    <row r="5000" spans="1:37" x14ac:dyDescent="0.2">
      <c r="A5000" t="str">
        <f>"20200111155655310"</f>
        <v>20200111155655310</v>
      </c>
      <c r="B5000" t="str">
        <f>"1578729415307627"</f>
        <v>1578729415307627</v>
      </c>
      <c r="C5000" t="s">
        <v>37</v>
      </c>
      <c r="D5000">
        <v>4.667027</v>
      </c>
      <c r="E5000">
        <v>0.55368289999999998</v>
      </c>
      <c r="F5000" t="s">
        <v>75</v>
      </c>
      <c r="G5000">
        <v>-428.6771</v>
      </c>
      <c r="H5000" s="1">
        <v>-5.3421680000000002E-6</v>
      </c>
      <c r="I5000">
        <v>31.875229999999998</v>
      </c>
      <c r="J5000">
        <v>-422.42320000000001</v>
      </c>
      <c r="K5000">
        <v>1.108341</v>
      </c>
      <c r="L5000">
        <v>61.805269999999901</v>
      </c>
      <c r="M5000">
        <v>3.4286530000000003E-2</v>
      </c>
      <c r="N5000">
        <v>0</v>
      </c>
      <c r="O5000">
        <v>-0.9993088</v>
      </c>
      <c r="P5000">
        <v>5.9430370000000003E-2</v>
      </c>
      <c r="Q5000">
        <v>2.2041410000000001E-2</v>
      </c>
      <c r="R5000">
        <v>-0.99798940000000003</v>
      </c>
      <c r="S5000">
        <v>-0.62786869999999995</v>
      </c>
      <c r="T5000">
        <v>-0.111522</v>
      </c>
      <c r="U5000">
        <v>-3.04312099999999</v>
      </c>
      <c r="V5000">
        <v>-2.5481599999999899E-2</v>
      </c>
      <c r="W5000">
        <v>3.6202449999999997E-2</v>
      </c>
      <c r="X5000">
        <v>0.99901960000000001</v>
      </c>
      <c r="Y5000">
        <v>0.23540239999999901</v>
      </c>
      <c r="Z5000">
        <v>3.5700199999999897E-2</v>
      </c>
      <c r="AA5000">
        <v>0.9712421</v>
      </c>
      <c r="AB5000">
        <v>31</v>
      </c>
      <c r="AC5000">
        <v>-6.2538999999999803</v>
      </c>
      <c r="AD5000">
        <v>-1.108346342168</v>
      </c>
      <c r="AE5000">
        <v>-29.930039999999899</v>
      </c>
      <c r="AF5000">
        <v>7.2669769267569002</v>
      </c>
      <c r="AG5000">
        <v>-1.108346342168</v>
      </c>
      <c r="AH5000">
        <v>29.659021840490698</v>
      </c>
      <c r="AI5000">
        <v>92.078695587567395</v>
      </c>
      <c r="AJ5000">
        <v>76.232757897525801</v>
      </c>
      <c r="AK5000">
        <v>30.556422594978599</v>
      </c>
    </row>
    <row r="5001" spans="1:37" x14ac:dyDescent="0.2">
      <c r="A5001" t="str">
        <f>"20200111155655333"</f>
        <v>20200111155655333</v>
      </c>
      <c r="B5001" t="str">
        <f>"1578729415328123"</f>
        <v>1578729415328123</v>
      </c>
      <c r="C5001" t="s">
        <v>37</v>
      </c>
      <c r="D5001">
        <v>4.8114559999999997</v>
      </c>
      <c r="E5001">
        <v>0.54490159999999999</v>
      </c>
      <c r="F5001" t="s">
        <v>38</v>
      </c>
      <c r="G5001">
        <v>-424.03070000000002</v>
      </c>
      <c r="H5001" s="1">
        <v>-2.0651220000000001E-6</v>
      </c>
      <c r="I5001">
        <v>41.903030000000001</v>
      </c>
      <c r="J5001">
        <v>-422.40839999999997</v>
      </c>
      <c r="K5001">
        <v>1.1083099999999999</v>
      </c>
      <c r="L5001">
        <v>61.499269999999903</v>
      </c>
      <c r="M5001">
        <v>3.8327470000000002E-2</v>
      </c>
      <c r="N5001">
        <v>0</v>
      </c>
      <c r="O5001">
        <v>-0.99916149999999904</v>
      </c>
      <c r="P5001">
        <v>6.2724799999999997E-2</v>
      </c>
      <c r="Q5001">
        <v>2.060679E-2</v>
      </c>
      <c r="R5001">
        <v>-0.99781810000000004</v>
      </c>
      <c r="S5001">
        <v>-0.2442627</v>
      </c>
      <c r="T5001">
        <v>-0.16842089999999901</v>
      </c>
      <c r="U5001">
        <v>-3.024292</v>
      </c>
      <c r="V5001">
        <v>-2.4723499999999999E-2</v>
      </c>
      <c r="W5001">
        <v>3.4787609999999997E-2</v>
      </c>
      <c r="X5001">
        <v>0.99908889999999995</v>
      </c>
      <c r="Y5001">
        <v>0.1185293</v>
      </c>
      <c r="Z5001">
        <v>5.5256180000000002E-2</v>
      </c>
      <c r="AA5001">
        <v>0.99141190000000001</v>
      </c>
      <c r="AB5001">
        <v>31</v>
      </c>
      <c r="AC5001">
        <v>-1.62230000000005</v>
      </c>
      <c r="AD5001">
        <v>-1.108312065122</v>
      </c>
      <c r="AE5001">
        <v>-19.596239999999899</v>
      </c>
      <c r="AF5001">
        <v>2.36474718504105</v>
      </c>
      <c r="AG5001">
        <v>-1.108312065122</v>
      </c>
      <c r="AH5001">
        <v>19.457836386424098</v>
      </c>
      <c r="AI5001">
        <v>93.236265458743105</v>
      </c>
      <c r="AJ5001">
        <v>83.070718751654894</v>
      </c>
      <c r="AK5001">
        <v>19.632314731679099</v>
      </c>
    </row>
    <row r="5002" spans="1:37" x14ac:dyDescent="0.2">
      <c r="A5002" t="str">
        <f>"20200111155655355"</f>
        <v>20200111155655355</v>
      </c>
      <c r="B5002" t="str">
        <f>"1578729415347643"</f>
        <v>1578729415347643</v>
      </c>
      <c r="C5002" t="s">
        <v>37</v>
      </c>
      <c r="D5002">
        <v>4.7777180000000001</v>
      </c>
      <c r="E5002">
        <v>0.54222930000000003</v>
      </c>
      <c r="F5002" t="s">
        <v>38</v>
      </c>
      <c r="G5002">
        <v>-423.495</v>
      </c>
      <c r="H5002" s="1">
        <v>-1.77382E-6</v>
      </c>
      <c r="I5002">
        <v>41.556259999999902</v>
      </c>
      <c r="J5002">
        <v>-422.39229999999998</v>
      </c>
      <c r="K5002">
        <v>1.108255</v>
      </c>
      <c r="L5002">
        <v>61.189450000000001</v>
      </c>
      <c r="M5002">
        <v>4.2351060000000003E-2</v>
      </c>
      <c r="N5002">
        <v>0</v>
      </c>
      <c r="O5002">
        <v>-0.99899910000000003</v>
      </c>
      <c r="P5002">
        <v>6.6278879999999998E-2</v>
      </c>
      <c r="Q5002">
        <v>1.9124639999999998E-2</v>
      </c>
      <c r="R5002">
        <v>-0.99761809999999995</v>
      </c>
      <c r="S5002">
        <v>-0.164550799999999</v>
      </c>
      <c r="T5002">
        <v>-0.16785310000000001</v>
      </c>
      <c r="U5002">
        <v>-3.0203549999999999</v>
      </c>
      <c r="V5002">
        <v>-2.4240689999999999E-2</v>
      </c>
      <c r="W5002">
        <v>3.3321719999999999E-2</v>
      </c>
      <c r="X5002">
        <v>0.99915069999999995</v>
      </c>
      <c r="Y5002">
        <v>9.6560560000000004E-2</v>
      </c>
      <c r="Z5002">
        <v>5.5243140000000003E-2</v>
      </c>
      <c r="AA5002">
        <v>0.99379289999999998</v>
      </c>
      <c r="AB5002">
        <v>31</v>
      </c>
      <c r="AC5002">
        <v>-1.10270000000002</v>
      </c>
      <c r="AD5002">
        <v>-1.10825677382</v>
      </c>
      <c r="AE5002">
        <v>-19.633189999999999</v>
      </c>
      <c r="AF5002">
        <v>1.9271616199310999</v>
      </c>
      <c r="AG5002">
        <v>-1.10825677382</v>
      </c>
      <c r="AH5002">
        <v>19.506904762232299</v>
      </c>
      <c r="AI5002">
        <v>93.235962066245094</v>
      </c>
      <c r="AJ5002">
        <v>84.357839830142197</v>
      </c>
      <c r="AK5002">
        <v>19.633173925497999</v>
      </c>
    </row>
    <row r="5003" spans="1:37" x14ac:dyDescent="0.2">
      <c r="A5003" t="str">
        <f>"20200111155655377"</f>
        <v>20200111155655377</v>
      </c>
      <c r="B5003" t="str">
        <f>"1578729415368140"</f>
        <v>1578729415368140</v>
      </c>
      <c r="C5003" t="s">
        <v>37</v>
      </c>
      <c r="D5003">
        <v>4.7976859999999997</v>
      </c>
      <c r="E5003">
        <v>0.54036930000000005</v>
      </c>
      <c r="F5003" t="s">
        <v>38</v>
      </c>
      <c r="G5003">
        <v>-423.221</v>
      </c>
      <c r="H5003" s="1">
        <v>-2.0393149999999999E-6</v>
      </c>
      <c r="I5003">
        <v>42.345039999999997</v>
      </c>
      <c r="J5003">
        <v>-422.37520000000001</v>
      </c>
      <c r="K5003">
        <v>1.1081780000000001</v>
      </c>
      <c r="L5003">
        <v>60.883999999999901</v>
      </c>
      <c r="M5003">
        <v>4.622561E-2</v>
      </c>
      <c r="N5003">
        <v>0</v>
      </c>
      <c r="O5003">
        <v>-0.99882739999999903</v>
      </c>
      <c r="P5003">
        <v>6.9829000000000002E-2</v>
      </c>
      <c r="Q5003">
        <v>1.6836489999999999E-2</v>
      </c>
      <c r="R5003">
        <v>-0.997417199999999</v>
      </c>
      <c r="S5003">
        <v>-0.13278199999999901</v>
      </c>
      <c r="T5003">
        <v>-0.17757239999999999</v>
      </c>
      <c r="U5003">
        <v>-3.0193789999999998</v>
      </c>
      <c r="V5003">
        <v>-2.3895110000000001E-2</v>
      </c>
      <c r="W5003">
        <v>3.104647E-2</v>
      </c>
      <c r="X5003">
        <v>0.99923229999999996</v>
      </c>
      <c r="Y5003">
        <v>8.9997519999999998E-2</v>
      </c>
      <c r="Z5003">
        <v>5.8468010000000001E-2</v>
      </c>
      <c r="AA5003">
        <v>0.99422429999999995</v>
      </c>
      <c r="AB5003">
        <v>31</v>
      </c>
      <c r="AC5003">
        <v>-0.845799999999997</v>
      </c>
      <c r="AD5003">
        <v>-1.1081800393150001</v>
      </c>
      <c r="AE5003">
        <v>-18.5389599999999</v>
      </c>
      <c r="AF5003">
        <v>1.6959119844064501</v>
      </c>
      <c r="AG5003">
        <v>-1.1081800393150001</v>
      </c>
      <c r="AH5003">
        <v>18.414376086655299</v>
      </c>
      <c r="AI5003">
        <v>93.429436962539398</v>
      </c>
      <c r="AJ5003">
        <v>84.738064220244993</v>
      </c>
      <c r="AK5003">
        <v>18.525480482815301</v>
      </c>
    </row>
    <row r="5004" spans="1:37" x14ac:dyDescent="0.2">
      <c r="A5004" t="str">
        <f>"20200111155655401"</f>
        <v>20200111155655401</v>
      </c>
      <c r="B5004" t="str">
        <f>"1578729415387659"</f>
        <v>1578729415387659</v>
      </c>
      <c r="C5004" t="s">
        <v>37</v>
      </c>
      <c r="D5004">
        <v>4.9676970000000003</v>
      </c>
      <c r="E5004">
        <v>0.53895599999999999</v>
      </c>
      <c r="F5004" t="s">
        <v>38</v>
      </c>
      <c r="G5004">
        <v>-422.99740000000003</v>
      </c>
      <c r="H5004" s="1">
        <v>-2.4311560000000002E-6</v>
      </c>
      <c r="I5004">
        <v>43.397129999999997</v>
      </c>
      <c r="J5004">
        <v>-422.35669999999999</v>
      </c>
      <c r="K5004">
        <v>1.108077</v>
      </c>
      <c r="L5004">
        <v>60.571779999999997</v>
      </c>
      <c r="M5004">
        <v>5.0057690000000002E-2</v>
      </c>
      <c r="N5004">
        <v>0</v>
      </c>
      <c r="O5004">
        <v>-0.99864229999999998</v>
      </c>
      <c r="P5004">
        <v>7.3720889999999997E-2</v>
      </c>
      <c r="Q5004">
        <v>1.346435E-2</v>
      </c>
      <c r="R5004">
        <v>-0.99718799999999996</v>
      </c>
      <c r="S5004">
        <v>-0.1073914</v>
      </c>
      <c r="T5004">
        <v>-0.1912904</v>
      </c>
      <c r="U5004">
        <v>-3.0185240000000002</v>
      </c>
      <c r="V5004">
        <v>-2.392416E-2</v>
      </c>
      <c r="W5004">
        <v>2.7682890000000002E-2</v>
      </c>
      <c r="X5004">
        <v>0.99933039999999995</v>
      </c>
      <c r="Y5004">
        <v>8.5470710000000005E-2</v>
      </c>
      <c r="Z5004">
        <v>6.2990770000000001E-2</v>
      </c>
      <c r="AA5004">
        <v>0.99434750000000005</v>
      </c>
      <c r="AB5004">
        <v>31</v>
      </c>
      <c r="AC5004">
        <v>-0.64070000000003802</v>
      </c>
      <c r="AD5004">
        <v>-1.108079431156</v>
      </c>
      <c r="AE5004">
        <v>-17.17465</v>
      </c>
      <c r="AF5004">
        <v>1.49350101687759</v>
      </c>
      <c r="AG5004">
        <v>-1.108079431156</v>
      </c>
      <c r="AH5004">
        <v>17.050164254523899</v>
      </c>
      <c r="AI5004">
        <v>93.704243385652305</v>
      </c>
      <c r="AJ5004">
        <v>84.993980787247594</v>
      </c>
      <c r="AK5004">
        <v>17.151282354955502</v>
      </c>
    </row>
    <row r="5005" spans="1:37" x14ac:dyDescent="0.2">
      <c r="A5005" t="str">
        <f>"20200111155655422"</f>
        <v>20200111155655422</v>
      </c>
      <c r="B5005" t="str">
        <f>"1578729415417915"</f>
        <v>1578729415417915</v>
      </c>
      <c r="C5005" t="s">
        <v>37</v>
      </c>
      <c r="D5005">
        <v>4.9537009999999997</v>
      </c>
      <c r="E5005">
        <v>0.53850039999999999</v>
      </c>
      <c r="F5005" t="s">
        <v>40</v>
      </c>
      <c r="G5005">
        <v>-422.38440000000003</v>
      </c>
      <c r="H5005">
        <v>1.042308</v>
      </c>
      <c r="I5005">
        <v>59.591250000000002</v>
      </c>
      <c r="J5005">
        <v>-422.33749999999998</v>
      </c>
      <c r="K5005">
        <v>1.1079540000000001</v>
      </c>
      <c r="L5005">
        <v>60.266419999999997</v>
      </c>
      <c r="M5005">
        <v>5.3659659999999998E-2</v>
      </c>
      <c r="N5005">
        <v>0</v>
      </c>
      <c r="O5005">
        <v>-0.99845550000000005</v>
      </c>
      <c r="P5005">
        <v>7.7006920000000006E-2</v>
      </c>
      <c r="Q5005">
        <v>1.0317990000000001E-2</v>
      </c>
      <c r="R5005">
        <v>-0.99697739999999901</v>
      </c>
      <c r="S5005">
        <v>-8.4106449999999999E-2</v>
      </c>
      <c r="T5005">
        <v>-0.20267499999999999</v>
      </c>
      <c r="U5005">
        <v>-3.017395</v>
      </c>
      <c r="V5005">
        <v>-2.357967E-2</v>
      </c>
      <c r="W5005">
        <v>2.4546370000000001E-2</v>
      </c>
      <c r="X5005">
        <v>0.99942059999999999</v>
      </c>
      <c r="Y5005">
        <v>8.1404850000000001E-2</v>
      </c>
      <c r="Z5005">
        <v>6.6748890000000005E-2</v>
      </c>
      <c r="AA5005">
        <v>0.99444349999999904</v>
      </c>
      <c r="AB5005">
        <v>31</v>
      </c>
      <c r="AC5005">
        <v>-4.6900000000050499E-2</v>
      </c>
      <c r="AD5005">
        <v>-6.5646000000000093E-2</v>
      </c>
      <c r="AE5005">
        <v>-0.67516999999999405</v>
      </c>
      <c r="AF5005">
        <v>8.2291362486114406E-2</v>
      </c>
      <c r="AG5005">
        <v>-6.5646000000000093E-2</v>
      </c>
      <c r="AH5005">
        <v>0.665419865237735</v>
      </c>
      <c r="AI5005">
        <v>95.591872857569797</v>
      </c>
      <c r="AJ5005">
        <v>82.950121246280204</v>
      </c>
      <c r="AK5005">
        <v>0.67369493296953498</v>
      </c>
    </row>
    <row r="5006" spans="1:37" x14ac:dyDescent="0.2">
      <c r="A5006" t="str">
        <f>"20200111155655444"</f>
        <v>20200111155655444</v>
      </c>
      <c r="B5006" t="str">
        <f>"1578729415438411"</f>
        <v>1578729415438411</v>
      </c>
      <c r="C5006" t="s">
        <v>37</v>
      </c>
      <c r="D5006">
        <v>5.1755800000000001</v>
      </c>
      <c r="E5006">
        <v>0.53888819999999904</v>
      </c>
      <c r="F5006" t="s">
        <v>40</v>
      </c>
      <c r="G5006">
        <v>-422.36009999999999</v>
      </c>
      <c r="H5006">
        <v>1.0449250000000001</v>
      </c>
      <c r="I5006">
        <v>59.315469999999998</v>
      </c>
      <c r="J5006">
        <v>-422.31760000000003</v>
      </c>
      <c r="K5006">
        <v>1.107837</v>
      </c>
      <c r="L5006">
        <v>59.96463</v>
      </c>
      <c r="M5006">
        <v>5.7094730000000003E-2</v>
      </c>
      <c r="N5006">
        <v>0</v>
      </c>
      <c r="O5006">
        <v>-0.99826479999999995</v>
      </c>
      <c r="P5006">
        <v>8.0394359999999998E-2</v>
      </c>
      <c r="Q5006">
        <v>7.4764559999999898E-3</v>
      </c>
      <c r="R5006">
        <v>-0.99673509999999998</v>
      </c>
      <c r="S5006">
        <v>-7.1075440000000004E-2</v>
      </c>
      <c r="T5006">
        <v>-0.2000864</v>
      </c>
      <c r="U5006">
        <v>-3.0166629999999999</v>
      </c>
      <c r="V5006">
        <v>-2.3507819999999999E-2</v>
      </c>
      <c r="W5006">
        <v>2.1711859999999999E-2</v>
      </c>
      <c r="X5006">
        <v>0.99948789999999998</v>
      </c>
      <c r="Y5006">
        <v>8.0549309999999999E-2</v>
      </c>
      <c r="Z5006">
        <v>6.5903100000000006E-2</v>
      </c>
      <c r="AA5006">
        <v>0.9945695</v>
      </c>
      <c r="AB5006">
        <v>31</v>
      </c>
      <c r="AC5006">
        <v>-4.2499999999961298E-2</v>
      </c>
      <c r="AD5006">
        <v>-6.2911999999999996E-2</v>
      </c>
      <c r="AE5006">
        <v>-0.64916000000000895</v>
      </c>
      <c r="AF5006">
        <v>7.87615400689443E-2</v>
      </c>
      <c r="AG5006">
        <v>-6.2911999999999996E-2</v>
      </c>
      <c r="AH5006">
        <v>0.63969165310547504</v>
      </c>
      <c r="AI5006">
        <v>95.574997258408104</v>
      </c>
      <c r="AJ5006">
        <v>82.980828419478001</v>
      </c>
      <c r="AK5006">
        <v>0.64758529244482299</v>
      </c>
    </row>
    <row r="5007" spans="1:37" x14ac:dyDescent="0.2">
      <c r="A5007" t="str">
        <f>"20200111155655466"</f>
        <v>20200111155655466</v>
      </c>
      <c r="B5007" t="str">
        <f>"1578729415457932"</f>
        <v>1578729415457932</v>
      </c>
      <c r="C5007" t="s">
        <v>37</v>
      </c>
      <c r="D5007">
        <v>4.9132150000000001</v>
      </c>
      <c r="E5007">
        <v>0.53892739999999995</v>
      </c>
      <c r="F5007" t="s">
        <v>40</v>
      </c>
      <c r="G5007">
        <v>-422.3374</v>
      </c>
      <c r="H5007">
        <v>1.0444990000000001</v>
      </c>
      <c r="I5007">
        <v>59.041419999999903</v>
      </c>
      <c r="J5007">
        <v>-422.29629999999997</v>
      </c>
      <c r="K5007">
        <v>1.107721</v>
      </c>
      <c r="L5007">
        <v>59.656100000000002</v>
      </c>
      <c r="M5007">
        <v>6.0458789999999998E-2</v>
      </c>
      <c r="N5007">
        <v>0</v>
      </c>
      <c r="O5007">
        <v>-0.99806679999999903</v>
      </c>
      <c r="P5007">
        <v>8.4536269999999997E-2</v>
      </c>
      <c r="Q5007">
        <v>6.9629119999999999E-3</v>
      </c>
      <c r="R5007">
        <v>-0.99639639999999996</v>
      </c>
      <c r="S5007">
        <v>-6.3323969999999993E-2</v>
      </c>
      <c r="T5007">
        <v>-0.20726559999999999</v>
      </c>
      <c r="U5007">
        <v>-3.0164789999999999</v>
      </c>
      <c r="V5007">
        <v>-2.4283969999999998E-2</v>
      </c>
      <c r="W5007">
        <v>2.1196509999999998E-2</v>
      </c>
      <c r="X5007">
        <v>0.99948040000000005</v>
      </c>
      <c r="Y5007">
        <v>8.135212E-2</v>
      </c>
      <c r="Z5007">
        <v>6.8240300000000004E-2</v>
      </c>
      <c r="AA5007">
        <v>0.99434659999999997</v>
      </c>
      <c r="AB5007">
        <v>31</v>
      </c>
      <c r="AC5007">
        <v>-4.1100000000028503E-2</v>
      </c>
      <c r="AD5007">
        <v>-6.3221999999999806E-2</v>
      </c>
      <c r="AE5007">
        <v>-0.614680000000007</v>
      </c>
      <c r="AF5007">
        <v>7.7376551971650706E-2</v>
      </c>
      <c r="AG5007">
        <v>-6.3221999999999806E-2</v>
      </c>
      <c r="AH5007">
        <v>0.60470164191856202</v>
      </c>
      <c r="AI5007">
        <v>95.920704498166401</v>
      </c>
      <c r="AJ5007">
        <v>82.708158351655399</v>
      </c>
      <c r="AK5007">
        <v>0.61290148296282199</v>
      </c>
    </row>
    <row r="5008" spans="1:37" x14ac:dyDescent="0.2">
      <c r="A5008" t="str">
        <f>"20200111155655490"</f>
        <v>20200111155655490</v>
      </c>
      <c r="B5008" t="str">
        <f>"1578729415478428"</f>
        <v>1578729415478428</v>
      </c>
      <c r="C5008" t="s">
        <v>37</v>
      </c>
      <c r="D5008">
        <v>5.1632579999999999</v>
      </c>
      <c r="E5008">
        <v>0.539072</v>
      </c>
      <c r="F5008" t="s">
        <v>40</v>
      </c>
      <c r="G5008">
        <v>-422.31130000000002</v>
      </c>
      <c r="H5008">
        <v>1.045498</v>
      </c>
      <c r="I5008">
        <v>58.767240000000001</v>
      </c>
      <c r="J5008">
        <v>-422.274</v>
      </c>
      <c r="K5008">
        <v>1.1076010000000001</v>
      </c>
      <c r="L5008">
        <v>59.346530000000001</v>
      </c>
      <c r="M5008">
        <v>6.3661690000000007E-2</v>
      </c>
      <c r="N5008">
        <v>0</v>
      </c>
      <c r="O5008">
        <v>-0.99786759999999997</v>
      </c>
      <c r="P5008">
        <v>8.946722E-2</v>
      </c>
      <c r="Q5008">
        <v>7.6391619999999997E-3</v>
      </c>
      <c r="R5008">
        <v>-0.99596049999999903</v>
      </c>
      <c r="S5008">
        <v>-5.1361080000000003E-2</v>
      </c>
      <c r="T5008">
        <v>-0.21108949999999899</v>
      </c>
      <c r="U5008">
        <v>-3.0166930000000001</v>
      </c>
      <c r="V5008">
        <v>-2.6022159999999999E-2</v>
      </c>
      <c r="W5008">
        <v>2.186488E-2</v>
      </c>
      <c r="X5008">
        <v>0.99942219999999904</v>
      </c>
      <c r="Y5008">
        <v>8.0606209999999998E-2</v>
      </c>
      <c r="Z5008">
        <v>6.9472210000000006E-2</v>
      </c>
      <c r="AA5008">
        <v>0.99432199999999904</v>
      </c>
      <c r="AB5008">
        <v>31</v>
      </c>
      <c r="AC5008">
        <v>-3.7300000000016098E-2</v>
      </c>
      <c r="AD5008">
        <v>-6.2102999999999998E-2</v>
      </c>
      <c r="AE5008">
        <v>-0.57928999999999997</v>
      </c>
      <c r="AF5008">
        <v>7.3268135404771007E-2</v>
      </c>
      <c r="AG5008">
        <v>-6.2102999999999998E-2</v>
      </c>
      <c r="AH5008">
        <v>0.56922477602947497</v>
      </c>
      <c r="AI5008">
        <v>96.175850051761103</v>
      </c>
      <c r="AJ5008">
        <v>82.665464746925196</v>
      </c>
      <c r="AK5008">
        <v>0.57727103506108601</v>
      </c>
    </row>
    <row r="5009" spans="1:37" x14ac:dyDescent="0.2">
      <c r="A5009" t="str">
        <f>"20200111155655512"</f>
        <v>20200111155655512</v>
      </c>
      <c r="B5009" t="str">
        <f>"1578729415507708"</f>
        <v>1578729415507708</v>
      </c>
      <c r="C5009" t="s">
        <v>37</v>
      </c>
      <c r="D5009">
        <v>4.9019830000000004</v>
      </c>
      <c r="E5009">
        <v>0.53939959999999998</v>
      </c>
      <c r="F5009" t="s">
        <v>40</v>
      </c>
      <c r="G5009">
        <v>-422.2851</v>
      </c>
      <c r="H5009">
        <v>1.049072</v>
      </c>
      <c r="I5009">
        <v>58.490749999999998</v>
      </c>
      <c r="J5009">
        <v>-422.25110000000001</v>
      </c>
      <c r="K5009">
        <v>1.1074629999999901</v>
      </c>
      <c r="L5009">
        <v>59.0389699999999</v>
      </c>
      <c r="M5009">
        <v>6.6657389999999997E-2</v>
      </c>
      <c r="N5009">
        <v>0</v>
      </c>
      <c r="O5009">
        <v>-0.997671999999999</v>
      </c>
      <c r="P5009">
        <v>9.4332760000000002E-2</v>
      </c>
      <c r="Q5009">
        <v>7.4030169999999996E-3</v>
      </c>
      <c r="R5009">
        <v>-0.99551339999999999</v>
      </c>
      <c r="S5009">
        <v>-3.7902829999999998E-2</v>
      </c>
      <c r="T5009">
        <v>-0.20654139999999899</v>
      </c>
      <c r="U5009">
        <v>-3.0171509999999899</v>
      </c>
      <c r="V5009">
        <v>-2.78961E-2</v>
      </c>
      <c r="W5009">
        <v>2.1619849999999999E-2</v>
      </c>
      <c r="X5009">
        <v>0.99937699999999996</v>
      </c>
      <c r="Y5009">
        <v>7.9163220000000006E-2</v>
      </c>
      <c r="Z5009">
        <v>6.7958329999999997E-2</v>
      </c>
      <c r="AA5009">
        <v>0.994542499999999</v>
      </c>
      <c r="AB5009">
        <v>31</v>
      </c>
      <c r="AC5009">
        <v>-3.3999999999991801E-2</v>
      </c>
      <c r="AD5009">
        <v>-5.8390999999999797E-2</v>
      </c>
      <c r="AE5009">
        <v>-0.54821999999999305</v>
      </c>
      <c r="AF5009">
        <v>6.9683579187687902E-2</v>
      </c>
      <c r="AG5009">
        <v>-5.8390999999999797E-2</v>
      </c>
      <c r="AH5009">
        <v>0.53864665970193304</v>
      </c>
      <c r="AI5009">
        <v>96.136145081763203</v>
      </c>
      <c r="AJ5009">
        <v>82.628706356699098</v>
      </c>
      <c r="AK5009">
        <v>0.54626507676901404</v>
      </c>
    </row>
    <row r="5010" spans="1:37" x14ac:dyDescent="0.2">
      <c r="A5010" t="str">
        <f>"20200111155655534"</f>
        <v>20200111155655534</v>
      </c>
      <c r="B5010" t="str">
        <f>"1578729415528204"</f>
        <v>1578729415528204</v>
      </c>
      <c r="C5010" t="s">
        <v>37</v>
      </c>
      <c r="D5010">
        <v>4.8999509999999997</v>
      </c>
      <c r="E5010">
        <v>0.53998199999999996</v>
      </c>
      <c r="F5010" t="s">
        <v>40</v>
      </c>
      <c r="G5010">
        <v>-422.25830000000002</v>
      </c>
      <c r="H5010">
        <v>1.0510349999999999</v>
      </c>
      <c r="I5010">
        <v>58.215619999999902</v>
      </c>
      <c r="J5010">
        <v>-422.22809999999998</v>
      </c>
      <c r="K5010">
        <v>1.1073</v>
      </c>
      <c r="L5010">
        <v>58.73874</v>
      </c>
      <c r="M5010">
        <v>6.9384959999999996E-2</v>
      </c>
      <c r="N5010">
        <v>0</v>
      </c>
      <c r="O5010">
        <v>-0.9974864</v>
      </c>
      <c r="P5010">
        <v>9.9281110000000006E-2</v>
      </c>
      <c r="Q5010">
        <v>6.3341569999999896E-3</v>
      </c>
      <c r="R5010">
        <v>-0.99503940000000002</v>
      </c>
      <c r="S5010">
        <v>-2.600098E-2</v>
      </c>
      <c r="T5010">
        <v>-0.20690419999999901</v>
      </c>
      <c r="U5010">
        <v>-3.0175169999999998</v>
      </c>
      <c r="V5010">
        <v>-3.011691E-2</v>
      </c>
      <c r="W5010">
        <v>2.054243E-2</v>
      </c>
      <c r="X5010">
        <v>0.99933530000000004</v>
      </c>
      <c r="Y5010">
        <v>7.7964870000000006E-2</v>
      </c>
      <c r="Z5010">
        <v>6.8054530000000002E-2</v>
      </c>
      <c r="AA5010">
        <v>0.99463060000000003</v>
      </c>
      <c r="AB5010">
        <v>31</v>
      </c>
      <c r="AC5010">
        <v>-3.0200000000036201E-2</v>
      </c>
      <c r="AD5010">
        <v>-5.6265000000000003E-2</v>
      </c>
      <c r="AE5010">
        <v>-0.52312000000000503</v>
      </c>
      <c r="AF5010">
        <v>6.5670432665756395E-2</v>
      </c>
      <c r="AG5010">
        <v>-5.6265000000000003E-2</v>
      </c>
      <c r="AH5010">
        <v>0.51383879957091605</v>
      </c>
      <c r="AI5010">
        <v>96.198929622395795</v>
      </c>
      <c r="AJ5010">
        <v>82.716877187668004</v>
      </c>
      <c r="AK5010">
        <v>0.52106493635245399</v>
      </c>
    </row>
    <row r="5011" spans="1:37" x14ac:dyDescent="0.2">
      <c r="A5011" t="str">
        <f>"20200111155655556"</f>
        <v>20200111155655556</v>
      </c>
      <c r="B5011" t="str">
        <f>"1578729415548275"</f>
        <v>1578729415548275</v>
      </c>
      <c r="C5011" t="s">
        <v>37</v>
      </c>
      <c r="D5011">
        <v>4.9285940000000004</v>
      </c>
      <c r="E5011">
        <v>0.540512199999999</v>
      </c>
      <c r="F5011" t="s">
        <v>40</v>
      </c>
      <c r="G5011">
        <v>-422.23239999999998</v>
      </c>
      <c r="H5011">
        <v>1.0519179999999999</v>
      </c>
      <c r="I5011">
        <v>57.941809999999997</v>
      </c>
      <c r="J5011">
        <v>-422.20420000000001</v>
      </c>
      <c r="K5011">
        <v>1.107127</v>
      </c>
      <c r="L5011">
        <v>58.435879999999997</v>
      </c>
      <c r="M5011">
        <v>7.1923399999999998E-2</v>
      </c>
      <c r="N5011">
        <v>0</v>
      </c>
      <c r="O5011">
        <v>-0.99730649999999998</v>
      </c>
      <c r="P5011">
        <v>0.10290339999999901</v>
      </c>
      <c r="Q5011">
        <v>5.9958540000000001E-3</v>
      </c>
      <c r="R5011">
        <v>-0.99467329999999998</v>
      </c>
      <c r="S5011">
        <v>-1.5136719999999999E-2</v>
      </c>
      <c r="T5011">
        <v>-0.20999079999999901</v>
      </c>
      <c r="U5011">
        <v>-3.017792</v>
      </c>
      <c r="V5011">
        <v>-3.120119E-2</v>
      </c>
      <c r="W5011">
        <v>2.0203470000000001E-2</v>
      </c>
      <c r="X5011">
        <v>0.99930889999999895</v>
      </c>
      <c r="Y5011">
        <v>7.6920450000000001E-2</v>
      </c>
      <c r="Z5011">
        <v>6.9043610000000005E-2</v>
      </c>
      <c r="AA5011">
        <v>0.99464370000000002</v>
      </c>
      <c r="AB5011">
        <v>31</v>
      </c>
      <c r="AC5011">
        <v>-2.8199999999969801E-2</v>
      </c>
      <c r="AD5011">
        <v>-5.52089999999998E-2</v>
      </c>
      <c r="AE5011">
        <v>-0.494070000000007</v>
      </c>
      <c r="AF5011">
        <v>6.2883175126030394E-2</v>
      </c>
      <c r="AG5011">
        <v>-5.52089999999998E-2</v>
      </c>
      <c r="AH5011">
        <v>0.48472878166543298</v>
      </c>
      <c r="AI5011">
        <v>96.444257626130394</v>
      </c>
      <c r="AJ5011">
        <v>82.608381337682999</v>
      </c>
      <c r="AK5011">
        <v>0.491898687912243</v>
      </c>
    </row>
    <row r="5012" spans="1:37" x14ac:dyDescent="0.2">
      <c r="A5012" t="str">
        <f>"20200111155655578"</f>
        <v>20200111155655578</v>
      </c>
      <c r="B5012" t="str">
        <f>"1578729415567786"</f>
        <v>1578729415567786</v>
      </c>
      <c r="C5012" t="s">
        <v>37</v>
      </c>
      <c r="D5012">
        <v>5.0417230000000002</v>
      </c>
      <c r="E5012">
        <v>0.54081469999999998</v>
      </c>
      <c r="F5012" t="s">
        <v>40</v>
      </c>
      <c r="G5012">
        <v>-422.2063</v>
      </c>
      <c r="H5012">
        <v>1.0532629999999901</v>
      </c>
      <c r="I5012">
        <v>57.667949999999998</v>
      </c>
      <c r="J5012">
        <v>-422.17970000000003</v>
      </c>
      <c r="K5012">
        <v>1.106941</v>
      </c>
      <c r="L5012">
        <v>58.132019999999997</v>
      </c>
      <c r="M5012">
        <v>7.4240329999999993E-2</v>
      </c>
      <c r="N5012">
        <v>0</v>
      </c>
      <c r="O5012">
        <v>-0.99713669999999999</v>
      </c>
      <c r="P5012">
        <v>0.1066931</v>
      </c>
      <c r="Q5012">
        <v>7.3001200000000002E-3</v>
      </c>
      <c r="R5012">
        <v>-0.99426519999999996</v>
      </c>
      <c r="S5012">
        <v>-8.5449219999999999E-3</v>
      </c>
      <c r="T5012">
        <v>-0.21168389999999901</v>
      </c>
      <c r="U5012">
        <v>-3.01821899999999</v>
      </c>
      <c r="V5012">
        <v>-3.2686020000000003E-2</v>
      </c>
      <c r="W5012">
        <v>2.150591E-2</v>
      </c>
      <c r="X5012">
        <v>0.99923430000000002</v>
      </c>
      <c r="Y5012">
        <v>7.7063839999999995E-2</v>
      </c>
      <c r="Z5012">
        <v>6.9569870000000006E-2</v>
      </c>
      <c r="AA5012">
        <v>0.99459599999999904</v>
      </c>
      <c r="AB5012">
        <v>31</v>
      </c>
      <c r="AC5012">
        <v>-2.6599999999973499E-2</v>
      </c>
      <c r="AD5012">
        <v>-5.3678000000000101E-2</v>
      </c>
      <c r="AE5012">
        <v>-0.46406999999999898</v>
      </c>
      <c r="AF5012">
        <v>6.0180331615179897E-2</v>
      </c>
      <c r="AG5012">
        <v>-5.3678000000000101E-2</v>
      </c>
      <c r="AH5012">
        <v>0.45474987738487499</v>
      </c>
      <c r="AI5012">
        <v>96.674299861121398</v>
      </c>
      <c r="AJ5012">
        <v>82.461440477863803</v>
      </c>
      <c r="AK5012">
        <v>0.46184461778705599</v>
      </c>
    </row>
    <row r="5013" spans="1:37" x14ac:dyDescent="0.2">
      <c r="A5013" t="str">
        <f>"20200111155655601"</f>
        <v>20200111155655601</v>
      </c>
      <c r="B5013" t="str">
        <f>"1578729415598044"</f>
        <v>1578729415598044</v>
      </c>
      <c r="C5013" t="s">
        <v>37</v>
      </c>
      <c r="D5013">
        <v>4.9353259999999999</v>
      </c>
      <c r="E5013">
        <v>0.5384002</v>
      </c>
      <c r="F5013" t="s">
        <v>38</v>
      </c>
      <c r="G5013">
        <v>-422.17660000000001</v>
      </c>
      <c r="H5013" s="1">
        <v>-1.6560220000000001E-6</v>
      </c>
      <c r="I5013">
        <v>42.099339999999998</v>
      </c>
      <c r="J5013">
        <v>-422.15429999999998</v>
      </c>
      <c r="K5013">
        <v>1.1067480000000001</v>
      </c>
      <c r="L5013">
        <v>57.823880000000003</v>
      </c>
      <c r="M5013">
        <v>7.6310320000000001E-2</v>
      </c>
      <c r="N5013">
        <v>0</v>
      </c>
      <c r="O5013">
        <v>-0.9969808</v>
      </c>
      <c r="P5013">
        <v>0.1105492</v>
      </c>
      <c r="Q5013">
        <v>9.0711950000000006E-3</v>
      </c>
      <c r="R5013">
        <v>-0.99382969999999904</v>
      </c>
      <c r="S5013">
        <v>5.7983399999999999E-4</v>
      </c>
      <c r="T5013">
        <v>-0.20842440000000001</v>
      </c>
      <c r="U5013">
        <v>-3.0187680000000001</v>
      </c>
      <c r="V5013">
        <v>-3.4486139999999998E-2</v>
      </c>
      <c r="W5013">
        <v>2.3275959999999998E-2</v>
      </c>
      <c r="X5013">
        <v>0.99913410000000002</v>
      </c>
      <c r="Y5013">
        <v>7.6126860000000005E-2</v>
      </c>
      <c r="Z5013">
        <v>6.847789E-2</v>
      </c>
      <c r="AA5013">
        <v>0.99474390000000001</v>
      </c>
      <c r="AB5013">
        <v>31</v>
      </c>
      <c r="AC5013">
        <v>-2.2300000000029699E-2</v>
      </c>
      <c r="AD5013">
        <v>-1.106749656022</v>
      </c>
      <c r="AE5013">
        <v>-15.7245399999999</v>
      </c>
      <c r="AF5013">
        <v>1.2162780194260201</v>
      </c>
      <c r="AG5013">
        <v>-1.106749656022</v>
      </c>
      <c r="AH5013">
        <v>15.5996992913676</v>
      </c>
      <c r="AI5013">
        <v>94.045917815108695</v>
      </c>
      <c r="AJ5013">
        <v>85.541779486218502</v>
      </c>
      <c r="AK5013">
        <v>15.686135438747799</v>
      </c>
    </row>
    <row r="5014" spans="1:37" x14ac:dyDescent="0.2">
      <c r="A5014" t="str">
        <f>"20200111155656054"</f>
        <v>20200111155656054</v>
      </c>
      <c r="B5014" t="str">
        <f>"1578729416047978"</f>
        <v>1578729416047978</v>
      </c>
      <c r="C5014" t="s">
        <v>37</v>
      </c>
      <c r="D5014">
        <v>4.8604560000000001</v>
      </c>
      <c r="E5014">
        <v>0.46053189999999999</v>
      </c>
      <c r="F5014" t="s">
        <v>75</v>
      </c>
      <c r="G5014">
        <v>-415.33589999999998</v>
      </c>
      <c r="H5014" s="1">
        <v>-5.3266459999999898E-6</v>
      </c>
      <c r="I5014">
        <v>32.407859999999999</v>
      </c>
      <c r="J5014">
        <v>-421.68959999999998</v>
      </c>
      <c r="K5014">
        <v>1.103178</v>
      </c>
      <c r="L5014">
        <v>51.728299999999997</v>
      </c>
      <c r="M5014">
        <v>6.3105110000000006E-2</v>
      </c>
      <c r="N5014">
        <v>0</v>
      </c>
      <c r="O5014">
        <v>-0.99790499999999904</v>
      </c>
      <c r="P5014">
        <v>0.12097329999999901</v>
      </c>
      <c r="Q5014">
        <v>1.027987E-2</v>
      </c>
      <c r="R5014">
        <v>-0.99260289999999995</v>
      </c>
      <c r="S5014">
        <v>0.85150149999999902</v>
      </c>
      <c r="T5014">
        <v>-0.143265</v>
      </c>
      <c r="U5014">
        <v>-2.905243</v>
      </c>
      <c r="V5014">
        <v>-5.7982430000000001E-2</v>
      </c>
      <c r="W5014">
        <v>2.4782330000000002E-2</v>
      </c>
      <c r="X5014">
        <v>0.99800999999999995</v>
      </c>
      <c r="Y5014">
        <v>-0.21981790000000001</v>
      </c>
      <c r="Z5014">
        <v>4.7507029999999999E-2</v>
      </c>
      <c r="AA5014">
        <v>0.97438349999999996</v>
      </c>
      <c r="AB5014">
        <v>30</v>
      </c>
      <c r="AC5014">
        <v>6.3536999999999999</v>
      </c>
      <c r="AD5014">
        <v>-1.1031833266460001</v>
      </c>
      <c r="AE5014">
        <v>-19.320439999999898</v>
      </c>
      <c r="AF5014">
        <v>-5.1066667627826297</v>
      </c>
      <c r="AG5014">
        <v>-1.1031833266460001</v>
      </c>
      <c r="AH5014">
        <v>19.625176000348802</v>
      </c>
      <c r="AI5014">
        <v>93.113883653458302</v>
      </c>
      <c r="AJ5014">
        <v>104.585485089366</v>
      </c>
      <c r="AK5014">
        <v>20.3086826732549</v>
      </c>
    </row>
    <row r="5015" spans="1:37" x14ac:dyDescent="0.2">
      <c r="A5015" t="str">
        <f>"20200111155656070"</f>
        <v>20200111155656070</v>
      </c>
      <c r="B5015" t="str">
        <f>"1578729416058246"</f>
        <v>1578729416058246</v>
      </c>
      <c r="C5015" t="s">
        <v>37</v>
      </c>
      <c r="D5015">
        <v>5.0152489999999998</v>
      </c>
      <c r="E5015">
        <v>0.46053189999999999</v>
      </c>
      <c r="F5015" t="s">
        <v>75</v>
      </c>
      <c r="G5015">
        <v>-412.27280000000002</v>
      </c>
      <c r="H5015" s="1">
        <v>-1.22341699999999E-5</v>
      </c>
      <c r="I5015">
        <v>10.83623</v>
      </c>
      <c r="J5015">
        <v>-421.67750000000001</v>
      </c>
      <c r="K5015">
        <v>1.1031759999999999</v>
      </c>
      <c r="L5015">
        <v>51.508450000000003</v>
      </c>
      <c r="M5015">
        <v>6.149226E-2</v>
      </c>
      <c r="N5015">
        <v>0</v>
      </c>
      <c r="O5015">
        <v>-0.99800540000000004</v>
      </c>
      <c r="P5015">
        <v>8.7852710000000001E-2</v>
      </c>
      <c r="Q5015">
        <v>1.1824919999999999E-2</v>
      </c>
      <c r="R5015">
        <v>-0.99606329999999998</v>
      </c>
      <c r="S5015">
        <v>0.67718509999999998</v>
      </c>
      <c r="T5015">
        <v>-7.9332949999999999E-2</v>
      </c>
      <c r="U5015">
        <v>-2.9406430000000001</v>
      </c>
      <c r="V5015">
        <v>-2.6318689999999999E-2</v>
      </c>
      <c r="W5015">
        <v>2.6209989999999999E-2</v>
      </c>
      <c r="X5015">
        <v>0.99931000000000003</v>
      </c>
      <c r="Y5015">
        <v>-0.1639784</v>
      </c>
      <c r="Z5015">
        <v>2.6364640000000002E-2</v>
      </c>
      <c r="AA5015">
        <v>0.98611150000000003</v>
      </c>
      <c r="AB5015">
        <v>30</v>
      </c>
      <c r="AC5015">
        <v>9.4046999999999894</v>
      </c>
      <c r="AD5015">
        <v>-1.1031882341699999</v>
      </c>
      <c r="AE5015">
        <v>-40.672220000000003</v>
      </c>
      <c r="AF5015">
        <v>-6.88081144964318</v>
      </c>
      <c r="AG5015">
        <v>-1.1031882341699999</v>
      </c>
      <c r="AH5015">
        <v>41.144875676810301</v>
      </c>
      <c r="AI5015">
        <v>91.514836208803999</v>
      </c>
      <c r="AJ5015">
        <v>99.493932085396295</v>
      </c>
      <c r="AK5015">
        <v>41.7308445271088</v>
      </c>
    </row>
    <row r="5016" spans="1:37" x14ac:dyDescent="0.2">
      <c r="A5016" t="str">
        <f>"20200111155656085"</f>
        <v>20200111155656085</v>
      </c>
      <c r="B5016" t="str">
        <f>"1578729416077769"</f>
        <v>1578729416077769</v>
      </c>
      <c r="C5016" t="s">
        <v>37</v>
      </c>
      <c r="D5016">
        <v>3.9996800000000001</v>
      </c>
      <c r="E5016">
        <v>0.53204549999999995</v>
      </c>
      <c r="F5016" t="s">
        <v>75</v>
      </c>
      <c r="G5016">
        <v>-413.49020000000002</v>
      </c>
      <c r="H5016">
        <v>3.3784929999999998E-2</v>
      </c>
      <c r="I5016">
        <v>9.6162619999999901</v>
      </c>
      <c r="J5016">
        <v>-421.66629999999998</v>
      </c>
      <c r="K5016">
        <v>1.103173</v>
      </c>
      <c r="L5016">
        <v>51.300139999999999</v>
      </c>
      <c r="M5016">
        <v>5.9970889999999999E-2</v>
      </c>
      <c r="N5016">
        <v>0</v>
      </c>
      <c r="O5016">
        <v>-0.99809809999999999</v>
      </c>
      <c r="P5016">
        <v>7.9436930000000003E-2</v>
      </c>
      <c r="Q5016">
        <v>1.1465349999999999E-2</v>
      </c>
      <c r="R5016">
        <v>-0.99677399999999905</v>
      </c>
      <c r="S5016">
        <v>0.57882690000000003</v>
      </c>
      <c r="T5016">
        <v>-7.5603959999999998E-2</v>
      </c>
      <c r="U5016">
        <v>-2.9617</v>
      </c>
      <c r="V5016">
        <v>-1.9400839999999999E-2</v>
      </c>
      <c r="W5016">
        <v>2.5821509999999999E-2</v>
      </c>
      <c r="X5016">
        <v>0.99947830000000004</v>
      </c>
      <c r="Y5016">
        <v>-0.1325394</v>
      </c>
      <c r="Z5016">
        <v>2.5100310000000001E-2</v>
      </c>
      <c r="AA5016">
        <v>0.99085990000000002</v>
      </c>
      <c r="AB5016">
        <v>30</v>
      </c>
      <c r="AC5016">
        <v>8.1760999999999608</v>
      </c>
      <c r="AD5016">
        <v>-1.06938807</v>
      </c>
      <c r="AE5016">
        <v>-41.683878</v>
      </c>
      <c r="AF5016">
        <v>-5.6577214197821801</v>
      </c>
      <c r="AG5016">
        <v>-1.06938807</v>
      </c>
      <c r="AH5016">
        <v>42.072550142569497</v>
      </c>
      <c r="AI5016">
        <v>91.443030679734306</v>
      </c>
      <c r="AJ5016">
        <v>97.658924217484397</v>
      </c>
      <c r="AK5016">
        <v>42.464725102220299</v>
      </c>
    </row>
    <row r="5017" spans="1:37" x14ac:dyDescent="0.2">
      <c r="A5017" t="str">
        <f>"20200111155656121"</f>
        <v>20200111155656121</v>
      </c>
      <c r="B5017" t="str">
        <f>"1578729416117783"</f>
        <v>1578729416117783</v>
      </c>
      <c r="C5017" t="s">
        <v>37</v>
      </c>
      <c r="D5017">
        <v>5.0173509999999997</v>
      </c>
      <c r="E5017">
        <v>0.61684859999999997</v>
      </c>
      <c r="F5017" t="s">
        <v>78</v>
      </c>
      <c r="G5017">
        <v>-421.93209999999999</v>
      </c>
      <c r="H5017">
        <v>0.39656009999999903</v>
      </c>
      <c r="I5017">
        <v>0.4577389</v>
      </c>
      <c r="J5017">
        <v>-421.6422</v>
      </c>
      <c r="K5017">
        <v>1.1031690000000001</v>
      </c>
      <c r="L5017">
        <v>50.831209999999999</v>
      </c>
      <c r="M5017">
        <v>5.6572009999999999E-2</v>
      </c>
      <c r="N5017">
        <v>0</v>
      </c>
      <c r="O5017">
        <v>-0.99829639999999997</v>
      </c>
      <c r="P5017">
        <v>3.3463279999999998E-2</v>
      </c>
      <c r="Q5017">
        <v>1.1716549999999999E-2</v>
      </c>
      <c r="R5017">
        <v>-0.99937119999999902</v>
      </c>
      <c r="S5017">
        <v>-1.5747069999999998E-2</v>
      </c>
      <c r="T5017">
        <v>-4.185498E-2</v>
      </c>
      <c r="U5017">
        <v>-3.011444</v>
      </c>
      <c r="V5017">
        <v>2.3242479999999999E-2</v>
      </c>
      <c r="W5017">
        <v>2.588538E-2</v>
      </c>
      <c r="X5017">
        <v>0.99939469999999997</v>
      </c>
      <c r="Y5017">
        <v>6.179714E-2</v>
      </c>
      <c r="Z5017">
        <v>1.385053E-2</v>
      </c>
      <c r="AA5017">
        <v>0.99799259999999901</v>
      </c>
      <c r="AB5017">
        <v>30</v>
      </c>
      <c r="AC5017">
        <v>-0.289899999999988</v>
      </c>
      <c r="AD5017">
        <v>-0.70660889999999998</v>
      </c>
      <c r="AE5017">
        <v>-50.373471100000003</v>
      </c>
      <c r="AF5017">
        <v>3.1388371271984901</v>
      </c>
      <c r="AG5017">
        <v>-0.70660889999999998</v>
      </c>
      <c r="AH5017">
        <v>50.266490195116702</v>
      </c>
      <c r="AI5017">
        <v>90.803802989252702</v>
      </c>
      <c r="AJ5017">
        <v>86.426865787322299</v>
      </c>
      <c r="AK5017">
        <v>50.369352102090801</v>
      </c>
    </row>
    <row r="5018" spans="1:37" x14ac:dyDescent="0.2">
      <c r="A5018" t="str">
        <f>"20200111155656136"</f>
        <v>20200111155656136</v>
      </c>
      <c r="B5018" t="str">
        <f>"1578729416128518"</f>
        <v>1578729416128518</v>
      </c>
      <c r="C5018" t="s">
        <v>37</v>
      </c>
      <c r="D5018">
        <v>4.9569159999999997</v>
      </c>
      <c r="E5018">
        <v>0.61670389999999997</v>
      </c>
      <c r="F5018" t="s">
        <v>75</v>
      </c>
      <c r="G5018">
        <v>-427.07499999999999</v>
      </c>
      <c r="H5018" s="1">
        <v>-5.4406559999999999E-6</v>
      </c>
      <c r="I5018">
        <v>30.98359</v>
      </c>
      <c r="J5018">
        <v>-421.63209999999998</v>
      </c>
      <c r="K5018">
        <v>1.1031679999999999</v>
      </c>
      <c r="L5018">
        <v>50.62332</v>
      </c>
      <c r="M5018">
        <v>5.5073730000000001E-2</v>
      </c>
      <c r="N5018">
        <v>0</v>
      </c>
      <c r="O5018">
        <v>-0.9983805</v>
      </c>
      <c r="P5018">
        <v>1.054016E-2</v>
      </c>
      <c r="Q5018">
        <v>1.2241159999999999E-2</v>
      </c>
      <c r="R5018">
        <v>-0.99986980000000003</v>
      </c>
      <c r="S5018">
        <v>-0.82983399999999996</v>
      </c>
      <c r="T5018">
        <v>-0.16850570000000001</v>
      </c>
      <c r="U5018">
        <v>-3.031647</v>
      </c>
      <c r="V5018">
        <v>4.4659699999999997E-2</v>
      </c>
      <c r="W5018">
        <v>2.6306759999999998E-2</v>
      </c>
      <c r="X5018">
        <v>0.99865590000000004</v>
      </c>
      <c r="Y5018">
        <v>0.31636300000000001</v>
      </c>
      <c r="Z5018">
        <v>5.2973069999999997E-2</v>
      </c>
      <c r="AA5018">
        <v>0.94715799999999895</v>
      </c>
      <c r="AB5018">
        <v>30</v>
      </c>
      <c r="AC5018">
        <v>-5.4428999999999998</v>
      </c>
      <c r="AD5018">
        <v>-1.1031734406559901</v>
      </c>
      <c r="AE5018">
        <v>-19.63973</v>
      </c>
      <c r="AF5018">
        <v>6.4973429736971804</v>
      </c>
      <c r="AG5018">
        <v>-1.1031734406559901</v>
      </c>
      <c r="AH5018">
        <v>19.253710340941801</v>
      </c>
      <c r="AI5018">
        <v>93.107469805181793</v>
      </c>
      <c r="AJ5018">
        <v>71.352556460542502</v>
      </c>
      <c r="AK5018">
        <v>20.3503763908904</v>
      </c>
    </row>
    <row r="5019" spans="1:37" x14ac:dyDescent="0.2">
      <c r="A5019" t="str">
        <f>"20200111155656153"</f>
        <v>20200111155656153</v>
      </c>
      <c r="B5019" t="str">
        <f>"1578729416148039"</f>
        <v>1578729416148039</v>
      </c>
      <c r="C5019" t="s">
        <v>37</v>
      </c>
      <c r="D5019">
        <v>4.9096399999999996</v>
      </c>
      <c r="E5019">
        <v>0.61456769999999905</v>
      </c>
      <c r="F5019" t="s">
        <v>75</v>
      </c>
      <c r="G5019">
        <v>-427.2704</v>
      </c>
      <c r="H5019" s="1">
        <v>-5.201114E-6</v>
      </c>
      <c r="I5019">
        <v>31.717309999999902</v>
      </c>
      <c r="J5019">
        <v>-421.62189999999998</v>
      </c>
      <c r="K5019">
        <v>1.1031709999999999</v>
      </c>
      <c r="L5019">
        <v>50.406829999999999</v>
      </c>
      <c r="M5019">
        <v>5.3517759999999998E-2</v>
      </c>
      <c r="N5019">
        <v>0</v>
      </c>
      <c r="O5019">
        <v>-0.99846509999999999</v>
      </c>
      <c r="P5019">
        <v>5.0502109999999995E-4</v>
      </c>
      <c r="Q5019">
        <v>1.2277740000000001E-2</v>
      </c>
      <c r="R5019">
        <v>-0.99992479999999995</v>
      </c>
      <c r="S5019">
        <v>-0.89825440000000001</v>
      </c>
      <c r="T5019">
        <v>-0.17575279999999999</v>
      </c>
      <c r="U5019">
        <v>-3.0120239999999998</v>
      </c>
      <c r="V5019">
        <v>5.3126409999999999E-2</v>
      </c>
      <c r="W5019">
        <v>2.6300090000000002E-2</v>
      </c>
      <c r="X5019">
        <v>0.99824139999999995</v>
      </c>
      <c r="Y5019">
        <v>0.336227099999999</v>
      </c>
      <c r="Z5019">
        <v>5.5231849999999999E-2</v>
      </c>
      <c r="AA5019">
        <v>0.94016</v>
      </c>
      <c r="AB5019">
        <v>30</v>
      </c>
      <c r="AC5019">
        <v>-5.6485000000000101</v>
      </c>
      <c r="AD5019">
        <v>-1.1031762011139901</v>
      </c>
      <c r="AE5019">
        <v>-18.689520000000002</v>
      </c>
      <c r="AF5019">
        <v>6.6195932692521504</v>
      </c>
      <c r="AG5019">
        <v>-1.1031762011139901</v>
      </c>
      <c r="AH5019">
        <v>18.301975466960702</v>
      </c>
      <c r="AI5019">
        <v>93.244208564946902</v>
      </c>
      <c r="AJ5019">
        <v>70.115582902951701</v>
      </c>
      <c r="AK5019">
        <v>19.493545567040002</v>
      </c>
    </row>
    <row r="5020" spans="1:37" x14ac:dyDescent="0.2">
      <c r="A5020" t="str">
        <f>"20200111155656167"</f>
        <v>20200111155656167</v>
      </c>
      <c r="B5020" t="str">
        <f>"1578729416158308"</f>
        <v>1578729416158308</v>
      </c>
      <c r="C5020" t="s">
        <v>37</v>
      </c>
      <c r="D5020">
        <v>4.9392189999999996</v>
      </c>
      <c r="E5020">
        <v>0.61356669999999902</v>
      </c>
      <c r="F5020" t="s">
        <v>75</v>
      </c>
      <c r="G5020">
        <v>-426.90289999999999</v>
      </c>
      <c r="H5020" s="1">
        <v>-4.7030999999999999E-6</v>
      </c>
      <c r="I5020">
        <v>33.004550000000002</v>
      </c>
      <c r="J5020">
        <v>-421.61329999999998</v>
      </c>
      <c r="K5020">
        <v>1.10317</v>
      </c>
      <c r="L5020">
        <v>50.219239999999999</v>
      </c>
      <c r="M5020">
        <v>5.2171250000000002E-2</v>
      </c>
      <c r="N5020">
        <v>0</v>
      </c>
      <c r="O5020">
        <v>-0.99853630000000004</v>
      </c>
      <c r="P5020">
        <v>-7.5680299999999999E-3</v>
      </c>
      <c r="Q5020">
        <v>1.214552E-2</v>
      </c>
      <c r="R5020">
        <v>-0.999897699999999</v>
      </c>
      <c r="S5020">
        <v>-0.91131589999999996</v>
      </c>
      <c r="T5020">
        <v>-0.19036919999999999</v>
      </c>
      <c r="U5020">
        <v>-3.0030209999999999</v>
      </c>
      <c r="V5020">
        <v>5.9839650000000001E-2</v>
      </c>
      <c r="W5020">
        <v>2.613277E-2</v>
      </c>
      <c r="X5020">
        <v>0.99786589999999997</v>
      </c>
      <c r="Y5020">
        <v>0.33939709999999901</v>
      </c>
      <c r="Z5020">
        <v>5.9914219999999997E-2</v>
      </c>
      <c r="AA5020">
        <v>0.93873320000000005</v>
      </c>
      <c r="AB5020">
        <v>30</v>
      </c>
      <c r="AC5020">
        <v>-5.2896000000000001</v>
      </c>
      <c r="AD5020">
        <v>-1.1031747031000001</v>
      </c>
      <c r="AE5020">
        <v>-17.214689999999901</v>
      </c>
      <c r="AF5020">
        <v>6.1574928683871999</v>
      </c>
      <c r="AG5020">
        <v>-1.1031747031000001</v>
      </c>
      <c r="AH5020">
        <v>16.852013065481401</v>
      </c>
      <c r="AI5020">
        <v>93.518492421130205</v>
      </c>
      <c r="AJ5020">
        <v>69.928394481112903</v>
      </c>
      <c r="AK5020">
        <v>17.975596157261499</v>
      </c>
    </row>
    <row r="5021" spans="1:37" x14ac:dyDescent="0.2">
      <c r="A5021" t="str">
        <f>"20200111155656182"</f>
        <v>20200111155656182</v>
      </c>
      <c r="B5021" t="str">
        <f>"1578729416177829"</f>
        <v>1578729416177829</v>
      </c>
      <c r="C5021" t="s">
        <v>37</v>
      </c>
      <c r="D5021">
        <v>4.9753499999999997</v>
      </c>
      <c r="E5021">
        <v>0.61078940000000004</v>
      </c>
      <c r="F5021" t="s">
        <v>75</v>
      </c>
      <c r="G5021">
        <v>-426.89150000000001</v>
      </c>
      <c r="H5021" s="1">
        <v>-4.6443609999999999E-6</v>
      </c>
      <c r="I5021">
        <v>33.169179999999997</v>
      </c>
      <c r="J5021">
        <v>-421.6044</v>
      </c>
      <c r="K5021">
        <v>1.103172</v>
      </c>
      <c r="L5021">
        <v>50.019350000000003</v>
      </c>
      <c r="M5021">
        <v>5.0737900000000002E-2</v>
      </c>
      <c r="N5021">
        <v>0</v>
      </c>
      <c r="O5021">
        <v>-0.998610199999999</v>
      </c>
      <c r="P5021">
        <v>-1.5884349999999998E-2</v>
      </c>
      <c r="Q5021">
        <v>1.173684E-2</v>
      </c>
      <c r="R5021">
        <v>-0.99980519999999995</v>
      </c>
      <c r="S5021">
        <v>-0.92736819999999898</v>
      </c>
      <c r="T5021">
        <v>-0.1938241</v>
      </c>
      <c r="U5021">
        <v>-2.9956360000000002</v>
      </c>
      <c r="V5021">
        <v>6.6705719999999996E-2</v>
      </c>
      <c r="W5021">
        <v>2.5687560000000002E-2</v>
      </c>
      <c r="X5021">
        <v>0.99744189999999999</v>
      </c>
      <c r="Y5021">
        <v>0.34326390000000001</v>
      </c>
      <c r="Z5021">
        <v>6.1056480000000003E-2</v>
      </c>
      <c r="AA5021">
        <v>0.93725239999999999</v>
      </c>
      <c r="AB5021">
        <v>30</v>
      </c>
      <c r="AC5021">
        <v>-5.2870999999999997</v>
      </c>
      <c r="AD5021">
        <v>-1.103176644361</v>
      </c>
      <c r="AE5021">
        <v>-16.850169999999999</v>
      </c>
      <c r="AF5021">
        <v>6.11147034750896</v>
      </c>
      <c r="AG5021">
        <v>-1.103176644361</v>
      </c>
      <c r="AH5021">
        <v>16.495810409445799</v>
      </c>
      <c r="AI5021">
        <v>93.588358350285503</v>
      </c>
      <c r="AJ5021">
        <v>69.671026678721901</v>
      </c>
      <c r="AK5021">
        <v>17.626083784593899</v>
      </c>
    </row>
    <row r="5022" spans="1:37" x14ac:dyDescent="0.2">
      <c r="A5022" t="str">
        <f>"20200111155656196"</f>
        <v>20200111155656196</v>
      </c>
      <c r="B5022" t="str">
        <f>"1578729416187587"</f>
        <v>1578729416187587</v>
      </c>
      <c r="C5022" t="s">
        <v>37</v>
      </c>
      <c r="D5022">
        <v>5.0167549999999999</v>
      </c>
      <c r="E5022">
        <v>0.60928119999999997</v>
      </c>
      <c r="F5022" t="s">
        <v>75</v>
      </c>
      <c r="G5022">
        <v>-426.67959999999999</v>
      </c>
      <c r="H5022" s="1">
        <v>-4.4307169999999996E-6</v>
      </c>
      <c r="I5022">
        <v>33.699629999999999</v>
      </c>
      <c r="J5022">
        <v>-421.59629999999999</v>
      </c>
      <c r="K5022">
        <v>1.103175</v>
      </c>
      <c r="L5022">
        <v>49.831240000000001</v>
      </c>
      <c r="M5022">
        <v>4.9391770000000002E-2</v>
      </c>
      <c r="N5022">
        <v>0</v>
      </c>
      <c r="O5022">
        <v>-0.99867779999999995</v>
      </c>
      <c r="P5022">
        <v>-2.3491620000000001E-2</v>
      </c>
      <c r="Q5022">
        <v>9.4642779999999996E-3</v>
      </c>
      <c r="R5022">
        <v>-0.9996794</v>
      </c>
      <c r="S5022">
        <v>-0.92929079999999997</v>
      </c>
      <c r="T5022">
        <v>-0.20199500000000001</v>
      </c>
      <c r="U5022">
        <v>-2.9881899999999999</v>
      </c>
      <c r="V5022">
        <v>7.2942699999999999E-2</v>
      </c>
      <c r="W5022">
        <v>2.338227E-2</v>
      </c>
      <c r="X5022">
        <v>0.997062</v>
      </c>
      <c r="Y5022">
        <v>0.34315699999999999</v>
      </c>
      <c r="Z5022">
        <v>6.3772280000000001E-2</v>
      </c>
      <c r="AA5022">
        <v>0.93711069999999996</v>
      </c>
      <c r="AB5022">
        <v>30</v>
      </c>
      <c r="AC5022">
        <v>-5.0833000000000004</v>
      </c>
      <c r="AD5022">
        <v>-1.103179430717</v>
      </c>
      <c r="AE5022">
        <v>-16.131609999999998</v>
      </c>
      <c r="AF5022">
        <v>5.8490608743899299</v>
      </c>
      <c r="AG5022">
        <v>-1.103179430717</v>
      </c>
      <c r="AH5022">
        <v>15.7936285224886</v>
      </c>
      <c r="AI5022">
        <v>93.747634824285797</v>
      </c>
      <c r="AJ5022">
        <v>69.678238690915094</v>
      </c>
      <c r="AK5022">
        <v>16.8780099500812</v>
      </c>
    </row>
    <row r="5023" spans="1:37" x14ac:dyDescent="0.2">
      <c r="A5023" t="str">
        <f>"20200111155656214"</f>
        <v>20200111155656214</v>
      </c>
      <c r="B5023" t="str">
        <f>"1578729416208084"</f>
        <v>1578729416208084</v>
      </c>
      <c r="C5023" t="s">
        <v>37</v>
      </c>
      <c r="D5023">
        <v>5.0818310000000002</v>
      </c>
      <c r="E5023">
        <v>0.58628519999999995</v>
      </c>
      <c r="F5023" t="s">
        <v>75</v>
      </c>
      <c r="G5023">
        <v>-426.41399999999999</v>
      </c>
      <c r="H5023" s="1">
        <v>-4.1006519999999999E-6</v>
      </c>
      <c r="I5023">
        <v>34.543880000000001</v>
      </c>
      <c r="J5023">
        <v>-421.58609999999999</v>
      </c>
      <c r="K5023">
        <v>1.1031739999999901</v>
      </c>
      <c r="L5023">
        <v>49.586820000000003</v>
      </c>
      <c r="M5023">
        <v>4.7649150000000001E-2</v>
      </c>
      <c r="N5023">
        <v>0</v>
      </c>
      <c r="O5023">
        <v>-0.99876229999999999</v>
      </c>
      <c r="P5023">
        <v>-2.787837E-2</v>
      </c>
      <c r="Q5023">
        <v>7.5563929999999998E-3</v>
      </c>
      <c r="R5023">
        <v>-0.99958279999999999</v>
      </c>
      <c r="S5023">
        <v>-0.9394226</v>
      </c>
      <c r="T5023">
        <v>-0.2151121</v>
      </c>
      <c r="U5023">
        <v>-2.9809269999999999</v>
      </c>
      <c r="V5023">
        <v>7.5571180000000002E-2</v>
      </c>
      <c r="W5023">
        <v>2.145967E-2</v>
      </c>
      <c r="X5023">
        <v>0.99690939999999995</v>
      </c>
      <c r="Y5023">
        <v>0.34498099999999998</v>
      </c>
      <c r="Z5023">
        <v>6.8002709999999994E-2</v>
      </c>
      <c r="AA5023">
        <v>0.93614299999999995</v>
      </c>
      <c r="AB5023">
        <v>30</v>
      </c>
      <c r="AC5023">
        <v>-4.8278999999999996</v>
      </c>
      <c r="AD5023">
        <v>-1.1031781006519901</v>
      </c>
      <c r="AE5023">
        <v>-15.04294</v>
      </c>
      <c r="AF5023">
        <v>5.51239373595652</v>
      </c>
      <c r="AG5023">
        <v>-1.1031781006519901</v>
      </c>
      <c r="AH5023">
        <v>14.723989282200201</v>
      </c>
      <c r="AI5023">
        <v>94.013731409043004</v>
      </c>
      <c r="AJ5023">
        <v>69.475014033048097</v>
      </c>
      <c r="AK5023">
        <v>15.7606899279288</v>
      </c>
    </row>
    <row r="5024" spans="1:37" x14ac:dyDescent="0.2">
      <c r="A5024" t="str">
        <f>"20200111155656237"</f>
        <v>20200111155656237</v>
      </c>
      <c r="B5024" t="str">
        <f>"1578729416227603"</f>
        <v>1578729416227603</v>
      </c>
      <c r="C5024" t="s">
        <v>37</v>
      </c>
      <c r="D5024">
        <v>4.7662050000000002</v>
      </c>
      <c r="E5024">
        <v>0.60948329999999995</v>
      </c>
      <c r="F5024" t="s">
        <v>75</v>
      </c>
      <c r="G5024">
        <v>-424.70269999999999</v>
      </c>
      <c r="H5024" s="1">
        <v>-2.0796509999999999E-6</v>
      </c>
      <c r="I5024">
        <v>37.472830000000002</v>
      </c>
      <c r="J5024">
        <v>-421.57429999999999</v>
      </c>
      <c r="K5024">
        <v>1.1031899999999999</v>
      </c>
      <c r="L5024">
        <v>49.292540000000002</v>
      </c>
      <c r="M5024">
        <v>4.557609E-2</v>
      </c>
      <c r="N5024">
        <v>0</v>
      </c>
      <c r="O5024">
        <v>-0.99885919999999895</v>
      </c>
      <c r="P5024">
        <v>-2.689105E-2</v>
      </c>
      <c r="Q5024">
        <v>6.0126980000000003E-3</v>
      </c>
      <c r="R5024">
        <v>-0.99962059999999997</v>
      </c>
      <c r="S5024">
        <v>-0.76718140000000001</v>
      </c>
      <c r="T5024">
        <v>-0.27155079999999998</v>
      </c>
      <c r="U5024">
        <v>-2.981903</v>
      </c>
      <c r="V5024">
        <v>7.2509500000000005E-2</v>
      </c>
      <c r="W5024">
        <v>1.9933159999999998E-2</v>
      </c>
      <c r="X5024">
        <v>0.99716849999999901</v>
      </c>
      <c r="Y5024">
        <v>0.29209590000000002</v>
      </c>
      <c r="Z5024">
        <v>8.7163119999999997E-2</v>
      </c>
      <c r="AA5024">
        <v>0.9524089</v>
      </c>
      <c r="AB5024">
        <v>30</v>
      </c>
      <c r="AC5024">
        <v>-3.1283999999999899</v>
      </c>
      <c r="AD5024">
        <v>-1.103192079651</v>
      </c>
      <c r="AE5024">
        <v>-11.819710000000001</v>
      </c>
      <c r="AF5024">
        <v>3.6343121132164802</v>
      </c>
      <c r="AG5024">
        <v>-1.103192079651</v>
      </c>
      <c r="AH5024">
        <v>11.570632892688799</v>
      </c>
      <c r="AI5024">
        <v>95.197469463678601</v>
      </c>
      <c r="AJ5024">
        <v>72.562602906789294</v>
      </c>
      <c r="AK5024">
        <v>12.178045936776901</v>
      </c>
    </row>
    <row r="5025" spans="1:37" x14ac:dyDescent="0.2">
      <c r="A5025" t="str">
        <f>"20200111155656254"</f>
        <v>20200111155656254</v>
      </c>
      <c r="B5025" t="str">
        <f>"1578729416248100"</f>
        <v>1578729416248100</v>
      </c>
      <c r="C5025" t="s">
        <v>37</v>
      </c>
      <c r="D5025">
        <v>4.8021190000000002</v>
      </c>
      <c r="E5025">
        <v>0.61002480000000003</v>
      </c>
      <c r="F5025" t="s">
        <v>75</v>
      </c>
      <c r="G5025">
        <v>-430.91699999999997</v>
      </c>
      <c r="H5025">
        <v>7.9987059999999999E-2</v>
      </c>
      <c r="I5025">
        <v>20.062560000000001</v>
      </c>
      <c r="J5025">
        <v>-421.56540000000001</v>
      </c>
      <c r="K5025">
        <v>1.1032150000000001</v>
      </c>
      <c r="L5025">
        <v>49.058409999999903</v>
      </c>
      <c r="M5025">
        <v>4.396394E-2</v>
      </c>
      <c r="N5025">
        <v>0</v>
      </c>
      <c r="O5025">
        <v>-0.99893180000000004</v>
      </c>
      <c r="P5025">
        <v>-2.659767E-2</v>
      </c>
      <c r="Q5025">
        <v>5.0627440000000001E-3</v>
      </c>
      <c r="R5025">
        <v>-0.99963359999999901</v>
      </c>
      <c r="S5025">
        <v>-0.95126339999999998</v>
      </c>
      <c r="T5025">
        <v>-0.10418139999999899</v>
      </c>
      <c r="U5025">
        <v>-2.9761660000000001</v>
      </c>
      <c r="V5025">
        <v>7.0601979999999995E-2</v>
      </c>
      <c r="W5025">
        <v>1.8994919999999998E-2</v>
      </c>
      <c r="X5025">
        <v>0.99732369999999904</v>
      </c>
      <c r="Y5025">
        <v>0.34587319999999999</v>
      </c>
      <c r="Z5025">
        <v>3.303118E-2</v>
      </c>
      <c r="AA5025">
        <v>0.93769969999999903</v>
      </c>
      <c r="AB5025">
        <v>30</v>
      </c>
      <c r="AC5025">
        <v>-9.3515999999999604</v>
      </c>
      <c r="AD5025">
        <v>-1.0232279399999999</v>
      </c>
      <c r="AE5025">
        <v>-28.995849999999901</v>
      </c>
      <c r="AF5025">
        <v>10.6054944513855</v>
      </c>
      <c r="AG5025">
        <v>-1.0232279399999999</v>
      </c>
      <c r="AH5025">
        <v>28.524459223769401</v>
      </c>
      <c r="AI5025">
        <v>91.9257393762216</v>
      </c>
      <c r="AJ5025">
        <v>69.604688402869797</v>
      </c>
      <c r="AK5025">
        <v>30.449438122632898</v>
      </c>
    </row>
    <row r="5026" spans="1:37" x14ac:dyDescent="0.2">
      <c r="A5026" t="str">
        <f>"20200111155656269"</f>
        <v>20200111155656269</v>
      </c>
      <c r="B5026" t="str">
        <f>"1578729416257861"</f>
        <v>1578729416257861</v>
      </c>
      <c r="C5026" t="s">
        <v>37</v>
      </c>
      <c r="D5026">
        <v>4.823639</v>
      </c>
      <c r="E5026">
        <v>0.60995940000000004</v>
      </c>
      <c r="F5026" t="s">
        <v>75</v>
      </c>
      <c r="G5026">
        <v>-430.1268</v>
      </c>
      <c r="H5026">
        <v>7.9987119999999995E-2</v>
      </c>
      <c r="I5026">
        <v>22.365110000000001</v>
      </c>
      <c r="J5026">
        <v>-421.55849999999998</v>
      </c>
      <c r="K5026">
        <v>1.103243</v>
      </c>
      <c r="L5026">
        <v>48.869840000000003</v>
      </c>
      <c r="M5026">
        <v>4.2703240000000003E-2</v>
      </c>
      <c r="N5026">
        <v>0</v>
      </c>
      <c r="O5026">
        <v>-0.99898619999999905</v>
      </c>
      <c r="P5026">
        <v>-2.5402129999999998E-2</v>
      </c>
      <c r="Q5026">
        <v>4.3555319999999996E-3</v>
      </c>
      <c r="R5026">
        <v>-0.99966790000000005</v>
      </c>
      <c r="S5026">
        <v>-0.95458980000000004</v>
      </c>
      <c r="T5026">
        <v>-0.11408939999999999</v>
      </c>
      <c r="U5026">
        <v>-2.9762879999999998</v>
      </c>
      <c r="V5026">
        <v>6.8145709999999998E-2</v>
      </c>
      <c r="W5026">
        <v>1.8303630000000001E-2</v>
      </c>
      <c r="X5026">
        <v>0.99750749999999999</v>
      </c>
      <c r="Y5026">
        <v>0.34559529999999999</v>
      </c>
      <c r="Z5026">
        <v>3.6165900000000001E-2</v>
      </c>
      <c r="AA5026">
        <v>0.93768649999999998</v>
      </c>
      <c r="AB5026">
        <v>29</v>
      </c>
      <c r="AC5026">
        <v>-8.5683000000000202</v>
      </c>
      <c r="AD5026">
        <v>-1.02325588</v>
      </c>
      <c r="AE5026">
        <v>-26.504729999999999</v>
      </c>
      <c r="AF5026">
        <v>9.6793734305614691</v>
      </c>
      <c r="AG5026">
        <v>-1.02325588</v>
      </c>
      <c r="AH5026">
        <v>26.0794235605834</v>
      </c>
      <c r="AI5026">
        <v>92.106634969199405</v>
      </c>
      <c r="AJ5026">
        <v>69.637600947553693</v>
      </c>
      <c r="AK5026">
        <v>27.836552513853501</v>
      </c>
    </row>
    <row r="5027" spans="1:37" x14ac:dyDescent="0.2">
      <c r="A5027" t="str">
        <f>"20200111155656282"</f>
        <v>20200111155656282</v>
      </c>
      <c r="B5027" t="str">
        <f>"1578729416278356"</f>
        <v>1578729416278356</v>
      </c>
      <c r="C5027" t="s">
        <v>37</v>
      </c>
      <c r="D5027">
        <v>4.8519550000000002</v>
      </c>
      <c r="E5027">
        <v>0.60852890000000004</v>
      </c>
      <c r="F5027" t="s">
        <v>75</v>
      </c>
      <c r="G5027">
        <v>-430.00470000000001</v>
      </c>
      <c r="H5027">
        <v>7.9987130000000004E-2</v>
      </c>
      <c r="I5027">
        <v>22.410350000000001</v>
      </c>
      <c r="J5027">
        <v>-421.55239999999998</v>
      </c>
      <c r="K5027">
        <v>1.1032759999999999</v>
      </c>
      <c r="L5027">
        <v>48.701320000000003</v>
      </c>
      <c r="M5027">
        <v>4.1602670000000001E-2</v>
      </c>
      <c r="N5027">
        <v>0</v>
      </c>
      <c r="O5027">
        <v>-0.99903259999999905</v>
      </c>
      <c r="P5027">
        <v>-1.981844E-2</v>
      </c>
      <c r="Q5027">
        <v>3.7076890000000001E-3</v>
      </c>
      <c r="R5027">
        <v>-0.99979660000000004</v>
      </c>
      <c r="S5027">
        <v>-0.9504089</v>
      </c>
      <c r="T5027">
        <v>-0.11514189999999901</v>
      </c>
      <c r="U5027">
        <v>-2.9773559999999999</v>
      </c>
      <c r="V5027">
        <v>6.146894E-2</v>
      </c>
      <c r="W5027">
        <v>1.7691470000000001E-2</v>
      </c>
      <c r="X5027">
        <v>0.99795219999999996</v>
      </c>
      <c r="Y5027">
        <v>0.34326440000000003</v>
      </c>
      <c r="Z5027">
        <v>3.6512999999999997E-2</v>
      </c>
      <c r="AA5027">
        <v>0.93852880000000005</v>
      </c>
      <c r="AB5027">
        <v>29</v>
      </c>
      <c r="AC5027">
        <v>-8.4523000000000295</v>
      </c>
      <c r="AD5027">
        <v>-1.02328887</v>
      </c>
      <c r="AE5027">
        <v>-26.290970000000002</v>
      </c>
      <c r="AF5027">
        <v>9.5257876129819703</v>
      </c>
      <c r="AG5027">
        <v>-1.02328887</v>
      </c>
      <c r="AH5027">
        <v>25.880995230788201</v>
      </c>
      <c r="AI5027">
        <v>92.124971384176604</v>
      </c>
      <c r="AJ5027">
        <v>69.793301587288099</v>
      </c>
      <c r="AK5027">
        <v>27.5973488562794</v>
      </c>
    </row>
    <row r="5028" spans="1:37" x14ac:dyDescent="0.2">
      <c r="A5028" t="str">
        <f>"20200111155656299"</f>
        <v>20200111155656299</v>
      </c>
      <c r="B5028" t="str">
        <f>"1578729416288116"</f>
        <v>1578729416288116</v>
      </c>
      <c r="C5028" t="s">
        <v>37</v>
      </c>
      <c r="D5028">
        <v>4.8542230000000002</v>
      </c>
      <c r="E5028">
        <v>0.6074119</v>
      </c>
      <c r="F5028" t="s">
        <v>75</v>
      </c>
      <c r="G5028">
        <v>-429.95780000000002</v>
      </c>
      <c r="H5028">
        <v>1.8969949999999999E-2</v>
      </c>
      <c r="I5028">
        <v>21.51886</v>
      </c>
      <c r="J5028">
        <v>-421.54450000000003</v>
      </c>
      <c r="K5028">
        <v>1.103342</v>
      </c>
      <c r="L5028">
        <v>48.474640000000001</v>
      </c>
      <c r="M5028">
        <v>4.0182589999999997E-2</v>
      </c>
      <c r="N5028">
        <v>0</v>
      </c>
      <c r="O5028">
        <v>-0.99909099999999995</v>
      </c>
      <c r="P5028">
        <v>-1.8290770000000001E-2</v>
      </c>
      <c r="Q5028">
        <v>3.187339E-3</v>
      </c>
      <c r="R5028">
        <v>-0.999828099999999</v>
      </c>
      <c r="S5028">
        <v>-0.92233279999999995</v>
      </c>
      <c r="T5028">
        <v>-0.1189819</v>
      </c>
      <c r="U5028">
        <v>-2.982758</v>
      </c>
      <c r="V5028">
        <v>5.8520259999999998E-2</v>
      </c>
      <c r="W5028">
        <v>1.7190859999999999E-2</v>
      </c>
      <c r="X5028">
        <v>0.99813819999999998</v>
      </c>
      <c r="Y5028">
        <v>0.33336259999999901</v>
      </c>
      <c r="Z5028">
        <v>3.7788429999999998E-2</v>
      </c>
      <c r="AA5028">
        <v>0.94204109999999996</v>
      </c>
      <c r="AB5028">
        <v>29</v>
      </c>
      <c r="AC5028">
        <v>-8.4132999999999907</v>
      </c>
      <c r="AD5028">
        <v>-1.08437205</v>
      </c>
      <c r="AE5028">
        <v>-26.955780000000001</v>
      </c>
      <c r="AF5028">
        <v>9.4757931675877405</v>
      </c>
      <c r="AG5028">
        <v>-1.08437205</v>
      </c>
      <c r="AH5028">
        <v>26.556741184103799</v>
      </c>
      <c r="AI5028">
        <v>92.202365743324293</v>
      </c>
      <c r="AJ5028">
        <v>70.362934050961201</v>
      </c>
      <c r="AK5028">
        <v>28.217494949360699</v>
      </c>
    </row>
    <row r="5029" spans="1:37" x14ac:dyDescent="0.2">
      <c r="A5029" t="str">
        <f>"20200111155656313"</f>
        <v>20200111155656313</v>
      </c>
      <c r="B5029" t="str">
        <f>"1578729416308613"</f>
        <v>1578729416308613</v>
      </c>
      <c r="C5029" t="s">
        <v>37</v>
      </c>
      <c r="D5029">
        <v>4.8822950000000001</v>
      </c>
      <c r="E5029">
        <v>0.60603899999999999</v>
      </c>
      <c r="F5029" t="s">
        <v>75</v>
      </c>
      <c r="G5029">
        <v>-429.82220000000001</v>
      </c>
      <c r="H5029" s="1">
        <v>-9.9332179999999993E-6</v>
      </c>
      <c r="I5029">
        <v>21.287679999999899</v>
      </c>
      <c r="J5029">
        <v>-421.53800000000001</v>
      </c>
      <c r="K5029">
        <v>1.1034120000000001</v>
      </c>
      <c r="L5029">
        <v>48.280119999999997</v>
      </c>
      <c r="M5029">
        <v>3.9040520000000002E-2</v>
      </c>
      <c r="N5029">
        <v>0</v>
      </c>
      <c r="O5029">
        <v>-0.99913629999999998</v>
      </c>
      <c r="P5029">
        <v>-1.6171270000000001E-2</v>
      </c>
      <c r="Q5029">
        <v>2.6817799999999999E-3</v>
      </c>
      <c r="R5029">
        <v>-0.99986589999999997</v>
      </c>
      <c r="S5029">
        <v>-0.90863039999999995</v>
      </c>
      <c r="T5029">
        <v>-0.12111369999999901</v>
      </c>
      <c r="U5029">
        <v>-2.984283</v>
      </c>
      <c r="V5029">
        <v>5.525803E-2</v>
      </c>
      <c r="W5029">
        <v>1.6705999999999999E-2</v>
      </c>
      <c r="X5029">
        <v>0.99833229999999995</v>
      </c>
      <c r="Y5029">
        <v>0.32818259999999899</v>
      </c>
      <c r="Z5029">
        <v>3.8509649999999999E-2</v>
      </c>
      <c r="AA5029">
        <v>0.94382900000000003</v>
      </c>
      <c r="AB5029">
        <v>29</v>
      </c>
      <c r="AC5029">
        <v>-8.2841999999999896</v>
      </c>
      <c r="AD5029">
        <v>-1.103421933218</v>
      </c>
      <c r="AE5029">
        <v>-26.992439999999998</v>
      </c>
      <c r="AF5029">
        <v>9.3175586051415493</v>
      </c>
      <c r="AG5029">
        <v>-1.103421933218</v>
      </c>
      <c r="AH5029">
        <v>26.607769082920299</v>
      </c>
      <c r="AI5029">
        <v>92.241384449631397</v>
      </c>
      <c r="AJ5029">
        <v>70.700670594821901</v>
      </c>
      <c r="AK5029">
        <v>28.213610437038401</v>
      </c>
    </row>
    <row r="5030" spans="1:37" x14ac:dyDescent="0.2">
      <c r="A5030" t="str">
        <f>"20200111155656326"</f>
        <v>20200111155656326</v>
      </c>
      <c r="B5030" t="str">
        <f>"1578729416318372"</f>
        <v>1578729416318372</v>
      </c>
      <c r="C5030" t="s">
        <v>37</v>
      </c>
      <c r="D5030">
        <v>4.8326320000000003</v>
      </c>
      <c r="E5030">
        <v>0.60600730000000003</v>
      </c>
      <c r="F5030" t="s">
        <v>75</v>
      </c>
      <c r="G5030">
        <v>-429.43090000000001</v>
      </c>
      <c r="H5030" s="1">
        <v>-9.659399E-6</v>
      </c>
      <c r="I5030">
        <v>21.83549</v>
      </c>
      <c r="J5030">
        <v>-421.53269999999998</v>
      </c>
      <c r="K5030">
        <v>1.103475</v>
      </c>
      <c r="L5030">
        <v>48.117829999999998</v>
      </c>
      <c r="M5030">
        <v>3.8137289999999997E-2</v>
      </c>
      <c r="N5030">
        <v>0</v>
      </c>
      <c r="O5030">
        <v>-0.99917129999999998</v>
      </c>
      <c r="P5030">
        <v>-1.195535E-2</v>
      </c>
      <c r="Q5030">
        <v>2.6664449999999999E-3</v>
      </c>
      <c r="R5030">
        <v>-0.99992530000000002</v>
      </c>
      <c r="S5030">
        <v>-0.89132690000000003</v>
      </c>
      <c r="T5030">
        <v>-0.1246067</v>
      </c>
      <c r="U5030">
        <v>-2.9863279999999999</v>
      </c>
      <c r="V5030">
        <v>5.014221E-2</v>
      </c>
      <c r="W5030">
        <v>1.6717429999999998E-2</v>
      </c>
      <c r="X5030">
        <v>0.998602199999999</v>
      </c>
      <c r="Y5030">
        <v>0.3221156</v>
      </c>
      <c r="Z5030">
        <v>3.9669599999999999E-2</v>
      </c>
      <c r="AA5030">
        <v>0.94586879999999995</v>
      </c>
      <c r="AB5030">
        <v>29</v>
      </c>
      <c r="AC5030">
        <v>-7.8982000000000303</v>
      </c>
      <c r="AD5030">
        <v>-1.103484659399</v>
      </c>
      <c r="AE5030">
        <v>-26.282340000000001</v>
      </c>
      <c r="AF5030">
        <v>8.8805335620231602</v>
      </c>
      <c r="AG5030">
        <v>-1.103484659399</v>
      </c>
      <c r="AH5030">
        <v>25.920062104243801</v>
      </c>
      <c r="AI5030">
        <v>92.306307296397193</v>
      </c>
      <c r="AJ5030">
        <v>71.0879064827311</v>
      </c>
      <c r="AK5030">
        <v>27.421363464051201</v>
      </c>
    </row>
    <row r="5031" spans="1:37" x14ac:dyDescent="0.2">
      <c r="A5031" t="str">
        <f>"20200111155656344"</f>
        <v>20200111155656344</v>
      </c>
      <c r="B5031" t="str">
        <f>"1578729416337892"</f>
        <v>1578729416337892</v>
      </c>
      <c r="C5031" t="s">
        <v>37</v>
      </c>
      <c r="D5031">
        <v>4.8258369999999999</v>
      </c>
      <c r="E5031">
        <v>0.60702369999999894</v>
      </c>
      <c r="F5031" t="s">
        <v>75</v>
      </c>
      <c r="G5031">
        <v>-429.46660000000003</v>
      </c>
      <c r="H5031" s="1">
        <v>-9.9732609999999999E-6</v>
      </c>
      <c r="I5031">
        <v>21.124610000000001</v>
      </c>
      <c r="J5031">
        <v>-421.5247</v>
      </c>
      <c r="K5031">
        <v>1.103586</v>
      </c>
      <c r="L5031">
        <v>47.876069999999999</v>
      </c>
      <c r="M5031">
        <v>3.6898500000000001E-2</v>
      </c>
      <c r="N5031">
        <v>0</v>
      </c>
      <c r="O5031">
        <v>-0.99921769999999999</v>
      </c>
      <c r="P5031">
        <v>-1.105241E-2</v>
      </c>
      <c r="Q5031">
        <v>2.7934380000000001E-3</v>
      </c>
      <c r="R5031">
        <v>-0.99993489999999996</v>
      </c>
      <c r="S5031">
        <v>-0.87884519999999899</v>
      </c>
      <c r="T5031">
        <v>-0.12223349999999999</v>
      </c>
      <c r="U5031">
        <v>-2.9900509999999998</v>
      </c>
      <c r="V5031">
        <v>4.799788E-2</v>
      </c>
      <c r="W5031">
        <v>1.6861419999999998E-2</v>
      </c>
      <c r="X5031">
        <v>0.99870509999999901</v>
      </c>
      <c r="Y5031">
        <v>0.31699250000000001</v>
      </c>
      <c r="Z5031">
        <v>3.8928810000000001E-2</v>
      </c>
      <c r="AA5031">
        <v>0.94762880000000005</v>
      </c>
      <c r="AB5031">
        <v>29</v>
      </c>
      <c r="AC5031">
        <v>-7.9419000000000297</v>
      </c>
      <c r="AD5031">
        <v>-1.1035959732609999</v>
      </c>
      <c r="AE5031">
        <v>-26.751459999999899</v>
      </c>
      <c r="AF5031">
        <v>8.9097443072258606</v>
      </c>
      <c r="AG5031">
        <v>-1.1035959732609999</v>
      </c>
      <c r="AH5031">
        <v>26.398876844525699</v>
      </c>
      <c r="AI5031">
        <v>92.268273321703802</v>
      </c>
      <c r="AJ5031">
        <v>71.350220862129603</v>
      </c>
      <c r="AK5031">
        <v>27.883725833266499</v>
      </c>
    </row>
    <row r="5032" spans="1:37" x14ac:dyDescent="0.2">
      <c r="A5032" t="str">
        <f>"20200111155656359"</f>
        <v>20200111155656359</v>
      </c>
      <c r="B5032" t="str">
        <f>"1578729416347651"</f>
        <v>1578729416347651</v>
      </c>
      <c r="C5032" t="s">
        <v>37</v>
      </c>
      <c r="D5032">
        <v>5.0799570000000003</v>
      </c>
      <c r="E5032">
        <v>0.60716829999999999</v>
      </c>
      <c r="F5032" t="s">
        <v>75</v>
      </c>
      <c r="G5032">
        <v>-429.71519999999998</v>
      </c>
      <c r="H5032" s="1">
        <v>-1.0409059999999901E-5</v>
      </c>
      <c r="I5032">
        <v>20.17756</v>
      </c>
      <c r="J5032">
        <v>-421.51870000000002</v>
      </c>
      <c r="K5032">
        <v>1.103694</v>
      </c>
      <c r="L5032">
        <v>47.685940000000002</v>
      </c>
      <c r="M5032">
        <v>3.6030890000000003E-2</v>
      </c>
      <c r="N5032">
        <v>0</v>
      </c>
      <c r="O5032">
        <v>-0.99924950000000001</v>
      </c>
      <c r="P5032">
        <v>-1.0211080000000001E-2</v>
      </c>
      <c r="Q5032">
        <v>3.1372000000000001E-3</v>
      </c>
      <c r="R5032">
        <v>-0.99994309999999997</v>
      </c>
      <c r="S5032">
        <v>-0.88436890000000001</v>
      </c>
      <c r="T5032">
        <v>-0.11916110000000001</v>
      </c>
      <c r="U5032">
        <v>-2.99075299999999</v>
      </c>
      <c r="V5032">
        <v>4.6286750000000002E-2</v>
      </c>
      <c r="W5032">
        <v>1.7219950000000001E-2</v>
      </c>
      <c r="X5032">
        <v>0.9987798</v>
      </c>
      <c r="Y5032">
        <v>0.31772990000000001</v>
      </c>
      <c r="Z5032">
        <v>3.7930659999999998E-2</v>
      </c>
      <c r="AA5032">
        <v>0.94742230000000005</v>
      </c>
      <c r="AB5032">
        <v>29</v>
      </c>
      <c r="AC5032">
        <v>-8.1964999999999506</v>
      </c>
      <c r="AD5032">
        <v>-1.1037044090599999</v>
      </c>
      <c r="AE5032">
        <v>-27.508379999999999</v>
      </c>
      <c r="AF5032">
        <v>9.1688717987886896</v>
      </c>
      <c r="AG5032">
        <v>-1.1037044090599999</v>
      </c>
      <c r="AH5032">
        <v>27.1550076092994</v>
      </c>
      <c r="AI5032">
        <v>92.2052963697259</v>
      </c>
      <c r="AJ5032">
        <v>71.3427773659065</v>
      </c>
      <c r="AK5032">
        <v>28.6824129345198</v>
      </c>
    </row>
    <row r="5033" spans="1:37" x14ac:dyDescent="0.2">
      <c r="A5033" t="str">
        <f>"20200111155656371"</f>
        <v>20200111155656371</v>
      </c>
      <c r="B5033" t="str">
        <f>"1578729416367681"</f>
        <v>1578729416367681</v>
      </c>
      <c r="C5033" t="s">
        <v>37</v>
      </c>
      <c r="D5033">
        <v>4.8402570000000003</v>
      </c>
      <c r="E5033">
        <v>0.60830090000000003</v>
      </c>
      <c r="F5033" t="s">
        <v>75</v>
      </c>
      <c r="G5033">
        <v>-429.9085</v>
      </c>
      <c r="H5033" s="1">
        <v>-7.7008510000000004E-6</v>
      </c>
      <c r="I5033">
        <v>19.256209999999999</v>
      </c>
      <c r="J5033">
        <v>-421.5136</v>
      </c>
      <c r="K5033">
        <v>1.1038059999999901</v>
      </c>
      <c r="L5033">
        <v>47.524409999999897</v>
      </c>
      <c r="M5033">
        <v>3.542468E-2</v>
      </c>
      <c r="N5033">
        <v>0</v>
      </c>
      <c r="O5033">
        <v>-0.99927129999999997</v>
      </c>
      <c r="P5033">
        <v>-8.0075349999999997E-3</v>
      </c>
      <c r="Q5033">
        <v>2.8793209999999998E-3</v>
      </c>
      <c r="R5033">
        <v>-0.99996390000000002</v>
      </c>
      <c r="S5033">
        <v>-0.8828125</v>
      </c>
      <c r="T5033">
        <v>-0.116136899999999</v>
      </c>
      <c r="U5033">
        <v>-2.9915159999999998</v>
      </c>
      <c r="V5033">
        <v>4.3473999999999999E-2</v>
      </c>
      <c r="W5033">
        <v>1.6980140000000001E-2</v>
      </c>
      <c r="X5033">
        <v>0.99891019999999897</v>
      </c>
      <c r="Y5033">
        <v>0.31664569999999997</v>
      </c>
      <c r="Z5033">
        <v>3.6971179999999999E-2</v>
      </c>
      <c r="AA5033">
        <v>0.94782310000000003</v>
      </c>
      <c r="AB5033">
        <v>29</v>
      </c>
      <c r="AC5033">
        <v>-8.3948999999999998</v>
      </c>
      <c r="AD5033">
        <v>-1.1038137008509901</v>
      </c>
      <c r="AE5033">
        <v>-28.2682</v>
      </c>
      <c r="AF5033">
        <v>9.3779828428727292</v>
      </c>
      <c r="AG5033">
        <v>-1.1038137008509901</v>
      </c>
      <c r="AH5033">
        <v>27.9139251572193</v>
      </c>
      <c r="AI5033">
        <v>92.146703556788594</v>
      </c>
      <c r="AJ5033">
        <v>71.429672957204403</v>
      </c>
      <c r="AK5033">
        <v>29.4678160807726</v>
      </c>
    </row>
    <row r="5034" spans="1:37" x14ac:dyDescent="0.2">
      <c r="A5034" t="str">
        <f>"20200111155656393"</f>
        <v>20200111155656393</v>
      </c>
      <c r="B5034" t="str">
        <f>"1578729416388177"</f>
        <v>1578729416388177</v>
      </c>
      <c r="C5034" t="s">
        <v>37</v>
      </c>
      <c r="D5034">
        <v>4.7955620000000003</v>
      </c>
      <c r="E5034">
        <v>0.60925410000000002</v>
      </c>
      <c r="F5034" t="s">
        <v>75</v>
      </c>
      <c r="G5034">
        <v>-429.88830000000002</v>
      </c>
      <c r="H5034" s="1">
        <v>-7.701805E-6</v>
      </c>
      <c r="I5034">
        <v>19.201789999999999</v>
      </c>
      <c r="J5034">
        <v>-421.50459999999998</v>
      </c>
      <c r="K5034">
        <v>1.104025</v>
      </c>
      <c r="L5034">
        <v>47.238770000000002</v>
      </c>
      <c r="M5034">
        <v>3.453958E-2</v>
      </c>
      <c r="N5034">
        <v>0</v>
      </c>
      <c r="O5034">
        <v>-0.99930229999999998</v>
      </c>
      <c r="P5034">
        <v>-6.7100569999999898E-3</v>
      </c>
      <c r="Q5034">
        <v>1.6880329999999901E-3</v>
      </c>
      <c r="R5034">
        <v>-0.99997639999999999</v>
      </c>
      <c r="S5034">
        <v>-0.88510129999999998</v>
      </c>
      <c r="T5034">
        <v>-0.11665929999999999</v>
      </c>
      <c r="U5034">
        <v>-2.993347</v>
      </c>
      <c r="V5034">
        <v>4.128134E-2</v>
      </c>
      <c r="W5034">
        <v>1.5812039999999999E-2</v>
      </c>
      <c r="X5034">
        <v>0.99902239999999998</v>
      </c>
      <c r="Y5034">
        <v>0.31631340000000002</v>
      </c>
      <c r="Z5034">
        <v>3.7115460000000003E-2</v>
      </c>
      <c r="AA5034">
        <v>0.9479284</v>
      </c>
      <c r="AB5034">
        <v>29</v>
      </c>
      <c r="AC5034">
        <v>-8.3837000000000295</v>
      </c>
      <c r="AD5034">
        <v>-1.104032701805</v>
      </c>
      <c r="AE5034">
        <v>-28.03698</v>
      </c>
      <c r="AF5034">
        <v>9.3338947037865303</v>
      </c>
      <c r="AG5034">
        <v>-1.104032701805</v>
      </c>
      <c r="AH5034">
        <v>27.691235098261298</v>
      </c>
      <c r="AI5034">
        <v>92.163654536075697</v>
      </c>
      <c r="AJ5034">
        <v>71.372563207634798</v>
      </c>
      <c r="AK5034">
        <v>29.242862031873901</v>
      </c>
    </row>
    <row r="5035" spans="1:37" x14ac:dyDescent="0.2">
      <c r="A5035" t="str">
        <f>"20200111155656410"</f>
        <v>20200111155656410</v>
      </c>
      <c r="B5035" t="str">
        <f>"1578729416407699"</f>
        <v>1578729416407699</v>
      </c>
      <c r="C5035" t="s">
        <v>37</v>
      </c>
      <c r="D5035">
        <v>4.7522310000000001</v>
      </c>
      <c r="E5035">
        <v>0.62126159999999997</v>
      </c>
      <c r="F5035" t="s">
        <v>75</v>
      </c>
      <c r="G5035">
        <v>-429.6508</v>
      </c>
      <c r="H5035" s="1">
        <v>-1.057043E-5</v>
      </c>
      <c r="I5035">
        <v>19.795439999999999</v>
      </c>
      <c r="J5035">
        <v>-421.49779999999998</v>
      </c>
      <c r="K5035">
        <v>1.1042130000000001</v>
      </c>
      <c r="L5035">
        <v>47.02411</v>
      </c>
      <c r="M5035">
        <v>3.4110410000000001E-2</v>
      </c>
      <c r="N5035">
        <v>0</v>
      </c>
      <c r="O5035">
        <v>-0.99931719999999902</v>
      </c>
      <c r="P5035">
        <v>-6.5565519999999898E-3</v>
      </c>
      <c r="Q5035">
        <v>1.0172899999999999E-3</v>
      </c>
      <c r="R5035">
        <v>-0.99997860000000005</v>
      </c>
      <c r="S5035">
        <v>-0.88882450000000002</v>
      </c>
      <c r="T5035">
        <v>-0.1204606</v>
      </c>
      <c r="U5035">
        <v>-2.9943240000000002</v>
      </c>
      <c r="V5035">
        <v>4.0690400000000002E-2</v>
      </c>
      <c r="W5035">
        <v>1.5158380000000001E-2</v>
      </c>
      <c r="X5035">
        <v>0.99905679999999997</v>
      </c>
      <c r="Y5035">
        <v>0.31689259999999903</v>
      </c>
      <c r="Z5035">
        <v>3.8301479999999999E-2</v>
      </c>
      <c r="AA5035">
        <v>0.94768770000000002</v>
      </c>
      <c r="AB5035">
        <v>29</v>
      </c>
      <c r="AC5035">
        <v>-8.1530000000000094</v>
      </c>
      <c r="AD5035">
        <v>-1.1042235704300001</v>
      </c>
      <c r="AE5035">
        <v>-27.228670000000001</v>
      </c>
      <c r="AF5035">
        <v>9.0634499741588392</v>
      </c>
      <c r="AG5035">
        <v>-1.1042235704300001</v>
      </c>
      <c r="AH5035">
        <v>26.894100541191602</v>
      </c>
      <c r="AI5035">
        <v>92.228149734168994</v>
      </c>
      <c r="AJ5035">
        <v>71.375919354374602</v>
      </c>
      <c r="AK5035">
        <v>28.401726691299899</v>
      </c>
    </row>
    <row r="5036" spans="1:37" x14ac:dyDescent="0.2">
      <c r="A5036" t="str">
        <f>"20200111155656424"</f>
        <v>20200111155656424</v>
      </c>
      <c r="B5036" t="str">
        <f>"1578729416418433"</f>
        <v>1578729416418433</v>
      </c>
      <c r="C5036" t="s">
        <v>37</v>
      </c>
      <c r="D5036">
        <v>4.733816</v>
      </c>
      <c r="E5036">
        <v>0.62177559999999998</v>
      </c>
      <c r="F5036" t="s">
        <v>75</v>
      </c>
      <c r="G5036">
        <v>-431.07279999999997</v>
      </c>
      <c r="H5036">
        <v>7.9987269999999999E-2</v>
      </c>
      <c r="I5036">
        <v>17.918009999999999</v>
      </c>
      <c r="J5036">
        <v>-421.49149999999997</v>
      </c>
      <c r="K5036">
        <v>1.104406</v>
      </c>
      <c r="L5036">
        <v>46.828919999999997</v>
      </c>
      <c r="M5036">
        <v>3.3901550000000003E-2</v>
      </c>
      <c r="N5036">
        <v>0</v>
      </c>
      <c r="O5036">
        <v>-0.99932410000000005</v>
      </c>
      <c r="P5036">
        <v>-6.4867469999999898E-3</v>
      </c>
      <c r="Q5036" s="1">
        <v>1.698262E-5</v>
      </c>
      <c r="R5036">
        <v>-0.9999789</v>
      </c>
      <c r="S5036">
        <v>-0.98483279999999995</v>
      </c>
      <c r="T5036">
        <v>-0.105347</v>
      </c>
      <c r="U5036">
        <v>-2.9937130000000001</v>
      </c>
      <c r="V5036">
        <v>4.040349E-2</v>
      </c>
      <c r="W5036">
        <v>1.417524E-2</v>
      </c>
      <c r="X5036">
        <v>0.9990829</v>
      </c>
      <c r="Y5036">
        <v>0.34434690000000001</v>
      </c>
      <c r="Z5036">
        <v>3.318803E-2</v>
      </c>
      <c r="AA5036">
        <v>0.93825569999999903</v>
      </c>
      <c r="AB5036">
        <v>29</v>
      </c>
      <c r="AC5036">
        <v>-9.5813000000000006</v>
      </c>
      <c r="AD5036">
        <v>-1.0244187300000001</v>
      </c>
      <c r="AE5036">
        <v>-28.910910000000001</v>
      </c>
      <c r="AF5036">
        <v>10.544086582019199</v>
      </c>
      <c r="AG5036">
        <v>-1.0244187300000001</v>
      </c>
      <c r="AH5036">
        <v>28.537150412795601</v>
      </c>
      <c r="AI5036">
        <v>91.928576672313696</v>
      </c>
      <c r="AJ5036">
        <v>69.721418479835293</v>
      </c>
      <c r="AK5036">
        <v>30.4400418735916</v>
      </c>
    </row>
    <row r="5037" spans="1:37" x14ac:dyDescent="0.2">
      <c r="A5037" t="str">
        <f>"20200111155656455"</f>
        <v>20200111155656455</v>
      </c>
      <c r="B5037" t="str">
        <f>"1578729416447714"</f>
        <v>1578729416447714</v>
      </c>
      <c r="C5037" t="s">
        <v>37</v>
      </c>
      <c r="D5037">
        <v>4.6733709999999897</v>
      </c>
      <c r="E5037">
        <v>0.62174949999999995</v>
      </c>
      <c r="F5037" t="s">
        <v>75</v>
      </c>
      <c r="G5037">
        <v>-430.69929999999999</v>
      </c>
      <c r="H5037">
        <v>7.998711E-2</v>
      </c>
      <c r="I5037">
        <v>18.931090000000001</v>
      </c>
      <c r="J5037">
        <v>-421.4785</v>
      </c>
      <c r="K5037">
        <v>1.1048359999999999</v>
      </c>
      <c r="L5037">
        <v>46.442019999999999</v>
      </c>
      <c r="M5037">
        <v>3.4081029999999998E-2</v>
      </c>
      <c r="N5037">
        <v>0</v>
      </c>
      <c r="O5037">
        <v>-0.99931819999999905</v>
      </c>
      <c r="P5037">
        <v>-6.4297549999999997E-3</v>
      </c>
      <c r="Q5037">
        <v>-2.8317799999999999E-3</v>
      </c>
      <c r="R5037">
        <v>-0.99997559999999996</v>
      </c>
      <c r="S5037">
        <v>-0.98806759999999905</v>
      </c>
      <c r="T5037">
        <v>-0.109928</v>
      </c>
      <c r="U5037">
        <v>-2.993652</v>
      </c>
      <c r="V5037">
        <v>4.0510490000000003E-2</v>
      </c>
      <c r="W5037">
        <v>1.136499E-2</v>
      </c>
      <c r="X5037">
        <v>0.99911450000000002</v>
      </c>
      <c r="Y5037">
        <v>0.34542030000000001</v>
      </c>
      <c r="Z5037">
        <v>3.4617009999999997E-2</v>
      </c>
      <c r="AA5037">
        <v>0.93780940000000002</v>
      </c>
      <c r="AB5037">
        <v>29</v>
      </c>
      <c r="AC5037">
        <v>-9.2207999999999899</v>
      </c>
      <c r="AD5037">
        <v>-1.0248488899999999</v>
      </c>
      <c r="AE5037">
        <v>-27.510929999999998</v>
      </c>
      <c r="AF5037">
        <v>10.1404864879917</v>
      </c>
      <c r="AG5037">
        <v>-1.0248488899999999</v>
      </c>
      <c r="AH5037">
        <v>27.146790785666099</v>
      </c>
      <c r="AI5037">
        <v>92.025439774260903</v>
      </c>
      <c r="AJ5037">
        <v>69.517191020398101</v>
      </c>
      <c r="AK5037">
        <v>28.997034872917698</v>
      </c>
    </row>
    <row r="5038" spans="1:37" x14ac:dyDescent="0.2">
      <c r="A5038" t="str">
        <f>"20200111155656473"</f>
        <v>20200111155656473</v>
      </c>
      <c r="B5038" t="str">
        <f>"1578729416467740"</f>
        <v>1578729416467740</v>
      </c>
      <c r="C5038" t="s">
        <v>37</v>
      </c>
      <c r="D5038">
        <v>4.747503</v>
      </c>
      <c r="E5038">
        <v>0.6210021</v>
      </c>
      <c r="F5038" t="s">
        <v>75</v>
      </c>
      <c r="G5038">
        <v>-430.42660000000001</v>
      </c>
      <c r="H5038">
        <v>7.9987050000000004E-2</v>
      </c>
      <c r="I5038">
        <v>19.328289999999999</v>
      </c>
      <c r="J5038">
        <v>-421.47019999999998</v>
      </c>
      <c r="K5038">
        <v>1.1051150000000001</v>
      </c>
      <c r="L5038">
        <v>46.209690000000002</v>
      </c>
      <c r="M5038">
        <v>3.4624830000000002E-2</v>
      </c>
      <c r="N5038">
        <v>0</v>
      </c>
      <c r="O5038">
        <v>-0.99929950000000001</v>
      </c>
      <c r="P5038">
        <v>-6.5168049999999996E-3</v>
      </c>
      <c r="Q5038">
        <v>-4.4229400000000002E-3</v>
      </c>
      <c r="R5038">
        <v>-0.99996909999999894</v>
      </c>
      <c r="S5038">
        <v>-0.98788449999999906</v>
      </c>
      <c r="T5038">
        <v>-0.11314539999999999</v>
      </c>
      <c r="U5038">
        <v>-2.9934080000000001</v>
      </c>
      <c r="V5038">
        <v>4.1133879999999998E-2</v>
      </c>
      <c r="W5038">
        <v>9.8024870000000004E-3</v>
      </c>
      <c r="X5038">
        <v>0.99910560000000004</v>
      </c>
      <c r="Y5038">
        <v>0.3458908</v>
      </c>
      <c r="Z5038">
        <v>3.562767E-2</v>
      </c>
      <c r="AA5038">
        <v>0.93759809999999999</v>
      </c>
      <c r="AB5038">
        <v>29</v>
      </c>
      <c r="AC5038">
        <v>-8.9564000000000306</v>
      </c>
      <c r="AD5038">
        <v>-1.0251279499999999</v>
      </c>
      <c r="AE5038">
        <v>-26.881399999999999</v>
      </c>
      <c r="AF5038">
        <v>9.8689679216192996</v>
      </c>
      <c r="AG5038">
        <v>-1.0251279499999999</v>
      </c>
      <c r="AH5038">
        <v>26.520418247970301</v>
      </c>
      <c r="AI5038">
        <v>92.074760707749704</v>
      </c>
      <c r="AJ5038">
        <v>69.5883991658323</v>
      </c>
      <c r="AK5038">
        <v>28.315720001424999</v>
      </c>
    </row>
    <row r="5039" spans="1:37" x14ac:dyDescent="0.2">
      <c r="A5039" t="str">
        <f>"20200111155656496"</f>
        <v>20200111155656496</v>
      </c>
      <c r="B5039" t="str">
        <f>"1578729416488236"</f>
        <v>1578729416488236</v>
      </c>
      <c r="C5039" t="s">
        <v>37</v>
      </c>
      <c r="D5039">
        <v>4.7079019999999998</v>
      </c>
      <c r="E5039">
        <v>0.62331300000000001</v>
      </c>
      <c r="F5039" t="s">
        <v>75</v>
      </c>
      <c r="G5039">
        <v>-429.67140000000001</v>
      </c>
      <c r="H5039" s="1">
        <v>-9.9518849999999993E-6</v>
      </c>
      <c r="I5039">
        <v>21.214690000000001</v>
      </c>
      <c r="J5039">
        <v>-421.459</v>
      </c>
      <c r="K5039">
        <v>1.105491</v>
      </c>
      <c r="L5039">
        <v>45.91422</v>
      </c>
      <c r="M5039">
        <v>3.5758980000000003E-2</v>
      </c>
      <c r="N5039">
        <v>0</v>
      </c>
      <c r="O5039">
        <v>-0.99925949999999997</v>
      </c>
      <c r="P5039">
        <v>-7.9333149999999998E-3</v>
      </c>
      <c r="Q5039">
        <v>-6.1311600000000001E-3</v>
      </c>
      <c r="R5039">
        <v>-0.99994989999999995</v>
      </c>
      <c r="S5039">
        <v>-0.98208619999999902</v>
      </c>
      <c r="T5039">
        <v>-0.1323366</v>
      </c>
      <c r="U5039">
        <v>-2.9931030000000001</v>
      </c>
      <c r="V5039">
        <v>4.3676149999999997E-2</v>
      </c>
      <c r="W5039">
        <v>8.1374389999999998E-3</v>
      </c>
      <c r="X5039">
        <v>0.99901260000000003</v>
      </c>
      <c r="Y5039">
        <v>0.34527179999999902</v>
      </c>
      <c r="Z5039">
        <v>4.1678880000000001E-2</v>
      </c>
      <c r="AA5039">
        <v>0.93757679999999999</v>
      </c>
      <c r="AB5039">
        <v>29</v>
      </c>
      <c r="AC5039">
        <v>-8.2124000000000006</v>
      </c>
      <c r="AD5039">
        <v>-1.1055009518850001</v>
      </c>
      <c r="AE5039">
        <v>-24.699529999999999</v>
      </c>
      <c r="AF5039">
        <v>9.0740973675153906</v>
      </c>
      <c r="AG5039">
        <v>-1.1055009518850001</v>
      </c>
      <c r="AH5039">
        <v>24.3461164464705</v>
      </c>
      <c r="AI5039">
        <v>92.436377783152594</v>
      </c>
      <c r="AJ5039">
        <v>69.558956034293701</v>
      </c>
      <c r="AK5039">
        <v>26.005667870963599</v>
      </c>
    </row>
    <row r="5040" spans="1:37" x14ac:dyDescent="0.2">
      <c r="A5040" t="str">
        <f>"20200111155656758"</f>
        <v>20200111155656758</v>
      </c>
      <c r="B5040" t="str">
        <f>"1578729416748362"</f>
        <v>1578729416748362</v>
      </c>
      <c r="C5040" t="s">
        <v>37</v>
      </c>
      <c r="D5040">
        <v>4.466183</v>
      </c>
      <c r="E5040">
        <v>0.62516530000000003</v>
      </c>
      <c r="F5040" t="s">
        <v>75</v>
      </c>
      <c r="G5040">
        <v>-429.93180000000001</v>
      </c>
      <c r="H5040" s="1">
        <v>-1.020648E-5</v>
      </c>
      <c r="I5040">
        <v>20.684550000000002</v>
      </c>
      <c r="J5040">
        <v>-421.24849999999998</v>
      </c>
      <c r="K5040">
        <v>1.1080399999999999</v>
      </c>
      <c r="L5040">
        <v>42.558439999999997</v>
      </c>
      <c r="M5040">
        <v>7.4605900000000003E-2</v>
      </c>
      <c r="N5040">
        <v>0</v>
      </c>
      <c r="O5040">
        <v>-0.99711109999999903</v>
      </c>
      <c r="P5040">
        <v>5.1681560000000001E-2</v>
      </c>
      <c r="Q5040">
        <v>-3.1642459999999997E-2</v>
      </c>
      <c r="R5040">
        <v>-0.99816260000000001</v>
      </c>
      <c r="S5040">
        <v>-1.004578</v>
      </c>
      <c r="T5040">
        <v>-0.1310741</v>
      </c>
      <c r="U5040">
        <v>-2.9913639999999999</v>
      </c>
      <c r="V5040">
        <v>2.3078149999999999E-2</v>
      </c>
      <c r="W5040">
        <v>-1.7190159999999999E-2</v>
      </c>
      <c r="X5040">
        <v>0.99958590000000003</v>
      </c>
      <c r="Y5040">
        <v>0.38793</v>
      </c>
      <c r="Z5040">
        <v>4.0760989999999997E-2</v>
      </c>
      <c r="AA5040">
        <v>0.92078709999999997</v>
      </c>
      <c r="AB5040">
        <v>29</v>
      </c>
      <c r="AC5040">
        <v>-8.6833000000000293</v>
      </c>
      <c r="AD5040">
        <v>-1.10805020648</v>
      </c>
      <c r="AE5040">
        <v>-21.873889999999999</v>
      </c>
      <c r="AF5040">
        <v>10.268420446561301</v>
      </c>
      <c r="AG5040">
        <v>-1.10805020648</v>
      </c>
      <c r="AH5040">
        <v>21.118212389354699</v>
      </c>
      <c r="AI5040">
        <v>92.701587576047203</v>
      </c>
      <c r="AJ5040">
        <v>64.069343071476993</v>
      </c>
      <c r="AK5040">
        <v>23.5084480187301</v>
      </c>
    </row>
    <row r="5041" spans="1:37" x14ac:dyDescent="0.2">
      <c r="A5041" t="str">
        <f>"20200111155656771"</f>
        <v>20200111155656771</v>
      </c>
      <c r="B5041" t="str">
        <f>"1578729416767881"</f>
        <v>1578729416767881</v>
      </c>
      <c r="C5041" t="s">
        <v>37</v>
      </c>
      <c r="D5041">
        <v>4.4863619999999997</v>
      </c>
      <c r="E5041">
        <v>0.65434910000000002</v>
      </c>
      <c r="F5041" t="s">
        <v>75</v>
      </c>
      <c r="G5041">
        <v>-425.87759999999997</v>
      </c>
      <c r="H5041" s="1">
        <v>-7.6326829999999906E-6</v>
      </c>
      <c r="I5041">
        <v>25.7743</v>
      </c>
      <c r="J5041">
        <v>-421.23250000000002</v>
      </c>
      <c r="K5041">
        <v>1.1081080000000001</v>
      </c>
      <c r="L5041">
        <v>42.384740000000001</v>
      </c>
      <c r="M5041">
        <v>7.7393809999999993E-2</v>
      </c>
      <c r="N5041">
        <v>0</v>
      </c>
      <c r="O5041">
        <v>-0.99689850000000002</v>
      </c>
      <c r="P5041">
        <v>5.8581189999999998E-2</v>
      </c>
      <c r="Q5041">
        <v>-3.1920869999999997E-2</v>
      </c>
      <c r="R5041">
        <v>-0.99777260000000001</v>
      </c>
      <c r="S5041">
        <v>-0.83914179999999905</v>
      </c>
      <c r="T5041">
        <v>-0.20086509999999999</v>
      </c>
      <c r="U5041">
        <v>-3.04260299999999</v>
      </c>
      <c r="V5041">
        <v>1.896834E-2</v>
      </c>
      <c r="W5041">
        <v>-1.7493459999999999E-2</v>
      </c>
      <c r="X5041">
        <v>0.99966699999999997</v>
      </c>
      <c r="Y5041">
        <v>0.33916409999999902</v>
      </c>
      <c r="Z5041">
        <v>6.2462810000000001E-2</v>
      </c>
      <c r="AA5041">
        <v>0.93865119999999902</v>
      </c>
      <c r="AB5041">
        <v>29</v>
      </c>
      <c r="AC5041">
        <v>-4.6450999999999496</v>
      </c>
      <c r="AD5041">
        <v>-1.108115632683</v>
      </c>
      <c r="AE5041">
        <v>-16.610440000000001</v>
      </c>
      <c r="AF5041">
        <v>5.8925182758508896</v>
      </c>
      <c r="AG5041">
        <v>-1.108115632683</v>
      </c>
      <c r="AH5041">
        <v>16.134471823641601</v>
      </c>
      <c r="AI5041">
        <v>93.691166942277107</v>
      </c>
      <c r="AJ5041">
        <v>69.937151151586704</v>
      </c>
      <c r="AK5041">
        <v>17.212520818128802</v>
      </c>
    </row>
    <row r="5042" spans="1:37" x14ac:dyDescent="0.2">
      <c r="A5042" t="str">
        <f>"20200111155656784"</f>
        <v>20200111155656784</v>
      </c>
      <c r="B5042" t="str">
        <f>"1578729416778617"</f>
        <v>1578729416778617</v>
      </c>
      <c r="C5042" t="s">
        <v>37</v>
      </c>
      <c r="D5042">
        <v>4.4506360000000003</v>
      </c>
      <c r="E5042">
        <v>0.65597859999999997</v>
      </c>
      <c r="F5042" t="s">
        <v>78</v>
      </c>
      <c r="G5042">
        <v>-439.08</v>
      </c>
      <c r="H5042">
        <v>0.20418620000000001</v>
      </c>
      <c r="I5042">
        <v>-9.5080469999999995</v>
      </c>
      <c r="J5042">
        <v>-421.21719999999999</v>
      </c>
      <c r="K5042">
        <v>1.108176</v>
      </c>
      <c r="L5042">
        <v>42.222409999999897</v>
      </c>
      <c r="M5042">
        <v>8.0042840000000004E-2</v>
      </c>
      <c r="N5042">
        <v>0</v>
      </c>
      <c r="O5042">
        <v>-0.99668899999999905</v>
      </c>
      <c r="P5042">
        <v>7.0504460000000005E-2</v>
      </c>
      <c r="Q5042">
        <v>-3.1692650000000003E-2</v>
      </c>
      <c r="R5042">
        <v>-0.99700789999999995</v>
      </c>
      <c r="S5042">
        <v>-1.05481</v>
      </c>
      <c r="T5042">
        <v>-5.3424359999999997E-2</v>
      </c>
      <c r="U5042">
        <v>-3.0669249999999999</v>
      </c>
      <c r="V5042">
        <v>9.6789739999999999E-3</v>
      </c>
      <c r="W5042">
        <v>-1.7334280000000001E-2</v>
      </c>
      <c r="X5042">
        <v>0.99980290000000005</v>
      </c>
      <c r="Y5042">
        <v>0.3998448</v>
      </c>
      <c r="Z5042">
        <v>1.6142320000000002E-2</v>
      </c>
      <c r="AA5042">
        <v>0.916440699999999</v>
      </c>
      <c r="AB5042">
        <v>29</v>
      </c>
      <c r="AC5042">
        <v>-17.862799999999901</v>
      </c>
      <c r="AD5042">
        <v>-0.90398979999999995</v>
      </c>
      <c r="AE5042">
        <v>-51.730457000000001</v>
      </c>
      <c r="AF5042">
        <v>21.940563281327599</v>
      </c>
      <c r="AG5042">
        <v>-0.90398979999999995</v>
      </c>
      <c r="AH5042">
        <v>50.120831614276</v>
      </c>
      <c r="AI5042">
        <v>90.946581530330803</v>
      </c>
      <c r="AJ5042">
        <v>66.358438294528995</v>
      </c>
      <c r="AK5042">
        <v>54.720227305513397</v>
      </c>
    </row>
    <row r="5043" spans="1:37" x14ac:dyDescent="0.2">
      <c r="A5043" t="str">
        <f>"20200111155656801"</f>
        <v>20200111155656801</v>
      </c>
      <c r="B5043" t="str">
        <f>"1578729416798138"</f>
        <v>1578729416798138</v>
      </c>
      <c r="C5043" t="s">
        <v>37</v>
      </c>
      <c r="D5043">
        <v>3.667821</v>
      </c>
      <c r="E5043">
        <v>0.6121143</v>
      </c>
      <c r="F5043" t="s">
        <v>78</v>
      </c>
      <c r="G5043">
        <v>-438.32400000000001</v>
      </c>
      <c r="H5043">
        <v>0.35167769999999998</v>
      </c>
      <c r="I5043">
        <v>-8.8910539999999898</v>
      </c>
      <c r="J5043">
        <v>-421.1977</v>
      </c>
      <c r="K5043">
        <v>1.1082620000000001</v>
      </c>
      <c r="L5043">
        <v>42.02084</v>
      </c>
      <c r="M5043">
        <v>8.3402989999999996E-2</v>
      </c>
      <c r="N5043">
        <v>0</v>
      </c>
      <c r="O5043">
        <v>-0.99641360000000001</v>
      </c>
      <c r="P5043">
        <v>7.9339590000000002E-2</v>
      </c>
      <c r="Q5043">
        <v>-3.0517450000000002E-2</v>
      </c>
      <c r="R5043">
        <v>-0.9963805</v>
      </c>
      <c r="S5043">
        <v>-1.030975</v>
      </c>
      <c r="T5043">
        <v>-4.5593259999999997E-2</v>
      </c>
      <c r="U5043">
        <v>-3.080444</v>
      </c>
      <c r="V5043">
        <v>4.1858340000000003E-3</v>
      </c>
      <c r="W5043">
        <v>-1.6198150000000001E-2</v>
      </c>
      <c r="X5043">
        <v>0.99985999999999997</v>
      </c>
      <c r="Y5043">
        <v>0.39534279999999999</v>
      </c>
      <c r="Z5043">
        <v>1.374412E-2</v>
      </c>
      <c r="AA5043">
        <v>0.91843079999999999</v>
      </c>
      <c r="AB5043">
        <v>29</v>
      </c>
      <c r="AC5043">
        <v>-17.126300000000001</v>
      </c>
      <c r="AD5043">
        <v>-0.75658429999999999</v>
      </c>
      <c r="AE5043">
        <v>-50.911893999999997</v>
      </c>
      <c r="AF5043">
        <v>21.309027706742199</v>
      </c>
      <c r="AG5043">
        <v>-0.75658429999999999</v>
      </c>
      <c r="AH5043">
        <v>49.296165586594</v>
      </c>
      <c r="AI5043">
        <v>90.807122679744893</v>
      </c>
      <c r="AJ5043">
        <v>66.622841052919497</v>
      </c>
      <c r="AK5043">
        <v>53.709952738301801</v>
      </c>
    </row>
    <row r="5044" spans="1:37" x14ac:dyDescent="0.2">
      <c r="A5044" t="str">
        <f>"20200111155656817"</f>
        <v>20200111155656817</v>
      </c>
      <c r="B5044" t="str">
        <f>"1578729416807897"</f>
        <v>1578729416807897</v>
      </c>
      <c r="C5044" t="s">
        <v>37</v>
      </c>
      <c r="D5044">
        <v>4.8827989999999897</v>
      </c>
      <c r="E5044">
        <v>0.6121143</v>
      </c>
      <c r="F5044" t="s">
        <v>78</v>
      </c>
      <c r="G5044">
        <v>-430.77379999999999</v>
      </c>
      <c r="H5044">
        <v>1.0118510000000001</v>
      </c>
      <c r="I5044">
        <v>-2.711084</v>
      </c>
      <c r="J5044">
        <v>-421.17509999999999</v>
      </c>
      <c r="K5044">
        <v>1.1083670000000001</v>
      </c>
      <c r="L5044">
        <v>41.799219999999998</v>
      </c>
      <c r="M5044">
        <v>8.7199699999999894E-2</v>
      </c>
      <c r="N5044">
        <v>0</v>
      </c>
      <c r="O5044">
        <v>-0.99608829999999904</v>
      </c>
      <c r="P5044">
        <v>9.5612760000000005E-2</v>
      </c>
      <c r="Q5044">
        <v>-3.1372709999999998E-2</v>
      </c>
      <c r="R5044">
        <v>-0.99492400000000003</v>
      </c>
      <c r="S5044">
        <v>-0.65570069999999903</v>
      </c>
      <c r="T5044">
        <v>-6.6032410000000001E-3</v>
      </c>
      <c r="U5044">
        <v>-3.062897</v>
      </c>
      <c r="V5044">
        <v>-8.3312330000000004E-3</v>
      </c>
      <c r="W5044">
        <v>-1.715728E-2</v>
      </c>
      <c r="X5044">
        <v>0.99981810000000004</v>
      </c>
      <c r="Y5044">
        <v>0.29381390000000002</v>
      </c>
      <c r="Z5044">
        <v>2.0724609999999998E-3</v>
      </c>
      <c r="AA5044">
        <v>0.95586039999999906</v>
      </c>
      <c r="AB5044">
        <v>28</v>
      </c>
      <c r="AC5044">
        <v>-9.5986999999999991</v>
      </c>
      <c r="AD5044">
        <v>-9.6516000000000005E-2</v>
      </c>
      <c r="AE5044">
        <v>-44.510303999999998</v>
      </c>
      <c r="AF5044">
        <v>13.443750947109301</v>
      </c>
      <c r="AG5044">
        <v>-9.6516000000000005E-2</v>
      </c>
      <c r="AH5044">
        <v>43.503438183476497</v>
      </c>
      <c r="AI5044">
        <v>90.121448440742995</v>
      </c>
      <c r="AJ5044">
        <v>72.827422064576197</v>
      </c>
      <c r="AK5044">
        <v>45.533426058772697</v>
      </c>
    </row>
    <row r="5045" spans="1:37" x14ac:dyDescent="0.2">
      <c r="A5045" t="str">
        <f>"20200111155656834"</f>
        <v>20200111155656834</v>
      </c>
      <c r="B5045" t="str">
        <f>"1578729416828394"</f>
        <v>1578729416828394</v>
      </c>
      <c r="C5045" t="s">
        <v>37</v>
      </c>
      <c r="D5045">
        <v>4.8562629999999896</v>
      </c>
      <c r="E5045">
        <v>0.52705840000000004</v>
      </c>
      <c r="F5045" t="s">
        <v>78</v>
      </c>
      <c r="G5045">
        <v>-429.7799</v>
      </c>
      <c r="H5045">
        <v>0.97290639999999995</v>
      </c>
      <c r="I5045">
        <v>-1.897575</v>
      </c>
      <c r="J5045">
        <v>-421.15339999999998</v>
      </c>
      <c r="K5045">
        <v>1.1084559999999899</v>
      </c>
      <c r="L5045">
        <v>41.595489999999998</v>
      </c>
      <c r="M5045">
        <v>9.0792369999999997E-2</v>
      </c>
      <c r="N5045">
        <v>0</v>
      </c>
      <c r="O5045">
        <v>-0.99576710000000002</v>
      </c>
      <c r="P5045">
        <v>0.10650660000000001</v>
      </c>
      <c r="Q5045">
        <v>-3.0980690000000002E-2</v>
      </c>
      <c r="R5045">
        <v>-0.99382929999999903</v>
      </c>
      <c r="S5045">
        <v>-0.60516359999999902</v>
      </c>
      <c r="T5045">
        <v>-9.5286369999999995E-3</v>
      </c>
      <c r="U5045">
        <v>-3.07315099999999</v>
      </c>
      <c r="V5045">
        <v>-1.567346E-2</v>
      </c>
      <c r="W5045">
        <v>-1.6828079999999999E-2</v>
      </c>
      <c r="X5045">
        <v>0.9997355</v>
      </c>
      <c r="Y5045">
        <v>0.2815009</v>
      </c>
      <c r="Z5045">
        <v>2.9899219999999999E-3</v>
      </c>
      <c r="AA5045">
        <v>0.95955630000000003</v>
      </c>
      <c r="AB5045">
        <v>28</v>
      </c>
      <c r="AC5045">
        <v>-8.6265000000000196</v>
      </c>
      <c r="AD5045">
        <v>-0.13554959999999899</v>
      </c>
      <c r="AE5045">
        <v>-43.493065000000001</v>
      </c>
      <c r="AF5045">
        <v>12.5399892413144</v>
      </c>
      <c r="AG5045">
        <v>-0.13554959999999899</v>
      </c>
      <c r="AH5045">
        <v>42.5296970163078</v>
      </c>
      <c r="AI5045">
        <v>90.175155928208099</v>
      </c>
      <c r="AJ5045">
        <v>73.571713462751603</v>
      </c>
      <c r="AK5045">
        <v>44.340104106387599</v>
      </c>
    </row>
    <row r="5046" spans="1:37" x14ac:dyDescent="0.2">
      <c r="A5046" t="str">
        <f>"20200111155657045"</f>
        <v>20200111155657045</v>
      </c>
      <c r="B5046" t="str">
        <f>"1578729417038234"</f>
        <v>1578729417038234</v>
      </c>
      <c r="C5046" t="s">
        <v>37</v>
      </c>
      <c r="D5046">
        <v>4.3859909999999998</v>
      </c>
      <c r="E5046">
        <v>0.52705840000000004</v>
      </c>
      <c r="F5046" t="s">
        <v>78</v>
      </c>
      <c r="G5046">
        <v>-419.83139999999997</v>
      </c>
      <c r="H5046">
        <v>4.2350110000000001</v>
      </c>
      <c r="I5046">
        <v>0.4791126</v>
      </c>
      <c r="J5046">
        <v>-420.79390000000001</v>
      </c>
      <c r="K5046">
        <v>1.1096809999999999</v>
      </c>
      <c r="L5046">
        <v>38.989409999999999</v>
      </c>
      <c r="M5046">
        <v>0.14584259999999999</v>
      </c>
      <c r="N5046">
        <v>0</v>
      </c>
      <c r="O5046">
        <v>-0.9892029</v>
      </c>
      <c r="P5046">
        <v>0.25202179999999902</v>
      </c>
      <c r="Q5046">
        <v>-2.3044249999999999E-2</v>
      </c>
      <c r="R5046">
        <v>-0.96744730000000001</v>
      </c>
      <c r="S5046">
        <v>9.6954349999999995E-2</v>
      </c>
      <c r="T5046">
        <v>0.22929259999999901</v>
      </c>
      <c r="U5046">
        <v>-3.0153810000000001</v>
      </c>
      <c r="V5046">
        <v>-0.1081048</v>
      </c>
      <c r="W5046">
        <v>-1.0012439999999999E-2</v>
      </c>
      <c r="X5046">
        <v>0.99408909999999995</v>
      </c>
      <c r="Y5046">
        <v>0.1140779</v>
      </c>
      <c r="Z5046">
        <v>-7.4341599999999994E-2</v>
      </c>
      <c r="AA5046">
        <v>0.99068639999999997</v>
      </c>
      <c r="AB5046">
        <v>28</v>
      </c>
      <c r="AC5046">
        <v>0.962500000000034</v>
      </c>
      <c r="AD5046">
        <v>3.1253299999999999</v>
      </c>
      <c r="AE5046">
        <v>-38.510297399999999</v>
      </c>
      <c r="AF5046">
        <v>4.6343145592234798</v>
      </c>
      <c r="AG5046">
        <v>3.1253299999999999</v>
      </c>
      <c r="AH5046">
        <v>37.988792600701998</v>
      </c>
      <c r="AI5046">
        <v>85.331336325844504</v>
      </c>
      <c r="AJ5046">
        <v>83.044761377440906</v>
      </c>
      <c r="AK5046">
        <v>38.397824447511098</v>
      </c>
    </row>
    <row r="5047" spans="1:37" x14ac:dyDescent="0.2">
      <c r="A5047" t="str">
        <f>"20200111155657059"</f>
        <v>20200111155657059</v>
      </c>
      <c r="B5047" t="str">
        <f>"1578729417047994"</f>
        <v>1578729417047994</v>
      </c>
      <c r="C5047" t="s">
        <v>37</v>
      </c>
      <c r="D5047">
        <v>4.3838949999999999</v>
      </c>
      <c r="E5047">
        <v>0.38504709999999998</v>
      </c>
      <c r="F5047" t="s">
        <v>78</v>
      </c>
      <c r="G5047">
        <v>-413.791</v>
      </c>
      <c r="H5047">
        <v>4.386069</v>
      </c>
      <c r="I5047">
        <v>0.54054639999999998</v>
      </c>
      <c r="J5047">
        <v>-420.76319999999998</v>
      </c>
      <c r="K5047">
        <v>1.109747</v>
      </c>
      <c r="L5047">
        <v>38.811250000000001</v>
      </c>
      <c r="M5047">
        <v>0.15015690000000001</v>
      </c>
      <c r="N5047">
        <v>0</v>
      </c>
      <c r="O5047">
        <v>-0.98855700000000002</v>
      </c>
      <c r="P5047">
        <v>0.25935399999999997</v>
      </c>
      <c r="Q5047">
        <v>-2.3141430000000001E-2</v>
      </c>
      <c r="R5047">
        <v>-0.9655049</v>
      </c>
      <c r="S5047">
        <v>0.54025269999999903</v>
      </c>
      <c r="T5047">
        <v>0.25276399999999999</v>
      </c>
      <c r="U5047">
        <v>-2.96624799999999</v>
      </c>
      <c r="V5047">
        <v>-0.1113056</v>
      </c>
      <c r="W5047">
        <v>-1.0162569999999999E-2</v>
      </c>
      <c r="X5047">
        <v>0.99373419999999901</v>
      </c>
      <c r="Y5047">
        <v>-2.8789619999999998E-2</v>
      </c>
      <c r="Z5047">
        <v>-8.2777999999999893E-2</v>
      </c>
      <c r="AA5047">
        <v>0.99615209999999998</v>
      </c>
      <c r="AB5047">
        <v>28</v>
      </c>
      <c r="AC5047">
        <v>6.9721999999999804</v>
      </c>
      <c r="AD5047">
        <v>3.276322</v>
      </c>
      <c r="AE5047">
        <v>-38.270703599999997</v>
      </c>
      <c r="AF5047">
        <v>-1.13785470016631</v>
      </c>
      <c r="AG5047">
        <v>3.276322</v>
      </c>
      <c r="AH5047">
        <v>38.609860542061703</v>
      </c>
      <c r="AI5047">
        <v>85.151759129853403</v>
      </c>
      <c r="AJ5047">
        <v>91.688050846928704</v>
      </c>
      <c r="AK5047">
        <v>38.7653238119305</v>
      </c>
    </row>
    <row r="5048" spans="1:37" x14ac:dyDescent="0.2">
      <c r="A5048" t="str">
        <f>"20200111155657105"</f>
        <v>20200111155657105</v>
      </c>
      <c r="B5048" t="str">
        <f>"1578729417097769"</f>
        <v>1578729417097769</v>
      </c>
      <c r="C5048" t="s">
        <v>37</v>
      </c>
      <c r="D5048">
        <v>4.655519</v>
      </c>
      <c r="E5048">
        <v>0.39004919999999998</v>
      </c>
      <c r="F5048" t="s">
        <v>78</v>
      </c>
      <c r="G5048">
        <v>-396.928</v>
      </c>
      <c r="H5048">
        <v>0.42687920000000001</v>
      </c>
      <c r="I5048">
        <v>0.71202849999999995</v>
      </c>
      <c r="J5048">
        <v>-420.65879999999999</v>
      </c>
      <c r="K5048">
        <v>1.109936</v>
      </c>
      <c r="L5048">
        <v>38.242459999999902</v>
      </c>
      <c r="M5048">
        <v>0.1643541</v>
      </c>
      <c r="N5048">
        <v>0</v>
      </c>
      <c r="O5048">
        <v>-0.98629560000000005</v>
      </c>
      <c r="P5048">
        <v>0.2852654</v>
      </c>
      <c r="Q5048">
        <v>-2.2461950000000001E-2</v>
      </c>
      <c r="R5048">
        <v>-0.95818549999999902</v>
      </c>
      <c r="S5048">
        <v>1.663605</v>
      </c>
      <c r="T5048">
        <v>-4.7663329999999997E-2</v>
      </c>
      <c r="U5048">
        <v>-2.6591800000000001</v>
      </c>
      <c r="V5048">
        <v>-0.123775</v>
      </c>
      <c r="W5048">
        <v>-9.6871259999999904E-3</v>
      </c>
      <c r="X5048">
        <v>0.99226299999999901</v>
      </c>
      <c r="Y5048">
        <v>-0.38374369999999902</v>
      </c>
      <c r="Z5048">
        <v>1.548533E-2</v>
      </c>
      <c r="AA5048">
        <v>0.92330979999999996</v>
      </c>
      <c r="AB5048">
        <v>28</v>
      </c>
      <c r="AC5048">
        <v>23.730799999999899</v>
      </c>
      <c r="AD5048">
        <v>-0.68305680000000002</v>
      </c>
      <c r="AE5048">
        <v>-37.530431499999899</v>
      </c>
      <c r="AF5048">
        <v>-17.235024108022099</v>
      </c>
      <c r="AG5048">
        <v>-0.68305680000000002</v>
      </c>
      <c r="AH5048">
        <v>40.910943513190503</v>
      </c>
      <c r="AI5048">
        <v>90.8815141049636</v>
      </c>
      <c r="AJ5048">
        <v>112.844792313065</v>
      </c>
      <c r="AK5048">
        <v>44.398399990715802</v>
      </c>
    </row>
    <row r="5049" spans="1:37" x14ac:dyDescent="0.2">
      <c r="A5049" t="str">
        <f>"20200111155657121"</f>
        <v>20200111155657121</v>
      </c>
      <c r="B5049" t="str">
        <f>"1578729417108506"</f>
        <v>1578729417108506</v>
      </c>
      <c r="C5049" t="s">
        <v>37</v>
      </c>
      <c r="D5049">
        <v>4.5021620000000002</v>
      </c>
      <c r="E5049">
        <v>0.39293790000000001</v>
      </c>
      <c r="F5049" t="s">
        <v>78</v>
      </c>
      <c r="G5049">
        <v>-396.40120000000002</v>
      </c>
      <c r="H5049">
        <v>0.16498260000000001</v>
      </c>
      <c r="I5049">
        <v>0.71738819999999903</v>
      </c>
      <c r="J5049">
        <v>-420.62520000000001</v>
      </c>
      <c r="K5049">
        <v>1.109998</v>
      </c>
      <c r="L5049">
        <v>38.068509999999897</v>
      </c>
      <c r="M5049">
        <v>0.16879769999999999</v>
      </c>
      <c r="N5049">
        <v>0</v>
      </c>
      <c r="O5049">
        <v>-0.98554489999999995</v>
      </c>
      <c r="P5049">
        <v>0.29706959999999999</v>
      </c>
      <c r="Q5049">
        <v>-2.198982E-2</v>
      </c>
      <c r="R5049">
        <v>-0.95460279999999997</v>
      </c>
      <c r="S5049">
        <v>1.69644199999999</v>
      </c>
      <c r="T5049">
        <v>-6.6086649999999997E-2</v>
      </c>
      <c r="U5049">
        <v>-2.624298</v>
      </c>
      <c r="V5049">
        <v>-0.13154579999999999</v>
      </c>
      <c r="W5049">
        <v>-9.3376329999999997E-3</v>
      </c>
      <c r="X5049">
        <v>0.99126610000000004</v>
      </c>
      <c r="Y5049">
        <v>-0.39319189999999998</v>
      </c>
      <c r="Z5049">
        <v>2.1571719999999999E-2</v>
      </c>
      <c r="AA5049">
        <v>0.91920329999999995</v>
      </c>
      <c r="AB5049">
        <v>28</v>
      </c>
      <c r="AC5049">
        <v>24.223999999999901</v>
      </c>
      <c r="AD5049">
        <v>-0.94501539999999995</v>
      </c>
      <c r="AE5049">
        <v>-37.351121800000001</v>
      </c>
      <c r="AF5049">
        <v>-17.562974895565699</v>
      </c>
      <c r="AG5049">
        <v>-0.94501539999999995</v>
      </c>
      <c r="AH5049">
        <v>40.8860060025142</v>
      </c>
      <c r="AI5049">
        <v>91.216606391214498</v>
      </c>
      <c r="AJ5049">
        <v>113.246404126372</v>
      </c>
      <c r="AK5049">
        <v>44.508612965651203</v>
      </c>
    </row>
    <row r="5050" spans="1:37" x14ac:dyDescent="0.2">
      <c r="A5050" t="str">
        <f>"20200111155657185"</f>
        <v>20200111155657185</v>
      </c>
      <c r="B5050" t="str">
        <f>"1578729417177801"</f>
        <v>1578729417177801</v>
      </c>
      <c r="C5050" t="s">
        <v>37</v>
      </c>
      <c r="D5050">
        <v>4.649438</v>
      </c>
      <c r="E5050">
        <v>0.39484619999999998</v>
      </c>
      <c r="F5050" t="s">
        <v>39</v>
      </c>
      <c r="G5050">
        <v>-395.6617</v>
      </c>
      <c r="H5050">
        <v>-0.05</v>
      </c>
      <c r="I5050">
        <v>-9.2407230000000007E-2</v>
      </c>
      <c r="J5050">
        <v>-420.46109999999999</v>
      </c>
      <c r="K5050">
        <v>1.1102179999999999</v>
      </c>
      <c r="L5050">
        <v>37.279820000000001</v>
      </c>
      <c r="M5050">
        <v>0.18958529999999901</v>
      </c>
      <c r="N5050">
        <v>0</v>
      </c>
      <c r="O5050">
        <v>-0.98175749999999995</v>
      </c>
      <c r="P5050">
        <v>0.33617229999999998</v>
      </c>
      <c r="Q5050">
        <v>-2.0150359999999999E-2</v>
      </c>
      <c r="R5050">
        <v>-0.94158539999999902</v>
      </c>
      <c r="S5050">
        <v>1.7070919999999901</v>
      </c>
      <c r="T5050">
        <v>-7.9325080000000006E-2</v>
      </c>
      <c r="U5050">
        <v>-2.6095890000000002</v>
      </c>
      <c r="V5050">
        <v>-0.1514539</v>
      </c>
      <c r="W5050">
        <v>-7.8419019999999996E-3</v>
      </c>
      <c r="X5050">
        <v>0.98843320000000001</v>
      </c>
      <c r="Y5050">
        <v>-0.37864799999999998</v>
      </c>
      <c r="Z5050">
        <v>2.5917119999999998E-2</v>
      </c>
      <c r="AA5050">
        <v>0.92517780000000005</v>
      </c>
      <c r="AB5050">
        <v>28</v>
      </c>
      <c r="AC5050">
        <v>24.799399999999899</v>
      </c>
      <c r="AD5050">
        <v>-1.160218</v>
      </c>
      <c r="AE5050">
        <v>-37.37222723</v>
      </c>
      <c r="AF5050">
        <v>-17.252037532065302</v>
      </c>
      <c r="AG5050">
        <v>-1.160218</v>
      </c>
      <c r="AH5050">
        <v>41.368723664878402</v>
      </c>
      <c r="AI5050">
        <v>91.482773619179994</v>
      </c>
      <c r="AJ5050">
        <v>112.637646280683</v>
      </c>
      <c r="AK5050">
        <v>44.8369290036281</v>
      </c>
    </row>
    <row r="5051" spans="1:37" x14ac:dyDescent="0.2">
      <c r="A5051" t="str">
        <f>"20200111155657198"</f>
        <v>20200111155657198</v>
      </c>
      <c r="B5051" t="str">
        <f>"1578729417188537"</f>
        <v>1578729417188537</v>
      </c>
      <c r="C5051" t="s">
        <v>37</v>
      </c>
      <c r="D5051">
        <v>4.7082439999999997</v>
      </c>
      <c r="E5051">
        <v>0.31704339999999998</v>
      </c>
      <c r="F5051" t="s">
        <v>39</v>
      </c>
      <c r="G5051">
        <v>-393.45490000000001</v>
      </c>
      <c r="H5051">
        <v>-0.05</v>
      </c>
      <c r="I5051">
        <v>-0.88632199999999906</v>
      </c>
      <c r="J5051">
        <v>-420.42860000000002</v>
      </c>
      <c r="K5051">
        <v>1.110255</v>
      </c>
      <c r="L5051">
        <v>37.132629999999999</v>
      </c>
      <c r="M5051">
        <v>0.19355700000000001</v>
      </c>
      <c r="N5051">
        <v>0</v>
      </c>
      <c r="O5051">
        <v>-0.98098189999999996</v>
      </c>
      <c r="P5051">
        <v>0.3468522</v>
      </c>
      <c r="Q5051">
        <v>-2.006666E-2</v>
      </c>
      <c r="R5051">
        <v>-0.93770499999999901</v>
      </c>
      <c r="S5051">
        <v>1.798859</v>
      </c>
      <c r="T5051">
        <v>-7.7280879999999996E-2</v>
      </c>
      <c r="U5051">
        <v>-2.5422060000000002</v>
      </c>
      <c r="V5051">
        <v>-0.15868170000000001</v>
      </c>
      <c r="W5051">
        <v>-7.8793019999999995E-3</v>
      </c>
      <c r="X5051">
        <v>0.98729840000000002</v>
      </c>
      <c r="Y5051">
        <v>-0.40848609999999902</v>
      </c>
      <c r="Z5051">
        <v>2.5364069999999999E-2</v>
      </c>
      <c r="AA5051">
        <v>0.912412</v>
      </c>
      <c r="AB5051">
        <v>28</v>
      </c>
      <c r="AC5051">
        <v>26.973700000000001</v>
      </c>
      <c r="AD5051">
        <v>-1.160255</v>
      </c>
      <c r="AE5051">
        <v>-38.018951999999999</v>
      </c>
      <c r="AF5051">
        <v>-19.0920575301827</v>
      </c>
      <c r="AG5051">
        <v>-1.160255</v>
      </c>
      <c r="AH5051">
        <v>42.494995689422304</v>
      </c>
      <c r="AI5051">
        <v>91.4266692249616</v>
      </c>
      <c r="AJ5051">
        <v>114.193324476222</v>
      </c>
      <c r="AK5051">
        <v>46.601260831063897</v>
      </c>
    </row>
    <row r="5052" spans="1:37" x14ac:dyDescent="0.2">
      <c r="A5052" t="str">
        <f>"20200111155657226"</f>
        <v>20200111155657226</v>
      </c>
      <c r="B5052" t="str">
        <f>"1578729417217818"</f>
        <v>1578729417217818</v>
      </c>
      <c r="C5052" t="s">
        <v>37</v>
      </c>
      <c r="D5052">
        <v>4.581944</v>
      </c>
      <c r="E5052">
        <v>0.3182545</v>
      </c>
      <c r="F5052" t="s">
        <v>79</v>
      </c>
      <c r="G5052">
        <v>-335.22469999999998</v>
      </c>
      <c r="H5052">
        <v>0.88183020000000001</v>
      </c>
      <c r="I5052">
        <v>-44.527970000000003</v>
      </c>
      <c r="J5052">
        <v>-420.35230000000001</v>
      </c>
      <c r="K5052">
        <v>1.1103190000000001</v>
      </c>
      <c r="L5052">
        <v>36.800259999999902</v>
      </c>
      <c r="M5052">
        <v>0.20267270000000001</v>
      </c>
      <c r="N5052">
        <v>0</v>
      </c>
      <c r="O5052">
        <v>-0.97913909999999904</v>
      </c>
      <c r="P5052">
        <v>0.36193439999999999</v>
      </c>
      <c r="Q5052">
        <v>-2.1076950000000001E-2</v>
      </c>
      <c r="R5052">
        <v>-0.93196559999999995</v>
      </c>
      <c r="S5052">
        <v>2.4084469999999998</v>
      </c>
      <c r="T5052">
        <v>-6.4564940000000001E-3</v>
      </c>
      <c r="U5052">
        <v>-2.3082889999999998</v>
      </c>
      <c r="V5052">
        <v>-0.1654108</v>
      </c>
      <c r="W5052">
        <v>-9.0145369999999996E-3</v>
      </c>
      <c r="X5052">
        <v>0.98618349999999899</v>
      </c>
      <c r="Y5052">
        <v>-0.56672040000000001</v>
      </c>
      <c r="Z5052">
        <v>2.0171220000000001E-3</v>
      </c>
      <c r="AA5052">
        <v>0.82390769999999902</v>
      </c>
      <c r="AB5052">
        <v>28</v>
      </c>
      <c r="AC5052">
        <v>85.127600000000001</v>
      </c>
      <c r="AD5052">
        <v>-0.22848879999999999</v>
      </c>
      <c r="AE5052">
        <v>-81.328229999999905</v>
      </c>
      <c r="AF5052">
        <v>-66.875533490378601</v>
      </c>
      <c r="AG5052">
        <v>-0.22848879999999999</v>
      </c>
      <c r="AH5052">
        <v>96.894519367178901</v>
      </c>
      <c r="AI5052">
        <v>90.1111966045288</v>
      </c>
      <c r="AJ5052">
        <v>124.613011887418</v>
      </c>
      <c r="AK5052">
        <v>117.732480947914</v>
      </c>
    </row>
    <row r="5053" spans="1:37" x14ac:dyDescent="0.2">
      <c r="A5053" t="str">
        <f>"20200111155657241"</f>
        <v>20200111155657241</v>
      </c>
      <c r="B5053" t="str">
        <f>"1578729417238313"</f>
        <v>1578729417238313</v>
      </c>
      <c r="C5053" t="s">
        <v>37</v>
      </c>
      <c r="D5053">
        <v>4.5624479999999998</v>
      </c>
      <c r="E5053">
        <v>0.32147039999999999</v>
      </c>
      <c r="F5053" t="s">
        <v>79</v>
      </c>
      <c r="G5053">
        <v>-335.80699999999899</v>
      </c>
      <c r="H5053">
        <v>1.254732</v>
      </c>
      <c r="I5053">
        <v>-42.09113</v>
      </c>
      <c r="J5053">
        <v>-420.31259999999997</v>
      </c>
      <c r="K5053">
        <v>1.1103510000000001</v>
      </c>
      <c r="L5053">
        <v>36.632480000000001</v>
      </c>
      <c r="M5053">
        <v>0.20732049999999999</v>
      </c>
      <c r="N5053">
        <v>0</v>
      </c>
      <c r="O5053">
        <v>-0.97816559999999897</v>
      </c>
      <c r="P5053">
        <v>0.36932759999999998</v>
      </c>
      <c r="Q5053">
        <v>-2.1692179999999998E-2</v>
      </c>
      <c r="R5053">
        <v>-0.92904629999999999</v>
      </c>
      <c r="S5053">
        <v>2.4359739999999999</v>
      </c>
      <c r="T5053">
        <v>4.1612389999999997E-3</v>
      </c>
      <c r="U5053">
        <v>-2.2730709999999998</v>
      </c>
      <c r="V5053">
        <v>-0.16855390000000001</v>
      </c>
      <c r="W5053">
        <v>-9.6895119999999904E-3</v>
      </c>
      <c r="X5053">
        <v>0.98564479999999999</v>
      </c>
      <c r="Y5053">
        <v>-0.57378490000000004</v>
      </c>
      <c r="Z5053">
        <v>-1.303493E-3</v>
      </c>
      <c r="AA5053">
        <v>0.81900499999999998</v>
      </c>
      <c r="AB5053">
        <v>28</v>
      </c>
      <c r="AC5053">
        <v>84.505600000000001</v>
      </c>
      <c r="AD5053">
        <v>0.14438099999999901</v>
      </c>
      <c r="AE5053">
        <v>-78.723609999999994</v>
      </c>
      <c r="AF5053">
        <v>-66.346324726601296</v>
      </c>
      <c r="AG5053">
        <v>0.14438099999999901</v>
      </c>
      <c r="AH5053">
        <v>94.534262076856905</v>
      </c>
      <c r="AI5053">
        <v>89.928372803409204</v>
      </c>
      <c r="AJ5053">
        <v>125.06206314460501</v>
      </c>
      <c r="AK5053">
        <v>115.492780540675</v>
      </c>
    </row>
    <row r="5054" spans="1:37" x14ac:dyDescent="0.2">
      <c r="A5054" t="str">
        <f>"20200111155657253"</f>
        <v>20200111155657253</v>
      </c>
      <c r="B5054" t="str">
        <f>"1578729417248073"</f>
        <v>1578729417248073</v>
      </c>
      <c r="C5054" t="s">
        <v>37</v>
      </c>
      <c r="D5054">
        <v>4.5201359999999999</v>
      </c>
      <c r="E5054">
        <v>0.32216980000000001</v>
      </c>
      <c r="F5054" t="s">
        <v>79</v>
      </c>
      <c r="G5054">
        <v>-335.80720000000002</v>
      </c>
      <c r="H5054">
        <v>0.82529739999999996</v>
      </c>
      <c r="I5054">
        <v>-42.040309999999998</v>
      </c>
      <c r="J5054">
        <v>-420.2706</v>
      </c>
      <c r="K5054">
        <v>1.110382</v>
      </c>
      <c r="L5054">
        <v>36.45966</v>
      </c>
      <c r="M5054">
        <v>0.21215219999999901</v>
      </c>
      <c r="N5054">
        <v>0</v>
      </c>
      <c r="O5054">
        <v>-0.97712889999999997</v>
      </c>
      <c r="P5054">
        <v>0.37959389999999998</v>
      </c>
      <c r="Q5054">
        <v>-2.1690689999999999E-2</v>
      </c>
      <c r="R5054">
        <v>-0.92489900000000003</v>
      </c>
      <c r="S5054">
        <v>2.4304809999999999</v>
      </c>
      <c r="T5054">
        <v>-8.1981420000000003E-3</v>
      </c>
      <c r="U5054">
        <v>-2.2627259999999998</v>
      </c>
      <c r="V5054">
        <v>-0.17459330000000001</v>
      </c>
      <c r="W5054">
        <v>-9.7947199999999998E-3</v>
      </c>
      <c r="X5054">
        <v>0.98459189999999996</v>
      </c>
      <c r="Y5054">
        <v>-0.57067250000000003</v>
      </c>
      <c r="Z5054">
        <v>2.576708E-3</v>
      </c>
      <c r="AA5054">
        <v>0.82117369999999901</v>
      </c>
      <c r="AB5054">
        <v>28</v>
      </c>
      <c r="AC5054">
        <v>84.463399999999893</v>
      </c>
      <c r="AD5054">
        <v>-0.28508459999999902</v>
      </c>
      <c r="AE5054">
        <v>-78.499969999999905</v>
      </c>
      <c r="AF5054">
        <v>-65.884221675519498</v>
      </c>
      <c r="AG5054">
        <v>-0.28508459999999902</v>
      </c>
      <c r="AH5054">
        <v>94.633070428914493</v>
      </c>
      <c r="AI5054">
        <v>90.141655217028301</v>
      </c>
      <c r="AJ5054">
        <v>124.84591222332899</v>
      </c>
      <c r="AK5054">
        <v>115.309279582443</v>
      </c>
    </row>
    <row r="5055" spans="1:37" x14ac:dyDescent="0.2">
      <c r="A5055" t="str">
        <f>"20200111155657913"</f>
        <v>20200111155657913</v>
      </c>
      <c r="B5055" t="str">
        <f>"1578729417907849"</f>
        <v>1578729417907849</v>
      </c>
      <c r="C5055" t="s">
        <v>37</v>
      </c>
      <c r="D5055">
        <v>4.6982010000000001</v>
      </c>
      <c r="E5055">
        <v>0.32180330000000001</v>
      </c>
      <c r="F5055" t="s">
        <v>79</v>
      </c>
      <c r="G5055">
        <v>-334.14510000000001</v>
      </c>
      <c r="H5055">
        <v>0.87758639999999999</v>
      </c>
      <c r="I5055">
        <v>-42.2</v>
      </c>
      <c r="J5055">
        <v>-417.41230000000002</v>
      </c>
      <c r="K5055">
        <v>1.113567</v>
      </c>
      <c r="L5055">
        <v>29.164249999999999</v>
      </c>
      <c r="M5055">
        <v>0.4731804</v>
      </c>
      <c r="N5055">
        <v>0</v>
      </c>
      <c r="O5055">
        <v>-0.88083539999999905</v>
      </c>
      <c r="P5055">
        <v>0.69180489999999994</v>
      </c>
      <c r="Q5055">
        <v>-2.33567999999999E-2</v>
      </c>
      <c r="R5055">
        <v>-0.72170669999999904</v>
      </c>
      <c r="S5055">
        <v>2.4502259999999998</v>
      </c>
      <c r="T5055">
        <v>-6.6225529999999998E-3</v>
      </c>
      <c r="U5055">
        <v>-2.2378230000000001</v>
      </c>
      <c r="V5055">
        <v>-0.2676501</v>
      </c>
      <c r="W5055">
        <v>-1.4506460000000001E-2</v>
      </c>
      <c r="X5055">
        <v>0.96340700000000001</v>
      </c>
      <c r="Y5055">
        <v>-0.33133089999999998</v>
      </c>
      <c r="Z5055">
        <v>1.91912299999999E-3</v>
      </c>
      <c r="AA5055">
        <v>0.94351269999999998</v>
      </c>
      <c r="AB5055">
        <v>26</v>
      </c>
      <c r="AC5055">
        <v>83.267200000000003</v>
      </c>
      <c r="AD5055">
        <v>-0.23598060000000001</v>
      </c>
      <c r="AE5055">
        <v>-71.364249999999998</v>
      </c>
      <c r="AF5055">
        <v>-39.580888153481801</v>
      </c>
      <c r="AG5055">
        <v>-0.23598060000000001</v>
      </c>
      <c r="AH5055">
        <v>102.27181769173001</v>
      </c>
      <c r="AI5055">
        <v>90.123291906560596</v>
      </c>
      <c r="AJ5055">
        <v>111.15726323029099</v>
      </c>
      <c r="AK5055">
        <v>109.664155893493</v>
      </c>
    </row>
    <row r="5056" spans="1:37" x14ac:dyDescent="0.2">
      <c r="A5056" t="str">
        <f>"20200111155657927"</f>
        <v>20200111155657927</v>
      </c>
      <c r="B5056" t="str">
        <f>"1578729417918586"</f>
        <v>1578729417918586</v>
      </c>
      <c r="C5056" t="s">
        <v>37</v>
      </c>
      <c r="D5056">
        <v>4.6466510000000003</v>
      </c>
      <c r="E5056">
        <v>0.32129950000000002</v>
      </c>
      <c r="F5056" t="s">
        <v>80</v>
      </c>
      <c r="G5056">
        <v>-341.88479999999998</v>
      </c>
      <c r="H5056">
        <v>1.210467</v>
      </c>
      <c r="I5056">
        <v>0.32332230000000001</v>
      </c>
      <c r="J5056">
        <v>-417.33640000000003</v>
      </c>
      <c r="K5056">
        <v>1.1136360000000001</v>
      </c>
      <c r="L5056">
        <v>29.038699999999999</v>
      </c>
      <c r="M5056">
        <v>0.4794486</v>
      </c>
      <c r="N5056">
        <v>0</v>
      </c>
      <c r="O5056">
        <v>-0.87743899999999997</v>
      </c>
      <c r="P5056">
        <v>0.69658209999999998</v>
      </c>
      <c r="Q5056">
        <v>-2.347345E-2</v>
      </c>
      <c r="R5056">
        <v>-0.71709309999999904</v>
      </c>
      <c r="S5056">
        <v>3.1012270000000002</v>
      </c>
      <c r="T5056">
        <v>3.9788480000000001E-3</v>
      </c>
      <c r="U5056">
        <v>-1.1842349999999999</v>
      </c>
      <c r="V5056">
        <v>-0.26717550000000001</v>
      </c>
      <c r="W5056">
        <v>-1.4638490000000001E-2</v>
      </c>
      <c r="X5056">
        <v>0.96353670000000002</v>
      </c>
      <c r="Y5056">
        <v>-0.64874549999999997</v>
      </c>
      <c r="Z5056">
        <v>-1.263524E-3</v>
      </c>
      <c r="AA5056">
        <v>0.76100440000000003</v>
      </c>
      <c r="AB5056">
        <v>26</v>
      </c>
      <c r="AC5056">
        <v>75.451599999999999</v>
      </c>
      <c r="AD5056">
        <v>9.6830999999999806E-2</v>
      </c>
      <c r="AE5056">
        <v>-28.715377700000001</v>
      </c>
      <c r="AF5056">
        <v>-52.442580459410102</v>
      </c>
      <c r="AG5056">
        <v>9.6830999999999806E-2</v>
      </c>
      <c r="AH5056">
        <v>61.378122008801299</v>
      </c>
      <c r="AI5056">
        <v>89.931277905992403</v>
      </c>
      <c r="AJ5056">
        <v>130.511177598562</v>
      </c>
      <c r="AK5056">
        <v>80.7310812686883</v>
      </c>
    </row>
    <row r="5057" spans="1:37" x14ac:dyDescent="0.2">
      <c r="A5057" t="str">
        <f>"20200111155657941"</f>
        <v>20200111155657941</v>
      </c>
      <c r="B5057" t="str">
        <f>"1578729417938105"</f>
        <v>1578729417938105</v>
      </c>
      <c r="C5057" t="s">
        <v>37</v>
      </c>
      <c r="D5057">
        <v>4.702458</v>
      </c>
      <c r="E5057">
        <v>0.32109470000000001</v>
      </c>
      <c r="F5057" t="s">
        <v>81</v>
      </c>
      <c r="G5057">
        <v>-282.32900000000001</v>
      </c>
      <c r="H5057">
        <v>1.466631</v>
      </c>
      <c r="I5057">
        <v>-21.329840000000001</v>
      </c>
      <c r="J5057">
        <v>-417.25279999999998</v>
      </c>
      <c r="K5057">
        <v>1.113718</v>
      </c>
      <c r="L5057">
        <v>28.902100000000001</v>
      </c>
      <c r="M5057">
        <v>0.48632019999999998</v>
      </c>
      <c r="N5057">
        <v>0</v>
      </c>
      <c r="O5057">
        <v>-0.87364850000000005</v>
      </c>
      <c r="P5057">
        <v>0.70179440000000004</v>
      </c>
      <c r="Q5057">
        <v>-2.3478410000000002E-2</v>
      </c>
      <c r="R5057">
        <v>-0.71199259999999998</v>
      </c>
      <c r="S5057">
        <v>3.1118769999999998</v>
      </c>
      <c r="T5057">
        <v>8.1366300000000006E-3</v>
      </c>
      <c r="U5057">
        <v>-1.1609799999999999</v>
      </c>
      <c r="V5057">
        <v>-0.26663959999999998</v>
      </c>
      <c r="W5057">
        <v>-1.4658819999999999E-2</v>
      </c>
      <c r="X5057">
        <v>0.96368480000000001</v>
      </c>
      <c r="Y5057">
        <v>-0.64861829999999998</v>
      </c>
      <c r="Z5057">
        <v>-2.5793069999999999E-3</v>
      </c>
      <c r="AA5057">
        <v>0.76110949999999999</v>
      </c>
      <c r="AB5057">
        <v>26</v>
      </c>
      <c r="AC5057">
        <v>134.92379999999901</v>
      </c>
      <c r="AD5057">
        <v>0.35291299999999998</v>
      </c>
      <c r="AE5057">
        <v>-50.231940000000002</v>
      </c>
      <c r="AF5057">
        <v>-93.457400033985195</v>
      </c>
      <c r="AG5057">
        <v>0.35291299999999998</v>
      </c>
      <c r="AH5057">
        <v>109.51321787147501</v>
      </c>
      <c r="AI5057">
        <v>89.859551635884998</v>
      </c>
      <c r="AJ5057">
        <v>130.477084472982</v>
      </c>
      <c r="AK5057">
        <v>143.97067429606301</v>
      </c>
    </row>
    <row r="5058" spans="1:37" x14ac:dyDescent="0.2">
      <c r="A5058" t="str">
        <f>"20200111155657953"</f>
        <v>20200111155657953</v>
      </c>
      <c r="B5058" t="str">
        <f>"1578729417947865"</f>
        <v>1578729417947865</v>
      </c>
      <c r="C5058" t="s">
        <v>37</v>
      </c>
      <c r="D5058">
        <v>4.7932050000000004</v>
      </c>
      <c r="E5058">
        <v>0.32097559999999897</v>
      </c>
      <c r="F5058" t="s">
        <v>81</v>
      </c>
      <c r="G5058">
        <v>-282.32900000000001</v>
      </c>
      <c r="H5058">
        <v>1.6893</v>
      </c>
      <c r="I5058">
        <v>-20.26932</v>
      </c>
      <c r="J5058">
        <v>-417.16829999999999</v>
      </c>
      <c r="K5058">
        <v>1.1137969999999999</v>
      </c>
      <c r="L5058">
        <v>28.767119999999998</v>
      </c>
      <c r="M5058">
        <v>0.49321549999999997</v>
      </c>
      <c r="N5058">
        <v>0</v>
      </c>
      <c r="O5058">
        <v>-0.86977399999999905</v>
      </c>
      <c r="P5058">
        <v>0.70702519999999902</v>
      </c>
      <c r="Q5058">
        <v>-2.323122E-2</v>
      </c>
      <c r="R5058">
        <v>-0.70680639999999995</v>
      </c>
      <c r="S5058">
        <v>3.1211849999999899</v>
      </c>
      <c r="T5058">
        <v>1.331472E-2</v>
      </c>
      <c r="U5058">
        <v>-1.1374819999999899</v>
      </c>
      <c r="V5058">
        <v>-0.26612170000000002</v>
      </c>
      <c r="W5058">
        <v>-1.442595E-2</v>
      </c>
      <c r="X5058">
        <v>0.96383149999999995</v>
      </c>
      <c r="Y5058">
        <v>-0.64838169999999995</v>
      </c>
      <c r="Z5058">
        <v>-4.2142799999999999E-3</v>
      </c>
      <c r="AA5058">
        <v>0.76130379999999997</v>
      </c>
      <c r="AB5058">
        <v>26</v>
      </c>
      <c r="AC5058">
        <v>134.83929999999901</v>
      </c>
      <c r="AD5058">
        <v>0.57550299999999999</v>
      </c>
      <c r="AE5058">
        <v>-49.036439999999999</v>
      </c>
      <c r="AF5058">
        <v>-93.103472088262095</v>
      </c>
      <c r="AG5058">
        <v>0.57550299999999999</v>
      </c>
      <c r="AH5058">
        <v>109.16634264302</v>
      </c>
      <c r="AI5058">
        <v>89.770180597806501</v>
      </c>
      <c r="AJ5058">
        <v>130.45949403982701</v>
      </c>
      <c r="AK5058">
        <v>143.47779648658499</v>
      </c>
    </row>
    <row r="5059" spans="1:37" x14ac:dyDescent="0.2">
      <c r="A5059" t="str">
        <f>"20200111155657977"</f>
        <v>20200111155657977</v>
      </c>
      <c r="B5059" t="str">
        <f>"1578729417968431"</f>
        <v>1578729417968431</v>
      </c>
      <c r="C5059" t="s">
        <v>37</v>
      </c>
      <c r="D5059">
        <v>4.7333679999999996</v>
      </c>
      <c r="E5059">
        <v>0.32142270000000001</v>
      </c>
      <c r="F5059" t="s">
        <v>81</v>
      </c>
      <c r="G5059">
        <v>-282.32900000000001</v>
      </c>
      <c r="H5059">
        <v>1.7869969999999999</v>
      </c>
      <c r="I5059">
        <v>-19.206689999999998</v>
      </c>
      <c r="J5059">
        <v>-417.02789999999999</v>
      </c>
      <c r="K5059">
        <v>1.113926</v>
      </c>
      <c r="L5059">
        <v>28.547879999999999</v>
      </c>
      <c r="M5059">
        <v>0.50456429999999997</v>
      </c>
      <c r="N5059">
        <v>0</v>
      </c>
      <c r="O5059">
        <v>-0.86323919999999998</v>
      </c>
      <c r="P5059">
        <v>0.71565889999999999</v>
      </c>
      <c r="Q5059">
        <v>-2.3242889999999999E-2</v>
      </c>
      <c r="R5059">
        <v>-0.69806319999999999</v>
      </c>
      <c r="S5059">
        <v>3.13028</v>
      </c>
      <c r="T5059">
        <v>1.5628340000000001E-2</v>
      </c>
      <c r="U5059">
        <v>-1.1137079999999999</v>
      </c>
      <c r="V5059">
        <v>-0.26534159999999901</v>
      </c>
      <c r="W5059">
        <v>-1.445948E-2</v>
      </c>
      <c r="X5059">
        <v>0.96404609999999902</v>
      </c>
      <c r="Y5059">
        <v>-0.64422889999999999</v>
      </c>
      <c r="Z5059">
        <v>-4.92739799999999E-3</v>
      </c>
      <c r="AA5059">
        <v>0.76481690000000002</v>
      </c>
      <c r="AB5059">
        <v>26</v>
      </c>
      <c r="AC5059">
        <v>134.69889999999901</v>
      </c>
      <c r="AD5059">
        <v>0.67307099999999997</v>
      </c>
      <c r="AE5059">
        <v>-47.754570000000001</v>
      </c>
      <c r="AF5059">
        <v>-92.1908134618064</v>
      </c>
      <c r="AG5059">
        <v>0.67307099999999997</v>
      </c>
      <c r="AH5059">
        <v>109.19817082418299</v>
      </c>
      <c r="AI5059">
        <v>89.730153728904199</v>
      </c>
      <c r="AJ5059">
        <v>130.17280888042299</v>
      </c>
      <c r="AK5059">
        <v>142.911999575501</v>
      </c>
    </row>
    <row r="5060" spans="1:37" x14ac:dyDescent="0.2">
      <c r="A5060" t="str">
        <f>"20200111155657992"</f>
        <v>20200111155657992</v>
      </c>
      <c r="B5060" t="str">
        <f>"1578729417987951"</f>
        <v>1578729417987951</v>
      </c>
      <c r="C5060" t="s">
        <v>37</v>
      </c>
      <c r="D5060">
        <v>4.6871839999999896</v>
      </c>
      <c r="E5060">
        <v>0.32153690000000001</v>
      </c>
      <c r="F5060" t="s">
        <v>47</v>
      </c>
      <c r="G5060">
        <v>-351.11529999999999</v>
      </c>
      <c r="H5060">
        <v>1.57209</v>
      </c>
      <c r="I5060">
        <v>5.9260289999999998</v>
      </c>
      <c r="J5060">
        <v>-416.93299999999999</v>
      </c>
      <c r="K5060">
        <v>1.1140049999999999</v>
      </c>
      <c r="L5060">
        <v>28.404140000000002</v>
      </c>
      <c r="M5060">
        <v>0.51214720000000002</v>
      </c>
      <c r="N5060">
        <v>0</v>
      </c>
      <c r="O5060">
        <v>-0.85876169999999996</v>
      </c>
      <c r="P5060">
        <v>0.71953869999999998</v>
      </c>
      <c r="Q5060">
        <v>-2.3296190000000001E-2</v>
      </c>
      <c r="R5060">
        <v>-0.69406179999999995</v>
      </c>
      <c r="S5060">
        <v>3.1411129999999998</v>
      </c>
      <c r="T5060">
        <v>2.1834249999999999E-2</v>
      </c>
      <c r="U5060">
        <v>-1.0780639999999999</v>
      </c>
      <c r="V5060">
        <v>-0.2622216</v>
      </c>
      <c r="W5060">
        <v>-1.4456419999999999E-2</v>
      </c>
      <c r="X5060">
        <v>0.96489939999999996</v>
      </c>
      <c r="Y5060">
        <v>-0.64604969999999995</v>
      </c>
      <c r="Z5060">
        <v>-6.8804769999999899E-3</v>
      </c>
      <c r="AA5060">
        <v>0.76326430000000001</v>
      </c>
      <c r="AB5060">
        <v>26</v>
      </c>
      <c r="AC5060">
        <v>65.817700000000002</v>
      </c>
      <c r="AD5060">
        <v>0.45808500000000002</v>
      </c>
      <c r="AE5060">
        <v>-22.478110999999998</v>
      </c>
      <c r="AF5060">
        <v>-45.012923425027999</v>
      </c>
      <c r="AG5060">
        <v>0.45808500000000002</v>
      </c>
      <c r="AH5060">
        <v>53.015584272212102</v>
      </c>
      <c r="AI5060">
        <v>89.622616711613304</v>
      </c>
      <c r="AJ5060">
        <v>130.33294788533999</v>
      </c>
      <c r="AK5060">
        <v>69.548726033326304</v>
      </c>
    </row>
    <row r="5061" spans="1:37" x14ac:dyDescent="0.2">
      <c r="A5061" t="str">
        <f>"20200111155658389"</f>
        <v>20200111155658389</v>
      </c>
      <c r="B5061" t="str">
        <f>"1578729418378350"</f>
        <v>1578729418378350</v>
      </c>
      <c r="C5061" t="s">
        <v>37</v>
      </c>
      <c r="D5061">
        <v>4.9892469999999998</v>
      </c>
      <c r="E5061">
        <v>0.31293929999999998</v>
      </c>
      <c r="F5061" t="s">
        <v>82</v>
      </c>
      <c r="G5061">
        <v>-279.02</v>
      </c>
      <c r="H5061">
        <v>2.5431569999999999</v>
      </c>
      <c r="I5061">
        <v>-18.143429999999999</v>
      </c>
      <c r="J5061">
        <v>-413.99669999999998</v>
      </c>
      <c r="K5061">
        <v>1.1156429999999999</v>
      </c>
      <c r="L5061">
        <v>25.042760000000001</v>
      </c>
      <c r="M5061">
        <v>0.71486549999999904</v>
      </c>
      <c r="N5061">
        <v>0</v>
      </c>
      <c r="O5061">
        <v>-0.69908009999999998</v>
      </c>
      <c r="P5061">
        <v>0.88006989999999996</v>
      </c>
      <c r="Q5061">
        <v>-1.1730020000000001E-2</v>
      </c>
      <c r="R5061">
        <v>-0.47469989999999901</v>
      </c>
      <c r="S5061">
        <v>3.146118</v>
      </c>
      <c r="T5061">
        <v>3.2602310000000002E-2</v>
      </c>
      <c r="U5061">
        <v>-1.0618590000000001</v>
      </c>
      <c r="V5061">
        <v>-0.27592709999999998</v>
      </c>
      <c r="W5061">
        <v>-3.6744130000000001E-3</v>
      </c>
      <c r="X5061">
        <v>0.96117149999999996</v>
      </c>
      <c r="Y5061">
        <v>-0.43377179999999999</v>
      </c>
      <c r="Z5061">
        <v>-8.4663369999999905E-3</v>
      </c>
      <c r="AA5061">
        <v>0.90098299999999998</v>
      </c>
      <c r="AB5061">
        <v>25</v>
      </c>
      <c r="AC5061">
        <v>134.97669999999999</v>
      </c>
      <c r="AD5061">
        <v>1.4275139999999999</v>
      </c>
      <c r="AE5061">
        <v>-43.186190000000003</v>
      </c>
      <c r="AF5061">
        <v>-63.488840650853199</v>
      </c>
      <c r="AG5061">
        <v>1.4275139999999999</v>
      </c>
      <c r="AH5061">
        <v>126.684050654321</v>
      </c>
      <c r="AI5061">
        <v>89.4228218166039</v>
      </c>
      <c r="AJ5061">
        <v>116.61814703765999</v>
      </c>
      <c r="AK5061">
        <v>141.709983323675</v>
      </c>
    </row>
    <row r="5062" spans="1:37" x14ac:dyDescent="0.2">
      <c r="A5062" t="str">
        <f>"20200111155658401"</f>
        <v>20200111155658401</v>
      </c>
      <c r="B5062" t="str">
        <f>"1578729418397870"</f>
        <v>1578729418397870</v>
      </c>
      <c r="C5062" t="s">
        <v>37</v>
      </c>
      <c r="D5062">
        <v>4.9901210000000003</v>
      </c>
      <c r="E5062">
        <v>0.31663619999999998</v>
      </c>
      <c r="F5062" t="s">
        <v>83</v>
      </c>
      <c r="G5062">
        <v>-279.68</v>
      </c>
      <c r="H5062">
        <v>0.77796390000000004</v>
      </c>
      <c r="I5062">
        <v>20.60098</v>
      </c>
      <c r="J5062">
        <v>-413.89150000000001</v>
      </c>
      <c r="K5062">
        <v>1.115693</v>
      </c>
      <c r="L5062">
        <v>24.952390000000001</v>
      </c>
      <c r="M5062">
        <v>0.72103079999999997</v>
      </c>
      <c r="N5062">
        <v>0</v>
      </c>
      <c r="O5062">
        <v>-0.69271919999999898</v>
      </c>
      <c r="P5062">
        <v>0.88382059999999996</v>
      </c>
      <c r="Q5062">
        <v>-1.064387E-2</v>
      </c>
      <c r="R5062">
        <v>-0.46770539999999999</v>
      </c>
      <c r="S5062">
        <v>3.3489689999999999</v>
      </c>
      <c r="T5062">
        <v>-8.4193940000000002E-3</v>
      </c>
      <c r="U5062">
        <v>-0.11074829999999999</v>
      </c>
      <c r="V5062">
        <v>-0.27507280000000001</v>
      </c>
      <c r="W5062">
        <v>-2.570414E-3</v>
      </c>
      <c r="X5062">
        <v>0.96142000000000005</v>
      </c>
      <c r="Y5062">
        <v>-0.66859099999999905</v>
      </c>
      <c r="Z5062">
        <v>2.4355620000000001E-3</v>
      </c>
      <c r="AA5062">
        <v>0.74362640000000002</v>
      </c>
      <c r="AB5062">
        <v>25</v>
      </c>
      <c r="AC5062">
        <v>134.2115</v>
      </c>
      <c r="AD5062">
        <v>-0.33772909999999901</v>
      </c>
      <c r="AE5062">
        <v>-4.3514099999999996</v>
      </c>
      <c r="AF5062">
        <v>-89.844256219710701</v>
      </c>
      <c r="AG5062">
        <v>-0.33772909999999901</v>
      </c>
      <c r="AH5062">
        <v>99.797009002472507</v>
      </c>
      <c r="AI5062">
        <v>90.144103680634501</v>
      </c>
      <c r="AJ5062">
        <v>131.99575916025299</v>
      </c>
      <c r="AK5062">
        <v>134.28159755698999</v>
      </c>
    </row>
    <row r="5063" spans="1:37" x14ac:dyDescent="0.2">
      <c r="A5063" t="str">
        <f>"20200111155658416"</f>
        <v>20200111155658416</v>
      </c>
      <c r="B5063" t="str">
        <f>"1578729418408606"</f>
        <v>1578729418408606</v>
      </c>
      <c r="C5063" t="s">
        <v>37</v>
      </c>
      <c r="D5063">
        <v>4.9514709999999997</v>
      </c>
      <c r="E5063">
        <v>0.31761139999999999</v>
      </c>
      <c r="F5063" t="s">
        <v>83</v>
      </c>
      <c r="G5063">
        <v>-279.68</v>
      </c>
      <c r="H5063">
        <v>1.040543</v>
      </c>
      <c r="I5063">
        <v>20.508879999999898</v>
      </c>
      <c r="J5063">
        <v>-413.75869999999998</v>
      </c>
      <c r="K5063">
        <v>1.1157509999999999</v>
      </c>
      <c r="L5063">
        <v>24.840879999999999</v>
      </c>
      <c r="M5063">
        <v>0.7287129</v>
      </c>
      <c r="N5063">
        <v>0</v>
      </c>
      <c r="O5063">
        <v>-0.68463249999999998</v>
      </c>
      <c r="P5063">
        <v>0.88828069999999903</v>
      </c>
      <c r="Q5063">
        <v>-9.6252649999999992E-3</v>
      </c>
      <c r="R5063">
        <v>-0.45920050000000001</v>
      </c>
      <c r="S5063">
        <v>3.3358150000000002</v>
      </c>
      <c r="T5063">
        <v>-1.8677710000000001E-3</v>
      </c>
      <c r="U5063">
        <v>-0.1104431</v>
      </c>
      <c r="V5063">
        <v>-0.27361190000000002</v>
      </c>
      <c r="W5063">
        <v>-1.516486E-3</v>
      </c>
      <c r="X5063">
        <v>0.961838999999999</v>
      </c>
      <c r="Y5063">
        <v>-0.660228699999999</v>
      </c>
      <c r="Z5063">
        <v>5.3695040000000004E-4</v>
      </c>
      <c r="AA5063">
        <v>0.75106450000000002</v>
      </c>
      <c r="AB5063">
        <v>25</v>
      </c>
      <c r="AC5063">
        <v>134.078699999999</v>
      </c>
      <c r="AD5063">
        <v>-7.52079999999999E-2</v>
      </c>
      <c r="AE5063">
        <v>-4.3319999999999999</v>
      </c>
      <c r="AF5063">
        <v>-88.649164574948401</v>
      </c>
      <c r="AG5063">
        <v>-7.52079999999999E-2</v>
      </c>
      <c r="AH5063">
        <v>100.683555387026</v>
      </c>
      <c r="AI5063">
        <v>90.032121839787905</v>
      </c>
      <c r="AJ5063">
        <v>131.36305092597499</v>
      </c>
      <c r="AK5063">
        <v>134.14864278646999</v>
      </c>
    </row>
    <row r="5064" spans="1:37" x14ac:dyDescent="0.2">
      <c r="A5064" t="str">
        <f>"20200111155658430"</f>
        <v>20200111155658430</v>
      </c>
      <c r="B5064" t="str">
        <f>"1578729418418367"</f>
        <v>1578729418418367</v>
      </c>
      <c r="C5064" t="s">
        <v>37</v>
      </c>
      <c r="D5064">
        <v>4.9914170000000002</v>
      </c>
      <c r="E5064">
        <v>0.3187257</v>
      </c>
      <c r="F5064" t="s">
        <v>83</v>
      </c>
      <c r="G5064">
        <v>-279.68</v>
      </c>
      <c r="H5064">
        <v>0.99049169999999997</v>
      </c>
      <c r="I5064">
        <v>21.41225</v>
      </c>
      <c r="J5064">
        <v>-413.65249999999997</v>
      </c>
      <c r="K5064">
        <v>1.115785</v>
      </c>
      <c r="L5064">
        <v>24.754059999999999</v>
      </c>
      <c r="M5064">
        <v>0.7347728</v>
      </c>
      <c r="N5064">
        <v>0</v>
      </c>
      <c r="O5064">
        <v>-0.67812439999999996</v>
      </c>
      <c r="P5064">
        <v>0.89197109999999902</v>
      </c>
      <c r="Q5064">
        <v>-9.5701550000000003E-3</v>
      </c>
      <c r="R5064">
        <v>-0.45199149999999999</v>
      </c>
      <c r="S5064">
        <v>3.3331909999999998</v>
      </c>
      <c r="T5064">
        <v>-3.1138659999999999E-3</v>
      </c>
      <c r="U5064">
        <v>-8.5235599999999995E-2</v>
      </c>
      <c r="V5064">
        <v>-0.27285009999999998</v>
      </c>
      <c r="W5064">
        <v>-1.4437089999999901E-3</v>
      </c>
      <c r="X5064">
        <v>0.96205540000000001</v>
      </c>
      <c r="Y5064">
        <v>-0.65920339999999999</v>
      </c>
      <c r="Z5064">
        <v>8.9160399999999897E-4</v>
      </c>
      <c r="AA5064">
        <v>0.75196419999999997</v>
      </c>
      <c r="AB5064">
        <v>25</v>
      </c>
      <c r="AC5064">
        <v>133.972499999999</v>
      </c>
      <c r="AD5064">
        <v>-0.1252933</v>
      </c>
      <c r="AE5064">
        <v>-3.34180999999999</v>
      </c>
      <c r="AF5064">
        <v>-88.405799680805501</v>
      </c>
      <c r="AG5064">
        <v>-0.1252933</v>
      </c>
      <c r="AH5064">
        <v>100.718328204664</v>
      </c>
      <c r="AI5064">
        <v>90.053567330504606</v>
      </c>
      <c r="AJ5064">
        <v>131.27513533448101</v>
      </c>
      <c r="AK5064">
        <v>134.01411400280199</v>
      </c>
    </row>
    <row r="5065" spans="1:37" x14ac:dyDescent="0.2">
      <c r="A5065" t="str">
        <f>"20200111155658441"</f>
        <v>20200111155658441</v>
      </c>
      <c r="B5065" t="str">
        <f>"1578729418428126"</f>
        <v>1578729418428126</v>
      </c>
      <c r="C5065" t="s">
        <v>37</v>
      </c>
      <c r="D5065">
        <v>5.0162940000000003</v>
      </c>
      <c r="E5065">
        <v>0.31996639999999998</v>
      </c>
      <c r="F5065" t="s">
        <v>83</v>
      </c>
      <c r="G5065">
        <v>-279.68</v>
      </c>
      <c r="H5065">
        <v>0.80023489999999997</v>
      </c>
      <c r="I5065">
        <v>22.098179999999999</v>
      </c>
      <c r="J5065">
        <v>-413.5532</v>
      </c>
      <c r="K5065">
        <v>1.1158159999999999</v>
      </c>
      <c r="L5065">
        <v>24.673770000000001</v>
      </c>
      <c r="M5065">
        <v>0.74037269999999999</v>
      </c>
      <c r="N5065">
        <v>0</v>
      </c>
      <c r="O5065">
        <v>-0.67200539999999997</v>
      </c>
      <c r="P5065">
        <v>0.89540609999999998</v>
      </c>
      <c r="Q5065">
        <v>-9.5496739999999993E-3</v>
      </c>
      <c r="R5065">
        <v>-0.44514789999999999</v>
      </c>
      <c r="S5065">
        <v>3.3297729999999999</v>
      </c>
      <c r="T5065">
        <v>-7.8426599999999996E-3</v>
      </c>
      <c r="U5065">
        <v>-6.6009520000000002E-2</v>
      </c>
      <c r="V5065">
        <v>-0.27223720000000001</v>
      </c>
      <c r="W5065">
        <v>-1.409366E-3</v>
      </c>
      <c r="X5065">
        <v>0.96222909999999995</v>
      </c>
      <c r="Y5065">
        <v>-0.65728009999999903</v>
      </c>
      <c r="Z5065">
        <v>2.2362219999999999E-3</v>
      </c>
      <c r="AA5065">
        <v>0.75364299999999995</v>
      </c>
      <c r="AB5065">
        <v>25</v>
      </c>
      <c r="AC5065">
        <v>133.8732</v>
      </c>
      <c r="AD5065">
        <v>-0.315581099999999</v>
      </c>
      <c r="AE5065">
        <v>-2.57559</v>
      </c>
      <c r="AF5065">
        <v>-88.067445375172994</v>
      </c>
      <c r="AG5065">
        <v>-0.315581099999999</v>
      </c>
      <c r="AH5065">
        <v>100.859274367691</v>
      </c>
      <c r="AI5065">
        <v>90.135039624526399</v>
      </c>
      <c r="AJ5065">
        <v>131.12653573170201</v>
      </c>
      <c r="AK5065">
        <v>133.89760174221499</v>
      </c>
    </row>
    <row r="5066" spans="1:37" x14ac:dyDescent="0.2">
      <c r="A5066" t="str">
        <f>"20200111155658581"</f>
        <v>20200111155658581</v>
      </c>
      <c r="B5066" t="str">
        <f>"1578729418577962"</f>
        <v>1578729418577962</v>
      </c>
      <c r="C5066" t="s">
        <v>37</v>
      </c>
      <c r="D5066">
        <v>4.8452580000000003</v>
      </c>
      <c r="E5066">
        <v>0.31996639999999998</v>
      </c>
      <c r="F5066" t="s">
        <v>83</v>
      </c>
      <c r="G5066">
        <v>-279.68</v>
      </c>
      <c r="H5066">
        <v>0.59756819999999999</v>
      </c>
      <c r="I5066">
        <v>22.693570000000001</v>
      </c>
      <c r="J5066">
        <v>-412.29939999999999</v>
      </c>
      <c r="K5066">
        <v>1.1159330000000001</v>
      </c>
      <c r="L5066">
        <v>23.77591</v>
      </c>
      <c r="M5066">
        <v>0.80539269999999996</v>
      </c>
      <c r="N5066">
        <v>0</v>
      </c>
      <c r="O5066">
        <v>-0.59252039999999995</v>
      </c>
      <c r="P5066">
        <v>0.93295249999999996</v>
      </c>
      <c r="Q5066">
        <v>-2.1734969999999999E-2</v>
      </c>
      <c r="R5066">
        <v>-0.35934270000000001</v>
      </c>
      <c r="S5066">
        <v>3.3258359999999998</v>
      </c>
      <c r="T5066">
        <v>-1.287484E-2</v>
      </c>
      <c r="U5066">
        <v>-4.9194340000000003E-2</v>
      </c>
      <c r="V5066">
        <v>-0.263152</v>
      </c>
      <c r="W5066">
        <v>-1.3280770000000001E-2</v>
      </c>
      <c r="X5066">
        <v>0.96466299999999905</v>
      </c>
      <c r="Y5066">
        <v>-0.58061169999999995</v>
      </c>
      <c r="Z5066">
        <v>3.2916249999999998E-3</v>
      </c>
      <c r="AA5066">
        <v>0.81417390000000001</v>
      </c>
      <c r="AB5066">
        <v>25</v>
      </c>
      <c r="AC5066">
        <v>132.61939999999899</v>
      </c>
      <c r="AD5066">
        <v>-0.51836479999999996</v>
      </c>
      <c r="AE5066">
        <v>-1.0823399999999901</v>
      </c>
      <c r="AF5066">
        <v>-77.716992471265101</v>
      </c>
      <c r="AG5066">
        <v>-0.51836479999999996</v>
      </c>
      <c r="AH5066">
        <v>107.46445182310001</v>
      </c>
      <c r="AI5066">
        <v>90.223944827814293</v>
      </c>
      <c r="AJ5066">
        <v>125.873999156932</v>
      </c>
      <c r="AK5066">
        <v>132.62280356893399</v>
      </c>
    </row>
    <row r="5067" spans="1:37" x14ac:dyDescent="0.2">
      <c r="A5067" t="str">
        <f>"20200111155658600"</f>
        <v>20200111155658600</v>
      </c>
      <c r="B5067" t="str">
        <f>"1578729418587721"</f>
        <v>1578729418587721</v>
      </c>
      <c r="C5067" t="s">
        <v>37</v>
      </c>
      <c r="D5067">
        <v>4.842695</v>
      </c>
      <c r="E5067">
        <v>0.35195070000000001</v>
      </c>
      <c r="F5067" t="s">
        <v>38</v>
      </c>
      <c r="G5067">
        <v>-338.95929999999998</v>
      </c>
      <c r="H5067" s="1">
        <v>-2.9944349999999898E-6</v>
      </c>
      <c r="I5067">
        <v>29.579350000000002</v>
      </c>
      <c r="J5067">
        <v>-412.13130000000001</v>
      </c>
      <c r="K5067">
        <v>1.115931</v>
      </c>
      <c r="L5067">
        <v>23.67004</v>
      </c>
      <c r="M5067">
        <v>0.81330029999999998</v>
      </c>
      <c r="N5067">
        <v>0</v>
      </c>
      <c r="O5067">
        <v>-0.58161839999999998</v>
      </c>
      <c r="P5067">
        <v>0.93721699999999997</v>
      </c>
      <c r="Q5067">
        <v>-2.3488769999999999E-2</v>
      </c>
      <c r="R5067">
        <v>-0.34795500000000001</v>
      </c>
      <c r="S5067">
        <v>3.3154910000000002</v>
      </c>
      <c r="T5067">
        <v>-5.0448180000000002E-2</v>
      </c>
      <c r="U5067">
        <v>0.26235959999999903</v>
      </c>
      <c r="V5067">
        <v>-0.26183410000000001</v>
      </c>
      <c r="W5067">
        <v>-1.4985139999999999E-2</v>
      </c>
      <c r="X5067">
        <v>0.96499659999999998</v>
      </c>
      <c r="Y5067">
        <v>-0.64391180000000003</v>
      </c>
      <c r="Z5067">
        <v>1.332382E-2</v>
      </c>
      <c r="AA5067">
        <v>0.76498369999999905</v>
      </c>
      <c r="AB5067">
        <v>25</v>
      </c>
      <c r="AC5067">
        <v>73.171999999999997</v>
      </c>
      <c r="AD5067">
        <v>-1.115933994435</v>
      </c>
      <c r="AE5067">
        <v>5.9093099999999996</v>
      </c>
      <c r="AF5067">
        <v>-47.3595028294597</v>
      </c>
      <c r="AG5067">
        <v>-1.115933994435</v>
      </c>
      <c r="AH5067">
        <v>56.0682554222753</v>
      </c>
      <c r="AI5067">
        <v>90.871106892401599</v>
      </c>
      <c r="AJ5067">
        <v>130.186973522698</v>
      </c>
      <c r="AK5067">
        <v>73.401751225914495</v>
      </c>
    </row>
    <row r="5068" spans="1:37" x14ac:dyDescent="0.2">
      <c r="A5068" t="str">
        <f>"20200111155658613"</f>
        <v>20200111155658613</v>
      </c>
      <c r="B5068" t="str">
        <f>"1578729418608219"</f>
        <v>1578729418608219</v>
      </c>
      <c r="C5068" t="s">
        <v>37</v>
      </c>
      <c r="D5068">
        <v>4.8023309999999997</v>
      </c>
      <c r="E5068">
        <v>0.35271910000000001</v>
      </c>
      <c r="F5068" t="s">
        <v>83</v>
      </c>
      <c r="G5068">
        <v>-279.68</v>
      </c>
      <c r="H5068">
        <v>0.29873040000000001</v>
      </c>
      <c r="I5068">
        <v>26.200610000000001</v>
      </c>
      <c r="J5068">
        <v>-412.00920000000002</v>
      </c>
      <c r="K5068">
        <v>1.1159330000000001</v>
      </c>
      <c r="L5068">
        <v>23.595459999999999</v>
      </c>
      <c r="M5068">
        <v>0.81891999999999998</v>
      </c>
      <c r="N5068">
        <v>0</v>
      </c>
      <c r="O5068">
        <v>-0.57367849999999998</v>
      </c>
      <c r="P5068">
        <v>0.94041909999999895</v>
      </c>
      <c r="Q5068">
        <v>-2.41724E-2</v>
      </c>
      <c r="R5068">
        <v>-0.33915709999999999</v>
      </c>
      <c r="S5068">
        <v>3.2233580000000002</v>
      </c>
      <c r="T5068">
        <v>-1.9887450000000001E-2</v>
      </c>
      <c r="U5068">
        <v>6.1584470000000002E-2</v>
      </c>
      <c r="V5068">
        <v>-0.2614609</v>
      </c>
      <c r="W5068">
        <v>-1.5651169999999999E-2</v>
      </c>
      <c r="X5068">
        <v>0.96508719999999903</v>
      </c>
      <c r="Y5068">
        <v>-0.5892733</v>
      </c>
      <c r="Z5068">
        <v>5.1859890000000002E-3</v>
      </c>
      <c r="AA5068">
        <v>0.80791709999999906</v>
      </c>
      <c r="AB5068">
        <v>25</v>
      </c>
      <c r="AC5068">
        <v>132.32919999999999</v>
      </c>
      <c r="AD5068">
        <v>-0.8172026</v>
      </c>
      <c r="AE5068">
        <v>2.6051500000000001</v>
      </c>
      <c r="AF5068">
        <v>-78.055116546483504</v>
      </c>
      <c r="AG5068">
        <v>-0.8172026</v>
      </c>
      <c r="AH5068">
        <v>106.882492468463</v>
      </c>
      <c r="AI5068">
        <v>90.353772098586404</v>
      </c>
      <c r="AJ5068">
        <v>126.140247516619</v>
      </c>
      <c r="AK5068">
        <v>132.352318587344</v>
      </c>
    </row>
    <row r="5069" spans="1:37" x14ac:dyDescent="0.2">
      <c r="A5069" t="str">
        <f>"20200111155658625"</f>
        <v>20200111155658625</v>
      </c>
      <c r="B5069" t="str">
        <f>"1578729418617979"</f>
        <v>1578729418617979</v>
      </c>
      <c r="C5069" t="s">
        <v>37</v>
      </c>
      <c r="D5069">
        <v>4.7777699999999896</v>
      </c>
      <c r="E5069">
        <v>0.353170599999999</v>
      </c>
      <c r="F5069" t="s">
        <v>84</v>
      </c>
      <c r="G5069">
        <v>-279.68</v>
      </c>
      <c r="H5069">
        <v>0.62867030000000002</v>
      </c>
      <c r="I5069">
        <v>27.107709999999901</v>
      </c>
      <c r="J5069">
        <v>-411.88869999999997</v>
      </c>
      <c r="K5069">
        <v>1.115934</v>
      </c>
      <c r="L5069">
        <v>23.523350000000001</v>
      </c>
      <c r="M5069">
        <v>0.82437329999999998</v>
      </c>
      <c r="N5069">
        <v>0</v>
      </c>
      <c r="O5069">
        <v>-0.56581400000000004</v>
      </c>
      <c r="P5069">
        <v>0.94347109999999901</v>
      </c>
      <c r="Q5069">
        <v>-2.475958E-2</v>
      </c>
      <c r="R5069">
        <v>-0.33052949999999998</v>
      </c>
      <c r="S5069">
        <v>3.2205810000000001</v>
      </c>
      <c r="T5069">
        <v>-1.185894E-2</v>
      </c>
      <c r="U5069">
        <v>8.5479739999999999E-2</v>
      </c>
      <c r="V5069">
        <v>-0.26103880000000002</v>
      </c>
      <c r="W5069">
        <v>-1.621939E-2</v>
      </c>
      <c r="X5069">
        <v>0.96519200000000005</v>
      </c>
      <c r="Y5069">
        <v>-0.587557199999999</v>
      </c>
      <c r="Z5069">
        <v>3.068608E-3</v>
      </c>
      <c r="AA5069">
        <v>0.80917680000000003</v>
      </c>
      <c r="AB5069">
        <v>25</v>
      </c>
      <c r="AC5069">
        <v>132.208699999999</v>
      </c>
      <c r="AD5069">
        <v>-0.48726369999999902</v>
      </c>
      <c r="AE5069">
        <v>3.58435999999999</v>
      </c>
      <c r="AF5069">
        <v>-77.769562960826505</v>
      </c>
      <c r="AG5069">
        <v>-0.48726369999999902</v>
      </c>
      <c r="AH5069">
        <v>106.97386702846001</v>
      </c>
      <c r="AI5069">
        <v>90.211091640791494</v>
      </c>
      <c r="AJ5069">
        <v>126.016998123641</v>
      </c>
      <c r="AK5069">
        <v>132.25638198610301</v>
      </c>
    </row>
    <row r="5070" spans="1:37" x14ac:dyDescent="0.2">
      <c r="A5070" t="str">
        <f>"20200111155658643"</f>
        <v>20200111155658643</v>
      </c>
      <c r="B5070" t="str">
        <f>"1578729418638474"</f>
        <v>1578729418638474</v>
      </c>
      <c r="C5070" t="s">
        <v>37</v>
      </c>
      <c r="D5070">
        <v>4.800656</v>
      </c>
      <c r="E5070">
        <v>0.35528920000000003</v>
      </c>
      <c r="F5070" t="s">
        <v>84</v>
      </c>
      <c r="G5070">
        <v>-279.68</v>
      </c>
      <c r="H5070">
        <v>0.8859245</v>
      </c>
      <c r="I5070">
        <v>28.088929999999898</v>
      </c>
      <c r="J5070">
        <v>-411.73500000000001</v>
      </c>
      <c r="K5070">
        <v>1.1159289999999999</v>
      </c>
      <c r="L5070">
        <v>23.433350000000001</v>
      </c>
      <c r="M5070">
        <v>0.83119909999999997</v>
      </c>
      <c r="N5070">
        <v>0</v>
      </c>
      <c r="O5070">
        <v>-0.55573790000000001</v>
      </c>
      <c r="P5070">
        <v>0.947133</v>
      </c>
      <c r="Q5070">
        <v>-2.5715399999999999E-2</v>
      </c>
      <c r="R5070">
        <v>-0.31980979999999998</v>
      </c>
      <c r="S5070">
        <v>3.2185060000000001</v>
      </c>
      <c r="T5070">
        <v>-5.599499E-3</v>
      </c>
      <c r="U5070">
        <v>0.11114499999999999</v>
      </c>
      <c r="V5070">
        <v>-0.26019579999999998</v>
      </c>
      <c r="W5070">
        <v>-1.714191E-2</v>
      </c>
      <c r="X5070">
        <v>0.96540369999999998</v>
      </c>
      <c r="Y5070">
        <v>-0.58416889999999999</v>
      </c>
      <c r="Z5070">
        <v>1.4325E-3</v>
      </c>
      <c r="AA5070">
        <v>0.81163079999999999</v>
      </c>
      <c r="AB5070">
        <v>25</v>
      </c>
      <c r="AC5070">
        <v>132.05500000000001</v>
      </c>
      <c r="AD5070">
        <v>-0.2300045</v>
      </c>
      <c r="AE5070">
        <v>4.6555799999999898</v>
      </c>
      <c r="AF5070">
        <v>-77.267626675775603</v>
      </c>
      <c r="AG5070">
        <v>-0.2300045</v>
      </c>
      <c r="AH5070">
        <v>107.190510374613</v>
      </c>
      <c r="AI5070">
        <v>90.099732169695201</v>
      </c>
      <c r="AJ5070">
        <v>125.785718898461</v>
      </c>
      <c r="AK5070">
        <v>132.13684023975699</v>
      </c>
    </row>
    <row r="5071" spans="1:37" x14ac:dyDescent="0.2">
      <c r="A5071" t="str">
        <f>"20200111155658654"</f>
        <v>20200111155658654</v>
      </c>
      <c r="B5071" t="str">
        <f>"1578729418648235"</f>
        <v>1578729418648235</v>
      </c>
      <c r="C5071" t="s">
        <v>37</v>
      </c>
      <c r="D5071">
        <v>4.7636949999999896</v>
      </c>
      <c r="E5071">
        <v>0.35580970000000001</v>
      </c>
      <c r="F5071" t="s">
        <v>85</v>
      </c>
      <c r="G5071">
        <v>-274.49669999999998</v>
      </c>
      <c r="H5071">
        <v>0.82361759999999995</v>
      </c>
      <c r="I5071">
        <v>29.053920000000002</v>
      </c>
      <c r="J5071">
        <v>-411.6164</v>
      </c>
      <c r="K5071">
        <v>1.1159289999999999</v>
      </c>
      <c r="L5071">
        <v>23.36572</v>
      </c>
      <c r="M5071">
        <v>0.83636089999999996</v>
      </c>
      <c r="N5071">
        <v>0</v>
      </c>
      <c r="O5071">
        <v>-0.54793840000000005</v>
      </c>
      <c r="P5071">
        <v>0.94989619999999997</v>
      </c>
      <c r="Q5071">
        <v>-2.6185010000000002E-2</v>
      </c>
      <c r="R5071">
        <v>-0.3114673</v>
      </c>
      <c r="S5071">
        <v>3.2116090000000002</v>
      </c>
      <c r="T5071">
        <v>-6.8404669999999898E-3</v>
      </c>
      <c r="U5071">
        <v>0.1315308</v>
      </c>
      <c r="V5071">
        <v>-0.25963710000000001</v>
      </c>
      <c r="W5071">
        <v>-1.7589009999999999E-2</v>
      </c>
      <c r="X5071">
        <v>0.96554609999999996</v>
      </c>
      <c r="Y5071">
        <v>-0.58177800000000002</v>
      </c>
      <c r="Z5071">
        <v>1.7373579999999901E-3</v>
      </c>
      <c r="AA5071">
        <v>0.81334569999999995</v>
      </c>
      <c r="AB5071">
        <v>25</v>
      </c>
      <c r="AC5071">
        <v>137.11969999999999</v>
      </c>
      <c r="AD5071">
        <v>-0.2923114</v>
      </c>
      <c r="AE5071">
        <v>5.6882000000000001</v>
      </c>
      <c r="AF5071">
        <v>-79.900720439480693</v>
      </c>
      <c r="AG5071">
        <v>-0.2923114</v>
      </c>
      <c r="AH5071">
        <v>111.578993228276</v>
      </c>
      <c r="AI5071">
        <v>90.122038393442907</v>
      </c>
      <c r="AJ5071">
        <v>125.606112818162</v>
      </c>
      <c r="AK5071">
        <v>137.23732109939399</v>
      </c>
    </row>
    <row r="5072" spans="1:37" x14ac:dyDescent="0.2">
      <c r="A5072" t="str">
        <f>"20200111155658667"</f>
        <v>20200111155658667</v>
      </c>
      <c r="B5072" t="str">
        <f>"1578729418657995"</f>
        <v>1578729418657995</v>
      </c>
      <c r="C5072" t="s">
        <v>37</v>
      </c>
      <c r="D5072">
        <v>4.7664010000000001</v>
      </c>
      <c r="E5072">
        <v>0.35635640000000002</v>
      </c>
      <c r="F5072" t="s">
        <v>86</v>
      </c>
      <c r="G5072">
        <v>-168.50030000000001</v>
      </c>
      <c r="H5072">
        <v>0.9489843</v>
      </c>
      <c r="I5072">
        <v>35.147219999999997</v>
      </c>
      <c r="J5072">
        <v>-411.49560000000002</v>
      </c>
      <c r="K5072">
        <v>1.115931</v>
      </c>
      <c r="L5072">
        <v>23.298579999999902</v>
      </c>
      <c r="M5072">
        <v>0.84152380000000004</v>
      </c>
      <c r="N5072">
        <v>0</v>
      </c>
      <c r="O5072">
        <v>-0.539975599999999</v>
      </c>
      <c r="P5072">
        <v>0.95255230000000002</v>
      </c>
      <c r="Q5072">
        <v>-2.6324469999999999E-2</v>
      </c>
      <c r="R5072">
        <v>-0.30323449999999902</v>
      </c>
      <c r="S5072">
        <v>3.2091669999999999</v>
      </c>
      <c r="T5072">
        <v>-2.203703E-3</v>
      </c>
      <c r="U5072">
        <v>0.15551760000000001</v>
      </c>
      <c r="V5072">
        <v>-0.2588239</v>
      </c>
      <c r="W5072">
        <v>-1.7697460000000002E-2</v>
      </c>
      <c r="X5072">
        <v>0.96576240000000002</v>
      </c>
      <c r="Y5072">
        <v>-0.58015190000000005</v>
      </c>
      <c r="Z5072">
        <v>5.5497870000000005E-4</v>
      </c>
      <c r="AA5072">
        <v>0.81450809999999996</v>
      </c>
      <c r="AB5072">
        <v>25</v>
      </c>
      <c r="AC5072">
        <v>242.99529999999999</v>
      </c>
      <c r="AD5072">
        <v>-0.166946699999999</v>
      </c>
      <c r="AE5072">
        <v>11.84864</v>
      </c>
      <c r="AF5072">
        <v>-141.20102196313599</v>
      </c>
      <c r="AG5072">
        <v>-0.166946699999999</v>
      </c>
      <c r="AH5072">
        <v>198.114415795881</v>
      </c>
      <c r="AI5072">
        <v>90.039317604941004</v>
      </c>
      <c r="AJ5072">
        <v>125.478407590334</v>
      </c>
      <c r="AK5072">
        <v>243.28394567002999</v>
      </c>
    </row>
    <row r="5073" spans="1:37" x14ac:dyDescent="0.2">
      <c r="A5073" t="str">
        <f>"20200111155658682"</f>
        <v>20200111155658682</v>
      </c>
      <c r="B5073" t="str">
        <f>"1578729418678489"</f>
        <v>1578729418678489</v>
      </c>
      <c r="C5073" t="s">
        <v>37</v>
      </c>
      <c r="D5073">
        <v>4.8004809999999898</v>
      </c>
      <c r="E5073">
        <v>0.35762519999999998</v>
      </c>
      <c r="F5073" t="s">
        <v>86</v>
      </c>
      <c r="G5073">
        <v>-168.50049999999999</v>
      </c>
      <c r="H5073">
        <v>1.3020419999999999</v>
      </c>
      <c r="I5073">
        <v>36.851120000000002</v>
      </c>
      <c r="J5073">
        <v>-411.36130000000003</v>
      </c>
      <c r="K5073">
        <v>1.1159319999999999</v>
      </c>
      <c r="L5073">
        <v>23.225370000000002</v>
      </c>
      <c r="M5073">
        <v>0.84715649999999998</v>
      </c>
      <c r="N5073">
        <v>0</v>
      </c>
      <c r="O5073">
        <v>-0.53109479999999998</v>
      </c>
      <c r="P5073">
        <v>0.95545720000000001</v>
      </c>
      <c r="Q5073">
        <v>-2.6591070000000001E-2</v>
      </c>
      <c r="R5073">
        <v>-0.29392940000000001</v>
      </c>
      <c r="S5073">
        <v>3.2064509999999999</v>
      </c>
      <c r="T5073">
        <v>2.4558309999999999E-3</v>
      </c>
      <c r="U5073">
        <v>0.17883299999999999</v>
      </c>
      <c r="V5073">
        <v>-0.2580749</v>
      </c>
      <c r="W5073">
        <v>-1.7934470000000001E-2</v>
      </c>
      <c r="X5073">
        <v>0.96595839999999999</v>
      </c>
      <c r="Y5073">
        <v>-0.57752169999999903</v>
      </c>
      <c r="Z5073">
        <v>-6.1219689999999995E-4</v>
      </c>
      <c r="AA5073">
        <v>0.81637510000000002</v>
      </c>
      <c r="AB5073">
        <v>25</v>
      </c>
      <c r="AC5073">
        <v>242.86080000000001</v>
      </c>
      <c r="AD5073">
        <v>0.18611</v>
      </c>
      <c r="AE5073">
        <v>13.62575</v>
      </c>
      <c r="AF5073">
        <v>-140.54373392089499</v>
      </c>
      <c r="AG5073">
        <v>0.18611</v>
      </c>
      <c r="AH5073">
        <v>198.530649577015</v>
      </c>
      <c r="AI5073">
        <v>89.956161808545602</v>
      </c>
      <c r="AJ5073">
        <v>125.29542438844101</v>
      </c>
      <c r="AK5073">
        <v>243.24266608231201</v>
      </c>
    </row>
    <row r="5074" spans="1:37" x14ac:dyDescent="0.2">
      <c r="A5074" t="str">
        <f>"20200111155658698"</f>
        <v>20200111155658698</v>
      </c>
      <c r="B5074" t="str">
        <f>"1578729418688249"</f>
        <v>1578729418688249</v>
      </c>
      <c r="C5074" t="s">
        <v>37</v>
      </c>
      <c r="D5074">
        <v>4.8367290000000001</v>
      </c>
      <c r="E5074">
        <v>0.3723515</v>
      </c>
      <c r="F5074" t="s">
        <v>86</v>
      </c>
      <c r="G5074">
        <v>-168.50049999999999</v>
      </c>
      <c r="H5074">
        <v>1.2778449999999999</v>
      </c>
      <c r="I5074">
        <v>38.427759999999999</v>
      </c>
      <c r="J5074">
        <v>-411.20670000000001</v>
      </c>
      <c r="K5074">
        <v>1.1159299999999901</v>
      </c>
      <c r="L5074">
        <v>23.14331</v>
      </c>
      <c r="M5074">
        <v>0.85350219999999899</v>
      </c>
      <c r="N5074">
        <v>0</v>
      </c>
      <c r="O5074">
        <v>-0.52083519999999905</v>
      </c>
      <c r="P5074">
        <v>0.95829439999999999</v>
      </c>
      <c r="Q5074">
        <v>-2.6890899999999999E-2</v>
      </c>
      <c r="R5074">
        <v>-0.28451539999999997</v>
      </c>
      <c r="S5074">
        <v>3.2015689999999899</v>
      </c>
      <c r="T5074">
        <v>2.1344419999999998E-3</v>
      </c>
      <c r="U5074">
        <v>0.2004089</v>
      </c>
      <c r="V5074">
        <v>-0.25591249999999999</v>
      </c>
      <c r="W5074">
        <v>-1.8158730000000001E-2</v>
      </c>
      <c r="X5074">
        <v>0.96652939999999998</v>
      </c>
      <c r="Y5074">
        <v>-0.57321580000000005</v>
      </c>
      <c r="Z5074">
        <v>-5.2554779999999996E-4</v>
      </c>
      <c r="AA5074">
        <v>0.81940429999999997</v>
      </c>
      <c r="AB5074">
        <v>25</v>
      </c>
      <c r="AC5074">
        <v>242.7062</v>
      </c>
      <c r="AD5074">
        <v>0.161915</v>
      </c>
      <c r="AE5074">
        <v>15.28445</v>
      </c>
      <c r="AF5074">
        <v>-139.47364189267799</v>
      </c>
      <c r="AG5074">
        <v>0.161915</v>
      </c>
      <c r="AH5074">
        <v>199.21587465494699</v>
      </c>
      <c r="AI5074">
        <v>89.961852199665898</v>
      </c>
      <c r="AJ5074">
        <v>124.996368738743</v>
      </c>
      <c r="AK5074">
        <v>243.186939850416</v>
      </c>
    </row>
    <row r="5075" spans="1:37" x14ac:dyDescent="0.2">
      <c r="A5075" t="str">
        <f>"20200111155658710"</f>
        <v>20200111155658710</v>
      </c>
      <c r="B5075" t="str">
        <f>"1578729418698011"</f>
        <v>1578729418698011</v>
      </c>
      <c r="C5075" t="s">
        <v>37</v>
      </c>
      <c r="D5075">
        <v>4.7988299999999997</v>
      </c>
      <c r="E5075">
        <v>0.37189990000000001</v>
      </c>
      <c r="F5075" t="s">
        <v>84</v>
      </c>
      <c r="G5075">
        <v>-279.68</v>
      </c>
      <c r="H5075">
        <v>0.52909119999999998</v>
      </c>
      <c r="I5075">
        <v>28.12743</v>
      </c>
      <c r="J5075">
        <v>-411.09399999999999</v>
      </c>
      <c r="K5075">
        <v>1.1159289999999999</v>
      </c>
      <c r="L5075">
        <v>23.08569</v>
      </c>
      <c r="M5075">
        <v>0.85802520000000004</v>
      </c>
      <c r="N5075">
        <v>0</v>
      </c>
      <c r="O5075">
        <v>-0.51334970000000002</v>
      </c>
      <c r="P5075">
        <v>0.96044249999999998</v>
      </c>
      <c r="Q5075">
        <v>-2.6898149999999999E-2</v>
      </c>
      <c r="R5075">
        <v>-0.27717649999999999</v>
      </c>
      <c r="S5075">
        <v>3.1657709999999999</v>
      </c>
      <c r="T5075">
        <v>-1.412499E-2</v>
      </c>
      <c r="U5075">
        <v>0.11996459999999901</v>
      </c>
      <c r="V5075">
        <v>-0.25485239999999998</v>
      </c>
      <c r="W5075">
        <v>-1.812602E-2</v>
      </c>
      <c r="X5075">
        <v>0.96680999999999995</v>
      </c>
      <c r="Y5075">
        <v>-0.54553450000000003</v>
      </c>
      <c r="Z5075">
        <v>3.4246620000000002E-3</v>
      </c>
      <c r="AA5075">
        <v>0.83808139999999998</v>
      </c>
      <c r="AB5075">
        <v>25</v>
      </c>
      <c r="AC5075">
        <v>131.41399999999999</v>
      </c>
      <c r="AD5075">
        <v>-0.58683779999999997</v>
      </c>
      <c r="AE5075">
        <v>5.0417399999999999</v>
      </c>
      <c r="AF5075">
        <v>-71.795355881049602</v>
      </c>
      <c r="AG5075">
        <v>-0.58683779999999997</v>
      </c>
      <c r="AH5075">
        <v>110.18074548443199</v>
      </c>
      <c r="AI5075">
        <v>90.255673348582803</v>
      </c>
      <c r="AJ5075">
        <v>123.088843131481</v>
      </c>
      <c r="AK5075">
        <v>131.509369172676</v>
      </c>
    </row>
    <row r="5076" spans="1:37" x14ac:dyDescent="0.2">
      <c r="A5076" t="str">
        <f>"20200111155658726"</f>
        <v>20200111155658726</v>
      </c>
      <c r="B5076" t="str">
        <f>"1578729418718506"</f>
        <v>1578729418718506</v>
      </c>
      <c r="C5076" t="s">
        <v>37</v>
      </c>
      <c r="D5076">
        <v>4.6908789999999998</v>
      </c>
      <c r="E5076">
        <v>0.369295599999999</v>
      </c>
      <c r="F5076" t="s">
        <v>85</v>
      </c>
      <c r="G5076">
        <v>-274.49669999999998</v>
      </c>
      <c r="H5076">
        <v>0.899812099999999</v>
      </c>
      <c r="I5076">
        <v>29.43759</v>
      </c>
      <c r="J5076">
        <v>-410.93779999999998</v>
      </c>
      <c r="K5076">
        <v>1.115926</v>
      </c>
      <c r="L5076">
        <v>23.00714</v>
      </c>
      <c r="M5076">
        <v>0.86417440000000001</v>
      </c>
      <c r="N5076">
        <v>0</v>
      </c>
      <c r="O5076">
        <v>-0.50292919999999997</v>
      </c>
      <c r="P5076">
        <v>0.96330300000000002</v>
      </c>
      <c r="Q5076">
        <v>-2.6861619999999999E-2</v>
      </c>
      <c r="R5076">
        <v>-0.26706990000000003</v>
      </c>
      <c r="S5076">
        <v>3.16589399999999</v>
      </c>
      <c r="T5076">
        <v>-5.0088169999999996E-3</v>
      </c>
      <c r="U5076">
        <v>0.14721679999999901</v>
      </c>
      <c r="V5076">
        <v>-0.2533147</v>
      </c>
      <c r="W5076">
        <v>-1.8031269999999999E-2</v>
      </c>
      <c r="X5076">
        <v>0.96721590000000002</v>
      </c>
      <c r="Y5076">
        <v>-0.54259840000000004</v>
      </c>
      <c r="Z5076">
        <v>1.197741E-3</v>
      </c>
      <c r="AA5076">
        <v>0.83999140000000005</v>
      </c>
      <c r="AB5076">
        <v>25</v>
      </c>
      <c r="AC5076">
        <v>136.44110000000001</v>
      </c>
      <c r="AD5076">
        <v>-0.2161139</v>
      </c>
      <c r="AE5076">
        <v>6.4304500000000004</v>
      </c>
      <c r="AF5076">
        <v>-74.186881818235904</v>
      </c>
      <c r="AG5076">
        <v>-0.2161139</v>
      </c>
      <c r="AH5076">
        <v>114.68974501852701</v>
      </c>
      <c r="AI5076">
        <v>90.090652346080006</v>
      </c>
      <c r="AJ5076">
        <v>122.896745152739</v>
      </c>
      <c r="AK5076">
        <v>136.59237808730501</v>
      </c>
    </row>
    <row r="5077" spans="1:37" x14ac:dyDescent="0.2">
      <c r="A5077" t="str">
        <f>"20200111155658744"</f>
        <v>20200111155658744</v>
      </c>
      <c r="B5077" t="str">
        <f>"1578729418738026"</f>
        <v>1578729418738026</v>
      </c>
      <c r="C5077" t="s">
        <v>37</v>
      </c>
      <c r="D5077">
        <v>4.6467339999999897</v>
      </c>
      <c r="E5077">
        <v>0.36916789999999999</v>
      </c>
      <c r="F5077" t="s">
        <v>86</v>
      </c>
      <c r="G5077">
        <v>-168.50110000000001</v>
      </c>
      <c r="H5077">
        <v>3.3833389999999999</v>
      </c>
      <c r="I5077">
        <v>38.205089999999998</v>
      </c>
      <c r="J5077">
        <v>-410.75119999999998</v>
      </c>
      <c r="K5077">
        <v>1.115915</v>
      </c>
      <c r="L5077">
        <v>22.91656</v>
      </c>
      <c r="M5077">
        <v>0.87131389999999997</v>
      </c>
      <c r="N5077">
        <v>0</v>
      </c>
      <c r="O5077">
        <v>-0.490456</v>
      </c>
      <c r="P5077">
        <v>0.96608490000000002</v>
      </c>
      <c r="Q5077">
        <v>-2.7193289999999998E-2</v>
      </c>
      <c r="R5077">
        <v>-0.25678889999999999</v>
      </c>
      <c r="S5077">
        <v>3.1701349999999899</v>
      </c>
      <c r="T5077">
        <v>2.9649020000000002E-2</v>
      </c>
      <c r="U5077">
        <v>0.1987305</v>
      </c>
      <c r="V5077">
        <v>-0.2497077</v>
      </c>
      <c r="W5077">
        <v>-1.8236800000000001E-2</v>
      </c>
      <c r="X5077">
        <v>0.9681495</v>
      </c>
      <c r="Y5077">
        <v>-0.54403749999999995</v>
      </c>
      <c r="Z5077">
        <v>-6.9848100000000002E-3</v>
      </c>
      <c r="AA5077">
        <v>0.83903179999999999</v>
      </c>
      <c r="AB5077">
        <v>25</v>
      </c>
      <c r="AC5077">
        <v>242.2501</v>
      </c>
      <c r="AD5077">
        <v>2.2674240000000001</v>
      </c>
      <c r="AE5077">
        <v>15.28853</v>
      </c>
      <c r="AF5077">
        <v>-132.140104539687</v>
      </c>
      <c r="AG5077">
        <v>2.2674240000000001</v>
      </c>
      <c r="AH5077">
        <v>203.58674267819401</v>
      </c>
      <c r="AI5077">
        <v>89.464753912726295</v>
      </c>
      <c r="AJ5077">
        <v>122.986008239328</v>
      </c>
      <c r="AK5077">
        <v>242.721466363551</v>
      </c>
    </row>
    <row r="5078" spans="1:37" x14ac:dyDescent="0.2">
      <c r="A5078" t="str">
        <f>"20200111155658756"</f>
        <v>20200111155658756</v>
      </c>
      <c r="B5078" t="str">
        <f>"1578729418748762"</f>
        <v>1578729418748762</v>
      </c>
      <c r="C5078" t="s">
        <v>37</v>
      </c>
      <c r="D5078">
        <v>4.6674280000000001</v>
      </c>
      <c r="E5078">
        <v>0.36902249999999998</v>
      </c>
      <c r="F5078" t="s">
        <v>86</v>
      </c>
      <c r="G5078">
        <v>-168.50129999999999</v>
      </c>
      <c r="H5078">
        <v>3.8022960000000001</v>
      </c>
      <c r="I5078">
        <v>40.734650000000002</v>
      </c>
      <c r="J5078">
        <v>-410.64170000000001</v>
      </c>
      <c r="K5078">
        <v>1.115907</v>
      </c>
      <c r="L5078">
        <v>22.864650000000001</v>
      </c>
      <c r="M5078">
        <v>0.87540899999999999</v>
      </c>
      <c r="N5078">
        <v>0</v>
      </c>
      <c r="O5078">
        <v>-0.48310839999999999</v>
      </c>
      <c r="P5078">
        <v>0.96764740000000005</v>
      </c>
      <c r="Q5078">
        <v>-2.794665E-2</v>
      </c>
      <c r="R5078">
        <v>-0.25075360000000002</v>
      </c>
      <c r="S5078">
        <v>3.1682429999999999</v>
      </c>
      <c r="T5078">
        <v>3.5133600000000001E-2</v>
      </c>
      <c r="U5078">
        <v>0.23303219999999999</v>
      </c>
      <c r="V5078">
        <v>-0.24757660000000001</v>
      </c>
      <c r="W5078">
        <v>-1.891578E-2</v>
      </c>
      <c r="X5078">
        <v>0.96868369999999904</v>
      </c>
      <c r="Y5078">
        <v>-0.54603279999999998</v>
      </c>
      <c r="Z5078">
        <v>-8.2203339999999993E-3</v>
      </c>
      <c r="AA5078">
        <v>0.83772340000000001</v>
      </c>
      <c r="AB5078">
        <v>25</v>
      </c>
      <c r="AC5078">
        <v>242.1404</v>
      </c>
      <c r="AD5078">
        <v>2.6863890000000001</v>
      </c>
      <c r="AE5078">
        <v>17.87</v>
      </c>
      <c r="AF5078">
        <v>-132.624984176315</v>
      </c>
      <c r="AG5078">
        <v>2.6863890000000001</v>
      </c>
      <c r="AH5078">
        <v>203.340829797146</v>
      </c>
      <c r="AI5078">
        <v>89.366013166170205</v>
      </c>
      <c r="AJ5078">
        <v>123.113595462747</v>
      </c>
      <c r="AK5078">
        <v>242.78405255745099</v>
      </c>
    </row>
    <row r="5079" spans="1:37" x14ac:dyDescent="0.2">
      <c r="A5079" t="str">
        <f>"20200111155658769"</f>
        <v>20200111155658769</v>
      </c>
      <c r="B5079" t="str">
        <f>"1578729418758522"</f>
        <v>1578729418758522</v>
      </c>
      <c r="C5079" t="s">
        <v>37</v>
      </c>
      <c r="D5079">
        <v>4.6884730000000001</v>
      </c>
      <c r="E5079">
        <v>0.36895840000000002</v>
      </c>
      <c r="F5079" t="s">
        <v>52</v>
      </c>
      <c r="G5079">
        <v>-215.11940000000001</v>
      </c>
      <c r="H5079">
        <v>3.1968239999999999</v>
      </c>
      <c r="I5079">
        <v>38.53801</v>
      </c>
      <c r="J5079">
        <v>-410.5258</v>
      </c>
      <c r="K5079">
        <v>1.1158939999999999</v>
      </c>
      <c r="L5079">
        <v>22.81155</v>
      </c>
      <c r="M5079">
        <v>0.87965210000000005</v>
      </c>
      <c r="N5079">
        <v>0</v>
      </c>
      <c r="O5079">
        <v>-0.475338599999999</v>
      </c>
      <c r="P5079">
        <v>0.96926520000000005</v>
      </c>
      <c r="Q5079">
        <v>-2.866813E-2</v>
      </c>
      <c r="R5079">
        <v>-0.244341799999999</v>
      </c>
      <c r="S5079">
        <v>3.1670529999999899</v>
      </c>
      <c r="T5079">
        <v>3.3706670000000001E-2</v>
      </c>
      <c r="U5079">
        <v>0.25387569999999998</v>
      </c>
      <c r="V5079">
        <v>-0.24538489999999999</v>
      </c>
      <c r="W5079">
        <v>-1.9560250000000001E-2</v>
      </c>
      <c r="X5079">
        <v>0.96922839999999999</v>
      </c>
      <c r="Y5079">
        <v>-0.54412340000000003</v>
      </c>
      <c r="Z5079">
        <v>-7.8048429999999997E-3</v>
      </c>
      <c r="AA5079">
        <v>0.83896890000000002</v>
      </c>
      <c r="AB5079">
        <v>25</v>
      </c>
      <c r="AC5079">
        <v>195.40639999999999</v>
      </c>
      <c r="AD5079">
        <v>2.0809299999999999</v>
      </c>
      <c r="AE5079">
        <v>15.726459999999999</v>
      </c>
      <c r="AF5079">
        <v>-106.720157525448</v>
      </c>
      <c r="AG5079">
        <v>2.0809299999999999</v>
      </c>
      <c r="AH5079">
        <v>164.41755261237901</v>
      </c>
      <c r="AI5079">
        <v>89.391764203097097</v>
      </c>
      <c r="AJ5079">
        <v>122.98679906553799</v>
      </c>
      <c r="AK5079">
        <v>196.02717642961099</v>
      </c>
    </row>
    <row r="5080" spans="1:37" x14ac:dyDescent="0.2">
      <c r="A5080" t="str">
        <f>"20200111155658786"</f>
        <v>20200111155658786</v>
      </c>
      <c r="B5080" t="str">
        <f>"1578729418778041"</f>
        <v>1578729418778041</v>
      </c>
      <c r="C5080" t="s">
        <v>37</v>
      </c>
      <c r="D5080">
        <v>4.6513029999999898</v>
      </c>
      <c r="E5080">
        <v>0.36956129999999998</v>
      </c>
      <c r="F5080" t="s">
        <v>87</v>
      </c>
      <c r="G5080">
        <v>-275.85579999999999</v>
      </c>
      <c r="H5080">
        <v>2.5955169999999899</v>
      </c>
      <c r="I5080">
        <v>34.514429999999997</v>
      </c>
      <c r="J5080">
        <v>-410.34820000000002</v>
      </c>
      <c r="K5080">
        <v>1.1158709999999901</v>
      </c>
      <c r="L5080">
        <v>22.732119999999998</v>
      </c>
      <c r="M5080">
        <v>0.8860017</v>
      </c>
      <c r="N5080">
        <v>0</v>
      </c>
      <c r="O5080">
        <v>-0.46339550000000002</v>
      </c>
      <c r="P5080">
        <v>0.97135289999999996</v>
      </c>
      <c r="Q5080">
        <v>-2.9709960000000001E-2</v>
      </c>
      <c r="R5080">
        <v>-0.2357774</v>
      </c>
      <c r="S5080">
        <v>3.165527</v>
      </c>
      <c r="T5080">
        <v>3.4779789999999998E-2</v>
      </c>
      <c r="U5080">
        <v>0.27508539999999998</v>
      </c>
      <c r="V5080">
        <v>-0.24078730000000001</v>
      </c>
      <c r="W5080">
        <v>-2.044499E-2</v>
      </c>
      <c r="X5080">
        <v>0.97036250000000002</v>
      </c>
      <c r="Y5080">
        <v>-0.53837309999999905</v>
      </c>
      <c r="Z5080">
        <v>-7.9064900000000004E-3</v>
      </c>
      <c r="AA5080">
        <v>0.84266949999999996</v>
      </c>
      <c r="AB5080">
        <v>25</v>
      </c>
      <c r="AC5080">
        <v>134.4924</v>
      </c>
      <c r="AD5080">
        <v>1.47964599999999</v>
      </c>
      <c r="AE5080">
        <v>11.782309999999899</v>
      </c>
      <c r="AF5080">
        <v>-72.763244321058295</v>
      </c>
      <c r="AG5080">
        <v>1.47964599999999</v>
      </c>
      <c r="AH5080">
        <v>113.702070547549</v>
      </c>
      <c r="AI5080">
        <v>89.372003401638807</v>
      </c>
      <c r="AJ5080">
        <v>122.617069210395</v>
      </c>
      <c r="AK5080">
        <v>134.99940712170201</v>
      </c>
    </row>
    <row r="5081" spans="1:37" x14ac:dyDescent="0.2">
      <c r="A5081" t="str">
        <f>"20200111155658800"</f>
        <v>20200111155658800</v>
      </c>
      <c r="B5081" t="str">
        <f>"1578729418788778"</f>
        <v>1578729418788778</v>
      </c>
      <c r="C5081" t="s">
        <v>37</v>
      </c>
      <c r="D5081">
        <v>4.7661720000000001</v>
      </c>
      <c r="E5081">
        <v>0.37015609999999999</v>
      </c>
      <c r="F5081" t="s">
        <v>87</v>
      </c>
      <c r="G5081">
        <v>-281.69850000000002</v>
      </c>
      <c r="H5081">
        <v>2.60757799999999</v>
      </c>
      <c r="I5081">
        <v>34.857170000000004</v>
      </c>
      <c r="J5081">
        <v>-410.21850000000001</v>
      </c>
      <c r="K5081">
        <v>1.1158509999999999</v>
      </c>
      <c r="L5081">
        <v>22.675629999999899</v>
      </c>
      <c r="M5081">
        <v>0.89051979999999997</v>
      </c>
      <c r="N5081">
        <v>0</v>
      </c>
      <c r="O5081">
        <v>-0.45465299999999997</v>
      </c>
      <c r="P5081">
        <v>0.97302289999999902</v>
      </c>
      <c r="Q5081">
        <v>-3.0199730000000001E-2</v>
      </c>
      <c r="R5081">
        <v>-0.22872409999999899</v>
      </c>
      <c r="S5081">
        <v>3.161896</v>
      </c>
      <c r="T5081">
        <v>3.666258E-2</v>
      </c>
      <c r="U5081">
        <v>0.2980042</v>
      </c>
      <c r="V5081">
        <v>-0.23825859999999999</v>
      </c>
      <c r="W5081">
        <v>-2.084565E-2</v>
      </c>
      <c r="X5081">
        <v>0.97097800000000001</v>
      </c>
      <c r="Y5081">
        <v>-0.53621300000000005</v>
      </c>
      <c r="Z5081">
        <v>-8.2385689999999994E-3</v>
      </c>
      <c r="AA5081">
        <v>0.84404249999999903</v>
      </c>
      <c r="AB5081">
        <v>25</v>
      </c>
      <c r="AC5081">
        <v>128.51999999999899</v>
      </c>
      <c r="AD5081">
        <v>1.49172699999999</v>
      </c>
      <c r="AE5081">
        <v>12.18154</v>
      </c>
      <c r="AF5081">
        <v>-69.279841841267597</v>
      </c>
      <c r="AG5081">
        <v>1.49172699999999</v>
      </c>
      <c r="AH5081">
        <v>108.91112993416399</v>
      </c>
      <c r="AI5081">
        <v>89.337878321774994</v>
      </c>
      <c r="AJ5081">
        <v>122.460990965991</v>
      </c>
      <c r="AK5081">
        <v>129.08739659056599</v>
      </c>
    </row>
    <row r="5082" spans="1:37" x14ac:dyDescent="0.2">
      <c r="A5082" t="str">
        <f>"20200111155658812"</f>
        <v>20200111155658812</v>
      </c>
      <c r="B5082" t="str">
        <f>"1578729418808298"</f>
        <v>1578729418808298</v>
      </c>
      <c r="C5082" t="s">
        <v>37</v>
      </c>
      <c r="D5082">
        <v>4.6953990000000001</v>
      </c>
      <c r="E5082">
        <v>0.37140479999999998</v>
      </c>
      <c r="F5082" t="s">
        <v>87</v>
      </c>
      <c r="G5082">
        <v>-281.69850000000002</v>
      </c>
      <c r="H5082">
        <v>2.5571060000000001</v>
      </c>
      <c r="I5082">
        <v>35.544759999999997</v>
      </c>
      <c r="J5082">
        <v>-410.09519999999998</v>
      </c>
      <c r="K5082">
        <v>1.115834</v>
      </c>
      <c r="L5082">
        <v>22.623899999999999</v>
      </c>
      <c r="M5082">
        <v>0.8947119</v>
      </c>
      <c r="N5082">
        <v>0</v>
      </c>
      <c r="O5082">
        <v>-0.44634669999999999</v>
      </c>
      <c r="P5082">
        <v>0.97444349999999902</v>
      </c>
      <c r="Q5082">
        <v>-3.0477299999999902E-2</v>
      </c>
      <c r="R5082">
        <v>-0.2225557</v>
      </c>
      <c r="S5082">
        <v>3.15863</v>
      </c>
      <c r="T5082">
        <v>3.5421729999999998E-2</v>
      </c>
      <c r="U5082">
        <v>0.31628420000000002</v>
      </c>
      <c r="V5082">
        <v>-0.2353652</v>
      </c>
      <c r="W5082">
        <v>-2.1023710000000001E-2</v>
      </c>
      <c r="X5082">
        <v>0.97167959999999998</v>
      </c>
      <c r="Y5082">
        <v>-0.53328100000000001</v>
      </c>
      <c r="Z5082">
        <v>-7.8655959999999903E-3</v>
      </c>
      <c r="AA5082">
        <v>0.84590149999999997</v>
      </c>
      <c r="AB5082">
        <v>25</v>
      </c>
      <c r="AC5082">
        <v>128.39669999999899</v>
      </c>
      <c r="AD5082">
        <v>1.4412720000000001</v>
      </c>
      <c r="AE5082">
        <v>12.9208599999999</v>
      </c>
      <c r="AF5082">
        <v>-68.870434909820901</v>
      </c>
      <c r="AG5082">
        <v>1.4412720000000001</v>
      </c>
      <c r="AH5082">
        <v>109.111734642223</v>
      </c>
      <c r="AI5082">
        <v>89.360025207694093</v>
      </c>
      <c r="AJ5082">
        <v>122.259785792713</v>
      </c>
      <c r="AK5082">
        <v>129.03714467656499</v>
      </c>
    </row>
    <row r="5083" spans="1:37" x14ac:dyDescent="0.2">
      <c r="A5083" t="str">
        <f>"20200111155658824"</f>
        <v>20200111155658824</v>
      </c>
      <c r="B5083" t="str">
        <f>"1578729418818058"</f>
        <v>1578729418818058</v>
      </c>
      <c r="C5083" t="s">
        <v>37</v>
      </c>
      <c r="D5083">
        <v>4.7126700000000001</v>
      </c>
      <c r="E5083">
        <v>0.37216369999999999</v>
      </c>
      <c r="F5083" t="s">
        <v>87</v>
      </c>
      <c r="G5083">
        <v>-281.69850000000002</v>
      </c>
      <c r="H5083">
        <v>2.4602759999999999</v>
      </c>
      <c r="I5083">
        <v>35.919469999999997</v>
      </c>
      <c r="J5083">
        <v>-409.97129999999999</v>
      </c>
      <c r="K5083">
        <v>1.1158170000000001</v>
      </c>
      <c r="L5083">
        <v>22.573</v>
      </c>
      <c r="M5083">
        <v>0.89883740000000001</v>
      </c>
      <c r="N5083">
        <v>0</v>
      </c>
      <c r="O5083">
        <v>-0.43797950000000002</v>
      </c>
      <c r="P5083">
        <v>0.97584249999999995</v>
      </c>
      <c r="Q5083">
        <v>-3.0839930000000002E-2</v>
      </c>
      <c r="R5083">
        <v>-0.216287799999999</v>
      </c>
      <c r="S5083">
        <v>3.1542970000000001</v>
      </c>
      <c r="T5083">
        <v>3.3028719999999998E-2</v>
      </c>
      <c r="U5083">
        <v>0.32662959999999902</v>
      </c>
      <c r="V5083">
        <v>-0.2325324</v>
      </c>
      <c r="W5083">
        <v>-2.128907E-2</v>
      </c>
      <c r="X5083">
        <v>0.97235559999999999</v>
      </c>
      <c r="Y5083">
        <v>-0.52824859999999996</v>
      </c>
      <c r="Z5083">
        <v>-7.2369519999999996E-3</v>
      </c>
      <c r="AA5083">
        <v>0.84905889999999995</v>
      </c>
      <c r="AB5083">
        <v>25</v>
      </c>
      <c r="AC5083">
        <v>128.27279999999899</v>
      </c>
      <c r="AD5083">
        <v>1.3444589999999901</v>
      </c>
      <c r="AE5083">
        <v>13.34647</v>
      </c>
      <c r="AF5083">
        <v>-68.178798551073299</v>
      </c>
      <c r="AG5083">
        <v>1.3444589999999901</v>
      </c>
      <c r="AH5083">
        <v>109.453535158451</v>
      </c>
      <c r="AI5083">
        <v>89.402649952811203</v>
      </c>
      <c r="AJ5083">
        <v>121.918850692364</v>
      </c>
      <c r="AK5083">
        <v>128.95825875279499</v>
      </c>
    </row>
    <row r="5084" spans="1:37" x14ac:dyDescent="0.2">
      <c r="A5084" t="str">
        <f>"20200111155658836"</f>
        <v>20200111155658836</v>
      </c>
      <c r="B5084" t="str">
        <f>"1578729418828794"</f>
        <v>1578729418828794</v>
      </c>
      <c r="C5084" t="s">
        <v>37</v>
      </c>
      <c r="D5084">
        <v>4.7930129999999904</v>
      </c>
      <c r="E5084">
        <v>0.37216369999999999</v>
      </c>
      <c r="F5084" t="s">
        <v>87</v>
      </c>
      <c r="G5084">
        <v>-281.69850000000002</v>
      </c>
      <c r="H5084">
        <v>2.411832</v>
      </c>
      <c r="I5084">
        <v>36.449359999999999</v>
      </c>
      <c r="J5084">
        <v>-409.8494</v>
      </c>
      <c r="K5084">
        <v>1.1157950000000001</v>
      </c>
      <c r="L5084">
        <v>22.523989999999898</v>
      </c>
      <c r="M5084">
        <v>0.90280720000000003</v>
      </c>
      <c r="N5084">
        <v>0</v>
      </c>
      <c r="O5084">
        <v>-0.42973739999999999</v>
      </c>
      <c r="P5084">
        <v>0.97711499999999996</v>
      </c>
      <c r="Q5084">
        <v>-3.090321E-2</v>
      </c>
      <c r="R5084">
        <v>-0.210456799999999</v>
      </c>
      <c r="S5084">
        <v>3.1508180000000001</v>
      </c>
      <c r="T5084">
        <v>3.1834599999999998E-2</v>
      </c>
      <c r="U5084">
        <v>0.34085079999999901</v>
      </c>
      <c r="V5084">
        <v>-0.22944210000000001</v>
      </c>
      <c r="W5084">
        <v>-2.1247329999999998E-2</v>
      </c>
      <c r="X5084">
        <v>0.97309040000000002</v>
      </c>
      <c r="Y5084">
        <v>-0.52436450000000001</v>
      </c>
      <c r="Z5084">
        <v>-6.885838E-3</v>
      </c>
      <c r="AA5084">
        <v>0.8514661</v>
      </c>
      <c r="AB5084">
        <v>25</v>
      </c>
      <c r="AC5084">
        <v>128.15089999999901</v>
      </c>
      <c r="AD5084">
        <v>1.2960370000000001</v>
      </c>
      <c r="AE5084">
        <v>13.925369999999999</v>
      </c>
      <c r="AF5084">
        <v>-67.645282862130003</v>
      </c>
      <c r="AG5084">
        <v>1.2960370000000001</v>
      </c>
      <c r="AH5084">
        <v>109.714747834823</v>
      </c>
      <c r="AI5084">
        <v>89.423899016463693</v>
      </c>
      <c r="AJ5084">
        <v>121.656155847861</v>
      </c>
      <c r="AK5084">
        <v>128.898758325523</v>
      </c>
    </row>
    <row r="5085" spans="1:37" x14ac:dyDescent="0.2">
      <c r="A5085" t="str">
        <f>"20200111155658879"</f>
        <v>20200111155658879</v>
      </c>
      <c r="B5085" t="str">
        <f>"1578729418867833"</f>
        <v>1578729418867833</v>
      </c>
      <c r="C5085" t="s">
        <v>37</v>
      </c>
      <c r="D5085">
        <v>5.0847259999999999</v>
      </c>
      <c r="E5085">
        <v>0.38362729999999901</v>
      </c>
      <c r="F5085" t="s">
        <v>87</v>
      </c>
      <c r="G5085">
        <v>-281.69850000000002</v>
      </c>
      <c r="H5085">
        <v>2.439289</v>
      </c>
      <c r="I5085">
        <v>37.158909999999999</v>
      </c>
      <c r="J5085">
        <v>-409.4348</v>
      </c>
      <c r="K5085">
        <v>1.115731</v>
      </c>
      <c r="L5085">
        <v>22.367739999999898</v>
      </c>
      <c r="M5085">
        <v>0.91564310000000004</v>
      </c>
      <c r="N5085">
        <v>0</v>
      </c>
      <c r="O5085">
        <v>-0.40166259999999998</v>
      </c>
      <c r="P5085">
        <v>0.98034789999999905</v>
      </c>
      <c r="Q5085">
        <v>-3.102794E-2</v>
      </c>
      <c r="R5085">
        <v>-0.19482160000000001</v>
      </c>
      <c r="S5085">
        <v>3.1487430000000001</v>
      </c>
      <c r="T5085">
        <v>3.2519099999999898E-2</v>
      </c>
      <c r="U5085">
        <v>0.35958859999999998</v>
      </c>
      <c r="V5085">
        <v>-0.21492739999999999</v>
      </c>
      <c r="W5085">
        <v>-2.0898150000000001E-2</v>
      </c>
      <c r="X5085">
        <v>0.97640640000000001</v>
      </c>
      <c r="Y5085">
        <v>-0.50297979999999998</v>
      </c>
      <c r="Z5085">
        <v>-6.65700699999999E-3</v>
      </c>
      <c r="AA5085">
        <v>0.8642725</v>
      </c>
      <c r="AB5085">
        <v>24</v>
      </c>
      <c r="AC5085">
        <v>127.73629999999901</v>
      </c>
      <c r="AD5085">
        <v>1.323558</v>
      </c>
      <c r="AE5085">
        <v>14.791169999999999</v>
      </c>
      <c r="AF5085">
        <v>-64.852046628112603</v>
      </c>
      <c r="AG5085">
        <v>1.323558</v>
      </c>
      <c r="AH5085">
        <v>111.022745601709</v>
      </c>
      <c r="AI5085">
        <v>89.410220463145393</v>
      </c>
      <c r="AJ5085">
        <v>120.290609273838</v>
      </c>
      <c r="AK5085">
        <v>128.58300742546101</v>
      </c>
    </row>
    <row r="5086" spans="1:37" x14ac:dyDescent="0.2">
      <c r="A5086" t="str">
        <f>"20200111155658891"</f>
        <v>20200111155658891</v>
      </c>
      <c r="B5086" t="str">
        <f>"1578729418888330"</f>
        <v>1578729418888330</v>
      </c>
      <c r="C5086" t="s">
        <v>37</v>
      </c>
      <c r="D5086">
        <v>4.988372</v>
      </c>
      <c r="E5086">
        <v>0.44258130000000001</v>
      </c>
      <c r="F5086" t="s">
        <v>87</v>
      </c>
      <c r="G5086">
        <v>-280.86250000000001</v>
      </c>
      <c r="H5086">
        <v>1.003514</v>
      </c>
      <c r="I5086">
        <v>35.614559999999997</v>
      </c>
      <c r="J5086">
        <v>-409.30869999999999</v>
      </c>
      <c r="K5086">
        <v>1.11571</v>
      </c>
      <c r="L5086">
        <v>22.32349</v>
      </c>
      <c r="M5086">
        <v>0.91934499999999997</v>
      </c>
      <c r="N5086">
        <v>0</v>
      </c>
      <c r="O5086">
        <v>-0.3931154</v>
      </c>
      <c r="P5086">
        <v>0.98134299999999997</v>
      </c>
      <c r="Q5086">
        <v>-3.0894999999999999E-2</v>
      </c>
      <c r="R5086">
        <v>-0.18976609999999999</v>
      </c>
      <c r="S5086">
        <v>3.12402299999999</v>
      </c>
      <c r="T5086">
        <v>-2.7265549999999999E-3</v>
      </c>
      <c r="U5086">
        <v>0.32186890000000001</v>
      </c>
      <c r="V5086">
        <v>-0.2108719</v>
      </c>
      <c r="W5086">
        <v>-2.063448E-2</v>
      </c>
      <c r="X5086">
        <v>0.9772959</v>
      </c>
      <c r="Y5086">
        <v>-0.48533100000000001</v>
      </c>
      <c r="Z5086">
        <v>5.4803529999999999E-4</v>
      </c>
      <c r="AA5086">
        <v>0.8743303</v>
      </c>
      <c r="AB5086">
        <v>24</v>
      </c>
      <c r="AC5086">
        <v>128.44619999999901</v>
      </c>
      <c r="AD5086">
        <v>-0.112195999999999</v>
      </c>
      <c r="AE5086">
        <v>13.2910699999999</v>
      </c>
      <c r="AF5086">
        <v>-62.7215235216525</v>
      </c>
      <c r="AG5086">
        <v>-0.112195999999999</v>
      </c>
      <c r="AH5086">
        <v>112.876322350842</v>
      </c>
      <c r="AI5086">
        <v>90.049781304945199</v>
      </c>
      <c r="AJ5086">
        <v>119.059435148304</v>
      </c>
      <c r="AK5086">
        <v>129.131972215524</v>
      </c>
    </row>
    <row r="5087" spans="1:37" x14ac:dyDescent="0.2">
      <c r="A5087" t="str">
        <f>"20200111155658910"</f>
        <v>20200111155658910</v>
      </c>
      <c r="B5087" t="str">
        <f>"1578729418898090"</f>
        <v>1578729418898090</v>
      </c>
      <c r="C5087" t="s">
        <v>37</v>
      </c>
      <c r="D5087">
        <v>5.0435179999999997</v>
      </c>
      <c r="E5087">
        <v>0.44331579999999898</v>
      </c>
      <c r="F5087" t="s">
        <v>38</v>
      </c>
      <c r="G5087">
        <v>-390.71339999999998</v>
      </c>
      <c r="H5087" s="1">
        <v>-4.7935620000000004E-6</v>
      </c>
      <c r="I5087">
        <v>21.624559999999999</v>
      </c>
      <c r="J5087">
        <v>-409.12139999999999</v>
      </c>
      <c r="K5087">
        <v>1.11568</v>
      </c>
      <c r="L5087">
        <v>22.25967</v>
      </c>
      <c r="M5087">
        <v>0.92468109999999903</v>
      </c>
      <c r="N5087">
        <v>0</v>
      </c>
      <c r="O5087">
        <v>-0.38039509999999899</v>
      </c>
      <c r="P5087">
        <v>0.98230640000000002</v>
      </c>
      <c r="Q5087">
        <v>-3.1413589999999998E-2</v>
      </c>
      <c r="R5087">
        <v>-0.18462819999999999</v>
      </c>
      <c r="S5087">
        <v>3.0293269999999999</v>
      </c>
      <c r="T5087">
        <v>-0.1817588</v>
      </c>
      <c r="U5087">
        <v>-0.11386110000000001</v>
      </c>
      <c r="V5087">
        <v>-0.20248339999999901</v>
      </c>
      <c r="W5087">
        <v>-2.088976E-2</v>
      </c>
      <c r="X5087">
        <v>0.97906289999999996</v>
      </c>
      <c r="Y5087">
        <v>-0.34417170000000002</v>
      </c>
      <c r="Z5087">
        <v>3.262408E-2</v>
      </c>
      <c r="AA5087">
        <v>0.93833979999999995</v>
      </c>
      <c r="AB5087">
        <v>24</v>
      </c>
      <c r="AC5087">
        <v>18.408000000000001</v>
      </c>
      <c r="AD5087">
        <v>-1.115684793562</v>
      </c>
      <c r="AE5087">
        <v>-0.63511000000000095</v>
      </c>
      <c r="AF5087">
        <v>-6.3924329935132196</v>
      </c>
      <c r="AG5087">
        <v>-1.115684793562</v>
      </c>
      <c r="AH5087">
        <v>17.202289337772999</v>
      </c>
      <c r="AI5087">
        <v>93.479008892921101</v>
      </c>
      <c r="AJ5087">
        <v>110.38524834389101</v>
      </c>
      <c r="AK5087">
        <v>18.385502728933002</v>
      </c>
    </row>
    <row r="5088" spans="1:37" x14ac:dyDescent="0.2">
      <c r="A5088" t="str">
        <f>"20200111155658925"</f>
        <v>20200111155658925</v>
      </c>
      <c r="B5088" t="str">
        <f>"1578729418918586"</f>
        <v>1578729418918586</v>
      </c>
      <c r="C5088" t="s">
        <v>37</v>
      </c>
      <c r="D5088">
        <v>4.9836559999999999</v>
      </c>
      <c r="E5088">
        <v>0.44479540000000001</v>
      </c>
      <c r="F5088" t="s">
        <v>38</v>
      </c>
      <c r="G5088">
        <v>-391.04070000000002</v>
      </c>
      <c r="H5088" s="1">
        <v>-4.6710050000000002E-6</v>
      </c>
      <c r="I5088">
        <v>21.642240000000001</v>
      </c>
      <c r="J5088">
        <v>-408.9742</v>
      </c>
      <c r="K5088">
        <v>1.1156539999999999</v>
      </c>
      <c r="L5088">
        <v>22.211489999999898</v>
      </c>
      <c r="M5088">
        <v>0.92873280000000002</v>
      </c>
      <c r="N5088">
        <v>0</v>
      </c>
      <c r="O5088">
        <v>-0.37039260000000002</v>
      </c>
      <c r="P5088">
        <v>0.98342450000000003</v>
      </c>
      <c r="Q5088">
        <v>-3.1435650000000002E-2</v>
      </c>
      <c r="R5088">
        <v>-0.17857239999999999</v>
      </c>
      <c r="S5088">
        <v>3.0286249999999999</v>
      </c>
      <c r="T5088">
        <v>-0.18688389999999999</v>
      </c>
      <c r="U5088">
        <v>-0.1034241</v>
      </c>
      <c r="V5088">
        <v>-0.19795099999999999</v>
      </c>
      <c r="W5088">
        <v>-2.0768129999999999E-2</v>
      </c>
      <c r="X5088">
        <v>0.97999190000000003</v>
      </c>
      <c r="Y5088">
        <v>-0.33721079999999998</v>
      </c>
      <c r="Z5088">
        <v>3.2763790000000001E-2</v>
      </c>
      <c r="AA5088">
        <v>0.9408588</v>
      </c>
      <c r="AB5088">
        <v>24</v>
      </c>
      <c r="AC5088">
        <v>17.933499999999899</v>
      </c>
      <c r="AD5088">
        <v>-1.115658671005</v>
      </c>
      <c r="AE5088">
        <v>-0.56924999999999604</v>
      </c>
      <c r="AF5088">
        <v>-6.0910142164137797</v>
      </c>
      <c r="AG5088">
        <v>-1.115658671005</v>
      </c>
      <c r="AH5088">
        <v>16.803540939182199</v>
      </c>
      <c r="AI5088">
        <v>93.571766197752595</v>
      </c>
      <c r="AJ5088">
        <v>109.924768835428</v>
      </c>
      <c r="AK5088">
        <v>17.908214220003</v>
      </c>
    </row>
    <row r="5089" spans="1:37" x14ac:dyDescent="0.2">
      <c r="A5089" t="str">
        <f>"20200111155658939"</f>
        <v>20200111155658939</v>
      </c>
      <c r="B5089" t="str">
        <f>"1578729418928345"</f>
        <v>1578729418928345</v>
      </c>
      <c r="C5089" t="s">
        <v>37</v>
      </c>
      <c r="D5089">
        <v>5.0273300000000001</v>
      </c>
      <c r="E5089">
        <v>0.44513130000000001</v>
      </c>
      <c r="F5089" t="s">
        <v>38</v>
      </c>
      <c r="G5089">
        <v>-391.33109999999999</v>
      </c>
      <c r="H5089" s="1">
        <v>-4.5611570000000003E-6</v>
      </c>
      <c r="I5089">
        <v>21.651540000000001</v>
      </c>
      <c r="J5089">
        <v>-408.83510000000001</v>
      </c>
      <c r="K5089">
        <v>1.1156299999999999</v>
      </c>
      <c r="L5089">
        <v>22.16724</v>
      </c>
      <c r="M5089">
        <v>0.93245389999999995</v>
      </c>
      <c r="N5089">
        <v>0</v>
      </c>
      <c r="O5089">
        <v>-0.36092289999999999</v>
      </c>
      <c r="P5089">
        <v>0.98435239999999902</v>
      </c>
      <c r="Q5089">
        <v>-3.1372579999999997E-2</v>
      </c>
      <c r="R5089">
        <v>-0.17339749999999901</v>
      </c>
      <c r="S5089">
        <v>3.0270079999999999</v>
      </c>
      <c r="T5089">
        <v>-0.19141150000000001</v>
      </c>
      <c r="U5089">
        <v>-9.6069340000000003E-2</v>
      </c>
      <c r="V5089">
        <v>-0.19313810000000001</v>
      </c>
      <c r="W5089">
        <v>-2.055423E-2</v>
      </c>
      <c r="X5089">
        <v>0.9809563</v>
      </c>
      <c r="Y5089">
        <v>-0.32985700000000001</v>
      </c>
      <c r="Z5089">
        <v>3.278296E-2</v>
      </c>
      <c r="AA5089">
        <v>0.94346149999999995</v>
      </c>
      <c r="AB5089">
        <v>24</v>
      </c>
      <c r="AC5089">
        <v>17.504000000000001</v>
      </c>
      <c r="AD5089">
        <v>-1.115634561157</v>
      </c>
      <c r="AE5089">
        <v>-0.51569999999999805</v>
      </c>
      <c r="AF5089">
        <v>-5.8139025010883296</v>
      </c>
      <c r="AG5089">
        <v>-1.115634561157</v>
      </c>
      <c r="AH5089">
        <v>16.443244591939699</v>
      </c>
      <c r="AI5089">
        <v>93.660047447434494</v>
      </c>
      <c r="AJ5089">
        <v>109.472266346609</v>
      </c>
      <c r="AK5089">
        <v>17.476452599900298</v>
      </c>
    </row>
    <row r="5090" spans="1:37" x14ac:dyDescent="0.2">
      <c r="A5090" t="str">
        <f>"20200111155658954"</f>
        <v>20200111155658954</v>
      </c>
      <c r="B5090" t="str">
        <f>"1578729418947865"</f>
        <v>1578729418947865</v>
      </c>
      <c r="C5090" t="s">
        <v>37</v>
      </c>
      <c r="D5090">
        <v>5.0102379999999904</v>
      </c>
      <c r="E5090">
        <v>0.44634740000000001</v>
      </c>
      <c r="F5090" t="s">
        <v>38</v>
      </c>
      <c r="G5090">
        <v>-391.22289999999998</v>
      </c>
      <c r="H5090" s="1">
        <v>-4.6087349999999902E-6</v>
      </c>
      <c r="I5090">
        <v>21.685690000000001</v>
      </c>
      <c r="J5090">
        <v>-408.66980000000001</v>
      </c>
      <c r="K5090">
        <v>1.11559599999999</v>
      </c>
      <c r="L5090">
        <v>22.1174</v>
      </c>
      <c r="M5090">
        <v>0.93672739999999999</v>
      </c>
      <c r="N5090">
        <v>0</v>
      </c>
      <c r="O5090">
        <v>-0.34968169999999998</v>
      </c>
      <c r="P5090">
        <v>0.98463789999999995</v>
      </c>
      <c r="Q5090">
        <v>-3.1928239999999997E-2</v>
      </c>
      <c r="R5090">
        <v>-0.17166600000000001</v>
      </c>
      <c r="S5090">
        <v>3.0270079999999999</v>
      </c>
      <c r="T5090">
        <v>-0.191744</v>
      </c>
      <c r="U5090">
        <v>-8.2763669999999998E-2</v>
      </c>
      <c r="V5090">
        <v>-0.18304329999999999</v>
      </c>
      <c r="W5090">
        <v>-2.0802770000000002E-2</v>
      </c>
      <c r="X5090">
        <v>0.9828848</v>
      </c>
      <c r="Y5090">
        <v>-0.32267119999999999</v>
      </c>
      <c r="Z5090">
        <v>3.194719E-2</v>
      </c>
      <c r="AA5090">
        <v>0.94597180000000003</v>
      </c>
      <c r="AB5090">
        <v>24</v>
      </c>
      <c r="AC5090">
        <v>17.446899999999999</v>
      </c>
      <c r="AD5090">
        <v>-1.1156006087350001</v>
      </c>
      <c r="AE5090">
        <v>-0.43170999999999798</v>
      </c>
      <c r="AF5090">
        <v>-5.6740355319522697</v>
      </c>
      <c r="AG5090">
        <v>-1.1156006087350001</v>
      </c>
      <c r="AH5090">
        <v>16.429000524824598</v>
      </c>
      <c r="AI5090">
        <v>93.672449694859395</v>
      </c>
      <c r="AJ5090">
        <v>109.05322601384999</v>
      </c>
      <c r="AK5090">
        <v>17.416983153828699</v>
      </c>
    </row>
    <row r="5091" spans="1:37" x14ac:dyDescent="0.2">
      <c r="A5091" t="str">
        <f>"20200111155658967"</f>
        <v>20200111155658967</v>
      </c>
      <c r="B5091" t="str">
        <f>"1578729418958601"</f>
        <v>1578729418958601</v>
      </c>
      <c r="C5091" t="s">
        <v>37</v>
      </c>
      <c r="D5091">
        <v>5.0601599999999998</v>
      </c>
      <c r="E5091">
        <v>0.44661709999999899</v>
      </c>
      <c r="F5091" t="s">
        <v>38</v>
      </c>
      <c r="G5091">
        <v>-391.28660000000002</v>
      </c>
      <c r="H5091" s="1">
        <v>-4.5724079999999998E-6</v>
      </c>
      <c r="I5091">
        <v>21.61871</v>
      </c>
      <c r="J5091">
        <v>-408.54669999999999</v>
      </c>
      <c r="K5091">
        <v>1.115569</v>
      </c>
      <c r="L5091">
        <v>22.081630000000001</v>
      </c>
      <c r="M5091">
        <v>0.93981139999999996</v>
      </c>
      <c r="N5091">
        <v>0</v>
      </c>
      <c r="O5091">
        <v>-0.34130640000000001</v>
      </c>
      <c r="P5091">
        <v>0.98517289999999902</v>
      </c>
      <c r="Q5091">
        <v>-3.2780950000000003E-2</v>
      </c>
      <c r="R5091">
        <v>-0.1684031</v>
      </c>
      <c r="S5091">
        <v>3.02536</v>
      </c>
      <c r="T5091">
        <v>-0.1941581</v>
      </c>
      <c r="U5091">
        <v>-8.6791989999999999E-2</v>
      </c>
      <c r="V5091">
        <v>-0.17749619999999999</v>
      </c>
      <c r="W5091">
        <v>-2.148684E-2</v>
      </c>
      <c r="X5091">
        <v>0.98388690000000001</v>
      </c>
      <c r="Y5091">
        <v>-0.31293739999999998</v>
      </c>
      <c r="Z5091">
        <v>3.1543460000000002E-2</v>
      </c>
      <c r="AA5091">
        <v>0.94924979999999903</v>
      </c>
      <c r="AB5091">
        <v>24</v>
      </c>
      <c r="AC5091">
        <v>17.260099999999898</v>
      </c>
      <c r="AD5091">
        <v>-1.115573572408</v>
      </c>
      <c r="AE5091">
        <v>-0.46292</v>
      </c>
      <c r="AF5091">
        <v>-5.4339630025085199</v>
      </c>
      <c r="AG5091">
        <v>-1.115573572408</v>
      </c>
      <c r="AH5091">
        <v>16.313303872571499</v>
      </c>
      <c r="AI5091">
        <v>93.712122508670802</v>
      </c>
      <c r="AJ5091">
        <v>108.422920554092</v>
      </c>
      <c r="AK5091">
        <v>17.230680240400901</v>
      </c>
    </row>
    <row r="5092" spans="1:37" x14ac:dyDescent="0.2">
      <c r="A5092" t="str">
        <f>"20200111155658981"</f>
        <v>20200111155658981</v>
      </c>
      <c r="B5092" t="str">
        <f>"1578729418978122"</f>
        <v>1578729418978122</v>
      </c>
      <c r="C5092" t="s">
        <v>37</v>
      </c>
      <c r="D5092">
        <v>4.9990629999999996</v>
      </c>
      <c r="E5092">
        <v>0.4474303</v>
      </c>
      <c r="F5092" t="s">
        <v>38</v>
      </c>
      <c r="G5092">
        <v>-391.46769999999998</v>
      </c>
      <c r="H5092" s="1">
        <v>-4.5061970000000003E-6</v>
      </c>
      <c r="I5092">
        <v>21.637460000000001</v>
      </c>
      <c r="J5092">
        <v>-408.41340000000002</v>
      </c>
      <c r="K5092">
        <v>1.115534</v>
      </c>
      <c r="L5092">
        <v>22.043789999999898</v>
      </c>
      <c r="M5092">
        <v>0.94305749999999999</v>
      </c>
      <c r="N5092">
        <v>0</v>
      </c>
      <c r="O5092">
        <v>-0.33223259999999899</v>
      </c>
      <c r="P5092">
        <v>0.98578349999999904</v>
      </c>
      <c r="Q5092">
        <v>-3.341939E-2</v>
      </c>
      <c r="R5092">
        <v>-0.16466459999999999</v>
      </c>
      <c r="S5092">
        <v>3.0251160000000001</v>
      </c>
      <c r="T5092">
        <v>-0.19759549999999901</v>
      </c>
      <c r="U5092">
        <v>-7.8674320000000006E-2</v>
      </c>
      <c r="V5092">
        <v>-0.17172509999999999</v>
      </c>
      <c r="W5092">
        <v>-2.195006E-2</v>
      </c>
      <c r="X5092">
        <v>0.98490040000000001</v>
      </c>
      <c r="Y5092">
        <v>-0.30630679999999999</v>
      </c>
      <c r="Z5092">
        <v>3.1327830000000001E-2</v>
      </c>
      <c r="AA5092">
        <v>0.95141719999999896</v>
      </c>
      <c r="AB5092">
        <v>24</v>
      </c>
      <c r="AC5092">
        <v>16.945699999999999</v>
      </c>
      <c r="AD5092">
        <v>-1.115538506197</v>
      </c>
      <c r="AE5092">
        <v>-0.40632999999999603</v>
      </c>
      <c r="AF5092">
        <v>-5.22478507006592</v>
      </c>
      <c r="AG5092">
        <v>-1.115538506197</v>
      </c>
      <c r="AH5092">
        <v>16.0483861377888</v>
      </c>
      <c r="AI5092">
        <v>93.781538681757596</v>
      </c>
      <c r="AJ5092">
        <v>108.03341115372599</v>
      </c>
      <c r="AK5092">
        <v>16.914298768047299</v>
      </c>
    </row>
    <row r="5093" spans="1:37" x14ac:dyDescent="0.2">
      <c r="A5093" t="str">
        <f>"20200111155658992"</f>
        <v>20200111155658992</v>
      </c>
      <c r="B5093" t="str">
        <f>"1578729418987882"</f>
        <v>1578729418987882</v>
      </c>
      <c r="C5093" t="s">
        <v>37</v>
      </c>
      <c r="D5093">
        <v>5.0356909999999999</v>
      </c>
      <c r="E5093">
        <v>0.44751839999999998</v>
      </c>
      <c r="F5093" t="s">
        <v>38</v>
      </c>
      <c r="G5093">
        <v>-391.65780000000001</v>
      </c>
      <c r="H5093" s="1">
        <v>-4.4331629999999998E-6</v>
      </c>
      <c r="I5093">
        <v>21.637309999999999</v>
      </c>
      <c r="J5093">
        <v>-408.27690000000001</v>
      </c>
      <c r="K5093">
        <v>1.1154899999999901</v>
      </c>
      <c r="L5093">
        <v>22.006989999999998</v>
      </c>
      <c r="M5093">
        <v>0.9462699</v>
      </c>
      <c r="N5093">
        <v>0</v>
      </c>
      <c r="O5093">
        <v>-0.32296979999999997</v>
      </c>
      <c r="P5093">
        <v>0.98638389999999998</v>
      </c>
      <c r="Q5093">
        <v>-3.4101680000000002E-2</v>
      </c>
      <c r="R5093">
        <v>-0.1608849</v>
      </c>
      <c r="S5093">
        <v>3.0241389999999999</v>
      </c>
      <c r="T5093">
        <v>-0.20133809999999999</v>
      </c>
      <c r="U5093">
        <v>-7.3364260000000001E-2</v>
      </c>
      <c r="V5093">
        <v>-0.1658211</v>
      </c>
      <c r="W5093">
        <v>-2.2452840000000002E-2</v>
      </c>
      <c r="X5093">
        <v>0.9859002</v>
      </c>
      <c r="Y5093">
        <v>-0.29861209999999999</v>
      </c>
      <c r="Z5093">
        <v>3.108913E-2</v>
      </c>
      <c r="AA5093">
        <v>0.9538681</v>
      </c>
      <c r="AB5093">
        <v>24</v>
      </c>
      <c r="AC5093">
        <v>16.6191</v>
      </c>
      <c r="AD5093">
        <v>-1.1154944331629999</v>
      </c>
      <c r="AE5093">
        <v>-0.36967999999999801</v>
      </c>
      <c r="AF5093">
        <v>-4.9958159510724203</v>
      </c>
      <c r="AG5093">
        <v>-1.1154944331629999</v>
      </c>
      <c r="AH5093">
        <v>15.7765973776037</v>
      </c>
      <c r="AI5093">
        <v>93.856291876401002</v>
      </c>
      <c r="AJ5093">
        <v>107.57090708126999</v>
      </c>
      <c r="AK5093">
        <v>16.586245194811799</v>
      </c>
    </row>
    <row r="5094" spans="1:37" x14ac:dyDescent="0.2">
      <c r="A5094" t="str">
        <f>"20200111155659010"</f>
        <v>20200111155659010</v>
      </c>
      <c r="B5094" t="str">
        <f>"1578729418998617"</f>
        <v>1578729418998617</v>
      </c>
      <c r="C5094" t="s">
        <v>37</v>
      </c>
      <c r="D5094">
        <v>5.0027850000000003</v>
      </c>
      <c r="E5094">
        <v>0.44772479999999998</v>
      </c>
      <c r="F5094" t="s">
        <v>38</v>
      </c>
      <c r="G5094">
        <v>-391.65249999999997</v>
      </c>
      <c r="H5094" s="1">
        <v>-4.4399730000000002E-6</v>
      </c>
      <c r="I5094">
        <v>21.664259999999999</v>
      </c>
      <c r="J5094">
        <v>-408.10680000000002</v>
      </c>
      <c r="K5094">
        <v>1.115415</v>
      </c>
      <c r="L5094">
        <v>21.962889999999899</v>
      </c>
      <c r="M5094">
        <v>0.95012479999999999</v>
      </c>
      <c r="N5094">
        <v>0</v>
      </c>
      <c r="O5094">
        <v>-0.31144749999999999</v>
      </c>
      <c r="P5094">
        <v>0.98639789999999905</v>
      </c>
      <c r="Q5094">
        <v>-3.4480719999999999E-2</v>
      </c>
      <c r="R5094">
        <v>-0.16071839999999901</v>
      </c>
      <c r="S5094">
        <v>3.0242</v>
      </c>
      <c r="T5094">
        <v>-0.2029231</v>
      </c>
      <c r="U5094">
        <v>-6.2347409999999999E-2</v>
      </c>
      <c r="V5094">
        <v>-0.15399399999999999</v>
      </c>
      <c r="W5094">
        <v>-2.2480400000000001E-2</v>
      </c>
      <c r="X5094">
        <v>0.98781600000000003</v>
      </c>
      <c r="Y5094">
        <v>-0.29050290000000001</v>
      </c>
      <c r="Z5094">
        <v>3.0326220000000001E-2</v>
      </c>
      <c r="AA5094">
        <v>0.95639339999999995</v>
      </c>
      <c r="AB5094">
        <v>24</v>
      </c>
      <c r="AC5094">
        <v>16.4543</v>
      </c>
      <c r="AD5094">
        <v>-1.115419439973</v>
      </c>
      <c r="AE5094">
        <v>-0.29862999999999501</v>
      </c>
      <c r="AF5094">
        <v>-4.81941276393637</v>
      </c>
      <c r="AG5094">
        <v>-1.115419439973</v>
      </c>
      <c r="AH5094">
        <v>15.6567924515863</v>
      </c>
      <c r="AI5094">
        <v>93.895207675934799</v>
      </c>
      <c r="AJ5094">
        <v>107.10920800068099</v>
      </c>
      <c r="AK5094">
        <v>16.419684826095502</v>
      </c>
    </row>
    <row r="5095" spans="1:37" x14ac:dyDescent="0.2">
      <c r="A5095" t="str">
        <f>"20200111155659023"</f>
        <v>20200111155659023</v>
      </c>
      <c r="B5095" t="str">
        <f>"1578729419018138"</f>
        <v>1578729419018138</v>
      </c>
      <c r="C5095" t="s">
        <v>37</v>
      </c>
      <c r="D5095">
        <v>5.0925919999999998</v>
      </c>
      <c r="E5095">
        <v>0.44814989999999999</v>
      </c>
      <c r="F5095" t="s">
        <v>38</v>
      </c>
      <c r="G5095">
        <v>-391.551999999999</v>
      </c>
      <c r="H5095" s="1">
        <v>-4.47003E-6</v>
      </c>
      <c r="I5095">
        <v>21.616209999999999</v>
      </c>
      <c r="J5095">
        <v>-407.9769</v>
      </c>
      <c r="K5095">
        <v>1.1153599999999999</v>
      </c>
      <c r="L5095">
        <v>21.930540000000001</v>
      </c>
      <c r="M5095">
        <v>0.95295269999999999</v>
      </c>
      <c r="N5095">
        <v>0</v>
      </c>
      <c r="O5095">
        <v>-0.30268469999999997</v>
      </c>
      <c r="P5095">
        <v>0.98697359999999901</v>
      </c>
      <c r="Q5095">
        <v>-3.395803E-2</v>
      </c>
      <c r="R5095">
        <v>-0.1572576</v>
      </c>
      <c r="S5095">
        <v>3.023895</v>
      </c>
      <c r="T5095">
        <v>-0.20374320000000001</v>
      </c>
      <c r="U5095">
        <v>-6.3323969999999993E-2</v>
      </c>
      <c r="V5095">
        <v>-0.1483862</v>
      </c>
      <c r="W5095">
        <v>-2.1788350000000001E-2</v>
      </c>
      <c r="X5095">
        <v>0.98868940000000005</v>
      </c>
      <c r="Y5095">
        <v>-0.2813987</v>
      </c>
      <c r="Z5095">
        <v>2.9578730000000001E-2</v>
      </c>
      <c r="AA5095">
        <v>0.95913490000000001</v>
      </c>
      <c r="AB5095">
        <v>24</v>
      </c>
      <c r="AC5095">
        <v>16.424900000000001</v>
      </c>
      <c r="AD5095">
        <v>-1.1153644700299901</v>
      </c>
      <c r="AE5095">
        <v>-0.314330000000001</v>
      </c>
      <c r="AF5095">
        <v>-4.6511986336171596</v>
      </c>
      <c r="AG5095">
        <v>-1.1153644700299901</v>
      </c>
      <c r="AH5095">
        <v>15.6771016925751</v>
      </c>
      <c r="AI5095">
        <v>93.901956397767705</v>
      </c>
      <c r="AJ5095">
        <v>106.52495957843701</v>
      </c>
      <c r="AK5095">
        <v>16.3905217766155</v>
      </c>
    </row>
    <row r="5096" spans="1:37" x14ac:dyDescent="0.2">
      <c r="A5096" t="str">
        <f>"20200111155659035"</f>
        <v>20200111155659035</v>
      </c>
      <c r="B5096" t="str">
        <f>"1578729419028874"</f>
        <v>1578729419028874</v>
      </c>
      <c r="C5096" t="s">
        <v>37</v>
      </c>
      <c r="D5096">
        <v>5.1612679999999997</v>
      </c>
      <c r="E5096">
        <v>0.44813370000000002</v>
      </c>
      <c r="F5096" t="s">
        <v>38</v>
      </c>
      <c r="G5096">
        <v>-391.50940000000003</v>
      </c>
      <c r="H5096" s="1">
        <v>-4.488173E-6</v>
      </c>
      <c r="I5096">
        <v>21.62621</v>
      </c>
      <c r="J5096">
        <v>-407.84309999999999</v>
      </c>
      <c r="K5096">
        <v>1.1152879999999901</v>
      </c>
      <c r="L5096">
        <v>21.898499999999999</v>
      </c>
      <c r="M5096">
        <v>0.95575889999999997</v>
      </c>
      <c r="N5096">
        <v>0</v>
      </c>
      <c r="O5096">
        <v>-0.29370459999999998</v>
      </c>
      <c r="P5096">
        <v>0.98755369999999998</v>
      </c>
      <c r="Q5096">
        <v>-3.3980259999999998E-2</v>
      </c>
      <c r="R5096">
        <v>-0.15356779999999901</v>
      </c>
      <c r="S5096">
        <v>3.0236209999999999</v>
      </c>
      <c r="T5096">
        <v>-0.204794</v>
      </c>
      <c r="U5096">
        <v>-5.5877690000000001E-2</v>
      </c>
      <c r="V5096">
        <v>-0.1427831</v>
      </c>
      <c r="W5096">
        <v>-2.1641529999999999E-2</v>
      </c>
      <c r="X5096">
        <v>0.98951739999999999</v>
      </c>
      <c r="Y5096">
        <v>-0.27474589999999999</v>
      </c>
      <c r="Z5096">
        <v>2.892641E-2</v>
      </c>
      <c r="AA5096">
        <v>0.96108169999999904</v>
      </c>
      <c r="AB5096">
        <v>24</v>
      </c>
      <c r="AC5096">
        <v>16.333699999999901</v>
      </c>
      <c r="AD5096">
        <v>-1.11529248817299</v>
      </c>
      <c r="AE5096">
        <v>-0.27228999999999798</v>
      </c>
      <c r="AF5096">
        <v>-4.5165827025655698</v>
      </c>
      <c r="AG5096">
        <v>-1.11529248817299</v>
      </c>
      <c r="AH5096">
        <v>15.6203044006306</v>
      </c>
      <c r="AI5096">
        <v>93.9237958022605</v>
      </c>
      <c r="AJ5096">
        <v>106.127129603515</v>
      </c>
      <c r="AK5096">
        <v>16.298383545973099</v>
      </c>
    </row>
    <row r="5097" spans="1:37" x14ac:dyDescent="0.2">
      <c r="A5097" t="str">
        <f>"20200111155659049"</f>
        <v>20200111155659049</v>
      </c>
      <c r="B5097" t="str">
        <f>"1578729419038634"</f>
        <v>1578729419038634</v>
      </c>
      <c r="C5097" t="s">
        <v>37</v>
      </c>
      <c r="D5097">
        <v>5.1721120000000003</v>
      </c>
      <c r="E5097">
        <v>0.44808579999999998</v>
      </c>
      <c r="F5097" t="s">
        <v>38</v>
      </c>
      <c r="G5097">
        <v>-391.37</v>
      </c>
      <c r="H5097" s="1">
        <v>-4.5470179999999999E-6</v>
      </c>
      <c r="I5097">
        <v>21.656110000000002</v>
      </c>
      <c r="J5097">
        <v>-407.71679999999998</v>
      </c>
      <c r="K5097">
        <v>1.1151959999999901</v>
      </c>
      <c r="L5097">
        <v>21.869689999999999</v>
      </c>
      <c r="M5097">
        <v>0.95829869999999995</v>
      </c>
      <c r="N5097">
        <v>0</v>
      </c>
      <c r="O5097">
        <v>-0.28530990000000001</v>
      </c>
      <c r="P5097">
        <v>0.98807670000000003</v>
      </c>
      <c r="Q5097">
        <v>-3.3064419999999997E-2</v>
      </c>
      <c r="R5097">
        <v>-0.15037049999999999</v>
      </c>
      <c r="S5097">
        <v>3.0238649999999998</v>
      </c>
      <c r="T5097">
        <v>-0.20472679999999999</v>
      </c>
      <c r="U5097">
        <v>-4.449463E-2</v>
      </c>
      <c r="V5097">
        <v>-0.1373452</v>
      </c>
      <c r="W5097">
        <v>-2.0562250000000001E-2</v>
      </c>
      <c r="X5097">
        <v>0.99030980000000002</v>
      </c>
      <c r="Y5097">
        <v>-0.26995940000000002</v>
      </c>
      <c r="Z5097">
        <v>2.8208469999999999E-2</v>
      </c>
      <c r="AA5097">
        <v>0.96245840000000005</v>
      </c>
      <c r="AB5097">
        <v>24</v>
      </c>
      <c r="AC5097">
        <v>16.346799999999899</v>
      </c>
      <c r="AD5097">
        <v>-1.11520054701799</v>
      </c>
      <c r="AE5097">
        <v>-0.213579999999996</v>
      </c>
      <c r="AF5097">
        <v>-4.4391574227017401</v>
      </c>
      <c r="AG5097">
        <v>-1.11520054701799</v>
      </c>
      <c r="AH5097">
        <v>15.655263592994601</v>
      </c>
      <c r="AI5097">
        <v>93.920518290517805</v>
      </c>
      <c r="AJ5097">
        <v>105.83104878234499</v>
      </c>
      <c r="AK5097">
        <v>16.310642815344199</v>
      </c>
    </row>
    <row r="5098" spans="1:37" x14ac:dyDescent="0.2">
      <c r="A5098" t="str">
        <f>"20200111155659066"</f>
        <v>20200111155659066</v>
      </c>
      <c r="B5098" t="str">
        <f>"1578729419058153"</f>
        <v>1578729419058153</v>
      </c>
      <c r="C5098" t="s">
        <v>37</v>
      </c>
      <c r="D5098">
        <v>5.0338690000000001</v>
      </c>
      <c r="E5098">
        <v>0.4483569</v>
      </c>
      <c r="F5098" t="s">
        <v>38</v>
      </c>
      <c r="G5098">
        <v>-390.95830000000001</v>
      </c>
      <c r="H5098" s="1">
        <v>-4.709148E-6</v>
      </c>
      <c r="I5098">
        <v>21.678929999999902</v>
      </c>
      <c r="J5098">
        <v>-407.52620000000002</v>
      </c>
      <c r="K5098">
        <v>1.1150279999999999</v>
      </c>
      <c r="L5098">
        <v>21.827999999999999</v>
      </c>
      <c r="M5098">
        <v>0.96194210000000002</v>
      </c>
      <c r="N5098">
        <v>0</v>
      </c>
      <c r="O5098">
        <v>-0.27277649999999998</v>
      </c>
      <c r="P5098">
        <v>0.988479</v>
      </c>
      <c r="Q5098">
        <v>-3.2406299999999999E-2</v>
      </c>
      <c r="R5098">
        <v>-0.14784919999999999</v>
      </c>
      <c r="S5098">
        <v>3.0242</v>
      </c>
      <c r="T5098">
        <v>-0.20124719999999999</v>
      </c>
      <c r="U5098">
        <v>-3.4423830000000002E-2</v>
      </c>
      <c r="V5098">
        <v>-0.12697519999999901</v>
      </c>
      <c r="W5098">
        <v>-1.9601210000000001E-2</v>
      </c>
      <c r="X5098">
        <v>0.99171219999999904</v>
      </c>
      <c r="Y5098">
        <v>-0.26067699999999999</v>
      </c>
      <c r="Z5098">
        <v>2.661488E-2</v>
      </c>
      <c r="AA5098">
        <v>0.96505919999999901</v>
      </c>
      <c r="AB5098">
        <v>24</v>
      </c>
      <c r="AC5098">
        <v>16.567900000000002</v>
      </c>
      <c r="AD5098">
        <v>-1.1150327091479999</v>
      </c>
      <c r="AE5098">
        <v>-0.149070000000005</v>
      </c>
      <c r="AF5098">
        <v>-4.3567749129464097</v>
      </c>
      <c r="AG5098">
        <v>-1.1150327091479999</v>
      </c>
      <c r="AH5098">
        <v>15.908055824330001</v>
      </c>
      <c r="AI5098">
        <v>93.867473962807907</v>
      </c>
      <c r="AJ5098">
        <v>105.31616116961099</v>
      </c>
      <c r="AK5098">
        <v>16.531516134176801</v>
      </c>
    </row>
    <row r="5099" spans="1:37" x14ac:dyDescent="0.2">
      <c r="A5099" t="str">
        <f>"20200111155659080"</f>
        <v>20200111155659080</v>
      </c>
      <c r="B5099" t="str">
        <f>"1578729419067914"</f>
        <v>1578729419067914</v>
      </c>
      <c r="C5099" t="s">
        <v>37</v>
      </c>
      <c r="D5099">
        <v>5.0117799999999999</v>
      </c>
      <c r="E5099">
        <v>0.4485034</v>
      </c>
      <c r="F5099" t="s">
        <v>38</v>
      </c>
      <c r="G5099">
        <v>-390.7475</v>
      </c>
      <c r="H5099" s="1">
        <v>-4.7882449999999999E-6</v>
      </c>
      <c r="I5099">
        <v>21.668329999999902</v>
      </c>
      <c r="J5099">
        <v>-407.385999999999</v>
      </c>
      <c r="K5099">
        <v>1.1148750000000001</v>
      </c>
      <c r="L5099">
        <v>21.798579999999902</v>
      </c>
      <c r="M5099">
        <v>0.96447769999999999</v>
      </c>
      <c r="N5099">
        <v>0</v>
      </c>
      <c r="O5099">
        <v>-0.26367269999999998</v>
      </c>
      <c r="P5099">
        <v>0.989178</v>
      </c>
      <c r="Q5099">
        <v>-3.2531619999999997E-2</v>
      </c>
      <c r="R5099">
        <v>-0.14306849999999999</v>
      </c>
      <c r="S5099">
        <v>3.0240779999999998</v>
      </c>
      <c r="T5099">
        <v>-0.20096520000000001</v>
      </c>
      <c r="U5099">
        <v>-2.8778080000000001E-2</v>
      </c>
      <c r="V5099">
        <v>-0.1224006</v>
      </c>
      <c r="W5099">
        <v>-1.959025E-2</v>
      </c>
      <c r="X5099">
        <v>0.99228739999999904</v>
      </c>
      <c r="Y5099">
        <v>-0.25338670000000002</v>
      </c>
      <c r="Z5099">
        <v>2.5751550000000002E-2</v>
      </c>
      <c r="AA5099">
        <v>0.96702219999999905</v>
      </c>
      <c r="AB5099">
        <v>24</v>
      </c>
      <c r="AC5099">
        <v>16.638499999999901</v>
      </c>
      <c r="AD5099">
        <v>-1.1148797882449999</v>
      </c>
      <c r="AE5099">
        <v>-0.13025</v>
      </c>
      <c r="AF5099">
        <v>-4.24299889675589</v>
      </c>
      <c r="AG5099">
        <v>-1.1148797882449999</v>
      </c>
      <c r="AH5099">
        <v>16.012005965055</v>
      </c>
      <c r="AI5099">
        <v>93.850473340807696</v>
      </c>
      <c r="AJ5099">
        <v>104.841616251625</v>
      </c>
      <c r="AK5099">
        <v>16.6021182866846</v>
      </c>
    </row>
    <row r="5100" spans="1:37" x14ac:dyDescent="0.2">
      <c r="A5100" t="str">
        <f>"20200111155659094"</f>
        <v>20200111155659094</v>
      </c>
      <c r="B5100" t="str">
        <f>"1578729419088409"</f>
        <v>1578729419088409</v>
      </c>
      <c r="C5100" t="s">
        <v>37</v>
      </c>
      <c r="D5100">
        <v>5.1033919999999897</v>
      </c>
      <c r="E5100">
        <v>0.44857059999999999</v>
      </c>
      <c r="F5100" t="s">
        <v>38</v>
      </c>
      <c r="G5100">
        <v>-390.6832</v>
      </c>
      <c r="H5100" s="1">
        <v>-4.8210469999999902E-6</v>
      </c>
      <c r="I5100">
        <v>21.714129999999901</v>
      </c>
      <c r="J5100">
        <v>-407.23860000000002</v>
      </c>
      <c r="K5100">
        <v>1.114679</v>
      </c>
      <c r="L5100">
        <v>21.76932</v>
      </c>
      <c r="M5100">
        <v>0.96699559999999996</v>
      </c>
      <c r="N5100">
        <v>0</v>
      </c>
      <c r="O5100">
        <v>-0.25428600000000001</v>
      </c>
      <c r="P5100">
        <v>0.9899194</v>
      </c>
      <c r="Q5100">
        <v>-3.2505149999999997E-2</v>
      </c>
      <c r="R5100">
        <v>-0.13785169999999999</v>
      </c>
      <c r="S5100">
        <v>3.0239259999999999</v>
      </c>
      <c r="T5100">
        <v>-0.2018414</v>
      </c>
      <c r="U5100">
        <v>-1.528931E-2</v>
      </c>
      <c r="V5100">
        <v>-0.11799800000000001</v>
      </c>
      <c r="W5100">
        <v>-1.9434920000000001E-2</v>
      </c>
      <c r="X5100">
        <v>0.99282359999999903</v>
      </c>
      <c r="Y5100">
        <v>-0.24831719999999999</v>
      </c>
      <c r="Z5100">
        <v>2.5089839999999999E-2</v>
      </c>
      <c r="AA5100">
        <v>0.96835380000000004</v>
      </c>
      <c r="AB5100">
        <v>24</v>
      </c>
      <c r="AC5100">
        <v>16.555399999999999</v>
      </c>
      <c r="AD5100">
        <v>-1.114683821047</v>
      </c>
      <c r="AE5100">
        <v>-5.5190000000003098E-2</v>
      </c>
      <c r="AF5100">
        <v>-4.1382145587959496</v>
      </c>
      <c r="AG5100">
        <v>-1.114683821047</v>
      </c>
      <c r="AH5100">
        <v>15.9527819544699</v>
      </c>
      <c r="AI5100">
        <v>93.869329138304494</v>
      </c>
      <c r="AJ5100">
        <v>104.542222529529</v>
      </c>
      <c r="AK5100">
        <v>16.518431882064199</v>
      </c>
    </row>
    <row r="5101" spans="1:37" x14ac:dyDescent="0.2">
      <c r="A5101" t="str">
        <f>"20200111155659110"</f>
        <v>20200111155659110</v>
      </c>
      <c r="B5101" t="str">
        <f>"1578729419107930"</f>
        <v>1578729419107930</v>
      </c>
      <c r="C5101" t="s">
        <v>37</v>
      </c>
      <c r="D5101">
        <v>5.066357</v>
      </c>
      <c r="E5101">
        <v>0.44867479999999998</v>
      </c>
      <c r="F5101" t="s">
        <v>38</v>
      </c>
      <c r="G5101">
        <v>-390.5573</v>
      </c>
      <c r="H5101" s="1">
        <v>-4.8792569999999999E-6</v>
      </c>
      <c r="I5101">
        <v>21.769819999999999</v>
      </c>
      <c r="J5101">
        <v>-407.07459999999998</v>
      </c>
      <c r="K5101">
        <v>1.1144369999999999</v>
      </c>
      <c r="L5101">
        <v>21.738309999999998</v>
      </c>
      <c r="M5101">
        <v>0.96962800000000005</v>
      </c>
      <c r="N5101">
        <v>0</v>
      </c>
      <c r="O5101">
        <v>-0.24406030000000001</v>
      </c>
      <c r="P5101">
        <v>0.99023510000000003</v>
      </c>
      <c r="Q5101">
        <v>-3.2594289999999998E-2</v>
      </c>
      <c r="R5101">
        <v>-0.1355449</v>
      </c>
      <c r="S5101">
        <v>3.023895</v>
      </c>
      <c r="T5101">
        <v>-0.20206479999999999</v>
      </c>
      <c r="U5101" s="1">
        <v>9.1552730000000004E-5</v>
      </c>
      <c r="V5101">
        <v>-0.109835999999999</v>
      </c>
      <c r="W5101">
        <v>-1.9302130000000001E-2</v>
      </c>
      <c r="X5101">
        <v>0.99376229999999999</v>
      </c>
      <c r="Y5101">
        <v>-0.24304290000000001</v>
      </c>
      <c r="Z5101">
        <v>2.427882E-2</v>
      </c>
      <c r="AA5101">
        <v>0.96971169999999995</v>
      </c>
      <c r="AB5101">
        <v>24</v>
      </c>
      <c r="AC5101">
        <v>16.517299999999899</v>
      </c>
      <c r="AD5101">
        <v>-1.1144418792569999</v>
      </c>
      <c r="AE5101">
        <v>3.1510000000000801E-2</v>
      </c>
      <c r="AF5101">
        <v>-4.0438812625376901</v>
      </c>
      <c r="AG5101">
        <v>-1.1144418792569999</v>
      </c>
      <c r="AH5101">
        <v>15.9374437881894</v>
      </c>
      <c r="AI5101">
        <v>93.877475549063803</v>
      </c>
      <c r="AJ5101">
        <v>104.23745691671201</v>
      </c>
      <c r="AK5101">
        <v>16.480202391640798</v>
      </c>
    </row>
    <row r="5102" spans="1:37" x14ac:dyDescent="0.2">
      <c r="A5102" t="str">
        <f>"20200111155659127"</f>
        <v>20200111155659127</v>
      </c>
      <c r="B5102" t="str">
        <f>"1578729419118666"</f>
        <v>1578729419118666</v>
      </c>
      <c r="C5102" t="s">
        <v>37</v>
      </c>
      <c r="D5102">
        <v>5.0722129999999996</v>
      </c>
      <c r="E5102">
        <v>0.44885209999999998</v>
      </c>
      <c r="F5102" t="s">
        <v>38</v>
      </c>
      <c r="G5102">
        <v>-390.44080000000002</v>
      </c>
      <c r="H5102" s="1">
        <v>-4.9246259999999997E-6</v>
      </c>
      <c r="I5102">
        <v>21.773229999999899</v>
      </c>
      <c r="J5102">
        <v>-406.9085</v>
      </c>
      <c r="K5102">
        <v>1.114152</v>
      </c>
      <c r="L5102">
        <v>21.708369999999999</v>
      </c>
      <c r="M5102">
        <v>0.97211209999999904</v>
      </c>
      <c r="N5102">
        <v>0</v>
      </c>
      <c r="O5102">
        <v>-0.23397390000000001</v>
      </c>
      <c r="P5102">
        <v>0.99114480000000005</v>
      </c>
      <c r="Q5102">
        <v>-3.2325230000000003E-2</v>
      </c>
      <c r="R5102">
        <v>-0.12879180000000001</v>
      </c>
      <c r="S5102">
        <v>3.0237729999999998</v>
      </c>
      <c r="T5102">
        <v>-0.20258879999999899</v>
      </c>
      <c r="U5102">
        <v>6.3476560000000001E-3</v>
      </c>
      <c r="V5102">
        <v>-0.10630719999999901</v>
      </c>
      <c r="W5102">
        <v>-1.8934019999999999E-2</v>
      </c>
      <c r="X5102">
        <v>0.99415299999999995</v>
      </c>
      <c r="Y5102">
        <v>-0.23499989999999901</v>
      </c>
      <c r="Z5102">
        <v>2.341449E-2</v>
      </c>
      <c r="AA5102">
        <v>0.9717133</v>
      </c>
      <c r="AB5102">
        <v>24</v>
      </c>
      <c r="AC5102">
        <v>16.467699999999901</v>
      </c>
      <c r="AD5102">
        <v>-1.1141569246259999</v>
      </c>
      <c r="AE5102">
        <v>6.4859999999995893E-2</v>
      </c>
      <c r="AF5102">
        <v>-3.8987151361308001</v>
      </c>
      <c r="AG5102">
        <v>-1.1141569246259999</v>
      </c>
      <c r="AH5102">
        <v>15.9224251325123</v>
      </c>
      <c r="AI5102">
        <v>93.888200899566499</v>
      </c>
      <c r="AJ5102">
        <v>103.758563908726</v>
      </c>
      <c r="AK5102">
        <v>16.430610075887198</v>
      </c>
    </row>
    <row r="5103" spans="1:37" x14ac:dyDescent="0.2">
      <c r="A5103" t="str">
        <f>"20200111155659143"</f>
        <v>20200111155659143</v>
      </c>
      <c r="B5103" t="str">
        <f>"1578729419138186"</f>
        <v>1578729419138186</v>
      </c>
      <c r="C5103" t="s">
        <v>37</v>
      </c>
      <c r="D5103">
        <v>5.1727959999999999</v>
      </c>
      <c r="E5103">
        <v>0.44901400000000002</v>
      </c>
      <c r="F5103" t="s">
        <v>38</v>
      </c>
      <c r="G5103">
        <v>-390.2801</v>
      </c>
      <c r="H5103" s="1">
        <v>-4.9998160000000004E-6</v>
      </c>
      <c r="I5103">
        <v>21.84919</v>
      </c>
      <c r="J5103">
        <v>-406.74759999999998</v>
      </c>
      <c r="K5103">
        <v>1.1138399999999999</v>
      </c>
      <c r="L5103">
        <v>21.680569999999999</v>
      </c>
      <c r="M5103">
        <v>0.9743503</v>
      </c>
      <c r="N5103">
        <v>0</v>
      </c>
      <c r="O5103">
        <v>-0.2244767</v>
      </c>
      <c r="P5103">
        <v>0.99194499999999997</v>
      </c>
      <c r="Q5103">
        <v>-3.2152220000000002E-2</v>
      </c>
      <c r="R5103">
        <v>-0.1225203</v>
      </c>
      <c r="S5103">
        <v>3.0235289999999999</v>
      </c>
      <c r="T5103">
        <v>-0.2025853</v>
      </c>
      <c r="U5103">
        <v>2.5604249999999999E-2</v>
      </c>
      <c r="V5103">
        <v>-0.1029134</v>
      </c>
      <c r="W5103">
        <v>-1.8667710000000001E-2</v>
      </c>
      <c r="X5103">
        <v>0.99451509999999999</v>
      </c>
      <c r="Y5103">
        <v>-0.23173189999999999</v>
      </c>
      <c r="Z5103">
        <v>2.268624E-2</v>
      </c>
      <c r="AA5103">
        <v>0.97251509999999997</v>
      </c>
      <c r="AB5103">
        <v>24</v>
      </c>
      <c r="AC5103">
        <v>16.467499999999902</v>
      </c>
      <c r="AD5103">
        <v>-1.113844999816</v>
      </c>
      <c r="AE5103">
        <v>0.16861999999999999</v>
      </c>
      <c r="AF5103">
        <v>-3.8437674770810002</v>
      </c>
      <c r="AG5103">
        <v>-1.113844999816</v>
      </c>
      <c r="AH5103">
        <v>15.936375440353499</v>
      </c>
      <c r="AI5103">
        <v>93.886978624137896</v>
      </c>
      <c r="AJ5103">
        <v>103.560432750394</v>
      </c>
      <c r="AK5103">
        <v>16.431167374151599</v>
      </c>
    </row>
    <row r="5104" spans="1:37" x14ac:dyDescent="0.2">
      <c r="A5104" t="str">
        <f>"20200111155659155"</f>
        <v>20200111155659155</v>
      </c>
      <c r="B5104" t="str">
        <f>"1578729419147945"</f>
        <v>1578729419147945</v>
      </c>
      <c r="C5104" t="s">
        <v>37</v>
      </c>
      <c r="D5104">
        <v>5.1264310000000002</v>
      </c>
      <c r="E5104">
        <v>0.44910509999999898</v>
      </c>
      <c r="F5104" t="s">
        <v>38</v>
      </c>
      <c r="G5104">
        <v>-390.18699999999899</v>
      </c>
      <c r="H5104" s="1">
        <v>-5.0479210000000004E-6</v>
      </c>
      <c r="I5104">
        <v>21.918789999999898</v>
      </c>
      <c r="J5104">
        <v>-406.60590000000002</v>
      </c>
      <c r="K5104">
        <v>1.113537</v>
      </c>
      <c r="L5104">
        <v>21.657170000000001</v>
      </c>
      <c r="M5104">
        <v>0.97617529999999997</v>
      </c>
      <c r="N5104">
        <v>0</v>
      </c>
      <c r="O5104">
        <v>-0.2164073</v>
      </c>
      <c r="P5104">
        <v>0.9920831</v>
      </c>
      <c r="Q5104">
        <v>-3.189289E-2</v>
      </c>
      <c r="R5104">
        <v>-0.121466899999999</v>
      </c>
      <c r="S5104">
        <v>3.0231319999999999</v>
      </c>
      <c r="T5104">
        <v>-0.20333180000000001</v>
      </c>
      <c r="U5104">
        <v>4.348755E-2</v>
      </c>
      <c r="V5104">
        <v>-9.576221E-2</v>
      </c>
      <c r="W5104">
        <v>-1.8233699999999999E-2</v>
      </c>
      <c r="X5104">
        <v>0.99523719999999904</v>
      </c>
      <c r="Y5104">
        <v>-0.2294524</v>
      </c>
      <c r="Z5104">
        <v>2.2165500000000001E-2</v>
      </c>
      <c r="AA5104">
        <v>0.97306749999999997</v>
      </c>
      <c r="AB5104">
        <v>24</v>
      </c>
      <c r="AC5104">
        <v>16.418900000000001</v>
      </c>
      <c r="AD5104">
        <v>-1.1135420479210001</v>
      </c>
      <c r="AE5104">
        <v>0.26161999999999702</v>
      </c>
      <c r="AF5104">
        <v>-3.7915967144293901</v>
      </c>
      <c r="AG5104">
        <v>-1.1135420479210001</v>
      </c>
      <c r="AH5104">
        <v>15.8999863697184</v>
      </c>
      <c r="AI5104">
        <v>93.897194679797295</v>
      </c>
      <c r="AJ5104">
        <v>103.412567344591</v>
      </c>
      <c r="AK5104">
        <v>16.3837037355596</v>
      </c>
    </row>
    <row r="5105" spans="1:37" x14ac:dyDescent="0.2">
      <c r="A5105" t="str">
        <f>"20200111155659170"</f>
        <v>20200111155659170</v>
      </c>
      <c r="B5105" t="str">
        <f>"1578729419158682"</f>
        <v>1578729419158682</v>
      </c>
      <c r="C5105" t="s">
        <v>37</v>
      </c>
      <c r="D5105">
        <v>5.1358699999999997</v>
      </c>
      <c r="E5105">
        <v>0.4492544</v>
      </c>
      <c r="F5105" t="s">
        <v>38</v>
      </c>
      <c r="G5105">
        <v>-390.07150000000001</v>
      </c>
      <c r="H5105" s="1">
        <v>-5.0905270000000003E-6</v>
      </c>
      <c r="I5105">
        <v>21.909040000000001</v>
      </c>
      <c r="J5105">
        <v>-406.46480000000003</v>
      </c>
      <c r="K5105">
        <v>1.1132089999999999</v>
      </c>
      <c r="L5105">
        <v>21.634979999999999</v>
      </c>
      <c r="M5105">
        <v>0.97785119999999903</v>
      </c>
      <c r="N5105">
        <v>0</v>
      </c>
      <c r="O5105">
        <v>-0.2087096</v>
      </c>
      <c r="P5105">
        <v>0.99259569999999997</v>
      </c>
      <c r="Q5105">
        <v>-3.2042960000000002E-2</v>
      </c>
      <c r="R5105">
        <v>-0.117163</v>
      </c>
      <c r="S5105">
        <v>3.02300999999999</v>
      </c>
      <c r="T5105">
        <v>-0.2035904</v>
      </c>
      <c r="U5105">
        <v>4.605103E-2</v>
      </c>
      <c r="V5105">
        <v>-9.2247319999999994E-2</v>
      </c>
      <c r="W5105">
        <v>-1.8303989999999999E-2</v>
      </c>
      <c r="X5105">
        <v>0.99556789999999995</v>
      </c>
      <c r="Y5105">
        <v>-0.222635</v>
      </c>
      <c r="Z5105">
        <v>2.145625E-2</v>
      </c>
      <c r="AA5105">
        <v>0.97466580000000003</v>
      </c>
      <c r="AB5105">
        <v>24</v>
      </c>
      <c r="AC5105">
        <v>16.3933</v>
      </c>
      <c r="AD5105">
        <v>-1.113214090527</v>
      </c>
      <c r="AE5105">
        <v>0.27406000000000202</v>
      </c>
      <c r="AF5105">
        <v>-3.67295292614868</v>
      </c>
      <c r="AG5105">
        <v>-1.113214090527</v>
      </c>
      <c r="AH5105">
        <v>15.901677693508599</v>
      </c>
      <c r="AI5105">
        <v>93.902110687904198</v>
      </c>
      <c r="AJ5105">
        <v>103.006025116213</v>
      </c>
      <c r="AK5105">
        <v>16.358275651097301</v>
      </c>
    </row>
    <row r="5106" spans="1:37" x14ac:dyDescent="0.2">
      <c r="A5106" t="str">
        <f>"20200111155659185"</f>
        <v>20200111155659185</v>
      </c>
      <c r="B5106" t="str">
        <f>"1578729419178202"</f>
        <v>1578729419178202</v>
      </c>
      <c r="C5106" t="s">
        <v>37</v>
      </c>
      <c r="D5106">
        <v>5.1554820000000001</v>
      </c>
      <c r="E5106">
        <v>0.44961970000000001</v>
      </c>
      <c r="F5106" t="s">
        <v>38</v>
      </c>
      <c r="G5106">
        <v>-390.06450000000001</v>
      </c>
      <c r="H5106" s="1">
        <v>-5.1004060000000001E-6</v>
      </c>
      <c r="I5106">
        <v>21.949579999999902</v>
      </c>
      <c r="J5106">
        <v>-406.30810000000002</v>
      </c>
      <c r="K5106">
        <v>1.1128209999999901</v>
      </c>
      <c r="L5106">
        <v>21.611049999999999</v>
      </c>
      <c r="M5106">
        <v>0.97957549999999904</v>
      </c>
      <c r="N5106">
        <v>0</v>
      </c>
      <c r="O5106">
        <v>-0.20046739999999999</v>
      </c>
      <c r="P5106">
        <v>0.99313989999999996</v>
      </c>
      <c r="Q5106">
        <v>-3.2221649999999998E-2</v>
      </c>
      <c r="R5106">
        <v>-0.112406399999999</v>
      </c>
      <c r="S5106">
        <v>3.0226439999999899</v>
      </c>
      <c r="T5106">
        <v>-0.20516970000000001</v>
      </c>
      <c r="U5106">
        <v>5.7983399999999997E-2</v>
      </c>
      <c r="V5106">
        <v>-8.8644849999999997E-2</v>
      </c>
      <c r="W5106">
        <v>-1.8405080000000001E-2</v>
      </c>
      <c r="X5106">
        <v>0.99589319999999903</v>
      </c>
      <c r="Y5106">
        <v>-0.2182857</v>
      </c>
      <c r="Z5106">
        <v>2.0927930000000001E-2</v>
      </c>
      <c r="AA5106">
        <v>0.97566049999999904</v>
      </c>
      <c r="AB5106">
        <v>24</v>
      </c>
      <c r="AC5106">
        <v>16.243600000000001</v>
      </c>
      <c r="AD5106">
        <v>-1.1128261004059901</v>
      </c>
      <c r="AE5106">
        <v>0.338529999999998</v>
      </c>
      <c r="AF5106">
        <v>-3.5716111297569202</v>
      </c>
      <c r="AG5106">
        <v>-1.1128261004059901</v>
      </c>
      <c r="AH5106">
        <v>15.771914734937001</v>
      </c>
      <c r="AI5106">
        <v>93.936605557181295</v>
      </c>
      <c r="AJ5106">
        <v>102.759645489387</v>
      </c>
      <c r="AK5106">
        <v>16.209505927019201</v>
      </c>
    </row>
    <row r="5107" spans="1:37" x14ac:dyDescent="0.2">
      <c r="A5107" t="str">
        <f>"20200111155659199"</f>
        <v>20200111155659199</v>
      </c>
      <c r="B5107" t="str">
        <f>"1578729419187962"</f>
        <v>1578729419187962</v>
      </c>
      <c r="C5107" t="s">
        <v>37</v>
      </c>
      <c r="D5107">
        <v>5.0902139999999996</v>
      </c>
      <c r="E5107">
        <v>0.44980249999999899</v>
      </c>
      <c r="F5107" t="s">
        <v>38</v>
      </c>
      <c r="G5107">
        <v>-390.13260000000002</v>
      </c>
      <c r="H5107" s="1">
        <v>-5.0802820000000002E-6</v>
      </c>
      <c r="I5107">
        <v>21.983509999999999</v>
      </c>
      <c r="J5107">
        <v>-406.15370000000001</v>
      </c>
      <c r="K5107">
        <v>1.1124080000000001</v>
      </c>
      <c r="L5107">
        <v>21.588259999999998</v>
      </c>
      <c r="M5107">
        <v>0.98113410000000001</v>
      </c>
      <c r="N5107">
        <v>0</v>
      </c>
      <c r="O5107">
        <v>-0.19270179999999901</v>
      </c>
      <c r="P5107">
        <v>0.99322350000000004</v>
      </c>
      <c r="Q5107">
        <v>-3.2293280000000001E-2</v>
      </c>
      <c r="R5107">
        <v>-0.1116443</v>
      </c>
      <c r="S5107">
        <v>3.02182</v>
      </c>
      <c r="T5107">
        <v>-0.2078912</v>
      </c>
      <c r="U5107">
        <v>6.9580080000000002E-2</v>
      </c>
      <c r="V5107">
        <v>-8.1537600000000002E-2</v>
      </c>
      <c r="W5107">
        <v>-1.8332870000000001E-2</v>
      </c>
      <c r="X5107">
        <v>0.99650159999999999</v>
      </c>
      <c r="Y5107">
        <v>-0.21430389999999899</v>
      </c>
      <c r="Z5107">
        <v>2.05481E-2</v>
      </c>
      <c r="AA5107">
        <v>0.9765509</v>
      </c>
      <c r="AB5107">
        <v>24</v>
      </c>
      <c r="AC5107">
        <v>16.021099999999901</v>
      </c>
      <c r="AD5107">
        <v>-1.112413080282</v>
      </c>
      <c r="AE5107">
        <v>0.39524999999999699</v>
      </c>
      <c r="AF5107">
        <v>-3.45884310093225</v>
      </c>
      <c r="AG5107">
        <v>-1.112413080282</v>
      </c>
      <c r="AH5107">
        <v>15.5695574502799</v>
      </c>
      <c r="AI5107">
        <v>93.989780364482101</v>
      </c>
      <c r="AJ5107">
        <v>102.52509550366401</v>
      </c>
      <c r="AK5107">
        <v>15.9878759582258</v>
      </c>
    </row>
    <row r="5108" spans="1:37" x14ac:dyDescent="0.2">
      <c r="A5108" t="str">
        <f>"20200111155659212"</f>
        <v>20200111155659212</v>
      </c>
      <c r="B5108" t="str">
        <f>"1578729419208458"</f>
        <v>1578729419208458</v>
      </c>
      <c r="C5108" t="s">
        <v>37</v>
      </c>
      <c r="D5108">
        <v>5.1188529999999997</v>
      </c>
      <c r="E5108">
        <v>0.44997299999999901</v>
      </c>
      <c r="F5108" t="s">
        <v>38</v>
      </c>
      <c r="G5108">
        <v>-390.10289999999998</v>
      </c>
      <c r="H5108" s="1">
        <v>-5.0878330000000001E-6</v>
      </c>
      <c r="I5108">
        <v>21.961919999999999</v>
      </c>
      <c r="J5108">
        <v>-406.02260000000001</v>
      </c>
      <c r="K5108">
        <v>1.112036</v>
      </c>
      <c r="L5108">
        <v>21.569790000000001</v>
      </c>
      <c r="M5108">
        <v>0.98232469999999905</v>
      </c>
      <c r="N5108">
        <v>0</v>
      </c>
      <c r="O5108">
        <v>-0.18654419999999999</v>
      </c>
      <c r="P5108">
        <v>0.99352809999999903</v>
      </c>
      <c r="Q5108">
        <v>-3.1911660000000001E-2</v>
      </c>
      <c r="R5108">
        <v>-0.10901189999999999</v>
      </c>
      <c r="S5108">
        <v>3.0216059999999998</v>
      </c>
      <c r="T5108">
        <v>-0.2094145</v>
      </c>
      <c r="U5108">
        <v>7.0343020000000006E-2</v>
      </c>
      <c r="V5108">
        <v>-7.7953510000000004E-2</v>
      </c>
      <c r="W5108">
        <v>-1.7889459999999999E-2</v>
      </c>
      <c r="X5108">
        <v>0.99679649999999997</v>
      </c>
      <c r="Y5108">
        <v>-0.20843699999999901</v>
      </c>
      <c r="Z5108">
        <v>2.0075949999999999E-2</v>
      </c>
      <c r="AA5108">
        <v>0.97782979999999997</v>
      </c>
      <c r="AB5108">
        <v>24</v>
      </c>
      <c r="AC5108">
        <v>15.919700000000001</v>
      </c>
      <c r="AD5108">
        <v>-1.112041087833</v>
      </c>
      <c r="AE5108">
        <v>0.39213000000000098</v>
      </c>
      <c r="AF5108">
        <v>-3.3390455525350702</v>
      </c>
      <c r="AG5108">
        <v>-1.112041087833</v>
      </c>
      <c r="AH5108">
        <v>15.4914845161447</v>
      </c>
      <c r="AI5108">
        <v>94.014008043636494</v>
      </c>
      <c r="AJ5108">
        <v>102.163488415298</v>
      </c>
      <c r="AK5108">
        <v>15.886218967925799</v>
      </c>
    </row>
    <row r="5109" spans="1:37" x14ac:dyDescent="0.2">
      <c r="A5109" t="str">
        <f>"20200111155659225"</f>
        <v>20200111155659225</v>
      </c>
      <c r="B5109" t="str">
        <f>"1578729419218218"</f>
        <v>1578729419218218</v>
      </c>
      <c r="C5109" t="s">
        <v>37</v>
      </c>
      <c r="D5109">
        <v>5.1198439999999996</v>
      </c>
      <c r="E5109">
        <v>0.45933390000000002</v>
      </c>
      <c r="F5109" t="s">
        <v>88</v>
      </c>
      <c r="G5109">
        <v>-389.96679999999998</v>
      </c>
      <c r="H5109" s="1">
        <v>-6.4465330000000005E-7</v>
      </c>
      <c r="I5109">
        <v>21.978490000000001</v>
      </c>
      <c r="J5109">
        <v>-405.89299999999997</v>
      </c>
      <c r="K5109">
        <v>1.111675</v>
      </c>
      <c r="L5109">
        <v>21.551880000000001</v>
      </c>
      <c r="M5109">
        <v>0.98342030000000002</v>
      </c>
      <c r="N5109">
        <v>0</v>
      </c>
      <c r="O5109">
        <v>-0.18068599999999899</v>
      </c>
      <c r="P5109">
        <v>0.99380990000000002</v>
      </c>
      <c r="Q5109">
        <v>-3.1392530000000002E-2</v>
      </c>
      <c r="R5109">
        <v>-0.1065676</v>
      </c>
      <c r="S5109">
        <v>3.0212400000000001</v>
      </c>
      <c r="T5109">
        <v>-0.20925349999999901</v>
      </c>
      <c r="U5109">
        <v>7.6904299999999995E-2</v>
      </c>
      <c r="V5109">
        <v>-7.4491660000000001E-2</v>
      </c>
      <c r="W5109">
        <v>-1.7316430000000001E-2</v>
      </c>
      <c r="X5109">
        <v>0.99707129999999999</v>
      </c>
      <c r="Y5109">
        <v>-0.20475599999999999</v>
      </c>
      <c r="Z5109">
        <v>1.9535360000000002E-2</v>
      </c>
      <c r="AA5109">
        <v>0.97861810000000005</v>
      </c>
      <c r="AB5109">
        <v>24</v>
      </c>
      <c r="AC5109">
        <v>15.9262</v>
      </c>
      <c r="AD5109">
        <v>-1.1116756446533</v>
      </c>
      <c r="AE5109">
        <v>0.42660999999999999</v>
      </c>
      <c r="AF5109">
        <v>-3.2815918732439902</v>
      </c>
      <c r="AG5109">
        <v>-1.1116756446533</v>
      </c>
      <c r="AH5109">
        <v>15.511392143035501</v>
      </c>
      <c r="AI5109">
        <v>94.010808833573805</v>
      </c>
      <c r="AJ5109">
        <v>101.945364581405</v>
      </c>
      <c r="AK5109">
        <v>15.893645087785201</v>
      </c>
    </row>
    <row r="5110" spans="1:37" x14ac:dyDescent="0.2">
      <c r="A5110" t="str">
        <f>"20200111155659236"</f>
        <v>20200111155659236</v>
      </c>
      <c r="B5110" t="str">
        <f>"1578729419227978"</f>
        <v>1578729419227978</v>
      </c>
      <c r="C5110" t="s">
        <v>37</v>
      </c>
      <c r="D5110">
        <v>5.1016550000000001</v>
      </c>
      <c r="E5110">
        <v>0.45962579999999997</v>
      </c>
      <c r="F5110" t="s">
        <v>38</v>
      </c>
      <c r="G5110">
        <v>-392.07029999999997</v>
      </c>
      <c r="H5110" s="1">
        <v>-4.258203E-6</v>
      </c>
      <c r="I5110">
        <v>21.60566</v>
      </c>
      <c r="J5110">
        <v>-405.7595</v>
      </c>
      <c r="K5110">
        <v>1.1113059999999999</v>
      </c>
      <c r="L5110">
        <v>21.533909999999999</v>
      </c>
      <c r="M5110">
        <v>0.98447039999999997</v>
      </c>
      <c r="N5110">
        <v>0</v>
      </c>
      <c r="O5110">
        <v>-0.17488139999999999</v>
      </c>
      <c r="P5110">
        <v>0.99409219999999898</v>
      </c>
      <c r="Q5110">
        <v>-3.069711E-2</v>
      </c>
      <c r="R5110">
        <v>-0.1041086</v>
      </c>
      <c r="S5110">
        <v>3.0122680000000002</v>
      </c>
      <c r="T5110">
        <v>-0.24225929999999901</v>
      </c>
      <c r="U5110">
        <v>1.171875E-2</v>
      </c>
      <c r="V5110">
        <v>-7.1106989999999995E-2</v>
      </c>
      <c r="W5110">
        <v>-1.6574720000000001E-2</v>
      </c>
      <c r="X5110">
        <v>0.99733099999999997</v>
      </c>
      <c r="Y5110">
        <v>-0.177597</v>
      </c>
      <c r="Z5110">
        <v>2.112021E-2</v>
      </c>
      <c r="AA5110">
        <v>0.98387659999999999</v>
      </c>
      <c r="AB5110">
        <v>24</v>
      </c>
      <c r="AC5110">
        <v>13.6892</v>
      </c>
      <c r="AD5110">
        <v>-1.1113102582029999</v>
      </c>
      <c r="AE5110">
        <v>7.1749999999997899E-2</v>
      </c>
      <c r="AF5110">
        <v>-2.4487732204080901</v>
      </c>
      <c r="AG5110">
        <v>-1.1113102582029999</v>
      </c>
      <c r="AH5110">
        <v>13.377482489612699</v>
      </c>
      <c r="AI5110">
        <v>94.671569100705895</v>
      </c>
      <c r="AJ5110">
        <v>100.373254929019</v>
      </c>
      <c r="AK5110">
        <v>13.6450921043014</v>
      </c>
    </row>
    <row r="5111" spans="1:37" x14ac:dyDescent="0.2">
      <c r="A5111" t="str">
        <f>"20200111155659250"</f>
        <v>20200111155659250</v>
      </c>
      <c r="B5111" t="str">
        <f>"1578729419238714"</f>
        <v>1578729419238714</v>
      </c>
      <c r="C5111" t="s">
        <v>37</v>
      </c>
      <c r="D5111">
        <v>5.1528910000000003</v>
      </c>
      <c r="E5111">
        <v>0.46023509999999901</v>
      </c>
      <c r="F5111" t="s">
        <v>38</v>
      </c>
      <c r="G5111">
        <v>-392.00479999999999</v>
      </c>
      <c r="H5111" s="1">
        <v>-4.2903869999999999E-6</v>
      </c>
      <c r="I5111">
        <v>21.610279999999999</v>
      </c>
      <c r="J5111">
        <v>-405.63240000000002</v>
      </c>
      <c r="K5111">
        <v>1.1109469999999999</v>
      </c>
      <c r="L5111">
        <v>21.517329999999902</v>
      </c>
      <c r="M5111">
        <v>0.98535839999999997</v>
      </c>
      <c r="N5111">
        <v>0</v>
      </c>
      <c r="O5111">
        <v>-0.1698141</v>
      </c>
      <c r="P5111">
        <v>0.99429480000000003</v>
      </c>
      <c r="Q5111">
        <v>-2.9435449999999998E-2</v>
      </c>
      <c r="R5111">
        <v>-0.102524399999999</v>
      </c>
      <c r="S5111">
        <v>3.0120239999999998</v>
      </c>
      <c r="T5111">
        <v>-0.24335709999999999</v>
      </c>
      <c r="U5111">
        <v>1.672363E-2</v>
      </c>
      <c r="V5111">
        <v>-6.7604940000000002E-2</v>
      </c>
      <c r="W5111">
        <v>-1.5270860000000001E-2</v>
      </c>
      <c r="X5111">
        <v>0.99759529999999996</v>
      </c>
      <c r="Y5111">
        <v>-0.1741856</v>
      </c>
      <c r="Z5111">
        <v>2.0675929999999999E-2</v>
      </c>
      <c r="AA5111">
        <v>0.98449580000000003</v>
      </c>
      <c r="AB5111">
        <v>24</v>
      </c>
      <c r="AC5111">
        <v>13.627599999999999</v>
      </c>
      <c r="AD5111">
        <v>-1.11095129038699</v>
      </c>
      <c r="AE5111">
        <v>9.2950000000001795E-2</v>
      </c>
      <c r="AF5111">
        <v>-2.3901429816605599</v>
      </c>
      <c r="AG5111">
        <v>-1.11095129038699</v>
      </c>
      <c r="AH5111">
        <v>13.3252880755227</v>
      </c>
      <c r="AI5111">
        <v>94.691294655835407</v>
      </c>
      <c r="AJ5111">
        <v>100.16894828983401</v>
      </c>
      <c r="AK5111">
        <v>13.583456796341</v>
      </c>
    </row>
    <row r="5112" spans="1:37" x14ac:dyDescent="0.2">
      <c r="A5112" t="str">
        <f>"20200111155659267"</f>
        <v>20200111155659267</v>
      </c>
      <c r="B5112" t="str">
        <f>"1578729419258234"</f>
        <v>1578729419258234</v>
      </c>
      <c r="C5112" t="s">
        <v>37</v>
      </c>
      <c r="D5112">
        <v>5.1741999999999999</v>
      </c>
      <c r="E5112">
        <v>0.46057939999999897</v>
      </c>
      <c r="F5112" t="s">
        <v>38</v>
      </c>
      <c r="G5112">
        <v>-391.73180000000002</v>
      </c>
      <c r="H5112" s="1">
        <v>-4.396871E-6</v>
      </c>
      <c r="I5112">
        <v>21.592970000000001</v>
      </c>
      <c r="J5112">
        <v>-405.44889999999998</v>
      </c>
      <c r="K5112">
        <v>1.1104149999999999</v>
      </c>
      <c r="L5112">
        <v>21.4939</v>
      </c>
      <c r="M5112">
        <v>0.98651669999999902</v>
      </c>
      <c r="N5112">
        <v>0</v>
      </c>
      <c r="O5112">
        <v>-0.16296079999999999</v>
      </c>
      <c r="P5112">
        <v>0.99431320000000001</v>
      </c>
      <c r="Q5112">
        <v>-2.7074000000000001E-2</v>
      </c>
      <c r="R5112">
        <v>-0.10299749999999901</v>
      </c>
      <c r="S5112">
        <v>3.0118099999999899</v>
      </c>
      <c r="T5112">
        <v>-0.2407077</v>
      </c>
      <c r="U5112">
        <v>1.638794E-2</v>
      </c>
      <c r="V5112">
        <v>-6.0259649999999998E-2</v>
      </c>
      <c r="W5112">
        <v>-1.282169E-2</v>
      </c>
      <c r="X5112">
        <v>0.9981004</v>
      </c>
      <c r="Y5112">
        <v>-0.16729559999999999</v>
      </c>
      <c r="Z5112">
        <v>1.9636850000000001E-2</v>
      </c>
      <c r="AA5112">
        <v>0.98571119999999901</v>
      </c>
      <c r="AB5112">
        <v>24</v>
      </c>
      <c r="AC5112">
        <v>13.717099999999901</v>
      </c>
      <c r="AD5112">
        <v>-1.1104193968709899</v>
      </c>
      <c r="AE5112">
        <v>9.9070000000001102E-2</v>
      </c>
      <c r="AF5112">
        <v>-2.31816005519318</v>
      </c>
      <c r="AG5112">
        <v>-1.1104193968709899</v>
      </c>
      <c r="AH5112">
        <v>13.4295475767128</v>
      </c>
      <c r="AI5112">
        <v>94.658158556989903</v>
      </c>
      <c r="AJ5112">
        <v>99.793679631404004</v>
      </c>
      <c r="AK5112">
        <v>13.673318741023801</v>
      </c>
    </row>
    <row r="5113" spans="1:37" x14ac:dyDescent="0.2">
      <c r="A5113" t="str">
        <f>"20200111155659280"</f>
        <v>20200111155659280</v>
      </c>
      <c r="B5113" t="str">
        <f>"1578729419267995"</f>
        <v>1578729419267995</v>
      </c>
      <c r="C5113" t="s">
        <v>37</v>
      </c>
      <c r="D5113">
        <v>5.1645279999999998</v>
      </c>
      <c r="E5113">
        <v>0.46057939999999897</v>
      </c>
      <c r="F5113" t="s">
        <v>38</v>
      </c>
      <c r="G5113">
        <v>-390.9101</v>
      </c>
      <c r="H5113" s="1">
        <v>-4.7048170000000001E-6</v>
      </c>
      <c r="I5113">
        <v>21.55002</v>
      </c>
      <c r="J5113">
        <v>-405.31650000000002</v>
      </c>
      <c r="K5113">
        <v>1.1100139999999901</v>
      </c>
      <c r="L5113">
        <v>21.477329999999998</v>
      </c>
      <c r="M5113">
        <v>0.98726579999999997</v>
      </c>
      <c r="N5113">
        <v>0</v>
      </c>
      <c r="O5113">
        <v>-0.15836689999999901</v>
      </c>
      <c r="P5113">
        <v>0.99441409999999997</v>
      </c>
      <c r="Q5113">
        <v>-2.6408170000000002E-2</v>
      </c>
      <c r="R5113">
        <v>-0.1021931</v>
      </c>
      <c r="S5113">
        <v>3.012054</v>
      </c>
      <c r="T5113">
        <v>-0.23004869999999999</v>
      </c>
      <c r="U5113">
        <v>1.1627200000000001E-2</v>
      </c>
      <c r="V5113">
        <v>-5.644511E-2</v>
      </c>
      <c r="W5113">
        <v>-1.2123760000000001E-2</v>
      </c>
      <c r="X5113">
        <v>0.99833209999999994</v>
      </c>
      <c r="Y5113">
        <v>-0.16126699999999999</v>
      </c>
      <c r="Z5113">
        <v>1.8191160000000001E-2</v>
      </c>
      <c r="AA5113">
        <v>0.98674319999999904</v>
      </c>
      <c r="AB5113">
        <v>24</v>
      </c>
      <c r="AC5113">
        <v>14.4064</v>
      </c>
      <c r="AD5113">
        <v>-1.1100187048169901</v>
      </c>
      <c r="AE5113">
        <v>7.2690000000001406E-2</v>
      </c>
      <c r="AF5113">
        <v>-2.3396378968268099</v>
      </c>
      <c r="AG5113">
        <v>-1.1100187048169901</v>
      </c>
      <c r="AH5113">
        <v>14.129162327384501</v>
      </c>
      <c r="AI5113">
        <v>94.431953097119504</v>
      </c>
      <c r="AJ5113">
        <v>99.402250712293096</v>
      </c>
      <c r="AK5113">
        <v>14.3645144396493</v>
      </c>
    </row>
    <row r="5114" spans="1:37" x14ac:dyDescent="0.2">
      <c r="A5114" t="str">
        <f>"20200111155659292"</f>
        <v>20200111155659292</v>
      </c>
      <c r="B5114" t="str">
        <f>"1578729419288491"</f>
        <v>1578729419288491</v>
      </c>
      <c r="C5114" t="s">
        <v>37</v>
      </c>
      <c r="D5114">
        <v>5.1752399999999996</v>
      </c>
      <c r="E5114">
        <v>0.46178989999999998</v>
      </c>
      <c r="F5114" t="s">
        <v>38</v>
      </c>
      <c r="G5114">
        <v>-390.66410000000002</v>
      </c>
      <c r="H5114" s="1">
        <v>-4.7984480000000001E-6</v>
      </c>
      <c r="I5114">
        <v>21.545310000000001</v>
      </c>
      <c r="J5114">
        <v>-405.17959999999999</v>
      </c>
      <c r="K5114">
        <v>1.109583</v>
      </c>
      <c r="L5114">
        <v>21.460539999999899</v>
      </c>
      <c r="M5114">
        <v>0.98793809999999904</v>
      </c>
      <c r="N5114">
        <v>0</v>
      </c>
      <c r="O5114">
        <v>-0.15412519999999999</v>
      </c>
      <c r="P5114">
        <v>0.99446710000000005</v>
      </c>
      <c r="Q5114">
        <v>-2.5693850000000001E-2</v>
      </c>
      <c r="R5114">
        <v>-0.101858399999999</v>
      </c>
      <c r="S5114">
        <v>3.0122680000000002</v>
      </c>
      <c r="T5114">
        <v>-0.22819980000000001</v>
      </c>
      <c r="U5114">
        <v>1.397705E-2</v>
      </c>
      <c r="V5114">
        <v>-5.2516840000000002E-2</v>
      </c>
      <c r="W5114">
        <v>-1.13846E-2</v>
      </c>
      <c r="X5114">
        <v>0.99855509999999903</v>
      </c>
      <c r="Y5114">
        <v>-0.1578339</v>
      </c>
      <c r="Z5114">
        <v>1.7596420000000002E-2</v>
      </c>
      <c r="AA5114">
        <v>0.98730890000000004</v>
      </c>
      <c r="AB5114">
        <v>24</v>
      </c>
      <c r="AC5114">
        <v>14.5154999999999</v>
      </c>
      <c r="AD5114">
        <v>-1.109587798448</v>
      </c>
      <c r="AE5114">
        <v>8.4770000000002399E-2</v>
      </c>
      <c r="AF5114">
        <v>-2.3077272154232</v>
      </c>
      <c r="AG5114">
        <v>-1.109587798448</v>
      </c>
      <c r="AH5114">
        <v>14.2457139550521</v>
      </c>
      <c r="AI5114">
        <v>94.396646407853197</v>
      </c>
      <c r="AJ5114">
        <v>99.201665731716403</v>
      </c>
      <c r="AK5114">
        <v>14.474016583949201</v>
      </c>
    </row>
    <row r="5115" spans="1:37" x14ac:dyDescent="0.2">
      <c r="A5115" t="str">
        <f>"20200111155659305"</f>
        <v>20200111155659305</v>
      </c>
      <c r="B5115" t="str">
        <f>"1578729419298250"</f>
        <v>1578729419298250</v>
      </c>
      <c r="C5115" t="s">
        <v>37</v>
      </c>
      <c r="D5115">
        <v>5.1446040000000002</v>
      </c>
      <c r="E5115">
        <v>0.46178989999999998</v>
      </c>
      <c r="F5115" t="s">
        <v>38</v>
      </c>
      <c r="G5115">
        <v>-390.3818</v>
      </c>
      <c r="H5115" s="1">
        <v>-4.896452E-6</v>
      </c>
      <c r="I5115">
        <v>21.48678</v>
      </c>
      <c r="J5115">
        <v>-405.05189999999999</v>
      </c>
      <c r="K5115">
        <v>1.109189</v>
      </c>
      <c r="L5115">
        <v>21.44501</v>
      </c>
      <c r="M5115">
        <v>0.98850769999999899</v>
      </c>
      <c r="N5115">
        <v>0</v>
      </c>
      <c r="O5115">
        <v>-0.1504365</v>
      </c>
      <c r="P5115">
        <v>0.99443899999999996</v>
      </c>
      <c r="Q5115">
        <v>-2.5324909999999999E-2</v>
      </c>
      <c r="R5115">
        <v>-0.1022243</v>
      </c>
      <c r="S5115">
        <v>3.0114139999999998</v>
      </c>
      <c r="T5115">
        <v>-0.2258056</v>
      </c>
      <c r="U5115">
        <v>5.3405759999999997E-3</v>
      </c>
      <c r="V5115">
        <v>-4.8437939999999999E-2</v>
      </c>
      <c r="W5115">
        <v>-1.0993060000000001E-2</v>
      </c>
      <c r="X5115">
        <v>0.99876569999999998</v>
      </c>
      <c r="Y5115">
        <v>-0.151361299999999</v>
      </c>
      <c r="Z5115">
        <v>1.6900559999999999E-2</v>
      </c>
      <c r="AA5115">
        <v>0.98833400000000005</v>
      </c>
      <c r="AB5115">
        <v>24</v>
      </c>
      <c r="AC5115">
        <v>14.6700999999999</v>
      </c>
      <c r="AD5115">
        <v>-1.1091938964520001</v>
      </c>
      <c r="AE5115">
        <v>4.1769999999999599E-2</v>
      </c>
      <c r="AF5115">
        <v>-2.2356766790463398</v>
      </c>
      <c r="AG5115">
        <v>-1.1091938964520001</v>
      </c>
      <c r="AH5115">
        <v>14.4144249484313</v>
      </c>
      <c r="AI5115">
        <v>94.348464749863894</v>
      </c>
      <c r="AJ5115">
        <v>98.816325608522007</v>
      </c>
      <c r="AK5115">
        <v>14.6288826609251</v>
      </c>
    </row>
    <row r="5116" spans="1:37" x14ac:dyDescent="0.2">
      <c r="A5116" t="str">
        <f>"20200111155659317"</f>
        <v>20200111155659317</v>
      </c>
      <c r="B5116" t="str">
        <f>"1578729419308010"</f>
        <v>1578729419308010</v>
      </c>
      <c r="C5116" t="s">
        <v>37</v>
      </c>
      <c r="D5116">
        <v>5.1473610000000001</v>
      </c>
      <c r="E5116">
        <v>0.4730374</v>
      </c>
      <c r="F5116" t="s">
        <v>38</v>
      </c>
      <c r="G5116">
        <v>-390.1832</v>
      </c>
      <c r="H5116" s="1">
        <v>-4.9690210000000001E-6</v>
      </c>
      <c r="I5116">
        <v>21.465949999999999</v>
      </c>
      <c r="J5116">
        <v>-404.91809999999998</v>
      </c>
      <c r="K5116">
        <v>1.1087830000000001</v>
      </c>
      <c r="L5116">
        <v>21.42896</v>
      </c>
      <c r="M5116">
        <v>0.98905469999999895</v>
      </c>
      <c r="N5116">
        <v>0</v>
      </c>
      <c r="O5116">
        <v>-0.1468043</v>
      </c>
      <c r="P5116">
        <v>0.99444349999999904</v>
      </c>
      <c r="Q5116">
        <v>-2.4877590000000002E-2</v>
      </c>
      <c r="R5116">
        <v>-0.1022906</v>
      </c>
      <c r="S5116">
        <v>3.0114749999999999</v>
      </c>
      <c r="T5116">
        <v>-0.224654399999999</v>
      </c>
      <c r="U5116">
        <v>4.2419429999999998E-3</v>
      </c>
      <c r="V5116">
        <v>-4.4719290000000002E-2</v>
      </c>
      <c r="W5116">
        <v>-1.053426E-2</v>
      </c>
      <c r="X5116">
        <v>0.99894400000000005</v>
      </c>
      <c r="Y5116">
        <v>-0.14739820000000001</v>
      </c>
      <c r="Z5116">
        <v>1.639825E-2</v>
      </c>
      <c r="AA5116">
        <v>0.98894130000000002</v>
      </c>
      <c r="AB5116">
        <v>24</v>
      </c>
      <c r="AC5116">
        <v>14.7348999999999</v>
      </c>
      <c r="AD5116">
        <v>-1.1087879690210001</v>
      </c>
      <c r="AE5116">
        <v>3.6989999999999398E-2</v>
      </c>
      <c r="AF5116">
        <v>-2.1875860827247302</v>
      </c>
      <c r="AG5116">
        <v>-1.1087879690210001</v>
      </c>
      <c r="AH5116">
        <v>14.4877541230786</v>
      </c>
      <c r="AI5116">
        <v>94.327606963106902</v>
      </c>
      <c r="AJ5116">
        <v>98.586541847876504</v>
      </c>
      <c r="AK5116">
        <v>14.693875021938799</v>
      </c>
    </row>
    <row r="5117" spans="1:37" x14ac:dyDescent="0.2">
      <c r="A5117" t="str">
        <f>"20200111155659335"</f>
        <v>20200111155659335</v>
      </c>
      <c r="B5117" t="str">
        <f>"1578729419328505"</f>
        <v>1578729419328505</v>
      </c>
      <c r="C5117" t="s">
        <v>37</v>
      </c>
      <c r="D5117">
        <v>5.1731540000000003</v>
      </c>
      <c r="E5117">
        <v>0.4740047</v>
      </c>
      <c r="F5117" t="s">
        <v>88</v>
      </c>
      <c r="G5117">
        <v>-389.33350000000002</v>
      </c>
      <c r="H5117" s="1">
        <v>-6.7922199999999997E-7</v>
      </c>
      <c r="I5117">
        <v>20.98339</v>
      </c>
      <c r="J5117">
        <v>-404.738</v>
      </c>
      <c r="K5117">
        <v>1.108255</v>
      </c>
      <c r="L5117">
        <v>21.407499999999999</v>
      </c>
      <c r="M5117">
        <v>0.98967019999999895</v>
      </c>
      <c r="N5117">
        <v>0</v>
      </c>
      <c r="O5117">
        <v>-0.1426074</v>
      </c>
      <c r="P5117">
        <v>0.99420889999999995</v>
      </c>
      <c r="Q5117">
        <v>-2.4805509999999999E-2</v>
      </c>
      <c r="R5117">
        <v>-0.10456359999999899</v>
      </c>
      <c r="S5117">
        <v>3.0026250000000001</v>
      </c>
      <c r="T5117">
        <v>-0.2136257</v>
      </c>
      <c r="U5117">
        <v>-8.5845950000000004E-2</v>
      </c>
      <c r="V5117">
        <v>-3.8213129999999998E-2</v>
      </c>
      <c r="W5117">
        <v>-1.044084E-2</v>
      </c>
      <c r="X5117">
        <v>0.99921510000000002</v>
      </c>
      <c r="Y5117">
        <v>-0.113633399999999</v>
      </c>
      <c r="Z5117">
        <v>1.413738E-2</v>
      </c>
      <c r="AA5117">
        <v>0.99342219999999903</v>
      </c>
      <c r="AB5117">
        <v>24</v>
      </c>
      <c r="AC5117">
        <v>15.404500000000001</v>
      </c>
      <c r="AD5117">
        <v>-1.108255679222</v>
      </c>
      <c r="AE5117">
        <v>-0.42410999999999799</v>
      </c>
      <c r="AF5117">
        <v>-1.76811401562551</v>
      </c>
      <c r="AG5117">
        <v>-1.108255679222</v>
      </c>
      <c r="AH5117">
        <v>15.228746750714199</v>
      </c>
      <c r="AI5117">
        <v>94.134624280282694</v>
      </c>
      <c r="AJ5117">
        <v>96.622601149039795</v>
      </c>
      <c r="AK5117">
        <v>15.371050238034099</v>
      </c>
    </row>
    <row r="5118" spans="1:37" x14ac:dyDescent="0.2">
      <c r="A5118" t="str">
        <f>"20200111155659348"</f>
        <v>20200111155659348</v>
      </c>
      <c r="B5118" t="str">
        <f>"1578729419338266"</f>
        <v>1578729419338266</v>
      </c>
      <c r="C5118" t="s">
        <v>37</v>
      </c>
      <c r="D5118">
        <v>5.1461940000000004</v>
      </c>
      <c r="E5118">
        <v>0.4738135</v>
      </c>
      <c r="F5118" t="s">
        <v>88</v>
      </c>
      <c r="G5118">
        <v>-389.26499999999999</v>
      </c>
      <c r="H5118" s="1">
        <v>-6.8665590000000004E-7</v>
      </c>
      <c r="I5118">
        <v>20.889620000000001</v>
      </c>
      <c r="J5118">
        <v>-404.60520000000002</v>
      </c>
      <c r="K5118">
        <v>1.1078589999999999</v>
      </c>
      <c r="L5118">
        <v>21.391749999999998</v>
      </c>
      <c r="M5118">
        <v>0.99005189999999998</v>
      </c>
      <c r="N5118">
        <v>0</v>
      </c>
      <c r="O5118">
        <v>-0.13993989999999901</v>
      </c>
      <c r="P5118">
        <v>0.99417559999999905</v>
      </c>
      <c r="Q5118">
        <v>-2.4939369999999999E-2</v>
      </c>
      <c r="R5118">
        <v>-0.1048504</v>
      </c>
      <c r="S5118">
        <v>3.0015869999999998</v>
      </c>
      <c r="T5118">
        <v>-0.21498879999999901</v>
      </c>
      <c r="U5118">
        <v>-0.10046389999999999</v>
      </c>
      <c r="V5118">
        <v>-3.5241219999999997E-2</v>
      </c>
      <c r="W5118">
        <v>-1.058156E-2</v>
      </c>
      <c r="X5118">
        <v>0.99932279999999996</v>
      </c>
      <c r="Y5118">
        <v>-0.1061271</v>
      </c>
      <c r="Z5118">
        <v>1.3772799999999899E-2</v>
      </c>
      <c r="AA5118">
        <v>0.99425719999999995</v>
      </c>
      <c r="AB5118">
        <v>24</v>
      </c>
      <c r="AC5118">
        <v>15.340199999999999</v>
      </c>
      <c r="AD5118">
        <v>-1.1078596866558901</v>
      </c>
      <c r="AE5118">
        <v>-0.50212999999999697</v>
      </c>
      <c r="AF5118">
        <v>-1.6411971459175601</v>
      </c>
      <c r="AG5118">
        <v>-1.1078596866558901</v>
      </c>
      <c r="AH5118">
        <v>15.180404726748799</v>
      </c>
      <c r="AI5118">
        <v>94.149925287302096</v>
      </c>
      <c r="AJ5118">
        <v>96.170444865656293</v>
      </c>
      <c r="AK5118">
        <v>15.3090028684099</v>
      </c>
    </row>
    <row r="5119" spans="1:37" x14ac:dyDescent="0.2">
      <c r="A5119" t="str">
        <f>"20200111155659361"</f>
        <v>20200111155659361</v>
      </c>
      <c r="B5119" t="str">
        <f>"1578729419358763"</f>
        <v>1578729419358763</v>
      </c>
      <c r="C5119" t="s">
        <v>37</v>
      </c>
      <c r="D5119">
        <v>5.0764089999999999</v>
      </c>
      <c r="E5119">
        <v>0.47387869999999999</v>
      </c>
      <c r="F5119" t="s">
        <v>88</v>
      </c>
      <c r="G5119">
        <v>-388.70409999999998</v>
      </c>
      <c r="H5119" s="1">
        <v>-9.4422039999999999E-7</v>
      </c>
      <c r="I5119">
        <v>20.86102</v>
      </c>
      <c r="J5119">
        <v>-404.46530000000001</v>
      </c>
      <c r="K5119">
        <v>1.1074379999999999</v>
      </c>
      <c r="L5119">
        <v>21.37518</v>
      </c>
      <c r="M5119">
        <v>0.990407699999999</v>
      </c>
      <c r="N5119">
        <v>0</v>
      </c>
      <c r="O5119">
        <v>-0.13740620000000001</v>
      </c>
      <c r="P5119">
        <v>0.99416640000000001</v>
      </c>
      <c r="Q5119">
        <v>-2.5625249999999999E-2</v>
      </c>
      <c r="R5119">
        <v>-0.10477110000000001</v>
      </c>
      <c r="S5119">
        <v>3.0017399999999999</v>
      </c>
      <c r="T5119">
        <v>-0.20913679999999901</v>
      </c>
      <c r="U5119">
        <v>-0.10018919999999901</v>
      </c>
      <c r="V5119">
        <v>-3.276776E-2</v>
      </c>
      <c r="W5119">
        <v>-1.12826E-2</v>
      </c>
      <c r="X5119">
        <v>0.99939929999999999</v>
      </c>
      <c r="Y5119">
        <v>-0.1037206</v>
      </c>
      <c r="Z5119">
        <v>1.3139670000000001E-2</v>
      </c>
      <c r="AA5119">
        <v>0.99451970000000001</v>
      </c>
      <c r="AB5119">
        <v>24</v>
      </c>
      <c r="AC5119">
        <v>15.761200000000001</v>
      </c>
      <c r="AD5119">
        <v>-1.10743894422039</v>
      </c>
      <c r="AE5119">
        <v>-0.51415999999999995</v>
      </c>
      <c r="AF5119">
        <v>-1.6485043170792999</v>
      </c>
      <c r="AG5119">
        <v>-1.10743894422039</v>
      </c>
      <c r="AH5119">
        <v>15.6053645894977</v>
      </c>
      <c r="AI5119">
        <v>94.036819129409196</v>
      </c>
      <c r="AJ5119">
        <v>96.030191489349903</v>
      </c>
      <c r="AK5119">
        <v>15.731223457498601</v>
      </c>
    </row>
    <row r="5120" spans="1:37" x14ac:dyDescent="0.2">
      <c r="A5120" t="str">
        <f>"20200111155659379"</f>
        <v>20200111155659379</v>
      </c>
      <c r="B5120" t="str">
        <f>"1578729419368522"</f>
        <v>1578729419368522</v>
      </c>
      <c r="C5120" t="s">
        <v>37</v>
      </c>
      <c r="D5120">
        <v>5.2068339999999997</v>
      </c>
      <c r="E5120">
        <v>0.47400389999999998</v>
      </c>
      <c r="F5120" t="s">
        <v>88</v>
      </c>
      <c r="G5120">
        <v>-388.64830000000001</v>
      </c>
      <c r="H5120" s="1">
        <v>-9.6628840000000002E-7</v>
      </c>
      <c r="I5120">
        <v>20.844819999999999</v>
      </c>
      <c r="J5120">
        <v>-404.28039999999999</v>
      </c>
      <c r="K5120">
        <v>1.1068610000000001</v>
      </c>
      <c r="L5120">
        <v>21.353179999999998</v>
      </c>
      <c r="M5120">
        <v>0.99078290000000002</v>
      </c>
      <c r="N5120">
        <v>0</v>
      </c>
      <c r="O5120">
        <v>-0.1346832</v>
      </c>
      <c r="P5120">
        <v>0.99390029999999996</v>
      </c>
      <c r="Q5120">
        <v>-2.9640380000000001E-2</v>
      </c>
      <c r="R5120">
        <v>-0.10622519999999901</v>
      </c>
      <c r="S5120">
        <v>3.0015869999999998</v>
      </c>
      <c r="T5120">
        <v>-0.21015739999999999</v>
      </c>
      <c r="U5120">
        <v>-0.100647</v>
      </c>
      <c r="V5120">
        <v>-2.8537509999999999E-2</v>
      </c>
      <c r="W5120">
        <v>-1.531533E-2</v>
      </c>
      <c r="X5120">
        <v>0.99947540000000001</v>
      </c>
      <c r="Y5120">
        <v>-0.1008409</v>
      </c>
      <c r="Z5120">
        <v>1.2914749999999999E-2</v>
      </c>
      <c r="AA5120">
        <v>0.99481869999999994</v>
      </c>
      <c r="AB5120">
        <v>24</v>
      </c>
      <c r="AC5120">
        <v>15.6320999999999</v>
      </c>
      <c r="AD5120">
        <v>-1.1068619662883901</v>
      </c>
      <c r="AE5120">
        <v>-0.50835999999999604</v>
      </c>
      <c r="AF5120">
        <v>-1.59389206283405</v>
      </c>
      <c r="AG5120">
        <v>-1.1068619662883901</v>
      </c>
      <c r="AH5120">
        <v>15.4805842004913</v>
      </c>
      <c r="AI5120">
        <v>94.0682552912848</v>
      </c>
      <c r="AJ5120">
        <v>95.878500505713504</v>
      </c>
      <c r="AK5120">
        <v>15.601734599360499</v>
      </c>
    </row>
    <row r="5121" spans="1:37" x14ac:dyDescent="0.2">
      <c r="A5121" t="str">
        <f>"20200111155659392"</f>
        <v>20200111155659392</v>
      </c>
      <c r="B5121" t="str">
        <f>"1578729419388042"</f>
        <v>1578729419388042</v>
      </c>
      <c r="C5121" t="s">
        <v>37</v>
      </c>
      <c r="D5121">
        <v>5.1347559999999897</v>
      </c>
      <c r="E5121">
        <v>0.47429499999999902</v>
      </c>
      <c r="F5121" t="s">
        <v>88</v>
      </c>
      <c r="G5121">
        <v>-389.4837</v>
      </c>
      <c r="H5121" s="1">
        <v>-5.6733479999999998E-7</v>
      </c>
      <c r="I5121">
        <v>20.829729999999898</v>
      </c>
      <c r="J5121">
        <v>-404.13470000000001</v>
      </c>
      <c r="K5121">
        <v>1.1064309999999999</v>
      </c>
      <c r="L5121">
        <v>21.335660000000001</v>
      </c>
      <c r="M5121">
        <v>0.99100200000000005</v>
      </c>
      <c r="N5121">
        <v>0</v>
      </c>
      <c r="O5121">
        <v>-0.13306709999999999</v>
      </c>
      <c r="P5121">
        <v>0.993807</v>
      </c>
      <c r="Q5121">
        <v>-3.2000069999999999E-2</v>
      </c>
      <c r="R5121">
        <v>-0.106413799999999</v>
      </c>
      <c r="S5121">
        <v>3.0003660000000001</v>
      </c>
      <c r="T5121">
        <v>-0.22444149999999999</v>
      </c>
      <c r="U5121">
        <v>-0.1061401</v>
      </c>
      <c r="V5121">
        <v>-2.67149E-2</v>
      </c>
      <c r="W5121">
        <v>-1.7698040000000002E-2</v>
      </c>
      <c r="X5121">
        <v>0.9994864</v>
      </c>
      <c r="Y5121">
        <v>-9.7318070000000007E-2</v>
      </c>
      <c r="Z5121">
        <v>1.354375E-2</v>
      </c>
      <c r="AA5121">
        <v>0.99516119999999997</v>
      </c>
      <c r="AB5121">
        <v>24</v>
      </c>
      <c r="AC5121">
        <v>14.651</v>
      </c>
      <c r="AD5121">
        <v>-1.1064315673348</v>
      </c>
      <c r="AE5121">
        <v>-0.50593000000000199</v>
      </c>
      <c r="AF5121">
        <v>-1.4401356844754201</v>
      </c>
      <c r="AG5121">
        <v>-1.1064315673348</v>
      </c>
      <c r="AH5121">
        <v>14.5053836989762</v>
      </c>
      <c r="AI5121">
        <v>94.340662635829005</v>
      </c>
      <c r="AJ5121">
        <v>95.669906830805203</v>
      </c>
      <c r="AK5121">
        <v>14.6186298214784</v>
      </c>
    </row>
    <row r="5122" spans="1:37" x14ac:dyDescent="0.2">
      <c r="A5122" t="str">
        <f>"20200111155659406"</f>
        <v>20200111155659406</v>
      </c>
      <c r="B5122" t="str">
        <f>"1578729419398779"</f>
        <v>1578729419398779</v>
      </c>
      <c r="C5122" t="s">
        <v>37</v>
      </c>
      <c r="D5122">
        <v>5.1744750000000002</v>
      </c>
      <c r="E5122">
        <v>0.47437170000000001</v>
      </c>
      <c r="F5122" t="s">
        <v>88</v>
      </c>
      <c r="G5122">
        <v>-389.83969999999999</v>
      </c>
      <c r="H5122" s="1">
        <v>-3.9527409999999901E-7</v>
      </c>
      <c r="I5122">
        <v>20.815429999999999</v>
      </c>
      <c r="J5122">
        <v>-403.98989999999998</v>
      </c>
      <c r="K5122">
        <v>1.1060190000000001</v>
      </c>
      <c r="L5122">
        <v>21.318149999999999</v>
      </c>
      <c r="M5122">
        <v>0.99117929999999999</v>
      </c>
      <c r="N5122">
        <v>0</v>
      </c>
      <c r="O5122">
        <v>-0.13174710000000001</v>
      </c>
      <c r="P5122">
        <v>0.99373719999999999</v>
      </c>
      <c r="Q5122">
        <v>-3.4561920000000003E-2</v>
      </c>
      <c r="R5122">
        <v>-0.1062646</v>
      </c>
      <c r="S5122">
        <v>2.9995419999999999</v>
      </c>
      <c r="T5122">
        <v>-0.2321638</v>
      </c>
      <c r="U5122">
        <v>-0.10916140000000001</v>
      </c>
      <c r="V5122">
        <v>-2.5531669999999999E-2</v>
      </c>
      <c r="W5122">
        <v>-2.0285499999999901E-2</v>
      </c>
      <c r="X5122">
        <v>0.99946809999999997</v>
      </c>
      <c r="Y5122">
        <v>-9.494735E-2</v>
      </c>
      <c r="Z5122">
        <v>1.381902E-2</v>
      </c>
      <c r="AA5122">
        <v>0.9953864</v>
      </c>
      <c r="AB5122">
        <v>24</v>
      </c>
      <c r="AC5122">
        <v>14.1501999999999</v>
      </c>
      <c r="AD5122">
        <v>-1.1060193952741</v>
      </c>
      <c r="AE5122">
        <v>-0.50271999999999994</v>
      </c>
      <c r="AF5122">
        <v>-1.3578180453931601</v>
      </c>
      <c r="AG5122">
        <v>-1.1060193952741</v>
      </c>
      <c r="AH5122">
        <v>14.0076004840365</v>
      </c>
      <c r="AI5122">
        <v>94.493647865234294</v>
      </c>
      <c r="AJ5122">
        <v>95.536632770323394</v>
      </c>
      <c r="AK5122">
        <v>14.1166504549591</v>
      </c>
    </row>
    <row r="5123" spans="1:37" x14ac:dyDescent="0.2">
      <c r="A5123" t="str">
        <f>"20200111155659425"</f>
        <v>20200111155659425</v>
      </c>
      <c r="B5123" t="str">
        <f>"1578729419418297"</f>
        <v>1578729419418297</v>
      </c>
      <c r="C5123" t="s">
        <v>37</v>
      </c>
      <c r="D5123">
        <v>5.1321769999999898</v>
      </c>
      <c r="E5123">
        <v>0.4747786</v>
      </c>
      <c r="F5123" t="s">
        <v>38</v>
      </c>
      <c r="G5123">
        <v>-390.18979999999999</v>
      </c>
      <c r="H5123" s="1">
        <v>-4.8509429999999997E-6</v>
      </c>
      <c r="I5123">
        <v>20.814540000000001</v>
      </c>
      <c r="J5123">
        <v>-403.80279999999999</v>
      </c>
      <c r="K5123">
        <v>1.105507</v>
      </c>
      <c r="L5123">
        <v>21.295200000000001</v>
      </c>
      <c r="M5123">
        <v>0.99134219999999895</v>
      </c>
      <c r="N5123">
        <v>0</v>
      </c>
      <c r="O5123">
        <v>-0.13052249999999899</v>
      </c>
      <c r="P5123">
        <v>0.99354599999999904</v>
      </c>
      <c r="Q5123">
        <v>-3.7907360000000001E-2</v>
      </c>
      <c r="R5123">
        <v>-0.106906999999999</v>
      </c>
      <c r="S5123">
        <v>2.99880999999999</v>
      </c>
      <c r="T5123">
        <v>-0.24034240000000001</v>
      </c>
      <c r="U5123">
        <v>-0.10943599999999901</v>
      </c>
      <c r="V5123">
        <v>-2.365308E-2</v>
      </c>
      <c r="W5123">
        <v>-2.366205E-2</v>
      </c>
      <c r="X5123">
        <v>0.99944009999999905</v>
      </c>
      <c r="Y5123">
        <v>-9.3577149999999998E-2</v>
      </c>
      <c r="Z5123">
        <v>1.415572E-2</v>
      </c>
      <c r="AA5123">
        <v>0.99551139999999905</v>
      </c>
      <c r="AB5123">
        <v>24</v>
      </c>
      <c r="AC5123">
        <v>13.613</v>
      </c>
      <c r="AD5123">
        <v>-1.105511850943</v>
      </c>
      <c r="AE5123">
        <v>-0.48065999999999998</v>
      </c>
      <c r="AF5123">
        <v>-1.2919275025183701</v>
      </c>
      <c r="AG5123">
        <v>-1.105511850943</v>
      </c>
      <c r="AH5123">
        <v>13.4705364996034</v>
      </c>
      <c r="AI5123">
        <v>94.670351058474793</v>
      </c>
      <c r="AJ5123">
        <v>95.478347463143095</v>
      </c>
      <c r="AK5123">
        <v>13.577429311599699</v>
      </c>
    </row>
    <row r="5124" spans="1:37" x14ac:dyDescent="0.2">
      <c r="A5124" t="str">
        <f>"20200111155659437"</f>
        <v>20200111155659437</v>
      </c>
      <c r="B5124" t="str">
        <f>"1578729419428058"</f>
        <v>1578729419428058</v>
      </c>
      <c r="C5124" t="s">
        <v>37</v>
      </c>
      <c r="D5124">
        <v>5.1453220000000002</v>
      </c>
      <c r="E5124">
        <v>0.474910099999999</v>
      </c>
      <c r="F5124" t="s">
        <v>38</v>
      </c>
      <c r="G5124">
        <v>-390.46980000000002</v>
      </c>
      <c r="H5124" s="1">
        <v>-4.7382569999999999E-6</v>
      </c>
      <c r="I5124">
        <v>20.78538</v>
      </c>
      <c r="J5124">
        <v>-403.65929999999997</v>
      </c>
      <c r="K5124">
        <v>1.1051329999999999</v>
      </c>
      <c r="L5124">
        <v>21.277339999999999</v>
      </c>
      <c r="M5124">
        <v>0.99142140000000001</v>
      </c>
      <c r="N5124">
        <v>0</v>
      </c>
      <c r="O5124">
        <v>-0.12992570000000001</v>
      </c>
      <c r="P5124">
        <v>0.99345550000000005</v>
      </c>
      <c r="Q5124">
        <v>-3.9266049999999997E-2</v>
      </c>
      <c r="R5124">
        <v>-0.107258199999999</v>
      </c>
      <c r="S5124">
        <v>2.997681</v>
      </c>
      <c r="T5124">
        <v>-0.2485541</v>
      </c>
      <c r="U5124">
        <v>-0.114624</v>
      </c>
      <c r="V5124">
        <v>-2.2711559999999999E-2</v>
      </c>
      <c r="W5124">
        <v>-2.5045020000000001E-2</v>
      </c>
      <c r="X5124">
        <v>0.99942830000000005</v>
      </c>
      <c r="Y5124">
        <v>-9.1203320000000004E-2</v>
      </c>
      <c r="Z5124">
        <v>1.449524E-2</v>
      </c>
      <c r="AA5124">
        <v>0.99572680000000002</v>
      </c>
      <c r="AB5124">
        <v>24</v>
      </c>
      <c r="AC5124">
        <v>13.189499999999899</v>
      </c>
      <c r="AD5124">
        <v>-1.105137738257</v>
      </c>
      <c r="AE5124">
        <v>-0.49195999999999801</v>
      </c>
      <c r="AF5124">
        <v>-1.21750397759449</v>
      </c>
      <c r="AG5124">
        <v>-1.105137738257</v>
      </c>
      <c r="AH5124">
        <v>13.050111487986401</v>
      </c>
      <c r="AI5124">
        <v>94.819665793738807</v>
      </c>
      <c r="AJ5124">
        <v>95.329954631746205</v>
      </c>
      <c r="AK5124">
        <v>13.153290660699801</v>
      </c>
    </row>
    <row r="5125" spans="1:37" x14ac:dyDescent="0.2">
      <c r="A5125" t="str">
        <f>"20200111155659451"</f>
        <v>20200111155659451</v>
      </c>
      <c r="B5125" t="str">
        <f>"1578729419438794"</f>
        <v>1578729419438794</v>
      </c>
      <c r="C5125" t="s">
        <v>37</v>
      </c>
      <c r="D5125">
        <v>5.3200440000000002</v>
      </c>
      <c r="E5125">
        <v>0.47478339999999902</v>
      </c>
      <c r="F5125" t="s">
        <v>38</v>
      </c>
      <c r="G5125">
        <v>-390.51569999999998</v>
      </c>
      <c r="H5125" s="1">
        <v>-4.7171299999999997E-6</v>
      </c>
      <c r="I5125">
        <v>20.76558</v>
      </c>
      <c r="J5125">
        <v>-403.52550000000002</v>
      </c>
      <c r="K5125">
        <v>1.1047979999999999</v>
      </c>
      <c r="L5125">
        <v>21.26031</v>
      </c>
      <c r="M5125">
        <v>0.99143519999999896</v>
      </c>
      <c r="N5125">
        <v>0</v>
      </c>
      <c r="O5125">
        <v>-0.12982360000000001</v>
      </c>
      <c r="P5125">
        <v>0.99336100000000005</v>
      </c>
      <c r="Q5125">
        <v>-4.0035229999999998E-2</v>
      </c>
      <c r="R5125">
        <v>-0.1078466</v>
      </c>
      <c r="S5125">
        <v>2.9971619999999999</v>
      </c>
      <c r="T5125">
        <v>-0.2520057</v>
      </c>
      <c r="U5125">
        <v>-0.1166992</v>
      </c>
      <c r="V5125">
        <v>-2.2033440000000001E-2</v>
      </c>
      <c r="W5125">
        <v>-2.5833459999999999E-2</v>
      </c>
      <c r="X5125">
        <v>0.99942339999999996</v>
      </c>
      <c r="Y5125">
        <v>-9.0387690000000007E-2</v>
      </c>
      <c r="Z5125">
        <v>1.4655319999999999E-2</v>
      </c>
      <c r="AA5125">
        <v>0.99579879999999998</v>
      </c>
      <c r="AB5125">
        <v>24</v>
      </c>
      <c r="AC5125">
        <v>13.0098</v>
      </c>
      <c r="AD5125">
        <v>-1.1048027171299999</v>
      </c>
      <c r="AE5125">
        <v>-0.49473</v>
      </c>
      <c r="AF5125">
        <v>-1.1900378293256599</v>
      </c>
      <c r="AG5125">
        <v>-1.1048027171299999</v>
      </c>
      <c r="AH5125">
        <v>12.871223859056901</v>
      </c>
      <c r="AI5125">
        <v>94.885229344554602</v>
      </c>
      <c r="AJ5125">
        <v>95.282391882029501</v>
      </c>
      <c r="AK5125">
        <v>12.973248733796799</v>
      </c>
    </row>
    <row r="5126" spans="1:37" x14ac:dyDescent="0.2">
      <c r="A5126" t="str">
        <f>"20200111155659470"</f>
        <v>20200111155659470</v>
      </c>
      <c r="B5126" t="str">
        <f>"1578729419458315"</f>
        <v>1578729419458315</v>
      </c>
      <c r="C5126" t="s">
        <v>37</v>
      </c>
      <c r="D5126">
        <v>5.1631790000000004</v>
      </c>
      <c r="E5126">
        <v>0.47516209999999998</v>
      </c>
      <c r="F5126" t="s">
        <v>38</v>
      </c>
      <c r="G5126">
        <v>-390.40649999999999</v>
      </c>
      <c r="H5126" s="1">
        <v>-4.7555789999999999E-6</v>
      </c>
      <c r="I5126">
        <v>20.746029999999902</v>
      </c>
      <c r="J5126">
        <v>-403.33179999999999</v>
      </c>
      <c r="K5126">
        <v>1.104298</v>
      </c>
      <c r="L5126">
        <v>21.235199999999999</v>
      </c>
      <c r="M5126">
        <v>0.991398</v>
      </c>
      <c r="N5126">
        <v>0</v>
      </c>
      <c r="O5126">
        <v>-0.1301129</v>
      </c>
      <c r="P5126">
        <v>0.99316629999999995</v>
      </c>
      <c r="Q5126">
        <v>-4.2413199999999998E-2</v>
      </c>
      <c r="R5126">
        <v>-0.1087296</v>
      </c>
      <c r="S5126">
        <v>2.997131</v>
      </c>
      <c r="T5126">
        <v>-0.25240050000000003</v>
      </c>
      <c r="U5126">
        <v>-0.11749269999999901</v>
      </c>
      <c r="V5126">
        <v>-2.1457779999999999E-2</v>
      </c>
      <c r="W5126">
        <v>-2.8234749999999999E-2</v>
      </c>
      <c r="X5126">
        <v>0.99937099999999901</v>
      </c>
      <c r="Y5126">
        <v>-9.0411039999999998E-2</v>
      </c>
      <c r="Z5126">
        <v>1.4703320000000001E-2</v>
      </c>
      <c r="AA5126">
        <v>0.99579599999999902</v>
      </c>
      <c r="AB5126">
        <v>24</v>
      </c>
      <c r="AC5126">
        <v>12.925299999999901</v>
      </c>
      <c r="AD5126">
        <v>-1.1043027555789999</v>
      </c>
      <c r="AE5126">
        <v>-0.48917000000000099</v>
      </c>
      <c r="AF5126">
        <v>-1.18824495855652</v>
      </c>
      <c r="AG5126">
        <v>-1.1043027555789999</v>
      </c>
      <c r="AH5126">
        <v>12.7858586776146</v>
      </c>
      <c r="AI5126">
        <v>94.9152573277199</v>
      </c>
      <c r="AJ5126">
        <v>95.309493150101005</v>
      </c>
      <c r="AK5126">
        <v>12.888351049744401</v>
      </c>
    </row>
    <row r="5127" spans="1:37" x14ac:dyDescent="0.2">
      <c r="A5127" t="str">
        <f>"20200111155659485"</f>
        <v>20200111155659485</v>
      </c>
      <c r="B5127" t="str">
        <f>"1578729419478810"</f>
        <v>1578729419478810</v>
      </c>
      <c r="C5127" t="s">
        <v>37</v>
      </c>
      <c r="D5127">
        <v>5.1554089999999997</v>
      </c>
      <c r="E5127">
        <v>0.47525390000000001</v>
      </c>
      <c r="F5127" t="s">
        <v>38</v>
      </c>
      <c r="G5127">
        <v>-390.4212</v>
      </c>
      <c r="H5127" s="1">
        <v>-4.7426430000000003E-6</v>
      </c>
      <c r="I5127">
        <v>20.704999999999998</v>
      </c>
      <c r="J5127">
        <v>-403.16559999999998</v>
      </c>
      <c r="K5127">
        <v>1.103869</v>
      </c>
      <c r="L5127">
        <v>21.213100000000001</v>
      </c>
      <c r="M5127">
        <v>0.99130200000000002</v>
      </c>
      <c r="N5127">
        <v>0</v>
      </c>
      <c r="O5127">
        <v>-0.13084509999999999</v>
      </c>
      <c r="P5127">
        <v>0.99303759999999996</v>
      </c>
      <c r="Q5127">
        <v>-4.3985879999999998E-2</v>
      </c>
      <c r="R5127">
        <v>-0.10927580000000001</v>
      </c>
      <c r="S5127">
        <v>2.996216</v>
      </c>
      <c r="T5127">
        <v>-0.25628079999999998</v>
      </c>
      <c r="U5127">
        <v>-0.1230469</v>
      </c>
      <c r="V5127">
        <v>-2.1669319999999999E-2</v>
      </c>
      <c r="W5127">
        <v>-2.9818819999999999E-2</v>
      </c>
      <c r="X5127">
        <v>0.9993204</v>
      </c>
      <c r="Y5127">
        <v>-8.9268730000000004E-2</v>
      </c>
      <c r="Z5127">
        <v>1.4945470000000001E-2</v>
      </c>
      <c r="AA5127">
        <v>0.99589539999999999</v>
      </c>
      <c r="AB5127">
        <v>24</v>
      </c>
      <c r="AC5127">
        <v>12.744399999999899</v>
      </c>
      <c r="AD5127">
        <v>-1.1038737426430001</v>
      </c>
      <c r="AE5127">
        <v>-0.50810000000000199</v>
      </c>
      <c r="AF5127">
        <v>-1.1553241497903599</v>
      </c>
      <c r="AG5127">
        <v>-1.1038737426430001</v>
      </c>
      <c r="AH5127">
        <v>12.606869555366799</v>
      </c>
      <c r="AI5127">
        <v>94.983353102187905</v>
      </c>
      <c r="AJ5127">
        <v>95.236098927047905</v>
      </c>
      <c r="AK5127">
        <v>12.707732729201499</v>
      </c>
    </row>
    <row r="5128" spans="1:37" x14ac:dyDescent="0.2">
      <c r="A5128" t="str">
        <f>"20200111155659503"</f>
        <v>20200111155659503</v>
      </c>
      <c r="B5128" t="str">
        <f>"1578729419498330"</f>
        <v>1578729419498330</v>
      </c>
      <c r="C5128" t="s">
        <v>37</v>
      </c>
      <c r="D5128">
        <v>5.1429910000000003</v>
      </c>
      <c r="E5128">
        <v>0.47552919999999999</v>
      </c>
      <c r="F5128" t="s">
        <v>38</v>
      </c>
      <c r="G5128">
        <v>-390.31009999999998</v>
      </c>
      <c r="H5128" s="1">
        <v>-4.7797880000000001E-6</v>
      </c>
      <c r="I5128">
        <v>20.673829999999999</v>
      </c>
      <c r="J5128">
        <v>-402.98669999999998</v>
      </c>
      <c r="K5128">
        <v>1.1034090000000001</v>
      </c>
      <c r="L5128">
        <v>21.188569999999999</v>
      </c>
      <c r="M5128">
        <v>0.99113660000000003</v>
      </c>
      <c r="N5128">
        <v>0</v>
      </c>
      <c r="O5128">
        <v>-0.1320954</v>
      </c>
      <c r="P5128">
        <v>0.99302570000000001</v>
      </c>
      <c r="Q5128">
        <v>-4.5971919999999999E-2</v>
      </c>
      <c r="R5128">
        <v>-0.1085658</v>
      </c>
      <c r="S5128">
        <v>2.995819</v>
      </c>
      <c r="T5128">
        <v>-0.25724350000000001</v>
      </c>
      <c r="U5128">
        <v>-0.12567139999999999</v>
      </c>
      <c r="V5128">
        <v>-2.3671089999999999E-2</v>
      </c>
      <c r="W5128">
        <v>-3.1803720000000001E-2</v>
      </c>
      <c r="X5128">
        <v>0.99921380000000004</v>
      </c>
      <c r="Y5128">
        <v>-8.9636499999999994E-2</v>
      </c>
      <c r="Z5128">
        <v>1.512497E-2</v>
      </c>
      <c r="AA5128">
        <v>0.99585970000000001</v>
      </c>
      <c r="AB5128">
        <v>24</v>
      </c>
      <c r="AC5128">
        <v>12.676600000000001</v>
      </c>
      <c r="AD5128">
        <v>-1.1034137797879999</v>
      </c>
      <c r="AE5128">
        <v>-0.51474000000000297</v>
      </c>
      <c r="AF5128">
        <v>-1.1557168624541001</v>
      </c>
      <c r="AG5128">
        <v>-1.1034137797879999</v>
      </c>
      <c r="AH5128">
        <v>12.538651110396801</v>
      </c>
      <c r="AI5128">
        <v>95.008010432644696</v>
      </c>
      <c r="AJ5128">
        <v>95.266206489736405</v>
      </c>
      <c r="AK5128">
        <v>12.640054394813401</v>
      </c>
    </row>
    <row r="5129" spans="1:37" x14ac:dyDescent="0.2">
      <c r="A5129" t="str">
        <f>"20200111155659516"</f>
        <v>20200111155659516</v>
      </c>
      <c r="B5129" t="str">
        <f>"1578729419509066"</f>
        <v>1578729419509066</v>
      </c>
      <c r="C5129" t="s">
        <v>37</v>
      </c>
      <c r="D5129">
        <v>5.4330679999999996</v>
      </c>
      <c r="E5129">
        <v>0.47538809999999898</v>
      </c>
      <c r="F5129" t="s">
        <v>38</v>
      </c>
      <c r="G5129">
        <v>-390.27550000000002</v>
      </c>
      <c r="H5129" s="1">
        <v>-4.7895039999999997E-6</v>
      </c>
      <c r="I5129">
        <v>20.653559999999999</v>
      </c>
      <c r="J5129">
        <v>-402.83510000000001</v>
      </c>
      <c r="K5129">
        <v>1.1030469999999899</v>
      </c>
      <c r="L5129">
        <v>21.167179999999998</v>
      </c>
      <c r="M5129">
        <v>0.99094799999999905</v>
      </c>
      <c r="N5129">
        <v>0</v>
      </c>
      <c r="O5129">
        <v>-0.1335046</v>
      </c>
      <c r="P5129">
        <v>0.99299139999999997</v>
      </c>
      <c r="Q5129">
        <v>-4.6246120000000002E-2</v>
      </c>
      <c r="R5129">
        <v>-0.108763</v>
      </c>
      <c r="S5129">
        <v>2.9952700000000001</v>
      </c>
      <c r="T5129">
        <v>-0.26000820000000002</v>
      </c>
      <c r="U5129">
        <v>-0.12606809999999999</v>
      </c>
      <c r="V5129">
        <v>-2.492014E-2</v>
      </c>
      <c r="W5129">
        <v>-3.2069170000000001E-2</v>
      </c>
      <c r="X5129">
        <v>0.99917500000000004</v>
      </c>
      <c r="Y5129">
        <v>-9.0885519999999997E-2</v>
      </c>
      <c r="Z5129">
        <v>1.5464790000000001E-2</v>
      </c>
      <c r="AA5129">
        <v>0.99574119999999999</v>
      </c>
      <c r="AB5129">
        <v>24</v>
      </c>
      <c r="AC5129">
        <v>12.5595999999999</v>
      </c>
      <c r="AD5129">
        <v>-1.103051789504</v>
      </c>
      <c r="AE5129">
        <v>-0.51361999999999897</v>
      </c>
      <c r="AF5129">
        <v>-1.1589849590316501</v>
      </c>
      <c r="AG5129">
        <v>-1.103051789504</v>
      </c>
      <c r="AH5129">
        <v>12.420084018908</v>
      </c>
      <c r="AI5129">
        <v>95.053393924645306</v>
      </c>
      <c r="AJ5129">
        <v>95.331139566602104</v>
      </c>
      <c r="AK5129">
        <v>12.5227176132948</v>
      </c>
    </row>
    <row r="5130" spans="1:37" x14ac:dyDescent="0.2">
      <c r="A5130" t="str">
        <f>"20200111155659531"</f>
        <v>20200111155659531</v>
      </c>
      <c r="B5130" t="str">
        <f>"1578729419528587"</f>
        <v>1578729419528587</v>
      </c>
      <c r="C5130" t="s">
        <v>37</v>
      </c>
      <c r="D5130">
        <v>5.1884980000000001</v>
      </c>
      <c r="E5130">
        <v>0.47557329999999998</v>
      </c>
      <c r="F5130" t="s">
        <v>38</v>
      </c>
      <c r="G5130">
        <v>-390.10789999999997</v>
      </c>
      <c r="H5130" s="1">
        <v>-4.8501439999999999E-6</v>
      </c>
      <c r="I5130">
        <v>20.632809999999999</v>
      </c>
      <c r="J5130">
        <v>-402.68439999999998</v>
      </c>
      <c r="K5130">
        <v>1.1027290000000001</v>
      </c>
      <c r="L5130">
        <v>21.145199999999999</v>
      </c>
      <c r="M5130">
        <v>0.9907089</v>
      </c>
      <c r="N5130">
        <v>0</v>
      </c>
      <c r="O5130">
        <v>-0.13526839999999901</v>
      </c>
      <c r="P5130">
        <v>0.99303159999999902</v>
      </c>
      <c r="Q5130">
        <v>-4.5477770000000001E-2</v>
      </c>
      <c r="R5130">
        <v>-0.1087186</v>
      </c>
      <c r="S5130">
        <v>2.9953310000000002</v>
      </c>
      <c r="T5130">
        <v>-0.25960369999999999</v>
      </c>
      <c r="U5130">
        <v>-0.12576289999999901</v>
      </c>
      <c r="V5130">
        <v>-2.676984E-2</v>
      </c>
      <c r="W5130">
        <v>-3.1284850000000003E-2</v>
      </c>
      <c r="X5130">
        <v>0.99915189999999998</v>
      </c>
      <c r="Y5130">
        <v>-9.2749209999999999E-2</v>
      </c>
      <c r="Z5130">
        <v>1.5672390000000001E-2</v>
      </c>
      <c r="AA5130">
        <v>0.99556610000000001</v>
      </c>
      <c r="AB5130">
        <v>24</v>
      </c>
      <c r="AC5130">
        <v>12.576499999999999</v>
      </c>
      <c r="AD5130">
        <v>-1.102733850144</v>
      </c>
      <c r="AE5130">
        <v>-0.51238999999999901</v>
      </c>
      <c r="AF5130">
        <v>-1.1845997928418299</v>
      </c>
      <c r="AG5130">
        <v>-1.102733850144</v>
      </c>
      <c r="AH5130">
        <v>12.4347614280969</v>
      </c>
      <c r="AI5130">
        <v>95.0450979318192</v>
      </c>
      <c r="AJ5130">
        <v>95.441869953063502</v>
      </c>
      <c r="AK5130">
        <v>12.5396407598918</v>
      </c>
    </row>
    <row r="5131" spans="1:37" x14ac:dyDescent="0.2">
      <c r="A5131" t="str">
        <f>"20200111155659547"</f>
        <v>20200111155659547</v>
      </c>
      <c r="B5131" t="str">
        <f>"1578729419538345"</f>
        <v>1578729419538345</v>
      </c>
      <c r="C5131" t="s">
        <v>37</v>
      </c>
      <c r="D5131">
        <v>5.4792529999999999</v>
      </c>
      <c r="E5131">
        <v>0.47557329999999998</v>
      </c>
      <c r="F5131" t="s">
        <v>88</v>
      </c>
      <c r="G5131">
        <v>-389.65929999999997</v>
      </c>
      <c r="H5131" s="1">
        <v>-4.2106339999999999E-7</v>
      </c>
      <c r="I5131">
        <v>20.59186</v>
      </c>
      <c r="J5131">
        <v>-402.51990000000001</v>
      </c>
      <c r="K5131">
        <v>1.1024160000000001</v>
      </c>
      <c r="L5131">
        <v>21.120509999999999</v>
      </c>
      <c r="M5131">
        <v>0.99040409999999901</v>
      </c>
      <c r="N5131">
        <v>0</v>
      </c>
      <c r="O5131">
        <v>-0.13748489999999999</v>
      </c>
      <c r="P5131">
        <v>0.99322649999999901</v>
      </c>
      <c r="Q5131">
        <v>-4.322032E-2</v>
      </c>
      <c r="R5131">
        <v>-0.107858199999999</v>
      </c>
      <c r="S5131">
        <v>2.995514</v>
      </c>
      <c r="T5131">
        <v>-0.25360450000000001</v>
      </c>
      <c r="U5131">
        <v>-0.12725829999999999</v>
      </c>
      <c r="V5131">
        <v>-2.9896209999999999E-2</v>
      </c>
      <c r="W5131">
        <v>-2.9000250000000002E-2</v>
      </c>
      <c r="X5131">
        <v>0.99913220000000003</v>
      </c>
      <c r="Y5131">
        <v>-9.4508099999999998E-2</v>
      </c>
      <c r="Z5131">
        <v>1.5570280000000001E-2</v>
      </c>
      <c r="AA5131">
        <v>0.99540229999999996</v>
      </c>
      <c r="AB5131">
        <v>24</v>
      </c>
      <c r="AC5131">
        <v>12.8606</v>
      </c>
      <c r="AD5131">
        <v>-1.1024164210634</v>
      </c>
      <c r="AE5131">
        <v>-0.52864999999999895</v>
      </c>
      <c r="AF5131">
        <v>-1.2356201555925601</v>
      </c>
      <c r="AG5131">
        <v>-1.1024164210634</v>
      </c>
      <c r="AH5131">
        <v>12.717845266345799</v>
      </c>
      <c r="AI5131">
        <v>94.931062831833302</v>
      </c>
      <c r="AJ5131">
        <v>95.549235405747098</v>
      </c>
      <c r="AK5131">
        <v>12.8251965814583</v>
      </c>
    </row>
    <row r="5132" spans="1:37" x14ac:dyDescent="0.2">
      <c r="A5132" t="str">
        <f>"20200111155659560"</f>
        <v>20200111155659560</v>
      </c>
      <c r="B5132" t="str">
        <f>"1578729419548106"</f>
        <v>1578729419548106</v>
      </c>
      <c r="C5132" t="s">
        <v>37</v>
      </c>
      <c r="D5132">
        <v>5.2780940000000003</v>
      </c>
      <c r="E5132">
        <v>0.47553499999999999</v>
      </c>
      <c r="F5132" t="s">
        <v>88</v>
      </c>
      <c r="G5132">
        <v>-389.10950000000003</v>
      </c>
      <c r="H5132" s="1">
        <v>-6.7352070000000001E-7</v>
      </c>
      <c r="I5132">
        <v>20.56391</v>
      </c>
      <c r="J5132">
        <v>-402.37689999999998</v>
      </c>
      <c r="K5132">
        <v>1.10216</v>
      </c>
      <c r="L5132">
        <v>21.098569999999999</v>
      </c>
      <c r="M5132">
        <v>0.99010239999999905</v>
      </c>
      <c r="N5132">
        <v>0</v>
      </c>
      <c r="O5132">
        <v>-0.13964189999999899</v>
      </c>
      <c r="P5132">
        <v>0.99315350000000002</v>
      </c>
      <c r="Q5132">
        <v>-4.1935559999999997E-2</v>
      </c>
      <c r="R5132">
        <v>-0.1090337</v>
      </c>
      <c r="S5132">
        <v>2.99624599999999</v>
      </c>
      <c r="T5132">
        <v>-0.24630949999999999</v>
      </c>
      <c r="U5132">
        <v>-0.1243591</v>
      </c>
      <c r="V5132">
        <v>-3.0908310000000001E-2</v>
      </c>
      <c r="W5132">
        <v>-2.76986E-2</v>
      </c>
      <c r="X5132">
        <v>0.99913839999999998</v>
      </c>
      <c r="Y5132">
        <v>-9.7676910000000006E-2</v>
      </c>
      <c r="Z5132">
        <v>1.542612E-2</v>
      </c>
      <c r="AA5132">
        <v>0.99509859999999895</v>
      </c>
      <c r="AB5132">
        <v>23</v>
      </c>
      <c r="AC5132">
        <v>13.267399999999901</v>
      </c>
      <c r="AD5132">
        <v>-1.1021606735206999</v>
      </c>
      <c r="AE5132">
        <v>-0.53466000000000202</v>
      </c>
      <c r="AF5132">
        <v>-1.3143913741837601</v>
      </c>
      <c r="AG5132">
        <v>-1.1021606735206999</v>
      </c>
      <c r="AH5132">
        <v>13.121642546424599</v>
      </c>
      <c r="AI5132">
        <v>94.777527428348904</v>
      </c>
      <c r="AJ5132">
        <v>95.720221430151099</v>
      </c>
      <c r="AK5132">
        <v>13.2332870425653</v>
      </c>
    </row>
    <row r="5133" spans="1:37" x14ac:dyDescent="0.2">
      <c r="A5133" t="str">
        <f>"20200111155659573"</f>
        <v>20200111155659573</v>
      </c>
      <c r="B5133" t="str">
        <f>"1578729419568602"</f>
        <v>1578729419568602</v>
      </c>
      <c r="C5133" t="s">
        <v>37</v>
      </c>
      <c r="D5133">
        <v>5.180078</v>
      </c>
      <c r="E5133">
        <v>0.47573880000000002</v>
      </c>
      <c r="F5133" t="s">
        <v>88</v>
      </c>
      <c r="G5133">
        <v>-388.58690000000001</v>
      </c>
      <c r="H5133" s="1">
        <v>-9.0666979999999997E-7</v>
      </c>
      <c r="I5133">
        <v>20.51182</v>
      </c>
      <c r="J5133">
        <v>-402.23930000000001</v>
      </c>
      <c r="K5133">
        <v>1.1019410000000001</v>
      </c>
      <c r="L5133">
        <v>21.076720000000002</v>
      </c>
      <c r="M5133">
        <v>0.98976759999999997</v>
      </c>
      <c r="N5133">
        <v>0</v>
      </c>
      <c r="O5133">
        <v>-0.14199579999999901</v>
      </c>
      <c r="P5133">
        <v>0.99305829999999995</v>
      </c>
      <c r="Q5133">
        <v>-4.0691730000000002E-2</v>
      </c>
      <c r="R5133">
        <v>-0.110362899999999</v>
      </c>
      <c r="S5133">
        <v>2.9965820000000001</v>
      </c>
      <c r="T5133">
        <v>-0.23950109999999999</v>
      </c>
      <c r="U5133">
        <v>-0.12750239999999999</v>
      </c>
      <c r="V5133">
        <v>-3.1960379999999997E-2</v>
      </c>
      <c r="W5133">
        <v>-2.6436069999999999E-2</v>
      </c>
      <c r="X5133">
        <v>0.99913949999999996</v>
      </c>
      <c r="Y5133">
        <v>-9.903766E-2</v>
      </c>
      <c r="Z5133">
        <v>1.523922E-2</v>
      </c>
      <c r="AA5133">
        <v>0.99496700000000005</v>
      </c>
      <c r="AB5133">
        <v>23</v>
      </c>
      <c r="AC5133">
        <v>13.6524</v>
      </c>
      <c r="AD5133">
        <v>-1.1019419066698</v>
      </c>
      <c r="AE5133">
        <v>-0.56490000000000096</v>
      </c>
      <c r="AF5133">
        <v>-1.37068539650178</v>
      </c>
      <c r="AG5133">
        <v>-1.1019419066698</v>
      </c>
      <c r="AH5133">
        <v>13.506416817110599</v>
      </c>
      <c r="AI5133">
        <v>94.640503972068302</v>
      </c>
      <c r="AJ5133">
        <v>95.794766602493596</v>
      </c>
      <c r="AK5133">
        <v>13.620438673529801</v>
      </c>
    </row>
    <row r="5134" spans="1:37" x14ac:dyDescent="0.2">
      <c r="A5134" t="str">
        <f>"20200111155659591"</f>
        <v>20200111155659591</v>
      </c>
      <c r="B5134" t="str">
        <f>"1578729419578362"</f>
        <v>1578729419578362</v>
      </c>
      <c r="C5134" t="s">
        <v>37</v>
      </c>
      <c r="D5134">
        <v>5.1234089999999997</v>
      </c>
      <c r="E5134">
        <v>0.4758944</v>
      </c>
      <c r="F5134" t="s">
        <v>88</v>
      </c>
      <c r="G5134">
        <v>-388.00900000000001</v>
      </c>
      <c r="H5134" s="1">
        <v>-1.1622079999999899E-6</v>
      </c>
      <c r="I5134">
        <v>20.445450000000001</v>
      </c>
      <c r="J5134">
        <v>-402.06560000000002</v>
      </c>
      <c r="K5134">
        <v>1.1016950000000001</v>
      </c>
      <c r="L5134">
        <v>21.04834</v>
      </c>
      <c r="M5134">
        <v>0.98929909999999999</v>
      </c>
      <c r="N5134">
        <v>0</v>
      </c>
      <c r="O5134">
        <v>-0.14522460000000001</v>
      </c>
      <c r="P5134">
        <v>0.99295100000000003</v>
      </c>
      <c r="Q5134">
        <v>-3.9075449999999998E-2</v>
      </c>
      <c r="R5134">
        <v>-0.111901</v>
      </c>
      <c r="S5134">
        <v>2.9966430000000002</v>
      </c>
      <c r="T5134">
        <v>-0.2320498</v>
      </c>
      <c r="U5134">
        <v>-0.13293460000000001</v>
      </c>
      <c r="V5134">
        <v>-3.3685470000000002E-2</v>
      </c>
      <c r="W5134">
        <v>-2.4791339999999999E-2</v>
      </c>
      <c r="X5134">
        <v>0.99912489999999998</v>
      </c>
      <c r="Y5134">
        <v>-0.1005178</v>
      </c>
      <c r="Z5134">
        <v>1.50697E-2</v>
      </c>
      <c r="AA5134">
        <v>0.99482109999999901</v>
      </c>
      <c r="AB5134">
        <v>23</v>
      </c>
      <c r="AC5134">
        <v>14.0566</v>
      </c>
      <c r="AD5134">
        <v>-1.1016961622079999</v>
      </c>
      <c r="AE5134">
        <v>-0.60288999999999804</v>
      </c>
      <c r="AF5134">
        <v>-1.4362615997314601</v>
      </c>
      <c r="AG5134">
        <v>-1.1016961622079999</v>
      </c>
      <c r="AH5134">
        <v>13.909827765787201</v>
      </c>
      <c r="AI5134">
        <v>94.5046774045923</v>
      </c>
      <c r="AJ5134">
        <v>95.895193770550406</v>
      </c>
      <c r="AK5134">
        <v>14.0271126854585</v>
      </c>
    </row>
    <row r="5135" spans="1:37" x14ac:dyDescent="0.2">
      <c r="A5135" t="str">
        <f>"20200111155659603"</f>
        <v>20200111155659603</v>
      </c>
      <c r="B5135" t="str">
        <f>"1578729419598858"</f>
        <v>1578729419598858</v>
      </c>
      <c r="C5135" t="s">
        <v>37</v>
      </c>
      <c r="D5135">
        <v>5.1851659999999997</v>
      </c>
      <c r="E5135">
        <v>0.47609089999999998</v>
      </c>
      <c r="F5135" t="s">
        <v>88</v>
      </c>
      <c r="G5135">
        <v>-387.399</v>
      </c>
      <c r="H5135" s="1">
        <v>-1.4308929999999999E-6</v>
      </c>
      <c r="I5135">
        <v>20.371469999999999</v>
      </c>
      <c r="J5135">
        <v>-401.93090000000001</v>
      </c>
      <c r="K5135">
        <v>1.1015189999999999</v>
      </c>
      <c r="L5135">
        <v>21.025790000000001</v>
      </c>
      <c r="M5135">
        <v>0.98890230000000001</v>
      </c>
      <c r="N5135">
        <v>0</v>
      </c>
      <c r="O5135">
        <v>-0.1479026</v>
      </c>
      <c r="P5135">
        <v>0.99278040000000001</v>
      </c>
      <c r="Q5135">
        <v>-3.8614679999999998E-2</v>
      </c>
      <c r="R5135">
        <v>-0.113563</v>
      </c>
      <c r="S5135">
        <v>2.9968569999999999</v>
      </c>
      <c r="T5135">
        <v>-0.22511210000000001</v>
      </c>
      <c r="U5135">
        <v>-0.1383057</v>
      </c>
      <c r="V5135">
        <v>-3.4727790000000001E-2</v>
      </c>
      <c r="W5135">
        <v>-2.4309270000000001E-2</v>
      </c>
      <c r="X5135">
        <v>0.99910109999999996</v>
      </c>
      <c r="Y5135">
        <v>-0.10146819999999999</v>
      </c>
      <c r="Z5135">
        <v>1.4852890000000001E-2</v>
      </c>
      <c r="AA5135">
        <v>0.9947279</v>
      </c>
      <c r="AB5135">
        <v>23</v>
      </c>
      <c r="AC5135">
        <v>14.5319</v>
      </c>
      <c r="AD5135">
        <v>-1.101520430893</v>
      </c>
      <c r="AE5135">
        <v>-0.65431999999999801</v>
      </c>
      <c r="AF5135">
        <v>-1.4938296010059</v>
      </c>
      <c r="AG5135">
        <v>-1.101520430893</v>
      </c>
      <c r="AH5135">
        <v>14.3863388178479</v>
      </c>
      <c r="AI5135">
        <v>94.3551048181981</v>
      </c>
      <c r="AJ5135">
        <v>95.928158292293702</v>
      </c>
      <c r="AK5135">
        <v>14.5055719886682</v>
      </c>
    </row>
    <row r="5136" spans="1:37" x14ac:dyDescent="0.2">
      <c r="A5136" t="str">
        <f>"20200111155659615"</f>
        <v>20200111155659615</v>
      </c>
      <c r="B5136" t="str">
        <f>"1578729419608619"</f>
        <v>1578729419608619</v>
      </c>
      <c r="C5136" t="s">
        <v>37</v>
      </c>
      <c r="D5136">
        <v>5.1794709999999897</v>
      </c>
      <c r="E5136">
        <v>0.476201599999999</v>
      </c>
      <c r="F5136" t="s">
        <v>88</v>
      </c>
      <c r="G5136">
        <v>-386.98770000000002</v>
      </c>
      <c r="H5136" s="1">
        <v>-1.6070799999999999E-6</v>
      </c>
      <c r="I5136">
        <v>20.30293</v>
      </c>
      <c r="J5136">
        <v>-401.80059999999997</v>
      </c>
      <c r="K5136">
        <v>1.101356</v>
      </c>
      <c r="L5136">
        <v>21.003450000000001</v>
      </c>
      <c r="M5136">
        <v>0.98848860000000005</v>
      </c>
      <c r="N5136">
        <v>0</v>
      </c>
      <c r="O5136">
        <v>-0.15064249999999901</v>
      </c>
      <c r="P5136">
        <v>0.99255839999999995</v>
      </c>
      <c r="Q5136">
        <v>-3.841029E-2</v>
      </c>
      <c r="R5136">
        <v>-0.11555509999999999</v>
      </c>
      <c r="S5136">
        <v>2.9966430000000002</v>
      </c>
      <c r="T5136">
        <v>-0.2208937</v>
      </c>
      <c r="U5136">
        <v>-0.14495849999999999</v>
      </c>
      <c r="V5136">
        <v>-3.5500230000000001E-2</v>
      </c>
      <c r="W5136">
        <v>-2.4084910000000001E-2</v>
      </c>
      <c r="X5136">
        <v>0.99907939999999995</v>
      </c>
      <c r="Y5136">
        <v>-0.1020353</v>
      </c>
      <c r="Z5136">
        <v>1.4795529999999999E-2</v>
      </c>
      <c r="AA5136">
        <v>0.99467070000000002</v>
      </c>
      <c r="AB5136">
        <v>23</v>
      </c>
      <c r="AC5136">
        <v>14.8128999999999</v>
      </c>
      <c r="AD5136">
        <v>-1.10135760708</v>
      </c>
      <c r="AE5136">
        <v>-0.70052000000000003</v>
      </c>
      <c r="AF5136">
        <v>-1.53070494383466</v>
      </c>
      <c r="AG5136">
        <v>-1.10135760708</v>
      </c>
      <c r="AH5136">
        <v>14.6684568036643</v>
      </c>
      <c r="AI5136">
        <v>94.270800722626106</v>
      </c>
      <c r="AJ5136">
        <v>95.957453232661095</v>
      </c>
      <c r="AK5136">
        <v>14.7891741217932</v>
      </c>
    </row>
    <row r="5137" spans="1:37" x14ac:dyDescent="0.2">
      <c r="A5137" t="str">
        <f>"20200111155659629"</f>
        <v>20200111155659629</v>
      </c>
      <c r="B5137" t="str">
        <f>"1578729419618379"</f>
        <v>1578729419618379</v>
      </c>
      <c r="C5137" t="s">
        <v>37</v>
      </c>
      <c r="D5137">
        <v>5.2204199999999998</v>
      </c>
      <c r="E5137">
        <v>0.476201599999999</v>
      </c>
      <c r="F5137" t="s">
        <v>88</v>
      </c>
      <c r="G5137">
        <v>-386.76519999999999</v>
      </c>
      <c r="H5137" s="1">
        <v>-1.6959580000000001E-6</v>
      </c>
      <c r="I5137">
        <v>20.241759999999999</v>
      </c>
      <c r="J5137">
        <v>-401.6764</v>
      </c>
      <c r="K5137">
        <v>1.1012150000000001</v>
      </c>
      <c r="L5137">
        <v>20.981539999999999</v>
      </c>
      <c r="M5137">
        <v>0.98806070000000001</v>
      </c>
      <c r="N5137">
        <v>0</v>
      </c>
      <c r="O5137">
        <v>-0.15342320000000001</v>
      </c>
      <c r="P5137">
        <v>0.99234319999999898</v>
      </c>
      <c r="Q5137">
        <v>-3.8004599999999999E-2</v>
      </c>
      <c r="R5137">
        <v>-0.1175184</v>
      </c>
      <c r="S5137">
        <v>2.9963380000000002</v>
      </c>
      <c r="T5137">
        <v>-0.21948480000000001</v>
      </c>
      <c r="U5137">
        <v>-0.1517944</v>
      </c>
      <c r="V5137">
        <v>-3.6341419999999999E-2</v>
      </c>
      <c r="W5137">
        <v>-2.3657689999999999E-2</v>
      </c>
      <c r="X5137">
        <v>0.99905940000000004</v>
      </c>
      <c r="Y5137">
        <v>-0.1025655</v>
      </c>
      <c r="Z5137">
        <v>1.4922100000000001E-2</v>
      </c>
      <c r="AA5137">
        <v>0.99461429999999995</v>
      </c>
      <c r="AB5137">
        <v>23</v>
      </c>
      <c r="AC5137">
        <v>14.911199999999999</v>
      </c>
      <c r="AD5137">
        <v>-1.1012166959580001</v>
      </c>
      <c r="AE5137">
        <v>-0.73977999999999899</v>
      </c>
      <c r="AF5137">
        <v>-1.54850521958219</v>
      </c>
      <c r="AG5137">
        <v>-1.1012166959580001</v>
      </c>
      <c r="AH5137">
        <v>14.767788791710601</v>
      </c>
      <c r="AI5137">
        <v>94.241418508511202</v>
      </c>
      <c r="AJ5137">
        <v>95.985985770903397</v>
      </c>
      <c r="AK5137">
        <v>14.889530967196499</v>
      </c>
    </row>
    <row r="5138" spans="1:37" x14ac:dyDescent="0.2">
      <c r="A5138" t="str">
        <f>"20200111155659641"</f>
        <v>20200111155659641</v>
      </c>
      <c r="B5138" t="str">
        <f>"1578729419637898"</f>
        <v>1578729419637898</v>
      </c>
      <c r="C5138" t="s">
        <v>37</v>
      </c>
      <c r="D5138">
        <v>5.1724139999999998</v>
      </c>
      <c r="E5138">
        <v>0.467747999999999</v>
      </c>
      <c r="F5138" t="s">
        <v>88</v>
      </c>
      <c r="G5138">
        <v>-386.5582</v>
      </c>
      <c r="H5138" s="1">
        <v>-1.7788860000000001E-6</v>
      </c>
      <c r="I5138">
        <v>20.18571</v>
      </c>
      <c r="J5138">
        <v>-401.5421</v>
      </c>
      <c r="K5138">
        <v>1.1010659999999901</v>
      </c>
      <c r="L5138">
        <v>20.957429999999999</v>
      </c>
      <c r="M5138">
        <v>0.98757510000000004</v>
      </c>
      <c r="N5138">
        <v>0</v>
      </c>
      <c r="O5138">
        <v>-0.15651870000000001</v>
      </c>
      <c r="P5138">
        <v>0.99204519999999996</v>
      </c>
      <c r="Q5138">
        <v>-3.8019249999999997E-2</v>
      </c>
      <c r="R5138">
        <v>-0.1200039</v>
      </c>
      <c r="S5138">
        <v>2.9960939999999998</v>
      </c>
      <c r="T5138">
        <v>-0.21823789999999901</v>
      </c>
      <c r="U5138">
        <v>-0.15771479999999999</v>
      </c>
      <c r="V5138">
        <v>-3.6977889999999999E-2</v>
      </c>
      <c r="W5138">
        <v>-2.365076E-2</v>
      </c>
      <c r="X5138">
        <v>0.99903619999999904</v>
      </c>
      <c r="Y5138">
        <v>-0.10371469999999899</v>
      </c>
      <c r="Z5138">
        <v>1.510187E-2</v>
      </c>
      <c r="AA5138">
        <v>0.99449240000000005</v>
      </c>
      <c r="AB5138">
        <v>23</v>
      </c>
      <c r="AC5138">
        <v>14.9839</v>
      </c>
      <c r="AD5138">
        <v>-1.1010677788859999</v>
      </c>
      <c r="AE5138">
        <v>-0.77171999999999796</v>
      </c>
      <c r="AF5138">
        <v>-1.57480416187159</v>
      </c>
      <c r="AG5138">
        <v>-1.1010677788859999</v>
      </c>
      <c r="AH5138">
        <v>14.8400657014458</v>
      </c>
      <c r="AI5138">
        <v>94.219713900630197</v>
      </c>
      <c r="AJ5138">
        <v>96.057466899146604</v>
      </c>
      <c r="AK5138">
        <v>14.963953636160999</v>
      </c>
    </row>
    <row r="5139" spans="1:37" x14ac:dyDescent="0.2">
      <c r="A5139" t="str">
        <f>"20200111155659658"</f>
        <v>20200111155659658</v>
      </c>
      <c r="B5139" t="str">
        <f>"1578729419648634"</f>
        <v>1578729419648634</v>
      </c>
      <c r="C5139" t="s">
        <v>37</v>
      </c>
      <c r="D5139">
        <v>5.407813</v>
      </c>
      <c r="E5139">
        <v>0.46597</v>
      </c>
      <c r="F5139" t="s">
        <v>89</v>
      </c>
      <c r="G5139">
        <v>-377.5915</v>
      </c>
      <c r="H5139" s="1">
        <v>-1.257743E-6</v>
      </c>
      <c r="I5139">
        <v>20.13786</v>
      </c>
      <c r="J5139">
        <v>-401.36610000000002</v>
      </c>
      <c r="K5139">
        <v>1.100862</v>
      </c>
      <c r="L5139">
        <v>20.924900000000001</v>
      </c>
      <c r="M5139">
        <v>0.98688699999999996</v>
      </c>
      <c r="N5139">
        <v>0</v>
      </c>
      <c r="O5139">
        <v>-0.16080029999999901</v>
      </c>
      <c r="P5139">
        <v>0.9915969</v>
      </c>
      <c r="Q5139">
        <v>-3.93125E-2</v>
      </c>
      <c r="R5139">
        <v>-0.123249</v>
      </c>
      <c r="S5139">
        <v>3.006348</v>
      </c>
      <c r="T5139">
        <v>-0.13820950000000001</v>
      </c>
      <c r="U5139">
        <v>-0.1028748</v>
      </c>
      <c r="V5139">
        <v>-3.8055690000000003E-2</v>
      </c>
      <c r="W5139">
        <v>-2.4911289999999999E-2</v>
      </c>
      <c r="X5139">
        <v>0.99896509999999905</v>
      </c>
      <c r="Y5139">
        <v>-0.12666630000000001</v>
      </c>
      <c r="Z5139">
        <v>1.026699E-2</v>
      </c>
      <c r="AA5139">
        <v>0.99189229999999995</v>
      </c>
      <c r="AB5139">
        <v>23</v>
      </c>
      <c r="AC5139">
        <v>23.7746</v>
      </c>
      <c r="AD5139">
        <v>-1.100863257743</v>
      </c>
      <c r="AE5139">
        <v>-0.78704000000000096</v>
      </c>
      <c r="AF5139">
        <v>-3.0400329152382302</v>
      </c>
      <c r="AG5139">
        <v>-1.100863257743</v>
      </c>
      <c r="AH5139">
        <v>23.541308410547199</v>
      </c>
      <c r="AI5139">
        <v>92.655357569224506</v>
      </c>
      <c r="AJ5139">
        <v>97.358231929798194</v>
      </c>
      <c r="AK5139">
        <v>23.762300009015998</v>
      </c>
    </row>
    <row r="5140" spans="1:37" x14ac:dyDescent="0.2">
      <c r="A5140" t="str">
        <f>"20200111155659671"</f>
        <v>20200111155659671</v>
      </c>
      <c r="B5140" t="str">
        <f>"1578729419668154"</f>
        <v>1578729419668154</v>
      </c>
      <c r="C5140" t="s">
        <v>37</v>
      </c>
      <c r="D5140">
        <v>5.196993</v>
      </c>
      <c r="E5140">
        <v>0.46564499999999998</v>
      </c>
      <c r="F5140" t="s">
        <v>89</v>
      </c>
      <c r="G5140">
        <v>-377.86290000000002</v>
      </c>
      <c r="H5140" s="1">
        <v>-1.1334630000000001E-6</v>
      </c>
      <c r="I5140">
        <v>20.152920000000002</v>
      </c>
      <c r="J5140">
        <v>-401.2312</v>
      </c>
      <c r="K5140">
        <v>1.100722</v>
      </c>
      <c r="L5140">
        <v>20.89902</v>
      </c>
      <c r="M5140">
        <v>0.98631499999999905</v>
      </c>
      <c r="N5140">
        <v>0</v>
      </c>
      <c r="O5140">
        <v>-0.16427069999999999</v>
      </c>
      <c r="P5140">
        <v>0.99118890000000004</v>
      </c>
      <c r="Q5140">
        <v>-4.0249640000000003E-2</v>
      </c>
      <c r="R5140">
        <v>-0.1261921</v>
      </c>
      <c r="S5140">
        <v>3.007568</v>
      </c>
      <c r="T5140">
        <v>-0.1408712</v>
      </c>
      <c r="U5140">
        <v>-9.8785399999999995E-2</v>
      </c>
      <c r="V5140">
        <v>-3.8615450000000003E-2</v>
      </c>
      <c r="W5140">
        <v>-2.5823459999999999E-2</v>
      </c>
      <c r="X5140">
        <v>0.99892039999999904</v>
      </c>
      <c r="Y5140">
        <v>-0.13149430000000001</v>
      </c>
      <c r="Z5140">
        <v>1.0734250000000001E-2</v>
      </c>
      <c r="AA5140">
        <v>0.9912588</v>
      </c>
      <c r="AB5140">
        <v>23</v>
      </c>
      <c r="AC5140">
        <v>23.368299999999898</v>
      </c>
      <c r="AD5140">
        <v>-1.1007231334630001</v>
      </c>
      <c r="AE5140">
        <v>-0.74609999999999799</v>
      </c>
      <c r="AF5140">
        <v>-3.0962816059066798</v>
      </c>
      <c r="AG5140">
        <v>-1.1007231334630001</v>
      </c>
      <c r="AH5140">
        <v>23.122110631699702</v>
      </c>
      <c r="AI5140">
        <v>92.701418774556302</v>
      </c>
      <c r="AJ5140">
        <v>97.627103794285205</v>
      </c>
      <c r="AK5140">
        <v>23.354454634269999</v>
      </c>
    </row>
    <row r="5141" spans="1:37" x14ac:dyDescent="0.2">
      <c r="A5141" t="str">
        <f>"20200111155659683"</f>
        <v>20200111155659683</v>
      </c>
      <c r="B5141" t="str">
        <f>"1578729419677914"</f>
        <v>1578729419677914</v>
      </c>
      <c r="C5141" t="s">
        <v>37</v>
      </c>
      <c r="D5141">
        <v>5.127637</v>
      </c>
      <c r="E5141">
        <v>0.4655939</v>
      </c>
      <c r="F5141" t="s">
        <v>89</v>
      </c>
      <c r="G5141">
        <v>-378.42840000000001</v>
      </c>
      <c r="H5141" s="1">
        <v>-8.5270759999999899E-7</v>
      </c>
      <c r="I5141">
        <v>20.102339999999899</v>
      </c>
      <c r="J5141">
        <v>-401.09649999999999</v>
      </c>
      <c r="K5141">
        <v>1.1005860000000001</v>
      </c>
      <c r="L5141">
        <v>20.872710000000001</v>
      </c>
      <c r="M5141">
        <v>0.98571589999999998</v>
      </c>
      <c r="N5141">
        <v>0</v>
      </c>
      <c r="O5141">
        <v>-0.16782710000000001</v>
      </c>
      <c r="P5141">
        <v>0.99078790000000005</v>
      </c>
      <c r="Q5141">
        <v>-4.1751580000000003E-2</v>
      </c>
      <c r="R5141">
        <v>-0.128827</v>
      </c>
      <c r="S5141">
        <v>3.0074160000000001</v>
      </c>
      <c r="T5141">
        <v>-0.1451721</v>
      </c>
      <c r="U5141">
        <v>-0.105072</v>
      </c>
      <c r="V5141">
        <v>-3.957463E-2</v>
      </c>
      <c r="W5141">
        <v>-2.7296239999999999E-2</v>
      </c>
      <c r="X5141">
        <v>0.9988437</v>
      </c>
      <c r="Y5141">
        <v>-0.13297249999999999</v>
      </c>
      <c r="Z5141">
        <v>1.126656E-2</v>
      </c>
      <c r="AA5141">
        <v>0.99105569999999898</v>
      </c>
      <c r="AB5141">
        <v>23</v>
      </c>
      <c r="AC5141">
        <v>22.6680999999999</v>
      </c>
      <c r="AD5141">
        <v>-1.1005868527075999</v>
      </c>
      <c r="AE5141">
        <v>-0.770370000000003</v>
      </c>
      <c r="AF5141">
        <v>-3.0381038531192801</v>
      </c>
      <c r="AG5141">
        <v>-1.1005868527075999</v>
      </c>
      <c r="AH5141">
        <v>22.423026094171501</v>
      </c>
      <c r="AI5141">
        <v>92.784584802122097</v>
      </c>
      <c r="AJ5141">
        <v>97.716038593900194</v>
      </c>
      <c r="AK5141">
        <v>22.654656599970501</v>
      </c>
    </row>
    <row r="5142" spans="1:37" x14ac:dyDescent="0.2">
      <c r="A5142" t="str">
        <f>"20200111155659695"</f>
        <v>20200111155659695</v>
      </c>
      <c r="B5142" t="str">
        <f>"1578729419688650"</f>
        <v>1578729419688650</v>
      </c>
      <c r="C5142" t="s">
        <v>37</v>
      </c>
      <c r="D5142">
        <v>5.2425459999999999</v>
      </c>
      <c r="E5142">
        <v>0.46519529999999998</v>
      </c>
      <c r="F5142" t="s">
        <v>89</v>
      </c>
      <c r="G5142">
        <v>-379.17649999999998</v>
      </c>
      <c r="H5142" s="1">
        <v>-4.8551380000000003E-7</v>
      </c>
      <c r="I5142">
        <v>20.051349999999999</v>
      </c>
      <c r="J5142">
        <v>-400.97379999999998</v>
      </c>
      <c r="K5142">
        <v>1.1004689999999999</v>
      </c>
      <c r="L5142">
        <v>20.848240000000001</v>
      </c>
      <c r="M5142">
        <v>0.98514210000000002</v>
      </c>
      <c r="N5142">
        <v>0</v>
      </c>
      <c r="O5142">
        <v>-0.1711638</v>
      </c>
      <c r="P5142">
        <v>0.99041360000000001</v>
      </c>
      <c r="Q5142">
        <v>-4.3406489999999999E-2</v>
      </c>
      <c r="R5142">
        <v>-0.1311368</v>
      </c>
      <c r="S5142">
        <v>3.006866</v>
      </c>
      <c r="T5142">
        <v>-0.15097240000000001</v>
      </c>
      <c r="U5142">
        <v>-0.11267089999999901</v>
      </c>
      <c r="V5142">
        <v>-4.0639149999999999E-2</v>
      </c>
      <c r="W5142">
        <v>-2.8921800000000001E-2</v>
      </c>
      <c r="X5142">
        <v>0.99875519999999995</v>
      </c>
      <c r="Y5142">
        <v>-0.13378709999999999</v>
      </c>
      <c r="Z5142">
        <v>1.190301E-2</v>
      </c>
      <c r="AA5142">
        <v>0.9909386</v>
      </c>
      <c r="AB5142">
        <v>23</v>
      </c>
      <c r="AC5142">
        <v>21.7973</v>
      </c>
      <c r="AD5142">
        <v>-1.1004694855138</v>
      </c>
      <c r="AE5142">
        <v>-0.79689000000000099</v>
      </c>
      <c r="AF5142">
        <v>-2.9386701471115502</v>
      </c>
      <c r="AG5142">
        <v>-1.1004694855138</v>
      </c>
      <c r="AH5142">
        <v>21.557102988642399</v>
      </c>
      <c r="AI5142">
        <v>92.895622999125806</v>
      </c>
      <c r="AJ5142">
        <v>97.762726777842104</v>
      </c>
      <c r="AK5142">
        <v>21.7842949067673</v>
      </c>
    </row>
    <row r="5143" spans="1:37" x14ac:dyDescent="0.2">
      <c r="A5143" t="str">
        <f>"20200111155659708"</f>
        <v>20200111155659708</v>
      </c>
      <c r="B5143" t="str">
        <f>"1578729419698410"</f>
        <v>1578729419698410</v>
      </c>
      <c r="C5143" t="s">
        <v>37</v>
      </c>
      <c r="D5143">
        <v>5.1755810000000002</v>
      </c>
      <c r="E5143">
        <v>0.46491559999999998</v>
      </c>
      <c r="F5143" t="s">
        <v>89</v>
      </c>
      <c r="G5143">
        <v>-379.56699999999898</v>
      </c>
      <c r="H5143" s="1">
        <v>-2.9195470000000002E-7</v>
      </c>
      <c r="I5143">
        <v>20.017620000000001</v>
      </c>
      <c r="J5143">
        <v>-400.85419999999999</v>
      </c>
      <c r="K5143">
        <v>1.1003579999999999</v>
      </c>
      <c r="L5143">
        <v>20.823640000000001</v>
      </c>
      <c r="M5143">
        <v>0.98454779999999997</v>
      </c>
      <c r="N5143">
        <v>0</v>
      </c>
      <c r="O5143">
        <v>-0.17454829999999999</v>
      </c>
      <c r="P5143">
        <v>0.99009599999999898</v>
      </c>
      <c r="Q5143">
        <v>-4.4672000000000003E-2</v>
      </c>
      <c r="R5143">
        <v>-0.1330974</v>
      </c>
      <c r="S5143">
        <v>3.0068049999999999</v>
      </c>
      <c r="T5143">
        <v>-0.1545715</v>
      </c>
      <c r="U5143">
        <v>-0.116668699999999</v>
      </c>
      <c r="V5143">
        <v>-4.2104870000000003E-2</v>
      </c>
      <c r="W5143">
        <v>-3.0153059999999999E-2</v>
      </c>
      <c r="X5143">
        <v>0.99865809999999999</v>
      </c>
      <c r="Y5143">
        <v>-0.13585050000000001</v>
      </c>
      <c r="Z5143">
        <v>1.2410610000000001E-2</v>
      </c>
      <c r="AA5143">
        <v>0.99065159999999997</v>
      </c>
      <c r="AB5143">
        <v>23</v>
      </c>
      <c r="AC5143">
        <v>21.287199999999999</v>
      </c>
      <c r="AD5143">
        <v>-1.1003582919546999</v>
      </c>
      <c r="AE5143">
        <v>-0.80601999999999996</v>
      </c>
      <c r="AF5143">
        <v>-2.9145928953508902</v>
      </c>
      <c r="AG5143">
        <v>-1.1003582919546999</v>
      </c>
      <c r="AH5143">
        <v>21.044899165740201</v>
      </c>
      <c r="AI5143">
        <v>92.964807249503806</v>
      </c>
      <c r="AJ5143">
        <v>97.884965914855698</v>
      </c>
      <c r="AK5143">
        <v>21.274243136066598</v>
      </c>
    </row>
    <row r="5144" spans="1:37" x14ac:dyDescent="0.2">
      <c r="A5144" t="str">
        <f>"20200111155659725"</f>
        <v>20200111155659725</v>
      </c>
      <c r="B5144" t="str">
        <f>"1578729419717929"</f>
        <v>1578729419717929</v>
      </c>
      <c r="C5144" t="s">
        <v>37</v>
      </c>
      <c r="D5144">
        <v>5.2196169999999897</v>
      </c>
      <c r="E5144">
        <v>0.46439899999999901</v>
      </c>
      <c r="F5144" t="s">
        <v>88</v>
      </c>
      <c r="G5144">
        <v>-380.17380000000003</v>
      </c>
      <c r="H5144" s="1">
        <v>-4.7280210000000002E-6</v>
      </c>
      <c r="I5144">
        <v>19.995539999999998</v>
      </c>
      <c r="J5144">
        <v>-400.67</v>
      </c>
      <c r="K5144">
        <v>1.1001969999999901</v>
      </c>
      <c r="L5144">
        <v>20.78491</v>
      </c>
      <c r="M5144">
        <v>0.98358349999999894</v>
      </c>
      <c r="N5144">
        <v>0</v>
      </c>
      <c r="O5144">
        <v>-0.1799017</v>
      </c>
      <c r="P5144">
        <v>0.98975740000000001</v>
      </c>
      <c r="Q5144">
        <v>-4.6718559999999999E-2</v>
      </c>
      <c r="R5144">
        <v>-0.1349002</v>
      </c>
      <c r="S5144">
        <v>3.0065919999999999</v>
      </c>
      <c r="T5144">
        <v>-0.15997529999999999</v>
      </c>
      <c r="U5144">
        <v>-0.12039179999999999</v>
      </c>
      <c r="V5144">
        <v>-4.5733250000000003E-2</v>
      </c>
      <c r="W5144">
        <v>-3.2131519999999997E-2</v>
      </c>
      <c r="X5144">
        <v>0.99843680000000001</v>
      </c>
      <c r="Y5144">
        <v>-0.13996900000000001</v>
      </c>
      <c r="Z5144">
        <v>1.3234289999999999E-2</v>
      </c>
      <c r="AA5144">
        <v>0.99006740000000004</v>
      </c>
      <c r="AB5144">
        <v>23</v>
      </c>
      <c r="AC5144">
        <v>20.496199999999899</v>
      </c>
      <c r="AD5144">
        <v>-1.1002017280209999</v>
      </c>
      <c r="AE5144">
        <v>-0.78937000000000102</v>
      </c>
      <c r="AF5144">
        <v>-2.9028277015820598</v>
      </c>
      <c r="AG5144">
        <v>-1.1002017280209999</v>
      </c>
      <c r="AH5144">
        <v>20.2455039660457</v>
      </c>
      <c r="AI5144">
        <v>93.079137581583296</v>
      </c>
      <c r="AJ5144">
        <v>98.159534383211096</v>
      </c>
      <c r="AK5144">
        <v>20.482121065616798</v>
      </c>
    </row>
    <row r="5145" spans="1:37" x14ac:dyDescent="0.2">
      <c r="A5145" t="str">
        <f>"20200111155659748"</f>
        <v>20200111155659748</v>
      </c>
      <c r="B5145" t="str">
        <f>"1578729419738426"</f>
        <v>1578729419738426</v>
      </c>
      <c r="C5145" t="s">
        <v>37</v>
      </c>
      <c r="D5145">
        <v>5.1823829999999997</v>
      </c>
      <c r="E5145">
        <v>0.46404879999999998</v>
      </c>
      <c r="F5145" t="s">
        <v>88</v>
      </c>
      <c r="G5145">
        <v>-380.44729999999998</v>
      </c>
      <c r="H5145" s="1">
        <v>-4.6086159999999998E-6</v>
      </c>
      <c r="I5145">
        <v>19.964079999999999</v>
      </c>
      <c r="J5145">
        <v>-400.4452</v>
      </c>
      <c r="K5145">
        <v>1.100028</v>
      </c>
      <c r="L5145">
        <v>20.73584</v>
      </c>
      <c r="M5145">
        <v>0.98231199999999996</v>
      </c>
      <c r="N5145">
        <v>0</v>
      </c>
      <c r="O5145">
        <v>-0.18671750000000001</v>
      </c>
      <c r="P5145">
        <v>0.98943320000000001</v>
      </c>
      <c r="Q5145">
        <v>-4.7380890000000002E-2</v>
      </c>
      <c r="R5145">
        <v>-0.13702909999999999</v>
      </c>
      <c r="S5145">
        <v>3.0066830000000002</v>
      </c>
      <c r="T5145">
        <v>-0.1635762</v>
      </c>
      <c r="U5145">
        <v>-0.1220398</v>
      </c>
      <c r="V5145">
        <v>-5.0520299999999997E-2</v>
      </c>
      <c r="W5145">
        <v>-3.270315E-2</v>
      </c>
      <c r="X5145">
        <v>0.99818750000000001</v>
      </c>
      <c r="Y5145">
        <v>-0.14625160000000001</v>
      </c>
      <c r="Z5145">
        <v>1.40667E-2</v>
      </c>
      <c r="AA5145">
        <v>0.98914740000000001</v>
      </c>
      <c r="AB5145">
        <v>23</v>
      </c>
      <c r="AC5145">
        <v>19.997900000000001</v>
      </c>
      <c r="AD5145">
        <v>-1.1000326086159999</v>
      </c>
      <c r="AE5145">
        <v>-0.77176</v>
      </c>
      <c r="AF5145">
        <v>-2.9671811928962599</v>
      </c>
      <c r="AG5145">
        <v>-1.1000326086159999</v>
      </c>
      <c r="AH5145">
        <v>19.730642011907999</v>
      </c>
      <c r="AI5145">
        <v>93.155668292161593</v>
      </c>
      <c r="AJ5145">
        <v>98.552305472992799</v>
      </c>
      <c r="AK5145">
        <v>19.9828043620901</v>
      </c>
    </row>
    <row r="5146" spans="1:37" x14ac:dyDescent="0.2">
      <c r="A5146" t="str">
        <f>"20200111155659759"</f>
        <v>20200111155659759</v>
      </c>
      <c r="B5146" t="str">
        <f>"1578729419748186"</f>
        <v>1578729419748186</v>
      </c>
      <c r="C5146" t="s">
        <v>37</v>
      </c>
      <c r="D5146">
        <v>5.2002360000000003</v>
      </c>
      <c r="E5146">
        <v>0.46389259999999899</v>
      </c>
      <c r="F5146" t="s">
        <v>88</v>
      </c>
      <c r="G5146">
        <v>-380.22840000000002</v>
      </c>
      <c r="H5146" s="1">
        <v>-4.6881619999999997E-6</v>
      </c>
      <c r="I5146">
        <v>19.889009999999999</v>
      </c>
      <c r="J5146">
        <v>-400.32119999999998</v>
      </c>
      <c r="K5146">
        <v>1.09995</v>
      </c>
      <c r="L5146">
        <v>20.708100000000002</v>
      </c>
      <c r="M5146">
        <v>0.98157090000000002</v>
      </c>
      <c r="N5146">
        <v>0</v>
      </c>
      <c r="O5146">
        <v>-0.19057499999999999</v>
      </c>
      <c r="P5146">
        <v>0.98925580000000002</v>
      </c>
      <c r="Q5146">
        <v>-4.7268039999999997E-2</v>
      </c>
      <c r="R5146">
        <v>-0.13834479999999999</v>
      </c>
      <c r="S5146">
        <v>3.0067750000000002</v>
      </c>
      <c r="T5146">
        <v>-0.163604</v>
      </c>
      <c r="U5146">
        <v>-0.125946</v>
      </c>
      <c r="V5146">
        <v>-5.3119220000000002E-2</v>
      </c>
      <c r="W5146">
        <v>-3.2539940000000003E-2</v>
      </c>
      <c r="X5146">
        <v>0.99805779999999999</v>
      </c>
      <c r="Y5146">
        <v>-0.148845799999999</v>
      </c>
      <c r="Z5146">
        <v>1.4344839999999999E-2</v>
      </c>
      <c r="AA5146">
        <v>0.98875639999999998</v>
      </c>
      <c r="AB5146">
        <v>23</v>
      </c>
      <c r="AC5146">
        <v>20.092799999999901</v>
      </c>
      <c r="AD5146">
        <v>-1.0999546881619999</v>
      </c>
      <c r="AE5146">
        <v>-0.81909000000000198</v>
      </c>
      <c r="AF5146">
        <v>-3.0164676395727499</v>
      </c>
      <c r="AG5146">
        <v>-1.0999546881619999</v>
      </c>
      <c r="AH5146">
        <v>19.821288030031699</v>
      </c>
      <c r="AI5146">
        <v>93.140209938829599</v>
      </c>
      <c r="AJ5146">
        <v>98.653063543225201</v>
      </c>
      <c r="AK5146">
        <v>20.079652300427899</v>
      </c>
    </row>
    <row r="5147" spans="1:37" x14ac:dyDescent="0.2">
      <c r="A5147" t="str">
        <f>"20200111155659771"</f>
        <v>20200111155659771</v>
      </c>
      <c r="B5147" t="str">
        <f>"1578729419768682"</f>
        <v>1578729419768682</v>
      </c>
      <c r="C5147" t="s">
        <v>37</v>
      </c>
      <c r="D5147">
        <v>5.2310489999999996</v>
      </c>
      <c r="E5147">
        <v>0.46378729999999901</v>
      </c>
      <c r="F5147" t="s">
        <v>88</v>
      </c>
      <c r="G5147">
        <v>-380.01769999999999</v>
      </c>
      <c r="H5147" s="1">
        <v>-4.7601289999999997E-6</v>
      </c>
      <c r="I5147">
        <v>19.83849</v>
      </c>
      <c r="J5147">
        <v>-400.195999999999</v>
      </c>
      <c r="K5147">
        <v>1.0998829999999999</v>
      </c>
      <c r="L5147">
        <v>20.679200000000002</v>
      </c>
      <c r="M5147">
        <v>0.98078410000000005</v>
      </c>
      <c r="N5147">
        <v>0</v>
      </c>
      <c r="O5147">
        <v>-0.19458210000000001</v>
      </c>
      <c r="P5147">
        <v>0.98912990000000001</v>
      </c>
      <c r="Q5147">
        <v>-4.7204900000000001E-2</v>
      </c>
      <c r="R5147">
        <v>-0.139260299999999</v>
      </c>
      <c r="S5147">
        <v>3.0068359999999998</v>
      </c>
      <c r="T5147">
        <v>-0.16289709999999999</v>
      </c>
      <c r="U5147">
        <v>-0.12878419999999999</v>
      </c>
      <c r="V5147">
        <v>-5.6273990000000003E-2</v>
      </c>
      <c r="W5147">
        <v>-3.2420450000000003E-2</v>
      </c>
      <c r="X5147">
        <v>0.99788889999999997</v>
      </c>
      <c r="Y5147">
        <v>-0.15194669999999999</v>
      </c>
      <c r="Z5147">
        <v>1.457933E-2</v>
      </c>
      <c r="AA5147">
        <v>0.98828110000000002</v>
      </c>
      <c r="AB5147">
        <v>23</v>
      </c>
      <c r="AC5147">
        <v>20.178299999999901</v>
      </c>
      <c r="AD5147">
        <v>-1.099887760129</v>
      </c>
      <c r="AE5147">
        <v>-0.84071000000000096</v>
      </c>
      <c r="AF5147">
        <v>-3.0929181011107101</v>
      </c>
      <c r="AG5147">
        <v>-1.099887760129</v>
      </c>
      <c r="AH5147">
        <v>19.897126870321699</v>
      </c>
      <c r="AI5147">
        <v>93.1265448313749</v>
      </c>
      <c r="AJ5147">
        <v>98.835655653159904</v>
      </c>
      <c r="AK5147">
        <v>20.166099106141999</v>
      </c>
    </row>
    <row r="5148" spans="1:37" x14ac:dyDescent="0.2">
      <c r="A5148" t="str">
        <f>"20200111155659784"</f>
        <v>20200111155659784</v>
      </c>
      <c r="B5148" t="str">
        <f>"1578729419778441"</f>
        <v>1578729419778441</v>
      </c>
      <c r="C5148" t="s">
        <v>37</v>
      </c>
      <c r="D5148">
        <v>5.2062949999999999</v>
      </c>
      <c r="E5148">
        <v>0.46362709999999902</v>
      </c>
      <c r="F5148" t="s">
        <v>89</v>
      </c>
      <c r="G5148">
        <v>-379.73950000000002</v>
      </c>
      <c r="H5148" s="1">
        <v>-1.495785E-7</v>
      </c>
      <c r="I5148">
        <v>19.78913</v>
      </c>
      <c r="J5148">
        <v>-400.07049999999998</v>
      </c>
      <c r="K5148">
        <v>1.0998209999999999</v>
      </c>
      <c r="L5148">
        <v>20.64969</v>
      </c>
      <c r="M5148">
        <v>0.97996659999999902</v>
      </c>
      <c r="N5148">
        <v>0</v>
      </c>
      <c r="O5148">
        <v>-0.198657</v>
      </c>
      <c r="P5148">
        <v>0.98899059999999905</v>
      </c>
      <c r="Q5148">
        <v>-4.7239929999999999E-2</v>
      </c>
      <c r="R5148">
        <v>-0.1402352</v>
      </c>
      <c r="S5148">
        <v>3.0068359999999998</v>
      </c>
      <c r="T5148">
        <v>-0.16166820000000001</v>
      </c>
      <c r="U5148">
        <v>-0.1308289</v>
      </c>
      <c r="V5148">
        <v>-5.9441340000000002E-2</v>
      </c>
      <c r="W5148">
        <v>-3.2399409999999997E-2</v>
      </c>
      <c r="X5148">
        <v>0.99770590000000003</v>
      </c>
      <c r="Y5148">
        <v>-0.15537989999999999</v>
      </c>
      <c r="Z5148">
        <v>1.477642E-2</v>
      </c>
      <c r="AA5148">
        <v>0.98774430000000002</v>
      </c>
      <c r="AB5148">
        <v>23</v>
      </c>
      <c r="AC5148">
        <v>20.3309999999999</v>
      </c>
      <c r="AD5148">
        <v>-1.0998211495785</v>
      </c>
      <c r="AE5148">
        <v>-0.86055999999999899</v>
      </c>
      <c r="AF5148">
        <v>-3.18658798552983</v>
      </c>
      <c r="AG5148">
        <v>-1.0998211495785</v>
      </c>
      <c r="AH5148">
        <v>20.038141817059401</v>
      </c>
      <c r="AI5148">
        <v>93.102696033011</v>
      </c>
      <c r="AJ5148">
        <v>99.0358623727588</v>
      </c>
      <c r="AK5148">
        <v>20.319721381730801</v>
      </c>
    </row>
    <row r="5149" spans="1:37" x14ac:dyDescent="0.2">
      <c r="A5149" t="str">
        <f>"20200111155659796"</f>
        <v>20200111155659796</v>
      </c>
      <c r="B5149" t="str">
        <f>"1578729419788202"</f>
        <v>1578729419788202</v>
      </c>
      <c r="C5149" t="s">
        <v>37</v>
      </c>
      <c r="D5149">
        <v>5.2117589999999998</v>
      </c>
      <c r="E5149">
        <v>0.46348009999999901</v>
      </c>
      <c r="F5149" t="s">
        <v>89</v>
      </c>
      <c r="G5149">
        <v>-379.54129999999998</v>
      </c>
      <c r="H5149" s="1">
        <v>-2.31395799999999E-7</v>
      </c>
      <c r="I5149">
        <v>19.744389999999999</v>
      </c>
      <c r="J5149">
        <v>-399.94220000000001</v>
      </c>
      <c r="K5149">
        <v>1.0997619999999999</v>
      </c>
      <c r="L5149">
        <v>20.619019999999999</v>
      </c>
      <c r="M5149">
        <v>0.97910160000000002</v>
      </c>
      <c r="N5149">
        <v>0</v>
      </c>
      <c r="O5149">
        <v>-0.20287769999999999</v>
      </c>
      <c r="P5149">
        <v>0.98883029999999905</v>
      </c>
      <c r="Q5149">
        <v>-4.6940410000000002E-2</v>
      </c>
      <c r="R5149">
        <v>-0.14146210000000001</v>
      </c>
      <c r="S5149">
        <v>3.0068969999999999</v>
      </c>
      <c r="T5149">
        <v>-0.16109000000000001</v>
      </c>
      <c r="U5149">
        <v>-0.13259889999999999</v>
      </c>
      <c r="V5149">
        <v>-6.2504599999999993E-2</v>
      </c>
      <c r="W5149">
        <v>-3.2044929999999999E-2</v>
      </c>
      <c r="X5149">
        <v>0.99753009999999998</v>
      </c>
      <c r="Y5149">
        <v>-0.1590482</v>
      </c>
      <c r="Z5149">
        <v>1.5042989999999999E-2</v>
      </c>
      <c r="AA5149">
        <v>0.98715620000000004</v>
      </c>
      <c r="AB5149">
        <v>23</v>
      </c>
      <c r="AC5149">
        <v>20.4009</v>
      </c>
      <c r="AD5149">
        <v>-1.0997622313958</v>
      </c>
      <c r="AE5149">
        <v>-0.87463000000000302</v>
      </c>
      <c r="AF5149">
        <v>-3.2733704470145302</v>
      </c>
      <c r="AG5149">
        <v>-1.0997622313958</v>
      </c>
      <c r="AH5149">
        <v>20.095727775558199</v>
      </c>
      <c r="AI5149">
        <v>93.091786222335699</v>
      </c>
      <c r="AJ5149">
        <v>99.251592465730894</v>
      </c>
      <c r="AK5149">
        <v>20.390260073827701</v>
      </c>
    </row>
    <row r="5150" spans="1:37" x14ac:dyDescent="0.2">
      <c r="A5150" t="str">
        <f>"20200111155659809"</f>
        <v>20200111155659809</v>
      </c>
      <c r="B5150" t="str">
        <f>"1578729419797963"</f>
        <v>1578729419797963</v>
      </c>
      <c r="C5150" t="s">
        <v>37</v>
      </c>
      <c r="D5150">
        <v>5.2029040000000002</v>
      </c>
      <c r="E5150">
        <v>0.46330739999999998</v>
      </c>
      <c r="F5150" t="s">
        <v>89</v>
      </c>
      <c r="G5150">
        <v>-379.22840000000002</v>
      </c>
      <c r="H5150" s="1">
        <v>-3.641525E-7</v>
      </c>
      <c r="I5150">
        <v>19.68751</v>
      </c>
      <c r="J5150">
        <v>-399.82249999999999</v>
      </c>
      <c r="K5150">
        <v>1.0997209999999999</v>
      </c>
      <c r="L5150">
        <v>20.58954</v>
      </c>
      <c r="M5150">
        <v>0.97825899999999999</v>
      </c>
      <c r="N5150">
        <v>0</v>
      </c>
      <c r="O5150">
        <v>-0.2069009</v>
      </c>
      <c r="P5150">
        <v>0.98866419999999999</v>
      </c>
      <c r="Q5150">
        <v>-4.6523439999999999E-2</v>
      </c>
      <c r="R5150">
        <v>-0.142753399999999</v>
      </c>
      <c r="S5150">
        <v>3.006958</v>
      </c>
      <c r="T5150">
        <v>-0.15964890000000001</v>
      </c>
      <c r="U5150">
        <v>-0.13522339999999999</v>
      </c>
      <c r="V5150">
        <v>-6.5303159999999999E-2</v>
      </c>
      <c r="W5150">
        <v>-3.1578679999999998E-2</v>
      </c>
      <c r="X5150">
        <v>0.99736569999999902</v>
      </c>
      <c r="Y5150">
        <v>-0.1622458</v>
      </c>
      <c r="Z5150">
        <v>1.520196E-2</v>
      </c>
      <c r="AA5150">
        <v>0.98663319999999999</v>
      </c>
      <c r="AB5150">
        <v>23</v>
      </c>
      <c r="AC5150">
        <v>20.594099999999901</v>
      </c>
      <c r="AD5150">
        <v>-1.0997213641525001</v>
      </c>
      <c r="AE5150">
        <v>-0.902029999999999</v>
      </c>
      <c r="AF5150">
        <v>-3.36926982087031</v>
      </c>
      <c r="AG5150">
        <v>-1.0997213641525001</v>
      </c>
      <c r="AH5150">
        <v>20.277330855991799</v>
      </c>
      <c r="AI5150">
        <v>93.062433863791895</v>
      </c>
      <c r="AJ5150">
        <v>99.434043068265296</v>
      </c>
      <c r="AK5150">
        <v>20.584739805204201</v>
      </c>
    </row>
    <row r="5151" spans="1:37" x14ac:dyDescent="0.2">
      <c r="A5151" t="str">
        <f>"20200111155659826"</f>
        <v>20200111155659826</v>
      </c>
      <c r="B5151" t="str">
        <f>"1578729419818458"</f>
        <v>1578729419818458</v>
      </c>
      <c r="C5151" t="s">
        <v>37</v>
      </c>
      <c r="D5151">
        <v>5.3840459999999997</v>
      </c>
      <c r="E5151">
        <v>0.46293230000000002</v>
      </c>
      <c r="F5151" t="s">
        <v>89</v>
      </c>
      <c r="G5151">
        <v>-378.82830000000001</v>
      </c>
      <c r="H5151" s="1">
        <v>-5.3723859999999996E-7</v>
      </c>
      <c r="I5151">
        <v>19.62715</v>
      </c>
      <c r="J5151">
        <v>-399.65039999999999</v>
      </c>
      <c r="K5151">
        <v>1.0996840000000001</v>
      </c>
      <c r="L5151">
        <v>20.546329999999902</v>
      </c>
      <c r="M5151">
        <v>0.97700589999999998</v>
      </c>
      <c r="N5151">
        <v>0</v>
      </c>
      <c r="O5151">
        <v>-0.21273909999999999</v>
      </c>
      <c r="P5151">
        <v>0.98861189999999999</v>
      </c>
      <c r="Q5151">
        <v>-4.2560720000000003E-2</v>
      </c>
      <c r="R5151">
        <v>-0.144344899999999</v>
      </c>
      <c r="S5151">
        <v>3.0071110000000001</v>
      </c>
      <c r="T5151">
        <v>-0.15751860000000001</v>
      </c>
      <c r="U5151">
        <v>-0.1378479</v>
      </c>
      <c r="V5151">
        <v>-6.9643389999999999E-2</v>
      </c>
      <c r="W5151">
        <v>-2.7541389999999999E-2</v>
      </c>
      <c r="X5151">
        <v>0.99719169999999901</v>
      </c>
      <c r="Y5151">
        <v>-0.16727790000000001</v>
      </c>
      <c r="Z5151">
        <v>1.542924E-2</v>
      </c>
      <c r="AA5151">
        <v>0.98578909999999997</v>
      </c>
      <c r="AB5151">
        <v>23</v>
      </c>
      <c r="AC5151">
        <v>20.822099999999899</v>
      </c>
      <c r="AD5151">
        <v>-1.0996845372385999</v>
      </c>
      <c r="AE5151">
        <v>-0.919179999999997</v>
      </c>
      <c r="AF5151">
        <v>-3.5221813481281998</v>
      </c>
      <c r="AG5151">
        <v>-1.0996845372385999</v>
      </c>
      <c r="AH5151">
        <v>20.483906580465099</v>
      </c>
      <c r="AI5151">
        <v>93.028628721508795</v>
      </c>
      <c r="AJ5151">
        <v>99.756527080530205</v>
      </c>
      <c r="AK5151">
        <v>20.813589222615299</v>
      </c>
    </row>
    <row r="5152" spans="1:37" x14ac:dyDescent="0.2">
      <c r="A5152" t="str">
        <f>"20200111155659837"</f>
        <v>20200111155659837</v>
      </c>
      <c r="B5152" t="str">
        <f>"1578729419828218"</f>
        <v>1578729419828218</v>
      </c>
      <c r="C5152" t="s">
        <v>37</v>
      </c>
      <c r="D5152">
        <v>5.2349180000000004</v>
      </c>
      <c r="E5152">
        <v>0.46292109999999898</v>
      </c>
      <c r="F5152" t="s">
        <v>89</v>
      </c>
      <c r="G5152">
        <v>-376.84500000000003</v>
      </c>
      <c r="H5152" s="1">
        <v>-1.494906E-6</v>
      </c>
      <c r="I5152">
        <v>19.486370000000001</v>
      </c>
      <c r="J5152">
        <v>-399.52420000000001</v>
      </c>
      <c r="K5152">
        <v>1.099661</v>
      </c>
      <c r="L5152">
        <v>20.51407</v>
      </c>
      <c r="M5152">
        <v>0.9760548</v>
      </c>
      <c r="N5152">
        <v>0</v>
      </c>
      <c r="O5152">
        <v>-0.21706030000000001</v>
      </c>
      <c r="P5152">
        <v>0.98828050000000001</v>
      </c>
      <c r="Q5152">
        <v>-4.0450159999999999E-2</v>
      </c>
      <c r="R5152">
        <v>-0.1471934</v>
      </c>
      <c r="S5152">
        <v>3.0079039999999999</v>
      </c>
      <c r="T5152">
        <v>-0.14504229999999901</v>
      </c>
      <c r="U5152">
        <v>-0.13980100000000001</v>
      </c>
      <c r="V5152">
        <v>-7.1176550000000005E-2</v>
      </c>
      <c r="W5152">
        <v>-2.539717E-2</v>
      </c>
      <c r="X5152">
        <v>0.99714029999999998</v>
      </c>
      <c r="Y5152">
        <v>-0.1710816</v>
      </c>
      <c r="Z5152">
        <v>1.4500010000000001E-2</v>
      </c>
      <c r="AA5152">
        <v>0.98515019999999998</v>
      </c>
      <c r="AB5152">
        <v>23</v>
      </c>
      <c r="AC5152">
        <v>22.679199999999899</v>
      </c>
      <c r="AD5152">
        <v>-1.0996624949060001</v>
      </c>
      <c r="AE5152">
        <v>-1.0276999999999901</v>
      </c>
      <c r="AF5152">
        <v>-3.9108822270989299</v>
      </c>
      <c r="AG5152">
        <v>-1.0996624949060001</v>
      </c>
      <c r="AH5152">
        <v>22.309129297395501</v>
      </c>
      <c r="AI5152">
        <v>92.779622017125305</v>
      </c>
      <c r="AJ5152">
        <v>99.943151517829705</v>
      </c>
      <c r="AK5152">
        <v>22.676011717338</v>
      </c>
    </row>
    <row r="5153" spans="1:37" x14ac:dyDescent="0.2">
      <c r="A5153" t="str">
        <f>"20200111155659850"</f>
        <v>20200111155659850</v>
      </c>
      <c r="B5153" t="str">
        <f>"1578729419848716"</f>
        <v>1578729419848716</v>
      </c>
      <c r="C5153" t="s">
        <v>37</v>
      </c>
      <c r="D5153">
        <v>5.2334459999999998</v>
      </c>
      <c r="E5153">
        <v>0.46286059999999901</v>
      </c>
      <c r="F5153" t="s">
        <v>89</v>
      </c>
      <c r="G5153">
        <v>-375.73160000000001</v>
      </c>
      <c r="H5153" s="1">
        <v>-2.047145E-6</v>
      </c>
      <c r="I5153">
        <v>19.34036</v>
      </c>
      <c r="J5153">
        <v>-399.39870000000002</v>
      </c>
      <c r="K5153">
        <v>1.0996539999999999</v>
      </c>
      <c r="L5153">
        <v>20.481020000000001</v>
      </c>
      <c r="M5153">
        <v>0.97507889999999997</v>
      </c>
      <c r="N5153">
        <v>0</v>
      </c>
      <c r="O5153">
        <v>-0.22140209999999999</v>
      </c>
      <c r="P5153">
        <v>0.98788519999999902</v>
      </c>
      <c r="Q5153">
        <v>-3.7624480000000002E-2</v>
      </c>
      <c r="R5153">
        <v>-0.15055750000000001</v>
      </c>
      <c r="S5153">
        <v>3.0077820000000002</v>
      </c>
      <c r="T5153">
        <v>-0.13901529999999901</v>
      </c>
      <c r="U5153">
        <v>-0.14837649999999999</v>
      </c>
      <c r="V5153">
        <v>-7.2208460000000002E-2</v>
      </c>
      <c r="W5153">
        <v>-2.254772E-2</v>
      </c>
      <c r="X5153">
        <v>0.99713469999999904</v>
      </c>
      <c r="Y5153">
        <v>-0.17269200000000001</v>
      </c>
      <c r="Z5153">
        <v>1.413033E-2</v>
      </c>
      <c r="AA5153">
        <v>0.98487449999999999</v>
      </c>
      <c r="AB5153">
        <v>23</v>
      </c>
      <c r="AC5153">
        <v>23.667100000000001</v>
      </c>
      <c r="AD5153">
        <v>-1.0996560471450001</v>
      </c>
      <c r="AE5153">
        <v>-1.14066</v>
      </c>
      <c r="AF5153">
        <v>-4.1192573450197099</v>
      </c>
      <c r="AG5153">
        <v>-1.0996560471450001</v>
      </c>
      <c r="AH5153">
        <v>23.282047825416701</v>
      </c>
      <c r="AI5153">
        <v>92.662883602541498</v>
      </c>
      <c r="AJ5153">
        <v>100.03342076006101</v>
      </c>
      <c r="AK5153">
        <v>23.669205213557799</v>
      </c>
    </row>
    <row r="5154" spans="1:37" x14ac:dyDescent="0.2">
      <c r="A5154" t="str">
        <f>"20200111155659864"</f>
        <v>20200111155659864</v>
      </c>
      <c r="B5154" t="str">
        <f>"1578729419858474"</f>
        <v>1578729419858474</v>
      </c>
      <c r="C5154" t="s">
        <v>37</v>
      </c>
      <c r="D5154">
        <v>5.3496319999999997</v>
      </c>
      <c r="E5154">
        <v>0.46297909999999998</v>
      </c>
      <c r="F5154" t="s">
        <v>89</v>
      </c>
      <c r="G5154">
        <v>-374.22320000000002</v>
      </c>
      <c r="H5154" s="1">
        <v>-2.7926039999999999E-6</v>
      </c>
      <c r="I5154">
        <v>19.157309999999999</v>
      </c>
      <c r="J5154">
        <v>-399.265999999999</v>
      </c>
      <c r="K5154">
        <v>1.0996600000000001</v>
      </c>
      <c r="L5154">
        <v>20.445589999999999</v>
      </c>
      <c r="M5154">
        <v>0.97402420000000001</v>
      </c>
      <c r="N5154">
        <v>0</v>
      </c>
      <c r="O5154">
        <v>-0.22599659999999999</v>
      </c>
      <c r="P5154">
        <v>0.98731569999999902</v>
      </c>
      <c r="Q5154">
        <v>-3.4865689999999998E-2</v>
      </c>
      <c r="R5154">
        <v>-0.1548957</v>
      </c>
      <c r="S5154">
        <v>3.0076900000000002</v>
      </c>
      <c r="T5154">
        <v>-0.13137509999999999</v>
      </c>
      <c r="U5154">
        <v>-0.15814210000000001</v>
      </c>
      <c r="V5154">
        <v>-7.2518449999999998E-2</v>
      </c>
      <c r="W5154">
        <v>-1.977603E-2</v>
      </c>
      <c r="X5154">
        <v>0.99717099999999903</v>
      </c>
      <c r="Y5154">
        <v>-0.17418310000000001</v>
      </c>
      <c r="Z5154">
        <v>1.358142E-2</v>
      </c>
      <c r="AA5154">
        <v>0.98461960000000004</v>
      </c>
      <c r="AB5154">
        <v>23</v>
      </c>
      <c r="AC5154">
        <v>25.0427999999999</v>
      </c>
      <c r="AD5154">
        <v>-1.0996627926039999</v>
      </c>
      <c r="AE5154">
        <v>-1.2882800000000001</v>
      </c>
      <c r="AF5154">
        <v>-4.3967620930033799</v>
      </c>
      <c r="AG5154">
        <v>-1.0996627926039999</v>
      </c>
      <c r="AH5154">
        <v>24.6385556103988</v>
      </c>
      <c r="AI5154">
        <v>92.515825637300694</v>
      </c>
      <c r="AJ5154">
        <v>100.117955860758</v>
      </c>
      <c r="AK5154">
        <v>25.051930019992898</v>
      </c>
    </row>
    <row r="5155" spans="1:37" x14ac:dyDescent="0.2">
      <c r="A5155" t="str">
        <f>"20200111155659881"</f>
        <v>20200111155659881</v>
      </c>
      <c r="B5155" t="str">
        <f>"1578729419877994"</f>
        <v>1578729419877994</v>
      </c>
      <c r="C5155" t="s">
        <v>37</v>
      </c>
      <c r="D5155">
        <v>5.2360509999999998</v>
      </c>
      <c r="E5155">
        <v>0.46283170000000001</v>
      </c>
      <c r="F5155" t="s">
        <v>89</v>
      </c>
      <c r="G5155">
        <v>-372.36509999999998</v>
      </c>
      <c r="H5155" s="1">
        <v>-3.715766E-6</v>
      </c>
      <c r="I5155">
        <v>18.904789999999998</v>
      </c>
      <c r="J5155">
        <v>-399.08980000000003</v>
      </c>
      <c r="K5155">
        <v>1.0996889999999999</v>
      </c>
      <c r="L5155">
        <v>20.397459999999999</v>
      </c>
      <c r="M5155">
        <v>0.97258750000000005</v>
      </c>
      <c r="N5155">
        <v>0</v>
      </c>
      <c r="O5155">
        <v>-0.23210149999999999</v>
      </c>
      <c r="P5155">
        <v>0.98645389999999999</v>
      </c>
      <c r="Q5155">
        <v>-3.1085669999999999E-2</v>
      </c>
      <c r="R5155">
        <v>-0.1610664</v>
      </c>
      <c r="S5155">
        <v>3.0071720000000002</v>
      </c>
      <c r="T5155">
        <v>-0.12292789999999899</v>
      </c>
      <c r="U5155">
        <v>-0.17224120000000001</v>
      </c>
      <c r="V5155">
        <v>-7.2519059999999996E-2</v>
      </c>
      <c r="W5155">
        <v>-1.599076E-2</v>
      </c>
      <c r="X5155">
        <v>0.99723879999999998</v>
      </c>
      <c r="Y5155">
        <v>-0.17578820000000001</v>
      </c>
      <c r="Z5155">
        <v>1.298435E-2</v>
      </c>
      <c r="AA5155">
        <v>0.98434239999999995</v>
      </c>
      <c r="AB5155">
        <v>23</v>
      </c>
      <c r="AC5155">
        <v>26.724699999999999</v>
      </c>
      <c r="AD5155">
        <v>-1.0996927157659999</v>
      </c>
      <c r="AE5155">
        <v>-1.4926699999999999</v>
      </c>
      <c r="AF5155">
        <v>-4.7435647850360496</v>
      </c>
      <c r="AG5155">
        <v>-1.0996927157659999</v>
      </c>
      <c r="AH5155">
        <v>26.296838383339001</v>
      </c>
      <c r="AI5155">
        <v>92.356634505475498</v>
      </c>
      <c r="AJ5155">
        <v>100.22535912714299</v>
      </c>
      <c r="AK5155">
        <v>26.743867332500599</v>
      </c>
    </row>
    <row r="5156" spans="1:37" x14ac:dyDescent="0.2">
      <c r="A5156" t="str">
        <f>"20200111155659893"</f>
        <v>20200111155659893</v>
      </c>
      <c r="B5156" t="str">
        <f>"1578729419888729"</f>
        <v>1578729419888729</v>
      </c>
      <c r="C5156" t="s">
        <v>37</v>
      </c>
      <c r="D5156">
        <v>5.247509</v>
      </c>
      <c r="E5156">
        <v>0.4627928</v>
      </c>
      <c r="F5156" t="s">
        <v>90</v>
      </c>
      <c r="G5156">
        <v>-369.63029999999998</v>
      </c>
      <c r="H5156" s="1">
        <v>-4.29594299999999E-7</v>
      </c>
      <c r="I5156">
        <v>18.537009999999999</v>
      </c>
      <c r="J5156">
        <v>-398.96910000000003</v>
      </c>
      <c r="K5156">
        <v>1.0997219999999901</v>
      </c>
      <c r="L5156">
        <v>20.363769999999999</v>
      </c>
      <c r="M5156">
        <v>0.97158319999999998</v>
      </c>
      <c r="N5156">
        <v>0</v>
      </c>
      <c r="O5156">
        <v>-0.2362699</v>
      </c>
      <c r="P5156">
        <v>0.98569719999999905</v>
      </c>
      <c r="Q5156">
        <v>-3.02788999999999E-2</v>
      </c>
      <c r="R5156">
        <v>-0.165783399999999</v>
      </c>
      <c r="S5156">
        <v>3.0066830000000002</v>
      </c>
      <c r="T5156">
        <v>-0.1122358</v>
      </c>
      <c r="U5156">
        <v>-0.18988039999999901</v>
      </c>
      <c r="V5156">
        <v>-7.2019710000000001E-2</v>
      </c>
      <c r="W5156">
        <v>-1.519265E-2</v>
      </c>
      <c r="X5156">
        <v>0.99728749999999999</v>
      </c>
      <c r="Y5156">
        <v>-0.17430029999999999</v>
      </c>
      <c r="Z5156">
        <v>1.1977949999999999E-2</v>
      </c>
      <c r="AA5156">
        <v>0.98461969999999999</v>
      </c>
      <c r="AB5156">
        <v>23</v>
      </c>
      <c r="AC5156">
        <v>29.338799999999999</v>
      </c>
      <c r="AD5156">
        <v>-1.09972242959429</v>
      </c>
      <c r="AE5156">
        <v>-1.8267599999999999</v>
      </c>
      <c r="AF5156">
        <v>-5.15034018494259</v>
      </c>
      <c r="AG5156">
        <v>-1.09972242959429</v>
      </c>
      <c r="AH5156">
        <v>28.8991785897725</v>
      </c>
      <c r="AI5156">
        <v>92.1454949882813</v>
      </c>
      <c r="AJ5156">
        <v>100.105020080401</v>
      </c>
      <c r="AK5156">
        <v>29.375124112186398</v>
      </c>
    </row>
    <row r="5157" spans="1:37" x14ac:dyDescent="0.2">
      <c r="A5157" t="str">
        <f>"20200111155659906"</f>
        <v>20200111155659906</v>
      </c>
      <c r="B5157" t="str">
        <f>"1578729419898491"</f>
        <v>1578729419898491</v>
      </c>
      <c r="C5157" t="s">
        <v>37</v>
      </c>
      <c r="D5157">
        <v>5.217911</v>
      </c>
      <c r="E5157">
        <v>0.46266069999999998</v>
      </c>
      <c r="F5157" t="s">
        <v>90</v>
      </c>
      <c r="G5157">
        <v>-369.0752</v>
      </c>
      <c r="H5157" s="1">
        <v>-6.9621099999999999E-7</v>
      </c>
      <c r="I5157">
        <v>18.336029999999901</v>
      </c>
      <c r="J5157">
        <v>-398.84199999999998</v>
      </c>
      <c r="K5157">
        <v>1.0997680000000001</v>
      </c>
      <c r="L5157">
        <v>20.3277</v>
      </c>
      <c r="M5157">
        <v>0.97051200000000004</v>
      </c>
      <c r="N5157">
        <v>0</v>
      </c>
      <c r="O5157">
        <v>-0.24063219999999999</v>
      </c>
      <c r="P5157">
        <v>0.98489850000000001</v>
      </c>
      <c r="Q5157">
        <v>-2.9909979999999999E-2</v>
      </c>
      <c r="R5157">
        <v>-0.1705296</v>
      </c>
      <c r="S5157">
        <v>3.0058289999999999</v>
      </c>
      <c r="T5157">
        <v>-0.11057699999999999</v>
      </c>
      <c r="U5157">
        <v>-0.20388789999999901</v>
      </c>
      <c r="V5157">
        <v>-7.1691980000000002E-2</v>
      </c>
      <c r="W5157">
        <v>-1.483522E-2</v>
      </c>
      <c r="X5157">
        <v>0.99731650000000005</v>
      </c>
      <c r="Y5157">
        <v>-0.17414270000000001</v>
      </c>
      <c r="Z5157">
        <v>1.195453E-2</v>
      </c>
      <c r="AA5157">
        <v>0.98464789999999902</v>
      </c>
      <c r="AB5157">
        <v>23</v>
      </c>
      <c r="AC5157">
        <v>29.7667999999999</v>
      </c>
      <c r="AD5157">
        <v>-1.099768696211</v>
      </c>
      <c r="AE5157">
        <v>-1.9916700000000001</v>
      </c>
      <c r="AF5157">
        <v>-5.2233426322375598</v>
      </c>
      <c r="AG5157">
        <v>-1.099768696211</v>
      </c>
      <c r="AH5157">
        <v>29.331412563038</v>
      </c>
      <c r="AI5157">
        <v>92.114046364070603</v>
      </c>
      <c r="AJ5157">
        <v>100.097391530948</v>
      </c>
      <c r="AK5157">
        <v>29.813160892163999</v>
      </c>
    </row>
    <row r="5158" spans="1:37" x14ac:dyDescent="0.2">
      <c r="A5158" t="str">
        <f>"20200111155659918"</f>
        <v>20200111155659918</v>
      </c>
      <c r="B5158" t="str">
        <f>"1578729419908251"</f>
        <v>1578729419908251</v>
      </c>
      <c r="C5158" t="s">
        <v>37</v>
      </c>
      <c r="D5158">
        <v>5.2465320000000002</v>
      </c>
      <c r="E5158">
        <v>0.46256839999999999</v>
      </c>
      <c r="F5158" t="s">
        <v>90</v>
      </c>
      <c r="G5158">
        <v>-368.7638</v>
      </c>
      <c r="H5158" s="1">
        <v>-8.6472729999999999E-7</v>
      </c>
      <c r="I5158">
        <v>18.15222</v>
      </c>
      <c r="J5158">
        <v>-398.71859999999998</v>
      </c>
      <c r="K5158">
        <v>1.0998209999999999</v>
      </c>
      <c r="L5158">
        <v>20.292269999999998</v>
      </c>
      <c r="M5158">
        <v>0.96945700000000001</v>
      </c>
      <c r="N5158">
        <v>0</v>
      </c>
      <c r="O5158">
        <v>-0.2448485</v>
      </c>
      <c r="P5158">
        <v>0.9841607</v>
      </c>
      <c r="Q5158">
        <v>-2.963702E-2</v>
      </c>
      <c r="R5158">
        <v>-0.17478550000000001</v>
      </c>
      <c r="S5158">
        <v>3.0050349999999999</v>
      </c>
      <c r="T5158">
        <v>-0.10987479999999999</v>
      </c>
      <c r="U5158">
        <v>-0.21734619999999999</v>
      </c>
      <c r="V5158">
        <v>-7.1713180000000001E-2</v>
      </c>
      <c r="W5158">
        <v>-1.457221E-2</v>
      </c>
      <c r="X5158">
        <v>0.99731890000000001</v>
      </c>
      <c r="Y5158">
        <v>-0.174017899999999</v>
      </c>
      <c r="Z5158">
        <v>1.2026159999999999E-2</v>
      </c>
      <c r="AA5158">
        <v>0.98466900000000002</v>
      </c>
      <c r="AB5158">
        <v>23</v>
      </c>
      <c r="AC5158">
        <v>29.954799999999899</v>
      </c>
      <c r="AD5158">
        <v>-1.0998218647272999</v>
      </c>
      <c r="AE5158">
        <v>-2.14005</v>
      </c>
      <c r="AF5158">
        <v>-5.2531878985902303</v>
      </c>
      <c r="AG5158">
        <v>-1.0998218647272999</v>
      </c>
      <c r="AH5158">
        <v>29.527267331198299</v>
      </c>
      <c r="AI5158">
        <v>92.1001995997877</v>
      </c>
      <c r="AJ5158">
        <v>100.087926014793</v>
      </c>
      <c r="AK5158">
        <v>30.0110830740925</v>
      </c>
    </row>
    <row r="5159" spans="1:37" x14ac:dyDescent="0.2">
      <c r="A5159" t="str">
        <f>"20200111155659930"</f>
        <v>20200111155659930</v>
      </c>
      <c r="B5159" t="str">
        <f>"1578729419928746"</f>
        <v>1578729419928746</v>
      </c>
      <c r="C5159" t="s">
        <v>37</v>
      </c>
      <c r="D5159">
        <v>5.2561749999999998</v>
      </c>
      <c r="E5159">
        <v>0.46222829999999898</v>
      </c>
      <c r="F5159" t="s">
        <v>90</v>
      </c>
      <c r="G5159">
        <v>-368.82060000000001</v>
      </c>
      <c r="H5159" s="1">
        <v>-8.8144259999999999E-7</v>
      </c>
      <c r="I5159">
        <v>18.00742</v>
      </c>
      <c r="J5159">
        <v>-398.59129999999999</v>
      </c>
      <c r="K5159">
        <v>1.0999060000000001</v>
      </c>
      <c r="L5159">
        <v>20.254909999999999</v>
      </c>
      <c r="M5159">
        <v>0.96837309999999999</v>
      </c>
      <c r="N5159">
        <v>0</v>
      </c>
      <c r="O5159">
        <v>-0.24910059999999901</v>
      </c>
      <c r="P5159">
        <v>0.98340869999999903</v>
      </c>
      <c r="Q5159">
        <v>-2.9028579999999998E-2</v>
      </c>
      <c r="R5159">
        <v>-0.17906629999999901</v>
      </c>
      <c r="S5159">
        <v>3.004181</v>
      </c>
      <c r="T5159">
        <v>-0.1105111</v>
      </c>
      <c r="U5159">
        <v>-0.2295837</v>
      </c>
      <c r="V5159">
        <v>-7.1744210000000003E-2</v>
      </c>
      <c r="W5159">
        <v>-1.3983509999999999E-2</v>
      </c>
      <c r="X5159">
        <v>0.99732509999999996</v>
      </c>
      <c r="Y5159">
        <v>-0.17432410000000001</v>
      </c>
      <c r="Z5159">
        <v>1.225353E-2</v>
      </c>
      <c r="AA5159">
        <v>0.98461209999999899</v>
      </c>
      <c r="AB5159">
        <v>23</v>
      </c>
      <c r="AC5159">
        <v>29.770699999999898</v>
      </c>
      <c r="AD5159">
        <v>-1.0999068814426001</v>
      </c>
      <c r="AE5159">
        <v>-2.2474899999999902</v>
      </c>
      <c r="AF5159">
        <v>-5.2329182974395003</v>
      </c>
      <c r="AG5159">
        <v>-1.0999068814426001</v>
      </c>
      <c r="AH5159">
        <v>29.352132507469499</v>
      </c>
      <c r="AI5159">
        <v>92.112747492298695</v>
      </c>
      <c r="AJ5159">
        <v>100.10852726177301</v>
      </c>
      <c r="AK5159">
        <v>29.835229373872298</v>
      </c>
    </row>
    <row r="5160" spans="1:37" x14ac:dyDescent="0.2">
      <c r="A5160" t="str">
        <f>"20200111155659949"</f>
        <v>20200111155659949</v>
      </c>
      <c r="B5160" t="str">
        <f>"1578729419938506"</f>
        <v>1578729419938506</v>
      </c>
      <c r="C5160" t="s">
        <v>37</v>
      </c>
      <c r="D5160">
        <v>5.2157589999999896</v>
      </c>
      <c r="E5160">
        <v>0.46204329999999999</v>
      </c>
      <c r="F5160" t="s">
        <v>90</v>
      </c>
      <c r="G5160">
        <v>-368.66930000000002</v>
      </c>
      <c r="H5160" s="1">
        <v>-9.7766059999999999E-7</v>
      </c>
      <c r="I5160">
        <v>17.864159999999998</v>
      </c>
      <c r="J5160">
        <v>-398.42160000000001</v>
      </c>
      <c r="K5160">
        <v>1.100052</v>
      </c>
      <c r="L5160">
        <v>20.204409999999999</v>
      </c>
      <c r="M5160">
        <v>0.96692579999999995</v>
      </c>
      <c r="N5160">
        <v>0</v>
      </c>
      <c r="O5160">
        <v>-0.25466169999999999</v>
      </c>
      <c r="P5160">
        <v>0.9824039</v>
      </c>
      <c r="Q5160">
        <v>-2.7165539999999998E-2</v>
      </c>
      <c r="R5160">
        <v>-0.18478349999999999</v>
      </c>
      <c r="S5160">
        <v>3.0036619999999998</v>
      </c>
      <c r="T5160">
        <v>-0.11041189999999999</v>
      </c>
      <c r="U5160">
        <v>-0.23999019999999999</v>
      </c>
      <c r="V5160">
        <v>-7.1661749999999996E-2</v>
      </c>
      <c r="W5160">
        <v>-1.215485E-2</v>
      </c>
      <c r="X5160">
        <v>0.99735490000000004</v>
      </c>
      <c r="Y5160">
        <v>-0.17657429999999999</v>
      </c>
      <c r="Z5160">
        <v>1.24812E-2</v>
      </c>
      <c r="AA5160">
        <v>0.98420819999999998</v>
      </c>
      <c r="AB5160">
        <v>23</v>
      </c>
      <c r="AC5160">
        <v>29.752299999999899</v>
      </c>
      <c r="AD5160">
        <v>-1.1000529776606001</v>
      </c>
      <c r="AE5160">
        <v>-2.3402499999999899</v>
      </c>
      <c r="AF5160">
        <v>-5.3072490667858299</v>
      </c>
      <c r="AG5160">
        <v>-1.1000529776606001</v>
      </c>
      <c r="AH5160">
        <v>29.32735792806</v>
      </c>
      <c r="AI5160">
        <v>92.113824260788604</v>
      </c>
      <c r="AJ5160">
        <v>100.25756484258601</v>
      </c>
      <c r="AK5160">
        <v>29.8239992665488</v>
      </c>
    </row>
    <row r="5161" spans="1:37" x14ac:dyDescent="0.2">
      <c r="A5161" t="str">
        <f>"20200111155659962"</f>
        <v>20200111155659962</v>
      </c>
      <c r="B5161" t="str">
        <f>"1578729419958026"</f>
        <v>1578729419958026</v>
      </c>
      <c r="C5161" t="s">
        <v>37</v>
      </c>
      <c r="D5161">
        <v>5.2889599999999897</v>
      </c>
      <c r="E5161">
        <v>0.46189819999999998</v>
      </c>
      <c r="F5161" t="s">
        <v>90</v>
      </c>
      <c r="G5161">
        <v>-367.25779999999997</v>
      </c>
      <c r="H5161" s="1">
        <v>-1.6637179999999999E-6</v>
      </c>
      <c r="I5161">
        <v>17.54729</v>
      </c>
      <c r="J5161">
        <v>-398.28699999999998</v>
      </c>
      <c r="K5161">
        <v>1.100182</v>
      </c>
      <c r="L5161">
        <v>20.163820000000001</v>
      </c>
      <c r="M5161">
        <v>0.96578249999999999</v>
      </c>
      <c r="N5161">
        <v>0</v>
      </c>
      <c r="O5161">
        <v>-0.25896409999999997</v>
      </c>
      <c r="P5161">
        <v>0.98152199999999901</v>
      </c>
      <c r="Q5161">
        <v>-2.6147050000000002E-2</v>
      </c>
      <c r="R5161">
        <v>-0.189556</v>
      </c>
      <c r="S5161">
        <v>3.0026250000000001</v>
      </c>
      <c r="T5161">
        <v>-0.10598969999999901</v>
      </c>
      <c r="U5161">
        <v>-0.25601199999999902</v>
      </c>
      <c r="V5161">
        <v>-7.1247389999999994E-2</v>
      </c>
      <c r="W5161">
        <v>-1.117424E-2</v>
      </c>
      <c r="X5161">
        <v>0.99739609999999901</v>
      </c>
      <c r="Y5161">
        <v>-0.17573349999999999</v>
      </c>
      <c r="Z5161">
        <v>1.2113580000000001E-2</v>
      </c>
      <c r="AA5161">
        <v>0.98436329999999905</v>
      </c>
      <c r="AB5161">
        <v>23</v>
      </c>
      <c r="AC5161">
        <v>31.029199999999999</v>
      </c>
      <c r="AD5161">
        <v>-1.100183663718</v>
      </c>
      <c r="AE5161">
        <v>-2.61653</v>
      </c>
      <c r="AF5161">
        <v>-5.5021375283992002</v>
      </c>
      <c r="AG5161">
        <v>-1.100183663718</v>
      </c>
      <c r="AH5161">
        <v>30.609927826589999</v>
      </c>
      <c r="AI5161">
        <v>92.025999671959099</v>
      </c>
      <c r="AJ5161">
        <v>100.19010414585399</v>
      </c>
      <c r="AK5161">
        <v>31.1199550614133</v>
      </c>
    </row>
    <row r="5162" spans="1:37" x14ac:dyDescent="0.2">
      <c r="A5162" t="str">
        <f>"20200111155659974"</f>
        <v>20200111155659974</v>
      </c>
      <c r="B5162" t="str">
        <f>"1578729419968429"</f>
        <v>1578729419968429</v>
      </c>
      <c r="C5162" t="s">
        <v>37</v>
      </c>
      <c r="D5162">
        <v>5.1885079999999997</v>
      </c>
      <c r="E5162">
        <v>0.48783179999999998</v>
      </c>
      <c r="F5162" t="s">
        <v>90</v>
      </c>
      <c r="G5162">
        <v>-366.4391</v>
      </c>
      <c r="H5162" s="1">
        <v>-2.09374699999999E-6</v>
      </c>
      <c r="I5162">
        <v>17.304729999999999</v>
      </c>
      <c r="J5162">
        <v>-398.16430000000003</v>
      </c>
      <c r="K5162">
        <v>1.100328</v>
      </c>
      <c r="L5162">
        <v>20.126279999999898</v>
      </c>
      <c r="M5162">
        <v>0.96475719999999998</v>
      </c>
      <c r="N5162">
        <v>0</v>
      </c>
      <c r="O5162">
        <v>-0.26275890000000002</v>
      </c>
      <c r="P5162">
        <v>0.98063459999999902</v>
      </c>
      <c r="Q5162">
        <v>-2.5054819999999998E-2</v>
      </c>
      <c r="R5162">
        <v>-0.194237299999999</v>
      </c>
      <c r="S5162">
        <v>3.0016780000000001</v>
      </c>
      <c r="T5162">
        <v>-0.1036928</v>
      </c>
      <c r="U5162">
        <v>-0.26947019999999999</v>
      </c>
      <c r="V5162">
        <v>-7.0400630000000006E-2</v>
      </c>
      <c r="W5162">
        <v>-1.0128299999999899E-2</v>
      </c>
      <c r="X5162">
        <v>0.9974674</v>
      </c>
      <c r="Y5162">
        <v>-0.1752068</v>
      </c>
      <c r="Z5162">
        <v>1.196878E-2</v>
      </c>
      <c r="AA5162">
        <v>0.98445890000000003</v>
      </c>
      <c r="AB5162">
        <v>23</v>
      </c>
      <c r="AC5162">
        <v>31.725200000000001</v>
      </c>
      <c r="AD5162">
        <v>-1.100330093747</v>
      </c>
      <c r="AE5162">
        <v>-2.82154999999999</v>
      </c>
      <c r="AF5162">
        <v>-5.6078402716161202</v>
      </c>
      <c r="AG5162">
        <v>-1.100330093747</v>
      </c>
      <c r="AH5162">
        <v>31.314285276041598</v>
      </c>
      <c r="AI5162">
        <v>91.980958293074394</v>
      </c>
      <c r="AJ5162">
        <v>100.153046097177</v>
      </c>
      <c r="AK5162">
        <v>31.831479091875099</v>
      </c>
    </row>
    <row r="5163" spans="1:37" x14ac:dyDescent="0.2">
      <c r="A5163" t="str">
        <f>"20200111155659986"</f>
        <v>20200111155659986</v>
      </c>
      <c r="B5163" t="str">
        <f>"1578729419978171"</f>
        <v>1578729419978171</v>
      </c>
      <c r="C5163" t="s">
        <v>37</v>
      </c>
      <c r="D5163">
        <v>5.2265069999999998</v>
      </c>
      <c r="E5163">
        <v>0.49607329999999999</v>
      </c>
      <c r="F5163" t="s">
        <v>88</v>
      </c>
      <c r="G5163">
        <v>-382.27879999999999</v>
      </c>
      <c r="H5163" s="1">
        <v>-4.0203100000000001E-6</v>
      </c>
      <c r="I5163">
        <v>17.5303</v>
      </c>
      <c r="J5163">
        <v>-398.04649999999998</v>
      </c>
      <c r="K5163">
        <v>1.1004849999999999</v>
      </c>
      <c r="L5163">
        <v>20.089870000000001</v>
      </c>
      <c r="M5163">
        <v>0.96379559999999997</v>
      </c>
      <c r="N5163">
        <v>0</v>
      </c>
      <c r="O5163">
        <v>-0.26626490000000003</v>
      </c>
      <c r="P5163">
        <v>0.97980400000000001</v>
      </c>
      <c r="Q5163">
        <v>-2.497067E-2</v>
      </c>
      <c r="R5163">
        <v>-0.1983953</v>
      </c>
      <c r="S5163">
        <v>2.958221</v>
      </c>
      <c r="T5163">
        <v>-0.20490630000000001</v>
      </c>
      <c r="U5163">
        <v>-0.483429</v>
      </c>
      <c r="V5163">
        <v>-6.9791839999999994E-2</v>
      </c>
      <c r="W5163">
        <v>-1.0091930000000001E-2</v>
      </c>
      <c r="X5163">
        <v>0.99751060000000003</v>
      </c>
      <c r="Y5163">
        <v>-0.106500199999999</v>
      </c>
      <c r="Z5163">
        <v>2.1695869999999999E-2</v>
      </c>
      <c r="AA5163">
        <v>0.99407599999999996</v>
      </c>
      <c r="AB5163">
        <v>23</v>
      </c>
      <c r="AC5163">
        <v>15.7676999999999</v>
      </c>
      <c r="AD5163">
        <v>-1.10048902031</v>
      </c>
      <c r="AE5163">
        <v>-2.5595699999999999</v>
      </c>
      <c r="AF5163">
        <v>-1.7234770079875299</v>
      </c>
      <c r="AG5163">
        <v>-1.10048902031</v>
      </c>
      <c r="AH5163">
        <v>15.8049477055129</v>
      </c>
      <c r="AI5163">
        <v>93.959644583744407</v>
      </c>
      <c r="AJ5163">
        <v>96.2233244763448</v>
      </c>
      <c r="AK5163">
        <v>15.9366816199258</v>
      </c>
    </row>
    <row r="5164" spans="1:37" x14ac:dyDescent="0.2">
      <c r="A5164" t="str">
        <f>"20200111155659999"</f>
        <v>20200111155659999</v>
      </c>
      <c r="B5164" t="str">
        <f>"1578729419987932"</f>
        <v>1578729419987932</v>
      </c>
      <c r="C5164" t="s">
        <v>37</v>
      </c>
      <c r="D5164">
        <v>5.1047070000000003</v>
      </c>
      <c r="E5164">
        <v>0.50722009999999995</v>
      </c>
      <c r="F5164" t="s">
        <v>88</v>
      </c>
      <c r="G5164">
        <v>-380.38900000000001</v>
      </c>
      <c r="H5164" s="1">
        <v>-5.0566290000000002E-6</v>
      </c>
      <c r="I5164">
        <v>16.724170000000001</v>
      </c>
      <c r="J5164">
        <v>-397.9239</v>
      </c>
      <c r="K5164">
        <v>1.100652</v>
      </c>
      <c r="L5164">
        <v>20.051760000000002</v>
      </c>
      <c r="M5164">
        <v>0.96280350000000003</v>
      </c>
      <c r="N5164">
        <v>0</v>
      </c>
      <c r="O5164">
        <v>-0.2698315</v>
      </c>
      <c r="P5164">
        <v>0.97893280000000005</v>
      </c>
      <c r="Q5164">
        <v>-2.5350129999999998E-2</v>
      </c>
      <c r="R5164">
        <v>-0.20260410000000001</v>
      </c>
      <c r="S5164">
        <v>2.9435119999999899</v>
      </c>
      <c r="T5164">
        <v>-0.1834527</v>
      </c>
      <c r="U5164">
        <v>-0.561065699999999</v>
      </c>
      <c r="V5164">
        <v>-6.9195999999999994E-2</v>
      </c>
      <c r="W5164">
        <v>-1.052283E-2</v>
      </c>
      <c r="X5164">
        <v>0.99754759999999998</v>
      </c>
      <c r="Y5164">
        <v>-8.4147650000000004E-2</v>
      </c>
      <c r="Z5164">
        <v>1.8987230000000001E-2</v>
      </c>
      <c r="AA5164">
        <v>0.99627239999999995</v>
      </c>
      <c r="AB5164">
        <v>23</v>
      </c>
      <c r="AC5164">
        <v>17.534899999999901</v>
      </c>
      <c r="AD5164">
        <v>-1.1006570566289999</v>
      </c>
      <c r="AE5164">
        <v>-3.3275899999999998</v>
      </c>
      <c r="AF5164">
        <v>-1.52201783514776</v>
      </c>
      <c r="AG5164">
        <v>-1.1006570566289999</v>
      </c>
      <c r="AH5164">
        <v>17.7149624567339</v>
      </c>
      <c r="AI5164">
        <v>93.542285450619104</v>
      </c>
      <c r="AJ5164">
        <v>94.910626731174503</v>
      </c>
      <c r="AK5164">
        <v>17.814260554126498</v>
      </c>
    </row>
    <row r="5165" spans="1:37" x14ac:dyDescent="0.2">
      <c r="A5165" t="str">
        <f>"20200111155700015"</f>
        <v>20200111155700015</v>
      </c>
      <c r="B5165" t="str">
        <f>"1578729420008429"</f>
        <v>1578729420008429</v>
      </c>
      <c r="C5165" t="s">
        <v>37</v>
      </c>
      <c r="D5165">
        <v>5.1641019999999997</v>
      </c>
      <c r="E5165">
        <v>0.51320370000000004</v>
      </c>
      <c r="F5165" t="s">
        <v>89</v>
      </c>
      <c r="G5165">
        <v>-375.04239999999999</v>
      </c>
      <c r="H5165" s="1">
        <v>-3.1658959999999999E-6</v>
      </c>
      <c r="I5165">
        <v>14.8700299999999</v>
      </c>
      <c r="J5165">
        <v>-397.75569999999999</v>
      </c>
      <c r="K5165">
        <v>1.1009229999999901</v>
      </c>
      <c r="L5165">
        <v>19.99878</v>
      </c>
      <c r="M5165">
        <v>0.96151699999999996</v>
      </c>
      <c r="N5165">
        <v>0</v>
      </c>
      <c r="O5165">
        <v>-0.27438179999999901</v>
      </c>
      <c r="P5165">
        <v>0.97795849999999995</v>
      </c>
      <c r="Q5165">
        <v>-2.67714999999999E-2</v>
      </c>
      <c r="R5165">
        <v>-0.20707609999999901</v>
      </c>
      <c r="S5165">
        <v>2.923889</v>
      </c>
      <c r="T5165">
        <v>-0.14064570000000001</v>
      </c>
      <c r="U5165">
        <v>-0.6621399</v>
      </c>
      <c r="V5165">
        <v>-6.9349430000000004E-2</v>
      </c>
      <c r="W5165">
        <v>-1.2018249999999999E-2</v>
      </c>
      <c r="X5165">
        <v>0.99751999999999996</v>
      </c>
      <c r="Y5165">
        <v>-5.4893899999999898E-2</v>
      </c>
      <c r="Z5165">
        <v>1.410462E-2</v>
      </c>
      <c r="AA5165">
        <v>0.99839259999999996</v>
      </c>
      <c r="AB5165">
        <v>23</v>
      </c>
      <c r="AC5165">
        <v>22.7133</v>
      </c>
      <c r="AD5165">
        <v>-1.1009261658959999</v>
      </c>
      <c r="AE5165">
        <v>-5.1287500000000001</v>
      </c>
      <c r="AF5165">
        <v>-1.29796422295269</v>
      </c>
      <c r="AG5165">
        <v>-1.1009261658959999</v>
      </c>
      <c r="AH5165">
        <v>23.196926295421399</v>
      </c>
      <c r="AI5165">
        <v>92.712981575712206</v>
      </c>
      <c r="AJ5165">
        <v>93.202596951735501</v>
      </c>
      <c r="AK5165">
        <v>23.2592807090424</v>
      </c>
    </row>
    <row r="5166" spans="1:37" x14ac:dyDescent="0.2">
      <c r="A5166" t="str">
        <f>"20200111155700037"</f>
        <v>20200111155700037</v>
      </c>
      <c r="B5166" t="str">
        <f>"1578729420027947"</f>
        <v>1578729420027947</v>
      </c>
      <c r="C5166" t="s">
        <v>37</v>
      </c>
      <c r="D5166">
        <v>5.1563369999999997</v>
      </c>
      <c r="E5166">
        <v>0.51497970000000004</v>
      </c>
      <c r="F5166" t="s">
        <v>89</v>
      </c>
      <c r="G5166">
        <v>-371.41039999999998</v>
      </c>
      <c r="H5166" s="1">
        <v>-5.1335409999999997E-6</v>
      </c>
      <c r="I5166">
        <v>13.456149999999999</v>
      </c>
      <c r="J5166">
        <v>-397.54570000000001</v>
      </c>
      <c r="K5166">
        <v>1.101299</v>
      </c>
      <c r="L5166">
        <v>19.931979999999999</v>
      </c>
      <c r="M5166">
        <v>0.96000209999999997</v>
      </c>
      <c r="N5166">
        <v>0</v>
      </c>
      <c r="O5166">
        <v>-0.27963759999999999</v>
      </c>
      <c r="P5166">
        <v>0.976832699999999</v>
      </c>
      <c r="Q5166">
        <v>-2.8853119999999999E-2</v>
      </c>
      <c r="R5166">
        <v>-0.21205089999999999</v>
      </c>
      <c r="S5166">
        <v>2.9111630000000002</v>
      </c>
      <c r="T5166">
        <v>-0.1216527</v>
      </c>
      <c r="U5166">
        <v>-0.72296139999999998</v>
      </c>
      <c r="V5166">
        <v>-6.9719390000000006E-2</v>
      </c>
      <c r="W5166">
        <v>-1.4198850000000001E-2</v>
      </c>
      <c r="X5166">
        <v>0.99746559999999995</v>
      </c>
      <c r="Y5166">
        <v>-3.9764689999999998E-2</v>
      </c>
      <c r="Z5166">
        <v>1.211139E-2</v>
      </c>
      <c r="AA5166">
        <v>0.99913569999999996</v>
      </c>
      <c r="AB5166">
        <v>23</v>
      </c>
      <c r="AC5166">
        <v>26.135300000000001</v>
      </c>
      <c r="AD5166">
        <v>-1.1013041335410001</v>
      </c>
      <c r="AE5166">
        <v>-6.4758300000000002</v>
      </c>
      <c r="AF5166">
        <v>-1.08988735441369</v>
      </c>
      <c r="AG5166">
        <v>-1.1013041335410001</v>
      </c>
      <c r="AH5166">
        <v>26.858569543123298</v>
      </c>
      <c r="AI5166">
        <v>92.346102250241799</v>
      </c>
      <c r="AJ5166">
        <v>92.323716608933196</v>
      </c>
      <c r="AK5166">
        <v>26.903224400481399</v>
      </c>
    </row>
    <row r="5167" spans="1:37" x14ac:dyDescent="0.2">
      <c r="A5167" t="str">
        <f>"20200111155700050"</f>
        <v>20200111155700050</v>
      </c>
      <c r="B5167" t="str">
        <f>"1578729420038684"</f>
        <v>1578729420038684</v>
      </c>
      <c r="C5167" t="s">
        <v>37</v>
      </c>
      <c r="D5167">
        <v>5.1814439999999999</v>
      </c>
      <c r="E5167">
        <v>0.51452290000000001</v>
      </c>
      <c r="F5167" t="s">
        <v>89</v>
      </c>
      <c r="G5167">
        <v>-370.81319999999999</v>
      </c>
      <c r="H5167" s="1">
        <v>-5.4945539999999999E-6</v>
      </c>
      <c r="I5167">
        <v>13.01229</v>
      </c>
      <c r="J5167">
        <v>-397.42270000000002</v>
      </c>
      <c r="K5167">
        <v>1.10155</v>
      </c>
      <c r="L5167">
        <v>19.892579999999999</v>
      </c>
      <c r="M5167">
        <v>0.95920369999999999</v>
      </c>
      <c r="N5167">
        <v>0</v>
      </c>
      <c r="O5167">
        <v>-0.28236489999999997</v>
      </c>
      <c r="P5167">
        <v>0.9761128</v>
      </c>
      <c r="Q5167">
        <v>-3.0095170000000001E-2</v>
      </c>
      <c r="R5167">
        <v>-0.215169</v>
      </c>
      <c r="S5167">
        <v>2.904388</v>
      </c>
      <c r="T5167">
        <v>-0.1196531</v>
      </c>
      <c r="U5167">
        <v>-0.75180049999999998</v>
      </c>
      <c r="V5167">
        <v>-6.9359409999999996E-2</v>
      </c>
      <c r="W5167">
        <v>-1.5510970000000001E-2</v>
      </c>
      <c r="X5167">
        <v>0.9974712</v>
      </c>
      <c r="Y5167">
        <v>-3.2749760000000003E-2</v>
      </c>
      <c r="Z5167">
        <v>1.1884230000000001E-2</v>
      </c>
      <c r="AA5167">
        <v>0.99939290000000003</v>
      </c>
      <c r="AB5167">
        <v>23</v>
      </c>
      <c r="AC5167">
        <v>26.609500000000001</v>
      </c>
      <c r="AD5167">
        <v>-1.101555494554</v>
      </c>
      <c r="AE5167">
        <v>-6.8802899999999898</v>
      </c>
      <c r="AF5167">
        <v>-0.91261387355707302</v>
      </c>
      <c r="AG5167">
        <v>-1.101555494554</v>
      </c>
      <c r="AH5167">
        <v>27.425353281262598</v>
      </c>
      <c r="AI5167">
        <v>92.298811398733903</v>
      </c>
      <c r="AJ5167">
        <v>91.905887429070802</v>
      </c>
      <c r="AK5167">
        <v>27.462634454688601</v>
      </c>
    </row>
    <row r="5168" spans="1:37" x14ac:dyDescent="0.2">
      <c r="A5168" t="str">
        <f>"20200111155700064"</f>
        <v>20200111155700064</v>
      </c>
      <c r="B5168" t="str">
        <f>"1578729420058204"</f>
        <v>1578729420058204</v>
      </c>
      <c r="C5168" t="s">
        <v>37</v>
      </c>
      <c r="D5168">
        <v>5.1803249999999998</v>
      </c>
      <c r="E5168">
        <v>0.51372609999999996</v>
      </c>
      <c r="F5168" t="s">
        <v>89</v>
      </c>
      <c r="G5168">
        <v>-371.70859999999999</v>
      </c>
      <c r="H5168" s="1">
        <v>-5.0410079999999999E-6</v>
      </c>
      <c r="I5168">
        <v>13.183160000000001</v>
      </c>
      <c r="J5168">
        <v>-397.29020000000003</v>
      </c>
      <c r="K5168">
        <v>1.101839</v>
      </c>
      <c r="L5168">
        <v>19.850010000000001</v>
      </c>
      <c r="M5168">
        <v>0.95839039999999998</v>
      </c>
      <c r="N5168">
        <v>0</v>
      </c>
      <c r="O5168">
        <v>-0.28511439999999999</v>
      </c>
      <c r="P5168">
        <v>0.97528230000000005</v>
      </c>
      <c r="Q5168">
        <v>-3.1927280000000002E-2</v>
      </c>
      <c r="R5168">
        <v>-0.218643899999999</v>
      </c>
      <c r="S5168">
        <v>2.9025880000000002</v>
      </c>
      <c r="T5168">
        <v>-0.1243428</v>
      </c>
      <c r="U5168">
        <v>-0.75735469999999905</v>
      </c>
      <c r="V5168">
        <v>-6.8652340000000006E-2</v>
      </c>
      <c r="W5168">
        <v>-1.7422650000000001E-2</v>
      </c>
      <c r="X5168">
        <v>0.9974885</v>
      </c>
      <c r="Y5168">
        <v>-3.3651739999999999E-2</v>
      </c>
      <c r="Z5168">
        <v>1.248231E-2</v>
      </c>
      <c r="AA5168">
        <v>0.99935569999999896</v>
      </c>
      <c r="AB5168">
        <v>23</v>
      </c>
      <c r="AC5168">
        <v>25.581600000000002</v>
      </c>
      <c r="AD5168">
        <v>-1.1018440410079999</v>
      </c>
      <c r="AE5168">
        <v>-6.6668500000000002</v>
      </c>
      <c r="AF5168">
        <v>-0.90275859621256105</v>
      </c>
      <c r="AG5168">
        <v>-1.1018440410079999</v>
      </c>
      <c r="AH5168">
        <v>26.374767607472599</v>
      </c>
      <c r="AI5168">
        <v>92.390824497623797</v>
      </c>
      <c r="AJ5168">
        <v>91.9603612442924</v>
      </c>
      <c r="AK5168">
        <v>26.413205025553498</v>
      </c>
    </row>
    <row r="5169" spans="1:37" x14ac:dyDescent="0.2">
      <c r="A5169" t="str">
        <f>"20200111155700074"</f>
        <v>20200111155700074</v>
      </c>
      <c r="B5169" t="str">
        <f>"1578729420067964"</f>
        <v>1578729420067964</v>
      </c>
      <c r="C5169" t="s">
        <v>37</v>
      </c>
      <c r="D5169">
        <v>5.1403869999999996</v>
      </c>
      <c r="E5169">
        <v>0.51357249999999999</v>
      </c>
      <c r="F5169" t="s">
        <v>89</v>
      </c>
      <c r="G5169">
        <v>-373.87580000000003</v>
      </c>
      <c r="H5169" s="1">
        <v>-3.9237740000000002E-6</v>
      </c>
      <c r="I5169">
        <v>13.706289999999999</v>
      </c>
      <c r="J5169">
        <v>-397.17320000000001</v>
      </c>
      <c r="K5169">
        <v>1.1021129999999999</v>
      </c>
      <c r="L5169">
        <v>19.812290000000001</v>
      </c>
      <c r="M5169">
        <v>0.95773109999999995</v>
      </c>
      <c r="N5169">
        <v>0</v>
      </c>
      <c r="O5169">
        <v>-0.28732279999999999</v>
      </c>
      <c r="P5169">
        <v>0.97462559999999998</v>
      </c>
      <c r="Q5169">
        <v>-3.3566390000000002E-2</v>
      </c>
      <c r="R5169">
        <v>-0.2213107</v>
      </c>
      <c r="S5169">
        <v>2.900909</v>
      </c>
      <c r="T5169">
        <v>-0.13651170000000001</v>
      </c>
      <c r="U5169">
        <v>-0.7611694</v>
      </c>
      <c r="V5169">
        <v>-6.8206439999999993E-2</v>
      </c>
      <c r="W5169">
        <v>-1.9133730000000002E-2</v>
      </c>
      <c r="X5169">
        <v>0.99748769999999998</v>
      </c>
      <c r="Y5169">
        <v>-3.4526859999999999E-2</v>
      </c>
      <c r="Z5169">
        <v>1.3824639999999999E-2</v>
      </c>
      <c r="AA5169">
        <v>0.99930819999999998</v>
      </c>
      <c r="AB5169">
        <v>23</v>
      </c>
      <c r="AC5169">
        <v>23.2973999999999</v>
      </c>
      <c r="AD5169">
        <v>-1.1021169237739901</v>
      </c>
      <c r="AE5169">
        <v>-6.1059999999999999</v>
      </c>
      <c r="AF5169">
        <v>-0.84428336107708002</v>
      </c>
      <c r="AG5169">
        <v>-1.1021169237739901</v>
      </c>
      <c r="AH5169">
        <v>24.019108109981801</v>
      </c>
      <c r="AI5169">
        <v>92.625555210371303</v>
      </c>
      <c r="AJ5169">
        <v>92.013145740005498</v>
      </c>
      <c r="AK5169">
        <v>24.0591984593514</v>
      </c>
    </row>
    <row r="5170" spans="1:37" x14ac:dyDescent="0.2">
      <c r="A5170" t="str">
        <f>"20200111155700087"</f>
        <v>20200111155700087</v>
      </c>
      <c r="B5170" t="str">
        <f>"1578729420078699"</f>
        <v>1578729420078699</v>
      </c>
      <c r="C5170" t="s">
        <v>37</v>
      </c>
      <c r="D5170">
        <v>5.1514119999999997</v>
      </c>
      <c r="E5170">
        <v>0.51322909999999999</v>
      </c>
      <c r="F5170" t="s">
        <v>89</v>
      </c>
      <c r="G5170">
        <v>-375.62569999999999</v>
      </c>
      <c r="H5170" s="1">
        <v>-3.130143E-6</v>
      </c>
      <c r="I5170">
        <v>14.106159999999999</v>
      </c>
      <c r="J5170">
        <v>-397.06130000000002</v>
      </c>
      <c r="K5170">
        <v>1.1023799999999999</v>
      </c>
      <c r="L5170">
        <v>19.776209999999999</v>
      </c>
      <c r="M5170">
        <v>0.95717410000000003</v>
      </c>
      <c r="N5170">
        <v>0</v>
      </c>
      <c r="O5170">
        <v>-0.28917359999999998</v>
      </c>
      <c r="P5170">
        <v>0.97408169999999905</v>
      </c>
      <c r="Q5170">
        <v>-3.487461E-2</v>
      </c>
      <c r="R5170">
        <v>-0.223492</v>
      </c>
      <c r="S5170">
        <v>2.8986509999999899</v>
      </c>
      <c r="T5170">
        <v>-0.1482608</v>
      </c>
      <c r="U5170">
        <v>-0.76760859999999997</v>
      </c>
      <c r="V5170">
        <v>-6.7883509999999994E-2</v>
      </c>
      <c r="W5170">
        <v>-2.051014E-2</v>
      </c>
      <c r="X5170">
        <v>0.99748239999999999</v>
      </c>
      <c r="Y5170">
        <v>-3.4132639999999999E-2</v>
      </c>
      <c r="Z5170">
        <v>1.5097330000000001E-2</v>
      </c>
      <c r="AA5170">
        <v>0.99930330000000001</v>
      </c>
      <c r="AB5170">
        <v>23</v>
      </c>
      <c r="AC5170">
        <v>21.435600000000001</v>
      </c>
      <c r="AD5170">
        <v>-1.1023831301429901</v>
      </c>
      <c r="AE5170">
        <v>-5.67004999999999</v>
      </c>
      <c r="AF5170">
        <v>-0.76955812907925203</v>
      </c>
      <c r="AG5170">
        <v>-1.1023831301429901</v>
      </c>
      <c r="AH5170">
        <v>22.104765994222898</v>
      </c>
      <c r="AI5170">
        <v>92.853297256479493</v>
      </c>
      <c r="AJ5170">
        <v>91.993897250647095</v>
      </c>
      <c r="AK5170">
        <v>22.145612385730299</v>
      </c>
    </row>
    <row r="5171" spans="1:37" x14ac:dyDescent="0.2">
      <c r="A5171" t="str">
        <f>"20200111155700106"</f>
        <v>20200111155700106</v>
      </c>
      <c r="B5171" t="str">
        <f>"1578729420098219"</f>
        <v>1578729420098219</v>
      </c>
      <c r="C5171" t="s">
        <v>37</v>
      </c>
      <c r="D5171">
        <v>4.811369</v>
      </c>
      <c r="E5171">
        <v>0.51038549999999905</v>
      </c>
      <c r="F5171" t="s">
        <v>89</v>
      </c>
      <c r="G5171">
        <v>-376.42619999999999</v>
      </c>
      <c r="H5171" s="1">
        <v>-2.77544E-6</v>
      </c>
      <c r="I5171">
        <v>14.283810000000001</v>
      </c>
      <c r="J5171">
        <v>-396.87799999999999</v>
      </c>
      <c r="K5171">
        <v>1.102833</v>
      </c>
      <c r="L5171">
        <v>19.71707</v>
      </c>
      <c r="M5171">
        <v>0.95636390000000004</v>
      </c>
      <c r="N5171">
        <v>0</v>
      </c>
      <c r="O5171">
        <v>-0.29184359999999998</v>
      </c>
      <c r="P5171">
        <v>0.97343329999999995</v>
      </c>
      <c r="Q5171">
        <v>-3.6712420000000003E-2</v>
      </c>
      <c r="R5171">
        <v>-0.2260085</v>
      </c>
      <c r="S5171">
        <v>2.8973390000000001</v>
      </c>
      <c r="T5171">
        <v>-0.15478359999999999</v>
      </c>
      <c r="U5171">
        <v>-0.77117919999999995</v>
      </c>
      <c r="V5171">
        <v>-6.8055229999999994E-2</v>
      </c>
      <c r="W5171">
        <v>-2.2455679999999999E-2</v>
      </c>
      <c r="X5171">
        <v>0.9974288</v>
      </c>
      <c r="Y5171">
        <v>-3.5619610000000003E-2</v>
      </c>
      <c r="Z5171">
        <v>1.5936200000000001E-2</v>
      </c>
      <c r="AA5171">
        <v>0.99923839999999997</v>
      </c>
      <c r="AB5171">
        <v>23</v>
      </c>
      <c r="AC5171">
        <v>20.451799999999999</v>
      </c>
      <c r="AD5171">
        <v>-1.10283577544</v>
      </c>
      <c r="AE5171">
        <v>-5.43325999999999</v>
      </c>
      <c r="AF5171">
        <v>-0.77053587633589404</v>
      </c>
      <c r="AG5171">
        <v>-1.10283577544</v>
      </c>
      <c r="AH5171">
        <v>21.089810167569599</v>
      </c>
      <c r="AI5171">
        <v>92.991412289665504</v>
      </c>
      <c r="AJ5171">
        <v>92.092424011055598</v>
      </c>
      <c r="AK5171">
        <v>21.132677662530899</v>
      </c>
    </row>
    <row r="5172" spans="1:37" x14ac:dyDescent="0.2">
      <c r="A5172" t="str">
        <f>"20200111155700120"</f>
        <v>20200111155700120</v>
      </c>
      <c r="B5172" t="str">
        <f>"1578729420118715"</f>
        <v>1578729420118715</v>
      </c>
      <c r="C5172" t="s">
        <v>37</v>
      </c>
      <c r="D5172">
        <v>5.1924960000000002</v>
      </c>
      <c r="E5172">
        <v>0.50954489999999997</v>
      </c>
      <c r="F5172" t="s">
        <v>89</v>
      </c>
      <c r="G5172">
        <v>-376.8657</v>
      </c>
      <c r="H5172" s="1">
        <v>-2.55024599999999E-6</v>
      </c>
      <c r="I5172">
        <v>14.49588</v>
      </c>
      <c r="J5172">
        <v>-396.7405</v>
      </c>
      <c r="K5172">
        <v>1.1031759999999999</v>
      </c>
      <c r="L5172">
        <v>19.67276</v>
      </c>
      <c r="M5172">
        <v>0.95584769999999897</v>
      </c>
      <c r="N5172">
        <v>0</v>
      </c>
      <c r="O5172">
        <v>-0.29353089999999998</v>
      </c>
      <c r="P5172">
        <v>0.97309760000000001</v>
      </c>
      <c r="Q5172">
        <v>-3.6720509999999998E-2</v>
      </c>
      <c r="R5172">
        <v>-0.22744899999999901</v>
      </c>
      <c r="S5172">
        <v>2.9001769999999998</v>
      </c>
      <c r="T5172">
        <v>-0.15982260000000001</v>
      </c>
      <c r="U5172">
        <v>-0.75665280000000001</v>
      </c>
      <c r="V5172">
        <v>-6.832096E-2</v>
      </c>
      <c r="W5172">
        <v>-2.2542929999999999E-2</v>
      </c>
      <c r="X5172">
        <v>0.99740869999999904</v>
      </c>
      <c r="Y5172">
        <v>-4.2266489999999997E-2</v>
      </c>
      <c r="Z5172">
        <v>1.6718360000000002E-2</v>
      </c>
      <c r="AA5172">
        <v>0.99896649999999998</v>
      </c>
      <c r="AB5172">
        <v>23</v>
      </c>
      <c r="AC5172">
        <v>19.8748</v>
      </c>
      <c r="AD5172">
        <v>-1.1031785502460001</v>
      </c>
      <c r="AE5172">
        <v>-5.1768799999999997</v>
      </c>
      <c r="AF5172">
        <v>-0.88309743030405696</v>
      </c>
      <c r="AG5172">
        <v>-1.1031785502460001</v>
      </c>
      <c r="AH5172">
        <v>20.459823758174799</v>
      </c>
      <c r="AI5172">
        <v>93.083491962007599</v>
      </c>
      <c r="AJ5172">
        <v>92.471495848574506</v>
      </c>
      <c r="AK5172">
        <v>20.508565337456101</v>
      </c>
    </row>
    <row r="5173" spans="1:37" x14ac:dyDescent="0.2">
      <c r="A5173" t="str">
        <f>"20200111155700137"</f>
        <v>20200111155700137</v>
      </c>
      <c r="B5173" t="str">
        <f>"1578729420128475"</f>
        <v>1578729420128475</v>
      </c>
      <c r="C5173" t="s">
        <v>37</v>
      </c>
      <c r="D5173">
        <v>5.1674939999999996</v>
      </c>
      <c r="E5173">
        <v>0.50912369999999996</v>
      </c>
      <c r="F5173" t="s">
        <v>89</v>
      </c>
      <c r="G5173">
        <v>-377.12099999999998</v>
      </c>
      <c r="H5173" s="1">
        <v>-2.4324050000000001E-6</v>
      </c>
      <c r="I5173">
        <v>14.57029</v>
      </c>
      <c r="J5173">
        <v>-396.5745</v>
      </c>
      <c r="K5173">
        <v>1.1035900000000001</v>
      </c>
      <c r="L5173">
        <v>19.619420000000002</v>
      </c>
      <c r="M5173">
        <v>0.95535400000000004</v>
      </c>
      <c r="N5173">
        <v>0</v>
      </c>
      <c r="O5173">
        <v>-0.29513509999999998</v>
      </c>
      <c r="P5173">
        <v>0.97300699999999996</v>
      </c>
      <c r="Q5173">
        <v>-3.4338760000000003E-2</v>
      </c>
      <c r="R5173">
        <v>-0.22820699999999999</v>
      </c>
      <c r="S5173">
        <v>2.9004819999999998</v>
      </c>
      <c r="T5173">
        <v>-0.1630906</v>
      </c>
      <c r="U5173">
        <v>-0.75433349999999999</v>
      </c>
      <c r="V5173">
        <v>-6.921513E-2</v>
      </c>
      <c r="W5173">
        <v>-2.0251089999999999E-2</v>
      </c>
      <c r="X5173">
        <v>0.99739619999999996</v>
      </c>
      <c r="Y5173">
        <v>-4.4692620000000002E-2</v>
      </c>
      <c r="Z5173">
        <v>1.7211089999999998E-2</v>
      </c>
      <c r="AA5173">
        <v>0.99885249999999903</v>
      </c>
      <c r="AB5173">
        <v>23</v>
      </c>
      <c r="AC5173">
        <v>19.453499999999998</v>
      </c>
      <c r="AD5173">
        <v>-1.1035924324049999</v>
      </c>
      <c r="AE5173">
        <v>-5.0491299999999999</v>
      </c>
      <c r="AF5173">
        <v>-0.91503419515379403</v>
      </c>
      <c r="AG5173">
        <v>-1.1035924324049999</v>
      </c>
      <c r="AH5173">
        <v>20.016748696750302</v>
      </c>
      <c r="AI5173">
        <v>93.152433681412006</v>
      </c>
      <c r="AJ5173">
        <v>92.617364307516894</v>
      </c>
      <c r="AK5173">
        <v>20.068020137124101</v>
      </c>
    </row>
    <row r="5174" spans="1:37" x14ac:dyDescent="0.2">
      <c r="A5174" t="str">
        <f>"20200111155700149"</f>
        <v>20200111155700149</v>
      </c>
      <c r="B5174" t="str">
        <f>"1578729420138236"</f>
        <v>1578729420138236</v>
      </c>
      <c r="C5174" t="s">
        <v>37</v>
      </c>
      <c r="D5174">
        <v>5.191147</v>
      </c>
      <c r="E5174">
        <v>0.50864030000000005</v>
      </c>
      <c r="F5174" t="s">
        <v>89</v>
      </c>
      <c r="G5174">
        <v>-376.29109999999997</v>
      </c>
      <c r="H5174" s="1">
        <v>-2.8092659999999998E-6</v>
      </c>
      <c r="I5174">
        <v>14.35167</v>
      </c>
      <c r="J5174">
        <v>-396.45949999999999</v>
      </c>
      <c r="K5174">
        <v>1.1038559999999999</v>
      </c>
      <c r="L5174">
        <v>19.58258</v>
      </c>
      <c r="M5174">
        <v>0.95510790000000001</v>
      </c>
      <c r="N5174">
        <v>0</v>
      </c>
      <c r="O5174">
        <v>-0.29593150000000001</v>
      </c>
      <c r="P5174">
        <v>0.97300330000000002</v>
      </c>
      <c r="Q5174">
        <v>-3.2814620000000003E-2</v>
      </c>
      <c r="R5174">
        <v>-0.22844679999999901</v>
      </c>
      <c r="S5174">
        <v>2.900909</v>
      </c>
      <c r="T5174">
        <v>-0.1578348</v>
      </c>
      <c r="U5174">
        <v>-0.75338749999999999</v>
      </c>
      <c r="V5174">
        <v>-6.9800199999999896E-2</v>
      </c>
      <c r="W5174">
        <v>-1.8786170000000001E-2</v>
      </c>
      <c r="X5174">
        <v>0.9973841</v>
      </c>
      <c r="Y5174">
        <v>-4.5894480000000001E-2</v>
      </c>
      <c r="Z5174">
        <v>1.6728179999999999E-2</v>
      </c>
      <c r="AA5174">
        <v>0.99880619999999998</v>
      </c>
      <c r="AB5174">
        <v>23</v>
      </c>
      <c r="AC5174">
        <v>20.168399999999998</v>
      </c>
      <c r="AD5174">
        <v>-1.103858809266</v>
      </c>
      <c r="AE5174">
        <v>-5.2309099999999997</v>
      </c>
      <c r="AF5174">
        <v>-0.96975356690361003</v>
      </c>
      <c r="AG5174">
        <v>-1.103858809266</v>
      </c>
      <c r="AH5174">
        <v>20.7547481187401</v>
      </c>
      <c r="AI5174">
        <v>93.041144317022201</v>
      </c>
      <c r="AJ5174">
        <v>92.675166412707</v>
      </c>
      <c r="AK5174">
        <v>20.806693531737899</v>
      </c>
    </row>
    <row r="5175" spans="1:37" x14ac:dyDescent="0.2">
      <c r="A5175" t="str">
        <f>"20200111155700163"</f>
        <v>20200111155700163</v>
      </c>
      <c r="B5175" t="str">
        <f>"1578729420158732"</f>
        <v>1578729420158732</v>
      </c>
      <c r="C5175" t="s">
        <v>37</v>
      </c>
      <c r="D5175">
        <v>5.1438699999999997</v>
      </c>
      <c r="E5175">
        <v>0.50785749999999996</v>
      </c>
      <c r="F5175" t="s">
        <v>89</v>
      </c>
      <c r="G5175">
        <v>-375.59910000000002</v>
      </c>
      <c r="H5175" s="1">
        <v>-3.1182859999999999E-6</v>
      </c>
      <c r="I5175">
        <v>14.189069999999999</v>
      </c>
      <c r="J5175">
        <v>-396.3297</v>
      </c>
      <c r="K5175">
        <v>1.104152</v>
      </c>
      <c r="L5175">
        <v>19.541139999999999</v>
      </c>
      <c r="M5175">
        <v>0.95488039999999996</v>
      </c>
      <c r="N5175">
        <v>0</v>
      </c>
      <c r="O5175">
        <v>-0.29666609999999899</v>
      </c>
      <c r="P5175">
        <v>0.97297869999999997</v>
      </c>
      <c r="Q5175">
        <v>-3.102479E-2</v>
      </c>
      <c r="R5175">
        <v>-0.2288018</v>
      </c>
      <c r="S5175">
        <v>2.9019469999999998</v>
      </c>
      <c r="T5175">
        <v>-0.1535608</v>
      </c>
      <c r="U5175">
        <v>-0.75030520000000001</v>
      </c>
      <c r="V5175">
        <v>-7.0204710000000004E-2</v>
      </c>
      <c r="W5175">
        <v>-1.7062810000000001E-2</v>
      </c>
      <c r="X5175">
        <v>0.99738669999999996</v>
      </c>
      <c r="Y5175">
        <v>-4.776495E-2</v>
      </c>
      <c r="Z5175">
        <v>1.6357730000000001E-2</v>
      </c>
      <c r="AA5175">
        <v>0.99872459999999996</v>
      </c>
      <c r="AB5175">
        <v>23</v>
      </c>
      <c r="AC5175">
        <v>20.7305999999999</v>
      </c>
      <c r="AD5175">
        <v>-1.1041551182860001</v>
      </c>
      <c r="AE5175">
        <v>-5.3520699999999897</v>
      </c>
      <c r="AF5175">
        <v>-1.03682213814535</v>
      </c>
      <c r="AG5175">
        <v>-1.1041551182860001</v>
      </c>
      <c r="AH5175">
        <v>21.328356838302</v>
      </c>
      <c r="AI5175">
        <v>92.960030311739004</v>
      </c>
      <c r="AJ5175">
        <v>92.783093152435697</v>
      </c>
      <c r="AK5175">
        <v>21.382071089895199</v>
      </c>
    </row>
    <row r="5176" spans="1:37" x14ac:dyDescent="0.2">
      <c r="A5176" t="str">
        <f>"20200111155700175"</f>
        <v>20200111155700175</v>
      </c>
      <c r="B5176" t="str">
        <f>"1578729420168492"</f>
        <v>1578729420168492</v>
      </c>
      <c r="C5176" t="s">
        <v>37</v>
      </c>
      <c r="D5176">
        <v>5.2065900000000003</v>
      </c>
      <c r="E5176">
        <v>0.50729009999999997</v>
      </c>
      <c r="F5176" t="s">
        <v>89</v>
      </c>
      <c r="G5176">
        <v>-373.95030000000003</v>
      </c>
      <c r="H5176" s="1">
        <v>-3.8728539999999998E-6</v>
      </c>
      <c r="I5176">
        <v>13.794779999999999</v>
      </c>
      <c r="J5176">
        <v>-396.20429999999999</v>
      </c>
      <c r="K5176">
        <v>1.1044369999999999</v>
      </c>
      <c r="L5176">
        <v>19.501279999999898</v>
      </c>
      <c r="M5176">
        <v>0.95473949999999996</v>
      </c>
      <c r="N5176">
        <v>0</v>
      </c>
      <c r="O5176">
        <v>-0.29711989999999999</v>
      </c>
      <c r="P5176">
        <v>0.97300759999999897</v>
      </c>
      <c r="Q5176">
        <v>-2.9547049999999998E-2</v>
      </c>
      <c r="R5176">
        <v>-0.22887469999999999</v>
      </c>
      <c r="S5176">
        <v>2.9034419999999899</v>
      </c>
      <c r="T5176">
        <v>-0.14324979999999901</v>
      </c>
      <c r="U5176">
        <v>-0.74551389999999995</v>
      </c>
      <c r="V5176">
        <v>-7.0604890000000003E-2</v>
      </c>
      <c r="W5176">
        <v>-1.564867E-2</v>
      </c>
      <c r="X5176">
        <v>0.99738159999999898</v>
      </c>
      <c r="Y5176">
        <v>-4.9963279999999999E-2</v>
      </c>
      <c r="Z5176">
        <v>1.533121E-2</v>
      </c>
      <c r="AA5176">
        <v>0.9986334</v>
      </c>
      <c r="AB5176">
        <v>23</v>
      </c>
      <c r="AC5176">
        <v>22.253999999999898</v>
      </c>
      <c r="AD5176">
        <v>-1.1044408728540001</v>
      </c>
      <c r="AE5176">
        <v>-5.7064999999999904</v>
      </c>
      <c r="AF5176">
        <v>-1.1613133258447399</v>
      </c>
      <c r="AG5176">
        <v>-1.1044408728540001</v>
      </c>
      <c r="AH5176">
        <v>22.891589315123898</v>
      </c>
      <c r="AI5176">
        <v>92.758641378633001</v>
      </c>
      <c r="AJ5176">
        <v>92.904182733829998</v>
      </c>
      <c r="AK5176">
        <v>22.947620784184</v>
      </c>
    </row>
    <row r="5177" spans="1:37" x14ac:dyDescent="0.2">
      <c r="A5177" t="str">
        <f>"20200111155700188"</f>
        <v>20200111155700188</v>
      </c>
      <c r="B5177" t="str">
        <f>"1578729420178251"</f>
        <v>1578729420178251</v>
      </c>
      <c r="C5177" t="s">
        <v>37</v>
      </c>
      <c r="D5177">
        <v>5.2430250000000003</v>
      </c>
      <c r="E5177">
        <v>0.50719369999999997</v>
      </c>
      <c r="F5177" t="s">
        <v>89</v>
      </c>
      <c r="G5177">
        <v>-373.30099999999999</v>
      </c>
      <c r="H5177" s="1">
        <v>-4.2043730000000002E-6</v>
      </c>
      <c r="I5177">
        <v>13.6562</v>
      </c>
      <c r="J5177">
        <v>-396.0967</v>
      </c>
      <c r="K5177">
        <v>1.1046739999999999</v>
      </c>
      <c r="L5177">
        <v>19.467289999999998</v>
      </c>
      <c r="M5177">
        <v>0.95469490000000001</v>
      </c>
      <c r="N5177">
        <v>0</v>
      </c>
      <c r="O5177">
        <v>-0.29726390000000003</v>
      </c>
      <c r="P5177">
        <v>0.97309310000000004</v>
      </c>
      <c r="Q5177">
        <v>-2.843671E-2</v>
      </c>
      <c r="R5177">
        <v>-0.2286513</v>
      </c>
      <c r="S5177">
        <v>2.9046020000000001</v>
      </c>
      <c r="T5177">
        <v>-0.140065</v>
      </c>
      <c r="U5177">
        <v>-0.74127200000000004</v>
      </c>
      <c r="V5177">
        <v>-7.098459E-2</v>
      </c>
      <c r="W5177">
        <v>-1.459069E-2</v>
      </c>
      <c r="X5177">
        <v>0.99737070000000005</v>
      </c>
      <c r="Y5177">
        <v>-5.1593609999999998E-2</v>
      </c>
      <c r="Z5177">
        <v>1.50335E-2</v>
      </c>
      <c r="AA5177">
        <v>0.99855499999999997</v>
      </c>
      <c r="AB5177">
        <v>23</v>
      </c>
      <c r="AC5177">
        <v>22.7957</v>
      </c>
      <c r="AD5177">
        <v>-1.1046782043729999</v>
      </c>
      <c r="AE5177">
        <v>-5.8110899999999903</v>
      </c>
      <c r="AF5177">
        <v>-1.2259352707019999</v>
      </c>
      <c r="AG5177">
        <v>-1.1046782043729999</v>
      </c>
      <c r="AH5177">
        <v>23.440930213726599</v>
      </c>
      <c r="AI5177">
        <v>92.694450017963106</v>
      </c>
      <c r="AJ5177">
        <v>92.993779716881903</v>
      </c>
      <c r="AK5177">
        <v>23.498945519064701</v>
      </c>
    </row>
    <row r="5178" spans="1:37" x14ac:dyDescent="0.2">
      <c r="A5178" t="str">
        <f>"20200111155700205"</f>
        <v>20200111155700205</v>
      </c>
      <c r="B5178" t="str">
        <f>"1578729420198748"</f>
        <v>1578729420198748</v>
      </c>
      <c r="C5178" t="s">
        <v>37</v>
      </c>
      <c r="D5178">
        <v>5.3321629999999898</v>
      </c>
      <c r="E5178">
        <v>0.50604830000000001</v>
      </c>
      <c r="F5178" t="s">
        <v>89</v>
      </c>
      <c r="G5178">
        <v>-373.2389</v>
      </c>
      <c r="H5178" s="1">
        <v>-4.2353309999999997E-6</v>
      </c>
      <c r="I5178">
        <v>13.647169999999999</v>
      </c>
      <c r="J5178">
        <v>-395.92579999999998</v>
      </c>
      <c r="K5178">
        <v>1.1050439999999999</v>
      </c>
      <c r="L5178">
        <v>19.413640000000001</v>
      </c>
      <c r="M5178">
        <v>0.95471119999999898</v>
      </c>
      <c r="N5178">
        <v>0</v>
      </c>
      <c r="O5178">
        <v>-0.29721219999999998</v>
      </c>
      <c r="P5178">
        <v>0.97335329999999998</v>
      </c>
      <c r="Q5178">
        <v>-2.7257699999999999E-2</v>
      </c>
      <c r="R5178">
        <v>-0.2276852</v>
      </c>
      <c r="S5178">
        <v>2.9050289999999999</v>
      </c>
      <c r="T5178">
        <v>-0.14039470000000001</v>
      </c>
      <c r="U5178">
        <v>-0.73968509999999998</v>
      </c>
      <c r="V5178">
        <v>-7.1918280000000001E-2</v>
      </c>
      <c r="W5178">
        <v>-1.349329E-2</v>
      </c>
      <c r="X5178">
        <v>0.99731930000000002</v>
      </c>
      <c r="Y5178">
        <v>-5.2084690000000003E-2</v>
      </c>
      <c r="Z5178">
        <v>1.507733E-2</v>
      </c>
      <c r="AA5178">
        <v>0.99852879999999999</v>
      </c>
      <c r="AB5178">
        <v>23</v>
      </c>
      <c r="AC5178">
        <v>22.686899999999898</v>
      </c>
      <c r="AD5178">
        <v>-1.1050482353310001</v>
      </c>
      <c r="AE5178">
        <v>-5.76647</v>
      </c>
      <c r="AF5178">
        <v>-1.2348764431327599</v>
      </c>
      <c r="AG5178">
        <v>-1.1050482353310001</v>
      </c>
      <c r="AH5178">
        <v>23.323562436368199</v>
      </c>
      <c r="AI5178">
        <v>92.708802742902805</v>
      </c>
      <c r="AJ5178">
        <v>93.030720855793703</v>
      </c>
      <c r="AK5178">
        <v>23.382356941834999</v>
      </c>
    </row>
    <row r="5179" spans="1:37" x14ac:dyDescent="0.2">
      <c r="A5179" t="str">
        <f>"20200111155700217"</f>
        <v>20200111155700217</v>
      </c>
      <c r="B5179" t="str">
        <f>"1578729420208507"</f>
        <v>1578729420208507</v>
      </c>
      <c r="C5179" t="s">
        <v>37</v>
      </c>
      <c r="D5179">
        <v>5.1980300000000002</v>
      </c>
      <c r="E5179">
        <v>0.5056967</v>
      </c>
      <c r="F5179" t="s">
        <v>89</v>
      </c>
      <c r="G5179">
        <v>-372.3843</v>
      </c>
      <c r="H5179" s="1">
        <v>-4.6616420000000003E-6</v>
      </c>
      <c r="I5179">
        <v>13.521100000000001</v>
      </c>
      <c r="J5179">
        <v>-395.80579999999998</v>
      </c>
      <c r="K5179">
        <v>1.105299</v>
      </c>
      <c r="L5179">
        <v>19.37622</v>
      </c>
      <c r="M5179">
        <v>0.95478739999999995</v>
      </c>
      <c r="N5179">
        <v>0</v>
      </c>
      <c r="O5179">
        <v>-0.2969677</v>
      </c>
      <c r="P5179">
        <v>0.97359130000000005</v>
      </c>
      <c r="Q5179">
        <v>-2.6763550000000001E-2</v>
      </c>
      <c r="R5179">
        <v>-0.2267245</v>
      </c>
      <c r="S5179">
        <v>2.9080810000000001</v>
      </c>
      <c r="T5179">
        <v>-0.13650670000000001</v>
      </c>
      <c r="U5179">
        <v>-0.72790529999999998</v>
      </c>
      <c r="V5179">
        <v>-7.2643910000000006E-2</v>
      </c>
      <c r="W5179">
        <v>-1.3055550000000001E-2</v>
      </c>
      <c r="X5179">
        <v>0.99727250000000001</v>
      </c>
      <c r="Y5179">
        <v>-5.5898400000000001E-2</v>
      </c>
      <c r="Z5179">
        <v>1.4731899999999999E-2</v>
      </c>
      <c r="AA5179">
        <v>0.99832779999999999</v>
      </c>
      <c r="AB5179">
        <v>23</v>
      </c>
      <c r="AC5179">
        <v>23.421499999999899</v>
      </c>
      <c r="AD5179">
        <v>-1.105303661642</v>
      </c>
      <c r="AE5179">
        <v>-5.8551199999999897</v>
      </c>
      <c r="AF5179">
        <v>-1.36230920005071</v>
      </c>
      <c r="AG5179">
        <v>-1.105303661642</v>
      </c>
      <c r="AH5179">
        <v>24.053221709995</v>
      </c>
      <c r="AI5179">
        <v>92.626824792499704</v>
      </c>
      <c r="AJ5179">
        <v>93.241614286781001</v>
      </c>
      <c r="AK5179">
        <v>24.117111294082399</v>
      </c>
    </row>
    <row r="5180" spans="1:37" x14ac:dyDescent="0.2">
      <c r="A5180" t="str">
        <f>"20200111155700229"</f>
        <v>20200111155700229</v>
      </c>
      <c r="B5180" t="str">
        <f>"1578729420218268"</f>
        <v>1578729420218268</v>
      </c>
      <c r="C5180" t="s">
        <v>37</v>
      </c>
      <c r="D5180">
        <v>5.2219850000000001</v>
      </c>
      <c r="E5180">
        <v>0.50540099999999999</v>
      </c>
      <c r="F5180" t="s">
        <v>89</v>
      </c>
      <c r="G5180">
        <v>-372.27280000000002</v>
      </c>
      <c r="H5180" s="1">
        <v>-4.7118539999999997E-6</v>
      </c>
      <c r="I5180">
        <v>13.53524</v>
      </c>
      <c r="J5180">
        <v>-395.68869999999998</v>
      </c>
      <c r="K5180">
        <v>1.1055360000000001</v>
      </c>
      <c r="L5180">
        <v>19.34009</v>
      </c>
      <c r="M5180">
        <v>0.95494650000000003</v>
      </c>
      <c r="N5180">
        <v>0</v>
      </c>
      <c r="O5180">
        <v>-0.296456099999999</v>
      </c>
      <c r="P5180">
        <v>0.97381799999999996</v>
      </c>
      <c r="Q5180">
        <v>-2.6698940000000001E-2</v>
      </c>
      <c r="R5180">
        <v>-0.22575619999999999</v>
      </c>
      <c r="S5180">
        <v>2.9094540000000002</v>
      </c>
      <c r="T5180">
        <v>-0.13665189999999999</v>
      </c>
      <c r="U5180">
        <v>-0.72213749999999999</v>
      </c>
      <c r="V5180">
        <v>-7.3093779999999997E-2</v>
      </c>
      <c r="W5180">
        <v>-1.304103E-2</v>
      </c>
      <c r="X5180">
        <v>0.99723980000000001</v>
      </c>
      <c r="Y5180">
        <v>-5.7336239999999997E-2</v>
      </c>
      <c r="Z5180">
        <v>1.4756109999999999E-2</v>
      </c>
      <c r="AA5180">
        <v>0.99824590000000002</v>
      </c>
      <c r="AB5180">
        <v>23</v>
      </c>
      <c r="AC5180">
        <v>23.415899999999901</v>
      </c>
      <c r="AD5180">
        <v>-1.1055407118539999</v>
      </c>
      <c r="AE5180">
        <v>-5.8048500000000001</v>
      </c>
      <c r="AF5180">
        <v>-1.39566780041119</v>
      </c>
      <c r="AG5180">
        <v>-1.1055407118539999</v>
      </c>
      <c r="AH5180">
        <v>24.033643206861999</v>
      </c>
      <c r="AI5180">
        <v>92.629309443302304</v>
      </c>
      <c r="AJ5180">
        <v>93.323514706090805</v>
      </c>
      <c r="AK5180">
        <v>24.099504448627499</v>
      </c>
    </row>
    <row r="5181" spans="1:37" x14ac:dyDescent="0.2">
      <c r="A5181" t="str">
        <f>"20200111155700243"</f>
        <v>20200111155700243</v>
      </c>
      <c r="B5181" t="str">
        <f>"1578729420238764"</f>
        <v>1578729420238764</v>
      </c>
      <c r="C5181" t="s">
        <v>37</v>
      </c>
      <c r="D5181">
        <v>5.2367319999999999</v>
      </c>
      <c r="E5181">
        <v>0.50484090000000004</v>
      </c>
      <c r="F5181" t="s">
        <v>89</v>
      </c>
      <c r="G5181">
        <v>-372.43290000000002</v>
      </c>
      <c r="H5181" s="1">
        <v>-4.6224419999999999E-6</v>
      </c>
      <c r="I5181">
        <v>13.61257</v>
      </c>
      <c r="J5181">
        <v>-395.56709999999998</v>
      </c>
      <c r="K5181">
        <v>1.1057809999999999</v>
      </c>
      <c r="L5181">
        <v>19.30283</v>
      </c>
      <c r="M5181">
        <v>0.95514769999999904</v>
      </c>
      <c r="N5181">
        <v>0</v>
      </c>
      <c r="O5181">
        <v>-0.29580719999999999</v>
      </c>
      <c r="P5181">
        <v>0.97407529999999998</v>
      </c>
      <c r="Q5181">
        <v>-2.667692E-2</v>
      </c>
      <c r="R5181">
        <v>-0.22464629999999899</v>
      </c>
      <c r="S5181">
        <v>2.9107059999999998</v>
      </c>
      <c r="T5181">
        <v>-0.13836989999999999</v>
      </c>
      <c r="U5181">
        <v>-0.71685790000000005</v>
      </c>
      <c r="V5181">
        <v>-7.3544990000000005E-2</v>
      </c>
      <c r="W5181">
        <v>-1.3069890000000001E-2</v>
      </c>
      <c r="X5181">
        <v>0.99720629999999999</v>
      </c>
      <c r="Y5181">
        <v>-5.8455130000000001E-2</v>
      </c>
      <c r="Z5181">
        <v>1.493673E-2</v>
      </c>
      <c r="AA5181">
        <v>0.99817829999999996</v>
      </c>
      <c r="AB5181">
        <v>22</v>
      </c>
      <c r="AC5181">
        <v>23.1341999999999</v>
      </c>
      <c r="AD5181">
        <v>-1.105785622442</v>
      </c>
      <c r="AE5181">
        <v>-5.6902599999999897</v>
      </c>
      <c r="AF5181">
        <v>-1.40533104290519</v>
      </c>
      <c r="AG5181">
        <v>-1.105785622442</v>
      </c>
      <c r="AH5181">
        <v>23.730943296074098</v>
      </c>
      <c r="AI5181">
        <v>92.663210233986305</v>
      </c>
      <c r="AJ5181">
        <v>93.389060798578399</v>
      </c>
      <c r="AK5181">
        <v>23.798222347571201</v>
      </c>
    </row>
    <row r="5182" spans="1:37" x14ac:dyDescent="0.2">
      <c r="A5182" t="str">
        <f>"20200111155700255"</f>
        <v>20200111155700255</v>
      </c>
      <c r="B5182" t="str">
        <f>"1578729420248523"</f>
        <v>1578729420248523</v>
      </c>
      <c r="C5182" t="s">
        <v>37</v>
      </c>
      <c r="D5182">
        <v>5.2201339999999998</v>
      </c>
      <c r="E5182">
        <v>0.50456319999999999</v>
      </c>
      <c r="F5182" t="s">
        <v>89</v>
      </c>
      <c r="G5182">
        <v>-373.03250000000003</v>
      </c>
      <c r="H5182" s="1">
        <v>-4.3027520000000001E-6</v>
      </c>
      <c r="I5182">
        <v>13.816929999999999</v>
      </c>
      <c r="J5182">
        <v>-395.44099999999997</v>
      </c>
      <c r="K5182">
        <v>1.1060239999999999</v>
      </c>
      <c r="L5182">
        <v>19.264500000000002</v>
      </c>
      <c r="M5182">
        <v>0.95542070000000001</v>
      </c>
      <c r="N5182">
        <v>0</v>
      </c>
      <c r="O5182">
        <v>-0.29492439999999998</v>
      </c>
      <c r="P5182">
        <v>0.9743927</v>
      </c>
      <c r="Q5182">
        <v>-2.670763E-2</v>
      </c>
      <c r="R5182">
        <v>-0.22326079999999901</v>
      </c>
      <c r="S5182">
        <v>2.912445</v>
      </c>
      <c r="T5182">
        <v>-0.14291519999999999</v>
      </c>
      <c r="U5182">
        <v>-0.7090149</v>
      </c>
      <c r="V5182">
        <v>-7.4033260000000004E-2</v>
      </c>
      <c r="W5182">
        <v>-1.31512E-2</v>
      </c>
      <c r="X5182">
        <v>0.99716909999999903</v>
      </c>
      <c r="Y5182">
        <v>-6.0181859999999997E-2</v>
      </c>
      <c r="Z5182">
        <v>1.542544E-2</v>
      </c>
      <c r="AA5182">
        <v>0.99806819999999896</v>
      </c>
      <c r="AB5182">
        <v>22</v>
      </c>
      <c r="AC5182">
        <v>22.408499999999901</v>
      </c>
      <c r="AD5182">
        <v>-1.1060283027519999</v>
      </c>
      <c r="AE5182">
        <v>-5.4475699999999998</v>
      </c>
      <c r="AF5182">
        <v>-1.40100367952508</v>
      </c>
      <c r="AG5182">
        <v>-1.1060283027519999</v>
      </c>
      <c r="AH5182">
        <v>22.965537189511402</v>
      </c>
      <c r="AI5182">
        <v>92.752145855643903</v>
      </c>
      <c r="AJ5182">
        <v>93.490980438527899</v>
      </c>
      <c r="AK5182">
        <v>23.034799940945099</v>
      </c>
    </row>
    <row r="5183" spans="1:37" x14ac:dyDescent="0.2">
      <c r="A5183" t="str">
        <f>"20200111155700271"</f>
        <v>20200111155700271</v>
      </c>
      <c r="B5183" t="str">
        <f>"1578729420268044"</f>
        <v>1578729420268044</v>
      </c>
      <c r="C5183" t="s">
        <v>37</v>
      </c>
      <c r="D5183">
        <v>5.5675730000000003</v>
      </c>
      <c r="E5183">
        <v>0.45519510000000002</v>
      </c>
      <c r="F5183" t="s">
        <v>89</v>
      </c>
      <c r="G5183">
        <v>-373.1875</v>
      </c>
      <c r="H5183" s="1">
        <v>-4.2149680000000003E-6</v>
      </c>
      <c r="I5183">
        <v>13.898829999999901</v>
      </c>
      <c r="J5183">
        <v>-395.28750000000002</v>
      </c>
      <c r="K5183">
        <v>1.1062940000000001</v>
      </c>
      <c r="L5183">
        <v>19.218509999999998</v>
      </c>
      <c r="M5183">
        <v>0.95583929999999995</v>
      </c>
      <c r="N5183">
        <v>0</v>
      </c>
      <c r="O5183">
        <v>-0.29356569999999998</v>
      </c>
      <c r="P5183">
        <v>0.97487389999999996</v>
      </c>
      <c r="Q5183">
        <v>-2.7301479999999999E-2</v>
      </c>
      <c r="R5183">
        <v>-0.22107849999999901</v>
      </c>
      <c r="S5183">
        <v>2.9138489999999999</v>
      </c>
      <c r="T5183">
        <v>-0.14482229999999999</v>
      </c>
      <c r="U5183">
        <v>-0.70257569999999903</v>
      </c>
      <c r="V5183">
        <v>-7.4832830000000003E-2</v>
      </c>
      <c r="W5183">
        <v>-1.380146E-2</v>
      </c>
      <c r="X5183">
        <v>0.997100599999999</v>
      </c>
      <c r="Y5183">
        <v>-6.0946630000000002E-2</v>
      </c>
      <c r="Z5183">
        <v>1.5584499999999999E-2</v>
      </c>
      <c r="AA5183">
        <v>0.99801930000000005</v>
      </c>
      <c r="AB5183">
        <v>22</v>
      </c>
      <c r="AC5183">
        <v>22.1</v>
      </c>
      <c r="AD5183">
        <v>-1.1062982149680001</v>
      </c>
      <c r="AE5183">
        <v>-5.31968</v>
      </c>
      <c r="AF5183">
        <v>-1.3998605992099999</v>
      </c>
      <c r="AG5183">
        <v>-1.1062982149680001</v>
      </c>
      <c r="AH5183">
        <v>22.634271882061199</v>
      </c>
      <c r="AI5183">
        <v>92.792898389189403</v>
      </c>
      <c r="AJ5183">
        <v>93.539061240318802</v>
      </c>
      <c r="AK5183">
        <v>22.7044878618463</v>
      </c>
    </row>
    <row r="5184" spans="1:37" x14ac:dyDescent="0.2">
      <c r="A5184" t="str">
        <f>"20200111155700284"</f>
        <v>20200111155700284</v>
      </c>
      <c r="B5184" t="str">
        <f>"1578729420278669"</f>
        <v>1578729420278669</v>
      </c>
      <c r="C5184" t="s">
        <v>37</v>
      </c>
      <c r="D5184">
        <v>5.2396789999999998</v>
      </c>
      <c r="E5184">
        <v>0.4457643</v>
      </c>
      <c r="F5184" t="s">
        <v>90</v>
      </c>
      <c r="G5184">
        <v>-367.3569</v>
      </c>
      <c r="H5184" s="1">
        <v>-1.8960309999999999E-6</v>
      </c>
      <c r="I5184">
        <v>16.306639999999899</v>
      </c>
      <c r="J5184">
        <v>-395.1705</v>
      </c>
      <c r="K5184">
        <v>1.106482</v>
      </c>
      <c r="L5184">
        <v>19.183779999999999</v>
      </c>
      <c r="M5184">
        <v>0.95620450000000001</v>
      </c>
      <c r="N5184">
        <v>0</v>
      </c>
      <c r="O5184">
        <v>-0.29237419999999997</v>
      </c>
      <c r="P5184">
        <v>0.97518719999999903</v>
      </c>
      <c r="Q5184">
        <v>-2.7794849999999999E-2</v>
      </c>
      <c r="R5184">
        <v>-0.21963060000000001</v>
      </c>
      <c r="S5184">
        <v>3.0030519999999998</v>
      </c>
      <c r="T5184">
        <v>-0.1189471</v>
      </c>
      <c r="U5184">
        <v>-0.31307979999999902</v>
      </c>
      <c r="V5184">
        <v>-7.505858E-2</v>
      </c>
      <c r="W5184">
        <v>-1.4332910000000001E-2</v>
      </c>
      <c r="X5184">
        <v>0.99707610000000002</v>
      </c>
      <c r="Y5184">
        <v>-0.19129839999999901</v>
      </c>
      <c r="Z5184">
        <v>1.5150200000000001E-2</v>
      </c>
      <c r="AA5184">
        <v>0.98141499999999904</v>
      </c>
      <c r="AB5184">
        <v>22</v>
      </c>
      <c r="AC5184">
        <v>27.813600000000001</v>
      </c>
      <c r="AD5184">
        <v>-1.1064838960309999</v>
      </c>
      <c r="AE5184">
        <v>-2.8771399999999998</v>
      </c>
      <c r="AF5184">
        <v>-5.37294356033029</v>
      </c>
      <c r="AG5184">
        <v>-1.1064838960309999</v>
      </c>
      <c r="AH5184">
        <v>27.3964027403476</v>
      </c>
      <c r="AI5184">
        <v>92.269611597744202</v>
      </c>
      <c r="AJ5184">
        <v>101.095938090163</v>
      </c>
      <c r="AK5184">
        <v>27.940216753382501</v>
      </c>
    </row>
    <row r="5185" spans="1:37" x14ac:dyDescent="0.2">
      <c r="A5185" t="str">
        <f>"20200111155700296"</f>
        <v>20200111155700296</v>
      </c>
      <c r="B5185" t="str">
        <f>"1578729420288429"</f>
        <v>1578729420288429</v>
      </c>
      <c r="C5185" t="s">
        <v>37</v>
      </c>
      <c r="D5185">
        <v>5.0927069999999999</v>
      </c>
      <c r="E5185">
        <v>0.43654319999999902</v>
      </c>
      <c r="F5185" t="s">
        <v>90</v>
      </c>
      <c r="G5185">
        <v>-360.52769999999998</v>
      </c>
      <c r="H5185" s="1">
        <v>-5.035272E-6</v>
      </c>
      <c r="I5185">
        <v>16.474900000000002</v>
      </c>
      <c r="J5185">
        <v>-395.04899999999998</v>
      </c>
      <c r="K5185">
        <v>1.10666</v>
      </c>
      <c r="L5185">
        <v>19.14798</v>
      </c>
      <c r="M5185">
        <v>0.956623</v>
      </c>
      <c r="N5185">
        <v>0</v>
      </c>
      <c r="O5185">
        <v>-0.29100169999999997</v>
      </c>
      <c r="P5185">
        <v>0.97552510000000003</v>
      </c>
      <c r="Q5185">
        <v>-2.88207999999999E-2</v>
      </c>
      <c r="R5185">
        <v>-0.2179915</v>
      </c>
      <c r="S5185">
        <v>3.0203549999999999</v>
      </c>
      <c r="T5185">
        <v>-9.6469879999999994E-2</v>
      </c>
      <c r="U5185">
        <v>-0.23617550000000001</v>
      </c>
      <c r="V5185">
        <v>-7.528369E-2</v>
      </c>
      <c r="W5185">
        <v>-1.5395499999999999E-2</v>
      </c>
      <c r="X5185">
        <v>0.99704329999999997</v>
      </c>
      <c r="Y5185">
        <v>-0.21530959999999999</v>
      </c>
      <c r="Z5185">
        <v>1.258247E-2</v>
      </c>
      <c r="AA5185">
        <v>0.97646469999999896</v>
      </c>
      <c r="AB5185">
        <v>22</v>
      </c>
      <c r="AC5185">
        <v>34.521299999999997</v>
      </c>
      <c r="AD5185">
        <v>-1.106665035272</v>
      </c>
      <c r="AE5185">
        <v>-2.6730799999999899</v>
      </c>
      <c r="AF5185">
        <v>-7.48169740237919</v>
      </c>
      <c r="AG5185">
        <v>-1.106665035272</v>
      </c>
      <c r="AH5185">
        <v>33.770461169028202</v>
      </c>
      <c r="AI5185">
        <v>91.832520727067703</v>
      </c>
      <c r="AJ5185">
        <v>102.491859698174</v>
      </c>
      <c r="AK5185">
        <v>34.607001474989097</v>
      </c>
    </row>
    <row r="5186" spans="1:37" x14ac:dyDescent="0.2">
      <c r="A5186" t="str">
        <f>"20200111155700308"</f>
        <v>20200111155700308</v>
      </c>
      <c r="B5186" t="str">
        <f>"1578729420298190"</f>
        <v>1578729420298190</v>
      </c>
      <c r="C5186" t="s">
        <v>37</v>
      </c>
      <c r="D5186">
        <v>5.244084</v>
      </c>
      <c r="E5186">
        <v>0.4321122</v>
      </c>
      <c r="F5186" t="s">
        <v>38</v>
      </c>
      <c r="G5186">
        <v>-346.22129999999999</v>
      </c>
      <c r="H5186" s="1">
        <v>-2.1440769999999999E-6</v>
      </c>
      <c r="I5186">
        <v>16.567900000000002</v>
      </c>
      <c r="J5186">
        <v>-394.93509999999998</v>
      </c>
      <c r="K5186">
        <v>1.10680499999999</v>
      </c>
      <c r="L5186">
        <v>19.114989999999999</v>
      </c>
      <c r="M5186">
        <v>0.95706659999999899</v>
      </c>
      <c r="N5186">
        <v>0</v>
      </c>
      <c r="O5186">
        <v>-0.2895393</v>
      </c>
      <c r="P5186">
        <v>0.97585449999999996</v>
      </c>
      <c r="Q5186">
        <v>-2.9805519999999999E-2</v>
      </c>
      <c r="R5186">
        <v>-0.21637919999999999</v>
      </c>
      <c r="S5186">
        <v>3.0373839999999999</v>
      </c>
      <c r="T5186">
        <v>-6.8841340000000001E-2</v>
      </c>
      <c r="U5186">
        <v>-0.16049189999999999</v>
      </c>
      <c r="V5186">
        <v>-7.5388510000000006E-2</v>
      </c>
      <c r="W5186">
        <v>-1.6408490000000001E-2</v>
      </c>
      <c r="X5186">
        <v>0.997019199999999</v>
      </c>
      <c r="Y5186">
        <v>-0.23852570000000001</v>
      </c>
      <c r="Z5186">
        <v>9.1740940000000007E-3</v>
      </c>
      <c r="AA5186">
        <v>0.97109279999999998</v>
      </c>
      <c r="AB5186">
        <v>22</v>
      </c>
      <c r="AC5186">
        <v>48.7137999999999</v>
      </c>
      <c r="AD5186">
        <v>-1.10680714407699</v>
      </c>
      <c r="AE5186">
        <v>-2.5470899999999901</v>
      </c>
      <c r="AF5186">
        <v>-11.661932529539101</v>
      </c>
      <c r="AG5186">
        <v>-1.10680714407699</v>
      </c>
      <c r="AH5186">
        <v>47.339974167405003</v>
      </c>
      <c r="AI5186">
        <v>91.300464985583204</v>
      </c>
      <c r="AJ5186">
        <v>103.83893899709599</v>
      </c>
      <c r="AK5186">
        <v>48.767805430922103</v>
      </c>
    </row>
    <row r="5187" spans="1:37" x14ac:dyDescent="0.2">
      <c r="A5187" t="str">
        <f>"20200111155700321"</f>
        <v>20200111155700321</v>
      </c>
      <c r="B5187" t="str">
        <f>"1578729420318685"</f>
        <v>1578729420318685</v>
      </c>
      <c r="C5187" t="s">
        <v>37</v>
      </c>
      <c r="D5187">
        <v>5.1654640000000001</v>
      </c>
      <c r="E5187">
        <v>0.42648659999999999</v>
      </c>
      <c r="F5187" t="s">
        <v>38</v>
      </c>
      <c r="G5187">
        <v>-329.19740000000002</v>
      </c>
      <c r="H5187" s="1">
        <v>-1.1249429999999999E-6</v>
      </c>
      <c r="I5187">
        <v>16.487490000000001</v>
      </c>
      <c r="J5187">
        <v>-394.81569999999999</v>
      </c>
      <c r="K5187">
        <v>1.106946</v>
      </c>
      <c r="L5187">
        <v>19.0806</v>
      </c>
      <c r="M5187">
        <v>0.95755069999999998</v>
      </c>
      <c r="N5187">
        <v>0</v>
      </c>
      <c r="O5187">
        <v>-0.28793459999999899</v>
      </c>
      <c r="P5187">
        <v>0.97620580000000001</v>
      </c>
      <c r="Q5187">
        <v>-3.0986429999999999E-2</v>
      </c>
      <c r="R5187">
        <v>-0.2146217</v>
      </c>
      <c r="S5187">
        <v>3.04568499999999</v>
      </c>
      <c r="T5187">
        <v>-5.1279310000000002E-2</v>
      </c>
      <c r="U5187">
        <v>-0.1217346</v>
      </c>
      <c r="V5187">
        <v>-7.5490109999999999E-2</v>
      </c>
      <c r="W5187">
        <v>-1.7617210000000001E-2</v>
      </c>
      <c r="X5187">
        <v>0.99699090000000001</v>
      </c>
      <c r="Y5187">
        <v>-0.24941140000000001</v>
      </c>
      <c r="Z5187">
        <v>6.8853259999999998E-3</v>
      </c>
      <c r="AA5187">
        <v>0.96837309999999999</v>
      </c>
      <c r="AB5187">
        <v>22</v>
      </c>
      <c r="AC5187">
        <v>65.618299999999905</v>
      </c>
      <c r="AD5187">
        <v>-1.1069471249429901</v>
      </c>
      <c r="AE5187">
        <v>-2.5931099999999998</v>
      </c>
      <c r="AF5187">
        <v>-16.407644561167601</v>
      </c>
      <c r="AG5187">
        <v>-1.1069471249429901</v>
      </c>
      <c r="AH5187">
        <v>63.567484569773903</v>
      </c>
      <c r="AI5187">
        <v>90.965979509772296</v>
      </c>
      <c r="AJ5187">
        <v>104.472941143846</v>
      </c>
      <c r="AK5187">
        <v>65.660195145243705</v>
      </c>
    </row>
    <row r="5188" spans="1:37" x14ac:dyDescent="0.2">
      <c r="A5188" t="str">
        <f>"20200111155700333"</f>
        <v>20200111155700333</v>
      </c>
      <c r="B5188" t="str">
        <f>"1578729420328445"</f>
        <v>1578729420328445</v>
      </c>
      <c r="C5188" t="s">
        <v>37</v>
      </c>
      <c r="D5188">
        <v>5.0681929999999999</v>
      </c>
      <c r="E5188">
        <v>0.42493940000000002</v>
      </c>
      <c r="F5188" t="s">
        <v>39</v>
      </c>
      <c r="G5188">
        <v>-282.73349999999999</v>
      </c>
      <c r="H5188">
        <v>-0.05</v>
      </c>
      <c r="I5188">
        <v>16.390989999999999</v>
      </c>
      <c r="J5188">
        <v>-394.69420000000002</v>
      </c>
      <c r="K5188">
        <v>1.10707</v>
      </c>
      <c r="L5188">
        <v>19.046050000000001</v>
      </c>
      <c r="M5188">
        <v>0.95808369999999998</v>
      </c>
      <c r="N5188">
        <v>0</v>
      </c>
      <c r="O5188">
        <v>-0.28615580000000002</v>
      </c>
      <c r="P5188">
        <v>0.97653080000000003</v>
      </c>
      <c r="Q5188">
        <v>-3.2286620000000002E-2</v>
      </c>
      <c r="R5188">
        <v>-0.2129442</v>
      </c>
      <c r="S5188">
        <v>3.056</v>
      </c>
      <c r="T5188">
        <v>-3.1544919999999997E-2</v>
      </c>
      <c r="U5188">
        <v>-7.3333739999999994E-2</v>
      </c>
      <c r="V5188">
        <v>-7.5326649999999995E-2</v>
      </c>
      <c r="W5188">
        <v>-1.893941E-2</v>
      </c>
      <c r="X5188">
        <v>0.99697909999999901</v>
      </c>
      <c r="Y5188">
        <v>-0.26308550000000003</v>
      </c>
      <c r="Z5188">
        <v>4.2770799999999999E-3</v>
      </c>
      <c r="AA5188">
        <v>0.96476299999999904</v>
      </c>
      <c r="AB5188">
        <v>22</v>
      </c>
      <c r="AC5188">
        <v>111.9607</v>
      </c>
      <c r="AD5188">
        <v>-1.15707</v>
      </c>
      <c r="AE5188">
        <v>-2.6550600000000002</v>
      </c>
      <c r="AF5188">
        <v>-29.494095127384501</v>
      </c>
      <c r="AG5188">
        <v>-1.15707</v>
      </c>
      <c r="AH5188">
        <v>108.02624147590301</v>
      </c>
      <c r="AI5188">
        <v>90.592005143380803</v>
      </c>
      <c r="AJ5188">
        <v>105.271108841958</v>
      </c>
      <c r="AK5188">
        <v>111.986201407933</v>
      </c>
    </row>
    <row r="5189" spans="1:37" x14ac:dyDescent="0.2">
      <c r="A5189" t="str">
        <f>"20200111155700349"</f>
        <v>20200111155700349</v>
      </c>
      <c r="B5189" t="str">
        <f>"1578729420338205"</f>
        <v>1578729420338205</v>
      </c>
      <c r="C5189" t="s">
        <v>37</v>
      </c>
      <c r="D5189">
        <v>5.1851690000000001</v>
      </c>
      <c r="E5189">
        <v>0.4243036</v>
      </c>
      <c r="F5189" t="s">
        <v>39</v>
      </c>
      <c r="G5189">
        <v>-282.6044</v>
      </c>
      <c r="H5189">
        <v>-0.05</v>
      </c>
      <c r="I5189">
        <v>16.988340000000001</v>
      </c>
      <c r="J5189">
        <v>-394.54320000000001</v>
      </c>
      <c r="K5189">
        <v>1.1071930000000001</v>
      </c>
      <c r="L5189">
        <v>19.00366</v>
      </c>
      <c r="M5189">
        <v>0.95878180000000002</v>
      </c>
      <c r="N5189">
        <v>0</v>
      </c>
      <c r="O5189">
        <v>-0.2838079</v>
      </c>
      <c r="P5189">
        <v>0.97687749999999995</v>
      </c>
      <c r="Q5189">
        <v>-3.3701149999999999E-2</v>
      </c>
      <c r="R5189">
        <v>-0.2111275</v>
      </c>
      <c r="S5189">
        <v>3.0587770000000001</v>
      </c>
      <c r="T5189">
        <v>-3.1574850000000002E-2</v>
      </c>
      <c r="U5189">
        <v>-5.6152340000000002E-2</v>
      </c>
      <c r="V5189">
        <v>-7.4710799999999994E-2</v>
      </c>
      <c r="W5189">
        <v>-2.037313E-2</v>
      </c>
      <c r="X5189">
        <v>0.99699709999999997</v>
      </c>
      <c r="Y5189">
        <v>-0.26615840000000002</v>
      </c>
      <c r="Z5189">
        <v>4.2705449999999997E-3</v>
      </c>
      <c r="AA5189">
        <v>0.96391990000000005</v>
      </c>
      <c r="AB5189">
        <v>22</v>
      </c>
      <c r="AC5189">
        <v>111.9388</v>
      </c>
      <c r="AD5189">
        <v>-1.1571929999999999</v>
      </c>
      <c r="AE5189">
        <v>-2.0153199999999898</v>
      </c>
      <c r="AF5189">
        <v>-29.836518967088299</v>
      </c>
      <c r="AG5189">
        <v>-1.1571929999999999</v>
      </c>
      <c r="AH5189">
        <v>107.895601550351</v>
      </c>
      <c r="AI5189">
        <v>90.592254454977095</v>
      </c>
      <c r="AJ5189">
        <v>105.45779163741</v>
      </c>
      <c r="AK5189">
        <v>111.950961557393</v>
      </c>
    </row>
    <row r="5190" spans="1:37" x14ac:dyDescent="0.2">
      <c r="A5190" t="str">
        <f>"20200111155700362"</f>
        <v>20200111155700362</v>
      </c>
      <c r="B5190" t="str">
        <f>"1578729420358701"</f>
        <v>1578729420358701</v>
      </c>
      <c r="C5190" t="s">
        <v>37</v>
      </c>
      <c r="D5190">
        <v>5.0351099999999898</v>
      </c>
      <c r="E5190">
        <v>0.42271709999999901</v>
      </c>
      <c r="F5190" t="s">
        <v>91</v>
      </c>
      <c r="G5190">
        <v>-279.68</v>
      </c>
      <c r="H5190">
        <v>-4.7495750000000003E-2</v>
      </c>
      <c r="I5190">
        <v>17.285409999999999</v>
      </c>
      <c r="J5190">
        <v>-394.43060000000003</v>
      </c>
      <c r="K5190">
        <v>1.1072789999999999</v>
      </c>
      <c r="L5190">
        <v>18.972379999999902</v>
      </c>
      <c r="M5190">
        <v>0.95931959999999905</v>
      </c>
      <c r="N5190">
        <v>0</v>
      </c>
      <c r="O5190">
        <v>-0.28198499999999999</v>
      </c>
      <c r="P5190">
        <v>0.9771164</v>
      </c>
      <c r="Q5190">
        <v>-3.3930340000000003E-2</v>
      </c>
      <c r="R5190">
        <v>-0.2099828</v>
      </c>
      <c r="S5190">
        <v>3.0600890000000001</v>
      </c>
      <c r="T5190">
        <v>-3.07622E-2</v>
      </c>
      <c r="U5190">
        <v>-4.5776369999999997E-2</v>
      </c>
      <c r="V5190">
        <v>-7.3976390000000003E-2</v>
      </c>
      <c r="W5190">
        <v>-2.0611640000000001E-2</v>
      </c>
      <c r="X5190">
        <v>0.99704689999999996</v>
      </c>
      <c r="Y5190">
        <v>-0.26760259999999902</v>
      </c>
      <c r="Z5190">
        <v>4.1488569999999997E-3</v>
      </c>
      <c r="AA5190">
        <v>0.9635205</v>
      </c>
      <c r="AB5190">
        <v>22</v>
      </c>
      <c r="AC5190">
        <v>114.75060000000001</v>
      </c>
      <c r="AD5190">
        <v>-1.1547747500000001</v>
      </c>
      <c r="AE5190">
        <v>-1.6869699999999901</v>
      </c>
      <c r="AF5190">
        <v>-30.739418507373799</v>
      </c>
      <c r="AG5190">
        <v>-1.1547747500000001</v>
      </c>
      <c r="AH5190">
        <v>110.55753078608601</v>
      </c>
      <c r="AI5190">
        <v>90.576563745992203</v>
      </c>
      <c r="AJ5190">
        <v>105.53805931962999</v>
      </c>
      <c r="AK5190">
        <v>114.75719135815</v>
      </c>
    </row>
    <row r="5191" spans="1:37" x14ac:dyDescent="0.2">
      <c r="A5191" t="str">
        <f>"20200111155700374"</f>
        <v>20200111155700374</v>
      </c>
      <c r="B5191" t="str">
        <f>"1578729420368461"</f>
        <v>1578729420368461</v>
      </c>
      <c r="C5191" t="s">
        <v>37</v>
      </c>
      <c r="D5191">
        <v>5.0312989999999997</v>
      </c>
      <c r="E5191">
        <v>0.422016</v>
      </c>
      <c r="F5191" t="s">
        <v>91</v>
      </c>
      <c r="G5191">
        <v>-279.68</v>
      </c>
      <c r="H5191">
        <v>0.19704869999999999</v>
      </c>
      <c r="I5191">
        <v>17.842790000000001</v>
      </c>
      <c r="J5191">
        <v>-394.30889999999999</v>
      </c>
      <c r="K5191">
        <v>1.1073569999999999</v>
      </c>
      <c r="L5191">
        <v>18.938960000000002</v>
      </c>
      <c r="M5191">
        <v>0.95992429999999995</v>
      </c>
      <c r="N5191">
        <v>0</v>
      </c>
      <c r="O5191">
        <v>-0.27991929999999998</v>
      </c>
      <c r="P5191">
        <v>0.97738769999999997</v>
      </c>
      <c r="Q5191">
        <v>-3.364926E-2</v>
      </c>
      <c r="R5191">
        <v>-0.20876059999999999</v>
      </c>
      <c r="S5191">
        <v>3.0629580000000001</v>
      </c>
      <c r="T5191">
        <v>-2.429605E-2</v>
      </c>
      <c r="U5191">
        <v>-3.015137E-2</v>
      </c>
      <c r="V5191">
        <v>-7.3078210000000005E-2</v>
      </c>
      <c r="W5191">
        <v>-2.033627E-2</v>
      </c>
      <c r="X5191">
        <v>0.99711879999999997</v>
      </c>
      <c r="Y5191">
        <v>-0.27046550000000003</v>
      </c>
      <c r="Z5191">
        <v>3.2697429999999999E-3</v>
      </c>
      <c r="AA5191">
        <v>0.96272409999999997</v>
      </c>
      <c r="AB5191">
        <v>22</v>
      </c>
      <c r="AC5191">
        <v>114.6289</v>
      </c>
      <c r="AD5191">
        <v>-0.91030829999999896</v>
      </c>
      <c r="AE5191">
        <v>-1.0961700000000001</v>
      </c>
      <c r="AF5191">
        <v>-31.035600981959501</v>
      </c>
      <c r="AG5191">
        <v>-0.91030829999999896</v>
      </c>
      <c r="AH5191">
        <v>110.345460304973</v>
      </c>
      <c r="AI5191">
        <v>90.455004204079003</v>
      </c>
      <c r="AJ5191">
        <v>105.7090902659</v>
      </c>
      <c r="AK5191">
        <v>114.630527345158</v>
      </c>
    </row>
    <row r="5192" spans="1:37" x14ac:dyDescent="0.2">
      <c r="A5192" t="str">
        <f>"20200111155700389"</f>
        <v>20200111155700389</v>
      </c>
      <c r="B5192" t="str">
        <f>"1578729420378220"</f>
        <v>1578729420378220</v>
      </c>
      <c r="C5192" t="s">
        <v>37</v>
      </c>
      <c r="D5192">
        <v>5.0303250000000004</v>
      </c>
      <c r="E5192">
        <v>0.4214733</v>
      </c>
      <c r="F5192" t="s">
        <v>91</v>
      </c>
      <c r="G5192">
        <v>-279.68</v>
      </c>
      <c r="H5192">
        <v>0.35347240000000002</v>
      </c>
      <c r="I5192">
        <v>18.151239999999898</v>
      </c>
      <c r="J5192">
        <v>-394.16590000000002</v>
      </c>
      <c r="K5192">
        <v>1.1074349999999999</v>
      </c>
      <c r="L5192">
        <v>18.900269999999999</v>
      </c>
      <c r="M5192">
        <v>0.960655699999999</v>
      </c>
      <c r="N5192">
        <v>0</v>
      </c>
      <c r="O5192">
        <v>-0.27739899999999901</v>
      </c>
      <c r="P5192">
        <v>0.97767469999999901</v>
      </c>
      <c r="Q5192">
        <v>-3.2969610000000003E-2</v>
      </c>
      <c r="R5192">
        <v>-0.20752219999999999</v>
      </c>
      <c r="S5192">
        <v>3.064209</v>
      </c>
      <c r="T5192">
        <v>-2.0152449999999999E-2</v>
      </c>
      <c r="U5192">
        <v>-2.105713E-2</v>
      </c>
      <c r="V5192">
        <v>-7.1732610000000002E-2</v>
      </c>
      <c r="W5192">
        <v>-1.9657460000000002E-2</v>
      </c>
      <c r="X5192">
        <v>0.99723019999999996</v>
      </c>
      <c r="Y5192">
        <v>-0.27080510000000002</v>
      </c>
      <c r="Z5192">
        <v>2.6962959999999999E-3</v>
      </c>
      <c r="AA5192">
        <v>0.96263049999999994</v>
      </c>
      <c r="AB5192">
        <v>22</v>
      </c>
      <c r="AC5192">
        <v>114.4859</v>
      </c>
      <c r="AD5192">
        <v>-0.75396259999999904</v>
      </c>
      <c r="AE5192">
        <v>-0.74903000000000397</v>
      </c>
      <c r="AF5192">
        <v>-31.040323686150501</v>
      </c>
      <c r="AG5192">
        <v>-0.75396259999999904</v>
      </c>
      <c r="AH5192">
        <v>110.195026226057</v>
      </c>
      <c r="AI5192">
        <v>90.377332049210295</v>
      </c>
      <c r="AJ5192">
        <v>105.731750062484</v>
      </c>
      <c r="AK5192">
        <v>114.485867944932</v>
      </c>
    </row>
    <row r="5193" spans="1:37" x14ac:dyDescent="0.2">
      <c r="A5193" t="str">
        <f>"20200111155700408"</f>
        <v>20200111155700408</v>
      </c>
      <c r="B5193" t="str">
        <f>"1578729420398717"</f>
        <v>1578729420398717</v>
      </c>
      <c r="C5193" t="s">
        <v>37</v>
      </c>
      <c r="D5193">
        <v>5.0497709999999998</v>
      </c>
      <c r="E5193">
        <v>0.42062539999999998</v>
      </c>
      <c r="F5193" t="s">
        <v>91</v>
      </c>
      <c r="G5193">
        <v>-279.68</v>
      </c>
      <c r="H5193">
        <v>0.559809</v>
      </c>
      <c r="I5193">
        <v>18.408989999999999</v>
      </c>
      <c r="J5193">
        <v>-393.9957</v>
      </c>
      <c r="K5193">
        <v>1.1075170000000001</v>
      </c>
      <c r="L5193">
        <v>18.854800000000001</v>
      </c>
      <c r="M5193">
        <v>0.96154729999999999</v>
      </c>
      <c r="N5193">
        <v>0</v>
      </c>
      <c r="O5193">
        <v>-0.27429199999999998</v>
      </c>
      <c r="P5193">
        <v>0.97789040000000005</v>
      </c>
      <c r="Q5193">
        <v>-3.1335490000000001E-2</v>
      </c>
      <c r="R5193">
        <v>-0.20675660000000001</v>
      </c>
      <c r="S5193">
        <v>3.0651860000000002</v>
      </c>
      <c r="T5193">
        <v>-1.4661789999999999E-2</v>
      </c>
      <c r="U5193">
        <v>-1.3153079999999999E-2</v>
      </c>
      <c r="V5193">
        <v>-6.9311780000000003E-2</v>
      </c>
      <c r="W5193">
        <v>-1.8014599999999999E-2</v>
      </c>
      <c r="X5193">
        <v>0.9974324</v>
      </c>
      <c r="Y5193">
        <v>-0.27018300000000001</v>
      </c>
      <c r="Z5193">
        <v>1.9452969999999999E-3</v>
      </c>
      <c r="AA5193">
        <v>0.96280710000000003</v>
      </c>
      <c r="AB5193">
        <v>22</v>
      </c>
      <c r="AC5193">
        <v>114.31570000000001</v>
      </c>
      <c r="AD5193">
        <v>-0.54770799999999997</v>
      </c>
      <c r="AE5193">
        <v>-0.44581000000000098</v>
      </c>
      <c r="AF5193">
        <v>-30.929453748267999</v>
      </c>
      <c r="AG5193">
        <v>-0.54770799999999997</v>
      </c>
      <c r="AH5193">
        <v>110.05020198269099</v>
      </c>
      <c r="AI5193">
        <v>90.274516959621806</v>
      </c>
      <c r="AJ5193">
        <v>105.697943071149</v>
      </c>
      <c r="AK5193">
        <v>114.315257291626</v>
      </c>
    </row>
    <row r="5194" spans="1:37" x14ac:dyDescent="0.2">
      <c r="A5194" t="str">
        <f>"20200111155700422"</f>
        <v>20200111155700422</v>
      </c>
      <c r="B5194" t="str">
        <f>"1578729420418237"</f>
        <v>1578729420418237</v>
      </c>
      <c r="C5194" t="s">
        <v>37</v>
      </c>
      <c r="D5194">
        <v>5.0364190000000004</v>
      </c>
      <c r="E5194">
        <v>0.42017850000000001</v>
      </c>
      <c r="F5194" t="s">
        <v>91</v>
      </c>
      <c r="G5194">
        <v>-279.68</v>
      </c>
      <c r="H5194">
        <v>1.025949</v>
      </c>
      <c r="I5194">
        <v>18.685300000000002</v>
      </c>
      <c r="J5194">
        <v>-393.85939999999999</v>
      </c>
      <c r="K5194">
        <v>1.1075740000000001</v>
      </c>
      <c r="L5194">
        <v>18.81888</v>
      </c>
      <c r="M5194">
        <v>0.96227469999999904</v>
      </c>
      <c r="N5194">
        <v>0</v>
      </c>
      <c r="O5194">
        <v>-0.27172959999999902</v>
      </c>
      <c r="P5194">
        <v>0.9781803</v>
      </c>
      <c r="Q5194">
        <v>-3.0605830000000001E-2</v>
      </c>
      <c r="R5194">
        <v>-0.2054916</v>
      </c>
      <c r="S5194">
        <v>3.0667719999999998</v>
      </c>
      <c r="T5194">
        <v>-2.1882059999999998E-3</v>
      </c>
      <c r="U5194">
        <v>-4.5471189999999996E-3</v>
      </c>
      <c r="V5194">
        <v>-6.7954730000000005E-2</v>
      </c>
      <c r="W5194">
        <v>-1.7280529999999999E-2</v>
      </c>
      <c r="X5194">
        <v>0.997538699999999</v>
      </c>
      <c r="Y5194">
        <v>-0.27032810000000002</v>
      </c>
      <c r="Z5194">
        <v>2.8847619999999998E-4</v>
      </c>
      <c r="AA5194">
        <v>0.96276819999999896</v>
      </c>
      <c r="AB5194">
        <v>22</v>
      </c>
      <c r="AC5194">
        <v>114.1794</v>
      </c>
      <c r="AD5194">
        <v>-8.1625000000000003E-2</v>
      </c>
      <c r="AE5194">
        <v>-0.13357999999999801</v>
      </c>
      <c r="AF5194">
        <v>-30.900308500071901</v>
      </c>
      <c r="AG5194">
        <v>-8.1625000000000003E-2</v>
      </c>
      <c r="AH5194">
        <v>109.918655547207</v>
      </c>
      <c r="AI5194">
        <v>90.0409598088238</v>
      </c>
      <c r="AJ5194">
        <v>105.701723570436</v>
      </c>
      <c r="AK5194">
        <v>114.17944896234999</v>
      </c>
    </row>
    <row r="5195" spans="1:37" x14ac:dyDescent="0.2">
      <c r="A5195" t="str">
        <f>"20200111155700440"</f>
        <v>20200111155700440</v>
      </c>
      <c r="B5195" t="str">
        <f>"1578729420427997"</f>
        <v>1578729420427997</v>
      </c>
      <c r="C5195" t="s">
        <v>37</v>
      </c>
      <c r="D5195">
        <v>5.0381970000000003</v>
      </c>
      <c r="E5195">
        <v>0.41989849999999901</v>
      </c>
      <c r="F5195" t="s">
        <v>91</v>
      </c>
      <c r="G5195">
        <v>-279.68</v>
      </c>
      <c r="H5195">
        <v>1.278151</v>
      </c>
      <c r="I5195">
        <v>18.918839999999999</v>
      </c>
      <c r="J5195">
        <v>-393.68970000000002</v>
      </c>
      <c r="K5195">
        <v>1.107639</v>
      </c>
      <c r="L5195">
        <v>18.77487</v>
      </c>
      <c r="M5195">
        <v>0.96319569999999999</v>
      </c>
      <c r="N5195">
        <v>0</v>
      </c>
      <c r="O5195">
        <v>-0.26844590000000002</v>
      </c>
      <c r="P5195">
        <v>0.97840149999999904</v>
      </c>
      <c r="Q5195">
        <v>-2.882496E-2</v>
      </c>
      <c r="R5195">
        <v>-0.20469399999999999</v>
      </c>
      <c r="S5195">
        <v>3.0676269999999999</v>
      </c>
      <c r="T5195">
        <v>4.5828819999999999E-3</v>
      </c>
      <c r="U5195">
        <v>2.6855469999999999E-3</v>
      </c>
      <c r="V5195">
        <v>-6.5390710000000005E-2</v>
      </c>
      <c r="W5195">
        <v>-1.548512E-2</v>
      </c>
      <c r="X5195">
        <v>0.99773959999999995</v>
      </c>
      <c r="Y5195">
        <v>-0.2693142</v>
      </c>
      <c r="Z5195">
        <v>-5.9851550000000005E-4</v>
      </c>
      <c r="AA5195">
        <v>0.96305219999999903</v>
      </c>
      <c r="AB5195">
        <v>22</v>
      </c>
      <c r="AC5195">
        <v>114.0097</v>
      </c>
      <c r="AD5195">
        <v>0.170512</v>
      </c>
      <c r="AE5195">
        <v>0.14396999999999899</v>
      </c>
      <c r="AF5195">
        <v>-30.746973093273301</v>
      </c>
      <c r="AG5195">
        <v>0.170512</v>
      </c>
      <c r="AH5195">
        <v>109.785235430649</v>
      </c>
      <c r="AI5195">
        <v>89.914308828676596</v>
      </c>
      <c r="AJ5195">
        <v>105.645685902322</v>
      </c>
      <c r="AK5195">
        <v>114.00966339439699</v>
      </c>
    </row>
    <row r="5196" spans="1:37" x14ac:dyDescent="0.2">
      <c r="A5196" t="str">
        <f>"20200111155700452"</f>
        <v>20200111155700452</v>
      </c>
      <c r="B5196" t="str">
        <f>"1578729420448493"</f>
        <v>1578729420448493</v>
      </c>
      <c r="C5196" t="s">
        <v>37</v>
      </c>
      <c r="D5196">
        <v>5.0260870000000004</v>
      </c>
      <c r="E5196">
        <v>0.41956929999999998</v>
      </c>
      <c r="F5196" t="s">
        <v>92</v>
      </c>
      <c r="G5196">
        <v>-276.1823</v>
      </c>
      <c r="H5196">
        <v>1.5832389999999901</v>
      </c>
      <c r="I5196">
        <v>19.04954</v>
      </c>
      <c r="J5196">
        <v>-393.56580000000002</v>
      </c>
      <c r="K5196">
        <v>1.1076809999999999</v>
      </c>
      <c r="L5196">
        <v>18.743289999999998</v>
      </c>
      <c r="M5196">
        <v>0.96387979999999995</v>
      </c>
      <c r="N5196">
        <v>0</v>
      </c>
      <c r="O5196">
        <v>-0.26597890000000002</v>
      </c>
      <c r="P5196">
        <v>0.97867079999999995</v>
      </c>
      <c r="Q5196">
        <v>-2.8169039999999999E-2</v>
      </c>
      <c r="R5196">
        <v>-0.20349449999999999</v>
      </c>
      <c r="S5196">
        <v>3.0680540000000001</v>
      </c>
      <c r="T5196">
        <v>1.241767E-2</v>
      </c>
      <c r="U5196">
        <v>7.17163099999999E-3</v>
      </c>
      <c r="V5196">
        <v>-6.4067260000000001E-2</v>
      </c>
      <c r="W5196">
        <v>-1.4821600000000001E-2</v>
      </c>
      <c r="X5196">
        <v>0.99783549999999999</v>
      </c>
      <c r="Y5196">
        <v>-0.2682525</v>
      </c>
      <c r="Z5196">
        <v>-1.609692E-3</v>
      </c>
      <c r="AA5196">
        <v>0.96334730000000002</v>
      </c>
      <c r="AB5196">
        <v>22</v>
      </c>
      <c r="AC5196">
        <v>117.3835</v>
      </c>
      <c r="AD5196">
        <v>0.47555799999999898</v>
      </c>
      <c r="AE5196">
        <v>0.30625000000000202</v>
      </c>
      <c r="AF5196">
        <v>-31.51921465289</v>
      </c>
      <c r="AG5196">
        <v>0.47555799999999898</v>
      </c>
      <c r="AH5196">
        <v>113.071069108283</v>
      </c>
      <c r="AI5196">
        <v>89.767874771859695</v>
      </c>
      <c r="AJ5196">
        <v>105.57611954475099</v>
      </c>
      <c r="AK5196">
        <v>117.382936225997</v>
      </c>
    </row>
    <row r="5197" spans="1:37" x14ac:dyDescent="0.2">
      <c r="A5197" t="str">
        <f>"20200111155700467"</f>
        <v>20200111155700467</v>
      </c>
      <c r="B5197" t="str">
        <f>"1578729420458253"</f>
        <v>1578729420458253</v>
      </c>
      <c r="C5197" t="s">
        <v>37</v>
      </c>
      <c r="D5197">
        <v>5.0605459999999898</v>
      </c>
      <c r="E5197">
        <v>0.41938320000000001</v>
      </c>
      <c r="F5197" t="s">
        <v>92</v>
      </c>
      <c r="G5197">
        <v>-276.42899999999997</v>
      </c>
      <c r="H5197">
        <v>1.772432</v>
      </c>
      <c r="I5197">
        <v>19.250039999999998</v>
      </c>
      <c r="J5197">
        <v>-393.43119999999999</v>
      </c>
      <c r="K5197">
        <v>1.107723</v>
      </c>
      <c r="L5197">
        <v>18.709440000000001</v>
      </c>
      <c r="M5197">
        <v>0.96462680000000001</v>
      </c>
      <c r="N5197">
        <v>0</v>
      </c>
      <c r="O5197">
        <v>-0.26325679999999901</v>
      </c>
      <c r="P5197">
        <v>0.9789892</v>
      </c>
      <c r="Q5197">
        <v>-2.7902969999999999E-2</v>
      </c>
      <c r="R5197">
        <v>-0.2019947</v>
      </c>
      <c r="S5197">
        <v>3.06857299999999</v>
      </c>
      <c r="T5197">
        <v>1.7414329999999999E-2</v>
      </c>
      <c r="U5197">
        <v>1.3275149999999999E-2</v>
      </c>
      <c r="V5197">
        <v>-6.2782309999999994E-2</v>
      </c>
      <c r="W5197">
        <v>-1.454805E-2</v>
      </c>
      <c r="X5197">
        <v>0.99792119999999995</v>
      </c>
      <c r="Y5197">
        <v>-0.26744449999999997</v>
      </c>
      <c r="Z5197">
        <v>-2.2397910000000001E-3</v>
      </c>
      <c r="AA5197">
        <v>0.9635707</v>
      </c>
      <c r="AB5197">
        <v>22</v>
      </c>
      <c r="AC5197">
        <v>117.00219999999899</v>
      </c>
      <c r="AD5197">
        <v>0.66470899999999999</v>
      </c>
      <c r="AE5197">
        <v>0.54059999999999697</v>
      </c>
      <c r="AF5197">
        <v>-31.3250826875095</v>
      </c>
      <c r="AG5197">
        <v>0.66470899999999999</v>
      </c>
      <c r="AH5197">
        <v>112.72826892350599</v>
      </c>
      <c r="AI5197">
        <v>89.674489597577605</v>
      </c>
      <c r="AJ5197">
        <v>105.529619603459</v>
      </c>
      <c r="AK5197">
        <v>117.001560920888</v>
      </c>
    </row>
    <row r="5198" spans="1:37" x14ac:dyDescent="0.2">
      <c r="A5198" t="str">
        <f>"20200111155700480"</f>
        <v>20200111155700480</v>
      </c>
      <c r="B5198" t="str">
        <f>"1578729420468014"</f>
        <v>1578729420468014</v>
      </c>
      <c r="C5198" t="s">
        <v>37</v>
      </c>
      <c r="D5198">
        <v>5.0292870000000001</v>
      </c>
      <c r="E5198">
        <v>0.41915959999999902</v>
      </c>
      <c r="F5198" t="s">
        <v>92</v>
      </c>
      <c r="G5198">
        <v>-276.40300000000002</v>
      </c>
      <c r="H5198">
        <v>1.87070299999999</v>
      </c>
      <c r="I5198">
        <v>19.441420000000001</v>
      </c>
      <c r="J5198">
        <v>-393.30439999999999</v>
      </c>
      <c r="K5198">
        <v>1.1077600000000001</v>
      </c>
      <c r="L5198">
        <v>18.67783</v>
      </c>
      <c r="M5198">
        <v>0.96533359999999901</v>
      </c>
      <c r="N5198">
        <v>0</v>
      </c>
      <c r="O5198">
        <v>-0.26065270000000001</v>
      </c>
      <c r="P5198">
        <v>0.9793385</v>
      </c>
      <c r="Q5198">
        <v>-2.76949999999999E-2</v>
      </c>
      <c r="R5198">
        <v>-0.2003221</v>
      </c>
      <c r="S5198">
        <v>3.0689090000000001</v>
      </c>
      <c r="T5198">
        <v>2.0008089999999999E-2</v>
      </c>
      <c r="U5198">
        <v>1.919556E-2</v>
      </c>
      <c r="V5198">
        <v>-6.1796040000000003E-2</v>
      </c>
      <c r="W5198">
        <v>-1.433445E-2</v>
      </c>
      <c r="X5198">
        <v>0.99798580000000003</v>
      </c>
      <c r="Y5198">
        <v>-0.26669989999999999</v>
      </c>
      <c r="Z5198">
        <v>-2.5542519999999999E-3</v>
      </c>
      <c r="AA5198">
        <v>0.96377619999999897</v>
      </c>
      <c r="AB5198">
        <v>22</v>
      </c>
      <c r="AC5198">
        <v>116.901399999999</v>
      </c>
      <c r="AD5198">
        <v>0.76294299999999904</v>
      </c>
      <c r="AE5198">
        <v>0.76358999999999999</v>
      </c>
      <c r="AF5198">
        <v>-31.209439419495101</v>
      </c>
      <c r="AG5198">
        <v>0.76294299999999904</v>
      </c>
      <c r="AH5198">
        <v>112.655790765934</v>
      </c>
      <c r="AI5198">
        <v>89.626063310317093</v>
      </c>
      <c r="AJ5198">
        <v>105.484519542277</v>
      </c>
      <c r="AK5198">
        <v>116.90140454245299</v>
      </c>
    </row>
    <row r="5199" spans="1:37" x14ac:dyDescent="0.2">
      <c r="A5199" t="str">
        <f>"20200111155700497"</f>
        <v>20200111155700497</v>
      </c>
      <c r="B5199" t="str">
        <f>"1578729420488043"</f>
        <v>1578729420488043</v>
      </c>
      <c r="C5199" t="s">
        <v>37</v>
      </c>
      <c r="D5199">
        <v>5.2061729999999997</v>
      </c>
      <c r="E5199">
        <v>0.41914829999999997</v>
      </c>
      <c r="F5199" t="s">
        <v>92</v>
      </c>
      <c r="G5199">
        <v>-276.4769</v>
      </c>
      <c r="H5199">
        <v>1.928733</v>
      </c>
      <c r="I5199">
        <v>19.668700000000001</v>
      </c>
      <c r="J5199">
        <v>-393.14179999999999</v>
      </c>
      <c r="K5199">
        <v>1.1078049999999999</v>
      </c>
      <c r="L5199">
        <v>18.638089999999998</v>
      </c>
      <c r="M5199">
        <v>0.96625130000000004</v>
      </c>
      <c r="N5199">
        <v>0</v>
      </c>
      <c r="O5199">
        <v>-0.25723000000000001</v>
      </c>
      <c r="P5199">
        <v>0.97975709999999905</v>
      </c>
      <c r="Q5199">
        <v>-2.7740130000000002E-2</v>
      </c>
      <c r="R5199">
        <v>-0.19825809999999999</v>
      </c>
      <c r="S5199">
        <v>3.0692439999999999</v>
      </c>
      <c r="T5199">
        <v>2.1568179999999999E-2</v>
      </c>
      <c r="U5199">
        <v>2.6031490000000001E-2</v>
      </c>
      <c r="V5199">
        <v>-6.0360219999999999E-2</v>
      </c>
      <c r="W5199">
        <v>-1.4370849999999999E-2</v>
      </c>
      <c r="X5199">
        <v>0.99807319999999999</v>
      </c>
      <c r="Y5199">
        <v>-0.2654282</v>
      </c>
      <c r="Z5199">
        <v>-2.7253259999999902E-3</v>
      </c>
      <c r="AA5199">
        <v>0.96412679999999995</v>
      </c>
      <c r="AB5199">
        <v>22</v>
      </c>
      <c r="AC5199">
        <v>116.6649</v>
      </c>
      <c r="AD5199">
        <v>0.82092799999999999</v>
      </c>
      <c r="AE5199">
        <v>1.03061</v>
      </c>
      <c r="AF5199">
        <v>-31.0069691298682</v>
      </c>
      <c r="AG5199">
        <v>0.82092799999999999</v>
      </c>
      <c r="AH5199">
        <v>112.467689444084</v>
      </c>
      <c r="AI5199">
        <v>89.596833093367195</v>
      </c>
      <c r="AJ5199">
        <v>105.413355245066</v>
      </c>
      <c r="AK5199">
        <v>116.666564303114</v>
      </c>
    </row>
    <row r="5200" spans="1:37" x14ac:dyDescent="0.2">
      <c r="A5200" t="str">
        <f>"20200111155700512"</f>
        <v>20200111155700512</v>
      </c>
      <c r="B5200" t="str">
        <f>"1578729420508538"</f>
        <v>1578729420508538</v>
      </c>
      <c r="C5200" t="s">
        <v>37</v>
      </c>
      <c r="D5200">
        <v>5.0783309999999897</v>
      </c>
      <c r="E5200">
        <v>0.41883039999999999</v>
      </c>
      <c r="F5200" t="s">
        <v>92</v>
      </c>
      <c r="G5200">
        <v>-276.7774</v>
      </c>
      <c r="H5200">
        <v>2.0415839999999998</v>
      </c>
      <c r="I5200">
        <v>19.859909999999999</v>
      </c>
      <c r="J5200">
        <v>-393.0052</v>
      </c>
      <c r="K5200">
        <v>1.107842</v>
      </c>
      <c r="L5200">
        <v>18.60529</v>
      </c>
      <c r="M5200">
        <v>0.96703300000000003</v>
      </c>
      <c r="N5200">
        <v>0</v>
      </c>
      <c r="O5200">
        <v>-0.25427529999999998</v>
      </c>
      <c r="P5200">
        <v>0.98026689999999905</v>
      </c>
      <c r="Q5200">
        <v>-2.810605E-2</v>
      </c>
      <c r="R5200">
        <v>-0.19566989999999901</v>
      </c>
      <c r="S5200">
        <v>3.0692140000000001</v>
      </c>
      <c r="T5200">
        <v>2.4629350000000001E-2</v>
      </c>
      <c r="U5200">
        <v>3.2226560000000001E-2</v>
      </c>
      <c r="V5200">
        <v>-5.9938709999999999E-2</v>
      </c>
      <c r="W5200">
        <v>-1.473549E-2</v>
      </c>
      <c r="X5200">
        <v>0.99809329999999996</v>
      </c>
      <c r="Y5200">
        <v>-0.26442329999999997</v>
      </c>
      <c r="Z5200">
        <v>-3.0851109999999902E-3</v>
      </c>
      <c r="AA5200">
        <v>0.96440179999999998</v>
      </c>
      <c r="AB5200">
        <v>22</v>
      </c>
      <c r="AC5200">
        <v>116.2278</v>
      </c>
      <c r="AD5200">
        <v>0.93374199999999896</v>
      </c>
      <c r="AE5200">
        <v>1.2546199999999901</v>
      </c>
      <c r="AF5200">
        <v>-30.7680746017326</v>
      </c>
      <c r="AG5200">
        <v>0.93374199999999896</v>
      </c>
      <c r="AH5200">
        <v>112.080585160952</v>
      </c>
      <c r="AI5200">
        <v>89.539708568277007</v>
      </c>
      <c r="AJ5200">
        <v>105.350543010107</v>
      </c>
      <c r="AK5200">
        <v>116.23082146677601</v>
      </c>
    </row>
    <row r="5201" spans="1:37" x14ac:dyDescent="0.2">
      <c r="A5201" t="str">
        <f>"20200111155700529"</f>
        <v>20200111155700529</v>
      </c>
      <c r="B5201" t="str">
        <f>"1578729420518298"</f>
        <v>1578729420518298</v>
      </c>
      <c r="C5201" t="s">
        <v>37</v>
      </c>
      <c r="D5201">
        <v>5.044511</v>
      </c>
      <c r="E5201">
        <v>0.41868509999999998</v>
      </c>
      <c r="F5201" t="s">
        <v>92</v>
      </c>
      <c r="G5201">
        <v>-276.8997</v>
      </c>
      <c r="H5201">
        <v>2.0491969999999999</v>
      </c>
      <c r="I5201">
        <v>20.219000000000001</v>
      </c>
      <c r="J5201">
        <v>-392.8442</v>
      </c>
      <c r="K5201">
        <v>1.107891</v>
      </c>
      <c r="L5201">
        <v>18.567260000000001</v>
      </c>
      <c r="M5201">
        <v>0.96796249999999995</v>
      </c>
      <c r="N5201">
        <v>0</v>
      </c>
      <c r="O5201">
        <v>-0.25071329999999997</v>
      </c>
      <c r="P5201">
        <v>0.98093750000000002</v>
      </c>
      <c r="Q5201">
        <v>-2.849264E-2</v>
      </c>
      <c r="R5201">
        <v>-0.19222400000000001</v>
      </c>
      <c r="S5201">
        <v>3.0696110000000001</v>
      </c>
      <c r="T5201">
        <v>2.4887679999999999E-2</v>
      </c>
      <c r="U5201">
        <v>4.2663569999999998E-2</v>
      </c>
      <c r="V5201">
        <v>-5.9764640000000001E-2</v>
      </c>
      <c r="W5201">
        <v>-1.5123340000000001E-2</v>
      </c>
      <c r="X5201">
        <v>0.99809799999999904</v>
      </c>
      <c r="Y5201">
        <v>-0.26414969999999999</v>
      </c>
      <c r="Z5201">
        <v>-3.0879379999999902E-3</v>
      </c>
      <c r="AA5201">
        <v>0.96447680000000002</v>
      </c>
      <c r="AB5201">
        <v>22</v>
      </c>
      <c r="AC5201">
        <v>115.94450000000001</v>
      </c>
      <c r="AD5201">
        <v>0.94130599999999998</v>
      </c>
      <c r="AE5201">
        <v>1.65174</v>
      </c>
      <c r="AF5201">
        <v>-30.668565515828</v>
      </c>
      <c r="AG5201">
        <v>0.94130599999999998</v>
      </c>
      <c r="AH5201">
        <v>111.819150755408</v>
      </c>
      <c r="AI5201">
        <v>89.534865749926198</v>
      </c>
      <c r="AJ5201">
        <v>105.33732400219399</v>
      </c>
      <c r="AK5201">
        <v>115.952444749755</v>
      </c>
    </row>
    <row r="5202" spans="1:37" x14ac:dyDescent="0.2">
      <c r="A5202" t="str">
        <f>"20200111155700541"</f>
        <v>20200111155700541</v>
      </c>
      <c r="B5202" t="str">
        <f>"1578729420538795"</f>
        <v>1578729420538795</v>
      </c>
      <c r="C5202" t="s">
        <v>37</v>
      </c>
      <c r="D5202">
        <v>5.1459659999999996</v>
      </c>
      <c r="E5202">
        <v>0.41870039999999997</v>
      </c>
      <c r="F5202" t="s">
        <v>85</v>
      </c>
      <c r="G5202">
        <v>-273.40989999999999</v>
      </c>
      <c r="H5202">
        <v>2.085769</v>
      </c>
      <c r="I5202">
        <v>20.684349999999998</v>
      </c>
      <c r="J5202">
        <v>-392.72149999999999</v>
      </c>
      <c r="K5202">
        <v>1.107934</v>
      </c>
      <c r="L5202">
        <v>18.53867</v>
      </c>
      <c r="M5202">
        <v>0.96867610000000004</v>
      </c>
      <c r="N5202">
        <v>0</v>
      </c>
      <c r="O5202">
        <v>-0.24794139999999901</v>
      </c>
      <c r="P5202">
        <v>0.98145530000000003</v>
      </c>
      <c r="Q5202">
        <v>-2.8789729999999999E-2</v>
      </c>
      <c r="R5202">
        <v>-0.18951699999999999</v>
      </c>
      <c r="S5202">
        <v>3.0696720000000002</v>
      </c>
      <c r="T5202">
        <v>2.5133249999999999E-2</v>
      </c>
      <c r="U5202">
        <v>5.4412839999999997E-2</v>
      </c>
      <c r="V5202">
        <v>-5.9654909999999998E-2</v>
      </c>
      <c r="W5202">
        <v>-1.542168E-2</v>
      </c>
      <c r="X5202">
        <v>0.99809989999999904</v>
      </c>
      <c r="Y5202">
        <v>-0.2650788</v>
      </c>
      <c r="Z5202">
        <v>-3.1001370000000002E-3</v>
      </c>
      <c r="AA5202">
        <v>0.96422180000000002</v>
      </c>
      <c r="AB5202">
        <v>22</v>
      </c>
      <c r="AC5202">
        <v>119.3116</v>
      </c>
      <c r="AD5202">
        <v>0.97783500000000001</v>
      </c>
      <c r="AE5202">
        <v>2.1456799999999898</v>
      </c>
      <c r="AF5202">
        <v>-31.661662825840398</v>
      </c>
      <c r="AG5202">
        <v>0.97783500000000001</v>
      </c>
      <c r="AH5202">
        <v>115.045594502106</v>
      </c>
      <c r="AI5202">
        <v>89.530479280869301</v>
      </c>
      <c r="AJ5202">
        <v>105.38742049503399</v>
      </c>
      <c r="AK5202">
        <v>119.32688661205999</v>
      </c>
    </row>
    <row r="5203" spans="1:37" x14ac:dyDescent="0.2">
      <c r="A5203" t="str">
        <f>"20200111155700554"</f>
        <v>20200111155700554</v>
      </c>
      <c r="B5203" t="str">
        <f>"1578729420548555"</f>
        <v>1578729420548555</v>
      </c>
      <c r="C5203" t="s">
        <v>37</v>
      </c>
      <c r="D5203">
        <v>5.1683479999999999</v>
      </c>
      <c r="E5203">
        <v>0.41877109999999901</v>
      </c>
      <c r="F5203" t="s">
        <v>85</v>
      </c>
      <c r="G5203">
        <v>-273.40989999999999</v>
      </c>
      <c r="H5203">
        <v>2.1400450000000002</v>
      </c>
      <c r="I5203">
        <v>20.967979999999901</v>
      </c>
      <c r="J5203">
        <v>-392.59559999999999</v>
      </c>
      <c r="K5203">
        <v>1.107979</v>
      </c>
      <c r="L5203">
        <v>18.50986</v>
      </c>
      <c r="M5203">
        <v>0.9694161</v>
      </c>
      <c r="N5203">
        <v>0</v>
      </c>
      <c r="O5203">
        <v>-0.2450319</v>
      </c>
      <c r="P5203">
        <v>0.98200089999999995</v>
      </c>
      <c r="Q5203">
        <v>-2.88087E-2</v>
      </c>
      <c r="R5203">
        <v>-0.1866662</v>
      </c>
      <c r="S5203">
        <v>3.06957999999999</v>
      </c>
      <c r="T5203">
        <v>2.6553630000000002E-2</v>
      </c>
      <c r="U5203">
        <v>6.25E-2</v>
      </c>
      <c r="V5203">
        <v>-5.9554469999999998E-2</v>
      </c>
      <c r="W5203">
        <v>-1.544181E-2</v>
      </c>
      <c r="X5203">
        <v>0.99810560000000004</v>
      </c>
      <c r="Y5203">
        <v>-0.26472190000000001</v>
      </c>
      <c r="Z5203">
        <v>-3.2493840000000001E-3</v>
      </c>
      <c r="AA5203">
        <v>0.96431929999999999</v>
      </c>
      <c r="AB5203">
        <v>22</v>
      </c>
      <c r="AC5203">
        <v>119.1857</v>
      </c>
      <c r="AD5203">
        <v>1.0320659999999999</v>
      </c>
      <c r="AE5203">
        <v>2.4581199999999899</v>
      </c>
      <c r="AF5203">
        <v>-31.587901600334799</v>
      </c>
      <c r="AG5203">
        <v>1.0320659999999999</v>
      </c>
      <c r="AH5203">
        <v>114.940627412322</v>
      </c>
      <c r="AI5203">
        <v>89.503938749371102</v>
      </c>
      <c r="AJ5203">
        <v>105.366624838863</v>
      </c>
      <c r="AK5203">
        <v>119.206579171114</v>
      </c>
    </row>
    <row r="5204" spans="1:37" x14ac:dyDescent="0.2">
      <c r="A5204" t="str">
        <f>"20200111155700569"</f>
        <v>20200111155700569</v>
      </c>
      <c r="B5204" t="str">
        <f>"1578729420558315"</f>
        <v>1578729420558315</v>
      </c>
      <c r="C5204" t="s">
        <v>37</v>
      </c>
      <c r="D5204">
        <v>5.1822359999999996</v>
      </c>
      <c r="E5204">
        <v>0.41882429999999898</v>
      </c>
      <c r="F5204" t="s">
        <v>85</v>
      </c>
      <c r="G5204">
        <v>-273.40989999999999</v>
      </c>
      <c r="H5204">
        <v>2.1713419999999899</v>
      </c>
      <c r="I5204">
        <v>21.255659999999999</v>
      </c>
      <c r="J5204">
        <v>-392.4649</v>
      </c>
      <c r="K5204">
        <v>1.108025</v>
      </c>
      <c r="L5204">
        <v>18.480560000000001</v>
      </c>
      <c r="M5204">
        <v>0.97019049999999996</v>
      </c>
      <c r="N5204">
        <v>0</v>
      </c>
      <c r="O5204">
        <v>-0.2419473</v>
      </c>
      <c r="P5204">
        <v>0.98257919999999999</v>
      </c>
      <c r="Q5204">
        <v>-2.914135E-2</v>
      </c>
      <c r="R5204">
        <v>-0.18354509999999999</v>
      </c>
      <c r="S5204">
        <v>3.0692439999999999</v>
      </c>
      <c r="T5204">
        <v>2.7383569999999999E-2</v>
      </c>
      <c r="U5204">
        <v>7.0709229999999998E-2</v>
      </c>
      <c r="V5204">
        <v>-5.9544640000000003E-2</v>
      </c>
      <c r="W5204">
        <v>-1.5776220000000001E-2</v>
      </c>
      <c r="X5204">
        <v>0.99810100000000002</v>
      </c>
      <c r="Y5204">
        <v>-0.26423370000000002</v>
      </c>
      <c r="Z5204">
        <v>-3.322298E-3</v>
      </c>
      <c r="AA5204">
        <v>0.96445289999999995</v>
      </c>
      <c r="AB5204">
        <v>22</v>
      </c>
      <c r="AC5204">
        <v>119.05500000000001</v>
      </c>
      <c r="AD5204">
        <v>1.0633169999999901</v>
      </c>
      <c r="AE5204">
        <v>2.7750999999999899</v>
      </c>
      <c r="AF5204">
        <v>-31.497922863206</v>
      </c>
      <c r="AG5204">
        <v>1.0633169999999901</v>
      </c>
      <c r="AH5204">
        <v>114.836466527933</v>
      </c>
      <c r="AI5204">
        <v>89.488385458112205</v>
      </c>
      <c r="AJ5204">
        <v>105.338159304212</v>
      </c>
      <c r="AK5204">
        <v>119.08259248252899</v>
      </c>
    </row>
    <row r="5205" spans="1:37" x14ac:dyDescent="0.2">
      <c r="A5205" t="str">
        <f>"20200111155700587"</f>
        <v>20200111155700587</v>
      </c>
      <c r="B5205" t="str">
        <f>"1578729420578340"</f>
        <v>1578729420578340</v>
      </c>
      <c r="C5205" t="s">
        <v>37</v>
      </c>
      <c r="D5205">
        <v>5.0821449999999997</v>
      </c>
      <c r="E5205">
        <v>0.4188209</v>
      </c>
      <c r="F5205" t="s">
        <v>85</v>
      </c>
      <c r="G5205">
        <v>-273.40989999999999</v>
      </c>
      <c r="H5205">
        <v>2.159322</v>
      </c>
      <c r="I5205">
        <v>21.58118</v>
      </c>
      <c r="J5205">
        <v>-392.29750000000001</v>
      </c>
      <c r="K5205">
        <v>1.1080889999999901</v>
      </c>
      <c r="L5205">
        <v>18.443660000000001</v>
      </c>
      <c r="M5205">
        <v>0.97118719999999903</v>
      </c>
      <c r="N5205">
        <v>0</v>
      </c>
      <c r="O5205">
        <v>-0.23791470000000001</v>
      </c>
      <c r="P5205">
        <v>0.98327209999999998</v>
      </c>
      <c r="Q5205">
        <v>-3.0076120000000001E-2</v>
      </c>
      <c r="R5205">
        <v>-0.17964269999999999</v>
      </c>
      <c r="S5205">
        <v>3.0689090000000001</v>
      </c>
      <c r="T5205">
        <v>2.709961E-2</v>
      </c>
      <c r="U5205">
        <v>7.9925540000000003E-2</v>
      </c>
      <c r="V5205">
        <v>-5.9344319999999999E-2</v>
      </c>
      <c r="W5205">
        <v>-1.6711690000000001E-2</v>
      </c>
      <c r="X5205">
        <v>0.99809769999999898</v>
      </c>
      <c r="Y5205">
        <v>-0.26312459999999999</v>
      </c>
      <c r="Z5205">
        <v>-3.2485320000000002E-3</v>
      </c>
      <c r="AA5205">
        <v>0.96475639999999996</v>
      </c>
      <c r="AB5205">
        <v>22</v>
      </c>
      <c r="AC5205">
        <v>118.88760000000001</v>
      </c>
      <c r="AD5205">
        <v>1.0512330000000001</v>
      </c>
      <c r="AE5205">
        <v>3.1375199999999901</v>
      </c>
      <c r="AF5205">
        <v>-31.3327875048221</v>
      </c>
      <c r="AG5205">
        <v>1.0512330000000001</v>
      </c>
      <c r="AH5205">
        <v>114.71770556477099</v>
      </c>
      <c r="AI5205">
        <v>89.493526772088501</v>
      </c>
      <c r="AJ5205">
        <v>105.276565993959</v>
      </c>
      <c r="AK5205">
        <v>118.92434836352101</v>
      </c>
    </row>
    <row r="5206" spans="1:37" x14ac:dyDescent="0.2">
      <c r="A5206" t="str">
        <f>"20200111155700630"</f>
        <v>20200111155700630</v>
      </c>
      <c r="B5206" t="str">
        <f>"1578729420618356"</f>
        <v>1578729420618356</v>
      </c>
      <c r="C5206" t="s">
        <v>37</v>
      </c>
      <c r="D5206">
        <v>4.9651690000000004</v>
      </c>
      <c r="E5206">
        <v>0.38687120000000003</v>
      </c>
      <c r="F5206" t="s">
        <v>93</v>
      </c>
      <c r="G5206">
        <v>-277.05410000000001</v>
      </c>
      <c r="H5206">
        <v>2.05085099999999</v>
      </c>
      <c r="I5206">
        <v>21.894600000000001</v>
      </c>
      <c r="J5206">
        <v>-391.88850000000002</v>
      </c>
      <c r="K5206">
        <v>1.108247</v>
      </c>
      <c r="L5206">
        <v>18.357119999999998</v>
      </c>
      <c r="M5206">
        <v>0.97364409999999901</v>
      </c>
      <c r="N5206">
        <v>0</v>
      </c>
      <c r="O5206">
        <v>-0.2276504</v>
      </c>
      <c r="P5206">
        <v>0.9851278</v>
      </c>
      <c r="Q5206">
        <v>-2.696229E-2</v>
      </c>
      <c r="R5206">
        <v>-0.16969489999999901</v>
      </c>
      <c r="S5206">
        <v>3.0686040000000001</v>
      </c>
      <c r="T5206">
        <v>2.5102849999999999E-2</v>
      </c>
      <c r="U5206">
        <v>9.1888429999999993E-2</v>
      </c>
      <c r="V5206">
        <v>-5.8938280000000003E-2</v>
      </c>
      <c r="W5206">
        <v>-1.3596189999999999E-2</v>
      </c>
      <c r="X5206">
        <v>0.99816909999999903</v>
      </c>
      <c r="Y5206">
        <v>-0.25669940000000002</v>
      </c>
      <c r="Z5206">
        <v>-2.9009539999999999E-3</v>
      </c>
      <c r="AA5206">
        <v>0.96648690000000004</v>
      </c>
      <c r="AB5206">
        <v>22</v>
      </c>
      <c r="AC5206">
        <v>114.8344</v>
      </c>
      <c r="AD5206">
        <v>0.942603999999999</v>
      </c>
      <c r="AE5206">
        <v>3.5374799999999902</v>
      </c>
      <c r="AF5206">
        <v>-29.587199537849301</v>
      </c>
      <c r="AG5206">
        <v>0.942603999999999</v>
      </c>
      <c r="AH5206">
        <v>111.00573852925299</v>
      </c>
      <c r="AI5206">
        <v>89.529896561268302</v>
      </c>
      <c r="AJ5206">
        <v>104.924511200807</v>
      </c>
      <c r="AK5206">
        <v>114.885007138522</v>
      </c>
    </row>
    <row r="5207" spans="1:37" x14ac:dyDescent="0.2">
      <c r="A5207" t="str">
        <f>"20200111155700654"</f>
        <v>20200111155700654</v>
      </c>
      <c r="B5207" t="str">
        <f>"1578729420648613"</f>
        <v>1578729420648613</v>
      </c>
      <c r="C5207" t="s">
        <v>37</v>
      </c>
      <c r="D5207">
        <v>5.0390509999999997</v>
      </c>
      <c r="E5207">
        <v>0.38831659999999901</v>
      </c>
      <c r="F5207" t="s">
        <v>52</v>
      </c>
      <c r="G5207">
        <v>-222.72669999999999</v>
      </c>
      <c r="H5207">
        <v>3.858104</v>
      </c>
      <c r="I5207">
        <v>38.650019999999998</v>
      </c>
      <c r="J5207">
        <v>-391.64760000000001</v>
      </c>
      <c r="K5207">
        <v>1.108325</v>
      </c>
      <c r="L5207">
        <v>18.308499999999999</v>
      </c>
      <c r="M5207">
        <v>0.97508850000000002</v>
      </c>
      <c r="N5207">
        <v>0</v>
      </c>
      <c r="O5207">
        <v>-0.22138079999999999</v>
      </c>
      <c r="P5207">
        <v>0.98614829999999998</v>
      </c>
      <c r="Q5207">
        <v>-2.202523E-2</v>
      </c>
      <c r="R5207">
        <v>-0.16439670000000001</v>
      </c>
      <c r="S5207">
        <v>3.110992</v>
      </c>
      <c r="T5207">
        <v>5.05718E-2</v>
      </c>
      <c r="U5207">
        <v>0.37319949999999902</v>
      </c>
      <c r="V5207">
        <v>-5.7948090000000001E-2</v>
      </c>
      <c r="W5207">
        <v>-8.6480150000000002E-3</v>
      </c>
      <c r="X5207">
        <v>0.99828209999999995</v>
      </c>
      <c r="Y5207">
        <v>-0.33590500000000001</v>
      </c>
      <c r="Z5207">
        <v>-6.2956779999999999E-3</v>
      </c>
      <c r="AA5207">
        <v>0.94187480000000001</v>
      </c>
      <c r="AB5207">
        <v>22</v>
      </c>
      <c r="AC5207">
        <v>168.92089999999999</v>
      </c>
      <c r="AD5207">
        <v>2.7497790000000002</v>
      </c>
      <c r="AE5207">
        <v>20.341519999999999</v>
      </c>
      <c r="AF5207">
        <v>-57.221202286382102</v>
      </c>
      <c r="AG5207">
        <v>2.7497790000000002</v>
      </c>
      <c r="AH5207">
        <v>160.18322401402099</v>
      </c>
      <c r="AI5207">
        <v>89.073839238159593</v>
      </c>
      <c r="AJ5207">
        <v>109.657918711254</v>
      </c>
      <c r="AK5207">
        <v>170.11905399212</v>
      </c>
    </row>
    <row r="5208" spans="1:37" x14ac:dyDescent="0.2">
      <c r="A5208" t="str">
        <f>"20200111155700686"</f>
        <v>20200111155700686</v>
      </c>
      <c r="B5208" t="str">
        <f>"1578729420677892"</f>
        <v>1578729420677892</v>
      </c>
      <c r="C5208" t="s">
        <v>37</v>
      </c>
      <c r="D5208">
        <v>4.9734509999999998</v>
      </c>
      <c r="E5208">
        <v>0.39049829999999902</v>
      </c>
      <c r="F5208" t="s">
        <v>52</v>
      </c>
      <c r="G5208">
        <v>-225.27889999999999</v>
      </c>
      <c r="H5208">
        <v>3.616301</v>
      </c>
      <c r="I5208">
        <v>38.650019999999998</v>
      </c>
      <c r="J5208">
        <v>-391.35059999999999</v>
      </c>
      <c r="K5208">
        <v>1.1083860000000001</v>
      </c>
      <c r="L5208">
        <v>18.251100000000001</v>
      </c>
      <c r="M5208">
        <v>0.97684720000000003</v>
      </c>
      <c r="N5208">
        <v>0</v>
      </c>
      <c r="O5208">
        <v>-0.213486499999999</v>
      </c>
      <c r="P5208">
        <v>0.98729840000000002</v>
      </c>
      <c r="Q5208">
        <v>-1.7197540000000001E-2</v>
      </c>
      <c r="R5208">
        <v>-0.15794359999999999</v>
      </c>
      <c r="S5208">
        <v>3.1064759999999998</v>
      </c>
      <c r="T5208">
        <v>4.6829699999999898E-2</v>
      </c>
      <c r="U5208">
        <v>0.37982179999999999</v>
      </c>
      <c r="V5208">
        <v>-5.6463140000000002E-2</v>
      </c>
      <c r="W5208">
        <v>-3.8018000000000001E-3</v>
      </c>
      <c r="X5208">
        <v>0.99839750000000005</v>
      </c>
      <c r="Y5208">
        <v>-0.33043339999999999</v>
      </c>
      <c r="Z5208">
        <v>-5.6795019999999899E-3</v>
      </c>
      <c r="AA5208">
        <v>0.94381229999999905</v>
      </c>
      <c r="AB5208">
        <v>22</v>
      </c>
      <c r="AC5208">
        <v>166.07169999999999</v>
      </c>
      <c r="AD5208">
        <v>2.5079150000000001</v>
      </c>
      <c r="AE5208">
        <v>20.39892</v>
      </c>
      <c r="AF5208">
        <v>-55.373600222268003</v>
      </c>
      <c r="AG5208">
        <v>2.5079150000000001</v>
      </c>
      <c r="AH5208">
        <v>157.85155950783599</v>
      </c>
      <c r="AI5208">
        <v>89.1410793282448</v>
      </c>
      <c r="AJ5208">
        <v>109.33063551869699</v>
      </c>
      <c r="AK5208">
        <v>167.30104625577999</v>
      </c>
    </row>
    <row r="5209" spans="1:37" x14ac:dyDescent="0.2">
      <c r="A5209" t="str">
        <f>"20200111155700700"</f>
        <v>20200111155700700</v>
      </c>
      <c r="B5209" t="str">
        <f>"1578729420688628"</f>
        <v>1578729420688628</v>
      </c>
      <c r="C5209" t="s">
        <v>37</v>
      </c>
      <c r="D5209">
        <v>4.9949069999999898</v>
      </c>
      <c r="E5209">
        <v>0.39100069999999998</v>
      </c>
      <c r="F5209" t="s">
        <v>52</v>
      </c>
      <c r="G5209">
        <v>-226.99930000000001</v>
      </c>
      <c r="H5209">
        <v>2.8381889999999999</v>
      </c>
      <c r="I5209">
        <v>38.650019999999998</v>
      </c>
      <c r="J5209">
        <v>-391.22160000000002</v>
      </c>
      <c r="K5209">
        <v>1.1083959999999999</v>
      </c>
      <c r="L5209">
        <v>18.226870000000002</v>
      </c>
      <c r="M5209">
        <v>0.97759549999999995</v>
      </c>
      <c r="N5209">
        <v>0</v>
      </c>
      <c r="O5209">
        <v>-0.21003279999999999</v>
      </c>
      <c r="P5209">
        <v>0.98779850000000002</v>
      </c>
      <c r="Q5209">
        <v>-1.6318849999999999E-2</v>
      </c>
      <c r="R5209">
        <v>-0.15488060000000001</v>
      </c>
      <c r="S5209">
        <v>3.1007389999999999</v>
      </c>
      <c r="T5209">
        <v>3.2635570000000003E-2</v>
      </c>
      <c r="U5209">
        <v>0.38485720000000001</v>
      </c>
      <c r="V5209">
        <v>-5.6042439999999999E-2</v>
      </c>
      <c r="W5209">
        <v>-2.916854E-3</v>
      </c>
      <c r="X5209">
        <v>0.99842410000000004</v>
      </c>
      <c r="Y5209">
        <v>-0.328849</v>
      </c>
      <c r="Z5209">
        <v>-3.9210149999999999E-3</v>
      </c>
      <c r="AA5209">
        <v>0.94437439999999995</v>
      </c>
      <c r="AB5209">
        <v>22</v>
      </c>
      <c r="AC5209">
        <v>164.22229999999999</v>
      </c>
      <c r="AD5209">
        <v>1.7297929999999999</v>
      </c>
      <c r="AE5209">
        <v>20.42315</v>
      </c>
      <c r="AF5209">
        <v>-54.456962136496898</v>
      </c>
      <c r="AG5209">
        <v>1.7297929999999999</v>
      </c>
      <c r="AH5209">
        <v>156.25147922839</v>
      </c>
      <c r="AI5209">
        <v>89.401059682860193</v>
      </c>
      <c r="AJ5209">
        <v>109.21453201152499</v>
      </c>
      <c r="AK5209">
        <v>165.47832991065201</v>
      </c>
    </row>
    <row r="5210" spans="1:37" x14ac:dyDescent="0.2">
      <c r="A5210" t="str">
        <f>"20200111155700713"</f>
        <v>20200111155700713</v>
      </c>
      <c r="B5210" t="str">
        <f>"1578729420708150"</f>
        <v>1578729420708150</v>
      </c>
      <c r="C5210" t="s">
        <v>37</v>
      </c>
      <c r="D5210">
        <v>5.103065</v>
      </c>
      <c r="E5210">
        <v>0.39235769999999998</v>
      </c>
      <c r="F5210" t="s">
        <v>52</v>
      </c>
      <c r="G5210">
        <v>-229.3554</v>
      </c>
      <c r="H5210">
        <v>2.5383610000000001</v>
      </c>
      <c r="I5210">
        <v>38.650019999999998</v>
      </c>
      <c r="J5210">
        <v>-391.09690000000001</v>
      </c>
      <c r="K5210">
        <v>1.1083969999999901</v>
      </c>
      <c r="L5210">
        <v>18.2041</v>
      </c>
      <c r="M5210">
        <v>0.97830879999999998</v>
      </c>
      <c r="N5210">
        <v>0</v>
      </c>
      <c r="O5210">
        <v>-0.2066847</v>
      </c>
      <c r="P5210">
        <v>0.98822019999999899</v>
      </c>
      <c r="Q5210">
        <v>-1.567843E-2</v>
      </c>
      <c r="R5210">
        <v>-0.15223490000000001</v>
      </c>
      <c r="S5210">
        <v>3.098846</v>
      </c>
      <c r="T5210">
        <v>2.7376169999999998E-2</v>
      </c>
      <c r="U5210">
        <v>0.39099119999999998</v>
      </c>
      <c r="V5210">
        <v>-5.5305550000000002E-2</v>
      </c>
      <c r="W5210">
        <v>-2.2671119999999999E-3</v>
      </c>
      <c r="X5210">
        <v>0.99846689999999905</v>
      </c>
      <c r="Y5210">
        <v>-0.32753539999999998</v>
      </c>
      <c r="Z5210">
        <v>-3.2558999999999999E-3</v>
      </c>
      <c r="AA5210">
        <v>0.94483329999999999</v>
      </c>
      <c r="AB5210">
        <v>22</v>
      </c>
      <c r="AC5210">
        <v>161.7415</v>
      </c>
      <c r="AD5210">
        <v>1.429964</v>
      </c>
      <c r="AE5210">
        <v>20.445920000000001</v>
      </c>
      <c r="AF5210">
        <v>-53.432971671127902</v>
      </c>
      <c r="AG5210">
        <v>1.429964</v>
      </c>
      <c r="AH5210">
        <v>154.01031421013701</v>
      </c>
      <c r="AI5210">
        <v>89.497419061330007</v>
      </c>
      <c r="AJ5210">
        <v>109.133916104257</v>
      </c>
      <c r="AK5210">
        <v>163.02240380314001</v>
      </c>
    </row>
    <row r="5211" spans="1:37" x14ac:dyDescent="0.2">
      <c r="A5211" t="str">
        <f>"20200111155700729"</f>
        <v>20200111155700729</v>
      </c>
      <c r="B5211" t="str">
        <f>"1578729420717909"</f>
        <v>1578729420717909</v>
      </c>
      <c r="C5211" t="s">
        <v>37</v>
      </c>
      <c r="D5211">
        <v>5.0429320000000004</v>
      </c>
      <c r="E5211">
        <v>0.39291369999999998</v>
      </c>
      <c r="F5211" t="s">
        <v>52</v>
      </c>
      <c r="G5211">
        <v>-228.52780000000001</v>
      </c>
      <c r="H5211">
        <v>2.01037</v>
      </c>
      <c r="I5211">
        <v>38.650019999999998</v>
      </c>
      <c r="J5211">
        <v>-390.9434</v>
      </c>
      <c r="K5211">
        <v>1.108393</v>
      </c>
      <c r="L5211">
        <v>18.176570000000002</v>
      </c>
      <c r="M5211">
        <v>0.97917069999999995</v>
      </c>
      <c r="N5211">
        <v>0</v>
      </c>
      <c r="O5211">
        <v>-0.20256279999999999</v>
      </c>
      <c r="P5211">
        <v>0.98883029999999905</v>
      </c>
      <c r="Q5211">
        <v>-1.3973859999999999E-2</v>
      </c>
      <c r="R5211">
        <v>-0.1483901</v>
      </c>
      <c r="S5211">
        <v>3.0959779999999899</v>
      </c>
      <c r="T5211">
        <v>1.7177459999999999E-2</v>
      </c>
      <c r="U5211">
        <v>0.38937379999999999</v>
      </c>
      <c r="V5211">
        <v>-5.5003820000000002E-2</v>
      </c>
      <c r="W5211">
        <v>-5.5636589999999897E-4</v>
      </c>
      <c r="X5211">
        <v>0.99848599999999998</v>
      </c>
      <c r="Y5211">
        <v>-0.32318819999999998</v>
      </c>
      <c r="Z5211">
        <v>-2.010333E-3</v>
      </c>
      <c r="AA5211">
        <v>0.94633259999999897</v>
      </c>
      <c r="AB5211">
        <v>22</v>
      </c>
      <c r="AC5211">
        <v>162.41559999999899</v>
      </c>
      <c r="AD5211">
        <v>0.90197700000000003</v>
      </c>
      <c r="AE5211">
        <v>20.47345</v>
      </c>
      <c r="AF5211">
        <v>-52.949865006948698</v>
      </c>
      <c r="AG5211">
        <v>0.90197700000000003</v>
      </c>
      <c r="AH5211">
        <v>154.89568755483501</v>
      </c>
      <c r="AI5211">
        <v>89.684299128541795</v>
      </c>
      <c r="AJ5211">
        <v>108.87258723814099</v>
      </c>
      <c r="AK5211">
        <v>163.698429405562</v>
      </c>
    </row>
    <row r="5212" spans="1:37" x14ac:dyDescent="0.2">
      <c r="A5212" t="str">
        <f>"20200111155700742"</f>
        <v>20200111155700742</v>
      </c>
      <c r="B5212" t="str">
        <f>"1578729420738405"</f>
        <v>1578729420738405</v>
      </c>
      <c r="C5212" t="s">
        <v>37</v>
      </c>
      <c r="D5212">
        <v>5.0827179999999998</v>
      </c>
      <c r="E5212">
        <v>0.39406740000000001</v>
      </c>
      <c r="F5212" t="s">
        <v>52</v>
      </c>
      <c r="G5212">
        <v>-231.4691</v>
      </c>
      <c r="H5212">
        <v>2.1074820000000001</v>
      </c>
      <c r="I5212">
        <v>38.650019999999998</v>
      </c>
      <c r="J5212">
        <v>-390.82670000000002</v>
      </c>
      <c r="K5212">
        <v>1.108379</v>
      </c>
      <c r="L5212">
        <v>18.15607</v>
      </c>
      <c r="M5212">
        <v>0.97981219999999902</v>
      </c>
      <c r="N5212">
        <v>0</v>
      </c>
      <c r="O5212">
        <v>-0.19943629999999901</v>
      </c>
      <c r="P5212">
        <v>0.98926559999999897</v>
      </c>
      <c r="Q5212">
        <v>-1.273379E-2</v>
      </c>
      <c r="R5212">
        <v>-0.1455736</v>
      </c>
      <c r="S5212">
        <v>3.0938110000000001</v>
      </c>
      <c r="T5212">
        <v>1.93826E-2</v>
      </c>
      <c r="U5212">
        <v>0.39718629999999999</v>
      </c>
      <c r="V5212">
        <v>-5.4673859999999998E-2</v>
      </c>
      <c r="W5212">
        <v>6.8933169999999997E-4</v>
      </c>
      <c r="X5212">
        <v>0.99850399999999995</v>
      </c>
      <c r="Y5212">
        <v>-0.32259909999999897</v>
      </c>
      <c r="Z5212">
        <v>-2.2485349999999999E-3</v>
      </c>
      <c r="AA5212">
        <v>0.94653299999999996</v>
      </c>
      <c r="AB5212">
        <v>22</v>
      </c>
      <c r="AC5212">
        <v>159.35759999999999</v>
      </c>
      <c r="AD5212">
        <v>0.99910299999999996</v>
      </c>
      <c r="AE5212">
        <v>20.493950000000002</v>
      </c>
      <c r="AF5212">
        <v>-51.864917822983699</v>
      </c>
      <c r="AG5212">
        <v>0.99910299999999996</v>
      </c>
      <c r="AH5212">
        <v>152.06209476972899</v>
      </c>
      <c r="AI5212">
        <v>89.643705338329198</v>
      </c>
      <c r="AJ5212">
        <v>108.83334010930101</v>
      </c>
      <c r="AK5212">
        <v>160.666886984679</v>
      </c>
    </row>
    <row r="5213" spans="1:37" x14ac:dyDescent="0.2">
      <c r="A5213" t="str">
        <f>"20200111155700753"</f>
        <v>20200111155700753</v>
      </c>
      <c r="B5213" t="str">
        <f>"1578729420748166"</f>
        <v>1578729420748166</v>
      </c>
      <c r="C5213" t="s">
        <v>37</v>
      </c>
      <c r="D5213">
        <v>5.0628890000000002</v>
      </c>
      <c r="E5213">
        <v>0.39483550000000001</v>
      </c>
      <c r="F5213" t="s">
        <v>52</v>
      </c>
      <c r="G5213">
        <v>-231.42760000000001</v>
      </c>
      <c r="H5213">
        <v>1.8148500000000001</v>
      </c>
      <c r="I5213">
        <v>38.650019999999998</v>
      </c>
      <c r="J5213">
        <v>-390.71530000000001</v>
      </c>
      <c r="K5213">
        <v>1.10836</v>
      </c>
      <c r="L5213">
        <v>18.136839999999999</v>
      </c>
      <c r="M5213">
        <v>0.98041219999999996</v>
      </c>
      <c r="N5213">
        <v>0</v>
      </c>
      <c r="O5213">
        <v>-0.19646620000000001</v>
      </c>
      <c r="P5213">
        <v>0.98976379999999997</v>
      </c>
      <c r="Q5213">
        <v>-1.1457419999999999E-2</v>
      </c>
      <c r="R5213">
        <v>-0.1422562</v>
      </c>
      <c r="S5213">
        <v>3.0911559999999998</v>
      </c>
      <c r="T5213">
        <v>1.3700489999999999E-2</v>
      </c>
      <c r="U5213">
        <v>0.39743040000000002</v>
      </c>
      <c r="V5213">
        <v>-5.5008969999999997E-2</v>
      </c>
      <c r="W5213">
        <v>1.9653470000000001E-3</v>
      </c>
      <c r="X5213">
        <v>0.99848400000000004</v>
      </c>
      <c r="Y5213">
        <v>-0.3199108</v>
      </c>
      <c r="Z5213">
        <v>-1.5717939999999901E-3</v>
      </c>
      <c r="AA5213">
        <v>0.94744629999999996</v>
      </c>
      <c r="AB5213">
        <v>22</v>
      </c>
      <c r="AC5213">
        <v>159.2877</v>
      </c>
      <c r="AD5213">
        <v>0.70648999999999995</v>
      </c>
      <c r="AE5213">
        <v>20.513179999999998</v>
      </c>
      <c r="AF5213">
        <v>-51.409986344997897</v>
      </c>
      <c r="AG5213">
        <v>0.70648999999999995</v>
      </c>
      <c r="AH5213">
        <v>152.14919323395799</v>
      </c>
      <c r="AI5213">
        <v>89.747953728164802</v>
      </c>
      <c r="AJ5213">
        <v>108.66969659362999</v>
      </c>
      <c r="AK5213">
        <v>160.601565452698</v>
      </c>
    </row>
    <row r="5214" spans="1:37" x14ac:dyDescent="0.2">
      <c r="A5214" t="str">
        <f>"20200111155700766"</f>
        <v>20200111155700766</v>
      </c>
      <c r="B5214" t="str">
        <f>"1578729420757926"</f>
        <v>1578729420757926</v>
      </c>
      <c r="C5214" t="s">
        <v>37</v>
      </c>
      <c r="D5214">
        <v>5.1374500000000003</v>
      </c>
      <c r="E5214">
        <v>0.39552509999999902</v>
      </c>
      <c r="F5214" t="s">
        <v>52</v>
      </c>
      <c r="G5214">
        <v>-233.10749999999999</v>
      </c>
      <c r="H5214">
        <v>1.7322470000000001</v>
      </c>
      <c r="I5214">
        <v>38.650019999999998</v>
      </c>
      <c r="J5214">
        <v>-390.59969999999998</v>
      </c>
      <c r="K5214">
        <v>1.1083350000000001</v>
      </c>
      <c r="L5214">
        <v>18.11731</v>
      </c>
      <c r="M5214">
        <v>0.98101989999999994</v>
      </c>
      <c r="N5214">
        <v>0</v>
      </c>
      <c r="O5214">
        <v>-0.1934082</v>
      </c>
      <c r="P5214">
        <v>0.990253099999999</v>
      </c>
      <c r="Q5214">
        <v>-1.009706E-2</v>
      </c>
      <c r="R5214">
        <v>-0.13891400000000001</v>
      </c>
      <c r="S5214">
        <v>3.088959</v>
      </c>
      <c r="T5214">
        <v>1.2227770000000001E-2</v>
      </c>
      <c r="U5214">
        <v>0.40203860000000002</v>
      </c>
      <c r="V5214">
        <v>-5.5280620000000003E-2</v>
      </c>
      <c r="W5214">
        <v>3.3262349999999999E-3</v>
      </c>
      <c r="X5214">
        <v>0.9984653</v>
      </c>
      <c r="Y5214">
        <v>-0.31843270000000001</v>
      </c>
      <c r="Z5214">
        <v>-1.3888559999999999E-3</v>
      </c>
      <c r="AA5214">
        <v>0.94794449999999997</v>
      </c>
      <c r="AB5214">
        <v>22</v>
      </c>
      <c r="AC5214">
        <v>157.4922</v>
      </c>
      <c r="AD5214">
        <v>0.62391200000000002</v>
      </c>
      <c r="AE5214">
        <v>20.532710000000002</v>
      </c>
      <c r="AF5214">
        <v>-50.607388669846799</v>
      </c>
      <c r="AG5214">
        <v>0.62391200000000002</v>
      </c>
      <c r="AH5214">
        <v>150.544009972021</v>
      </c>
      <c r="AI5214">
        <v>89.774922783759607</v>
      </c>
      <c r="AJ5214">
        <v>108.580761329268</v>
      </c>
      <c r="AK5214">
        <v>158.82378912688301</v>
      </c>
    </row>
    <row r="5215" spans="1:37" x14ac:dyDescent="0.2">
      <c r="A5215" t="str">
        <f>"20200111155700779"</f>
        <v>20200111155700779</v>
      </c>
      <c r="B5215" t="str">
        <f>"1578729420768660"</f>
        <v>1578729420768660</v>
      </c>
      <c r="C5215" t="s">
        <v>37</v>
      </c>
      <c r="D5215">
        <v>5.0024150000000001</v>
      </c>
      <c r="E5215">
        <v>0.3958893</v>
      </c>
      <c r="F5215" t="s">
        <v>52</v>
      </c>
      <c r="G5215">
        <v>-234.99590000000001</v>
      </c>
      <c r="H5215">
        <v>1.6543589999999999</v>
      </c>
      <c r="I5215">
        <v>38.650019999999998</v>
      </c>
      <c r="J5215">
        <v>-390.46660000000003</v>
      </c>
      <c r="K5215">
        <v>1.1082989999999999</v>
      </c>
      <c r="L5215">
        <v>18.095179999999999</v>
      </c>
      <c r="M5215">
        <v>0.98170279999999999</v>
      </c>
      <c r="N5215">
        <v>0</v>
      </c>
      <c r="O5215">
        <v>-0.1899122</v>
      </c>
      <c r="P5215">
        <v>0.99083969999999899</v>
      </c>
      <c r="Q5215">
        <v>-9.0468530000000005E-3</v>
      </c>
      <c r="R5215">
        <v>-0.134741</v>
      </c>
      <c r="S5215">
        <v>3.086792</v>
      </c>
      <c r="T5215">
        <v>1.083195E-2</v>
      </c>
      <c r="U5215">
        <v>0.40731809999999902</v>
      </c>
      <c r="V5215">
        <v>-5.5939790000000003E-2</v>
      </c>
      <c r="W5215">
        <v>4.3743159999999996E-3</v>
      </c>
      <c r="X5215">
        <v>0.998424599999999</v>
      </c>
      <c r="Y5215">
        <v>-0.31673509999999999</v>
      </c>
      <c r="Z5215">
        <v>-1.21598E-3</v>
      </c>
      <c r="AA5215">
        <v>0.9485133</v>
      </c>
      <c r="AB5215">
        <v>22</v>
      </c>
      <c r="AC5215">
        <v>155.47069999999999</v>
      </c>
      <c r="AD5215">
        <v>0.54605999999999999</v>
      </c>
      <c r="AE5215">
        <v>20.554839999999999</v>
      </c>
      <c r="AF5215">
        <v>-49.708720373625603</v>
      </c>
      <c r="AG5215">
        <v>0.54605999999999999</v>
      </c>
      <c r="AH5215">
        <v>148.73495477704799</v>
      </c>
      <c r="AI5215">
        <v>89.800494394930197</v>
      </c>
      <c r="AJ5215">
        <v>108.48014715678799</v>
      </c>
      <c r="AK5215">
        <v>156.82264452315999</v>
      </c>
    </row>
    <row r="5216" spans="1:37" x14ac:dyDescent="0.2">
      <c r="A5216" t="str">
        <f>"20200111155700797"</f>
        <v>20200111155700797</v>
      </c>
      <c r="B5216" t="str">
        <f>"1578729420788688"</f>
        <v>1578729420788688</v>
      </c>
      <c r="C5216" t="s">
        <v>37</v>
      </c>
      <c r="D5216">
        <v>5.0408059999999999</v>
      </c>
      <c r="E5216">
        <v>0.39663179999999998</v>
      </c>
      <c r="F5216" t="s">
        <v>52</v>
      </c>
      <c r="G5216">
        <v>-238.66839999999999</v>
      </c>
      <c r="H5216">
        <v>1.5653219999999901</v>
      </c>
      <c r="I5216">
        <v>38.650019999999998</v>
      </c>
      <c r="J5216">
        <v>-390.30090000000001</v>
      </c>
      <c r="K5216">
        <v>1.108236</v>
      </c>
      <c r="L5216">
        <v>18.068239999999999</v>
      </c>
      <c r="M5216">
        <v>0.98252109999999904</v>
      </c>
      <c r="N5216">
        <v>0</v>
      </c>
      <c r="O5216">
        <v>-0.1856322</v>
      </c>
      <c r="P5216">
        <v>0.99159889999999995</v>
      </c>
      <c r="Q5216">
        <v>-7.4861759999999998E-3</v>
      </c>
      <c r="R5216">
        <v>-0.12913359999999999</v>
      </c>
      <c r="S5216">
        <v>3.084686</v>
      </c>
      <c r="T5216">
        <v>9.2873569999999996E-3</v>
      </c>
      <c r="U5216">
        <v>0.41769409999999901</v>
      </c>
      <c r="V5216">
        <v>-5.72509E-2</v>
      </c>
      <c r="W5216">
        <v>5.9287840000000003E-3</v>
      </c>
      <c r="X5216">
        <v>0.99834219999999896</v>
      </c>
      <c r="Y5216">
        <v>-0.31582059999999901</v>
      </c>
      <c r="Z5216">
        <v>-1.0290010000000001E-3</v>
      </c>
      <c r="AA5216">
        <v>0.9488183</v>
      </c>
      <c r="AB5216">
        <v>22</v>
      </c>
      <c r="AC5216">
        <v>151.63249999999999</v>
      </c>
      <c r="AD5216">
        <v>0.45708599999999899</v>
      </c>
      <c r="AE5216">
        <v>20.581779999999998</v>
      </c>
      <c r="AF5216">
        <v>-48.374143829623598</v>
      </c>
      <c r="AG5216">
        <v>0.45708599999999899</v>
      </c>
      <c r="AH5216">
        <v>145.17420254073599</v>
      </c>
      <c r="AI5216">
        <v>89.828854079629807</v>
      </c>
      <c r="AJ5216">
        <v>108.42881887319</v>
      </c>
      <c r="AK5216">
        <v>153.02227224230899</v>
      </c>
    </row>
    <row r="5217" spans="1:37" x14ac:dyDescent="0.2">
      <c r="A5217" t="str">
        <f>"20200111155700810"</f>
        <v>20200111155700810</v>
      </c>
      <c r="B5217" t="str">
        <f>"1578729420798449"</f>
        <v>1578729420798449</v>
      </c>
      <c r="C5217" t="s">
        <v>37</v>
      </c>
      <c r="D5217">
        <v>5.0785429999999998</v>
      </c>
      <c r="E5217">
        <v>0.39729350000000002</v>
      </c>
      <c r="F5217" t="s">
        <v>47</v>
      </c>
      <c r="G5217">
        <v>-285.57060000000001</v>
      </c>
      <c r="H5217">
        <v>1.3119289999999999</v>
      </c>
      <c r="I5217">
        <v>32.672330000000002</v>
      </c>
      <c r="J5217">
        <v>-390.19029999999998</v>
      </c>
      <c r="K5217">
        <v>1.1081780000000001</v>
      </c>
      <c r="L5217">
        <v>18.050719999999998</v>
      </c>
      <c r="M5217">
        <v>0.98304519999999995</v>
      </c>
      <c r="N5217">
        <v>0</v>
      </c>
      <c r="O5217">
        <v>-0.182837</v>
      </c>
      <c r="P5217">
        <v>0.99209080000000005</v>
      </c>
      <c r="Q5217">
        <v>-7.6093469999999998E-3</v>
      </c>
      <c r="R5217">
        <v>-0.1252933</v>
      </c>
      <c r="S5217">
        <v>3.08142099999999</v>
      </c>
      <c r="T5217">
        <v>5.9931280000000003E-3</v>
      </c>
      <c r="U5217">
        <v>0.4296875</v>
      </c>
      <c r="V5217">
        <v>-5.8274890000000003E-2</v>
      </c>
      <c r="W5217">
        <v>5.8005159999999899E-3</v>
      </c>
      <c r="X5217">
        <v>0.9982837</v>
      </c>
      <c r="Y5217">
        <v>-0.31688119999999997</v>
      </c>
      <c r="Z5217">
        <v>-6.6022179999999995E-4</v>
      </c>
      <c r="AA5217">
        <v>0.948465</v>
      </c>
      <c r="AB5217">
        <v>22</v>
      </c>
      <c r="AC5217">
        <v>104.619699999999</v>
      </c>
      <c r="AD5217">
        <v>0.20375099999999999</v>
      </c>
      <c r="AE5217">
        <v>14.62161</v>
      </c>
      <c r="AF5217">
        <v>-33.505160467000103</v>
      </c>
      <c r="AG5217">
        <v>0.20375099999999999</v>
      </c>
      <c r="AH5217">
        <v>100.181806235892</v>
      </c>
      <c r="AI5217">
        <v>89.889488010593197</v>
      </c>
      <c r="AJ5217">
        <v>108.492180193027</v>
      </c>
      <c r="AK5217">
        <v>105.63631758574</v>
      </c>
    </row>
    <row r="5218" spans="1:37" x14ac:dyDescent="0.2">
      <c r="A5218" t="str">
        <f>"20200111155700834"</f>
        <v>20200111155700834</v>
      </c>
      <c r="B5218" t="str">
        <f>"1578729420827728"</f>
        <v>1578729420827728</v>
      </c>
      <c r="C5218" t="s">
        <v>37</v>
      </c>
      <c r="D5218">
        <v>5.0880830000000001</v>
      </c>
      <c r="E5218">
        <v>0.39795000000000003</v>
      </c>
      <c r="F5218" t="s">
        <v>52</v>
      </c>
      <c r="G5218">
        <v>-250.9631</v>
      </c>
      <c r="H5218">
        <v>1.1600600000000001</v>
      </c>
      <c r="I5218">
        <v>37.793239999999997</v>
      </c>
      <c r="J5218">
        <v>-389.94279999999998</v>
      </c>
      <c r="K5218">
        <v>1.1080190000000001</v>
      </c>
      <c r="L5218">
        <v>18.012329999999999</v>
      </c>
      <c r="M5218">
        <v>0.98416239999999999</v>
      </c>
      <c r="N5218">
        <v>0</v>
      </c>
      <c r="O5218">
        <v>-0.17672539999999901</v>
      </c>
      <c r="P5218">
        <v>0.99293589999999998</v>
      </c>
      <c r="Q5218">
        <v>-8.715235E-3</v>
      </c>
      <c r="R5218">
        <v>-0.1183321</v>
      </c>
      <c r="S5218">
        <v>3.0790709999999999</v>
      </c>
      <c r="T5218">
        <v>1.1476279999999999E-3</v>
      </c>
      <c r="U5218">
        <v>0.43661499999999998</v>
      </c>
      <c r="V5218">
        <v>-5.9061599999999999E-2</v>
      </c>
      <c r="W5218">
        <v>4.6971309999999898E-3</v>
      </c>
      <c r="X5218">
        <v>0.99824329999999994</v>
      </c>
      <c r="Y5218">
        <v>-0.31317800000000001</v>
      </c>
      <c r="Z5218">
        <v>-1.2356610000000001E-4</v>
      </c>
      <c r="AA5218">
        <v>0.9496945</v>
      </c>
      <c r="AB5218">
        <v>22</v>
      </c>
      <c r="AC5218">
        <v>138.97969999999901</v>
      </c>
      <c r="AD5218">
        <v>5.2040999999999997E-2</v>
      </c>
      <c r="AE5218">
        <v>19.780909999999999</v>
      </c>
      <c r="AF5218">
        <v>-44.033103348824703</v>
      </c>
      <c r="AG5218">
        <v>5.2040999999999997E-2</v>
      </c>
      <c r="AH5218">
        <v>133.29561810299501</v>
      </c>
      <c r="AI5218">
        <v>89.978759633882703</v>
      </c>
      <c r="AJ5218">
        <v>108.28054432831399</v>
      </c>
      <c r="AK5218">
        <v>140.38033588880401</v>
      </c>
    </row>
    <row r="5219" spans="1:37" x14ac:dyDescent="0.2">
      <c r="A5219" t="str">
        <f>"20200111155700847"</f>
        <v>20200111155700847</v>
      </c>
      <c r="B5219" t="str">
        <f>"1578729420838464"</f>
        <v>1578729420838464</v>
      </c>
      <c r="C5219" t="s">
        <v>37</v>
      </c>
      <c r="D5219">
        <v>5.1390320000000003</v>
      </c>
      <c r="E5219">
        <v>0.40825119999999998</v>
      </c>
      <c r="F5219" t="s">
        <v>87</v>
      </c>
      <c r="G5219">
        <v>-272.7278</v>
      </c>
      <c r="H5219">
        <v>0.83704089999999998</v>
      </c>
      <c r="I5219">
        <v>35.287909999999997</v>
      </c>
      <c r="J5219">
        <v>-389.83190000000002</v>
      </c>
      <c r="K5219">
        <v>1.1079330000000001</v>
      </c>
      <c r="L5219">
        <v>17.995570000000001</v>
      </c>
      <c r="M5219">
        <v>0.98463089999999998</v>
      </c>
      <c r="N5219">
        <v>0</v>
      </c>
      <c r="O5219">
        <v>-0.1740969</v>
      </c>
      <c r="P5219">
        <v>0.99325779999999997</v>
      </c>
      <c r="Q5219">
        <v>-9.3757419999999994E-3</v>
      </c>
      <c r="R5219">
        <v>-0.11554739999999999</v>
      </c>
      <c r="S5219">
        <v>3.0752869999999999</v>
      </c>
      <c r="T5219">
        <v>-7.1094039999999997E-3</v>
      </c>
      <c r="U5219">
        <v>0.45324709999999901</v>
      </c>
      <c r="V5219">
        <v>-5.9188379999999999E-2</v>
      </c>
      <c r="W5219">
        <v>4.0405320000000003E-3</v>
      </c>
      <c r="X5219">
        <v>0.99823869999999904</v>
      </c>
      <c r="Y5219">
        <v>-0.31583299999999997</v>
      </c>
      <c r="Z5219">
        <v>7.6320279999999999E-4</v>
      </c>
      <c r="AA5219">
        <v>0.94881450000000001</v>
      </c>
      <c r="AB5219">
        <v>22</v>
      </c>
      <c r="AC5219">
        <v>117.1041</v>
      </c>
      <c r="AD5219">
        <v>-0.27089210000000002</v>
      </c>
      <c r="AE5219">
        <v>17.2923399999999</v>
      </c>
      <c r="AF5219">
        <v>-37.417434263500802</v>
      </c>
      <c r="AG5219">
        <v>-0.27089210000000002</v>
      </c>
      <c r="AH5219">
        <v>112.30398082310001</v>
      </c>
      <c r="AI5219">
        <v>90.131118598626401</v>
      </c>
      <c r="AJ5219">
        <v>108.42703885558601</v>
      </c>
      <c r="AK5219">
        <v>118.373653648557</v>
      </c>
    </row>
    <row r="5220" spans="1:37" x14ac:dyDescent="0.2">
      <c r="A5220" t="str">
        <f>"20200111155700878"</f>
        <v>20200111155700878</v>
      </c>
      <c r="B5220" t="str">
        <f>"1578729420867745"</f>
        <v>1578729420867745</v>
      </c>
      <c r="C5220" t="s">
        <v>37</v>
      </c>
      <c r="D5220">
        <v>5.1022660000000002</v>
      </c>
      <c r="E5220">
        <v>0.40825119999999998</v>
      </c>
      <c r="F5220" t="s">
        <v>90</v>
      </c>
      <c r="G5220">
        <v>-360.04410000000001</v>
      </c>
      <c r="H5220" s="1">
        <v>-5.0883629999999999E-6</v>
      </c>
      <c r="I5220">
        <v>21.74606</v>
      </c>
      <c r="J5220">
        <v>-389.53769999999997</v>
      </c>
      <c r="K5220">
        <v>1.1076820000000001</v>
      </c>
      <c r="L5220">
        <v>17.952120000000001</v>
      </c>
      <c r="M5220">
        <v>0.98579559999999999</v>
      </c>
      <c r="N5220">
        <v>0</v>
      </c>
      <c r="O5220">
        <v>-0.16737779999999899</v>
      </c>
      <c r="P5220">
        <v>0.99402019999999902</v>
      </c>
      <c r="Q5220">
        <v>-1.081175E-2</v>
      </c>
      <c r="R5220">
        <v>-0.10866099999999999</v>
      </c>
      <c r="S5220">
        <v>3.064209</v>
      </c>
      <c r="T5220">
        <v>-0.11397110000000001</v>
      </c>
      <c r="U5220">
        <v>0.38580320000000001</v>
      </c>
      <c r="V5220">
        <v>-5.9283860000000001E-2</v>
      </c>
      <c r="W5220">
        <v>2.6181350000000002E-3</v>
      </c>
      <c r="X5220">
        <v>0.99823770000000001</v>
      </c>
      <c r="Y5220">
        <v>-0.28892859999999998</v>
      </c>
      <c r="Z5220">
        <v>1.15441E-2</v>
      </c>
      <c r="AA5220">
        <v>0.9572811</v>
      </c>
      <c r="AB5220">
        <v>22</v>
      </c>
      <c r="AC5220">
        <v>29.493599999999901</v>
      </c>
      <c r="AD5220">
        <v>-1.1076870883629999</v>
      </c>
      <c r="AE5220">
        <v>3.7939399999999899</v>
      </c>
      <c r="AF5220">
        <v>-8.6654312595277894</v>
      </c>
      <c r="AG5220">
        <v>-1.1076870883629999</v>
      </c>
      <c r="AH5220">
        <v>28.402955470224601</v>
      </c>
      <c r="AI5220">
        <v>92.136235086614107</v>
      </c>
      <c r="AJ5220">
        <v>106.966374753018</v>
      </c>
      <c r="AK5220">
        <v>29.7160655040819</v>
      </c>
    </row>
    <row r="5221" spans="1:37" x14ac:dyDescent="0.2">
      <c r="A5221" t="str">
        <f>"20200111155700890"</f>
        <v>20200111155700890</v>
      </c>
      <c r="B5221" t="str">
        <f>"1578729420887773"</f>
        <v>1578729420887773</v>
      </c>
      <c r="C5221" t="s">
        <v>37</v>
      </c>
      <c r="D5221">
        <v>5.0749680000000001</v>
      </c>
      <c r="E5221">
        <v>0.40431489999999998</v>
      </c>
      <c r="F5221" t="s">
        <v>90</v>
      </c>
      <c r="G5221">
        <v>-361.15960000000001</v>
      </c>
      <c r="H5221" s="1">
        <v>-4.6560869999999996E-6</v>
      </c>
      <c r="I5221">
        <v>21.72411</v>
      </c>
      <c r="J5221">
        <v>-389.42169999999999</v>
      </c>
      <c r="K5221">
        <v>1.107583</v>
      </c>
      <c r="L5221">
        <v>17.935489999999898</v>
      </c>
      <c r="M5221">
        <v>0.98621419999999904</v>
      </c>
      <c r="N5221">
        <v>0</v>
      </c>
      <c r="O5221">
        <v>-0.16489329999999999</v>
      </c>
      <c r="P5221">
        <v>0.99424829999999997</v>
      </c>
      <c r="Q5221">
        <v>-1.1281670000000001E-2</v>
      </c>
      <c r="R5221">
        <v>-0.1065043</v>
      </c>
      <c r="S5221">
        <v>3.061188</v>
      </c>
      <c r="T5221">
        <v>-0.119488</v>
      </c>
      <c r="U5221">
        <v>0.4068909</v>
      </c>
      <c r="V5221">
        <v>-5.8929780000000001E-2</v>
      </c>
      <c r="W5221">
        <v>2.1556039999999898E-3</v>
      </c>
      <c r="X5221">
        <v>0.99825980000000003</v>
      </c>
      <c r="Y5221">
        <v>-0.29308410000000001</v>
      </c>
      <c r="Z5221">
        <v>1.209465E-2</v>
      </c>
      <c r="AA5221">
        <v>0.95601019999999903</v>
      </c>
      <c r="AB5221">
        <v>22</v>
      </c>
      <c r="AC5221">
        <v>28.262099999999901</v>
      </c>
      <c r="AD5221">
        <v>-1.1075876560869999</v>
      </c>
      <c r="AE5221">
        <v>3.7886199999999999</v>
      </c>
      <c r="AF5221">
        <v>-8.3847765377963395</v>
      </c>
      <c r="AG5221">
        <v>-1.1075876560869999</v>
      </c>
      <c r="AH5221">
        <v>27.2093274606395</v>
      </c>
      <c r="AI5221">
        <v>92.227740438958506</v>
      </c>
      <c r="AJ5221">
        <v>107.127109189392</v>
      </c>
      <c r="AK5221">
        <v>28.493485726829</v>
      </c>
    </row>
    <row r="5222" spans="1:37" x14ac:dyDescent="0.2">
      <c r="A5222" t="str">
        <f>"20200111155700909"</f>
        <v>20200111155700909</v>
      </c>
      <c r="B5222" t="str">
        <f>"1578729420898507"</f>
        <v>1578729420898507</v>
      </c>
      <c r="C5222" t="s">
        <v>37</v>
      </c>
      <c r="D5222">
        <v>5.0592169999999896</v>
      </c>
      <c r="E5222">
        <v>0.40491179999999999</v>
      </c>
      <c r="F5222" t="s">
        <v>52</v>
      </c>
      <c r="G5222">
        <v>-244.21440000000001</v>
      </c>
      <c r="H5222">
        <v>2.309866</v>
      </c>
      <c r="I5222">
        <v>38.650019999999998</v>
      </c>
      <c r="J5222">
        <v>-389.2543</v>
      </c>
      <c r="K5222">
        <v>1.107445</v>
      </c>
      <c r="L5222">
        <v>17.911739999999899</v>
      </c>
      <c r="M5222">
        <v>0.98679079999999997</v>
      </c>
      <c r="N5222">
        <v>0</v>
      </c>
      <c r="O5222">
        <v>-0.16140869999999999</v>
      </c>
      <c r="P5222">
        <v>0.99448340000000002</v>
      </c>
      <c r="Q5222">
        <v>-1.190895E-2</v>
      </c>
      <c r="R5222">
        <v>-0.104216</v>
      </c>
      <c r="S5222">
        <v>3.0644840000000002</v>
      </c>
      <c r="T5222">
        <v>2.537346E-2</v>
      </c>
      <c r="U5222">
        <v>0.43716430000000001</v>
      </c>
      <c r="V5222">
        <v>-5.7695040000000003E-2</v>
      </c>
      <c r="W5222">
        <v>1.5443E-3</v>
      </c>
      <c r="X5222">
        <v>0.99833300000000003</v>
      </c>
      <c r="Y5222">
        <v>-0.29916389999999998</v>
      </c>
      <c r="Z5222">
        <v>-2.5615120000000002E-3</v>
      </c>
      <c r="AA5222">
        <v>0.95419830000000005</v>
      </c>
      <c r="AB5222">
        <v>22</v>
      </c>
      <c r="AC5222">
        <v>145.03989999999999</v>
      </c>
      <c r="AD5222">
        <v>1.202421</v>
      </c>
      <c r="AE5222">
        <v>20.73828</v>
      </c>
      <c r="AF5222">
        <v>-43.876284402653802</v>
      </c>
      <c r="AG5222">
        <v>1.202421</v>
      </c>
      <c r="AH5222">
        <v>139.78064664313001</v>
      </c>
      <c r="AI5222">
        <v>89.529763260849094</v>
      </c>
      <c r="AJ5222">
        <v>107.42675197768</v>
      </c>
      <c r="AK5222">
        <v>146.51007926151499</v>
      </c>
    </row>
    <row r="5223" spans="1:37" x14ac:dyDescent="0.2">
      <c r="A5223" t="str">
        <f>"20200111155700920"</f>
        <v>20200111155700920</v>
      </c>
      <c r="B5223" t="str">
        <f>"1578729420918028"</f>
        <v>1578729420918028</v>
      </c>
      <c r="C5223" t="s">
        <v>37</v>
      </c>
      <c r="D5223">
        <v>5.1663110000000003</v>
      </c>
      <c r="E5223">
        <v>0.40698899999999999</v>
      </c>
      <c r="F5223" t="s">
        <v>87</v>
      </c>
      <c r="G5223">
        <v>-273.21980000000002</v>
      </c>
      <c r="H5223">
        <v>2.9313549999999999</v>
      </c>
      <c r="I5223">
        <v>34.512209999999897</v>
      </c>
      <c r="J5223">
        <v>-389.13619999999997</v>
      </c>
      <c r="K5223">
        <v>1.107348</v>
      </c>
      <c r="L5223">
        <v>17.895199999999999</v>
      </c>
      <c r="M5223">
        <v>0.98717649999999901</v>
      </c>
      <c r="N5223">
        <v>0</v>
      </c>
      <c r="O5223">
        <v>-0.1590326</v>
      </c>
      <c r="P5223">
        <v>0.99464240000000004</v>
      </c>
      <c r="Q5223">
        <v>-1.245985E-2</v>
      </c>
      <c r="R5223">
        <v>-0.1026208</v>
      </c>
      <c r="S5223">
        <v>3.0631710000000001</v>
      </c>
      <c r="T5223">
        <v>4.8149110000000002E-2</v>
      </c>
      <c r="U5223">
        <v>0.43823240000000002</v>
      </c>
      <c r="V5223">
        <v>-5.6888170000000002E-2</v>
      </c>
      <c r="W5223">
        <v>1.0030900000000001E-3</v>
      </c>
      <c r="X5223">
        <v>0.99838009999999999</v>
      </c>
      <c r="Y5223">
        <v>-0.29720940000000001</v>
      </c>
      <c r="Z5223">
        <v>-4.8102249999999996E-3</v>
      </c>
      <c r="AA5223">
        <v>0.95480019999999999</v>
      </c>
      <c r="AB5223">
        <v>21</v>
      </c>
      <c r="AC5223">
        <v>115.916399999999</v>
      </c>
      <c r="AD5223">
        <v>1.8240069999999999</v>
      </c>
      <c r="AE5223">
        <v>16.617009999999901</v>
      </c>
      <c r="AF5223">
        <v>-34.8332878055949</v>
      </c>
      <c r="AG5223">
        <v>1.8240069999999999</v>
      </c>
      <c r="AH5223">
        <v>111.77086958909</v>
      </c>
      <c r="AI5223">
        <v>89.107399177482506</v>
      </c>
      <c r="AJ5223">
        <v>107.309596905573</v>
      </c>
      <c r="AK5223">
        <v>117.087199255874</v>
      </c>
    </row>
    <row r="5224" spans="1:37" x14ac:dyDescent="0.2">
      <c r="A5224" t="str">
        <f>"20200111155700933"</f>
        <v>20200111155700933</v>
      </c>
      <c r="B5224" t="str">
        <f>"1578729420928764"</f>
        <v>1578729420928764</v>
      </c>
      <c r="C5224" t="s">
        <v>37</v>
      </c>
      <c r="D5224">
        <v>5.1616599999999897</v>
      </c>
      <c r="E5224">
        <v>0.40798449999999897</v>
      </c>
      <c r="F5224" t="s">
        <v>52</v>
      </c>
      <c r="G5224">
        <v>-240.79949999999999</v>
      </c>
      <c r="H5224">
        <v>1.8828750000000001</v>
      </c>
      <c r="I5224">
        <v>38.650019999999998</v>
      </c>
      <c r="J5224">
        <v>-389.00920000000002</v>
      </c>
      <c r="K5224">
        <v>1.1072389999999901</v>
      </c>
      <c r="L5224">
        <v>17.87772</v>
      </c>
      <c r="M5224">
        <v>0.98756739999999998</v>
      </c>
      <c r="N5224">
        <v>0</v>
      </c>
      <c r="O5224">
        <v>-0.1565888</v>
      </c>
      <c r="P5224">
        <v>0.99477269999999896</v>
      </c>
      <c r="Q5224">
        <v>-1.2604499999999999E-2</v>
      </c>
      <c r="R5224">
        <v>-0.1013341</v>
      </c>
      <c r="S5224">
        <v>3.0605470000000001</v>
      </c>
      <c r="T5224">
        <v>1.600122E-2</v>
      </c>
      <c r="U5224">
        <v>0.42822270000000001</v>
      </c>
      <c r="V5224">
        <v>-5.57075E-2</v>
      </c>
      <c r="W5224">
        <v>8.7005280000000001E-4</v>
      </c>
      <c r="X5224">
        <v>0.99844679999999997</v>
      </c>
      <c r="Y5224">
        <v>-0.2919445</v>
      </c>
      <c r="Z5224">
        <v>-1.573961E-3</v>
      </c>
      <c r="AA5224">
        <v>0.95643400000000001</v>
      </c>
      <c r="AB5224">
        <v>21</v>
      </c>
      <c r="AC5224">
        <v>148.2097</v>
      </c>
      <c r="AD5224">
        <v>0.77563599999999999</v>
      </c>
      <c r="AE5224">
        <v>20.772300000000001</v>
      </c>
      <c r="AF5224">
        <v>-43.725017725235098</v>
      </c>
      <c r="AG5224">
        <v>0.77563599999999999</v>
      </c>
      <c r="AH5224">
        <v>143.12415335077401</v>
      </c>
      <c r="AI5224">
        <v>89.703047087097403</v>
      </c>
      <c r="AJ5224">
        <v>106.98812757462299</v>
      </c>
      <c r="AK5224">
        <v>149.65627971673101</v>
      </c>
    </row>
    <row r="5225" spans="1:37" x14ac:dyDescent="0.2">
      <c r="A5225" t="str">
        <f>"20200111155700946"</f>
        <v>20200111155700946</v>
      </c>
      <c r="B5225" t="str">
        <f>"1578729420938525"</f>
        <v>1578729420938525</v>
      </c>
      <c r="C5225" t="s">
        <v>37</v>
      </c>
      <c r="D5225">
        <v>5.180822</v>
      </c>
      <c r="E5225">
        <v>0.40879870000000001</v>
      </c>
      <c r="F5225" t="s">
        <v>52</v>
      </c>
      <c r="G5225">
        <v>-239.41390000000001</v>
      </c>
      <c r="H5225">
        <v>1.368528</v>
      </c>
      <c r="I5225">
        <v>38.650019999999998</v>
      </c>
      <c r="J5225">
        <v>-388.89870000000002</v>
      </c>
      <c r="K5225">
        <v>1.1071469999999899</v>
      </c>
      <c r="L5225">
        <v>17.862670000000001</v>
      </c>
      <c r="M5225">
        <v>0.98788880000000001</v>
      </c>
      <c r="N5225">
        <v>0</v>
      </c>
      <c r="O5225">
        <v>-0.1545483</v>
      </c>
      <c r="P5225">
        <v>0.99490339999999999</v>
      </c>
      <c r="Q5225">
        <v>-1.24289E-2</v>
      </c>
      <c r="R5225">
        <v>-0.1000646</v>
      </c>
      <c r="S5225">
        <v>3.0590820000000001</v>
      </c>
      <c r="T5225">
        <v>5.3433179999999997E-3</v>
      </c>
      <c r="U5225">
        <v>0.42477419999999999</v>
      </c>
      <c r="V5225">
        <v>-5.4920009999999998E-2</v>
      </c>
      <c r="W5225">
        <v>1.053635E-3</v>
      </c>
      <c r="X5225">
        <v>0.99849019999999999</v>
      </c>
      <c r="Y5225">
        <v>-0.28897780000000001</v>
      </c>
      <c r="Z5225">
        <v>-5.1977079999999997E-4</v>
      </c>
      <c r="AA5225">
        <v>0.95733570000000001</v>
      </c>
      <c r="AB5225">
        <v>21</v>
      </c>
      <c r="AC5225">
        <v>149.48480000000001</v>
      </c>
      <c r="AD5225">
        <v>0.26138099999999997</v>
      </c>
      <c r="AE5225">
        <v>20.78735</v>
      </c>
      <c r="AF5225">
        <v>-43.642239107521299</v>
      </c>
      <c r="AG5225">
        <v>0.26138099999999997</v>
      </c>
      <c r="AH5225">
        <v>144.47504171068701</v>
      </c>
      <c r="AI5225">
        <v>89.900770353580995</v>
      </c>
      <c r="AJ5225">
        <v>106.808232603335</v>
      </c>
      <c r="AK5225">
        <v>150.922997027126</v>
      </c>
    </row>
    <row r="5226" spans="1:37" x14ac:dyDescent="0.2">
      <c r="A5226" t="str">
        <f>"20200111155700959"</f>
        <v>20200111155700959</v>
      </c>
      <c r="B5226" t="str">
        <f>"1578729420948284"</f>
        <v>1578729420948284</v>
      </c>
      <c r="C5226" t="s">
        <v>37</v>
      </c>
      <c r="D5226">
        <v>5.1675659999999999</v>
      </c>
      <c r="E5226">
        <v>0.40957379999999999</v>
      </c>
      <c r="F5226" t="s">
        <v>52</v>
      </c>
      <c r="G5226">
        <v>-238.48910000000001</v>
      </c>
      <c r="H5226">
        <v>0.97652759999999905</v>
      </c>
      <c r="I5226">
        <v>38.650019999999998</v>
      </c>
      <c r="J5226">
        <v>-388.78129999999999</v>
      </c>
      <c r="K5226">
        <v>1.107056</v>
      </c>
      <c r="L5226">
        <v>17.846800000000002</v>
      </c>
      <c r="M5226">
        <v>0.98821890000000001</v>
      </c>
      <c r="N5226">
        <v>0</v>
      </c>
      <c r="O5226">
        <v>-0.1524239</v>
      </c>
      <c r="P5226">
        <v>0.99507299999999999</v>
      </c>
      <c r="Q5226">
        <v>-1.205167E-2</v>
      </c>
      <c r="R5226">
        <v>-9.8409440000000001E-2</v>
      </c>
      <c r="S5226">
        <v>3.0578310000000002</v>
      </c>
      <c r="T5226">
        <v>-2.6552679999999902E-3</v>
      </c>
      <c r="U5226">
        <v>0.42260740000000002</v>
      </c>
      <c r="V5226">
        <v>-5.4436239999999997E-2</v>
      </c>
      <c r="W5226">
        <v>1.4365350000000001E-3</v>
      </c>
      <c r="X5226">
        <v>0.99851619999999996</v>
      </c>
      <c r="Y5226">
        <v>-0.28630659999999902</v>
      </c>
      <c r="Z5226">
        <v>2.5542289999999998E-4</v>
      </c>
      <c r="AA5226">
        <v>0.95813799999999905</v>
      </c>
      <c r="AB5226">
        <v>21</v>
      </c>
      <c r="AC5226">
        <v>150.29219999999901</v>
      </c>
      <c r="AD5226">
        <v>-0.13052839999999999</v>
      </c>
      <c r="AE5226">
        <v>20.80322</v>
      </c>
      <c r="AF5226">
        <v>-43.470363993429601</v>
      </c>
      <c r="AG5226">
        <v>-0.13052839999999999</v>
      </c>
      <c r="AH5226">
        <v>145.364413534394</v>
      </c>
      <c r="AI5226">
        <v>90.049291303445102</v>
      </c>
      <c r="AJ5226">
        <v>106.64898195036901</v>
      </c>
      <c r="AK5226">
        <v>151.72508792412299</v>
      </c>
    </row>
    <row r="5227" spans="1:37" x14ac:dyDescent="0.2">
      <c r="A5227" t="str">
        <f>"20200111155700976"</f>
        <v>20200111155700976</v>
      </c>
      <c r="B5227" t="str">
        <f>"1578729420967803"</f>
        <v>1578729420967803</v>
      </c>
      <c r="C5227" t="s">
        <v>37</v>
      </c>
      <c r="D5227">
        <v>5.2939179999999997</v>
      </c>
      <c r="E5227">
        <v>0.4115549</v>
      </c>
      <c r="F5227" t="s">
        <v>52</v>
      </c>
      <c r="G5227">
        <v>-238.09739999999999</v>
      </c>
      <c r="H5227">
        <v>0.62568159999999995</v>
      </c>
      <c r="I5227">
        <v>38.650019999999998</v>
      </c>
      <c r="J5227">
        <v>-388.6148</v>
      </c>
      <c r="K5227">
        <v>1.106935</v>
      </c>
      <c r="L5227">
        <v>17.824679999999901</v>
      </c>
      <c r="M5227">
        <v>0.98865040000000004</v>
      </c>
      <c r="N5227">
        <v>0</v>
      </c>
      <c r="O5227">
        <v>-0.1496017</v>
      </c>
      <c r="P5227">
        <v>0.99533099999999997</v>
      </c>
      <c r="Q5227">
        <v>-9.8529480000000003E-3</v>
      </c>
      <c r="R5227">
        <v>-9.6016690000000002E-2</v>
      </c>
      <c r="S5227">
        <v>3.0564269999999998</v>
      </c>
      <c r="T5227">
        <v>-9.7638369999999992E-3</v>
      </c>
      <c r="U5227">
        <v>0.42196660000000002</v>
      </c>
      <c r="V5227">
        <v>-5.3999789999999999E-2</v>
      </c>
      <c r="W5227">
        <v>3.641423E-3</v>
      </c>
      <c r="X5227">
        <v>0.99853429999999999</v>
      </c>
      <c r="Y5227">
        <v>-0.28343010000000002</v>
      </c>
      <c r="Z5227">
        <v>9.2615160000000005E-4</v>
      </c>
      <c r="AA5227">
        <v>0.95899249999999903</v>
      </c>
      <c r="AB5227">
        <v>21</v>
      </c>
      <c r="AC5227">
        <v>150.51740000000001</v>
      </c>
      <c r="AD5227">
        <v>-0.4812534</v>
      </c>
      <c r="AE5227">
        <v>20.825340000000001</v>
      </c>
      <c r="AF5227">
        <v>-43.110296839758902</v>
      </c>
      <c r="AG5227">
        <v>-0.4812534</v>
      </c>
      <c r="AH5227">
        <v>145.705942200594</v>
      </c>
      <c r="AI5227">
        <v>90.181465917654194</v>
      </c>
      <c r="AJ5227">
        <v>106.482006183973</v>
      </c>
      <c r="AK5227">
        <v>151.95048828815899</v>
      </c>
    </row>
    <row r="5228" spans="1:37" x14ac:dyDescent="0.2">
      <c r="A5228" t="str">
        <f>"20200111155700989"</f>
        <v>20200111155700989</v>
      </c>
      <c r="B5228" t="str">
        <f>"1578729420978072"</f>
        <v>1578729420978072</v>
      </c>
      <c r="C5228" t="s">
        <v>37</v>
      </c>
      <c r="D5228">
        <v>5.2998459999999996</v>
      </c>
      <c r="E5228">
        <v>0.41233059999999899</v>
      </c>
      <c r="F5228" t="s">
        <v>52</v>
      </c>
      <c r="G5228">
        <v>-234.9846</v>
      </c>
      <c r="H5228">
        <v>0.51623999999999903</v>
      </c>
      <c r="I5228">
        <v>38.650019999999998</v>
      </c>
      <c r="J5228">
        <v>-388.49959999999999</v>
      </c>
      <c r="K5228">
        <v>1.1068499999999999</v>
      </c>
      <c r="L5228">
        <v>17.809539999999998</v>
      </c>
      <c r="M5228">
        <v>0.98892919999999995</v>
      </c>
      <c r="N5228">
        <v>0</v>
      </c>
      <c r="O5228">
        <v>-0.1477494</v>
      </c>
      <c r="P5228">
        <v>0.99553849999999999</v>
      </c>
      <c r="Q5228">
        <v>-8.7254069999999993E-3</v>
      </c>
      <c r="R5228">
        <v>-9.3952510000000003E-2</v>
      </c>
      <c r="S5228">
        <v>3.0538939999999899</v>
      </c>
      <c r="T5228">
        <v>-1.174176E-2</v>
      </c>
      <c r="U5228">
        <v>0.41397089999999998</v>
      </c>
      <c r="V5228">
        <v>-5.4205219999999998E-2</v>
      </c>
      <c r="W5228">
        <v>4.7700859999999998E-3</v>
      </c>
      <c r="X5228">
        <v>0.99851840000000003</v>
      </c>
      <c r="Y5228">
        <v>-0.2792732</v>
      </c>
      <c r="Z5228">
        <v>1.0998309999999999E-3</v>
      </c>
      <c r="AA5228">
        <v>0.96021100000000004</v>
      </c>
      <c r="AB5228">
        <v>21</v>
      </c>
      <c r="AC5228">
        <v>153.51499999999999</v>
      </c>
      <c r="AD5228">
        <v>-0.59060999999999997</v>
      </c>
      <c r="AE5228">
        <v>20.840479999999999</v>
      </c>
      <c r="AF5228">
        <v>-43.294974051969298</v>
      </c>
      <c r="AG5228">
        <v>-0.59060999999999997</v>
      </c>
      <c r="AH5228">
        <v>148.74820479028901</v>
      </c>
      <c r="AI5228">
        <v>90.218429520132503</v>
      </c>
      <c r="AJ5228">
        <v>106.22827937641701</v>
      </c>
      <c r="AK5228">
        <v>154.92201917954199</v>
      </c>
    </row>
    <row r="5229" spans="1:37" x14ac:dyDescent="0.2">
      <c r="A5229" t="str">
        <f>"20200111155701003"</f>
        <v>20200111155701003</v>
      </c>
      <c r="B5229" t="str">
        <f>"1578729420998568"</f>
        <v>1578729420998568</v>
      </c>
      <c r="C5229" t="s">
        <v>37</v>
      </c>
      <c r="D5229">
        <v>5.2846250000000001</v>
      </c>
      <c r="E5229">
        <v>0.41378429999999999</v>
      </c>
      <c r="F5229" t="s">
        <v>52</v>
      </c>
      <c r="G5229">
        <v>-234.9802</v>
      </c>
      <c r="H5229">
        <v>0.44134600000000002</v>
      </c>
      <c r="I5229">
        <v>38.650019999999998</v>
      </c>
      <c r="J5229">
        <v>-388.37240000000003</v>
      </c>
      <c r="K5229">
        <v>1.1067549999999999</v>
      </c>
      <c r="L5229">
        <v>17.792939999999899</v>
      </c>
      <c r="M5229">
        <v>0.98922399999999999</v>
      </c>
      <c r="N5229">
        <v>0</v>
      </c>
      <c r="O5229">
        <v>-0.14576259999999999</v>
      </c>
      <c r="P5229">
        <v>0.99573670000000003</v>
      </c>
      <c r="Q5229">
        <v>-8.2028269999999993E-3</v>
      </c>
      <c r="R5229">
        <v>-9.1876040000000006E-2</v>
      </c>
      <c r="S5229">
        <v>3.0523989999999999</v>
      </c>
      <c r="T5229">
        <v>-1.323187E-2</v>
      </c>
      <c r="U5229">
        <v>0.41436769999999901</v>
      </c>
      <c r="V5229">
        <v>-5.428413E-2</v>
      </c>
      <c r="W5229">
        <v>5.2955550000000004E-3</v>
      </c>
      <c r="X5229">
        <v>0.9985115</v>
      </c>
      <c r="Y5229">
        <v>-0.27752830000000001</v>
      </c>
      <c r="Z5229">
        <v>1.2276889999999999E-3</v>
      </c>
      <c r="AA5229">
        <v>0.96071669999999998</v>
      </c>
      <c r="AB5229">
        <v>21</v>
      </c>
      <c r="AC5229">
        <v>153.3922</v>
      </c>
      <c r="AD5229">
        <v>-0.66540899999999903</v>
      </c>
      <c r="AE5229">
        <v>20.85708</v>
      </c>
      <c r="AF5229">
        <v>-42.994441920505999</v>
      </c>
      <c r="AG5229">
        <v>-0.66540899999999903</v>
      </c>
      <c r="AH5229">
        <v>148.71038046208301</v>
      </c>
      <c r="AI5229">
        <v>90.246283503074295</v>
      </c>
      <c r="AJ5229">
        <v>106.125389126665</v>
      </c>
      <c r="AK5229">
        <v>154.80226762670699</v>
      </c>
    </row>
    <row r="5230" spans="1:37" x14ac:dyDescent="0.2">
      <c r="A5230" t="str">
        <f>"20200111155701015"</f>
        <v>20200111155701015</v>
      </c>
      <c r="B5230" t="str">
        <f>"1578729421008329"</f>
        <v>1578729421008329</v>
      </c>
      <c r="C5230" t="s">
        <v>37</v>
      </c>
      <c r="D5230">
        <v>5.2842139999999898</v>
      </c>
      <c r="E5230">
        <v>0.41453580000000001</v>
      </c>
      <c r="F5230" t="s">
        <v>52</v>
      </c>
      <c r="G5230">
        <v>-233.0112</v>
      </c>
      <c r="H5230">
        <v>0.1143569</v>
      </c>
      <c r="I5230">
        <v>38.650019999999998</v>
      </c>
      <c r="J5230">
        <v>-388.24489999999997</v>
      </c>
      <c r="K5230">
        <v>1.106654</v>
      </c>
      <c r="L5230">
        <v>17.77646</v>
      </c>
      <c r="M5230">
        <v>0.98950130000000003</v>
      </c>
      <c r="N5230">
        <v>0</v>
      </c>
      <c r="O5230">
        <v>-0.1438691</v>
      </c>
      <c r="P5230">
        <v>0.99593069999999895</v>
      </c>
      <c r="Q5230">
        <v>-8.2639979999999998E-3</v>
      </c>
      <c r="R5230">
        <v>-8.974211E-2</v>
      </c>
      <c r="S5230">
        <v>3.0504150000000001</v>
      </c>
      <c r="T5230">
        <v>-1.948488E-2</v>
      </c>
      <c r="U5230">
        <v>0.40951539999999997</v>
      </c>
      <c r="V5230">
        <v>-5.4511249999999997E-2</v>
      </c>
      <c r="W5230">
        <v>5.2364270000000001E-3</v>
      </c>
      <c r="X5230">
        <v>0.99849949999999998</v>
      </c>
      <c r="Y5230">
        <v>-0.27426590000000001</v>
      </c>
      <c r="Z5230">
        <v>1.7868039999999999E-3</v>
      </c>
      <c r="AA5230">
        <v>0.96165219999999996</v>
      </c>
      <c r="AB5230">
        <v>21</v>
      </c>
      <c r="AC5230">
        <v>155.233699999999</v>
      </c>
      <c r="AD5230">
        <v>-0.99229710000000004</v>
      </c>
      <c r="AE5230">
        <v>20.873560000000001</v>
      </c>
      <c r="AF5230">
        <v>-42.990081928495101</v>
      </c>
      <c r="AG5230">
        <v>-0.99229710000000004</v>
      </c>
      <c r="AH5230">
        <v>150.609066095066</v>
      </c>
      <c r="AI5230">
        <v>90.362993469244998</v>
      </c>
      <c r="AJ5230">
        <v>105.930946445907</v>
      </c>
      <c r="AK5230">
        <v>156.62765588420601</v>
      </c>
    </row>
    <row r="5231" spans="1:37" x14ac:dyDescent="0.2">
      <c r="A5231" t="str">
        <f>"20200111155701032"</f>
        <v>20200111155701032</v>
      </c>
      <c r="B5231" t="str">
        <f>"1578729421028824"</f>
        <v>1578729421028824</v>
      </c>
      <c r="C5231" t="s">
        <v>37</v>
      </c>
      <c r="D5231">
        <v>5.3187989999999896</v>
      </c>
      <c r="E5231">
        <v>0.41597509999999999</v>
      </c>
      <c r="F5231" t="s">
        <v>39</v>
      </c>
      <c r="G5231">
        <v>-242.82910000000001</v>
      </c>
      <c r="H5231">
        <v>-0.05</v>
      </c>
      <c r="I5231">
        <v>37.344830000000002</v>
      </c>
      <c r="J5231">
        <v>-388.0942</v>
      </c>
      <c r="K5231">
        <v>1.1065339999999999</v>
      </c>
      <c r="L5231">
        <v>17.757200000000001</v>
      </c>
      <c r="M5231">
        <v>0.98980619999999997</v>
      </c>
      <c r="N5231">
        <v>0</v>
      </c>
      <c r="O5231">
        <v>-0.14175779999999999</v>
      </c>
      <c r="P5231">
        <v>0.99616800000000005</v>
      </c>
      <c r="Q5231">
        <v>-9.6786839999999999E-3</v>
      </c>
      <c r="R5231">
        <v>-8.6925730000000007E-2</v>
      </c>
      <c r="S5231">
        <v>3.0490719999999998</v>
      </c>
      <c r="T5231">
        <v>-2.4252650000000001E-2</v>
      </c>
      <c r="U5231">
        <v>0.41030879999999997</v>
      </c>
      <c r="V5231">
        <v>-5.5195299999999899E-2</v>
      </c>
      <c r="W5231">
        <v>3.8216659999999901E-3</v>
      </c>
      <c r="X5231">
        <v>0.99846829999999998</v>
      </c>
      <c r="Y5231">
        <v>-0.27251110000000001</v>
      </c>
      <c r="Z5231">
        <v>2.2013269999999999E-3</v>
      </c>
      <c r="AA5231">
        <v>0.96215019999999996</v>
      </c>
      <c r="AB5231">
        <v>21</v>
      </c>
      <c r="AC5231">
        <v>145.26509999999999</v>
      </c>
      <c r="AD5231">
        <v>-1.156534</v>
      </c>
      <c r="AE5231">
        <v>19.587630000000001</v>
      </c>
      <c r="AF5231">
        <v>-39.981696519811003</v>
      </c>
      <c r="AG5231">
        <v>-1.156534</v>
      </c>
      <c r="AH5231">
        <v>141.01210436847501</v>
      </c>
      <c r="AI5231">
        <v>90.452090175053996</v>
      </c>
      <c r="AJ5231">
        <v>105.829825260143</v>
      </c>
      <c r="AK5231">
        <v>146.57519301000801</v>
      </c>
    </row>
    <row r="5232" spans="1:37" x14ac:dyDescent="0.2">
      <c r="A5232" t="str">
        <f>"20200111155701045"</f>
        <v>20200111155701045</v>
      </c>
      <c r="B5232" t="str">
        <f>"1578729421038584"</f>
        <v>1578729421038584</v>
      </c>
      <c r="C5232" t="s">
        <v>37</v>
      </c>
      <c r="D5232">
        <v>5.4115789999999997</v>
      </c>
      <c r="E5232">
        <v>0.416381099999999</v>
      </c>
      <c r="F5232" t="s">
        <v>39</v>
      </c>
      <c r="G5232">
        <v>-285.85419999999999</v>
      </c>
      <c r="H5232">
        <v>-0.05</v>
      </c>
      <c r="I5232">
        <v>31.442869999999999</v>
      </c>
      <c r="J5232">
        <v>-387.96949999999998</v>
      </c>
      <c r="K5232">
        <v>1.106441</v>
      </c>
      <c r="L5232">
        <v>17.741389999999999</v>
      </c>
      <c r="M5232">
        <v>0.99004300000000001</v>
      </c>
      <c r="N5232">
        <v>0</v>
      </c>
      <c r="O5232">
        <v>-0.1400951</v>
      </c>
      <c r="P5232">
        <v>0.99634529999999999</v>
      </c>
      <c r="Q5232">
        <v>-1.0729880000000001E-2</v>
      </c>
      <c r="R5232">
        <v>-8.4742890000000001E-2</v>
      </c>
      <c r="S5232">
        <v>3.046783</v>
      </c>
      <c r="T5232">
        <v>-3.446507E-2</v>
      </c>
      <c r="U5232">
        <v>0.4078369</v>
      </c>
      <c r="V5232">
        <v>-5.5699680000000001E-2</v>
      </c>
      <c r="W5232">
        <v>2.7707220000000002E-3</v>
      </c>
      <c r="X5232">
        <v>0.99844370000000005</v>
      </c>
      <c r="Y5232">
        <v>-0.2702099</v>
      </c>
      <c r="Z5232">
        <v>3.099068E-3</v>
      </c>
      <c r="AA5232">
        <v>0.9627964</v>
      </c>
      <c r="AB5232">
        <v>21</v>
      </c>
      <c r="AC5232">
        <v>102.1153</v>
      </c>
      <c r="AD5232">
        <v>-1.1564410000000001</v>
      </c>
      <c r="AE5232">
        <v>13.70148</v>
      </c>
      <c r="AF5232">
        <v>-27.870019663108199</v>
      </c>
      <c r="AG5232">
        <v>-1.1564410000000001</v>
      </c>
      <c r="AH5232">
        <v>99.175868264702501</v>
      </c>
      <c r="AI5232">
        <v>90.643157237160906</v>
      </c>
      <c r="AJ5232">
        <v>105.69622007494701</v>
      </c>
      <c r="AK5232">
        <v>103.023920512986</v>
      </c>
    </row>
    <row r="5233" spans="1:37" x14ac:dyDescent="0.2">
      <c r="A5233" t="str">
        <f>"20200111155701057"</f>
        <v>20200111155701057</v>
      </c>
      <c r="B5233" t="str">
        <f>"1578729421048344"</f>
        <v>1578729421048344</v>
      </c>
      <c r="C5233" t="s">
        <v>37</v>
      </c>
      <c r="D5233">
        <v>5.233714</v>
      </c>
      <c r="E5233">
        <v>0.416381099999999</v>
      </c>
      <c r="F5233" t="s">
        <v>39</v>
      </c>
      <c r="G5233">
        <v>-299.26819999999998</v>
      </c>
      <c r="H5233">
        <v>-0.05</v>
      </c>
      <c r="I5233">
        <v>29.720859999999998</v>
      </c>
      <c r="J5233">
        <v>-387.85019999999997</v>
      </c>
      <c r="K5233">
        <v>1.1063499999999999</v>
      </c>
      <c r="L5233">
        <v>17.726320000000001</v>
      </c>
      <c r="M5233">
        <v>0.99025879999999999</v>
      </c>
      <c r="N5233">
        <v>0</v>
      </c>
      <c r="O5233">
        <v>-0.1385622</v>
      </c>
      <c r="P5233">
        <v>0.99654580000000004</v>
      </c>
      <c r="Q5233">
        <v>-1.173182E-2</v>
      </c>
      <c r="R5233">
        <v>-8.2211909999999999E-2</v>
      </c>
      <c r="S5233">
        <v>3.045563</v>
      </c>
      <c r="T5233">
        <v>-3.9706470000000001E-2</v>
      </c>
      <c r="U5233">
        <v>0.41131590000000001</v>
      </c>
      <c r="V5233">
        <v>-5.6684350000000001E-2</v>
      </c>
      <c r="W5233">
        <v>1.7679359999999999E-3</v>
      </c>
      <c r="X5233">
        <v>0.99839059999999902</v>
      </c>
      <c r="Y5233">
        <v>-0.26984209999999997</v>
      </c>
      <c r="Z5233">
        <v>3.5492900000000001E-3</v>
      </c>
      <c r="AA5233">
        <v>0.96289799999999903</v>
      </c>
      <c r="AB5233">
        <v>21</v>
      </c>
      <c r="AC5233">
        <v>88.581999999999994</v>
      </c>
      <c r="AD5233">
        <v>-1.15635</v>
      </c>
      <c r="AE5233">
        <v>11.994539999999899</v>
      </c>
      <c r="AF5233">
        <v>-24.1500452458586</v>
      </c>
      <c r="AG5233">
        <v>-1.15635</v>
      </c>
      <c r="AH5233">
        <v>86.050807136884799</v>
      </c>
      <c r="AI5233">
        <v>90.741258351750901</v>
      </c>
      <c r="AJ5233">
        <v>105.676705133501</v>
      </c>
      <c r="AK5233">
        <v>89.382902389712498</v>
      </c>
    </row>
    <row r="5234" spans="1:37" x14ac:dyDescent="0.2">
      <c r="A5234" t="str">
        <f>"20200111155701077"</f>
        <v>20200111155701077</v>
      </c>
      <c r="B5234" t="str">
        <f>"1578729421067863"</f>
        <v>1578729421067863</v>
      </c>
      <c r="C5234" t="s">
        <v>37</v>
      </c>
      <c r="D5234">
        <v>5.3185570000000002</v>
      </c>
      <c r="E5234">
        <v>0.43101489999999998</v>
      </c>
      <c r="F5234" t="s">
        <v>39</v>
      </c>
      <c r="G5234">
        <v>-304.99200000000002</v>
      </c>
      <c r="H5234">
        <v>-0.05</v>
      </c>
      <c r="I5234">
        <v>29.133320000000001</v>
      </c>
      <c r="J5234">
        <v>-387.67140000000001</v>
      </c>
      <c r="K5234">
        <v>1.106222</v>
      </c>
      <c r="L5234">
        <v>17.703979999999898</v>
      </c>
      <c r="M5234">
        <v>0.99055469999999901</v>
      </c>
      <c r="N5234">
        <v>0</v>
      </c>
      <c r="O5234">
        <v>-0.13643069999999999</v>
      </c>
      <c r="P5234">
        <v>0.99689760000000005</v>
      </c>
      <c r="Q5234">
        <v>-1.204907E-2</v>
      </c>
      <c r="R5234">
        <v>-7.7780509999999997E-2</v>
      </c>
      <c r="S5234">
        <v>3.0444640000000001</v>
      </c>
      <c r="T5234">
        <v>-4.2487860000000002E-2</v>
      </c>
      <c r="U5234">
        <v>0.41912840000000001</v>
      </c>
      <c r="V5234">
        <v>-5.8971750000000003E-2</v>
      </c>
      <c r="W5234">
        <v>1.444641E-3</v>
      </c>
      <c r="X5234">
        <v>0.998258599999999</v>
      </c>
      <c r="Y5234">
        <v>-0.2702368</v>
      </c>
      <c r="Z5234">
        <v>3.7718840000000001E-3</v>
      </c>
      <c r="AA5234">
        <v>0.96278649999999999</v>
      </c>
      <c r="AB5234">
        <v>21</v>
      </c>
      <c r="AC5234">
        <v>82.679399999999902</v>
      </c>
      <c r="AD5234">
        <v>-1.1562220000000001</v>
      </c>
      <c r="AE5234">
        <v>11.42934</v>
      </c>
      <c r="AF5234">
        <v>-22.599183569229499</v>
      </c>
      <c r="AG5234">
        <v>-1.1562220000000001</v>
      </c>
      <c r="AH5234">
        <v>80.331295084708103</v>
      </c>
      <c r="AI5234">
        <v>90.793801067458801</v>
      </c>
      <c r="AJ5234">
        <v>105.712608027114</v>
      </c>
      <c r="AK5234">
        <v>83.457635464320902</v>
      </c>
    </row>
    <row r="5235" spans="1:37" x14ac:dyDescent="0.2">
      <c r="A5235" t="str">
        <f>"20200111155701091"</f>
        <v>20200111155701091</v>
      </c>
      <c r="B5235" t="str">
        <f>"1578729421088360"</f>
        <v>1578729421088360</v>
      </c>
      <c r="C5235" t="s">
        <v>37</v>
      </c>
      <c r="D5235">
        <v>5.3075449999999904</v>
      </c>
      <c r="E5235">
        <v>0.4325599</v>
      </c>
      <c r="F5235" t="s">
        <v>38</v>
      </c>
      <c r="G5235">
        <v>-357.21409999999997</v>
      </c>
      <c r="H5235" s="1">
        <v>-1.5219880000000001E-6</v>
      </c>
      <c r="I5235">
        <v>20.911010000000001</v>
      </c>
      <c r="J5235">
        <v>-387.5455</v>
      </c>
      <c r="K5235">
        <v>1.1061430000000001</v>
      </c>
      <c r="L5235">
        <v>17.688420000000001</v>
      </c>
      <c r="M5235">
        <v>0.99074640000000003</v>
      </c>
      <c r="N5235">
        <v>0</v>
      </c>
      <c r="O5235">
        <v>-0.13503399999999999</v>
      </c>
      <c r="P5235">
        <v>0.9970985</v>
      </c>
      <c r="Q5235">
        <v>-1.212559E-2</v>
      </c>
      <c r="R5235">
        <v>-7.5149659999999993E-2</v>
      </c>
      <c r="S5235">
        <v>3.032959</v>
      </c>
      <c r="T5235">
        <v>-0.110158399999999</v>
      </c>
      <c r="U5235">
        <v>0.3193665</v>
      </c>
      <c r="V5235">
        <v>-6.0197899999999999E-2</v>
      </c>
      <c r="W5235">
        <v>1.36644E-3</v>
      </c>
      <c r="X5235">
        <v>0.99818549999999995</v>
      </c>
      <c r="Y5235">
        <v>-0.237820899999999</v>
      </c>
      <c r="Z5235">
        <v>9.1928449999999998E-3</v>
      </c>
      <c r="AA5235">
        <v>0.9712655</v>
      </c>
      <c r="AB5235">
        <v>21</v>
      </c>
      <c r="AC5235">
        <v>30.331399999999999</v>
      </c>
      <c r="AD5235">
        <v>-1.106144521988</v>
      </c>
      <c r="AE5235">
        <v>3.2225899999999998</v>
      </c>
      <c r="AF5235">
        <v>-7.2796491243116703</v>
      </c>
      <c r="AG5235">
        <v>-1.106144521988</v>
      </c>
      <c r="AH5235">
        <v>29.5794409749114</v>
      </c>
      <c r="AI5235">
        <v>92.079622817275293</v>
      </c>
      <c r="AJ5235">
        <v>103.82601361962401</v>
      </c>
      <c r="AK5235">
        <v>30.4821287882734</v>
      </c>
    </row>
    <row r="5236" spans="1:37" x14ac:dyDescent="0.2">
      <c r="A5236" t="str">
        <f>"20200111155701103"</f>
        <v>20200111155701103</v>
      </c>
      <c r="B5236" t="str">
        <f>"1578729421098121"</f>
        <v>1578729421098121</v>
      </c>
      <c r="C5236" t="s">
        <v>37</v>
      </c>
      <c r="D5236">
        <v>5.3214040000000002</v>
      </c>
      <c r="E5236">
        <v>0.43283899999999997</v>
      </c>
      <c r="F5236" t="s">
        <v>38</v>
      </c>
      <c r="G5236">
        <v>-358.2645</v>
      </c>
      <c r="H5236" s="1">
        <v>-1.0242409999999999E-6</v>
      </c>
      <c r="I5236">
        <v>20.73394</v>
      </c>
      <c r="J5236">
        <v>-387.42599999999999</v>
      </c>
      <c r="K5236">
        <v>1.106074</v>
      </c>
      <c r="L5236">
        <v>17.673679999999901</v>
      </c>
      <c r="M5236">
        <v>0.99091989999999996</v>
      </c>
      <c r="N5236">
        <v>0</v>
      </c>
      <c r="O5236">
        <v>-0.13375609999999999</v>
      </c>
      <c r="P5236">
        <v>0.99727829999999995</v>
      </c>
      <c r="Q5236">
        <v>-1.199913E-2</v>
      </c>
      <c r="R5236">
        <v>-7.2746699999999997E-2</v>
      </c>
      <c r="S5236">
        <v>3.0311279999999998</v>
      </c>
      <c r="T5236">
        <v>-0.1145065</v>
      </c>
      <c r="U5236">
        <v>0.31527709999999998</v>
      </c>
      <c r="V5236">
        <v>-6.1315910000000001E-2</v>
      </c>
      <c r="W5236">
        <v>1.490894E-3</v>
      </c>
      <c r="X5236">
        <v>0.99811729999999999</v>
      </c>
      <c r="Y5236">
        <v>-0.2353152</v>
      </c>
      <c r="Z5236">
        <v>9.4665870000000003E-3</v>
      </c>
      <c r="AA5236">
        <v>0.97187299999999999</v>
      </c>
      <c r="AB5236">
        <v>21</v>
      </c>
      <c r="AC5236">
        <v>29.161499999999901</v>
      </c>
      <c r="AD5236">
        <v>-1.106075024241</v>
      </c>
      <c r="AE5236">
        <v>3.06026</v>
      </c>
      <c r="AF5236">
        <v>-6.92379728001346</v>
      </c>
      <c r="AG5236">
        <v>-1.106075024241</v>
      </c>
      <c r="AH5236">
        <v>28.4495643813901</v>
      </c>
      <c r="AI5236">
        <v>92.1633666343849</v>
      </c>
      <c r="AJ5236">
        <v>103.678214803334</v>
      </c>
      <c r="AK5236">
        <v>29.3008546671396</v>
      </c>
    </row>
    <row r="5237" spans="1:37" x14ac:dyDescent="0.2">
      <c r="A5237" t="str">
        <f>"20200111155701116"</f>
        <v>20200111155701116</v>
      </c>
      <c r="B5237" t="str">
        <f>"1578729421108857"</f>
        <v>1578729421108857</v>
      </c>
      <c r="C5237" t="s">
        <v>37</v>
      </c>
      <c r="D5237">
        <v>5.3821129999999897</v>
      </c>
      <c r="E5237">
        <v>0.43310589999999999</v>
      </c>
      <c r="F5237" t="s">
        <v>38</v>
      </c>
      <c r="G5237">
        <v>-358.18619999999999</v>
      </c>
      <c r="H5237" s="1">
        <v>-1.066115E-6</v>
      </c>
      <c r="I5237">
        <v>20.765049999999999</v>
      </c>
      <c r="J5237">
        <v>-387.30119999999999</v>
      </c>
      <c r="K5237">
        <v>1.106007</v>
      </c>
      <c r="L5237">
        <v>17.658390000000001</v>
      </c>
      <c r="M5237">
        <v>0.9910909</v>
      </c>
      <c r="N5237">
        <v>0</v>
      </c>
      <c r="O5237">
        <v>-0.132483399999999</v>
      </c>
      <c r="P5237">
        <v>0.99744859999999902</v>
      </c>
      <c r="Q5237">
        <v>-1.212105E-2</v>
      </c>
      <c r="R5237">
        <v>-7.0351789999999997E-2</v>
      </c>
      <c r="S5237">
        <v>3.0301819999999999</v>
      </c>
      <c r="T5237">
        <v>-0.1146247</v>
      </c>
      <c r="U5237">
        <v>0.32037349999999998</v>
      </c>
      <c r="V5237">
        <v>-6.2430060000000002E-2</v>
      </c>
      <c r="W5237">
        <v>1.3673939999999901E-3</v>
      </c>
      <c r="X5237">
        <v>0.99804839999999995</v>
      </c>
      <c r="Y5237">
        <v>-0.23571500000000001</v>
      </c>
      <c r="Z5237">
        <v>9.4383019999999904E-3</v>
      </c>
      <c r="AA5237">
        <v>0.97177639999999998</v>
      </c>
      <c r="AB5237">
        <v>21</v>
      </c>
      <c r="AC5237">
        <v>29.114999999999998</v>
      </c>
      <c r="AD5237">
        <v>-1.106008066115</v>
      </c>
      <c r="AE5237">
        <v>3.10665999999999</v>
      </c>
      <c r="AF5237">
        <v>-6.9270016767069604</v>
      </c>
      <c r="AG5237">
        <v>-1.106008066115</v>
      </c>
      <c r="AH5237">
        <v>28.406160028280301</v>
      </c>
      <c r="AI5237">
        <v>92.166296817271302</v>
      </c>
      <c r="AJ5237">
        <v>103.704428894674</v>
      </c>
      <c r="AK5237">
        <v>29.259469127509501</v>
      </c>
    </row>
    <row r="5238" spans="1:37" x14ac:dyDescent="0.2">
      <c r="A5238" t="str">
        <f>"20200111155701133"</f>
        <v>20200111155701133</v>
      </c>
      <c r="B5238" t="str">
        <f>"1578729421128376"</f>
        <v>1578729421128376</v>
      </c>
      <c r="C5238" t="s">
        <v>37</v>
      </c>
      <c r="D5238">
        <v>5.2856990000000001</v>
      </c>
      <c r="E5238">
        <v>0.43445689999999998</v>
      </c>
      <c r="F5238" t="s">
        <v>38</v>
      </c>
      <c r="G5238">
        <v>-358.81760000000003</v>
      </c>
      <c r="H5238" s="1">
        <v>-7.8327640000000003E-7</v>
      </c>
      <c r="I5238">
        <v>20.720089999999999</v>
      </c>
      <c r="J5238">
        <v>-387.14859999999999</v>
      </c>
      <c r="K5238">
        <v>1.105931</v>
      </c>
      <c r="L5238">
        <v>17.63983</v>
      </c>
      <c r="M5238">
        <v>0.99128619999999901</v>
      </c>
      <c r="N5238">
        <v>0</v>
      </c>
      <c r="O5238">
        <v>-0.13101579999999999</v>
      </c>
      <c r="P5238">
        <v>0.99765249999999905</v>
      </c>
      <c r="Q5238">
        <v>-1.335591E-2</v>
      </c>
      <c r="R5238">
        <v>-6.7170129999999995E-2</v>
      </c>
      <c r="S5238">
        <v>3.029236</v>
      </c>
      <c r="T5238">
        <v>-0.11762400000000001</v>
      </c>
      <c r="U5238">
        <v>0.32562259999999998</v>
      </c>
      <c r="V5238">
        <v>-6.4130450000000006E-2</v>
      </c>
      <c r="W5238">
        <v>1.285712E-4</v>
      </c>
      <c r="X5238">
        <v>0.99794150000000004</v>
      </c>
      <c r="Y5238">
        <v>-0.23595969999999999</v>
      </c>
      <c r="Z5238">
        <v>9.6354590000000007E-3</v>
      </c>
      <c r="AA5238">
        <v>0.971715</v>
      </c>
      <c r="AB5238">
        <v>21</v>
      </c>
      <c r="AC5238">
        <v>28.3309999999999</v>
      </c>
      <c r="AD5238">
        <v>-1.1059317832764</v>
      </c>
      <c r="AE5238">
        <v>3.0802599999999898</v>
      </c>
      <c r="AF5238">
        <v>-6.7556847461814398</v>
      </c>
      <c r="AG5238">
        <v>-1.1059317832764</v>
      </c>
      <c r="AH5238">
        <v>27.641520054738201</v>
      </c>
      <c r="AI5238">
        <v>92.225728937080802</v>
      </c>
      <c r="AJ5238">
        <v>103.734055591463</v>
      </c>
      <c r="AK5238">
        <v>28.476586741313302</v>
      </c>
    </row>
    <row r="5239" spans="1:37" x14ac:dyDescent="0.2">
      <c r="A5239" t="str">
        <f>"20200111155701146"</f>
        <v>20200111155701146</v>
      </c>
      <c r="B5239" t="str">
        <f>"1578729421138137"</f>
        <v>1578729421138137</v>
      </c>
      <c r="C5239" t="s">
        <v>37</v>
      </c>
      <c r="D5239">
        <v>5.3244059999999998</v>
      </c>
      <c r="E5239">
        <v>0.43507479999999998</v>
      </c>
      <c r="F5239" t="s">
        <v>90</v>
      </c>
      <c r="G5239">
        <v>-360.31959999999998</v>
      </c>
      <c r="H5239" s="1">
        <v>-4.7646789999999902E-6</v>
      </c>
      <c r="I5239">
        <v>20.51782</v>
      </c>
      <c r="J5239">
        <v>-387.0163</v>
      </c>
      <c r="K5239">
        <v>1.10588</v>
      </c>
      <c r="L5239">
        <v>17.623839999999898</v>
      </c>
      <c r="M5239">
        <v>0.99144659999999996</v>
      </c>
      <c r="N5239">
        <v>0</v>
      </c>
      <c r="O5239">
        <v>-0.1297973</v>
      </c>
      <c r="P5239">
        <v>0.99777139999999997</v>
      </c>
      <c r="Q5239">
        <v>-1.400151E-2</v>
      </c>
      <c r="R5239">
        <v>-6.524199E-2</v>
      </c>
      <c r="S5239">
        <v>3.0272519999999998</v>
      </c>
      <c r="T5239">
        <v>-0.1247883</v>
      </c>
      <c r="U5239">
        <v>0.32473750000000001</v>
      </c>
      <c r="V5239">
        <v>-6.482897E-2</v>
      </c>
      <c r="W5239">
        <v>-5.216566E-4</v>
      </c>
      <c r="X5239">
        <v>0.99789629999999996</v>
      </c>
      <c r="Y5239">
        <v>-0.23451939999999999</v>
      </c>
      <c r="Z5239">
        <v>1.0149139999999999E-2</v>
      </c>
      <c r="AA5239">
        <v>0.97205849999999905</v>
      </c>
      <c r="AB5239">
        <v>21</v>
      </c>
      <c r="AC5239">
        <v>26.6967</v>
      </c>
      <c r="AD5239">
        <v>-1.105884764679</v>
      </c>
      <c r="AE5239">
        <v>2.89398</v>
      </c>
      <c r="AF5239">
        <v>-6.3242502876625002</v>
      </c>
      <c r="AG5239">
        <v>-1.105884764679</v>
      </c>
      <c r="AH5239">
        <v>26.050969574334299</v>
      </c>
      <c r="AI5239">
        <v>92.362260950961101</v>
      </c>
      <c r="AJ5239">
        <v>103.64540595830201</v>
      </c>
      <c r="AK5239">
        <v>26.8304330672586</v>
      </c>
    </row>
    <row r="5240" spans="1:37" x14ac:dyDescent="0.2">
      <c r="A5240" t="str">
        <f>"20200111155701161"</f>
        <v>20200111155701161</v>
      </c>
      <c r="B5240" t="str">
        <f>"1578729421158633"</f>
        <v>1578729421158633</v>
      </c>
      <c r="C5240" t="s">
        <v>37</v>
      </c>
      <c r="D5240">
        <v>5.3051769999999996</v>
      </c>
      <c r="E5240">
        <v>0.4361719</v>
      </c>
      <c r="F5240" t="s">
        <v>90</v>
      </c>
      <c r="G5240">
        <v>-360.79259999999999</v>
      </c>
      <c r="H5240" s="1">
        <v>-4.5704509999999998E-6</v>
      </c>
      <c r="I5240">
        <v>20.446839999999899</v>
      </c>
      <c r="J5240">
        <v>-386.88220000000001</v>
      </c>
      <c r="K5240">
        <v>1.1058330000000001</v>
      </c>
      <c r="L5240">
        <v>17.607700000000001</v>
      </c>
      <c r="M5240">
        <v>0.99160219999999899</v>
      </c>
      <c r="N5240">
        <v>0</v>
      </c>
      <c r="O5240">
        <v>-0.1286042</v>
      </c>
      <c r="P5240">
        <v>0.99784850000000003</v>
      </c>
      <c r="Q5240">
        <v>-1.471445E-2</v>
      </c>
      <c r="R5240">
        <v>-6.3890840000000004E-2</v>
      </c>
      <c r="S5240">
        <v>3.0262150000000001</v>
      </c>
      <c r="T5240">
        <v>-0.12761910000000001</v>
      </c>
      <c r="U5240">
        <v>0.32577509999999998</v>
      </c>
      <c r="V5240">
        <v>-6.4976919999999994E-2</v>
      </c>
      <c r="W5240">
        <v>-1.240803E-3</v>
      </c>
      <c r="X5240">
        <v>0.99788600000000005</v>
      </c>
      <c r="Y5240">
        <v>-0.2337021</v>
      </c>
      <c r="Z5240">
        <v>1.0315370000000001E-2</v>
      </c>
      <c r="AA5240">
        <v>0.97225349999999999</v>
      </c>
      <c r="AB5240">
        <v>21</v>
      </c>
      <c r="AC5240">
        <v>26.089600000000001</v>
      </c>
      <c r="AD5240">
        <v>-1.105837570451</v>
      </c>
      <c r="AE5240">
        <v>2.8391399999999898</v>
      </c>
      <c r="AF5240">
        <v>-6.1601659242388704</v>
      </c>
      <c r="AG5240">
        <v>-1.105837570451</v>
      </c>
      <c r="AH5240">
        <v>25.462541996068602</v>
      </c>
      <c r="AI5240">
        <v>92.417145533784705</v>
      </c>
      <c r="AJ5240">
        <v>103.600273618673</v>
      </c>
      <c r="AK5240">
        <v>26.220441755392599</v>
      </c>
    </row>
    <row r="5241" spans="1:37" x14ac:dyDescent="0.2">
      <c r="A5241" t="str">
        <f>"20200111155701178"</f>
        <v>20200111155701178</v>
      </c>
      <c r="B5241" t="str">
        <f>"1578729421168391"</f>
        <v>1578729421168391</v>
      </c>
      <c r="C5241" t="s">
        <v>37</v>
      </c>
      <c r="D5241">
        <v>5.3735119999999998</v>
      </c>
      <c r="E5241">
        <v>0.436502</v>
      </c>
      <c r="F5241" t="s">
        <v>90</v>
      </c>
      <c r="G5241">
        <v>-361.66739999999999</v>
      </c>
      <c r="H5241" s="1">
        <v>-4.1175069999999999E-6</v>
      </c>
      <c r="I5241">
        <v>20.28595</v>
      </c>
      <c r="J5241">
        <v>-386.72370000000001</v>
      </c>
      <c r="K5241">
        <v>1.105791</v>
      </c>
      <c r="L5241">
        <v>17.588809999999999</v>
      </c>
      <c r="M5241">
        <v>0.99177749999999998</v>
      </c>
      <c r="N5241">
        <v>0</v>
      </c>
      <c r="O5241">
        <v>-0.12724649999999901</v>
      </c>
      <c r="P5241">
        <v>0.99791479999999999</v>
      </c>
      <c r="Q5241">
        <v>-1.53698999999999E-2</v>
      </c>
      <c r="R5241">
        <v>-6.2689739999999994E-2</v>
      </c>
      <c r="S5241">
        <v>3.0251160000000001</v>
      </c>
      <c r="T5241">
        <v>-0.13267109999999999</v>
      </c>
      <c r="U5241">
        <v>0.32131959999999998</v>
      </c>
      <c r="V5241">
        <v>-6.4808879999999999E-2</v>
      </c>
      <c r="W5241">
        <v>-1.908292E-3</v>
      </c>
      <c r="X5241">
        <v>0.99789589999999995</v>
      </c>
      <c r="Y5241">
        <v>-0.2309696</v>
      </c>
      <c r="Z5241">
        <v>1.0609E-2</v>
      </c>
      <c r="AA5241">
        <v>0.97290309999999902</v>
      </c>
      <c r="AB5241">
        <v>21</v>
      </c>
      <c r="AC5241">
        <v>25.0563</v>
      </c>
      <c r="AD5241">
        <v>-1.105795117507</v>
      </c>
      <c r="AE5241">
        <v>2.6971399999999899</v>
      </c>
      <c r="AF5241">
        <v>-5.8525654795857101</v>
      </c>
      <c r="AG5241">
        <v>-1.105795117507</v>
      </c>
      <c r="AH5241">
        <v>24.4622503114601</v>
      </c>
      <c r="AI5241">
        <v>92.517297435617195</v>
      </c>
      <c r="AJ5241">
        <v>103.45503308251701</v>
      </c>
      <c r="AK5241">
        <v>25.1769139458209</v>
      </c>
    </row>
    <row r="5242" spans="1:37" x14ac:dyDescent="0.2">
      <c r="A5242" t="str">
        <f>"20200111155701192"</f>
        <v>20200111155701192</v>
      </c>
      <c r="B5242" t="str">
        <f>"1578729421188888"</f>
        <v>1578729421188888</v>
      </c>
      <c r="C5242" t="s">
        <v>37</v>
      </c>
      <c r="D5242">
        <v>5.2938339999999897</v>
      </c>
      <c r="E5242">
        <v>0.44454549999999998</v>
      </c>
      <c r="F5242" t="s">
        <v>90</v>
      </c>
      <c r="G5242">
        <v>-361.84359999999998</v>
      </c>
      <c r="H5242" s="1">
        <v>-4.0224059999999902E-6</v>
      </c>
      <c r="I5242">
        <v>20.24166</v>
      </c>
      <c r="J5242">
        <v>-386.59649999999999</v>
      </c>
      <c r="K5242">
        <v>1.105774</v>
      </c>
      <c r="L5242">
        <v>17.573789999999999</v>
      </c>
      <c r="M5242">
        <v>0.99191240000000003</v>
      </c>
      <c r="N5242">
        <v>0</v>
      </c>
      <c r="O5242">
        <v>-0.12619339999999901</v>
      </c>
      <c r="P5242">
        <v>0.99796849999999904</v>
      </c>
      <c r="Q5242">
        <v>-1.4821040000000001E-2</v>
      </c>
      <c r="R5242">
        <v>-6.1964999999999999E-2</v>
      </c>
      <c r="S5242">
        <v>3.0244140000000002</v>
      </c>
      <c r="T5242">
        <v>-0.13441989999999901</v>
      </c>
      <c r="U5242">
        <v>0.32247919999999902</v>
      </c>
      <c r="V5242">
        <v>-6.4476790000000006E-2</v>
      </c>
      <c r="W5242">
        <v>-1.370458E-3</v>
      </c>
      <c r="X5242">
        <v>0.99791819999999898</v>
      </c>
      <c r="Y5242">
        <v>-0.23032169999999999</v>
      </c>
      <c r="Z5242">
        <v>1.0690119999999999E-2</v>
      </c>
      <c r="AA5242">
        <v>0.97305580000000003</v>
      </c>
      <c r="AB5242">
        <v>21</v>
      </c>
      <c r="AC5242">
        <v>24.7529</v>
      </c>
      <c r="AD5242">
        <v>-1.1057780224060001</v>
      </c>
      <c r="AE5242">
        <v>2.6678700000000002</v>
      </c>
      <c r="AF5242">
        <v>-5.7591185970141696</v>
      </c>
      <c r="AG5242">
        <v>-1.1057780224060001</v>
      </c>
      <c r="AH5242">
        <v>24.170599270924001</v>
      </c>
      <c r="AI5242">
        <v>92.548155776758307</v>
      </c>
      <c r="AJ5242">
        <v>103.401950679585</v>
      </c>
      <c r="AK5242">
        <v>24.871832686091</v>
      </c>
    </row>
    <row r="5243" spans="1:37" x14ac:dyDescent="0.2">
      <c r="A5243" t="str">
        <f>"20200111155701205"</f>
        <v>20200111155701205</v>
      </c>
      <c r="B5243" t="str">
        <f>"1578729421199624"</f>
        <v>1578729421199624</v>
      </c>
      <c r="C5243" t="s">
        <v>37</v>
      </c>
      <c r="D5243">
        <v>5.2942080000000002</v>
      </c>
      <c r="E5243">
        <v>0.44460249999999901</v>
      </c>
      <c r="F5243" t="s">
        <v>90</v>
      </c>
      <c r="G5243">
        <v>-363.36689999999999</v>
      </c>
      <c r="H5243" s="1">
        <v>-3.14187599999999E-6</v>
      </c>
      <c r="I5243">
        <v>19.58278</v>
      </c>
      <c r="J5243">
        <v>-386.4692</v>
      </c>
      <c r="K5243">
        <v>1.1057649999999899</v>
      </c>
      <c r="L5243">
        <v>17.558810000000001</v>
      </c>
      <c r="M5243">
        <v>0.99204479999999995</v>
      </c>
      <c r="N5243">
        <v>0</v>
      </c>
      <c r="O5243">
        <v>-0.12514919999999999</v>
      </c>
      <c r="P5243">
        <v>0.99800549999999999</v>
      </c>
      <c r="Q5243">
        <v>-1.440761E-2</v>
      </c>
      <c r="R5243">
        <v>-6.1465890000000002E-2</v>
      </c>
      <c r="S5243">
        <v>3.020203</v>
      </c>
      <c r="T5243">
        <v>-0.14376829999999999</v>
      </c>
      <c r="U5243">
        <v>0.26119999999999999</v>
      </c>
      <c r="V5243">
        <v>-6.3927230000000002E-2</v>
      </c>
      <c r="W5243">
        <v>-9.6735210000000002E-4</v>
      </c>
      <c r="X5243">
        <v>0.99795409999999996</v>
      </c>
      <c r="Y5243">
        <v>-0.2098034</v>
      </c>
      <c r="Z5243">
        <v>1.092124E-2</v>
      </c>
      <c r="AA5243">
        <v>0.97768259999999996</v>
      </c>
      <c r="AB5243">
        <v>21</v>
      </c>
      <c r="AC5243">
        <v>23.1023</v>
      </c>
      <c r="AD5243">
        <v>-1.1057681418759999</v>
      </c>
      <c r="AE5243">
        <v>2.0239699999999901</v>
      </c>
      <c r="AF5243">
        <v>-4.8884420713439098</v>
      </c>
      <c r="AG5243">
        <v>-1.1057681418759999</v>
      </c>
      <c r="AH5243">
        <v>22.615895339657499</v>
      </c>
      <c r="AI5243">
        <v>92.736069517896595</v>
      </c>
      <c r="AJ5243">
        <v>102.19688364635</v>
      </c>
      <c r="AK5243">
        <v>23.1645917529926</v>
      </c>
    </row>
    <row r="5244" spans="1:37" x14ac:dyDescent="0.2">
      <c r="A5244" t="str">
        <f>"20200111155701222"</f>
        <v>20200111155701222</v>
      </c>
      <c r="B5244" t="str">
        <f>"1578729421218168"</f>
        <v>1578729421218168</v>
      </c>
      <c r="C5244" t="s">
        <v>37</v>
      </c>
      <c r="D5244">
        <v>5.2422599999999999</v>
      </c>
      <c r="E5244">
        <v>0.44457679999999999</v>
      </c>
      <c r="F5244" t="s">
        <v>90</v>
      </c>
      <c r="G5244">
        <v>-362.46249999999998</v>
      </c>
      <c r="H5244" s="1">
        <v>-3.570378E-6</v>
      </c>
      <c r="I5244">
        <v>19.642309999999998</v>
      </c>
      <c r="J5244">
        <v>-386.32069999999999</v>
      </c>
      <c r="K5244">
        <v>1.1057649999999899</v>
      </c>
      <c r="L5244">
        <v>17.541499999999999</v>
      </c>
      <c r="M5244">
        <v>0.99219659999999998</v>
      </c>
      <c r="N5244">
        <v>0</v>
      </c>
      <c r="O5244">
        <v>-0.1239421</v>
      </c>
      <c r="P5244">
        <v>0.99797769999999997</v>
      </c>
      <c r="Q5244">
        <v>-1.2004870000000001E-2</v>
      </c>
      <c r="R5244">
        <v>-6.24223E-2</v>
      </c>
      <c r="S5244">
        <v>3.0201720000000001</v>
      </c>
      <c r="T5244">
        <v>-0.1391116</v>
      </c>
      <c r="U5244">
        <v>0.2621155</v>
      </c>
      <c r="V5244">
        <v>-6.1765199999999902E-2</v>
      </c>
      <c r="W5244">
        <v>1.4279519999999999E-3</v>
      </c>
      <c r="X5244">
        <v>0.99808969999999897</v>
      </c>
      <c r="Y5244">
        <v>-0.20893499999999901</v>
      </c>
      <c r="Z5244">
        <v>1.0492619999999999E-2</v>
      </c>
      <c r="AA5244">
        <v>0.9778732</v>
      </c>
      <c r="AB5244">
        <v>21</v>
      </c>
      <c r="AC5244">
        <v>23.8582</v>
      </c>
      <c r="AD5244">
        <v>-1.10576857037799</v>
      </c>
      <c r="AE5244">
        <v>2.1008100000000001</v>
      </c>
      <c r="AF5244">
        <v>-5.0311921707466301</v>
      </c>
      <c r="AG5244">
        <v>-1.10576857037799</v>
      </c>
      <c r="AH5244">
        <v>23.364001450172601</v>
      </c>
      <c r="AI5244">
        <v>92.649031829528795</v>
      </c>
      <c r="AJ5244">
        <v>102.15247083818301</v>
      </c>
      <c r="AK5244">
        <v>23.925137043575798</v>
      </c>
    </row>
    <row r="5245" spans="1:37" x14ac:dyDescent="0.2">
      <c r="A5245" t="str">
        <f>"20200111155701233"</f>
        <v>20200111155701233</v>
      </c>
      <c r="B5245" t="str">
        <f>"1578729421228904"</f>
        <v>1578729421228904</v>
      </c>
      <c r="C5245" t="s">
        <v>37</v>
      </c>
      <c r="D5245">
        <v>5.2775989999999897</v>
      </c>
      <c r="E5245">
        <v>0.44500489999999998</v>
      </c>
      <c r="F5245" t="s">
        <v>90</v>
      </c>
      <c r="G5245">
        <v>-360.553</v>
      </c>
      <c r="H5245" s="1">
        <v>-4.5027999999999902E-6</v>
      </c>
      <c r="I5245">
        <v>19.754239999999999</v>
      </c>
      <c r="J5245">
        <v>-386.20679999999999</v>
      </c>
      <c r="K5245">
        <v>1.1057729999999999</v>
      </c>
      <c r="L5245">
        <v>17.528379999999999</v>
      </c>
      <c r="M5245">
        <v>0.99231150000000001</v>
      </c>
      <c r="N5245">
        <v>0</v>
      </c>
      <c r="O5245">
        <v>-0.12301819999999999</v>
      </c>
      <c r="P5245">
        <v>0.99796609999999997</v>
      </c>
      <c r="Q5245">
        <v>-1.112786E-2</v>
      </c>
      <c r="R5245">
        <v>-6.2766089999999997E-2</v>
      </c>
      <c r="S5245">
        <v>3.0207519999999999</v>
      </c>
      <c r="T5245">
        <v>-0.12962939999999901</v>
      </c>
      <c r="U5245">
        <v>0.2593994</v>
      </c>
      <c r="V5245">
        <v>-6.0494800000000001E-2</v>
      </c>
      <c r="W5245">
        <v>2.2986550000000001E-3</v>
      </c>
      <c r="X5245">
        <v>0.99816579999999999</v>
      </c>
      <c r="Y5245">
        <v>-0.20718400000000001</v>
      </c>
      <c r="Z5245">
        <v>9.6996069999999903E-3</v>
      </c>
      <c r="AA5245">
        <v>0.97825390000000001</v>
      </c>
      <c r="AB5245">
        <v>21</v>
      </c>
      <c r="AC5245">
        <v>25.653799999999901</v>
      </c>
      <c r="AD5245">
        <v>-1.1057775028000001</v>
      </c>
      <c r="AE5245">
        <v>2.2258599999999999</v>
      </c>
      <c r="AF5245">
        <v>-5.3552500887652297</v>
      </c>
      <c r="AG5245">
        <v>-1.1057775028000001</v>
      </c>
      <c r="AH5245">
        <v>25.138704496010298</v>
      </c>
      <c r="AI5245">
        <v>92.463442726788003</v>
      </c>
      <c r="AJ5245">
        <v>102.025845998873</v>
      </c>
      <c r="AK5245">
        <v>25.7265604218024</v>
      </c>
    </row>
    <row r="5246" spans="1:37" x14ac:dyDescent="0.2">
      <c r="A5246" t="str">
        <f>"20200111155701245"</f>
        <v>20200111155701245</v>
      </c>
      <c r="B5246" t="str">
        <f>"1578729421238664"</f>
        <v>1578729421238664</v>
      </c>
      <c r="C5246" t="s">
        <v>37</v>
      </c>
      <c r="D5246">
        <v>5.2664239999999998</v>
      </c>
      <c r="E5246">
        <v>0.44500489999999998</v>
      </c>
      <c r="F5246" t="s">
        <v>90</v>
      </c>
      <c r="G5246">
        <v>-360.01949999999999</v>
      </c>
      <c r="H5246" s="1">
        <v>-4.7417930000000001E-6</v>
      </c>
      <c r="I5246">
        <v>19.739070000000002</v>
      </c>
      <c r="J5246">
        <v>-386.0967</v>
      </c>
      <c r="K5246">
        <v>1.105788</v>
      </c>
      <c r="L5246">
        <v>17.515779999999999</v>
      </c>
      <c r="M5246">
        <v>0.99242260000000004</v>
      </c>
      <c r="N5246">
        <v>0</v>
      </c>
      <c r="O5246">
        <v>-0.1221206</v>
      </c>
      <c r="P5246">
        <v>0.99792359999999902</v>
      </c>
      <c r="Q5246">
        <v>-9.9817999999999903E-3</v>
      </c>
      <c r="R5246">
        <v>-6.3633960000000003E-2</v>
      </c>
      <c r="S5246">
        <v>3.020721</v>
      </c>
      <c r="T5246">
        <v>-0.12755230000000001</v>
      </c>
      <c r="U5246">
        <v>0.25500489999999998</v>
      </c>
      <c r="V5246">
        <v>-5.8728219999999998E-2</v>
      </c>
      <c r="W5246">
        <v>3.4397220000000001E-3</v>
      </c>
      <c r="X5246">
        <v>0.99826809999999999</v>
      </c>
      <c r="Y5246">
        <v>-0.20489889999999999</v>
      </c>
      <c r="Z5246">
        <v>9.4590560000000004E-3</v>
      </c>
      <c r="AA5246">
        <v>0.97873739999999998</v>
      </c>
      <c r="AB5246">
        <v>21</v>
      </c>
      <c r="AC5246">
        <v>26.077200000000001</v>
      </c>
      <c r="AD5246">
        <v>-1.105792741793</v>
      </c>
      <c r="AE5246">
        <v>2.22329</v>
      </c>
      <c r="AF5246">
        <v>-5.3818948284388304</v>
      </c>
      <c r="AG5246">
        <v>-1.105792741793</v>
      </c>
      <c r="AH5246">
        <v>25.564811053425501</v>
      </c>
      <c r="AI5246">
        <v>92.423695954166703</v>
      </c>
      <c r="AJ5246">
        <v>101.888291796657</v>
      </c>
      <c r="AK5246">
        <v>26.1485589226161</v>
      </c>
    </row>
    <row r="5247" spans="1:37" x14ac:dyDescent="0.2">
      <c r="A5247" t="str">
        <f>"20200111155701257"</f>
        <v>20200111155701257</v>
      </c>
      <c r="B5247" t="str">
        <f>"1578729421248424"</f>
        <v>1578729421248424</v>
      </c>
      <c r="C5247" t="s">
        <v>37</v>
      </c>
      <c r="D5247">
        <v>5.3485180000000003</v>
      </c>
      <c r="E5247">
        <v>0.465323499999999</v>
      </c>
      <c r="F5247" t="s">
        <v>38</v>
      </c>
      <c r="G5247">
        <v>-359.149</v>
      </c>
      <c r="H5247" s="1">
        <v>-3.87506E-7</v>
      </c>
      <c r="I5247">
        <v>19.766919999999999</v>
      </c>
      <c r="J5247">
        <v>-385.9828</v>
      </c>
      <c r="K5247">
        <v>1.105804</v>
      </c>
      <c r="L5247">
        <v>17.502839999999999</v>
      </c>
      <c r="M5247">
        <v>0.99253709999999995</v>
      </c>
      <c r="N5247">
        <v>0</v>
      </c>
      <c r="O5247">
        <v>-0.1211878</v>
      </c>
      <c r="P5247">
        <v>0.99788019999999999</v>
      </c>
      <c r="Q5247">
        <v>-9.3734409999999997E-3</v>
      </c>
      <c r="R5247">
        <v>-6.4399369999999997E-2</v>
      </c>
      <c r="S5247">
        <v>3.0210569999999999</v>
      </c>
      <c r="T5247">
        <v>-0.1239676</v>
      </c>
      <c r="U5247">
        <v>0.2523804</v>
      </c>
      <c r="V5247">
        <v>-5.702579E-2</v>
      </c>
      <c r="W5247">
        <v>4.041963E-3</v>
      </c>
      <c r="X5247">
        <v>0.99836449999999999</v>
      </c>
      <c r="Y5247">
        <v>-0.2031435</v>
      </c>
      <c r="Z5247">
        <v>9.1186749999999997E-3</v>
      </c>
      <c r="AA5247">
        <v>0.97910649999999999</v>
      </c>
      <c r="AB5247">
        <v>21</v>
      </c>
      <c r="AC5247">
        <v>26.8338</v>
      </c>
      <c r="AD5247">
        <v>-1.105804387506</v>
      </c>
      <c r="AE5247">
        <v>2.2640799999999999</v>
      </c>
      <c r="AF5247">
        <v>-5.4903596390135503</v>
      </c>
      <c r="AG5247">
        <v>-1.105804387506</v>
      </c>
      <c r="AH5247">
        <v>26.317207239045199</v>
      </c>
      <c r="AI5247">
        <v>92.355403486974794</v>
      </c>
      <c r="AJ5247">
        <v>101.784162835652</v>
      </c>
      <c r="AK5247">
        <v>26.906546585765899</v>
      </c>
    </row>
    <row r="5248" spans="1:37" x14ac:dyDescent="0.2">
      <c r="A5248" t="str">
        <f>"20200111155701270"</f>
        <v>20200111155701270</v>
      </c>
      <c r="B5248" t="str">
        <f>"1578729421258184"</f>
        <v>1578729421258184</v>
      </c>
      <c r="C5248" t="s">
        <v>37</v>
      </c>
      <c r="D5248">
        <v>5.4294339999999996</v>
      </c>
      <c r="E5248">
        <v>0.47463620000000001</v>
      </c>
      <c r="F5248" t="s">
        <v>90</v>
      </c>
      <c r="G5248">
        <v>-362.66059999999999</v>
      </c>
      <c r="H5248" s="1">
        <v>-3.722074E-6</v>
      </c>
      <c r="I5248">
        <v>18.194289999999999</v>
      </c>
      <c r="J5248">
        <v>-385.8691</v>
      </c>
      <c r="K5248">
        <v>1.1058250000000001</v>
      </c>
      <c r="L5248">
        <v>17.490079999999999</v>
      </c>
      <c r="M5248">
        <v>0.99265340000000002</v>
      </c>
      <c r="N5248">
        <v>0</v>
      </c>
      <c r="O5248">
        <v>-0.120233199999999</v>
      </c>
      <c r="P5248">
        <v>0.99785119999999905</v>
      </c>
      <c r="Q5248">
        <v>-8.4038840000000004E-3</v>
      </c>
      <c r="R5248">
        <v>-6.4983460000000007E-2</v>
      </c>
      <c r="S5248">
        <v>3.0108029999999899</v>
      </c>
      <c r="T5248">
        <v>-0.1427553</v>
      </c>
      <c r="U5248">
        <v>8.9263919999999997E-2</v>
      </c>
      <c r="V5248">
        <v>-5.548496E-2</v>
      </c>
      <c r="W5248">
        <v>5.0051640000000003E-3</v>
      </c>
      <c r="X5248">
        <v>0.99844699999999997</v>
      </c>
      <c r="Y5248">
        <v>-0.14930889999999999</v>
      </c>
      <c r="Z5248">
        <v>9.2259479999999994E-3</v>
      </c>
      <c r="AA5248">
        <v>0.9887475</v>
      </c>
      <c r="AB5248">
        <v>21</v>
      </c>
      <c r="AC5248">
        <v>23.208500000000001</v>
      </c>
      <c r="AD5248">
        <v>-1.105828722074</v>
      </c>
      <c r="AE5248">
        <v>0.704209999999999</v>
      </c>
      <c r="AF5248">
        <v>-3.4818907261017</v>
      </c>
      <c r="AG5248">
        <v>-1.105828722074</v>
      </c>
      <c r="AH5248">
        <v>22.903480141484401</v>
      </c>
      <c r="AI5248">
        <v>92.732864031096597</v>
      </c>
      <c r="AJ5248">
        <v>98.644176111722899</v>
      </c>
      <c r="AK5248">
        <v>23.193012369729999</v>
      </c>
    </row>
    <row r="5249" spans="1:37" x14ac:dyDescent="0.2">
      <c r="A5249" t="str">
        <f>"20200111155701284"</f>
        <v>20200111155701284</v>
      </c>
      <c r="B5249" t="str">
        <f>"1578729421278680"</f>
        <v>1578729421278680</v>
      </c>
      <c r="C5249" t="s">
        <v>37</v>
      </c>
      <c r="D5249">
        <v>5.2198510000000002</v>
      </c>
      <c r="E5249">
        <v>0.48909019999999997</v>
      </c>
      <c r="F5249" t="s">
        <v>90</v>
      </c>
      <c r="G5249">
        <v>-361.8716</v>
      </c>
      <c r="H5249" s="1">
        <v>-4.2012569999999998E-6</v>
      </c>
      <c r="I5249">
        <v>17.595320000000001</v>
      </c>
      <c r="J5249">
        <v>-385.73469999999998</v>
      </c>
      <c r="K5249">
        <v>1.1058589999999999</v>
      </c>
      <c r="L5249">
        <v>17.47513</v>
      </c>
      <c r="M5249">
        <v>0.9927918</v>
      </c>
      <c r="N5249">
        <v>0</v>
      </c>
      <c r="O5249">
        <v>-0.1190845</v>
      </c>
      <c r="P5249">
        <v>0.99783149999999998</v>
      </c>
      <c r="Q5249">
        <v>-8.1278530000000009E-3</v>
      </c>
      <c r="R5249">
        <v>-6.5317420000000001E-2</v>
      </c>
      <c r="S5249">
        <v>3.006195</v>
      </c>
      <c r="T5249">
        <v>-0.13852899999999899</v>
      </c>
      <c r="U5249">
        <v>1.318359E-2</v>
      </c>
      <c r="V5249">
        <v>-5.3997009999999998E-2</v>
      </c>
      <c r="W5249">
        <v>5.272189E-3</v>
      </c>
      <c r="X5249">
        <v>0.99852719999999995</v>
      </c>
      <c r="Y5249">
        <v>-0.1231918</v>
      </c>
      <c r="Z5249">
        <v>8.3125719999999903E-3</v>
      </c>
      <c r="AA5249">
        <v>0.99234809999999996</v>
      </c>
      <c r="AB5249">
        <v>21</v>
      </c>
      <c r="AC5249">
        <v>23.8630999999999</v>
      </c>
      <c r="AD5249">
        <v>-1.105863201257</v>
      </c>
      <c r="AE5249">
        <v>0.12019000000000001</v>
      </c>
      <c r="AF5249">
        <v>-2.9549745514909</v>
      </c>
      <c r="AG5249">
        <v>-1.105863201257</v>
      </c>
      <c r="AH5249">
        <v>23.628205648001298</v>
      </c>
      <c r="AI5249">
        <v>92.658957502051194</v>
      </c>
      <c r="AJ5249">
        <v>97.128475561890994</v>
      </c>
      <c r="AK5249">
        <v>23.837930072976</v>
      </c>
    </row>
    <row r="5250" spans="1:37" x14ac:dyDescent="0.2">
      <c r="A5250" t="str">
        <f>"20200111155701300"</f>
        <v>20200111155701300</v>
      </c>
      <c r="B5250" t="str">
        <f>"1578729421288439"</f>
        <v>1578729421288439</v>
      </c>
      <c r="C5250" t="s">
        <v>37</v>
      </c>
      <c r="D5250">
        <v>5.168755</v>
      </c>
      <c r="E5250">
        <v>0.493523499999999</v>
      </c>
      <c r="F5250" t="s">
        <v>90</v>
      </c>
      <c r="G5250">
        <v>-360.41890000000001</v>
      </c>
      <c r="H5250" s="1">
        <v>-5.0640759999999997E-6</v>
      </c>
      <c r="I5250">
        <v>16.602499999999999</v>
      </c>
      <c r="J5250">
        <v>-385.59429999999998</v>
      </c>
      <c r="K5250">
        <v>1.105898</v>
      </c>
      <c r="L5250">
        <v>17.45966</v>
      </c>
      <c r="M5250">
        <v>0.99293909999999996</v>
      </c>
      <c r="N5250">
        <v>0</v>
      </c>
      <c r="O5250">
        <v>-0.117852199999999</v>
      </c>
      <c r="P5250">
        <v>0.99776599999999904</v>
      </c>
      <c r="Q5250">
        <v>-6.8769159999999899E-3</v>
      </c>
      <c r="R5250">
        <v>-6.6452529999999996E-2</v>
      </c>
      <c r="S5250">
        <v>2.998688</v>
      </c>
      <c r="T5250">
        <v>-0.1309913</v>
      </c>
      <c r="U5250">
        <v>-0.103363</v>
      </c>
      <c r="V5250">
        <v>-5.1625810000000001E-2</v>
      </c>
      <c r="W5250">
        <v>6.5157590000000003E-3</v>
      </c>
      <c r="X5250">
        <v>0.99864519999999901</v>
      </c>
      <c r="Y5250">
        <v>-8.3393079999999994E-2</v>
      </c>
      <c r="Z5250">
        <v>6.953023E-3</v>
      </c>
      <c r="AA5250">
        <v>0.99649239999999994</v>
      </c>
      <c r="AB5250">
        <v>21</v>
      </c>
      <c r="AC5250">
        <v>25.1753999999999</v>
      </c>
      <c r="AD5250">
        <v>-1.1059030640759999</v>
      </c>
      <c r="AE5250">
        <v>-0.85716000000000003</v>
      </c>
      <c r="AF5250">
        <v>-2.1119913050563501</v>
      </c>
      <c r="AG5250">
        <v>-1.1059030640759999</v>
      </c>
      <c r="AH5250">
        <v>25.052664363441099</v>
      </c>
      <c r="AI5250">
        <v>92.518651825383103</v>
      </c>
      <c r="AJ5250">
        <v>94.818758624667595</v>
      </c>
      <c r="AK5250">
        <v>25.165840350900201</v>
      </c>
    </row>
    <row r="5251" spans="1:37" x14ac:dyDescent="0.2">
      <c r="A5251" t="str">
        <f>"20200111155701312"</f>
        <v>20200111155701312</v>
      </c>
      <c r="B5251" t="str">
        <f>"1578729421307960"</f>
        <v>1578729421307960</v>
      </c>
      <c r="C5251" t="s">
        <v>37</v>
      </c>
      <c r="D5251">
        <v>5.2161349999999898</v>
      </c>
      <c r="E5251">
        <v>0.499276</v>
      </c>
      <c r="F5251" t="s">
        <v>38</v>
      </c>
      <c r="G5251">
        <v>-357.48020000000002</v>
      </c>
      <c r="H5251" s="1">
        <v>-1.7737169999999999E-6</v>
      </c>
      <c r="I5251">
        <v>16.120379999999901</v>
      </c>
      <c r="J5251">
        <v>-385.46890000000002</v>
      </c>
      <c r="K5251">
        <v>1.1059429999999999</v>
      </c>
      <c r="L5251">
        <v>17.446079999999998</v>
      </c>
      <c r="M5251">
        <v>0.99307440000000002</v>
      </c>
      <c r="N5251">
        <v>0</v>
      </c>
      <c r="O5251">
        <v>-0.1167073</v>
      </c>
      <c r="P5251">
        <v>0.99776569999999998</v>
      </c>
      <c r="Q5251">
        <v>-6.4257699999999999E-3</v>
      </c>
      <c r="R5251">
        <v>-6.6504489999999999E-2</v>
      </c>
      <c r="S5251">
        <v>2.9963989999999998</v>
      </c>
      <c r="T5251">
        <v>-0.117866899999999</v>
      </c>
      <c r="U5251">
        <v>-0.14273069999999999</v>
      </c>
      <c r="V5251">
        <v>-5.042468E-2</v>
      </c>
      <c r="W5251">
        <v>6.9582539999999997E-3</v>
      </c>
      <c r="X5251">
        <v>0.99870360000000002</v>
      </c>
      <c r="Y5251">
        <v>-6.9187879999999993E-2</v>
      </c>
      <c r="Z5251">
        <v>5.9353169999999998E-3</v>
      </c>
      <c r="AA5251">
        <v>0.99758599999999997</v>
      </c>
      <c r="AB5251">
        <v>21</v>
      </c>
      <c r="AC5251">
        <v>27.988699999999898</v>
      </c>
      <c r="AD5251">
        <v>-1.1059447737170001</v>
      </c>
      <c r="AE5251">
        <v>-1.3257000000000001</v>
      </c>
      <c r="AF5251">
        <v>-1.94711164730126</v>
      </c>
      <c r="AG5251">
        <v>-1.1059447737170001</v>
      </c>
      <c r="AH5251">
        <v>27.9086553096801</v>
      </c>
      <c r="AI5251">
        <v>92.263792895848894</v>
      </c>
      <c r="AJ5251">
        <v>93.990905254374994</v>
      </c>
      <c r="AK5251">
        <v>27.998346358385199</v>
      </c>
    </row>
    <row r="5252" spans="1:37" x14ac:dyDescent="0.2">
      <c r="A5252" t="str">
        <f>"20200111155701325"</f>
        <v>20200111155701325</v>
      </c>
      <c r="B5252" t="str">
        <f>"1578729421318697"</f>
        <v>1578729421318697</v>
      </c>
      <c r="C5252" t="s">
        <v>37</v>
      </c>
      <c r="D5252">
        <v>5.2008470000000004</v>
      </c>
      <c r="E5252">
        <v>0.50024959999999996</v>
      </c>
      <c r="F5252" t="s">
        <v>38</v>
      </c>
      <c r="G5252">
        <v>-354.22460000000001</v>
      </c>
      <c r="H5252" s="1">
        <v>-3.1953149999999999E-6</v>
      </c>
      <c r="I5252">
        <v>15.470459999999999</v>
      </c>
      <c r="J5252">
        <v>-385.36110000000002</v>
      </c>
      <c r="K5252">
        <v>1.1059870000000001</v>
      </c>
      <c r="L5252">
        <v>17.434539999999998</v>
      </c>
      <c r="M5252">
        <v>0.99319239999999998</v>
      </c>
      <c r="N5252">
        <v>0</v>
      </c>
      <c r="O5252">
        <v>-0.11569889999999999</v>
      </c>
      <c r="P5252">
        <v>0.9977859</v>
      </c>
      <c r="Q5252">
        <v>-5.6168340000000002E-3</v>
      </c>
      <c r="R5252">
        <v>-6.6270869999999996E-2</v>
      </c>
      <c r="S5252">
        <v>2.9934080000000001</v>
      </c>
      <c r="T5252">
        <v>-0.105957199999999</v>
      </c>
      <c r="U5252">
        <v>-0.18926999999999999</v>
      </c>
      <c r="V5252">
        <v>-4.9647190000000001E-2</v>
      </c>
      <c r="W5252">
        <v>7.7593200000000001E-3</v>
      </c>
      <c r="X5252">
        <v>0.99873670000000003</v>
      </c>
      <c r="Y5252">
        <v>-5.269517E-2</v>
      </c>
      <c r="Z5252">
        <v>5.0111629999999999E-3</v>
      </c>
      <c r="AA5252">
        <v>0.99859809999999904</v>
      </c>
      <c r="AB5252">
        <v>21</v>
      </c>
      <c r="AC5252">
        <v>31.136500000000002</v>
      </c>
      <c r="AD5252">
        <v>-1.105990195315</v>
      </c>
      <c r="AE5252">
        <v>-1.9640799999999901</v>
      </c>
      <c r="AF5252">
        <v>-1.6498269441556801</v>
      </c>
      <c r="AG5252">
        <v>-1.105990195315</v>
      </c>
      <c r="AH5252">
        <v>31.115518458199698</v>
      </c>
      <c r="AI5252">
        <v>92.032848199748003</v>
      </c>
      <c r="AJ5252">
        <v>93.035131316190501</v>
      </c>
      <c r="AK5252">
        <v>31.178849115712499</v>
      </c>
    </row>
    <row r="5253" spans="1:37" x14ac:dyDescent="0.2">
      <c r="A5253" t="str">
        <f>"20200111155701337"</f>
        <v>20200111155701337</v>
      </c>
      <c r="B5253" t="str">
        <f>"1578729421328456"</f>
        <v>1578729421328456</v>
      </c>
      <c r="C5253" t="s">
        <v>37</v>
      </c>
      <c r="D5253">
        <v>5.2300800000000001</v>
      </c>
      <c r="E5253">
        <v>0.50093209999999999</v>
      </c>
      <c r="F5253" t="s">
        <v>38</v>
      </c>
      <c r="G5253">
        <v>-354.17239999999998</v>
      </c>
      <c r="H5253" s="1">
        <v>-3.2321119999999998E-6</v>
      </c>
      <c r="I5253">
        <v>15.389339999999899</v>
      </c>
      <c r="J5253">
        <v>-385.24610000000001</v>
      </c>
      <c r="K5253">
        <v>1.1060319999999999</v>
      </c>
      <c r="L5253">
        <v>17.422360000000001</v>
      </c>
      <c r="M5253">
        <v>0.99331970000000003</v>
      </c>
      <c r="N5253">
        <v>0</v>
      </c>
      <c r="O5253">
        <v>-0.11460139999999901</v>
      </c>
      <c r="P5253">
        <v>0.99781030000000004</v>
      </c>
      <c r="Q5253">
        <v>-5.0021320000000003E-3</v>
      </c>
      <c r="R5253">
        <v>-6.5951460000000003E-2</v>
      </c>
      <c r="S5253">
        <v>2.9930110000000001</v>
      </c>
      <c r="T5253">
        <v>-0.10613599999999999</v>
      </c>
      <c r="U5253">
        <v>-0.1962585</v>
      </c>
      <c r="V5253">
        <v>-4.8865899999999997E-2</v>
      </c>
      <c r="W5253">
        <v>8.3658359999999998E-3</v>
      </c>
      <c r="X5253">
        <v>0.9987703</v>
      </c>
      <c r="Y5253">
        <v>-4.9263559999999998E-2</v>
      </c>
      <c r="Z5253">
        <v>4.9204030000000003E-3</v>
      </c>
      <c r="AA5253">
        <v>0.99877369999999899</v>
      </c>
      <c r="AB5253">
        <v>21</v>
      </c>
      <c r="AC5253">
        <v>31.073699999999999</v>
      </c>
      <c r="AD5253">
        <v>-1.1060352321119999</v>
      </c>
      <c r="AE5253">
        <v>-2.03302</v>
      </c>
      <c r="AF5253">
        <v>-1.53984883331137</v>
      </c>
      <c r="AG5253">
        <v>-1.1060352321119999</v>
      </c>
      <c r="AH5253">
        <v>31.062756826646002</v>
      </c>
      <c r="AI5253">
        <v>92.036740258501197</v>
      </c>
      <c r="AJ5253">
        <v>92.837954032856004</v>
      </c>
      <c r="AK5253">
        <v>31.120560888831498</v>
      </c>
    </row>
    <row r="5254" spans="1:37" x14ac:dyDescent="0.2">
      <c r="A5254" t="str">
        <f>"20200111155701349"</f>
        <v>20200111155701349</v>
      </c>
      <c r="B5254" t="str">
        <f>"1578729421338216"</f>
        <v>1578729421338216</v>
      </c>
      <c r="C5254" t="s">
        <v>37</v>
      </c>
      <c r="D5254">
        <v>5.2285059999999897</v>
      </c>
      <c r="E5254">
        <v>0.50149239999999995</v>
      </c>
      <c r="F5254" t="s">
        <v>38</v>
      </c>
      <c r="G5254">
        <v>-354.44880000000001</v>
      </c>
      <c r="H5254" s="1">
        <v>-3.1190429999999998E-6</v>
      </c>
      <c r="I5254">
        <v>15.35839</v>
      </c>
      <c r="J5254">
        <v>-385.13380000000001</v>
      </c>
      <c r="K5254">
        <v>1.1060760000000001</v>
      </c>
      <c r="L5254">
        <v>17.410710000000002</v>
      </c>
      <c r="M5254">
        <v>0.99344900000000003</v>
      </c>
      <c r="N5254">
        <v>0</v>
      </c>
      <c r="O5254">
        <v>-0.1134761</v>
      </c>
      <c r="P5254">
        <v>0.99784980000000001</v>
      </c>
      <c r="Q5254">
        <v>-4.2077950000000003E-3</v>
      </c>
      <c r="R5254">
        <v>-6.540675E-2</v>
      </c>
      <c r="S5254">
        <v>2.99276699999999</v>
      </c>
      <c r="T5254">
        <v>-0.1074803</v>
      </c>
      <c r="U5254">
        <v>-0.2005615</v>
      </c>
      <c r="V5254">
        <v>-4.8283569999999998E-2</v>
      </c>
      <c r="W5254">
        <v>9.1521109999999992E-3</v>
      </c>
      <c r="X5254">
        <v>0.99879180000000001</v>
      </c>
      <c r="Y5254">
        <v>-4.6696660000000001E-2</v>
      </c>
      <c r="Z5254">
        <v>4.8966640000000002E-3</v>
      </c>
      <c r="AA5254">
        <v>0.99889709999999998</v>
      </c>
      <c r="AB5254">
        <v>21</v>
      </c>
      <c r="AC5254">
        <v>30.684999999999999</v>
      </c>
      <c r="AD5254">
        <v>-1.1060791190429999</v>
      </c>
      <c r="AE5254">
        <v>-2.0523199999999999</v>
      </c>
      <c r="AF5254">
        <v>-1.44140588340208</v>
      </c>
      <c r="AG5254">
        <v>-1.1060791190429999</v>
      </c>
      <c r="AH5254">
        <v>30.679985476930302</v>
      </c>
      <c r="AI5254">
        <v>92.062468171891297</v>
      </c>
      <c r="AJ5254">
        <v>92.689890110678405</v>
      </c>
      <c r="AK5254">
        <v>30.733736687928801</v>
      </c>
    </row>
    <row r="5255" spans="1:37" x14ac:dyDescent="0.2">
      <c r="A5255" t="str">
        <f>"20200111155701367"</f>
        <v>20200111155701367</v>
      </c>
      <c r="B5255" t="str">
        <f>"1578729421358713"</f>
        <v>1578729421358713</v>
      </c>
      <c r="C5255" t="s">
        <v>37</v>
      </c>
      <c r="D5255">
        <v>5.435066</v>
      </c>
      <c r="E5255">
        <v>0.50192599999999998</v>
      </c>
      <c r="F5255" t="s">
        <v>38</v>
      </c>
      <c r="G5255">
        <v>-354.27260000000001</v>
      </c>
      <c r="H5255" s="1">
        <v>-3.2025700000000001E-6</v>
      </c>
      <c r="I5255">
        <v>15.31344</v>
      </c>
      <c r="J5255">
        <v>-384.97030000000001</v>
      </c>
      <c r="K5255">
        <v>1.1061540000000001</v>
      </c>
      <c r="L5255">
        <v>17.39395</v>
      </c>
      <c r="M5255">
        <v>0.99364140000000001</v>
      </c>
      <c r="N5255">
        <v>0</v>
      </c>
      <c r="O5255">
        <v>-0.1117799</v>
      </c>
      <c r="P5255">
        <v>0.997892</v>
      </c>
      <c r="Q5255">
        <v>-3.407307E-3</v>
      </c>
      <c r="R5255">
        <v>-6.4811939999999998E-2</v>
      </c>
      <c r="S5255">
        <v>2.9926759999999999</v>
      </c>
      <c r="T5255">
        <v>-0.1072593</v>
      </c>
      <c r="U5255">
        <v>-0.2033691</v>
      </c>
      <c r="V5255">
        <v>-4.7177799999999999E-2</v>
      </c>
      <c r="W5255">
        <v>9.9426710000000001E-3</v>
      </c>
      <c r="X5255">
        <v>0.99883699999999997</v>
      </c>
      <c r="Y5255">
        <v>-4.4059359999999999E-2</v>
      </c>
      <c r="Z5255">
        <v>4.779045E-3</v>
      </c>
      <c r="AA5255">
        <v>0.999017499999999</v>
      </c>
      <c r="AB5255">
        <v>21</v>
      </c>
      <c r="AC5255">
        <v>30.697700000000001</v>
      </c>
      <c r="AD5255">
        <v>-1.1061572025699999</v>
      </c>
      <c r="AE5255">
        <v>-2.0805099999999999</v>
      </c>
      <c r="AF5255">
        <v>-1.3624681378633201</v>
      </c>
      <c r="AG5255">
        <v>-1.1061572025699999</v>
      </c>
      <c r="AH5255">
        <v>30.698184905718001</v>
      </c>
      <c r="AI5255">
        <v>92.061635944356297</v>
      </c>
      <c r="AJ5255">
        <v>92.541273288171396</v>
      </c>
      <c r="AK5255">
        <v>30.7483082410909</v>
      </c>
    </row>
    <row r="5256" spans="1:37" x14ac:dyDescent="0.2">
      <c r="A5256" t="str">
        <f>"20200111155701381"</f>
        <v>20200111155701381</v>
      </c>
      <c r="B5256" t="str">
        <f>"1578729421378232"</f>
        <v>1578729421378232</v>
      </c>
      <c r="C5256" t="s">
        <v>37</v>
      </c>
      <c r="D5256">
        <v>5.2819419999999999</v>
      </c>
      <c r="E5256">
        <v>0.50239400000000001</v>
      </c>
      <c r="F5256" t="s">
        <v>38</v>
      </c>
      <c r="G5256">
        <v>-349.68849999999998</v>
      </c>
      <c r="H5256" s="1">
        <v>-1.3282949999999999E-6</v>
      </c>
      <c r="I5256">
        <v>14.97002</v>
      </c>
      <c r="J5256">
        <v>-384.84519999999998</v>
      </c>
      <c r="K5256">
        <v>1.1062149999999999</v>
      </c>
      <c r="L5256">
        <v>17.381350000000001</v>
      </c>
      <c r="M5256">
        <v>0.99379240000000002</v>
      </c>
      <c r="N5256">
        <v>0</v>
      </c>
      <c r="O5256">
        <v>-0.1104281</v>
      </c>
      <c r="P5256">
        <v>0.99797060000000004</v>
      </c>
      <c r="Q5256">
        <v>-3.1994059999999902E-3</v>
      </c>
      <c r="R5256">
        <v>-6.3595960000000007E-2</v>
      </c>
      <c r="S5256">
        <v>2.9927060000000001</v>
      </c>
      <c r="T5256">
        <v>-9.382749E-2</v>
      </c>
      <c r="U5256">
        <v>-0.2055969</v>
      </c>
      <c r="V5256">
        <v>-4.7038150000000001E-2</v>
      </c>
      <c r="W5256">
        <v>1.0140069999999999E-2</v>
      </c>
      <c r="X5256">
        <v>0.998841599999999</v>
      </c>
      <c r="Y5256">
        <v>-4.1985689999999999E-2</v>
      </c>
      <c r="Z5256">
        <v>4.1062009999999899E-3</v>
      </c>
      <c r="AA5256">
        <v>0.99910969999999999</v>
      </c>
      <c r="AB5256">
        <v>21</v>
      </c>
      <c r="AC5256">
        <v>35.156700000000001</v>
      </c>
      <c r="AD5256">
        <v>-1.1062163282949999</v>
      </c>
      <c r="AE5256">
        <v>-2.4113299999999902</v>
      </c>
      <c r="AF5256">
        <v>-1.4845986487721301</v>
      </c>
      <c r="AG5256">
        <v>-1.1062163282949999</v>
      </c>
      <c r="AH5256">
        <v>35.173288414472196</v>
      </c>
      <c r="AI5256">
        <v>91.799783801678004</v>
      </c>
      <c r="AJ5256">
        <v>92.416912994683301</v>
      </c>
      <c r="AK5256">
        <v>35.221981284427599</v>
      </c>
    </row>
    <row r="5257" spans="1:37" x14ac:dyDescent="0.2">
      <c r="A5257" t="str">
        <f>"20200111155701394"</f>
        <v>20200111155701394</v>
      </c>
      <c r="B5257" t="str">
        <f>"1578729421387992"</f>
        <v>1578729421387992</v>
      </c>
      <c r="C5257" t="s">
        <v>37</v>
      </c>
      <c r="D5257">
        <v>5.2892960000000002</v>
      </c>
      <c r="E5257">
        <v>0.50267929999999905</v>
      </c>
      <c r="F5257" t="s">
        <v>38</v>
      </c>
      <c r="G5257">
        <v>-345.49180000000001</v>
      </c>
      <c r="H5257" s="1">
        <v>-2.836159E-6</v>
      </c>
      <c r="I5257">
        <v>14.67046</v>
      </c>
      <c r="J5257">
        <v>-384.71530000000001</v>
      </c>
      <c r="K5257">
        <v>1.1062749999999999</v>
      </c>
      <c r="L5257">
        <v>17.368559999999999</v>
      </c>
      <c r="M5257">
        <v>0.99395499999999903</v>
      </c>
      <c r="N5257">
        <v>0</v>
      </c>
      <c r="O5257">
        <v>-0.10895679999999899</v>
      </c>
      <c r="P5257">
        <v>0.99806329999999999</v>
      </c>
      <c r="Q5257">
        <v>-2.8085800000000002E-3</v>
      </c>
      <c r="R5257">
        <v>-6.2146140000000002E-2</v>
      </c>
      <c r="S5257">
        <v>2.9926759999999999</v>
      </c>
      <c r="T5257">
        <v>-8.4123729999999994E-2</v>
      </c>
      <c r="U5257">
        <v>-0.2061462</v>
      </c>
      <c r="V5257">
        <v>-4.701367E-2</v>
      </c>
      <c r="W5257">
        <v>1.0521040000000001E-2</v>
      </c>
      <c r="X5257">
        <v>0.99883880000000003</v>
      </c>
      <c r="Y5257">
        <v>-4.0339140000000002E-2</v>
      </c>
      <c r="Z5257">
        <v>3.6175669999999999E-3</v>
      </c>
      <c r="AA5257">
        <v>0.9991795</v>
      </c>
      <c r="AB5257">
        <v>21</v>
      </c>
      <c r="AC5257">
        <v>39.223500000000001</v>
      </c>
      <c r="AD5257">
        <v>-1.106277836159</v>
      </c>
      <c r="AE5257">
        <v>-2.6981000000000002</v>
      </c>
      <c r="AF5257">
        <v>-1.59076236040893</v>
      </c>
      <c r="AG5257">
        <v>-1.106277836159</v>
      </c>
      <c r="AH5257">
        <v>39.252864526556102</v>
      </c>
      <c r="AI5257">
        <v>91.6130372194865</v>
      </c>
      <c r="AJ5257">
        <v>92.320699970631594</v>
      </c>
      <c r="AK5257">
        <v>39.300658379704501</v>
      </c>
    </row>
    <row r="5258" spans="1:37" x14ac:dyDescent="0.2">
      <c r="A5258" t="str">
        <f>"20200111155701412"</f>
        <v>20200111155701412</v>
      </c>
      <c r="B5258" t="str">
        <f>"1578729421408488"</f>
        <v>1578729421408488</v>
      </c>
      <c r="C5258" t="s">
        <v>37</v>
      </c>
      <c r="D5258">
        <v>5.2643610000000001</v>
      </c>
      <c r="E5258">
        <v>0.50292320000000001</v>
      </c>
      <c r="F5258" t="s">
        <v>38</v>
      </c>
      <c r="G5258">
        <v>-345.93729999999999</v>
      </c>
      <c r="H5258" s="1">
        <v>-2.66959E-6</v>
      </c>
      <c r="I5258">
        <v>14.7267299999999</v>
      </c>
      <c r="J5258">
        <v>-384.55610000000001</v>
      </c>
      <c r="K5258">
        <v>1.1063559999999999</v>
      </c>
      <c r="L5258">
        <v>17.353269999999998</v>
      </c>
      <c r="M5258">
        <v>0.99415919999999902</v>
      </c>
      <c r="N5258">
        <v>0</v>
      </c>
      <c r="O5258">
        <v>-0.10707849999999999</v>
      </c>
      <c r="P5258">
        <v>0.9981582</v>
      </c>
      <c r="Q5258">
        <v>-2.9644929999999999E-3</v>
      </c>
      <c r="R5258">
        <v>-6.0595019999999999E-2</v>
      </c>
      <c r="S5258">
        <v>2.9928590000000002</v>
      </c>
      <c r="T5258">
        <v>-8.5381869999999999E-2</v>
      </c>
      <c r="U5258">
        <v>-0.20388789999999901</v>
      </c>
      <c r="V5258">
        <v>-4.6679400000000003E-2</v>
      </c>
      <c r="W5258">
        <v>1.035464E-2</v>
      </c>
      <c r="X5258">
        <v>0.99885619999999997</v>
      </c>
      <c r="Y5258">
        <v>-3.9205120000000003E-2</v>
      </c>
      <c r="Z5258">
        <v>3.6022129999999999E-3</v>
      </c>
      <c r="AA5258">
        <v>0.99922469999999997</v>
      </c>
      <c r="AB5258">
        <v>21</v>
      </c>
      <c r="AC5258">
        <v>38.6188</v>
      </c>
      <c r="AD5258">
        <v>-1.1063586695899901</v>
      </c>
      <c r="AE5258">
        <v>-2.6265399999999999</v>
      </c>
      <c r="AF5258">
        <v>-1.5229385843692</v>
      </c>
      <c r="AG5258">
        <v>-1.1063586695899901</v>
      </c>
      <c r="AH5258">
        <v>38.646423139528203</v>
      </c>
      <c r="AI5258">
        <v>91.638528150799203</v>
      </c>
      <c r="AJ5258">
        <v>92.256685622922006</v>
      </c>
      <c r="AK5258">
        <v>38.692239440448503</v>
      </c>
    </row>
    <row r="5259" spans="1:37" x14ac:dyDescent="0.2">
      <c r="A5259" t="str">
        <f>"20200111155701425"</f>
        <v>20200111155701425</v>
      </c>
      <c r="B5259" t="str">
        <f>"1578729421418249"</f>
        <v>1578729421418249</v>
      </c>
      <c r="C5259" t="s">
        <v>37</v>
      </c>
      <c r="D5259">
        <v>5.2759799999999997</v>
      </c>
      <c r="E5259">
        <v>0.5030519</v>
      </c>
      <c r="F5259" t="s">
        <v>38</v>
      </c>
      <c r="G5259">
        <v>-348.6071</v>
      </c>
      <c r="H5259" s="1">
        <v>-1.704143E-6</v>
      </c>
      <c r="I5259">
        <v>14.9406</v>
      </c>
      <c r="J5259">
        <v>-384.43770000000001</v>
      </c>
      <c r="K5259">
        <v>1.1064039999999999</v>
      </c>
      <c r="L5259">
        <v>17.342129999999901</v>
      </c>
      <c r="M5259">
        <v>0.99431429999999998</v>
      </c>
      <c r="N5259">
        <v>0</v>
      </c>
      <c r="O5259">
        <v>-0.10562719999999901</v>
      </c>
      <c r="P5259">
        <v>0.99826349999999997</v>
      </c>
      <c r="Q5259">
        <v>-2.8571859999999998E-3</v>
      </c>
      <c r="R5259">
        <v>-5.8834619999999997E-2</v>
      </c>
      <c r="S5259">
        <v>2.993042</v>
      </c>
      <c r="T5259">
        <v>-9.2113139999999996E-2</v>
      </c>
      <c r="U5259">
        <v>-0.20086670000000001</v>
      </c>
      <c r="V5259">
        <v>-4.698513E-2</v>
      </c>
      <c r="W5259">
        <v>1.045286E-2</v>
      </c>
      <c r="X5259">
        <v>0.99884089999999903</v>
      </c>
      <c r="Y5259">
        <v>-3.8746009999999997E-2</v>
      </c>
      <c r="Z5259">
        <v>3.8346209999999999E-3</v>
      </c>
      <c r="AA5259">
        <v>0.99924169999999901</v>
      </c>
      <c r="AB5259">
        <v>21</v>
      </c>
      <c r="AC5259">
        <v>35.830599999999997</v>
      </c>
      <c r="AD5259">
        <v>-1.106405704143</v>
      </c>
      <c r="AE5259">
        <v>-2.40152999999999</v>
      </c>
      <c r="AF5259">
        <v>-1.39561267047722</v>
      </c>
      <c r="AG5259">
        <v>-1.106405704143</v>
      </c>
      <c r="AH5259">
        <v>35.849779948802002</v>
      </c>
      <c r="AI5259">
        <v>91.766379784979193</v>
      </c>
      <c r="AJ5259">
        <v>92.229368160092307</v>
      </c>
      <c r="AK5259">
        <v>35.893991010831897</v>
      </c>
    </row>
    <row r="5260" spans="1:37" x14ac:dyDescent="0.2">
      <c r="A5260" t="str">
        <f>"20200111155701436"</f>
        <v>20200111155701436</v>
      </c>
      <c r="B5260" t="str">
        <f>"1578729421428009"</f>
        <v>1578729421428009</v>
      </c>
      <c r="C5260" t="s">
        <v>37</v>
      </c>
      <c r="D5260">
        <v>5.2728229999999998</v>
      </c>
      <c r="E5260">
        <v>0.50315390000000004</v>
      </c>
      <c r="F5260" t="s">
        <v>38</v>
      </c>
      <c r="G5260">
        <v>-349.34789999999998</v>
      </c>
      <c r="H5260" s="1">
        <v>-1.4258949999999901E-6</v>
      </c>
      <c r="I5260">
        <v>15.038929999999899</v>
      </c>
      <c r="J5260">
        <v>-384.32389999999998</v>
      </c>
      <c r="K5260">
        <v>1.1064559999999899</v>
      </c>
      <c r="L5260">
        <v>17.331600000000002</v>
      </c>
      <c r="M5260">
        <v>0.9944653</v>
      </c>
      <c r="N5260">
        <v>0</v>
      </c>
      <c r="O5260">
        <v>-0.104197499999999</v>
      </c>
      <c r="P5260">
        <v>0.99835169999999995</v>
      </c>
      <c r="Q5260">
        <v>-3.0798969999999998E-3</v>
      </c>
      <c r="R5260">
        <v>-5.7315110000000002E-2</v>
      </c>
      <c r="S5260">
        <v>2.9934080000000001</v>
      </c>
      <c r="T5260">
        <v>-9.4384190000000007E-2</v>
      </c>
      <c r="U5260">
        <v>-0.19647220000000001</v>
      </c>
      <c r="V5260">
        <v>-4.7069550000000002E-2</v>
      </c>
      <c r="W5260">
        <v>1.022208E-2</v>
      </c>
      <c r="X5260">
        <v>0.99883929999999999</v>
      </c>
      <c r="Y5260">
        <v>-3.8775249999999997E-2</v>
      </c>
      <c r="Z5260">
        <v>3.8845920000000001E-3</v>
      </c>
      <c r="AA5260">
        <v>0.99924040000000003</v>
      </c>
      <c r="AB5260">
        <v>21</v>
      </c>
      <c r="AC5260">
        <v>34.975999999999999</v>
      </c>
      <c r="AD5260">
        <v>-1.106457425895</v>
      </c>
      <c r="AE5260">
        <v>-2.2926700000000002</v>
      </c>
      <c r="AF5260">
        <v>-1.36319654733651</v>
      </c>
      <c r="AG5260">
        <v>-1.106457425895</v>
      </c>
      <c r="AH5260">
        <v>34.989623687292401</v>
      </c>
      <c r="AI5260">
        <v>91.8098568856676</v>
      </c>
      <c r="AJ5260">
        <v>92.231116492055804</v>
      </c>
      <c r="AK5260">
        <v>35.033645523129898</v>
      </c>
    </row>
    <row r="5261" spans="1:37" x14ac:dyDescent="0.2">
      <c r="A5261" t="str">
        <f>"20200111155701449"</f>
        <v>20200111155701449</v>
      </c>
      <c r="B5261" t="str">
        <f>"1578729421438744"</f>
        <v>1578729421438744</v>
      </c>
      <c r="C5261" t="s">
        <v>37</v>
      </c>
      <c r="D5261">
        <v>5.353504</v>
      </c>
      <c r="E5261">
        <v>0.50329449999999998</v>
      </c>
      <c r="F5261" t="s">
        <v>38</v>
      </c>
      <c r="G5261">
        <v>-350.30779999999999</v>
      </c>
      <c r="H5261" s="1">
        <v>-4.9336289999999998E-6</v>
      </c>
      <c r="I5261">
        <v>15.143420000000001</v>
      </c>
      <c r="J5261">
        <v>-384.2158</v>
      </c>
      <c r="K5261">
        <v>1.1064969999999901</v>
      </c>
      <c r="L5261">
        <v>17.321899999999999</v>
      </c>
      <c r="M5261">
        <v>0.99461330000000003</v>
      </c>
      <c r="N5261">
        <v>0</v>
      </c>
      <c r="O5261">
        <v>-0.1027742</v>
      </c>
      <c r="P5261">
        <v>0.99844619999999995</v>
      </c>
      <c r="Q5261">
        <v>-2.9633319999999999E-3</v>
      </c>
      <c r="R5261">
        <v>-5.5645880000000002E-2</v>
      </c>
      <c r="S5261">
        <v>2.9936219999999998</v>
      </c>
      <c r="T5261">
        <v>-9.7375149999999994E-2</v>
      </c>
      <c r="U5261">
        <v>-0.19256589999999901</v>
      </c>
      <c r="V5261">
        <v>-4.731192E-2</v>
      </c>
      <c r="W5261">
        <v>1.033127E-2</v>
      </c>
      <c r="X5261">
        <v>0.99882669999999996</v>
      </c>
      <c r="Y5261">
        <v>-3.8644599999999897E-2</v>
      </c>
      <c r="Z5261">
        <v>3.9594720000000003E-3</v>
      </c>
      <c r="AA5261">
        <v>0.99924519999999994</v>
      </c>
      <c r="AB5261">
        <v>21</v>
      </c>
      <c r="AC5261">
        <v>33.908000000000001</v>
      </c>
      <c r="AD5261">
        <v>-1.1065019336289901</v>
      </c>
      <c r="AE5261">
        <v>-2.1784799999999902</v>
      </c>
      <c r="AF5261">
        <v>-1.3168457404327201</v>
      </c>
      <c r="AG5261">
        <v>-1.1065019336289901</v>
      </c>
      <c r="AH5261">
        <v>33.916358193496698</v>
      </c>
      <c r="AI5261">
        <v>91.867173691954704</v>
      </c>
      <c r="AJ5261">
        <v>92.223464679315498</v>
      </c>
      <c r="AK5261">
        <v>33.959943791808499</v>
      </c>
    </row>
    <row r="5262" spans="1:37" x14ac:dyDescent="0.2">
      <c r="A5262" t="str">
        <f>"20200111155701463"</f>
        <v>20200111155701463</v>
      </c>
      <c r="B5262" t="str">
        <f>"1578729421458264"</f>
        <v>1578729421458264</v>
      </c>
      <c r="C5262" t="s">
        <v>37</v>
      </c>
      <c r="D5262">
        <v>5.3173260000000004</v>
      </c>
      <c r="E5262">
        <v>0.50378230000000002</v>
      </c>
      <c r="F5262" t="s">
        <v>38</v>
      </c>
      <c r="G5262">
        <v>-350.92540000000002</v>
      </c>
      <c r="H5262" s="1">
        <v>-4.6542089999999999E-6</v>
      </c>
      <c r="I5262">
        <v>15.225029999999901</v>
      </c>
      <c r="J5262">
        <v>-384.09089999999998</v>
      </c>
      <c r="K5262">
        <v>1.106554</v>
      </c>
      <c r="L5262">
        <v>17.310879999999901</v>
      </c>
      <c r="M5262">
        <v>0.99478529999999998</v>
      </c>
      <c r="N5262">
        <v>0</v>
      </c>
      <c r="O5262">
        <v>-0.1010972</v>
      </c>
      <c r="P5262">
        <v>0.99854529999999997</v>
      </c>
      <c r="Q5262">
        <v>-3.1725350000000002E-3</v>
      </c>
      <c r="R5262">
        <v>-5.3827420000000001E-2</v>
      </c>
      <c r="S5262">
        <v>2.9938660000000001</v>
      </c>
      <c r="T5262">
        <v>-9.9509719999999996E-2</v>
      </c>
      <c r="U5262">
        <v>-0.18856809999999999</v>
      </c>
      <c r="V5262">
        <v>-4.7447290000000003E-2</v>
      </c>
      <c r="W5262">
        <v>1.0113850000000001E-2</v>
      </c>
      <c r="X5262">
        <v>0.99882249999999995</v>
      </c>
      <c r="Y5262">
        <v>-3.8291909999999998E-2</v>
      </c>
      <c r="Z5262">
        <v>3.9849009999999999E-3</v>
      </c>
      <c r="AA5262">
        <v>0.999258599999999</v>
      </c>
      <c r="AB5262">
        <v>21</v>
      </c>
      <c r="AC5262">
        <v>33.165499999999902</v>
      </c>
      <c r="AD5262">
        <v>-1.106558654209</v>
      </c>
      <c r="AE5262">
        <v>-2.08584999999999</v>
      </c>
      <c r="AF5262">
        <v>-1.2766667055757299</v>
      </c>
      <c r="AG5262">
        <v>-1.106558654209</v>
      </c>
      <c r="AH5262">
        <v>33.169660921262597</v>
      </c>
      <c r="AI5262">
        <v>91.909298354042903</v>
      </c>
      <c r="AJ5262">
        <v>92.204168621815199</v>
      </c>
      <c r="AK5262">
        <v>33.212659567759196</v>
      </c>
    </row>
    <row r="5263" spans="1:37" x14ac:dyDescent="0.2">
      <c r="A5263" t="str">
        <f>"20200111155701479"</f>
        <v>20200111155701479</v>
      </c>
      <c r="B5263" t="str">
        <f>"1578729421468024"</f>
        <v>1578729421468024</v>
      </c>
      <c r="C5263" t="s">
        <v>37</v>
      </c>
      <c r="D5263">
        <v>5.3005899999999997</v>
      </c>
      <c r="E5263">
        <v>0.50401439999999997</v>
      </c>
      <c r="F5263" t="s">
        <v>38</v>
      </c>
      <c r="G5263">
        <v>-352.73630000000003</v>
      </c>
      <c r="H5263" s="1">
        <v>-3.8541220000000003E-6</v>
      </c>
      <c r="I5263">
        <v>15.35581</v>
      </c>
      <c r="J5263">
        <v>-383.93900000000002</v>
      </c>
      <c r="K5263">
        <v>1.1066149999999999</v>
      </c>
      <c r="L5263">
        <v>17.297789999999999</v>
      </c>
      <c r="M5263">
        <v>0.99499769999999899</v>
      </c>
      <c r="N5263">
        <v>0</v>
      </c>
      <c r="O5263">
        <v>-9.8983230000000005E-2</v>
      </c>
      <c r="P5263">
        <v>0.99868089999999998</v>
      </c>
      <c r="Q5263">
        <v>-3.3338069999999998E-3</v>
      </c>
      <c r="R5263">
        <v>-5.123544E-2</v>
      </c>
      <c r="S5263">
        <v>2.9939580000000001</v>
      </c>
      <c r="T5263">
        <v>-0.10566199999999901</v>
      </c>
      <c r="U5263">
        <v>-0.18667600000000001</v>
      </c>
      <c r="V5263">
        <v>-4.79184E-2</v>
      </c>
      <c r="W5263">
        <v>9.9426700000000007E-3</v>
      </c>
      <c r="X5263">
        <v>0.99880179999999996</v>
      </c>
      <c r="Y5263">
        <v>-3.6792020000000002E-2</v>
      </c>
      <c r="Z5263">
        <v>4.130552E-3</v>
      </c>
      <c r="AA5263">
        <v>0.99931440000000005</v>
      </c>
      <c r="AB5263">
        <v>21</v>
      </c>
      <c r="AC5263">
        <v>31.2027</v>
      </c>
      <c r="AD5263">
        <v>-1.1066188541219999</v>
      </c>
      <c r="AE5263">
        <v>-1.94197999999999</v>
      </c>
      <c r="AF5263">
        <v>-1.1549364990127</v>
      </c>
      <c r="AG5263">
        <v>-1.1066188541219999</v>
      </c>
      <c r="AH5263">
        <v>31.202584510527299</v>
      </c>
      <c r="AI5263">
        <v>92.029789926765304</v>
      </c>
      <c r="AJ5263">
        <v>92.119785679520007</v>
      </c>
      <c r="AK5263">
        <v>31.243555555372499</v>
      </c>
    </row>
    <row r="5264" spans="1:37" x14ac:dyDescent="0.2">
      <c r="A5264" t="str">
        <f>"20200111155701493"</f>
        <v>20200111155701493</v>
      </c>
      <c r="B5264" t="str">
        <f>"1578729421488521"</f>
        <v>1578729421488521</v>
      </c>
      <c r="C5264" t="s">
        <v>37</v>
      </c>
      <c r="D5264">
        <v>5.3287829999999996</v>
      </c>
      <c r="E5264">
        <v>0.50450589999999995</v>
      </c>
      <c r="F5264" t="s">
        <v>38</v>
      </c>
      <c r="G5264">
        <v>-353.4785</v>
      </c>
      <c r="H5264" s="1">
        <v>-3.5172829999999999E-6</v>
      </c>
      <c r="I5264">
        <v>15.459849999999999</v>
      </c>
      <c r="J5264">
        <v>-383.81220000000002</v>
      </c>
      <c r="K5264">
        <v>1.1066639999999901</v>
      </c>
      <c r="L5264">
        <v>17.28726</v>
      </c>
      <c r="M5264">
        <v>0.99517860000000002</v>
      </c>
      <c r="N5264">
        <v>0</v>
      </c>
      <c r="O5264">
        <v>-9.7147399999999995E-2</v>
      </c>
      <c r="P5264">
        <v>0.998779999999999</v>
      </c>
      <c r="Q5264">
        <v>-3.4737050000000001E-3</v>
      </c>
      <c r="R5264">
        <v>-4.9261569999999998E-2</v>
      </c>
      <c r="S5264">
        <v>2.9943240000000002</v>
      </c>
      <c r="T5264">
        <v>-0.1087828</v>
      </c>
      <c r="U5264">
        <v>-0.18066409999999999</v>
      </c>
      <c r="V5264">
        <v>-4.80504E-2</v>
      </c>
      <c r="W5264">
        <v>9.7962899999999992E-3</v>
      </c>
      <c r="X5264">
        <v>0.99879689999999999</v>
      </c>
      <c r="Y5264">
        <v>-3.695093E-2</v>
      </c>
      <c r="Z5264">
        <v>4.1889090000000002E-3</v>
      </c>
      <c r="AA5264">
        <v>0.99930830000000004</v>
      </c>
      <c r="AB5264">
        <v>21</v>
      </c>
      <c r="AC5264">
        <v>30.3337</v>
      </c>
      <c r="AD5264">
        <v>-1.1066675172829901</v>
      </c>
      <c r="AE5264">
        <v>-1.82741</v>
      </c>
      <c r="AF5264">
        <v>-1.12684897895257</v>
      </c>
      <c r="AG5264">
        <v>-1.1066675172829901</v>
      </c>
      <c r="AH5264">
        <v>30.3275193915327</v>
      </c>
      <c r="AI5264">
        <v>92.088386802570398</v>
      </c>
      <c r="AJ5264">
        <v>92.127902479756699</v>
      </c>
      <c r="AK5264">
        <v>30.3686175855762</v>
      </c>
    </row>
    <row r="5265" spans="1:37" x14ac:dyDescent="0.2">
      <c r="A5265" t="str">
        <f>"20200111155701509"</f>
        <v>20200111155701509</v>
      </c>
      <c r="B5265" t="str">
        <f>"1578729421498279"</f>
        <v>1578729421498279</v>
      </c>
      <c r="C5265" t="s">
        <v>37</v>
      </c>
      <c r="D5265">
        <v>5.3262089999999898</v>
      </c>
      <c r="E5265">
        <v>0.5046967</v>
      </c>
      <c r="F5265" t="s">
        <v>38</v>
      </c>
      <c r="G5265">
        <v>-354.52099999999899</v>
      </c>
      <c r="H5265" s="1">
        <v>-3.0556360000000002E-6</v>
      </c>
      <c r="I5265">
        <v>15.54116</v>
      </c>
      <c r="J5265">
        <v>-383.67619999999999</v>
      </c>
      <c r="K5265">
        <v>1.1067129999999901</v>
      </c>
      <c r="L5265">
        <v>17.27628</v>
      </c>
      <c r="M5265">
        <v>0.99537310000000001</v>
      </c>
      <c r="N5265">
        <v>0</v>
      </c>
      <c r="O5265">
        <v>-9.5135029999999995E-2</v>
      </c>
      <c r="P5265">
        <v>0.99887409999999999</v>
      </c>
      <c r="Q5265">
        <v>-3.7463659999999901E-3</v>
      </c>
      <c r="R5265">
        <v>-4.729535E-2</v>
      </c>
      <c r="S5265">
        <v>2.9944759999999899</v>
      </c>
      <c r="T5265">
        <v>-0.1131361</v>
      </c>
      <c r="U5265">
        <v>-0.1784973</v>
      </c>
      <c r="V5265">
        <v>-4.799718E-2</v>
      </c>
      <c r="W5265">
        <v>9.5159219999999996E-3</v>
      </c>
      <c r="X5265">
        <v>0.99880210000000003</v>
      </c>
      <c r="Y5265">
        <v>-3.564908E-2</v>
      </c>
      <c r="Z5265">
        <v>4.2561959999999899E-3</v>
      </c>
      <c r="AA5265">
        <v>0.99935529999999995</v>
      </c>
      <c r="AB5265">
        <v>21</v>
      </c>
      <c r="AC5265">
        <v>29.155200000000001</v>
      </c>
      <c r="AD5265">
        <v>-1.1067160556359901</v>
      </c>
      <c r="AE5265">
        <v>-1.73511999999999</v>
      </c>
      <c r="AF5265">
        <v>-1.04518344609693</v>
      </c>
      <c r="AG5265">
        <v>-1.1067160556359901</v>
      </c>
      <c r="AH5265">
        <v>29.1461754781804</v>
      </c>
      <c r="AI5265">
        <v>92.173150889528202</v>
      </c>
      <c r="AJ5265">
        <v>92.053749752038499</v>
      </c>
      <c r="AK5265">
        <v>29.185900257978702</v>
      </c>
    </row>
    <row r="5266" spans="1:37" x14ac:dyDescent="0.2">
      <c r="A5266" t="str">
        <f>"20200111155701525"</f>
        <v>20200111155701525</v>
      </c>
      <c r="B5266" t="str">
        <f>"1578729421518777"</f>
        <v>1578729421518777</v>
      </c>
      <c r="C5266" t="s">
        <v>37</v>
      </c>
      <c r="D5266">
        <v>5.2943049999999996</v>
      </c>
      <c r="E5266">
        <v>0.50553340000000002</v>
      </c>
      <c r="F5266" t="s">
        <v>38</v>
      </c>
      <c r="G5266">
        <v>-354.98250000000002</v>
      </c>
      <c r="H5266" s="1">
        <v>-2.8456470000000001E-6</v>
      </c>
      <c r="I5266">
        <v>15.60891</v>
      </c>
      <c r="J5266">
        <v>-383.51850000000002</v>
      </c>
      <c r="K5266">
        <v>1.1067670000000001</v>
      </c>
      <c r="L5266">
        <v>17.263950000000001</v>
      </c>
      <c r="M5266">
        <v>0.99559959999999903</v>
      </c>
      <c r="N5266">
        <v>0</v>
      </c>
      <c r="O5266">
        <v>-9.2737340000000001E-2</v>
      </c>
      <c r="P5266">
        <v>0.99898539999999902</v>
      </c>
      <c r="Q5266">
        <v>-4.2208599999999999E-3</v>
      </c>
      <c r="R5266">
        <v>-4.4842859999999998E-2</v>
      </c>
      <c r="S5266">
        <v>2.99472</v>
      </c>
      <c r="T5266">
        <v>-0.115506199999999</v>
      </c>
      <c r="U5266">
        <v>-0.1740112</v>
      </c>
      <c r="V5266">
        <v>-4.8042649999999999E-2</v>
      </c>
      <c r="W5266">
        <v>9.0248009999999903E-3</v>
      </c>
      <c r="X5266">
        <v>0.99880449999999998</v>
      </c>
      <c r="Y5266">
        <v>-3.4737249999999997E-2</v>
      </c>
      <c r="Z5266">
        <v>4.2356920000000001E-3</v>
      </c>
      <c r="AA5266">
        <v>0.99938749999999998</v>
      </c>
      <c r="AB5266">
        <v>21</v>
      </c>
      <c r="AC5266">
        <v>28.536000000000001</v>
      </c>
      <c r="AD5266">
        <v>-1.1067698456470001</v>
      </c>
      <c r="AE5266">
        <v>-1.6550400000000001</v>
      </c>
      <c r="AF5266">
        <v>-0.99719104367404898</v>
      </c>
      <c r="AG5266">
        <v>-1.1067698456470001</v>
      </c>
      <c r="AH5266">
        <v>28.5237389356517</v>
      </c>
      <c r="AI5266">
        <v>92.220704206299501</v>
      </c>
      <c r="AJ5266">
        <v>92.002247269820401</v>
      </c>
      <c r="AK5266">
        <v>28.562615642444701</v>
      </c>
    </row>
    <row r="5267" spans="1:37" x14ac:dyDescent="0.2">
      <c r="A5267" t="str">
        <f>"20200111155701540"</f>
        <v>20200111155701540</v>
      </c>
      <c r="B5267" t="str">
        <f>"1578729421528536"</f>
        <v>1578729421528536</v>
      </c>
      <c r="C5267" t="s">
        <v>37</v>
      </c>
      <c r="D5267">
        <v>5.324827</v>
      </c>
      <c r="E5267">
        <v>0.50605990000000001</v>
      </c>
      <c r="F5267" t="s">
        <v>38</v>
      </c>
      <c r="G5267">
        <v>-355.6884</v>
      </c>
      <c r="H5267" s="1">
        <v>-2.5347239999999999E-6</v>
      </c>
      <c r="I5267">
        <v>15.65446</v>
      </c>
      <c r="J5267">
        <v>-383.38400000000001</v>
      </c>
      <c r="K5267">
        <v>1.10680499999999</v>
      </c>
      <c r="L5267">
        <v>17.25375</v>
      </c>
      <c r="M5267">
        <v>0.99579300000000004</v>
      </c>
      <c r="N5267">
        <v>0</v>
      </c>
      <c r="O5267">
        <v>-9.0639520000000001E-2</v>
      </c>
      <c r="P5267">
        <v>0.99907809999999897</v>
      </c>
      <c r="Q5267">
        <v>-4.3894829999999996E-3</v>
      </c>
      <c r="R5267">
        <v>-4.2706710000000002E-2</v>
      </c>
      <c r="S5267">
        <v>2.9947810000000001</v>
      </c>
      <c r="T5267">
        <v>-0.1190987</v>
      </c>
      <c r="U5267">
        <v>-0.17318729999999999</v>
      </c>
      <c r="V5267">
        <v>-4.8073690000000002E-2</v>
      </c>
      <c r="W5267">
        <v>8.8321649999999995E-3</v>
      </c>
      <c r="X5267">
        <v>0.99880469999999899</v>
      </c>
      <c r="Y5267">
        <v>-3.2903910000000001E-2</v>
      </c>
      <c r="Z5267">
        <v>4.2479190000000002E-3</v>
      </c>
      <c r="AA5267">
        <v>0.99944949999999999</v>
      </c>
      <c r="AB5267">
        <v>21</v>
      </c>
      <c r="AC5267">
        <v>27.695599999999999</v>
      </c>
      <c r="AD5267">
        <v>-1.1068075347239901</v>
      </c>
      <c r="AE5267">
        <v>-1.5992899999999901</v>
      </c>
      <c r="AF5267">
        <v>-0.91637841730840297</v>
      </c>
      <c r="AG5267">
        <v>-1.1068075347239901</v>
      </c>
      <c r="AH5267">
        <v>27.682485980311299</v>
      </c>
      <c r="AI5267">
        <v>92.288341420703304</v>
      </c>
      <c r="AJ5267">
        <v>91.895980362328004</v>
      </c>
      <c r="AK5267">
        <v>27.719754731468299</v>
      </c>
    </row>
    <row r="5268" spans="1:37" x14ac:dyDescent="0.2">
      <c r="A5268" t="str">
        <f>"20200111155701557"</f>
        <v>20200111155701557</v>
      </c>
      <c r="B5268" t="str">
        <f>"1578729421548055"</f>
        <v>1578729421548055</v>
      </c>
      <c r="C5268" t="s">
        <v>37</v>
      </c>
      <c r="D5268">
        <v>5.3601910000000004</v>
      </c>
      <c r="E5268">
        <v>0.50710370000000005</v>
      </c>
      <c r="F5268" t="s">
        <v>38</v>
      </c>
      <c r="G5268">
        <v>-355.78399999999999</v>
      </c>
      <c r="H5268" s="1">
        <v>-2.489466E-6</v>
      </c>
      <c r="I5268">
        <v>15.678459999999999</v>
      </c>
      <c r="J5268">
        <v>-383.22039999999998</v>
      </c>
      <c r="K5268">
        <v>1.1068480000000001</v>
      </c>
      <c r="L5268">
        <v>17.241879999999998</v>
      </c>
      <c r="M5268">
        <v>0.99602939999999995</v>
      </c>
      <c r="N5268">
        <v>0</v>
      </c>
      <c r="O5268">
        <v>-8.8011060000000002E-2</v>
      </c>
      <c r="P5268">
        <v>0.9992065</v>
      </c>
      <c r="Q5268">
        <v>-4.3362679999999999E-3</v>
      </c>
      <c r="R5268">
        <v>-3.9596489999999998E-2</v>
      </c>
      <c r="S5268">
        <v>2.9949340000000002</v>
      </c>
      <c r="T5268">
        <v>-0.1201019</v>
      </c>
      <c r="U5268">
        <v>-0.170929</v>
      </c>
      <c r="V5268">
        <v>-4.8548040000000001E-2</v>
      </c>
      <c r="W5268">
        <v>8.8302580000000006E-3</v>
      </c>
      <c r="X5268">
        <v>0.99878180000000005</v>
      </c>
      <c r="Y5268">
        <v>-3.1022029999999999E-2</v>
      </c>
      <c r="Z5268">
        <v>4.1410529999999996E-3</v>
      </c>
      <c r="AA5268">
        <v>0.99951009999999996</v>
      </c>
      <c r="AB5268">
        <v>21</v>
      </c>
      <c r="AC5268">
        <v>27.4363999999999</v>
      </c>
      <c r="AD5268">
        <v>-1.1068504894660001</v>
      </c>
      <c r="AE5268">
        <v>-1.56341999999999</v>
      </c>
      <c r="AF5268">
        <v>-0.85618239182712397</v>
      </c>
      <c r="AG5268">
        <v>-1.1068504894660001</v>
      </c>
      <c r="AH5268">
        <v>27.4230376180526</v>
      </c>
      <c r="AI5268">
        <v>92.310197071837806</v>
      </c>
      <c r="AJ5268">
        <v>91.788266794071504</v>
      </c>
      <c r="AK5268">
        <v>27.458717349782301</v>
      </c>
    </row>
    <row r="5269" spans="1:37" x14ac:dyDescent="0.2">
      <c r="A5269" t="str">
        <f>"20200111155701573"</f>
        <v>20200111155701573</v>
      </c>
      <c r="B5269" t="str">
        <f>"1578729421568552"</f>
        <v>1578729421568552</v>
      </c>
      <c r="C5269" t="s">
        <v>37</v>
      </c>
      <c r="D5269">
        <v>6.2323729999999999</v>
      </c>
      <c r="E5269">
        <v>0.50759659999999995</v>
      </c>
      <c r="F5269" t="s">
        <v>38</v>
      </c>
      <c r="G5269">
        <v>-355.7998</v>
      </c>
      <c r="H5269" s="1">
        <v>-2.4812769999999999E-6</v>
      </c>
      <c r="I5269">
        <v>15.686400000000001</v>
      </c>
      <c r="J5269">
        <v>-383.08120000000002</v>
      </c>
      <c r="K5269">
        <v>1.1068770000000001</v>
      </c>
      <c r="L5269">
        <v>17.232240000000001</v>
      </c>
      <c r="M5269">
        <v>0.99623039999999996</v>
      </c>
      <c r="N5269">
        <v>0</v>
      </c>
      <c r="O5269">
        <v>-8.5713360000000002E-2</v>
      </c>
      <c r="P5269">
        <v>0.99930459999999999</v>
      </c>
      <c r="Q5269">
        <v>-3.9667319999999997E-3</v>
      </c>
      <c r="R5269">
        <v>-3.708127E-2</v>
      </c>
      <c r="S5269">
        <v>2.9950559999999999</v>
      </c>
      <c r="T5269">
        <v>-0.1208972</v>
      </c>
      <c r="U5269">
        <v>-0.1698914</v>
      </c>
      <c r="V5269">
        <v>-4.87608E-2</v>
      </c>
      <c r="W5269">
        <v>9.1349450000000002E-3</v>
      </c>
      <c r="X5269">
        <v>0.99876869999999995</v>
      </c>
      <c r="Y5269">
        <v>-2.906605E-2</v>
      </c>
      <c r="Z5269">
        <v>4.036637E-3</v>
      </c>
      <c r="AA5269">
        <v>0.99956939999999905</v>
      </c>
      <c r="AB5269">
        <v>21</v>
      </c>
      <c r="AC5269">
        <v>27.281400000000001</v>
      </c>
      <c r="AD5269">
        <v>-1.106879481277</v>
      </c>
      <c r="AE5269">
        <v>-1.5458400000000001</v>
      </c>
      <c r="AF5269">
        <v>-0.79713081484075199</v>
      </c>
      <c r="AG5269">
        <v>-1.106879481277</v>
      </c>
      <c r="AH5269">
        <v>27.268748473263301</v>
      </c>
      <c r="AI5269">
        <v>92.323454284127294</v>
      </c>
      <c r="AJ5269">
        <v>91.674415994794998</v>
      </c>
      <c r="AK5269">
        <v>27.302843130709601</v>
      </c>
    </row>
    <row r="5270" spans="1:37" x14ac:dyDescent="0.2">
      <c r="A5270" t="str">
        <f>"20200111155701588"</f>
        <v>20200111155701588</v>
      </c>
      <c r="B5270" t="str">
        <f>"1578729421578312"</f>
        <v>1578729421578312</v>
      </c>
      <c r="C5270" t="s">
        <v>37</v>
      </c>
      <c r="D5270">
        <v>5.3595709999999999</v>
      </c>
      <c r="E5270">
        <v>0.517652</v>
      </c>
      <c r="F5270" t="s">
        <v>38</v>
      </c>
      <c r="G5270">
        <v>-355.423</v>
      </c>
      <c r="H5270" s="1">
        <v>-2.6411410000000001E-6</v>
      </c>
      <c r="I5270">
        <v>15.69645</v>
      </c>
      <c r="J5270">
        <v>-382.9427</v>
      </c>
      <c r="K5270">
        <v>1.1068979999999999</v>
      </c>
      <c r="L5270">
        <v>17.222989999999999</v>
      </c>
      <c r="M5270">
        <v>0.99642909999999996</v>
      </c>
      <c r="N5270">
        <v>0</v>
      </c>
      <c r="O5270">
        <v>-8.3384379999999994E-2</v>
      </c>
      <c r="P5270">
        <v>0.99939820000000001</v>
      </c>
      <c r="Q5270">
        <v>-3.4282169999999999E-3</v>
      </c>
      <c r="R5270">
        <v>-3.4517890000000002E-2</v>
      </c>
      <c r="S5270">
        <v>2.9954529999999999</v>
      </c>
      <c r="T5270">
        <v>-0.1198777</v>
      </c>
      <c r="U5270">
        <v>-0.16632079999999999</v>
      </c>
      <c r="V5270">
        <v>-4.8991090000000001E-2</v>
      </c>
      <c r="W5270">
        <v>9.5898289999999994E-3</v>
      </c>
      <c r="X5270">
        <v>0.99875319999999901</v>
      </c>
      <c r="Y5270">
        <v>-2.7928919999999999E-2</v>
      </c>
      <c r="Z5270">
        <v>3.8867979999999999E-3</v>
      </c>
      <c r="AA5270">
        <v>0.999602399999999</v>
      </c>
      <c r="AB5270">
        <v>21</v>
      </c>
      <c r="AC5270">
        <v>27.5197</v>
      </c>
      <c r="AD5270">
        <v>-1.1069006411409901</v>
      </c>
      <c r="AE5270">
        <v>-1.52653999999999</v>
      </c>
      <c r="AF5270">
        <v>-0.77244652314663897</v>
      </c>
      <c r="AG5270">
        <v>-1.1069006411409901</v>
      </c>
      <c r="AH5270">
        <v>27.506780916763699</v>
      </c>
      <c r="AI5270">
        <v>92.303489587340707</v>
      </c>
      <c r="AJ5270">
        <v>91.608559626210806</v>
      </c>
      <c r="AK5270">
        <v>27.5398783414763</v>
      </c>
    </row>
    <row r="5271" spans="1:37" x14ac:dyDescent="0.2">
      <c r="A5271" t="str">
        <f>"20200111155701603"</f>
        <v>20200111155701603</v>
      </c>
      <c r="B5271" t="str">
        <f>"1578729421598807"</f>
        <v>1578729421598807</v>
      </c>
      <c r="C5271" t="s">
        <v>37</v>
      </c>
      <c r="D5271">
        <v>5.5776820000000003</v>
      </c>
      <c r="E5271">
        <v>0.517652</v>
      </c>
      <c r="F5271" t="s">
        <v>51</v>
      </c>
      <c r="G5271">
        <v>-241.07</v>
      </c>
      <c r="H5271">
        <v>7.1071689999999998</v>
      </c>
      <c r="I5271">
        <v>5.3054139999999999</v>
      </c>
      <c r="J5271">
        <v>-382.801999999999</v>
      </c>
      <c r="K5271">
        <v>1.106922</v>
      </c>
      <c r="L5271">
        <v>17.21396</v>
      </c>
      <c r="M5271">
        <v>0.99662909999999905</v>
      </c>
      <c r="N5271">
        <v>0</v>
      </c>
      <c r="O5271">
        <v>-8.0974299999999999E-2</v>
      </c>
      <c r="P5271">
        <v>0.99946610000000002</v>
      </c>
      <c r="Q5271">
        <v>-2.7734299999999999E-3</v>
      </c>
      <c r="R5271">
        <v>-3.255284E-2</v>
      </c>
      <c r="S5271">
        <v>2.9935610000000001</v>
      </c>
      <c r="T5271">
        <v>0.12660750000000001</v>
      </c>
      <c r="U5271">
        <v>-0.25146479999999999</v>
      </c>
      <c r="V5271">
        <v>-4.8542679999999998E-2</v>
      </c>
      <c r="W5271">
        <v>1.014579E-2</v>
      </c>
      <c r="X5271">
        <v>0.99876960000000004</v>
      </c>
      <c r="Y5271">
        <v>2.80423E-3</v>
      </c>
      <c r="Z5271">
        <v>-3.3525500000000001E-3</v>
      </c>
      <c r="AA5271">
        <v>0.9999905</v>
      </c>
      <c r="AB5271">
        <v>21</v>
      </c>
      <c r="AC5271">
        <v>141.731999999999</v>
      </c>
      <c r="AD5271">
        <v>6.0002469999999999</v>
      </c>
      <c r="AE5271">
        <v>-11.908545999999999</v>
      </c>
      <c r="AF5271">
        <v>0.39109197622243203</v>
      </c>
      <c r="AG5271">
        <v>6.0002469999999999</v>
      </c>
      <c r="AH5271">
        <v>141.97818909704699</v>
      </c>
      <c r="AI5271">
        <v>87.580029206700104</v>
      </c>
      <c r="AJ5271">
        <v>89.842173906384403</v>
      </c>
      <c r="AK5271">
        <v>142.10546117680201</v>
      </c>
    </row>
    <row r="5272" spans="1:37" x14ac:dyDescent="0.2">
      <c r="A5272" t="str">
        <f>"20200111155701617"</f>
        <v>20200111155701617</v>
      </c>
      <c r="B5272" t="str">
        <f>"1578729421608568"</f>
        <v>1578729421608568</v>
      </c>
      <c r="C5272" t="s">
        <v>37</v>
      </c>
      <c r="D5272">
        <v>5.5796710000000003</v>
      </c>
      <c r="E5272">
        <v>0.47904639999999998</v>
      </c>
      <c r="F5272" t="s">
        <v>51</v>
      </c>
      <c r="G5272">
        <v>-241.07</v>
      </c>
      <c r="H5272">
        <v>7.1943729999999997</v>
      </c>
      <c r="I5272">
        <v>5.5914900000000003</v>
      </c>
      <c r="J5272">
        <v>-382.67129999999997</v>
      </c>
      <c r="K5272">
        <v>1.10693</v>
      </c>
      <c r="L5272">
        <v>17.205870000000001</v>
      </c>
      <c r="M5272">
        <v>0.99681249999999999</v>
      </c>
      <c r="N5272">
        <v>0</v>
      </c>
      <c r="O5272">
        <v>-7.8702540000000001E-2</v>
      </c>
      <c r="P5272">
        <v>0.99953110000000001</v>
      </c>
      <c r="Q5272">
        <v>-2.6610340000000001E-3</v>
      </c>
      <c r="R5272">
        <v>-3.0511449999999999E-2</v>
      </c>
      <c r="S5272">
        <v>2.9939580000000001</v>
      </c>
      <c r="T5272">
        <v>0.1285917</v>
      </c>
      <c r="U5272">
        <v>-0.24551390000000001</v>
      </c>
      <c r="V5272">
        <v>-4.8307879999999997E-2</v>
      </c>
      <c r="W5272">
        <v>1.015247E-2</v>
      </c>
      <c r="X5272">
        <v>0.99878089999999997</v>
      </c>
      <c r="Y5272">
        <v>3.098328E-3</v>
      </c>
      <c r="Z5272">
        <v>-3.3016539999999998E-3</v>
      </c>
      <c r="AA5272">
        <v>0.99998969999999898</v>
      </c>
      <c r="AB5272">
        <v>21</v>
      </c>
      <c r="AC5272">
        <v>141.60129999999899</v>
      </c>
      <c r="AD5272">
        <v>6.0874430000000004</v>
      </c>
      <c r="AE5272">
        <v>-11.614380000000001</v>
      </c>
      <c r="AF5272">
        <v>0.43222068951106901</v>
      </c>
      <c r="AG5272">
        <v>6.0874430000000004</v>
      </c>
      <c r="AH5272">
        <v>141.81581305823801</v>
      </c>
      <c r="AI5272">
        <v>87.542099251100893</v>
      </c>
      <c r="AJ5272">
        <v>89.825376704360593</v>
      </c>
      <c r="AK5272">
        <v>141.94706270427699</v>
      </c>
    </row>
    <row r="5273" spans="1:37" x14ac:dyDescent="0.2">
      <c r="A5273" t="str">
        <f>"20200111155701635"</f>
        <v>20200111155701635</v>
      </c>
      <c r="B5273" t="str">
        <f>"1578729421628087"</f>
        <v>1578729421628087</v>
      </c>
      <c r="C5273" t="s">
        <v>37</v>
      </c>
      <c r="D5273">
        <v>5.5562269999999998</v>
      </c>
      <c r="E5273">
        <v>0.478630099999999</v>
      </c>
      <c r="F5273" t="s">
        <v>38</v>
      </c>
      <c r="G5273">
        <v>-344.11529999999999</v>
      </c>
      <c r="H5273" s="1">
        <v>-2.752987E-6</v>
      </c>
      <c r="I5273">
        <v>18.228629999999999</v>
      </c>
      <c r="J5273">
        <v>-382.5061</v>
      </c>
      <c r="K5273">
        <v>1.1069260000000001</v>
      </c>
      <c r="L5273">
        <v>17.196200000000001</v>
      </c>
      <c r="M5273">
        <v>0.99704029999999999</v>
      </c>
      <c r="N5273">
        <v>0</v>
      </c>
      <c r="O5273">
        <v>-7.5785069999999996E-2</v>
      </c>
      <c r="P5273">
        <v>0.99958179999999996</v>
      </c>
      <c r="Q5273">
        <v>-3.3743329999999898E-3</v>
      </c>
      <c r="R5273">
        <v>-2.8726020000000001E-2</v>
      </c>
      <c r="S5273">
        <v>3.00360099999999</v>
      </c>
      <c r="T5273">
        <v>-8.6232539999999996E-2</v>
      </c>
      <c r="U5273">
        <v>7.9681399999999999E-2</v>
      </c>
      <c r="V5273">
        <v>-4.7164270000000001E-2</v>
      </c>
      <c r="W5273">
        <v>9.3027839999999997E-3</v>
      </c>
      <c r="X5273">
        <v>0.99884379999999995</v>
      </c>
      <c r="Y5273">
        <v>-0.1021345</v>
      </c>
      <c r="Z5273">
        <v>3.6396659999999902E-3</v>
      </c>
      <c r="AA5273">
        <v>0.99476390000000003</v>
      </c>
      <c r="AB5273">
        <v>21</v>
      </c>
      <c r="AC5273">
        <v>38.390799999999999</v>
      </c>
      <c r="AD5273">
        <v>-1.106928752987</v>
      </c>
      <c r="AE5273">
        <v>1.03242999999999</v>
      </c>
      <c r="AF5273">
        <v>-3.93588349363137</v>
      </c>
      <c r="AG5273">
        <v>-1.106928752987</v>
      </c>
      <c r="AH5273">
        <v>38.170416886628999</v>
      </c>
      <c r="AI5273">
        <v>91.652336028225804</v>
      </c>
      <c r="AJ5273">
        <v>95.887159660038506</v>
      </c>
      <c r="AK5273">
        <v>38.3887639217347</v>
      </c>
    </row>
    <row r="5274" spans="1:37" x14ac:dyDescent="0.2">
      <c r="A5274" t="str">
        <f>"20200111155701649"</f>
        <v>20200111155701649</v>
      </c>
      <c r="B5274" t="str">
        <f>"1578729421638824"</f>
        <v>1578729421638824</v>
      </c>
      <c r="C5274" t="s">
        <v>37</v>
      </c>
      <c r="D5274">
        <v>5.3791479999999998</v>
      </c>
      <c r="E5274">
        <v>0.47931000000000001</v>
      </c>
      <c r="F5274" t="s">
        <v>38</v>
      </c>
      <c r="G5274">
        <v>-358.30020000000002</v>
      </c>
      <c r="H5274" s="1">
        <v>-1.0139430000000001E-6</v>
      </c>
      <c r="I5274">
        <v>17.927099999999999</v>
      </c>
      <c r="J5274">
        <v>-382.38760000000002</v>
      </c>
      <c r="K5274">
        <v>1.1069169999999999</v>
      </c>
      <c r="L5274">
        <v>17.189640000000001</v>
      </c>
      <c r="M5274">
        <v>0.99720039999999999</v>
      </c>
      <c r="N5274">
        <v>0</v>
      </c>
      <c r="O5274">
        <v>-7.3669059999999995E-2</v>
      </c>
      <c r="P5274">
        <v>0.99962320000000005</v>
      </c>
      <c r="Q5274">
        <v>-3.7714670000000001E-3</v>
      </c>
      <c r="R5274">
        <v>-2.719678E-2</v>
      </c>
      <c r="S5274">
        <v>3.003387</v>
      </c>
      <c r="T5274">
        <v>-0.13734360000000001</v>
      </c>
      <c r="U5274">
        <v>9.0698239999999999E-2</v>
      </c>
      <c r="V5274">
        <v>-4.6570069999999998E-2</v>
      </c>
      <c r="W5274">
        <v>8.8040329999999993E-3</v>
      </c>
      <c r="X5274">
        <v>0.99887619999999899</v>
      </c>
      <c r="Y5274">
        <v>-0.1035594</v>
      </c>
      <c r="Z5274">
        <v>5.7313399999999997E-3</v>
      </c>
      <c r="AA5274">
        <v>0.99460669999999995</v>
      </c>
      <c r="AB5274">
        <v>21</v>
      </c>
      <c r="AC5274">
        <v>24.087399999999999</v>
      </c>
      <c r="AD5274">
        <v>-1.1069180139429999</v>
      </c>
      <c r="AE5274">
        <v>0.73745999999999801</v>
      </c>
      <c r="AF5274">
        <v>-2.50481296081117</v>
      </c>
      <c r="AG5274">
        <v>-1.1069180139429999</v>
      </c>
      <c r="AH5274">
        <v>23.917144406564599</v>
      </c>
      <c r="AI5274">
        <v>92.635442814605398</v>
      </c>
      <c r="AJ5274">
        <v>95.978721279241896</v>
      </c>
      <c r="AK5274">
        <v>24.0734117237816</v>
      </c>
    </row>
    <row r="5275" spans="1:37" x14ac:dyDescent="0.2">
      <c r="A5275" t="str">
        <f>"20200111155701663"</f>
        <v>20200111155701663</v>
      </c>
      <c r="B5275" t="str">
        <f>"1578729421658344"</f>
        <v>1578729421658344</v>
      </c>
      <c r="C5275" t="s">
        <v>37</v>
      </c>
      <c r="D5275">
        <v>5.5430799999999998</v>
      </c>
      <c r="E5275">
        <v>0.47918509999999997</v>
      </c>
      <c r="F5275" t="s">
        <v>90</v>
      </c>
      <c r="G5275">
        <v>-360.04020000000003</v>
      </c>
      <c r="H5275" s="1">
        <v>-5.0198249999999998E-6</v>
      </c>
      <c r="I5275">
        <v>17.8614</v>
      </c>
      <c r="J5275">
        <v>-382.25630000000001</v>
      </c>
      <c r="K5275">
        <v>1.1069040000000001</v>
      </c>
      <c r="L5275">
        <v>17.182590000000001</v>
      </c>
      <c r="M5275">
        <v>0.997372699999999</v>
      </c>
      <c r="N5275">
        <v>0</v>
      </c>
      <c r="O5275">
        <v>-7.1316060000000001E-2</v>
      </c>
      <c r="P5275">
        <v>0.99967609999999996</v>
      </c>
      <c r="Q5275">
        <v>-3.9965749999999996E-3</v>
      </c>
      <c r="R5275">
        <v>-2.5135359999999999E-2</v>
      </c>
      <c r="S5275">
        <v>3.0030209999999999</v>
      </c>
      <c r="T5275">
        <v>-0.14874679999999901</v>
      </c>
      <c r="U5275">
        <v>9.0271000000000004E-2</v>
      </c>
      <c r="V5275">
        <v>-4.627204E-2</v>
      </c>
      <c r="W5275">
        <v>8.4607239999999993E-3</v>
      </c>
      <c r="X5275">
        <v>0.99889300000000003</v>
      </c>
      <c r="Y5275">
        <v>-0.1010485</v>
      </c>
      <c r="Z5275">
        <v>6.0289640000000004E-3</v>
      </c>
      <c r="AA5275">
        <v>0.99486319999999995</v>
      </c>
      <c r="AB5275">
        <v>21</v>
      </c>
      <c r="AC5275">
        <v>22.216099999999901</v>
      </c>
      <c r="AD5275">
        <v>-1.106909019825</v>
      </c>
      <c r="AE5275">
        <v>0.67880999999999803</v>
      </c>
      <c r="AF5275">
        <v>-2.2559789273355499</v>
      </c>
      <c r="AG5275">
        <v>-1.106909019825</v>
      </c>
      <c r="AH5275">
        <v>22.0564057043104</v>
      </c>
      <c r="AI5275">
        <v>92.858113430571805</v>
      </c>
      <c r="AJ5275">
        <v>95.840032596523102</v>
      </c>
      <c r="AK5275">
        <v>22.199092798848501</v>
      </c>
    </row>
    <row r="5276" spans="1:37" x14ac:dyDescent="0.2">
      <c r="A5276" t="str">
        <f>"20200111155701681"</f>
        <v>20200111155701681</v>
      </c>
      <c r="B5276" t="str">
        <f>"1578729421678841"</f>
        <v>1578729421678841</v>
      </c>
      <c r="C5276" t="s">
        <v>37</v>
      </c>
      <c r="D5276">
        <v>5.4462459999999897</v>
      </c>
      <c r="E5276">
        <v>0.48048459999999898</v>
      </c>
      <c r="F5276" t="s">
        <v>90</v>
      </c>
      <c r="G5276">
        <v>-360.92910000000001</v>
      </c>
      <c r="H5276" s="1">
        <v>-4.5969430000000001E-6</v>
      </c>
      <c r="I5276">
        <v>17.8764</v>
      </c>
      <c r="J5276">
        <v>-382.09039999999999</v>
      </c>
      <c r="K5276">
        <v>1.106876</v>
      </c>
      <c r="L5276">
        <v>17.174129999999899</v>
      </c>
      <c r="M5276">
        <v>0.99758440000000004</v>
      </c>
      <c r="N5276">
        <v>0</v>
      </c>
      <c r="O5276">
        <v>-6.8324399999999993E-2</v>
      </c>
      <c r="P5276">
        <v>0.99973909999999999</v>
      </c>
      <c r="Q5276">
        <v>-4.34731099999999E-3</v>
      </c>
      <c r="R5276">
        <v>-2.2432799999999999E-2</v>
      </c>
      <c r="S5276">
        <v>3.0028079999999999</v>
      </c>
      <c r="T5276">
        <v>-0.1558495</v>
      </c>
      <c r="U5276">
        <v>9.7686770000000006E-2</v>
      </c>
      <c r="V5276">
        <v>-4.5973109999999998E-2</v>
      </c>
      <c r="W5276">
        <v>7.9529089999999993E-3</v>
      </c>
      <c r="X5276">
        <v>0.99891099999999999</v>
      </c>
      <c r="Y5276">
        <v>-0.1005052</v>
      </c>
      <c r="Z5276">
        <v>6.14772199999999E-3</v>
      </c>
      <c r="AA5276">
        <v>0.99491749999999901</v>
      </c>
      <c r="AB5276">
        <v>21</v>
      </c>
      <c r="AC5276">
        <v>21.161299999999901</v>
      </c>
      <c r="AD5276">
        <v>-1.106880596943</v>
      </c>
      <c r="AE5276">
        <v>0.70227000000000195</v>
      </c>
      <c r="AF5276">
        <v>-2.1407247968167602</v>
      </c>
      <c r="AG5276">
        <v>-1.106880596943</v>
      </c>
      <c r="AH5276">
        <v>21.006445145842299</v>
      </c>
      <c r="AI5276">
        <v>93.000751361000695</v>
      </c>
      <c r="AJ5276">
        <v>95.818810492203198</v>
      </c>
      <c r="AK5276">
        <v>21.144233847005999</v>
      </c>
    </row>
    <row r="5277" spans="1:37" x14ac:dyDescent="0.2">
      <c r="A5277" t="str">
        <f>"20200111155701695"</f>
        <v>20200111155701695</v>
      </c>
      <c r="B5277" t="str">
        <f>"1578729421688601"</f>
        <v>1578729421688601</v>
      </c>
      <c r="C5277" t="s">
        <v>37</v>
      </c>
      <c r="D5277">
        <v>5.3264059999999898</v>
      </c>
      <c r="E5277">
        <v>0.48093449999999999</v>
      </c>
      <c r="F5277" t="s">
        <v>90</v>
      </c>
      <c r="G5277">
        <v>-361.57990000000001</v>
      </c>
      <c r="H5277" s="1">
        <v>-4.2983169999999998E-6</v>
      </c>
      <c r="I5277">
        <v>17.825669999999999</v>
      </c>
      <c r="J5277">
        <v>-381.95569999999998</v>
      </c>
      <c r="K5277">
        <v>1.106843</v>
      </c>
      <c r="L5277">
        <v>17.16769</v>
      </c>
      <c r="M5277">
        <v>0.99774969999999996</v>
      </c>
      <c r="N5277">
        <v>0</v>
      </c>
      <c r="O5277">
        <v>-6.5889690000000001E-2</v>
      </c>
      <c r="P5277">
        <v>0.99979599999999902</v>
      </c>
      <c r="Q5277">
        <v>-4.5072999999999997E-3</v>
      </c>
      <c r="R5277">
        <v>-1.969974E-2</v>
      </c>
      <c r="S5277">
        <v>3.0021969999999998</v>
      </c>
      <c r="T5277">
        <v>-0.1620181</v>
      </c>
      <c r="U5277">
        <v>9.5367430000000003E-2</v>
      </c>
      <c r="V5277">
        <v>-4.6264720000000002E-2</v>
      </c>
      <c r="W5277">
        <v>7.6548950000000001E-3</v>
      </c>
      <c r="X5277">
        <v>0.99889989999999995</v>
      </c>
      <c r="Y5277">
        <v>-9.7305130000000004E-2</v>
      </c>
      <c r="Z5277">
        <v>6.1746650000000002E-3</v>
      </c>
      <c r="AA5277">
        <v>0.99523539999999899</v>
      </c>
      <c r="AB5277">
        <v>21</v>
      </c>
      <c r="AC5277">
        <v>20.375799999999899</v>
      </c>
      <c r="AD5277">
        <v>-1.1068472983169999</v>
      </c>
      <c r="AE5277">
        <v>0.65798000000000201</v>
      </c>
      <c r="AF5277">
        <v>-1.99333263891489</v>
      </c>
      <c r="AG5277">
        <v>-1.1068472983169999</v>
      </c>
      <c r="AH5277">
        <v>20.228528321015698</v>
      </c>
      <c r="AI5277">
        <v>93.116871991941395</v>
      </c>
      <c r="AJ5277">
        <v>95.627795371536294</v>
      </c>
      <c r="AK5277">
        <v>20.3566167126389</v>
      </c>
    </row>
    <row r="5278" spans="1:37" x14ac:dyDescent="0.2">
      <c r="A5278" t="str">
        <f>"20200111155701709"</f>
        <v>20200111155701709</v>
      </c>
      <c r="B5278" t="str">
        <f>"1578729421698360"</f>
        <v>1578729421698360</v>
      </c>
      <c r="C5278" t="s">
        <v>37</v>
      </c>
      <c r="D5278">
        <v>5.6189289999999996</v>
      </c>
      <c r="E5278">
        <v>0.480857799999999</v>
      </c>
      <c r="F5278" t="s">
        <v>90</v>
      </c>
      <c r="G5278">
        <v>-361.56479999999999</v>
      </c>
      <c r="H5278" s="1">
        <v>-4.3018199999999998E-6</v>
      </c>
      <c r="I5278">
        <v>17.845970000000001</v>
      </c>
      <c r="J5278">
        <v>-381.83670000000001</v>
      </c>
      <c r="K5278">
        <v>1.1068129999999901</v>
      </c>
      <c r="L5278">
        <v>17.16226</v>
      </c>
      <c r="M5278">
        <v>0.99789079999999997</v>
      </c>
      <c r="N5278">
        <v>0</v>
      </c>
      <c r="O5278">
        <v>-6.374233E-2</v>
      </c>
      <c r="P5278">
        <v>0.99984319999999904</v>
      </c>
      <c r="Q5278">
        <v>-4.7763529999999997E-3</v>
      </c>
      <c r="R5278">
        <v>-1.7052870000000001E-2</v>
      </c>
      <c r="S5278">
        <v>3.001862</v>
      </c>
      <c r="T5278">
        <v>-0.16294610000000001</v>
      </c>
      <c r="U5278">
        <v>9.9853520000000001E-2</v>
      </c>
      <c r="V5278">
        <v>-4.6756880000000001E-2</v>
      </c>
      <c r="W5278">
        <v>7.2572219999999998E-3</v>
      </c>
      <c r="X5278">
        <v>0.99887990000000004</v>
      </c>
      <c r="Y5278">
        <v>-9.6653870000000003E-2</v>
      </c>
      <c r="Z5278">
        <v>6.076573E-3</v>
      </c>
      <c r="AA5278">
        <v>0.9952995</v>
      </c>
      <c r="AB5278">
        <v>21</v>
      </c>
      <c r="AC5278">
        <v>20.271899999999999</v>
      </c>
      <c r="AD5278">
        <v>-1.1068173018199901</v>
      </c>
      <c r="AE5278">
        <v>0.68371000000000104</v>
      </c>
      <c r="AF5278">
        <v>-1.9687328763929699</v>
      </c>
      <c r="AG5278">
        <v>-1.1068173018199901</v>
      </c>
      <c r="AH5278">
        <v>20.1271530679773</v>
      </c>
      <c r="AI5278">
        <v>93.132675631034104</v>
      </c>
      <c r="AJ5278">
        <v>95.586601775897705</v>
      </c>
      <c r="AK5278">
        <v>20.2534748697596</v>
      </c>
    </row>
    <row r="5279" spans="1:37" x14ac:dyDescent="0.2">
      <c r="A5279" t="str">
        <f>"20200111155701725"</f>
        <v>20200111155701725</v>
      </c>
      <c r="B5279" t="str">
        <f>"1578729421718856"</f>
        <v>1578729421718856</v>
      </c>
      <c r="C5279" t="s">
        <v>37</v>
      </c>
      <c r="D5279">
        <v>5.6059859999999997</v>
      </c>
      <c r="E5279">
        <v>0.48108869999999998</v>
      </c>
      <c r="F5279" t="s">
        <v>90</v>
      </c>
      <c r="G5279">
        <v>-361.92360000000002</v>
      </c>
      <c r="H5279" s="1">
        <v>-4.1259269999999901E-6</v>
      </c>
      <c r="I5279">
        <v>17.881620000000002</v>
      </c>
      <c r="J5279">
        <v>-381.67680000000001</v>
      </c>
      <c r="K5279">
        <v>1.1067639999999901</v>
      </c>
      <c r="L5279">
        <v>17.155360000000002</v>
      </c>
      <c r="M5279">
        <v>0.99807259999999998</v>
      </c>
      <c r="N5279">
        <v>0</v>
      </c>
      <c r="O5279">
        <v>-6.0866129999999997E-2</v>
      </c>
      <c r="P5279">
        <v>0.99989300000000003</v>
      </c>
      <c r="Q5279">
        <v>-6.2467099999999999E-3</v>
      </c>
      <c r="R5279">
        <v>-1.323268E-2</v>
      </c>
      <c r="S5279">
        <v>3.0015259999999899</v>
      </c>
      <c r="T5279">
        <v>-0.16683190000000001</v>
      </c>
      <c r="U5279">
        <v>0.108429</v>
      </c>
      <c r="V5279">
        <v>-4.7685209999999999E-2</v>
      </c>
      <c r="W5279">
        <v>5.5983409999999997E-3</v>
      </c>
      <c r="X5279">
        <v>0.99884669999999898</v>
      </c>
      <c r="Y5279">
        <v>-9.662221E-2</v>
      </c>
      <c r="Z5279">
        <v>6.0612840000000001E-3</v>
      </c>
      <c r="AA5279">
        <v>0.99530269999999998</v>
      </c>
      <c r="AB5279">
        <v>21</v>
      </c>
      <c r="AC5279">
        <v>19.7532</v>
      </c>
      <c r="AD5279">
        <v>-1.1067681259269999</v>
      </c>
      <c r="AE5279">
        <v>0.72625999999999902</v>
      </c>
      <c r="AF5279">
        <v>-1.92127872372214</v>
      </c>
      <c r="AG5279">
        <v>-1.1067681259269999</v>
      </c>
      <c r="AH5279">
        <v>19.610880996237299</v>
      </c>
      <c r="AI5279">
        <v>93.214784187674695</v>
      </c>
      <c r="AJ5279">
        <v>95.595413360182505</v>
      </c>
      <c r="AK5279">
        <v>19.735827853611202</v>
      </c>
    </row>
    <row r="5280" spans="1:37" x14ac:dyDescent="0.2">
      <c r="A5280" t="str">
        <f>"20200111155701739"</f>
        <v>20200111155701739</v>
      </c>
      <c r="B5280" t="str">
        <f>"1578729421728615"</f>
        <v>1578729421728615</v>
      </c>
      <c r="C5280" t="s">
        <v>37</v>
      </c>
      <c r="D5280">
        <v>5.4888830000000004</v>
      </c>
      <c r="E5280">
        <v>0.4811164</v>
      </c>
      <c r="F5280" t="s">
        <v>90</v>
      </c>
      <c r="G5280">
        <v>-362.41669999999999</v>
      </c>
      <c r="H5280" s="1">
        <v>-3.8873540000000003E-6</v>
      </c>
      <c r="I5280">
        <v>17.912410000000001</v>
      </c>
      <c r="J5280">
        <v>-381.55739999999997</v>
      </c>
      <c r="K5280">
        <v>1.1067229999999999</v>
      </c>
      <c r="L5280">
        <v>17.15042</v>
      </c>
      <c r="M5280">
        <v>0.99820249999999999</v>
      </c>
      <c r="N5280">
        <v>0</v>
      </c>
      <c r="O5280">
        <v>-5.8727210000000002E-2</v>
      </c>
      <c r="P5280">
        <v>0.99991240000000003</v>
      </c>
      <c r="Q5280">
        <v>-7.4955129999999997E-3</v>
      </c>
      <c r="R5280">
        <v>-1.090616E-2</v>
      </c>
      <c r="S5280">
        <v>3.0007929999999998</v>
      </c>
      <c r="T5280">
        <v>-0.17243900000000001</v>
      </c>
      <c r="U5280">
        <v>0.1179504</v>
      </c>
      <c r="V5280">
        <v>-4.7860809999999997E-2</v>
      </c>
      <c r="W5280">
        <v>4.2002719999999997E-3</v>
      </c>
      <c r="X5280">
        <v>0.99884519999999899</v>
      </c>
      <c r="Y5280">
        <v>-9.7636749999999994E-2</v>
      </c>
      <c r="Z5280">
        <v>6.1723350000000001E-3</v>
      </c>
      <c r="AA5280">
        <v>0.99520299999999995</v>
      </c>
      <c r="AB5280">
        <v>21</v>
      </c>
      <c r="AC5280">
        <v>19.140699999999899</v>
      </c>
      <c r="AD5280">
        <v>-1.1067268873539999</v>
      </c>
      <c r="AE5280">
        <v>0.76198999999999995</v>
      </c>
      <c r="AF5280">
        <v>-1.8785643713398701</v>
      </c>
      <c r="AG5280">
        <v>-1.1067268873539999</v>
      </c>
      <c r="AH5280">
        <v>18.999487975450499</v>
      </c>
      <c r="AI5280">
        <v>93.317591424617305</v>
      </c>
      <c r="AJ5280">
        <v>95.646736626915299</v>
      </c>
      <c r="AK5280">
        <v>19.124183429096998</v>
      </c>
    </row>
    <row r="5281" spans="1:37" x14ac:dyDescent="0.2">
      <c r="A5281" t="str">
        <f>"20200111155701752"</f>
        <v>20200111155701752</v>
      </c>
      <c r="B5281" t="str">
        <f>"1578729421748136"</f>
        <v>1578729421748136</v>
      </c>
      <c r="C5281" t="s">
        <v>37</v>
      </c>
      <c r="D5281">
        <v>5.5364800000000001</v>
      </c>
      <c r="E5281">
        <v>0.48095979999999999</v>
      </c>
      <c r="F5281" t="s">
        <v>90</v>
      </c>
      <c r="G5281">
        <v>-362.7</v>
      </c>
      <c r="H5281" s="1">
        <v>-3.7495350000000002E-6</v>
      </c>
      <c r="I5281">
        <v>17.934339999999999</v>
      </c>
      <c r="J5281">
        <v>-381.4341</v>
      </c>
      <c r="K5281">
        <v>1.106676</v>
      </c>
      <c r="L5281">
        <v>17.145689999999998</v>
      </c>
      <c r="M5281">
        <v>0.99833079999999996</v>
      </c>
      <c r="N5281">
        <v>0</v>
      </c>
      <c r="O5281">
        <v>-5.6541510000000003E-2</v>
      </c>
      <c r="P5281">
        <v>0.99992349999999997</v>
      </c>
      <c r="Q5281">
        <v>-8.8563989999999992E-3</v>
      </c>
      <c r="R5281">
        <v>-8.6335630000000003E-3</v>
      </c>
      <c r="S5281">
        <v>3.000305</v>
      </c>
      <c r="T5281">
        <v>-0.1760861</v>
      </c>
      <c r="U5281">
        <v>0.1247253</v>
      </c>
      <c r="V5281">
        <v>-4.7935369999999998E-2</v>
      </c>
      <c r="W5281">
        <v>2.6667729999999999E-3</v>
      </c>
      <c r="X5281">
        <v>0.99884689999999998</v>
      </c>
      <c r="Y5281">
        <v>-9.7700159999999994E-2</v>
      </c>
      <c r="Z5281">
        <v>6.1772659999999998E-3</v>
      </c>
      <c r="AA5281">
        <v>0.99519669999999905</v>
      </c>
      <c r="AB5281">
        <v>21</v>
      </c>
      <c r="AC5281">
        <v>18.734100000000002</v>
      </c>
      <c r="AD5281">
        <v>-1.106679749535</v>
      </c>
      <c r="AE5281">
        <v>0.78864999999999996</v>
      </c>
      <c r="AF5281">
        <v>-1.8403053282667901</v>
      </c>
      <c r="AG5281">
        <v>-1.106679749535</v>
      </c>
      <c r="AH5281">
        <v>18.594757528966401</v>
      </c>
      <c r="AI5281">
        <v>93.389459630827105</v>
      </c>
      <c r="AJ5281">
        <v>95.652102459741798</v>
      </c>
      <c r="AK5281">
        <v>18.7183458492018</v>
      </c>
    </row>
    <row r="5282" spans="1:37" x14ac:dyDescent="0.2">
      <c r="A5282" t="str">
        <f>"20200111155701768"</f>
        <v>20200111155701768</v>
      </c>
      <c r="B5282" t="str">
        <f>"1578729421758871"</f>
        <v>1578729421758871</v>
      </c>
      <c r="C5282" t="s">
        <v>37</v>
      </c>
      <c r="D5282">
        <v>5.3609439999999999</v>
      </c>
      <c r="E5282">
        <v>0.48143639999999999</v>
      </c>
      <c r="F5282" t="s">
        <v>90</v>
      </c>
      <c r="G5282">
        <v>-363.10449999999997</v>
      </c>
      <c r="H5282" s="1">
        <v>-3.5542089999999998E-6</v>
      </c>
      <c r="I5282">
        <v>17.95778</v>
      </c>
      <c r="J5282">
        <v>-381.28149999999999</v>
      </c>
      <c r="K5282">
        <v>1.1066100000000001</v>
      </c>
      <c r="L5282">
        <v>17.140139999999999</v>
      </c>
      <c r="M5282">
        <v>0.99848179999999997</v>
      </c>
      <c r="N5282">
        <v>0</v>
      </c>
      <c r="O5282">
        <v>-5.3859110000000002E-2</v>
      </c>
      <c r="P5282">
        <v>0.99991890000000005</v>
      </c>
      <c r="Q5282">
        <v>-1.122071E-2</v>
      </c>
      <c r="R5282">
        <v>-6.0364219999999996E-3</v>
      </c>
      <c r="S5282">
        <v>2.9997859999999998</v>
      </c>
      <c r="T5282">
        <v>-0.18111659999999999</v>
      </c>
      <c r="U5282">
        <v>0.1329041</v>
      </c>
      <c r="V5282">
        <v>-4.7831699999999998E-2</v>
      </c>
      <c r="W5282" s="1">
        <v>8.150365E-5</v>
      </c>
      <c r="X5282">
        <v>0.99885539999999995</v>
      </c>
      <c r="Y5282">
        <v>-9.7731159999999997E-2</v>
      </c>
      <c r="Z5282">
        <v>6.1934909999999998E-3</v>
      </c>
      <c r="AA5282">
        <v>0.99519360000000001</v>
      </c>
      <c r="AB5282">
        <v>21</v>
      </c>
      <c r="AC5282">
        <v>18.177</v>
      </c>
      <c r="AD5282">
        <v>-1.1066135542090001</v>
      </c>
      <c r="AE5282">
        <v>0.81764000000000003</v>
      </c>
      <c r="AF5282">
        <v>-1.7888984563247901</v>
      </c>
      <c r="AG5282">
        <v>-1.1066135542090001</v>
      </c>
      <c r="AH5282">
        <v>18.039845939285101</v>
      </c>
      <c r="AI5282">
        <v>93.493191152875497</v>
      </c>
      <c r="AJ5282">
        <v>95.663149021371495</v>
      </c>
      <c r="AK5282">
        <v>18.1620701672067</v>
      </c>
    </row>
    <row r="5283" spans="1:37" x14ac:dyDescent="0.2">
      <c r="A5283" t="str">
        <f>"20200111155701782"</f>
        <v>20200111155701782</v>
      </c>
      <c r="B5283" t="str">
        <f>"1578729421778392"</f>
        <v>1578729421778392</v>
      </c>
      <c r="C5283" t="s">
        <v>37</v>
      </c>
      <c r="D5283">
        <v>5.3376789999999996</v>
      </c>
      <c r="E5283">
        <v>0.48236879999999999</v>
      </c>
      <c r="F5283" t="s">
        <v>90</v>
      </c>
      <c r="G5283">
        <v>-363.72430000000003</v>
      </c>
      <c r="H5283" s="1">
        <v>-3.26402199999999E-6</v>
      </c>
      <c r="I5283">
        <v>17.941800000000001</v>
      </c>
      <c r="J5283">
        <v>-381.15570000000002</v>
      </c>
      <c r="K5283">
        <v>1.1065579999999999</v>
      </c>
      <c r="L5283">
        <v>17.135770000000001</v>
      </c>
      <c r="M5283">
        <v>0.99859979999999904</v>
      </c>
      <c r="N5283">
        <v>0</v>
      </c>
      <c r="O5283">
        <v>-5.1668140000000001E-2</v>
      </c>
      <c r="P5283">
        <v>0.99992409999999998</v>
      </c>
      <c r="Q5283">
        <v>-1.179739E-2</v>
      </c>
      <c r="R5283">
        <v>-3.557204E-3</v>
      </c>
      <c r="S5283">
        <v>2.9989619999999899</v>
      </c>
      <c r="T5283">
        <v>-0.18902169999999999</v>
      </c>
      <c r="U5283">
        <v>0.13693239999999901</v>
      </c>
      <c r="V5283">
        <v>-4.8112219999999997E-2</v>
      </c>
      <c r="W5283">
        <v>-6.886501E-4</v>
      </c>
      <c r="X5283">
        <v>0.99884169999999906</v>
      </c>
      <c r="Y5283">
        <v>-9.6874909999999995E-2</v>
      </c>
      <c r="Z5283">
        <v>6.3001130000000004E-3</v>
      </c>
      <c r="AA5283">
        <v>0.99527659999999996</v>
      </c>
      <c r="AB5283">
        <v>21</v>
      </c>
      <c r="AC5283">
        <v>17.431399999999901</v>
      </c>
      <c r="AD5283">
        <v>-1.1065612640219999</v>
      </c>
      <c r="AE5283">
        <v>0.80602999999999903</v>
      </c>
      <c r="AF5283">
        <v>-1.6988279209267301</v>
      </c>
      <c r="AG5283">
        <v>-1.1065612640219999</v>
      </c>
      <c r="AH5283">
        <v>17.296910454367101</v>
      </c>
      <c r="AI5283">
        <v>93.642999651376897</v>
      </c>
      <c r="AJ5283">
        <v>95.609353893882599</v>
      </c>
      <c r="AK5283">
        <v>17.415326738317301</v>
      </c>
    </row>
    <row r="5284" spans="1:37" x14ac:dyDescent="0.2">
      <c r="A5284" t="str">
        <f>"20200111155701794"</f>
        <v>20200111155701794</v>
      </c>
      <c r="B5284" t="str">
        <f>"1578729421789128"</f>
        <v>1578729421789128</v>
      </c>
      <c r="C5284" t="s">
        <v>37</v>
      </c>
      <c r="D5284">
        <v>5.3640019999999904</v>
      </c>
      <c r="E5284">
        <v>0.48278720000000003</v>
      </c>
      <c r="F5284" t="s">
        <v>90</v>
      </c>
      <c r="G5284">
        <v>-363.82549999999998</v>
      </c>
      <c r="H5284" s="1">
        <v>-3.2188029999999999E-6</v>
      </c>
      <c r="I5284">
        <v>17.927209999999999</v>
      </c>
      <c r="J5284">
        <v>-381.03339999999997</v>
      </c>
      <c r="K5284">
        <v>1.1065119999999999</v>
      </c>
      <c r="L5284">
        <v>17.131810000000002</v>
      </c>
      <c r="M5284">
        <v>0.99870890000000001</v>
      </c>
      <c r="N5284">
        <v>0</v>
      </c>
      <c r="O5284">
        <v>-4.9560630000000001E-2</v>
      </c>
      <c r="P5284">
        <v>0.99992610000000004</v>
      </c>
      <c r="Q5284">
        <v>-1.21145E-2</v>
      </c>
      <c r="R5284">
        <v>-9.5766890000000004E-4</v>
      </c>
      <c r="S5284">
        <v>2.9984439999999899</v>
      </c>
      <c r="T5284">
        <v>-0.19145479999999901</v>
      </c>
      <c r="U5284">
        <v>0.13693239999999901</v>
      </c>
      <c r="V5284">
        <v>-4.8598479999999999E-2</v>
      </c>
      <c r="W5284">
        <v>-1.2068510000000001E-3</v>
      </c>
      <c r="X5284">
        <v>0.99881769999999903</v>
      </c>
      <c r="Y5284">
        <v>-9.478288E-2</v>
      </c>
      <c r="Z5284">
        <v>6.1811330000000001E-3</v>
      </c>
      <c r="AA5284">
        <v>0.9954788</v>
      </c>
      <c r="AB5284">
        <v>21</v>
      </c>
      <c r="AC5284">
        <v>17.207899999999899</v>
      </c>
      <c r="AD5284">
        <v>-1.1065152188030001</v>
      </c>
      <c r="AE5284">
        <v>0.7954</v>
      </c>
      <c r="AF5284">
        <v>-1.6405408716730501</v>
      </c>
      <c r="AG5284">
        <v>-1.1065152188030001</v>
      </c>
      <c r="AH5284">
        <v>17.0768682678763</v>
      </c>
      <c r="AI5284">
        <v>93.690419711725795</v>
      </c>
      <c r="AJ5284">
        <v>95.487451920952097</v>
      </c>
      <c r="AK5284">
        <v>17.191136673282301</v>
      </c>
    </row>
    <row r="5285" spans="1:37" x14ac:dyDescent="0.2">
      <c r="A5285" t="str">
        <f>"20200111155701807"</f>
        <v>20200111155701807</v>
      </c>
      <c r="B5285" t="str">
        <f>"1578729421798888"</f>
        <v>1578729421798888</v>
      </c>
      <c r="C5285" t="s">
        <v>37</v>
      </c>
      <c r="D5285">
        <v>5.3466110000000002</v>
      </c>
      <c r="E5285">
        <v>0.4832746</v>
      </c>
      <c r="F5285" t="s">
        <v>90</v>
      </c>
      <c r="G5285">
        <v>-363.8492</v>
      </c>
      <c r="H5285" s="1">
        <v>-3.2050580000000001E-6</v>
      </c>
      <c r="I5285">
        <v>17.94135</v>
      </c>
      <c r="J5285">
        <v>-380.91930000000002</v>
      </c>
      <c r="K5285">
        <v>1.106463</v>
      </c>
      <c r="L5285">
        <v>17.128329999999998</v>
      </c>
      <c r="M5285">
        <v>0.99880530000000001</v>
      </c>
      <c r="N5285">
        <v>0</v>
      </c>
      <c r="O5285">
        <v>-4.7622619999999997E-2</v>
      </c>
      <c r="P5285">
        <v>0.99992209999999904</v>
      </c>
      <c r="Q5285">
        <v>-1.2378760000000001E-2</v>
      </c>
      <c r="R5285">
        <v>1.5817189999999899E-3</v>
      </c>
      <c r="S5285">
        <v>2.997986</v>
      </c>
      <c r="T5285">
        <v>-0.19304549999999901</v>
      </c>
      <c r="U5285">
        <v>0.14123540000000001</v>
      </c>
      <c r="V5285">
        <v>-4.9194250000000002E-2</v>
      </c>
      <c r="W5285">
        <v>-1.672834E-3</v>
      </c>
      <c r="X5285">
        <v>0.9987878</v>
      </c>
      <c r="Y5285">
        <v>-9.4283870000000006E-2</v>
      </c>
      <c r="Z5285">
        <v>6.0925459999999999E-3</v>
      </c>
      <c r="AA5285">
        <v>0.99552669999999999</v>
      </c>
      <c r="AB5285">
        <v>21</v>
      </c>
      <c r="AC5285">
        <v>17.0701</v>
      </c>
      <c r="AD5285">
        <v>-1.1064662050580001</v>
      </c>
      <c r="AE5285">
        <v>0.81302000000000096</v>
      </c>
      <c r="AF5285">
        <v>-1.6182852916497299</v>
      </c>
      <c r="AG5285">
        <v>-1.1064662050580001</v>
      </c>
      <c r="AH5285">
        <v>16.940993006889101</v>
      </c>
      <c r="AI5285">
        <v>93.719962905131695</v>
      </c>
      <c r="AJ5285">
        <v>95.456611986787394</v>
      </c>
      <c r="AK5285">
        <v>17.054042301095901</v>
      </c>
    </row>
    <row r="5286" spans="1:37" x14ac:dyDescent="0.2">
      <c r="A5286" t="str">
        <f>"20200111155701826"</f>
        <v>20200111155701826</v>
      </c>
      <c r="B5286" t="str">
        <f>"1578729421818407"</f>
        <v>1578729421818407</v>
      </c>
      <c r="C5286" t="s">
        <v>37</v>
      </c>
      <c r="D5286">
        <v>4.6785579999999998</v>
      </c>
      <c r="E5286">
        <v>0.48075469999999998</v>
      </c>
      <c r="F5286" t="s">
        <v>90</v>
      </c>
      <c r="G5286">
        <v>-363.87599999999998</v>
      </c>
      <c r="H5286" s="1">
        <v>-3.1905030000000001E-6</v>
      </c>
      <c r="I5286">
        <v>17.952000000000002</v>
      </c>
      <c r="J5286">
        <v>-380.74900000000002</v>
      </c>
      <c r="K5286">
        <v>1.1063799999999999</v>
      </c>
      <c r="L5286">
        <v>17.123470000000001</v>
      </c>
      <c r="M5286">
        <v>0.99894079999999996</v>
      </c>
      <c r="N5286">
        <v>0</v>
      </c>
      <c r="O5286">
        <v>-4.4767710000000002E-2</v>
      </c>
      <c r="P5286">
        <v>0.99991229999999998</v>
      </c>
      <c r="Q5286">
        <v>-1.186186E-2</v>
      </c>
      <c r="R5286">
        <v>5.8826679999999998E-3</v>
      </c>
      <c r="S5286">
        <v>2.9975589999999999</v>
      </c>
      <c r="T5286">
        <v>-0.194604</v>
      </c>
      <c r="U5286">
        <v>0.14486689999999999</v>
      </c>
      <c r="V5286">
        <v>-5.063633E-2</v>
      </c>
      <c r="W5286">
        <v>-1.477541E-3</v>
      </c>
      <c r="X5286">
        <v>0.9987161</v>
      </c>
      <c r="Y5286">
        <v>-9.265292E-2</v>
      </c>
      <c r="Z5286">
        <v>5.9044759999999996E-3</v>
      </c>
      <c r="AA5286">
        <v>0.99568099999999904</v>
      </c>
      <c r="AB5286">
        <v>21</v>
      </c>
      <c r="AC5286">
        <v>16.873000000000001</v>
      </c>
      <c r="AD5286">
        <v>-1.1063831905029999</v>
      </c>
      <c r="AE5286">
        <v>0.82852999999999999</v>
      </c>
      <c r="AF5286">
        <v>-1.57634621162254</v>
      </c>
      <c r="AG5286">
        <v>-1.1063831905029999</v>
      </c>
      <c r="AH5286">
        <v>16.7471555086275</v>
      </c>
      <c r="AI5286">
        <v>93.763107746649595</v>
      </c>
      <c r="AJ5286">
        <v>95.377191520872103</v>
      </c>
      <c r="AK5286">
        <v>16.8575255827561</v>
      </c>
    </row>
    <row r="5287" spans="1:37" x14ac:dyDescent="0.2">
      <c r="A5287" t="str">
        <f>"20200111155701851"</f>
        <v>20200111155701851</v>
      </c>
      <c r="B5287" t="str">
        <f>"1578729421848664"</f>
        <v>1578729421848664</v>
      </c>
      <c r="C5287" t="s">
        <v>37</v>
      </c>
      <c r="D5287">
        <v>4.7463620000000004</v>
      </c>
      <c r="E5287">
        <v>0.48075469999999998</v>
      </c>
      <c r="F5287" t="s">
        <v>90</v>
      </c>
      <c r="G5287">
        <v>-362.63909999999998</v>
      </c>
      <c r="H5287" s="1">
        <v>-3.7321679999999898E-6</v>
      </c>
      <c r="I5287">
        <v>18.194689999999898</v>
      </c>
      <c r="J5287">
        <v>-380.505</v>
      </c>
      <c r="K5287">
        <v>1.1062479999999999</v>
      </c>
      <c r="L5287">
        <v>17.117190000000001</v>
      </c>
      <c r="M5287">
        <v>0.99911609999999995</v>
      </c>
      <c r="N5287">
        <v>0</v>
      </c>
      <c r="O5287">
        <v>-4.0792809999999999E-2</v>
      </c>
      <c r="P5287">
        <v>0.99986450000000004</v>
      </c>
      <c r="Q5287">
        <v>-1.225803E-2</v>
      </c>
      <c r="R5287">
        <v>1.0992389999999999E-2</v>
      </c>
      <c r="S5287">
        <v>2.9970089999999998</v>
      </c>
      <c r="T5287">
        <v>-0.18309589999999901</v>
      </c>
      <c r="U5287">
        <v>0.17727660000000001</v>
      </c>
      <c r="V5287">
        <v>-5.176248E-2</v>
      </c>
      <c r="W5287">
        <v>-2.3608829999999998E-3</v>
      </c>
      <c r="X5287">
        <v>0.99865659999999901</v>
      </c>
      <c r="Y5287">
        <v>-9.9461820000000006E-2</v>
      </c>
      <c r="Z5287">
        <v>5.5207499999999996E-3</v>
      </c>
      <c r="AA5287">
        <v>0.99502610000000002</v>
      </c>
      <c r="AB5287">
        <v>21</v>
      </c>
      <c r="AC5287">
        <v>17.8659</v>
      </c>
      <c r="AD5287">
        <v>-1.1062517321680001</v>
      </c>
      <c r="AE5287">
        <v>1.0774999999999899</v>
      </c>
      <c r="AF5287">
        <v>-1.7985699918726901</v>
      </c>
      <c r="AG5287">
        <v>-1.1062517321680001</v>
      </c>
      <c r="AH5287">
        <v>17.739303915379502</v>
      </c>
      <c r="AI5287">
        <v>93.550282179282902</v>
      </c>
      <c r="AJ5287">
        <v>95.789377195807603</v>
      </c>
      <c r="AK5287">
        <v>17.864533308004098</v>
      </c>
    </row>
    <row r="5288" spans="1:37" x14ac:dyDescent="0.2">
      <c r="A5288" t="str">
        <f>"20200111155701869"</f>
        <v>20200111155701869</v>
      </c>
      <c r="B5288" t="str">
        <f>"1578729421858423"</f>
        <v>1578729421858423</v>
      </c>
      <c r="C5288" t="s">
        <v>37</v>
      </c>
      <c r="D5288">
        <v>5.6598139999999999</v>
      </c>
      <c r="E5288">
        <v>0.47901250000000001</v>
      </c>
      <c r="F5288" t="s">
        <v>90</v>
      </c>
      <c r="G5288">
        <v>-362.52969999999999</v>
      </c>
      <c r="H5288" s="1">
        <v>-3.7702119999999998E-6</v>
      </c>
      <c r="I5288">
        <v>18.271809999999999</v>
      </c>
      <c r="J5288">
        <v>-380.33749999999998</v>
      </c>
      <c r="K5288">
        <v>1.1061459999999901</v>
      </c>
      <c r="L5288">
        <v>17.113340000000001</v>
      </c>
      <c r="M5288">
        <v>0.99922389999999905</v>
      </c>
      <c r="N5288">
        <v>0</v>
      </c>
      <c r="O5288">
        <v>-3.8148809999999998E-2</v>
      </c>
      <c r="P5288">
        <v>0.99980990000000003</v>
      </c>
      <c r="Q5288">
        <v>-1.318804E-2</v>
      </c>
      <c r="R5288">
        <v>1.436085E-2</v>
      </c>
      <c r="S5288">
        <v>2.9960019999999998</v>
      </c>
      <c r="T5288">
        <v>-0.18438189999999999</v>
      </c>
      <c r="U5288">
        <v>0.1924438</v>
      </c>
      <c r="V5288">
        <v>-5.2477990000000002E-2</v>
      </c>
      <c r="W5288">
        <v>-3.6331950000000001E-3</v>
      </c>
      <c r="X5288">
        <v>0.99861540000000004</v>
      </c>
      <c r="Y5288">
        <v>-0.101863</v>
      </c>
      <c r="Z5288">
        <v>5.471839E-3</v>
      </c>
      <c r="AA5288">
        <v>0.99478339999999998</v>
      </c>
      <c r="AB5288">
        <v>21</v>
      </c>
      <c r="AC5288">
        <v>17.807799999999901</v>
      </c>
      <c r="AD5288">
        <v>-1.10614977021199</v>
      </c>
      <c r="AE5288">
        <v>1.1584700000000001</v>
      </c>
      <c r="AF5288">
        <v>-1.8299746927109399</v>
      </c>
      <c r="AG5288">
        <v>-1.10614977021199</v>
      </c>
      <c r="AH5288">
        <v>17.682700105632399</v>
      </c>
      <c r="AI5288">
        <v>93.560533968383893</v>
      </c>
      <c r="AJ5288">
        <v>95.908480949648506</v>
      </c>
      <c r="AK5288">
        <v>17.811520365084899</v>
      </c>
    </row>
    <row r="5289" spans="1:37" x14ac:dyDescent="0.2">
      <c r="A5289" t="str">
        <f>"20200111155701882"</f>
        <v>20200111155701882</v>
      </c>
      <c r="B5289" t="str">
        <f>"1578729421878919"</f>
        <v>1578729421878919</v>
      </c>
      <c r="C5289" t="s">
        <v>37</v>
      </c>
      <c r="D5289">
        <v>5.2774749999999999</v>
      </c>
      <c r="E5289">
        <v>0.47958260000000003</v>
      </c>
      <c r="F5289" t="s">
        <v>90</v>
      </c>
      <c r="G5289">
        <v>-360.42140000000001</v>
      </c>
      <c r="H5289" s="1">
        <v>-4.7180100000000003E-6</v>
      </c>
      <c r="I5289">
        <v>18.546949999999999</v>
      </c>
      <c r="J5289">
        <v>-380.21260000000001</v>
      </c>
      <c r="K5289">
        <v>1.1060719999999999</v>
      </c>
      <c r="L5289">
        <v>17.110720000000001</v>
      </c>
      <c r="M5289">
        <v>0.99929829999999997</v>
      </c>
      <c r="N5289">
        <v>0</v>
      </c>
      <c r="O5289">
        <v>-3.6222730000000002E-2</v>
      </c>
      <c r="P5289">
        <v>0.99977660000000002</v>
      </c>
      <c r="Q5289">
        <v>-1.33761E-2</v>
      </c>
      <c r="R5289">
        <v>1.6375589999999999E-2</v>
      </c>
      <c r="S5289">
        <v>2.9952700000000001</v>
      </c>
      <c r="T5289">
        <v>-0.16635910000000001</v>
      </c>
      <c r="U5289">
        <v>0.21560670000000001</v>
      </c>
      <c r="V5289">
        <v>-5.2563619999999998E-2</v>
      </c>
      <c r="W5289">
        <v>-4.0768369999999998E-3</v>
      </c>
      <c r="X5289">
        <v>0.99860919999999898</v>
      </c>
      <c r="Y5289">
        <v>-0.1076597</v>
      </c>
      <c r="Z5289">
        <v>4.9916939999999996E-3</v>
      </c>
      <c r="AA5289">
        <v>0.99417529999999998</v>
      </c>
      <c r="AB5289">
        <v>21</v>
      </c>
      <c r="AC5289">
        <v>19.7912</v>
      </c>
      <c r="AD5289">
        <v>-1.10607671801</v>
      </c>
      <c r="AE5289">
        <v>1.4362299999999899</v>
      </c>
      <c r="AF5289">
        <v>-2.1455449593395199</v>
      </c>
      <c r="AG5289">
        <v>-1.10607671801</v>
      </c>
      <c r="AH5289">
        <v>19.665084181771601</v>
      </c>
      <c r="AI5289">
        <v>93.200298559849998</v>
      </c>
      <c r="AJ5289">
        <v>96.226586462578695</v>
      </c>
      <c r="AK5289">
        <v>19.812680403086102</v>
      </c>
    </row>
    <row r="5290" spans="1:37" x14ac:dyDescent="0.2">
      <c r="A5290" t="str">
        <f>"20200111155701894"</f>
        <v>20200111155701894</v>
      </c>
      <c r="B5290" t="str">
        <f>"1578729421888679"</f>
        <v>1578729421888679</v>
      </c>
      <c r="C5290" t="s">
        <v>37</v>
      </c>
      <c r="D5290">
        <v>5.6890879999999999</v>
      </c>
      <c r="E5290">
        <v>0.47913640000000002</v>
      </c>
      <c r="F5290" t="s">
        <v>38</v>
      </c>
      <c r="G5290">
        <v>-359.79640000000001</v>
      </c>
      <c r="H5290" s="1">
        <v>-3.2858930000000001E-7</v>
      </c>
      <c r="I5290">
        <v>18.589359999999999</v>
      </c>
      <c r="J5290">
        <v>-380.08760000000001</v>
      </c>
      <c r="K5290">
        <v>1.105999</v>
      </c>
      <c r="L5290">
        <v>17.108250000000002</v>
      </c>
      <c r="M5290">
        <v>0.99936709999999995</v>
      </c>
      <c r="N5290">
        <v>0</v>
      </c>
      <c r="O5290">
        <v>-3.4344220000000002E-2</v>
      </c>
      <c r="P5290">
        <v>0.99974580000000002</v>
      </c>
      <c r="Q5290">
        <v>-1.31457E-2</v>
      </c>
      <c r="R5290">
        <v>1.8329729999999999E-2</v>
      </c>
      <c r="S5290">
        <v>2.9949340000000002</v>
      </c>
      <c r="T5290">
        <v>-0.1622536</v>
      </c>
      <c r="U5290">
        <v>0.2169189</v>
      </c>
      <c r="V5290">
        <v>-5.2638850000000001E-2</v>
      </c>
      <c r="W5290">
        <v>-4.1065290000000003E-3</v>
      </c>
      <c r="X5290">
        <v>0.99860519999999997</v>
      </c>
      <c r="Y5290">
        <v>-0.10624749999999999</v>
      </c>
      <c r="Z5290">
        <v>4.7293980000000001E-3</v>
      </c>
      <c r="AA5290">
        <v>0.9943284</v>
      </c>
      <c r="AB5290">
        <v>21</v>
      </c>
      <c r="AC5290">
        <v>20.2912</v>
      </c>
      <c r="AD5290">
        <v>-1.1059993285892999</v>
      </c>
      <c r="AE5290">
        <v>1.4811099999999899</v>
      </c>
      <c r="AF5290">
        <v>-2.1707365693957601</v>
      </c>
      <c r="AG5290">
        <v>-1.1059993285892999</v>
      </c>
      <c r="AH5290">
        <v>20.168756037837301</v>
      </c>
      <c r="AI5290">
        <v>93.120812192981006</v>
      </c>
      <c r="AJ5290">
        <v>96.143021775868206</v>
      </c>
      <c r="AK5290">
        <v>20.315364921220301</v>
      </c>
    </row>
    <row r="5291" spans="1:37" x14ac:dyDescent="0.2">
      <c r="A5291" t="str">
        <f>"20200111155701909"</f>
        <v>20200111155701909</v>
      </c>
      <c r="B5291" t="str">
        <f>"1578729421898440"</f>
        <v>1578729421898440</v>
      </c>
      <c r="C5291" t="s">
        <v>37</v>
      </c>
      <c r="D5291">
        <v>5.2277769999999997</v>
      </c>
      <c r="E5291">
        <v>0.47963889999999998</v>
      </c>
      <c r="F5291" t="s">
        <v>38</v>
      </c>
      <c r="G5291">
        <v>-358.00830000000002</v>
      </c>
      <c r="H5291" s="1">
        <v>-9.861474999999999E-7</v>
      </c>
      <c r="I5291">
        <v>18.773869999999999</v>
      </c>
      <c r="J5291">
        <v>-379.96420000000001</v>
      </c>
      <c r="K5291">
        <v>1.1059209999999999</v>
      </c>
      <c r="L5291">
        <v>17.106020000000001</v>
      </c>
      <c r="M5291">
        <v>0.99942949999999997</v>
      </c>
      <c r="N5291">
        <v>0</v>
      </c>
      <c r="O5291">
        <v>-3.2547760000000002E-2</v>
      </c>
      <c r="P5291">
        <v>0.99972169999999905</v>
      </c>
      <c r="Q5291">
        <v>-1.265963E-2</v>
      </c>
      <c r="R5291">
        <v>1.9901829999999999E-2</v>
      </c>
      <c r="S5291">
        <v>2.9946290000000002</v>
      </c>
      <c r="T5291">
        <v>-0.15000749999999999</v>
      </c>
      <c r="U5291">
        <v>0.2259216</v>
      </c>
      <c r="V5291">
        <v>-5.2415570000000002E-2</v>
      </c>
      <c r="W5291">
        <v>-3.8801779999999902E-3</v>
      </c>
      <c r="X5291">
        <v>0.9986178</v>
      </c>
      <c r="Y5291">
        <v>-0.10747080000000001</v>
      </c>
      <c r="Z5291">
        <v>4.3136370000000004E-3</v>
      </c>
      <c r="AA5291">
        <v>0.9941989</v>
      </c>
      <c r="AB5291">
        <v>21</v>
      </c>
      <c r="AC5291">
        <v>21.9558999999999</v>
      </c>
      <c r="AD5291">
        <v>-1.1059219861475</v>
      </c>
      <c r="AE5291">
        <v>1.6678500000000001</v>
      </c>
      <c r="AF5291">
        <v>-2.3756179678988398</v>
      </c>
      <c r="AG5291">
        <v>-1.1059219861475</v>
      </c>
      <c r="AH5291">
        <v>21.834898801533399</v>
      </c>
      <c r="AI5291">
        <v>92.882530982482905</v>
      </c>
      <c r="AJ5291">
        <v>96.209307383681207</v>
      </c>
      <c r="AK5291">
        <v>21.9915763382722</v>
      </c>
    </row>
    <row r="5292" spans="1:37" x14ac:dyDescent="0.2">
      <c r="A5292" t="str">
        <f>"20200111155701927"</f>
        <v>20200111155701927</v>
      </c>
      <c r="B5292" t="str">
        <f>"1578729421918936"</f>
        <v>1578729421918936</v>
      </c>
      <c r="C5292" t="s">
        <v>37</v>
      </c>
      <c r="D5292">
        <v>5.2172299999999998</v>
      </c>
      <c r="E5292">
        <v>0.48052240000000002</v>
      </c>
      <c r="F5292" t="s">
        <v>38</v>
      </c>
      <c r="G5292">
        <v>-357.0847</v>
      </c>
      <c r="H5292" s="1">
        <v>-1.3712979999999901E-6</v>
      </c>
      <c r="I5292">
        <v>18.836269999999999</v>
      </c>
      <c r="J5292">
        <v>-379.7833</v>
      </c>
      <c r="K5292">
        <v>1.105804</v>
      </c>
      <c r="L5292">
        <v>17.102999999999899</v>
      </c>
      <c r="M5292">
        <v>0.99951270000000003</v>
      </c>
      <c r="N5292">
        <v>0</v>
      </c>
      <c r="O5292">
        <v>-3.000481E-2</v>
      </c>
      <c r="P5292">
        <v>0.99967700000000004</v>
      </c>
      <c r="Q5292">
        <v>-1.219281E-2</v>
      </c>
      <c r="R5292">
        <v>2.2307830000000001E-2</v>
      </c>
      <c r="S5292">
        <v>2.994507</v>
      </c>
      <c r="T5292">
        <v>-0.1447455</v>
      </c>
      <c r="U5292">
        <v>0.226470899999999</v>
      </c>
      <c r="V5292">
        <v>-5.2279390000000002E-2</v>
      </c>
      <c r="W5292">
        <v>-3.797258E-3</v>
      </c>
      <c r="X5292">
        <v>0.99862530000000005</v>
      </c>
      <c r="Y5292">
        <v>-0.105143</v>
      </c>
      <c r="Z5292">
        <v>3.9837839999999998E-3</v>
      </c>
      <c r="AA5292">
        <v>0.99444909999999997</v>
      </c>
      <c r="AB5292">
        <v>22</v>
      </c>
      <c r="AC5292">
        <v>22.698599999999999</v>
      </c>
      <c r="AD5292">
        <v>-1.1058053712980001</v>
      </c>
      <c r="AE5292">
        <v>1.7332700000000001</v>
      </c>
      <c r="AF5292">
        <v>-2.40790032330343</v>
      </c>
      <c r="AG5292">
        <v>-1.1058053712980001</v>
      </c>
      <c r="AH5292">
        <v>22.583084390957399</v>
      </c>
      <c r="AI5292">
        <v>92.787535915693496</v>
      </c>
      <c r="AJ5292">
        <v>96.086114871007595</v>
      </c>
      <c r="AK5292">
        <v>22.7379966156929</v>
      </c>
    </row>
    <row r="5293" spans="1:37" x14ac:dyDescent="0.2">
      <c r="A5293" t="str">
        <f>"20200111155701941"</f>
        <v>20200111155701941</v>
      </c>
      <c r="B5293" t="str">
        <f>"1578729421928696"</f>
        <v>1578729421928696</v>
      </c>
      <c r="C5293" t="s">
        <v>37</v>
      </c>
      <c r="D5293">
        <v>5.062195</v>
      </c>
      <c r="E5293">
        <v>0.481178299999999</v>
      </c>
      <c r="F5293" t="s">
        <v>38</v>
      </c>
      <c r="G5293">
        <v>-356.62569999999999</v>
      </c>
      <c r="H5293" s="1">
        <v>-1.5648679999999901E-6</v>
      </c>
      <c r="I5293">
        <v>18.855179999999901</v>
      </c>
      <c r="J5293">
        <v>-379.65179999999998</v>
      </c>
      <c r="K5293">
        <v>1.1057139999999901</v>
      </c>
      <c r="L5293">
        <v>17.10098</v>
      </c>
      <c r="M5293">
        <v>0.99956679999999998</v>
      </c>
      <c r="N5293">
        <v>0</v>
      </c>
      <c r="O5293">
        <v>-2.8226270000000001E-2</v>
      </c>
      <c r="P5293">
        <v>0.99963670000000004</v>
      </c>
      <c r="Q5293">
        <v>-1.220129E-2</v>
      </c>
      <c r="R5293">
        <v>2.403945E-2</v>
      </c>
      <c r="S5293">
        <v>2.994202</v>
      </c>
      <c r="T5293">
        <v>-0.14297739999999901</v>
      </c>
      <c r="U5293">
        <v>0.2265625</v>
      </c>
      <c r="V5293">
        <v>-5.2231720000000002E-2</v>
      </c>
      <c r="W5293">
        <v>-4.084135E-3</v>
      </c>
      <c r="X5293">
        <v>0.99862659999999903</v>
      </c>
      <c r="Y5293">
        <v>-0.10341889999999899</v>
      </c>
      <c r="Z5293">
        <v>3.8097059999999999E-3</v>
      </c>
      <c r="AA5293">
        <v>0.99463060000000003</v>
      </c>
      <c r="AB5293">
        <v>22</v>
      </c>
      <c r="AC5293">
        <v>23.0260999999999</v>
      </c>
      <c r="AD5293">
        <v>-1.1057155648679999</v>
      </c>
      <c r="AE5293">
        <v>1.75419999999999</v>
      </c>
      <c r="AF5293">
        <v>-2.3979668704431001</v>
      </c>
      <c r="AG5293">
        <v>-1.1057155648679999</v>
      </c>
      <c r="AH5293">
        <v>22.914873406128098</v>
      </c>
      <c r="AI5293">
        <v>92.747580783442004</v>
      </c>
      <c r="AJ5293">
        <v>95.974072799893904</v>
      </c>
      <c r="AK5293">
        <v>23.066518489815699</v>
      </c>
    </row>
    <row r="5294" spans="1:37" x14ac:dyDescent="0.2">
      <c r="A5294" t="str">
        <f>"20200111155701959"</f>
        <v>20200111155701959</v>
      </c>
      <c r="B5294" t="str">
        <f>"1578729421948215"</f>
        <v>1578729421948215</v>
      </c>
      <c r="C5294" t="s">
        <v>37</v>
      </c>
      <c r="D5294">
        <v>5.2988989999999996</v>
      </c>
      <c r="E5294">
        <v>0.48238710000000001</v>
      </c>
      <c r="F5294" t="s">
        <v>38</v>
      </c>
      <c r="G5294">
        <v>-356.63470000000001</v>
      </c>
      <c r="H5294" s="1">
        <v>-1.5632679999999899E-6</v>
      </c>
      <c r="I5294">
        <v>18.842479999999998</v>
      </c>
      <c r="J5294">
        <v>-379.46769999999998</v>
      </c>
      <c r="K5294">
        <v>1.10558</v>
      </c>
      <c r="L5294">
        <v>17.098479999999999</v>
      </c>
      <c r="M5294">
        <v>0.99963409999999997</v>
      </c>
      <c r="N5294">
        <v>0</v>
      </c>
      <c r="O5294">
        <v>-2.5860919999999999E-2</v>
      </c>
      <c r="P5294">
        <v>0.99957839999999998</v>
      </c>
      <c r="Q5294">
        <v>-1.3033009999999999E-2</v>
      </c>
      <c r="R5294">
        <v>2.5952329999999999E-2</v>
      </c>
      <c r="S5294">
        <v>2.9938959999999999</v>
      </c>
      <c r="T5294">
        <v>-0.14382329999999999</v>
      </c>
      <c r="U5294">
        <v>0.22653200000000001</v>
      </c>
      <c r="V5294">
        <v>-5.177524E-2</v>
      </c>
      <c r="W5294">
        <v>-5.2937919999999899E-3</v>
      </c>
      <c r="X5294">
        <v>0.99864470000000005</v>
      </c>
      <c r="Y5294">
        <v>-0.10106610000000001</v>
      </c>
      <c r="Z5294">
        <v>3.6627750000000001E-3</v>
      </c>
      <c r="AA5294">
        <v>0.99487300000000001</v>
      </c>
      <c r="AB5294">
        <v>22</v>
      </c>
      <c r="AC5294">
        <v>22.832999999999899</v>
      </c>
      <c r="AD5294">
        <v>-1.1055815632679999</v>
      </c>
      <c r="AE5294">
        <v>1.74399999999999</v>
      </c>
      <c r="AF5294">
        <v>-2.3284900866985998</v>
      </c>
      <c r="AG5294">
        <v>-1.1055815632679999</v>
      </c>
      <c r="AH5294">
        <v>22.727284452956901</v>
      </c>
      <c r="AI5294">
        <v>92.770510178165296</v>
      </c>
      <c r="AJ5294">
        <v>95.849743044229498</v>
      </c>
      <c r="AK5294">
        <v>22.872989207414701</v>
      </c>
    </row>
    <row r="5295" spans="1:37" x14ac:dyDescent="0.2">
      <c r="A5295" t="str">
        <f>"20200111155701972"</f>
        <v>20200111155701972</v>
      </c>
      <c r="B5295" t="str">
        <f>"1578729421968711"</f>
        <v>1578729421968711</v>
      </c>
      <c r="C5295" t="s">
        <v>37</v>
      </c>
      <c r="D5295">
        <v>5.1945399999999999</v>
      </c>
      <c r="E5295">
        <v>0.4833558</v>
      </c>
      <c r="F5295" t="s">
        <v>38</v>
      </c>
      <c r="G5295">
        <v>-356.19499999999999</v>
      </c>
      <c r="H5295" s="1">
        <v>-1.75445E-6</v>
      </c>
      <c r="I5295">
        <v>18.82816</v>
      </c>
      <c r="J5295">
        <v>-379.33699999999999</v>
      </c>
      <c r="K5295">
        <v>1.1054870000000001</v>
      </c>
      <c r="L5295">
        <v>17.09686</v>
      </c>
      <c r="M5295">
        <v>0.99967589999999995</v>
      </c>
      <c r="N5295">
        <v>0</v>
      </c>
      <c r="O5295">
        <v>-2.427808E-2</v>
      </c>
      <c r="P5295">
        <v>0.99953619999999899</v>
      </c>
      <c r="Q5295">
        <v>-1.3557970000000001E-2</v>
      </c>
      <c r="R5295">
        <v>2.727195E-2</v>
      </c>
      <c r="S5295">
        <v>2.9936219999999998</v>
      </c>
      <c r="T5295">
        <v>-0.14221349999999999</v>
      </c>
      <c r="U5295">
        <v>0.2225037</v>
      </c>
      <c r="V5295">
        <v>-5.1510239999999999E-2</v>
      </c>
      <c r="W5295">
        <v>-6.0771649999999998E-3</v>
      </c>
      <c r="X5295">
        <v>0.99865389999999998</v>
      </c>
      <c r="Y5295">
        <v>-9.8174209999999998E-2</v>
      </c>
      <c r="Z5295">
        <v>3.4787030000000001E-3</v>
      </c>
      <c r="AA5295">
        <v>0.99516309999999997</v>
      </c>
      <c r="AB5295">
        <v>22</v>
      </c>
      <c r="AC5295">
        <v>23.141999999999999</v>
      </c>
      <c r="AD5295">
        <v>-1.1054887544499901</v>
      </c>
      <c r="AE5295">
        <v>1.7313000000000001</v>
      </c>
      <c r="AF5295">
        <v>-2.2874586455195001</v>
      </c>
      <c r="AG5295">
        <v>-1.1054887544499901</v>
      </c>
      <c r="AH5295">
        <v>23.040858937135098</v>
      </c>
      <c r="AI5295">
        <v>92.733498593862706</v>
      </c>
      <c r="AJ5295">
        <v>95.669652563200401</v>
      </c>
      <c r="AK5295">
        <v>23.180503726238001</v>
      </c>
    </row>
    <row r="5296" spans="1:37" x14ac:dyDescent="0.2">
      <c r="A5296" t="str">
        <f>"20200111155701986"</f>
        <v>20200111155701986</v>
      </c>
      <c r="B5296" t="str">
        <f>"1578729421978472"</f>
        <v>1578729421978472</v>
      </c>
      <c r="C5296" t="s">
        <v>37</v>
      </c>
      <c r="D5296">
        <v>5.3416379999999997</v>
      </c>
      <c r="E5296">
        <v>0.48367589999999999</v>
      </c>
      <c r="F5296" t="s">
        <v>38</v>
      </c>
      <c r="G5296">
        <v>-355.7389</v>
      </c>
      <c r="H5296" s="1">
        <v>-1.9514660000000002E-6</v>
      </c>
      <c r="I5296">
        <v>18.82048</v>
      </c>
      <c r="J5296">
        <v>-379.21109999999999</v>
      </c>
      <c r="K5296">
        <v>1.1054010000000001</v>
      </c>
      <c r="L5296">
        <v>17.095459999999999</v>
      </c>
      <c r="M5296">
        <v>0.9997123</v>
      </c>
      <c r="N5296">
        <v>0</v>
      </c>
      <c r="O5296">
        <v>-2.280898E-2</v>
      </c>
      <c r="P5296">
        <v>0.99949569999999999</v>
      </c>
      <c r="Q5296">
        <v>-1.380836E-2</v>
      </c>
      <c r="R5296">
        <v>2.8600500000000001E-2</v>
      </c>
      <c r="S5296">
        <v>2.9935</v>
      </c>
      <c r="T5296">
        <v>-0.1402352</v>
      </c>
      <c r="U5296">
        <v>0.218658399999999</v>
      </c>
      <c r="V5296">
        <v>-5.1369129999999999E-2</v>
      </c>
      <c r="W5296">
        <v>-6.56996199999999E-3</v>
      </c>
      <c r="X5296">
        <v>0.99865809999999999</v>
      </c>
      <c r="Y5296">
        <v>-9.5451309999999998E-2</v>
      </c>
      <c r="Z5296">
        <v>3.2982909999999901E-3</v>
      </c>
      <c r="AA5296">
        <v>0.9954286</v>
      </c>
      <c r="AB5296">
        <v>22</v>
      </c>
      <c r="AC5296">
        <v>23.472199999999901</v>
      </c>
      <c r="AD5296">
        <v>-1.105402951466</v>
      </c>
      <c r="AE5296">
        <v>1.72502</v>
      </c>
      <c r="AF5296">
        <v>-2.2549885021595699</v>
      </c>
      <c r="AG5296">
        <v>-1.105402951466</v>
      </c>
      <c r="AH5296">
        <v>23.375181818238701</v>
      </c>
      <c r="AI5296">
        <v>92.694984732811406</v>
      </c>
      <c r="AJ5296">
        <v>95.510235227428495</v>
      </c>
      <c r="AK5296">
        <v>23.509700420585901</v>
      </c>
    </row>
    <row r="5297" spans="1:37" x14ac:dyDescent="0.2">
      <c r="A5297" t="str">
        <f>"20200111155701998"</f>
        <v>20200111155701998</v>
      </c>
      <c r="B5297" t="str">
        <f>"1578729421988231"</f>
        <v>1578729421988231</v>
      </c>
      <c r="C5297" t="s">
        <v>37</v>
      </c>
      <c r="D5297">
        <v>5.2004619999999999</v>
      </c>
      <c r="E5297">
        <v>0.48406329999999997</v>
      </c>
      <c r="F5297" t="s">
        <v>38</v>
      </c>
      <c r="G5297">
        <v>-355.8503</v>
      </c>
      <c r="H5297" s="1">
        <v>-1.9048989999999999E-6</v>
      </c>
      <c r="I5297">
        <v>18.813569999999999</v>
      </c>
      <c r="J5297">
        <v>-379.08460000000002</v>
      </c>
      <c r="K5297">
        <v>1.105321</v>
      </c>
      <c r="L5297">
        <v>17.094089999999898</v>
      </c>
      <c r="M5297">
        <v>0.99974569999999996</v>
      </c>
      <c r="N5297">
        <v>0</v>
      </c>
      <c r="O5297">
        <v>-2.137638E-2</v>
      </c>
      <c r="P5297">
        <v>0.99944650000000002</v>
      </c>
      <c r="Q5297">
        <v>-1.387354E-2</v>
      </c>
      <c r="R5297">
        <v>3.023932E-2</v>
      </c>
      <c r="S5297">
        <v>2.9932249999999998</v>
      </c>
      <c r="T5297">
        <v>-0.1416357</v>
      </c>
      <c r="U5297">
        <v>0.22015380000000001</v>
      </c>
      <c r="V5297">
        <v>-5.1575219999999998E-2</v>
      </c>
      <c r="W5297">
        <v>-6.8744849999999996E-3</v>
      </c>
      <c r="X5297">
        <v>0.99864540000000002</v>
      </c>
      <c r="Y5297">
        <v>-9.4526109999999997E-2</v>
      </c>
      <c r="Z5297">
        <v>3.2419109999999901E-3</v>
      </c>
      <c r="AA5297">
        <v>0.99551710000000004</v>
      </c>
      <c r="AB5297">
        <v>22</v>
      </c>
      <c r="AC5297">
        <v>23.234300000000001</v>
      </c>
      <c r="AD5297">
        <v>-1.1053229048990001</v>
      </c>
      <c r="AE5297">
        <v>1.7194799999999999</v>
      </c>
      <c r="AF5297">
        <v>-2.21078895365453</v>
      </c>
      <c r="AG5297">
        <v>-1.1053229048990001</v>
      </c>
      <c r="AH5297">
        <v>23.140148398108099</v>
      </c>
      <c r="AI5297">
        <v>92.722360293783794</v>
      </c>
      <c r="AJ5297">
        <v>95.4574228289828</v>
      </c>
      <c r="AK5297">
        <v>23.271781075116699</v>
      </c>
    </row>
    <row r="5298" spans="1:37" x14ac:dyDescent="0.2">
      <c r="A5298" t="str">
        <f>"20200111155702015"</f>
        <v>20200111155702015</v>
      </c>
      <c r="B5298" t="str">
        <f>"1578729422008729"</f>
        <v>1578729422008729</v>
      </c>
      <c r="C5298" t="s">
        <v>37</v>
      </c>
      <c r="D5298">
        <v>5.406847</v>
      </c>
      <c r="E5298">
        <v>0.48281170000000001</v>
      </c>
      <c r="F5298" t="s">
        <v>38</v>
      </c>
      <c r="G5298">
        <v>-355.85860000000002</v>
      </c>
      <c r="H5298" s="1">
        <v>-1.900797E-6</v>
      </c>
      <c r="I5298">
        <v>18.81664</v>
      </c>
      <c r="J5298">
        <v>-378.91359999999997</v>
      </c>
      <c r="K5298">
        <v>1.1052059999999999</v>
      </c>
      <c r="L5298">
        <v>17.09244</v>
      </c>
      <c r="M5298">
        <v>0.99978459999999902</v>
      </c>
      <c r="N5298">
        <v>0</v>
      </c>
      <c r="O5298">
        <v>-1.9589240000000001E-2</v>
      </c>
      <c r="P5298">
        <v>0.99937129999999996</v>
      </c>
      <c r="Q5298">
        <v>-1.352659E-2</v>
      </c>
      <c r="R5298">
        <v>3.2776329999999999E-2</v>
      </c>
      <c r="S5298">
        <v>2.9929809999999999</v>
      </c>
      <c r="T5298">
        <v>-0.1424357</v>
      </c>
      <c r="U5298">
        <v>0.22198490000000001</v>
      </c>
      <c r="V5298">
        <v>-5.2326640000000001E-2</v>
      </c>
      <c r="W5298">
        <v>-6.835799E-3</v>
      </c>
      <c r="X5298">
        <v>0.99860659999999901</v>
      </c>
      <c r="Y5298">
        <v>-9.3360009999999993E-2</v>
      </c>
      <c r="Z5298">
        <v>3.1477940000000002E-3</v>
      </c>
      <c r="AA5298">
        <v>0.9956275</v>
      </c>
      <c r="AB5298">
        <v>22</v>
      </c>
      <c r="AC5298">
        <v>23.0549999999999</v>
      </c>
      <c r="AD5298">
        <v>-1.1052079007969999</v>
      </c>
      <c r="AE5298">
        <v>1.72419999999999</v>
      </c>
      <c r="AF5298">
        <v>-2.1705494092121702</v>
      </c>
      <c r="AG5298">
        <v>-1.1052079007969999</v>
      </c>
      <c r="AH5298">
        <v>22.964319839190001</v>
      </c>
      <c r="AI5298">
        <v>92.743150906909506</v>
      </c>
      <c r="AJ5298">
        <v>95.399461057589804</v>
      </c>
      <c r="AK5298">
        <v>23.093132202419699</v>
      </c>
    </row>
    <row r="5299" spans="1:37" x14ac:dyDescent="0.2">
      <c r="A5299" t="str">
        <f>"20200111155702030"</f>
        <v>20200111155702030</v>
      </c>
      <c r="B5299" t="str">
        <f>"1578729422018488"</f>
        <v>1578729422018488</v>
      </c>
      <c r="C5299" t="s">
        <v>37</v>
      </c>
      <c r="D5299">
        <v>5.2941849999999997</v>
      </c>
      <c r="E5299">
        <v>0.481709099999999</v>
      </c>
      <c r="F5299" t="s">
        <v>38</v>
      </c>
      <c r="G5299">
        <v>-354.0822</v>
      </c>
      <c r="H5299" s="1">
        <v>-2.616566E-6</v>
      </c>
      <c r="I5299">
        <v>19.07762</v>
      </c>
      <c r="J5299">
        <v>-378.78269999999998</v>
      </c>
      <c r="K5299">
        <v>1.1051200000000001</v>
      </c>
      <c r="L5299">
        <v>17.091339999999999</v>
      </c>
      <c r="M5299">
        <v>0.99981030000000004</v>
      </c>
      <c r="N5299">
        <v>0</v>
      </c>
      <c r="O5299">
        <v>-1.831824E-2</v>
      </c>
      <c r="P5299">
        <v>0.99931559999999897</v>
      </c>
      <c r="Q5299">
        <v>-1.2847570000000001E-2</v>
      </c>
      <c r="R5299">
        <v>3.4688299999999998E-2</v>
      </c>
      <c r="S5299">
        <v>2.9922179999999998</v>
      </c>
      <c r="T5299">
        <v>-0.133179399999999</v>
      </c>
      <c r="U5299">
        <v>0.239227299999999</v>
      </c>
      <c r="V5299">
        <v>-5.2970099999999999E-2</v>
      </c>
      <c r="W5299">
        <v>-6.3829209999999997E-3</v>
      </c>
      <c r="X5299">
        <v>0.99857569999999996</v>
      </c>
      <c r="Y5299">
        <v>-9.7828250000000005E-2</v>
      </c>
      <c r="Z5299">
        <v>2.986313E-3</v>
      </c>
      <c r="AA5299">
        <v>0.99519880000000005</v>
      </c>
      <c r="AB5299">
        <v>22</v>
      </c>
      <c r="AC5299">
        <v>24.700499999999899</v>
      </c>
      <c r="AD5299">
        <v>-1.105122616566</v>
      </c>
      <c r="AE5299">
        <v>1.98628</v>
      </c>
      <c r="AF5299">
        <v>-2.4335861713420299</v>
      </c>
      <c r="AG5299">
        <v>-1.105122616566</v>
      </c>
      <c r="AH5299">
        <v>24.611020755403</v>
      </c>
      <c r="AI5299">
        <v>92.558596370918195</v>
      </c>
      <c r="AJ5299">
        <v>95.6471618800811</v>
      </c>
      <c r="AK5299">
        <v>24.755726211805399</v>
      </c>
    </row>
    <row r="5300" spans="1:37" x14ac:dyDescent="0.2">
      <c r="A5300" t="str">
        <f>"20200111155702071"</f>
        <v>20200111155702071</v>
      </c>
      <c r="B5300" t="str">
        <f>"1578729422068265"</f>
        <v>1578729422068265</v>
      </c>
      <c r="C5300" t="s">
        <v>37</v>
      </c>
      <c r="D5300">
        <v>5.2188689999999998</v>
      </c>
      <c r="E5300">
        <v>0.42307529999999999</v>
      </c>
      <c r="F5300" t="s">
        <v>38</v>
      </c>
      <c r="G5300">
        <v>-353.65230000000003</v>
      </c>
      <c r="H5300" s="1">
        <v>-2.7752379999999999E-6</v>
      </c>
      <c r="I5300">
        <v>19.222939999999902</v>
      </c>
      <c r="J5300">
        <v>-378.35570000000001</v>
      </c>
      <c r="K5300">
        <v>1.1048199999999999</v>
      </c>
      <c r="L5300">
        <v>17.08813</v>
      </c>
      <c r="M5300">
        <v>0.99987469999999901</v>
      </c>
      <c r="N5300">
        <v>0</v>
      </c>
      <c r="O5300">
        <v>-1.468619E-2</v>
      </c>
      <c r="P5300">
        <v>0.99911609999999995</v>
      </c>
      <c r="Q5300">
        <v>-1.1644979999999999E-2</v>
      </c>
      <c r="R5300">
        <v>4.039305E-2</v>
      </c>
      <c r="S5300">
        <v>2.9915159999999998</v>
      </c>
      <c r="T5300">
        <v>-0.13155310000000001</v>
      </c>
      <c r="U5300">
        <v>0.25375370000000003</v>
      </c>
      <c r="V5300">
        <v>-5.5048590000000001E-2</v>
      </c>
      <c r="W5300">
        <v>-5.868056E-3</v>
      </c>
      <c r="X5300">
        <v>0.99846639999999998</v>
      </c>
      <c r="Y5300">
        <v>-9.9036559999999996E-2</v>
      </c>
      <c r="Z5300">
        <v>2.8170959999999998E-3</v>
      </c>
      <c r="AA5300">
        <v>0.99507979999999996</v>
      </c>
      <c r="AB5300">
        <v>23</v>
      </c>
      <c r="AC5300">
        <v>24.703399999999899</v>
      </c>
      <c r="AD5300">
        <v>-1.104822775238</v>
      </c>
      <c r="AE5300">
        <v>2.1348099999999901</v>
      </c>
      <c r="AF5300">
        <v>-2.49243651633802</v>
      </c>
      <c r="AG5300">
        <v>-1.104822775238</v>
      </c>
      <c r="AH5300">
        <v>24.620502224605399</v>
      </c>
      <c r="AI5300">
        <v>92.556324376462499</v>
      </c>
      <c r="AJ5300">
        <v>95.780598095995799</v>
      </c>
      <c r="AK5300">
        <v>24.770991157893899</v>
      </c>
    </row>
    <row r="5301" spans="1:37" x14ac:dyDescent="0.2">
      <c r="A5301" t="str">
        <f>"20200111155702082"</f>
        <v>20200111155702082</v>
      </c>
      <c r="B5301" t="str">
        <f>"1578729422079000"</f>
        <v>1578729422079000</v>
      </c>
      <c r="C5301" t="s">
        <v>37</v>
      </c>
      <c r="D5301">
        <v>5.1902410000000003</v>
      </c>
      <c r="E5301">
        <v>0.42391499999999999</v>
      </c>
      <c r="F5301" t="s">
        <v>38</v>
      </c>
      <c r="G5301">
        <v>-327.16640000000001</v>
      </c>
      <c r="H5301">
        <v>7.9985890000000004E-2</v>
      </c>
      <c r="I5301">
        <v>29.757479999999902</v>
      </c>
      <c r="J5301">
        <v>-378.24160000000001</v>
      </c>
      <c r="K5301">
        <v>1.1047439999999999</v>
      </c>
      <c r="L5301">
        <v>17.087399999999999</v>
      </c>
      <c r="M5301">
        <v>0.99988779999999999</v>
      </c>
      <c r="N5301">
        <v>0</v>
      </c>
      <c r="O5301">
        <v>-1.3846570000000001E-2</v>
      </c>
      <c r="P5301">
        <v>0.99906550000000005</v>
      </c>
      <c r="Q5301">
        <v>-1.162671E-2</v>
      </c>
      <c r="R5301">
        <v>4.1635489999999997E-2</v>
      </c>
      <c r="S5301">
        <v>2.972229</v>
      </c>
      <c r="T5301">
        <v>-5.9505460000000003E-2</v>
      </c>
      <c r="U5301">
        <v>0.73562620000000001</v>
      </c>
      <c r="V5301">
        <v>-5.545228E-2</v>
      </c>
      <c r="W5301">
        <v>-6.0189149999999997E-3</v>
      </c>
      <c r="X5301">
        <v>0.99844319999999898</v>
      </c>
      <c r="Y5301">
        <v>-0.25361839999999902</v>
      </c>
      <c r="Z5301">
        <v>2.7739919999999999E-3</v>
      </c>
      <c r="AA5301">
        <v>0.96730039999999995</v>
      </c>
      <c r="AB5301">
        <v>23</v>
      </c>
      <c r="AC5301">
        <v>51.075200000000002</v>
      </c>
      <c r="AD5301">
        <v>-1.0247581100000001</v>
      </c>
      <c r="AE5301">
        <v>12.67008</v>
      </c>
      <c r="AF5301">
        <v>-13.371022668468999</v>
      </c>
      <c r="AG5301">
        <v>-1.0247581100000001</v>
      </c>
      <c r="AH5301">
        <v>50.8755704710332</v>
      </c>
      <c r="AI5301">
        <v>91.116030383017304</v>
      </c>
      <c r="AJ5301">
        <v>104.72535544528399</v>
      </c>
      <c r="AK5301">
        <v>52.613287743095697</v>
      </c>
    </row>
    <row r="5302" spans="1:37" x14ac:dyDescent="0.2">
      <c r="A5302" t="str">
        <f>"20200111155702095"</f>
        <v>20200111155702095</v>
      </c>
      <c r="B5302" t="str">
        <f>"1578729422088760"</f>
        <v>1578729422088760</v>
      </c>
      <c r="C5302" t="s">
        <v>37</v>
      </c>
      <c r="D5302">
        <v>5.2077099999999996</v>
      </c>
      <c r="E5302">
        <v>0.42422120000000002</v>
      </c>
      <c r="F5302" t="s">
        <v>38</v>
      </c>
      <c r="G5302">
        <v>-333.2099</v>
      </c>
      <c r="H5302" s="1">
        <v>-4.7059890000000003E-6</v>
      </c>
      <c r="I5302">
        <v>28.1983</v>
      </c>
      <c r="J5302">
        <v>-378.10739999999998</v>
      </c>
      <c r="K5302">
        <v>1.1046530000000001</v>
      </c>
      <c r="L5302">
        <v>17.08661</v>
      </c>
      <c r="M5302">
        <v>0.99990109999999999</v>
      </c>
      <c r="N5302">
        <v>0</v>
      </c>
      <c r="O5302">
        <v>-1.2925519999999999E-2</v>
      </c>
      <c r="P5302">
        <v>0.99901759999999995</v>
      </c>
      <c r="Q5302">
        <v>-1.1449529999999999E-2</v>
      </c>
      <c r="R5302">
        <v>4.2811969999999998E-2</v>
      </c>
      <c r="S5302">
        <v>2.9714049999999999</v>
      </c>
      <c r="T5302">
        <v>-7.289648E-2</v>
      </c>
      <c r="U5302">
        <v>0.73315430000000004</v>
      </c>
      <c r="V5302">
        <v>-5.5708880000000002E-2</v>
      </c>
      <c r="W5302">
        <v>-6.0317369999999997E-3</v>
      </c>
      <c r="X5302">
        <v>0.99842880000000001</v>
      </c>
      <c r="Y5302">
        <v>-0.25200660000000003</v>
      </c>
      <c r="Z5302">
        <v>3.3575809999999901E-3</v>
      </c>
      <c r="AA5302">
        <v>0.96771969999999996</v>
      </c>
      <c r="AB5302">
        <v>23</v>
      </c>
      <c r="AC5302">
        <v>44.897499999999901</v>
      </c>
      <c r="AD5302">
        <v>-1.1046577059889999</v>
      </c>
      <c r="AE5302">
        <v>11.111689999999999</v>
      </c>
      <c r="AF5302">
        <v>-11.6844291681369</v>
      </c>
      <c r="AG5302">
        <v>-1.1046577059889999</v>
      </c>
      <c r="AH5302">
        <v>44.724610956686</v>
      </c>
      <c r="AI5302">
        <v>91.368938926615698</v>
      </c>
      <c r="AJ5302">
        <v>104.641429914868</v>
      </c>
      <c r="AK5302">
        <v>46.238911955835697</v>
      </c>
    </row>
    <row r="5303" spans="1:37" x14ac:dyDescent="0.2">
      <c r="A5303" t="str">
        <f>"20200111155702108"</f>
        <v>20200111155702108</v>
      </c>
      <c r="B5303" t="str">
        <f>"1578729422098520"</f>
        <v>1578729422098520</v>
      </c>
      <c r="C5303" t="s">
        <v>37</v>
      </c>
      <c r="D5303">
        <v>5.2035339999999897</v>
      </c>
      <c r="E5303">
        <v>0.42492759999999902</v>
      </c>
      <c r="F5303" t="s">
        <v>38</v>
      </c>
      <c r="G5303">
        <v>-338.76459999999997</v>
      </c>
      <c r="H5303" s="1">
        <v>-2.4281300000000001E-6</v>
      </c>
      <c r="I5303">
        <v>26.81654</v>
      </c>
      <c r="J5303">
        <v>-377.98410000000001</v>
      </c>
      <c r="K5303">
        <v>1.104576</v>
      </c>
      <c r="L5303">
        <v>17.08588</v>
      </c>
      <c r="M5303">
        <v>0.99991180000000002</v>
      </c>
      <c r="N5303">
        <v>0</v>
      </c>
      <c r="O5303">
        <v>-1.215873E-2</v>
      </c>
      <c r="P5303">
        <v>0.99898709999999902</v>
      </c>
      <c r="Q5303">
        <v>-1.106449E-2</v>
      </c>
      <c r="R5303">
        <v>4.3620770000000003E-2</v>
      </c>
      <c r="S5303">
        <v>2.97052</v>
      </c>
      <c r="T5303">
        <v>-8.3405259999999995E-2</v>
      </c>
      <c r="U5303">
        <v>0.73464969999999996</v>
      </c>
      <c r="V5303">
        <v>-5.5753230000000001E-2</v>
      </c>
      <c r="W5303">
        <v>-5.8137329999999997E-3</v>
      </c>
      <c r="X5303">
        <v>0.99842759999999997</v>
      </c>
      <c r="Y5303">
        <v>-0.25176779999999999</v>
      </c>
      <c r="Z5303">
        <v>3.8177969999999999E-3</v>
      </c>
      <c r="AA5303">
        <v>0.96778019999999998</v>
      </c>
      <c r="AB5303">
        <v>23</v>
      </c>
      <c r="AC5303">
        <v>39.219499999999996</v>
      </c>
      <c r="AD5303">
        <v>-1.10457842813</v>
      </c>
      <c r="AE5303">
        <v>9.7306600000000003</v>
      </c>
      <c r="AF5303">
        <v>-10.1991858250747</v>
      </c>
      <c r="AG5303">
        <v>-1.10457842813</v>
      </c>
      <c r="AH5303">
        <v>39.069093642893399</v>
      </c>
      <c r="AI5303">
        <v>91.566972889641093</v>
      </c>
      <c r="AJ5303">
        <v>104.63082612167599</v>
      </c>
      <c r="AK5303">
        <v>40.393533678987197</v>
      </c>
    </row>
    <row r="5304" spans="1:37" x14ac:dyDescent="0.2">
      <c r="A5304" t="str">
        <f>"20200111155702121"</f>
        <v>20200111155702121</v>
      </c>
      <c r="B5304" t="str">
        <f>"1578729422118040"</f>
        <v>1578729422118040</v>
      </c>
      <c r="C5304" t="s">
        <v>37</v>
      </c>
      <c r="D5304">
        <v>5.245908</v>
      </c>
      <c r="E5304">
        <v>0.42628879999999902</v>
      </c>
      <c r="F5304" t="s">
        <v>38</v>
      </c>
      <c r="G5304">
        <v>-341.52120000000002</v>
      </c>
      <c r="H5304" s="1">
        <v>-4.903211E-6</v>
      </c>
      <c r="I5304">
        <v>26.070489999999999</v>
      </c>
      <c r="J5304">
        <v>-377.84100000000001</v>
      </c>
      <c r="K5304">
        <v>1.104487</v>
      </c>
      <c r="L5304">
        <v>17.085079999999898</v>
      </c>
      <c r="M5304">
        <v>0.99992259999999999</v>
      </c>
      <c r="N5304">
        <v>0</v>
      </c>
      <c r="O5304">
        <v>-1.132064E-2</v>
      </c>
      <c r="P5304">
        <v>0.99895389999999995</v>
      </c>
      <c r="Q5304">
        <v>-1.017346E-2</v>
      </c>
      <c r="R5304">
        <v>4.4584140000000001E-2</v>
      </c>
      <c r="S5304">
        <v>2.970062</v>
      </c>
      <c r="T5304">
        <v>-8.9972849999999993E-2</v>
      </c>
      <c r="U5304">
        <v>0.73184199999999999</v>
      </c>
      <c r="V5304">
        <v>-5.5881510000000002E-2</v>
      </c>
      <c r="W5304">
        <v>-5.113444E-3</v>
      </c>
      <c r="X5304">
        <v>0.99842430000000004</v>
      </c>
      <c r="Y5304">
        <v>-0.25011369999999999</v>
      </c>
      <c r="Z5304">
        <v>4.06966599999999E-3</v>
      </c>
      <c r="AA5304">
        <v>0.96820790000000001</v>
      </c>
      <c r="AB5304">
        <v>23</v>
      </c>
      <c r="AC5304">
        <v>36.319800000000001</v>
      </c>
      <c r="AD5304">
        <v>-1.1044919032110001</v>
      </c>
      <c r="AE5304">
        <v>8.9854099999999999</v>
      </c>
      <c r="AF5304">
        <v>-9.3878221041376904</v>
      </c>
      <c r="AG5304">
        <v>-1.1044919032110001</v>
      </c>
      <c r="AH5304">
        <v>36.184218132268803</v>
      </c>
      <c r="AI5304">
        <v>91.692364826888706</v>
      </c>
      <c r="AJ5304">
        <v>104.54443784737499</v>
      </c>
      <c r="AK5304">
        <v>37.3985126451147</v>
      </c>
    </row>
    <row r="5305" spans="1:37" x14ac:dyDescent="0.2">
      <c r="A5305" t="str">
        <f>"20200111155702137"</f>
        <v>20200111155702137</v>
      </c>
      <c r="B5305" t="str">
        <f>"1578729422128776"</f>
        <v>1578729422128776</v>
      </c>
      <c r="C5305" t="s">
        <v>37</v>
      </c>
      <c r="D5305">
        <v>5.2940930000000002</v>
      </c>
      <c r="E5305">
        <v>0.4267492</v>
      </c>
      <c r="F5305" t="s">
        <v>38</v>
      </c>
      <c r="G5305">
        <v>-342.62740000000002</v>
      </c>
      <c r="H5305" s="1">
        <v>-4.4559580000000003E-6</v>
      </c>
      <c r="I5305">
        <v>25.671209999999999</v>
      </c>
      <c r="J5305">
        <v>-377.67619999999999</v>
      </c>
      <c r="K5305">
        <v>1.104387</v>
      </c>
      <c r="L5305">
        <v>17.084229999999899</v>
      </c>
      <c r="M5305">
        <v>0.99993319999999997</v>
      </c>
      <c r="N5305">
        <v>0</v>
      </c>
      <c r="O5305">
        <v>-1.045476E-2</v>
      </c>
      <c r="P5305">
        <v>0.9988918</v>
      </c>
      <c r="Q5305">
        <v>-8.1418319999999999E-3</v>
      </c>
      <c r="R5305">
        <v>4.6357049999999997E-2</v>
      </c>
      <c r="S5305">
        <v>2.9698790000000002</v>
      </c>
      <c r="T5305">
        <v>-9.3151570000000003E-2</v>
      </c>
      <c r="U5305">
        <v>0.72415160000000001</v>
      </c>
      <c r="V5305">
        <v>-5.6793150000000001E-2</v>
      </c>
      <c r="W5305">
        <v>-3.298778E-3</v>
      </c>
      <c r="X5305">
        <v>0.9983805</v>
      </c>
      <c r="Y5305">
        <v>-0.24691639999999901</v>
      </c>
      <c r="Z5305">
        <v>4.1387239999999999E-3</v>
      </c>
      <c r="AA5305">
        <v>0.96902790000000005</v>
      </c>
      <c r="AB5305">
        <v>23</v>
      </c>
      <c r="AC5305">
        <v>35.0487999999999</v>
      </c>
      <c r="AD5305">
        <v>-1.1043914559579999</v>
      </c>
      <c r="AE5305">
        <v>8.5869800000000005</v>
      </c>
      <c r="AF5305">
        <v>-8.9445638868541408</v>
      </c>
      <c r="AG5305">
        <v>-1.1043914559579999</v>
      </c>
      <c r="AH5305">
        <v>34.924396141853599</v>
      </c>
      <c r="AI5305">
        <v>91.754628572264707</v>
      </c>
      <c r="AJ5305">
        <v>104.365369510835</v>
      </c>
      <c r="AK5305">
        <v>36.068522973461597</v>
      </c>
    </row>
    <row r="5306" spans="1:37" x14ac:dyDescent="0.2">
      <c r="A5306" t="str">
        <f>"20200111155702151"</f>
        <v>20200111155702151</v>
      </c>
      <c r="B5306" t="str">
        <f>"1578729422148296"</f>
        <v>1578729422148296</v>
      </c>
      <c r="C5306" t="s">
        <v>37</v>
      </c>
      <c r="D5306">
        <v>5.3094140000000003</v>
      </c>
      <c r="E5306">
        <v>0.42768610000000001</v>
      </c>
      <c r="F5306" t="s">
        <v>38</v>
      </c>
      <c r="G5306">
        <v>-341.03519999999997</v>
      </c>
      <c r="H5306" s="1">
        <v>-5.0635720000000002E-6</v>
      </c>
      <c r="I5306">
        <v>26.041979999999999</v>
      </c>
      <c r="J5306">
        <v>-377.53980000000001</v>
      </c>
      <c r="K5306">
        <v>1.104314</v>
      </c>
      <c r="L5306">
        <v>17.083559999999999</v>
      </c>
      <c r="M5306">
        <v>0.99994039999999995</v>
      </c>
      <c r="N5306">
        <v>0</v>
      </c>
      <c r="O5306">
        <v>-9.8282500000000002E-3</v>
      </c>
      <c r="P5306">
        <v>0.99885179999999996</v>
      </c>
      <c r="Q5306">
        <v>-6.7106450000000003E-3</v>
      </c>
      <c r="R5306">
        <v>4.7435079999999998E-2</v>
      </c>
      <c r="S5306">
        <v>2.9689329999999998</v>
      </c>
      <c r="T5306">
        <v>-8.9485999999999996E-2</v>
      </c>
      <c r="U5306">
        <v>0.72583009999999903</v>
      </c>
      <c r="V5306">
        <v>-5.72475E-2</v>
      </c>
      <c r="W5306">
        <v>-2.0418860000000001E-3</v>
      </c>
      <c r="X5306">
        <v>0.99835799999999997</v>
      </c>
      <c r="Y5306">
        <v>-0.24690679999999901</v>
      </c>
      <c r="Z5306">
        <v>3.9581460000000001E-3</v>
      </c>
      <c r="AA5306">
        <v>0.96903119999999998</v>
      </c>
      <c r="AB5306">
        <v>23</v>
      </c>
      <c r="AC5306">
        <v>36.504600000000003</v>
      </c>
      <c r="AD5306">
        <v>-1.1043190635719999</v>
      </c>
      <c r="AE5306">
        <v>8.9584199999999896</v>
      </c>
      <c r="AF5306">
        <v>-9.3087326817718292</v>
      </c>
      <c r="AG5306">
        <v>-1.1043190635719999</v>
      </c>
      <c r="AH5306">
        <v>36.383385206138598</v>
      </c>
      <c r="AI5306">
        <v>91.6843038068602</v>
      </c>
      <c r="AJ5306">
        <v>104.35133489259201</v>
      </c>
      <c r="AK5306">
        <v>37.571568290305898</v>
      </c>
    </row>
    <row r="5307" spans="1:37" x14ac:dyDescent="0.2">
      <c r="A5307" t="str">
        <f>"20200111155702164"</f>
        <v>20200111155702164</v>
      </c>
      <c r="B5307" t="str">
        <f>"1578729422158057"</f>
        <v>1578729422158057</v>
      </c>
      <c r="C5307" t="s">
        <v>37</v>
      </c>
      <c r="D5307">
        <v>5.3010229999999998</v>
      </c>
      <c r="E5307">
        <v>0.42829279999999997</v>
      </c>
      <c r="F5307" t="s">
        <v>38</v>
      </c>
      <c r="G5307">
        <v>-341.30110000000002</v>
      </c>
      <c r="H5307" s="1">
        <v>-4.946723E-6</v>
      </c>
      <c r="I5307">
        <v>25.893460000000001</v>
      </c>
      <c r="J5307">
        <v>-377.39429999999999</v>
      </c>
      <c r="K5307">
        <v>1.1042419999999999</v>
      </c>
      <c r="L5307">
        <v>17.082789999999999</v>
      </c>
      <c r="M5307">
        <v>0.99994740000000004</v>
      </c>
      <c r="N5307">
        <v>0</v>
      </c>
      <c r="O5307">
        <v>-9.2080430000000008E-3</v>
      </c>
      <c r="P5307">
        <v>0.99880380000000002</v>
      </c>
      <c r="Q5307">
        <v>-5.5782459999999898E-3</v>
      </c>
      <c r="R5307">
        <v>4.8581159999999998E-2</v>
      </c>
      <c r="S5307">
        <v>2.9685359999999998</v>
      </c>
      <c r="T5307">
        <v>-9.0461490000000006E-2</v>
      </c>
      <c r="U5307">
        <v>0.72167969999999904</v>
      </c>
      <c r="V5307">
        <v>-5.7775050000000001E-2</v>
      </c>
      <c r="W5307">
        <v>-1.0936450000000001E-3</v>
      </c>
      <c r="X5307">
        <v>0.99832900000000002</v>
      </c>
      <c r="Y5307">
        <v>-0.245055</v>
      </c>
      <c r="Z5307">
        <v>3.9560050000000003E-3</v>
      </c>
      <c r="AA5307">
        <v>0.9695011</v>
      </c>
      <c r="AB5307">
        <v>23</v>
      </c>
      <c r="AC5307">
        <v>36.093199999999896</v>
      </c>
      <c r="AD5307">
        <v>-1.1042469467230001</v>
      </c>
      <c r="AE5307">
        <v>8.81067</v>
      </c>
      <c r="AF5307">
        <v>-9.1345783535458693</v>
      </c>
      <c r="AG5307">
        <v>-1.1042469467230001</v>
      </c>
      <c r="AH5307">
        <v>35.978757279872397</v>
      </c>
      <c r="AI5307">
        <v>91.703923604689095</v>
      </c>
      <c r="AJ5307">
        <v>104.245718438697</v>
      </c>
      <c r="AK5307">
        <v>37.136651147086297</v>
      </c>
    </row>
    <row r="5308" spans="1:37" x14ac:dyDescent="0.2">
      <c r="A5308" t="str">
        <f>"20200111155702177"</f>
        <v>20200111155702177</v>
      </c>
      <c r="B5308" t="str">
        <f>"1578729422168792"</f>
        <v>1578729422168792</v>
      </c>
      <c r="C5308" t="s">
        <v>37</v>
      </c>
      <c r="D5308">
        <v>5.2894290000000002</v>
      </c>
      <c r="E5308">
        <v>0.42882779999999998</v>
      </c>
      <c r="F5308" t="s">
        <v>38</v>
      </c>
      <c r="G5308">
        <v>-340.74579999999997</v>
      </c>
      <c r="H5308" s="1">
        <v>-5.1506149999999996E-6</v>
      </c>
      <c r="I5308">
        <v>25.97766</v>
      </c>
      <c r="J5308">
        <v>-377.260999999999</v>
      </c>
      <c r="K5308">
        <v>1.104174</v>
      </c>
      <c r="L5308">
        <v>17.082179999999902</v>
      </c>
      <c r="M5308">
        <v>0.99995270000000003</v>
      </c>
      <c r="N5308">
        <v>0</v>
      </c>
      <c r="O5308">
        <v>-8.6859459999999999E-3</v>
      </c>
      <c r="P5308">
        <v>0.99876049999999905</v>
      </c>
      <c r="Q5308">
        <v>-4.7852270000000004E-3</v>
      </c>
      <c r="R5308">
        <v>4.9545779999999998E-2</v>
      </c>
      <c r="S5308">
        <v>2.9680179999999998</v>
      </c>
      <c r="T5308">
        <v>-8.9428659999999993E-2</v>
      </c>
      <c r="U5308">
        <v>0.72036739999999999</v>
      </c>
      <c r="V5308">
        <v>-5.8218739999999998E-2</v>
      </c>
      <c r="W5308">
        <v>-4.6751250000000001E-4</v>
      </c>
      <c r="X5308">
        <v>0.99830370000000002</v>
      </c>
      <c r="Y5308">
        <v>-0.24418589999999901</v>
      </c>
      <c r="Z5308">
        <v>3.8833090000000002E-3</v>
      </c>
      <c r="AA5308">
        <v>0.96972069999999999</v>
      </c>
      <c r="AB5308">
        <v>23</v>
      </c>
      <c r="AC5308">
        <v>36.515199999999901</v>
      </c>
      <c r="AD5308">
        <v>-1.104179150615</v>
      </c>
      <c r="AE5308">
        <v>8.8954799999999992</v>
      </c>
      <c r="AF5308">
        <v>-9.2043716245673899</v>
      </c>
      <c r="AG5308">
        <v>-1.104179150615</v>
      </c>
      <c r="AH5308">
        <v>36.405132451169202</v>
      </c>
      <c r="AI5308">
        <v>91.684298873307498</v>
      </c>
      <c r="AJ5308">
        <v>104.18884224552799</v>
      </c>
      <c r="AK5308">
        <v>37.566918124687398</v>
      </c>
    </row>
    <row r="5309" spans="1:37" x14ac:dyDescent="0.2">
      <c r="A5309" t="str">
        <f>"20200111155702196"</f>
        <v>20200111155702196</v>
      </c>
      <c r="B5309" t="str">
        <f>"1578729422188313"</f>
        <v>1578729422188313</v>
      </c>
      <c r="C5309" t="s">
        <v>37</v>
      </c>
      <c r="D5309">
        <v>5.3380650000000003</v>
      </c>
      <c r="E5309">
        <v>0.42965329999999902</v>
      </c>
      <c r="F5309" t="s">
        <v>38</v>
      </c>
      <c r="G5309">
        <v>-340.56720000000001</v>
      </c>
      <c r="H5309" s="1">
        <v>-5.2108489999999899E-6</v>
      </c>
      <c r="I5309">
        <v>25.974519999999998</v>
      </c>
      <c r="J5309">
        <v>-377.07010000000002</v>
      </c>
      <c r="K5309">
        <v>1.104087</v>
      </c>
      <c r="L5309">
        <v>17.081299999999999</v>
      </c>
      <c r="M5309">
        <v>0.99995909999999999</v>
      </c>
      <c r="N5309">
        <v>0</v>
      </c>
      <c r="O5309">
        <v>-8.0362349999999992E-3</v>
      </c>
      <c r="P5309">
        <v>0.99872649999999996</v>
      </c>
      <c r="Q5309">
        <v>-4.0797960000000001E-3</v>
      </c>
      <c r="R5309">
        <v>5.02861E-2</v>
      </c>
      <c r="S5309">
        <v>2.9676209999999998</v>
      </c>
      <c r="T5309">
        <v>-8.9300749999999998E-2</v>
      </c>
      <c r="U5309">
        <v>0.71917719999999996</v>
      </c>
      <c r="V5309">
        <v>-5.8310620000000001E-2</v>
      </c>
      <c r="W5309" s="1">
        <v>4.8823419999999997E-6</v>
      </c>
      <c r="X5309">
        <v>0.99829849999999998</v>
      </c>
      <c r="Y5309">
        <v>-0.24321909999999999</v>
      </c>
      <c r="Z5309">
        <v>3.8448290000000001E-3</v>
      </c>
      <c r="AA5309">
        <v>0.96996369999999899</v>
      </c>
      <c r="AB5309">
        <v>23</v>
      </c>
      <c r="AC5309">
        <v>36.502899999999997</v>
      </c>
      <c r="AD5309">
        <v>-1.1040922108490001</v>
      </c>
      <c r="AE5309">
        <v>8.8932199999999995</v>
      </c>
      <c r="AF5309">
        <v>-9.1783547776111405</v>
      </c>
      <c r="AG5309">
        <v>-1.1040922108490001</v>
      </c>
      <c r="AH5309">
        <v>36.398818515832701</v>
      </c>
      <c r="AI5309">
        <v>91.684726426721994</v>
      </c>
      <c r="AJ5309">
        <v>104.15270556559599</v>
      </c>
      <c r="AK5309">
        <v>37.554429903571702</v>
      </c>
    </row>
    <row r="5310" spans="1:37" x14ac:dyDescent="0.2">
      <c r="A5310" t="str">
        <f>"20200111155702210"</f>
        <v>20200111155702210</v>
      </c>
      <c r="B5310" t="str">
        <f>"1578729422198071"</f>
        <v>1578729422198071</v>
      </c>
      <c r="C5310" t="s">
        <v>37</v>
      </c>
      <c r="D5310">
        <v>5.3593570000000001</v>
      </c>
      <c r="E5310">
        <v>0.43012460000000002</v>
      </c>
      <c r="F5310" t="s">
        <v>38</v>
      </c>
      <c r="G5310">
        <v>-338.01659999999998</v>
      </c>
      <c r="H5310" s="1">
        <v>-2.66175E-6</v>
      </c>
      <c r="I5310">
        <v>26.488659999999999</v>
      </c>
      <c r="J5310">
        <v>-376.91730000000001</v>
      </c>
      <c r="K5310">
        <v>1.104017</v>
      </c>
      <c r="L5310">
        <v>17.080629999999999</v>
      </c>
      <c r="M5310">
        <v>0.99996359999999995</v>
      </c>
      <c r="N5310">
        <v>0</v>
      </c>
      <c r="O5310">
        <v>-7.5797829999999997E-3</v>
      </c>
      <c r="P5310">
        <v>0.9987026</v>
      </c>
      <c r="Q5310">
        <v>-3.6904889999999999E-3</v>
      </c>
      <c r="R5310">
        <v>5.0790559999999998E-2</v>
      </c>
      <c r="S5310">
        <v>2.96755999999999</v>
      </c>
      <c r="T5310">
        <v>-8.3896520000000002E-2</v>
      </c>
      <c r="U5310">
        <v>0.71484380000000003</v>
      </c>
      <c r="V5310">
        <v>-5.8359179999999997E-2</v>
      </c>
      <c r="W5310">
        <v>2.1249459999999999E-4</v>
      </c>
      <c r="X5310">
        <v>0.99829559999999995</v>
      </c>
      <c r="Y5310">
        <v>-0.24145559999999999</v>
      </c>
      <c r="Z5310">
        <v>3.5756270000000001E-3</v>
      </c>
      <c r="AA5310">
        <v>0.97040530000000003</v>
      </c>
      <c r="AB5310">
        <v>24</v>
      </c>
      <c r="AC5310">
        <v>38.900700000000001</v>
      </c>
      <c r="AD5310">
        <v>-1.10401966175</v>
      </c>
      <c r="AE5310">
        <v>9.4080300000000001</v>
      </c>
      <c r="AF5310">
        <v>-9.6952433337088308</v>
      </c>
      <c r="AG5310">
        <v>-1.10401966175</v>
      </c>
      <c r="AH5310">
        <v>38.798747485843897</v>
      </c>
      <c r="AI5310">
        <v>91.581316043028906</v>
      </c>
      <c r="AJ5310">
        <v>104.030067336005</v>
      </c>
      <c r="AK5310">
        <v>40.006992003694002</v>
      </c>
    </row>
    <row r="5311" spans="1:37" x14ac:dyDescent="0.2">
      <c r="A5311" t="str">
        <f>"20200111155702228"</f>
        <v>20200111155702228</v>
      </c>
      <c r="B5311" t="str">
        <f>"1578729422218567"</f>
        <v>1578729422218567</v>
      </c>
      <c r="C5311" t="s">
        <v>37</v>
      </c>
      <c r="D5311">
        <v>5.4135080000000002</v>
      </c>
      <c r="E5311">
        <v>0.43106509999999998</v>
      </c>
      <c r="F5311" t="s">
        <v>38</v>
      </c>
      <c r="G5311">
        <v>-338.91160000000002</v>
      </c>
      <c r="H5311" s="1">
        <v>-2.2037089999999998E-6</v>
      </c>
      <c r="I5311">
        <v>26.210170000000002</v>
      </c>
      <c r="J5311">
        <v>-376.72629999999998</v>
      </c>
      <c r="K5311">
        <v>1.1039429999999999</v>
      </c>
      <c r="L5311">
        <v>17.07977</v>
      </c>
      <c r="M5311">
        <v>0.99996819999999897</v>
      </c>
      <c r="N5311">
        <v>0</v>
      </c>
      <c r="O5311">
        <v>-7.068693E-3</v>
      </c>
      <c r="P5311">
        <v>0.99870680000000001</v>
      </c>
      <c r="Q5311">
        <v>-3.3061059999999901E-3</v>
      </c>
      <c r="R5311">
        <v>5.073693E-2</v>
      </c>
      <c r="S5311">
        <v>2.9673159999999998</v>
      </c>
      <c r="T5311">
        <v>-8.6196780000000001E-2</v>
      </c>
      <c r="U5311">
        <v>0.71279910000000002</v>
      </c>
      <c r="V5311">
        <v>-5.7795550000000001E-2</v>
      </c>
      <c r="W5311">
        <v>3.7604970000000001E-4</v>
      </c>
      <c r="X5311">
        <v>0.9983284</v>
      </c>
      <c r="Y5311">
        <v>-0.2403409</v>
      </c>
      <c r="Z5311">
        <v>3.643608E-3</v>
      </c>
      <c r="AA5311">
        <v>0.97068169999999898</v>
      </c>
      <c r="AB5311">
        <v>24</v>
      </c>
      <c r="AC5311">
        <v>37.814699999999903</v>
      </c>
      <c r="AD5311">
        <v>-1.1039452037090001</v>
      </c>
      <c r="AE5311">
        <v>9.1303999999999998</v>
      </c>
      <c r="AF5311">
        <v>-9.3899123825383999</v>
      </c>
      <c r="AG5311">
        <v>-1.1039452037090001</v>
      </c>
      <c r="AH5311">
        <v>37.718839282412397</v>
      </c>
      <c r="AI5311">
        <v>91.626815304091707</v>
      </c>
      <c r="AJ5311">
        <v>103.979332210894</v>
      </c>
      <c r="AK5311">
        <v>38.885729855269503</v>
      </c>
    </row>
    <row r="5312" spans="1:37" x14ac:dyDescent="0.2">
      <c r="A5312" t="str">
        <f>"20200111155702241"</f>
        <v>20200111155702241</v>
      </c>
      <c r="B5312" t="str">
        <f>"1578729422238089"</f>
        <v>1578729422238089</v>
      </c>
      <c r="C5312" t="s">
        <v>37</v>
      </c>
      <c r="D5312">
        <v>5.4523630000000001</v>
      </c>
      <c r="E5312">
        <v>0.43181120000000001</v>
      </c>
      <c r="F5312" t="s">
        <v>38</v>
      </c>
      <c r="G5312">
        <v>-341.81659999999999</v>
      </c>
      <c r="H5312" s="1">
        <v>-4.6800909999999998E-6</v>
      </c>
      <c r="I5312">
        <v>25.37932</v>
      </c>
      <c r="J5312">
        <v>-376.58120000000002</v>
      </c>
      <c r="K5312">
        <v>1.10389</v>
      </c>
      <c r="L5312">
        <v>17.0791</v>
      </c>
      <c r="M5312">
        <v>0.99997119999999995</v>
      </c>
      <c r="N5312">
        <v>0</v>
      </c>
      <c r="O5312">
        <v>-6.7185689999999998E-3</v>
      </c>
      <c r="P5312">
        <v>0.99869759999999996</v>
      </c>
      <c r="Q5312">
        <v>-2.8755270000000001E-3</v>
      </c>
      <c r="R5312">
        <v>5.0942960000000002E-2</v>
      </c>
      <c r="S5312">
        <v>2.967743</v>
      </c>
      <c r="T5312">
        <v>-9.3848589999999996E-2</v>
      </c>
      <c r="U5312">
        <v>0.70556640000000004</v>
      </c>
      <c r="V5312">
        <v>-5.7652250000000002E-2</v>
      </c>
      <c r="W5312">
        <v>6.4260160000000001E-4</v>
      </c>
      <c r="X5312">
        <v>0.99833649999999996</v>
      </c>
      <c r="Y5312">
        <v>-0.2377137</v>
      </c>
      <c r="Z5312">
        <v>3.9155780000000003E-3</v>
      </c>
      <c r="AA5312">
        <v>0.97132739999999995</v>
      </c>
      <c r="AB5312">
        <v>24</v>
      </c>
      <c r="AC5312">
        <v>34.764600000000002</v>
      </c>
      <c r="AD5312">
        <v>-1.1038946800909999</v>
      </c>
      <c r="AE5312">
        <v>8.3002199999999995</v>
      </c>
      <c r="AF5312">
        <v>-8.5254700107277408</v>
      </c>
      <c r="AG5312">
        <v>-1.1038946800909999</v>
      </c>
      <c r="AH5312">
        <v>34.674972850404799</v>
      </c>
      <c r="AI5312">
        <v>91.770722542403504</v>
      </c>
      <c r="AJ5312">
        <v>103.81321373326</v>
      </c>
      <c r="AK5312">
        <v>35.724724835117499</v>
      </c>
    </row>
    <row r="5313" spans="1:37" x14ac:dyDescent="0.2">
      <c r="A5313" t="str">
        <f>"20200111155702255"</f>
        <v>20200111155702255</v>
      </c>
      <c r="B5313" t="str">
        <f>"1578729422248823"</f>
        <v>1578729422248823</v>
      </c>
      <c r="C5313" t="s">
        <v>37</v>
      </c>
      <c r="D5313">
        <v>5.3873739999999897</v>
      </c>
      <c r="E5313">
        <v>0.43210389999999999</v>
      </c>
      <c r="F5313" t="s">
        <v>38</v>
      </c>
      <c r="G5313">
        <v>-343.72379999999998</v>
      </c>
      <c r="H5313" s="1">
        <v>-3.9345740000000001E-6</v>
      </c>
      <c r="I5313">
        <v>24.835239999999999</v>
      </c>
      <c r="J5313">
        <v>-376.4178</v>
      </c>
      <c r="K5313">
        <v>1.1038349999999999</v>
      </c>
      <c r="L5313">
        <v>17.078429999999901</v>
      </c>
      <c r="M5313">
        <v>0.99997409999999998</v>
      </c>
      <c r="N5313">
        <v>0</v>
      </c>
      <c r="O5313">
        <v>-6.3671129999999998E-3</v>
      </c>
      <c r="P5313">
        <v>0.99869449999999904</v>
      </c>
      <c r="Q5313">
        <v>-2.0991360000000001E-3</v>
      </c>
      <c r="R5313">
        <v>5.1039679999999997E-2</v>
      </c>
      <c r="S5313">
        <v>2.9678960000000001</v>
      </c>
      <c r="T5313">
        <v>-9.9710820000000006E-2</v>
      </c>
      <c r="U5313">
        <v>0.70059199999999999</v>
      </c>
      <c r="V5313">
        <v>-5.7398490000000003E-2</v>
      </c>
      <c r="W5313">
        <v>1.241509E-3</v>
      </c>
      <c r="X5313">
        <v>0.99835059999999998</v>
      </c>
      <c r="Y5313">
        <v>-0.2358054</v>
      </c>
      <c r="Z5313">
        <v>4.1173579999999998E-3</v>
      </c>
      <c r="AA5313">
        <v>0.97179159999999998</v>
      </c>
      <c r="AB5313">
        <v>24</v>
      </c>
      <c r="AC5313">
        <v>32.694000000000003</v>
      </c>
      <c r="AD5313">
        <v>-1.1038389345739901</v>
      </c>
      <c r="AE5313">
        <v>7.7568099999999998</v>
      </c>
      <c r="AF5313">
        <v>-7.9562341547572997</v>
      </c>
      <c r="AG5313">
        <v>-1.1038389345739901</v>
      </c>
      <c r="AH5313">
        <v>32.608757930870397</v>
      </c>
      <c r="AI5313">
        <v>91.883565222613996</v>
      </c>
      <c r="AJ5313">
        <v>103.71173474571199</v>
      </c>
      <c r="AK5313">
        <v>33.583496186563302</v>
      </c>
    </row>
    <row r="5314" spans="1:37" x14ac:dyDescent="0.2">
      <c r="A5314" t="str">
        <f>"20200111155702274"</f>
        <v>20200111155702274</v>
      </c>
      <c r="B5314" t="str">
        <f>"1578729422268344"</f>
        <v>1578729422268344</v>
      </c>
      <c r="C5314" t="s">
        <v>37</v>
      </c>
      <c r="D5314">
        <v>5.3877920000000001</v>
      </c>
      <c r="E5314">
        <v>0.43265379999999998</v>
      </c>
      <c r="F5314" t="s">
        <v>38</v>
      </c>
      <c r="G5314">
        <v>-343.75510000000003</v>
      </c>
      <c r="H5314" s="1">
        <v>-3.9115779999999998E-6</v>
      </c>
      <c r="I5314">
        <v>24.765779999999999</v>
      </c>
      <c r="J5314">
        <v>-376.23360000000002</v>
      </c>
      <c r="K5314">
        <v>1.1037859999999999</v>
      </c>
      <c r="L5314">
        <v>17.077670000000001</v>
      </c>
      <c r="M5314">
        <v>0.99997689999999995</v>
      </c>
      <c r="N5314">
        <v>0</v>
      </c>
      <c r="O5314">
        <v>-6.0144409999999997E-3</v>
      </c>
      <c r="P5314">
        <v>0.99872340000000004</v>
      </c>
      <c r="Q5314">
        <v>-1.066986E-3</v>
      </c>
      <c r="R5314">
        <v>5.0504010000000002E-2</v>
      </c>
      <c r="S5314">
        <v>2.9680179999999998</v>
      </c>
      <c r="T5314">
        <v>-0.10030449999999901</v>
      </c>
      <c r="U5314">
        <v>0.69854740000000004</v>
      </c>
      <c r="V5314">
        <v>-5.6511029999999997E-2</v>
      </c>
      <c r="W5314">
        <v>2.0826479999999999E-3</v>
      </c>
      <c r="X5314">
        <v>0.99839979999999995</v>
      </c>
      <c r="Y5314">
        <v>-0.23481849999999899</v>
      </c>
      <c r="Z5314">
        <v>4.113808E-3</v>
      </c>
      <c r="AA5314">
        <v>0.97203050000000002</v>
      </c>
      <c r="AB5314">
        <v>24</v>
      </c>
      <c r="AC5314">
        <v>32.478499999999997</v>
      </c>
      <c r="AD5314">
        <v>-1.1037899115780001</v>
      </c>
      <c r="AE5314">
        <v>7.6881099999999902</v>
      </c>
      <c r="AF5314">
        <v>-7.8746992872619996</v>
      </c>
      <c r="AG5314">
        <v>-1.1037899115780001</v>
      </c>
      <c r="AH5314">
        <v>32.396240463662899</v>
      </c>
      <c r="AI5314">
        <v>91.896227263575</v>
      </c>
      <c r="AJ5314">
        <v>103.6621774817</v>
      </c>
      <c r="AK5314">
        <v>33.357842214585403</v>
      </c>
    </row>
    <row r="5315" spans="1:37" x14ac:dyDescent="0.2">
      <c r="A5315" t="str">
        <f>"20200111155702295"</f>
        <v>20200111155702295</v>
      </c>
      <c r="B5315" t="str">
        <f>"1578729422288840"</f>
        <v>1578729422288840</v>
      </c>
      <c r="C5315" t="s">
        <v>37</v>
      </c>
      <c r="D5315">
        <v>5.5395149999999997</v>
      </c>
      <c r="E5315">
        <v>0.43311559999999999</v>
      </c>
      <c r="F5315" t="s">
        <v>38</v>
      </c>
      <c r="G5315">
        <v>-344.3716</v>
      </c>
      <c r="H5315" s="1">
        <v>-3.6571499999999998E-6</v>
      </c>
      <c r="I5315">
        <v>24.51418</v>
      </c>
      <c r="J5315">
        <v>-375.98880000000003</v>
      </c>
      <c r="K5315">
        <v>1.1037250000000001</v>
      </c>
      <c r="L5315">
        <v>17.076689999999999</v>
      </c>
      <c r="M5315">
        <v>0.99998009999999904</v>
      </c>
      <c r="N5315">
        <v>0</v>
      </c>
      <c r="O5315">
        <v>-5.5973469999999999E-3</v>
      </c>
      <c r="P5315">
        <v>0.99875290000000005</v>
      </c>
      <c r="Q5315" s="1">
        <v>-2.4816019999999999E-5</v>
      </c>
      <c r="R5315">
        <v>4.9927529999999998E-2</v>
      </c>
      <c r="S5315">
        <v>2.9687189999999899</v>
      </c>
      <c r="T5315">
        <v>-0.10284500000000001</v>
      </c>
      <c r="U5315">
        <v>0.69290160000000001</v>
      </c>
      <c r="V5315">
        <v>-5.5518280000000003E-2</v>
      </c>
      <c r="W5315">
        <v>2.8851630000000001E-3</v>
      </c>
      <c r="X5315">
        <v>0.99845349999999999</v>
      </c>
      <c r="Y5315">
        <v>-0.2326037</v>
      </c>
      <c r="Z5315">
        <v>4.16577099999999E-3</v>
      </c>
      <c r="AA5315">
        <v>0.9725627</v>
      </c>
      <c r="AB5315">
        <v>24</v>
      </c>
      <c r="AC5315">
        <v>31.6172</v>
      </c>
      <c r="AD5315">
        <v>-1.10372865715</v>
      </c>
      <c r="AE5315">
        <v>7.4374899999999897</v>
      </c>
      <c r="AF5315">
        <v>-7.6055641687938698</v>
      </c>
      <c r="AG5315">
        <v>-1.10372865715</v>
      </c>
      <c r="AH5315">
        <v>31.538655120805899</v>
      </c>
      <c r="AI5315">
        <v>91.948497966917103</v>
      </c>
      <c r="AJ5315">
        <v>103.55804859889</v>
      </c>
      <c r="AK5315">
        <v>32.461509362680502</v>
      </c>
    </row>
    <row r="5316" spans="1:37" x14ac:dyDescent="0.2">
      <c r="A5316" t="str">
        <f>"20200111155702308"</f>
        <v>20200111155702308</v>
      </c>
      <c r="B5316" t="str">
        <f>"1578729422298600"</f>
        <v>1578729422298600</v>
      </c>
      <c r="C5316" t="s">
        <v>37</v>
      </c>
      <c r="D5316">
        <v>5.4495269999999998</v>
      </c>
      <c r="E5316">
        <v>0.43325559999999902</v>
      </c>
      <c r="F5316" t="s">
        <v>38</v>
      </c>
      <c r="G5316">
        <v>-344.71710000000002</v>
      </c>
      <c r="H5316" s="1">
        <v>-3.5001249999999998E-6</v>
      </c>
      <c r="I5316">
        <v>24.319649999999999</v>
      </c>
      <c r="J5316">
        <v>-375.84550000000002</v>
      </c>
      <c r="K5316">
        <v>1.1036950000000001</v>
      </c>
      <c r="L5316">
        <v>17.07611</v>
      </c>
      <c r="M5316">
        <v>0.99998159999999903</v>
      </c>
      <c r="N5316">
        <v>0</v>
      </c>
      <c r="O5316">
        <v>-5.3805019999999997E-3</v>
      </c>
      <c r="P5316">
        <v>0.99875369999999997</v>
      </c>
      <c r="Q5316">
        <v>3.5482089999999998E-4</v>
      </c>
      <c r="R5316">
        <v>4.9908479999999998E-2</v>
      </c>
      <c r="S5316">
        <v>2.9693299999999998</v>
      </c>
      <c r="T5316">
        <v>-0.10480159999999999</v>
      </c>
      <c r="U5316">
        <v>0.68774409999999997</v>
      </c>
      <c r="V5316">
        <v>-5.5282560000000001E-2</v>
      </c>
      <c r="W5316">
        <v>3.133594E-3</v>
      </c>
      <c r="X5316">
        <v>0.99846579999999996</v>
      </c>
      <c r="Y5316">
        <v>-0.23074149999999999</v>
      </c>
      <c r="Z5316">
        <v>4.2049749999999997E-3</v>
      </c>
      <c r="AA5316">
        <v>0.97300599999999904</v>
      </c>
      <c r="AB5316">
        <v>24</v>
      </c>
      <c r="AC5316">
        <v>31.128399999999999</v>
      </c>
      <c r="AD5316">
        <v>-1.1036985001249999</v>
      </c>
      <c r="AE5316">
        <v>7.2435399999999897</v>
      </c>
      <c r="AF5316">
        <v>-7.4020946772698899</v>
      </c>
      <c r="AG5316">
        <v>-1.1036985001249999</v>
      </c>
      <c r="AH5316">
        <v>31.051943630095199</v>
      </c>
      <c r="AI5316">
        <v>91.980204301928694</v>
      </c>
      <c r="AJ5316">
        <v>103.40781900961601</v>
      </c>
      <c r="AK5316">
        <v>31.941076362531302</v>
      </c>
    </row>
    <row r="5317" spans="1:37" x14ac:dyDescent="0.2">
      <c r="A5317" t="str">
        <f>"20200111155702321"</f>
        <v>20200111155702321</v>
      </c>
      <c r="B5317" t="str">
        <f>"1578729422318120"</f>
        <v>1578729422318120</v>
      </c>
      <c r="C5317" t="s">
        <v>37</v>
      </c>
      <c r="D5317">
        <v>5.3997260000000002</v>
      </c>
      <c r="E5317">
        <v>0.43360759999999998</v>
      </c>
      <c r="F5317" t="s">
        <v>38</v>
      </c>
      <c r="G5317">
        <v>-344.81029999999998</v>
      </c>
      <c r="H5317" s="1">
        <v>-3.4423360000000002E-6</v>
      </c>
      <c r="I5317">
        <v>24.25282</v>
      </c>
      <c r="J5317">
        <v>-375.7072</v>
      </c>
      <c r="K5317">
        <v>1.103667</v>
      </c>
      <c r="L5317">
        <v>17.075589999999998</v>
      </c>
      <c r="M5317">
        <v>0.99998310000000001</v>
      </c>
      <c r="N5317">
        <v>0</v>
      </c>
      <c r="O5317">
        <v>-5.1805949999999996E-3</v>
      </c>
      <c r="P5317">
        <v>0.99874819999999997</v>
      </c>
      <c r="Q5317">
        <v>9.357352E-4</v>
      </c>
      <c r="R5317">
        <v>5.0013229999999999E-2</v>
      </c>
      <c r="S5317">
        <v>2.969452</v>
      </c>
      <c r="T5317">
        <v>-0.105602</v>
      </c>
      <c r="U5317">
        <v>0.68667599999999995</v>
      </c>
      <c r="V5317">
        <v>-5.5188210000000001E-2</v>
      </c>
      <c r="W5317">
        <v>3.5923079999999998E-3</v>
      </c>
      <c r="X5317">
        <v>0.99846950000000001</v>
      </c>
      <c r="Y5317">
        <v>-0.230204299999999</v>
      </c>
      <c r="Z5317">
        <v>4.220629E-3</v>
      </c>
      <c r="AA5317">
        <v>0.97313309999999997</v>
      </c>
      <c r="AB5317">
        <v>25</v>
      </c>
      <c r="AC5317">
        <v>30.896899999999999</v>
      </c>
      <c r="AD5317">
        <v>-1.103670442336</v>
      </c>
      <c r="AE5317">
        <v>7.1772299999999998</v>
      </c>
      <c r="AF5317">
        <v>-7.3283264141632198</v>
      </c>
      <c r="AG5317">
        <v>-1.103670442336</v>
      </c>
      <c r="AH5317">
        <v>30.8219878029164</v>
      </c>
      <c r="AI5317">
        <v>91.995191745523798</v>
      </c>
      <c r="AJ5317">
        <v>103.3744785077</v>
      </c>
      <c r="AK5317">
        <v>31.700431993916599</v>
      </c>
    </row>
    <row r="5318" spans="1:37" x14ac:dyDescent="0.2">
      <c r="A5318" t="str">
        <f>"20200111155702337"</f>
        <v>20200111155702337</v>
      </c>
      <c r="B5318" t="str">
        <f>"1578729422328856"</f>
        <v>1578729422328856</v>
      </c>
      <c r="C5318" t="s">
        <v>37</v>
      </c>
      <c r="D5318">
        <v>5.4461820000000003</v>
      </c>
      <c r="E5318">
        <v>0.43373820000000002</v>
      </c>
      <c r="F5318" t="s">
        <v>38</v>
      </c>
      <c r="G5318">
        <v>-345.48570000000001</v>
      </c>
      <c r="H5318" s="1">
        <v>-3.0960859999999999E-6</v>
      </c>
      <c r="I5318">
        <v>24.040459999999999</v>
      </c>
      <c r="J5318">
        <v>-375.51530000000002</v>
      </c>
      <c r="K5318">
        <v>1.1036360000000001</v>
      </c>
      <c r="L5318">
        <v>17.07489</v>
      </c>
      <c r="M5318">
        <v>0.99998469999999995</v>
      </c>
      <c r="N5318">
        <v>0</v>
      </c>
      <c r="O5318">
        <v>-4.9239069999999999E-3</v>
      </c>
      <c r="P5318">
        <v>0.99875190000000003</v>
      </c>
      <c r="Q5318">
        <v>1.197025E-3</v>
      </c>
      <c r="R5318">
        <v>4.9935239999999999E-2</v>
      </c>
      <c r="S5318">
        <v>2.9696039999999999</v>
      </c>
      <c r="T5318">
        <v>-0.1084483</v>
      </c>
      <c r="U5318">
        <v>0.68438719999999997</v>
      </c>
      <c r="V5318">
        <v>-5.4853949999999999E-2</v>
      </c>
      <c r="W5318">
        <v>3.692444E-3</v>
      </c>
      <c r="X5318">
        <v>0.99848749999999997</v>
      </c>
      <c r="Y5318">
        <v>-0.22922439999999999</v>
      </c>
      <c r="Z5318">
        <v>4.3075609999999997E-3</v>
      </c>
      <c r="AA5318">
        <v>0.97336409999999995</v>
      </c>
      <c r="AB5318">
        <v>25</v>
      </c>
      <c r="AC5318">
        <v>30.029599999999999</v>
      </c>
      <c r="AD5318">
        <v>-1.1036390960860001</v>
      </c>
      <c r="AE5318">
        <v>6.9655699999999996</v>
      </c>
      <c r="AF5318">
        <v>-7.1042432926309296</v>
      </c>
      <c r="AG5318">
        <v>-1.1036390960860001</v>
      </c>
      <c r="AH5318">
        <v>29.956541953725299</v>
      </c>
      <c r="AI5318">
        <v>92.053007887821096</v>
      </c>
      <c r="AJ5318">
        <v>103.341323571652</v>
      </c>
      <c r="AK5318">
        <v>30.807185815010801</v>
      </c>
    </row>
    <row r="5319" spans="1:37" x14ac:dyDescent="0.2">
      <c r="A5319" t="str">
        <f>"20200111155702351"</f>
        <v>20200111155702351</v>
      </c>
      <c r="B5319" t="str">
        <f>"1578729422338617"</f>
        <v>1578729422338617</v>
      </c>
      <c r="C5319" t="s">
        <v>37</v>
      </c>
      <c r="D5319">
        <v>5.5490729999999999</v>
      </c>
      <c r="E5319">
        <v>0.43387690000000001</v>
      </c>
      <c r="F5319" t="s">
        <v>38</v>
      </c>
      <c r="G5319">
        <v>-345.69970000000001</v>
      </c>
      <c r="H5319" s="1">
        <v>-2.9757799999999998E-6</v>
      </c>
      <c r="I5319">
        <v>23.933319999999998</v>
      </c>
      <c r="J5319">
        <v>-375.37360000000001</v>
      </c>
      <c r="K5319">
        <v>1.1036159999999999</v>
      </c>
      <c r="L5319">
        <v>17.074369999999998</v>
      </c>
      <c r="M5319">
        <v>0.99998580000000004</v>
      </c>
      <c r="N5319">
        <v>0</v>
      </c>
      <c r="O5319">
        <v>-4.7470129999999996E-3</v>
      </c>
      <c r="P5319">
        <v>0.99874449999999904</v>
      </c>
      <c r="Q5319">
        <v>1.1350939999999999E-3</v>
      </c>
      <c r="R5319">
        <v>5.0081109999999998E-2</v>
      </c>
      <c r="S5319">
        <v>2.969757</v>
      </c>
      <c r="T5319">
        <v>-0.1099271</v>
      </c>
      <c r="U5319">
        <v>0.68313599999999997</v>
      </c>
      <c r="V5319">
        <v>-5.4822570000000001E-2</v>
      </c>
      <c r="W5319">
        <v>3.5183990000000002E-3</v>
      </c>
      <c r="X5319">
        <v>0.99848989999999904</v>
      </c>
      <c r="Y5319">
        <v>-0.2286482</v>
      </c>
      <c r="Z5319">
        <v>4.3492560000000001E-3</v>
      </c>
      <c r="AA5319">
        <v>0.97349940000000001</v>
      </c>
      <c r="AB5319">
        <v>25</v>
      </c>
      <c r="AC5319">
        <v>29.6739</v>
      </c>
      <c r="AD5319">
        <v>-1.1036189757799999</v>
      </c>
      <c r="AE5319">
        <v>6.8589500000000001</v>
      </c>
      <c r="AF5319">
        <v>-6.9905565056077501</v>
      </c>
      <c r="AG5319">
        <v>-1.1036189757799999</v>
      </c>
      <c r="AH5319">
        <v>29.602136676272199</v>
      </c>
      <c r="AI5319">
        <v>92.077993631429294</v>
      </c>
      <c r="AJ5319">
        <v>103.286998848254</v>
      </c>
      <c r="AK5319">
        <v>30.436365599435501</v>
      </c>
    </row>
    <row r="5320" spans="1:37" x14ac:dyDescent="0.2">
      <c r="A5320" t="str">
        <f>"20200111155702364"</f>
        <v>20200111155702364</v>
      </c>
      <c r="B5320" t="str">
        <f>"1578729422358136"</f>
        <v>1578729422358136</v>
      </c>
      <c r="C5320" t="s">
        <v>37</v>
      </c>
      <c r="D5320">
        <v>5.4654439999999997</v>
      </c>
      <c r="E5320">
        <v>0.43410919999999997</v>
      </c>
      <c r="F5320" t="s">
        <v>38</v>
      </c>
      <c r="G5320">
        <v>-346.24619999999999</v>
      </c>
      <c r="H5320" s="1">
        <v>-2.6977649999999999E-6</v>
      </c>
      <c r="I5320">
        <v>23.76961</v>
      </c>
      <c r="J5320">
        <v>-375.21660000000003</v>
      </c>
      <c r="K5320">
        <v>1.103593</v>
      </c>
      <c r="L5320">
        <v>17.073820000000001</v>
      </c>
      <c r="M5320">
        <v>0.99998690000000001</v>
      </c>
      <c r="N5320">
        <v>0</v>
      </c>
      <c r="O5320">
        <v>-4.5554509999999899E-3</v>
      </c>
      <c r="P5320">
        <v>0.99873969999999901</v>
      </c>
      <c r="Q5320">
        <v>1.1288839999999999E-3</v>
      </c>
      <c r="R5320">
        <v>5.0176169999999999E-2</v>
      </c>
      <c r="S5320">
        <v>2.9696660000000001</v>
      </c>
      <c r="T5320">
        <v>-0.1125188</v>
      </c>
      <c r="U5320">
        <v>0.68261719999999904</v>
      </c>
      <c r="V5320">
        <v>-5.4726419999999998E-2</v>
      </c>
      <c r="W5320">
        <v>3.3934690000000001E-3</v>
      </c>
      <c r="X5320">
        <v>0.99849560000000004</v>
      </c>
      <c r="Y5320">
        <v>-0.2282998</v>
      </c>
      <c r="Z5320">
        <v>4.4382709999999997E-3</v>
      </c>
      <c r="AA5320">
        <v>0.97358080000000002</v>
      </c>
      <c r="AB5320">
        <v>25</v>
      </c>
      <c r="AC5320">
        <v>28.970400000000001</v>
      </c>
      <c r="AD5320">
        <v>-1.1035956977650001</v>
      </c>
      <c r="AE5320">
        <v>6.6957899999999899</v>
      </c>
      <c r="AF5320">
        <v>-6.8183015139991401</v>
      </c>
      <c r="AG5320">
        <v>-1.1035956977650001</v>
      </c>
      <c r="AH5320">
        <v>28.899785837823401</v>
      </c>
      <c r="AI5320">
        <v>92.128509513008296</v>
      </c>
      <c r="AJ5320">
        <v>103.27499026030399</v>
      </c>
      <c r="AK5320">
        <v>29.7137136768864</v>
      </c>
    </row>
    <row r="5321" spans="1:37" x14ac:dyDescent="0.2">
      <c r="A5321" t="str">
        <f>"20200111155702376"</f>
        <v>20200111155702376</v>
      </c>
      <c r="B5321" t="str">
        <f>"1578729422368872"</f>
        <v>1578729422368872</v>
      </c>
      <c r="C5321" t="s">
        <v>37</v>
      </c>
      <c r="D5321">
        <v>5.4295869999999997</v>
      </c>
      <c r="E5321">
        <v>0.43429009999999901</v>
      </c>
      <c r="F5321" t="s">
        <v>38</v>
      </c>
      <c r="G5321">
        <v>-347.18430000000001</v>
      </c>
      <c r="H5321" s="1">
        <v>-2.2248439999999998E-6</v>
      </c>
      <c r="I5321">
        <v>23.50461</v>
      </c>
      <c r="J5321">
        <v>-375.07960000000003</v>
      </c>
      <c r="K5321">
        <v>1.103577</v>
      </c>
      <c r="L5321">
        <v>17.073360000000001</v>
      </c>
      <c r="M5321">
        <v>0.99998809999999905</v>
      </c>
      <c r="N5321">
        <v>0</v>
      </c>
      <c r="O5321">
        <v>-4.3927580000000001E-3</v>
      </c>
      <c r="P5321">
        <v>0.99874819999999997</v>
      </c>
      <c r="Q5321">
        <v>1.035392E-3</v>
      </c>
      <c r="R5321">
        <v>5.0014339999999997E-2</v>
      </c>
      <c r="S5321">
        <v>2.9696959999999999</v>
      </c>
      <c r="T5321">
        <v>-0.1169128</v>
      </c>
      <c r="U5321">
        <v>0.68127439999999995</v>
      </c>
      <c r="V5321">
        <v>-5.4402689999999997E-2</v>
      </c>
      <c r="W5321">
        <v>3.2008269999999998E-3</v>
      </c>
      <c r="X5321">
        <v>0.99851389999999995</v>
      </c>
      <c r="Y5321">
        <v>-0.22770889999999999</v>
      </c>
      <c r="Z5321">
        <v>4.59385E-3</v>
      </c>
      <c r="AA5321">
        <v>0.97371839999999998</v>
      </c>
      <c r="AB5321">
        <v>25</v>
      </c>
      <c r="AC5321">
        <v>27.895299999999999</v>
      </c>
      <c r="AD5321">
        <v>-1.103579224844</v>
      </c>
      <c r="AE5321">
        <v>6.4312499999999897</v>
      </c>
      <c r="AF5321">
        <v>-6.5440003677718304</v>
      </c>
      <c r="AG5321">
        <v>-1.103579224844</v>
      </c>
      <c r="AH5321">
        <v>27.825427987053502</v>
      </c>
      <c r="AI5321">
        <v>92.210948617717705</v>
      </c>
      <c r="AJ5321">
        <v>103.234355935441</v>
      </c>
      <c r="AK5321">
        <v>28.605878252233499</v>
      </c>
    </row>
    <row r="5322" spans="1:37" x14ac:dyDescent="0.2">
      <c r="A5322" t="str">
        <f>"20200111155702395"</f>
        <v>20200111155702395</v>
      </c>
      <c r="B5322" t="str">
        <f>"1578729422388033"</f>
        <v>1578729422388033</v>
      </c>
      <c r="C5322" t="s">
        <v>37</v>
      </c>
      <c r="D5322">
        <v>5.4720760000000004</v>
      </c>
      <c r="E5322">
        <v>0.43453760000000002</v>
      </c>
      <c r="F5322" t="s">
        <v>38</v>
      </c>
      <c r="G5322">
        <v>-347.49020000000002</v>
      </c>
      <c r="H5322" s="1">
        <v>-2.061673E-6</v>
      </c>
      <c r="I5322">
        <v>23.38457</v>
      </c>
      <c r="J5322">
        <v>-374.86989999999997</v>
      </c>
      <c r="K5322">
        <v>1.1035600000000001</v>
      </c>
      <c r="L5322">
        <v>17.07272</v>
      </c>
      <c r="M5322">
        <v>0.99998940000000003</v>
      </c>
      <c r="N5322">
        <v>0</v>
      </c>
      <c r="O5322">
        <v>-4.1499190000000002E-3</v>
      </c>
      <c r="P5322">
        <v>0.9987606</v>
      </c>
      <c r="Q5322">
        <v>9.5093439999999999E-4</v>
      </c>
      <c r="R5322">
        <v>4.976597E-2</v>
      </c>
      <c r="S5322">
        <v>2.9698790000000002</v>
      </c>
      <c r="T5322">
        <v>-0.1187954</v>
      </c>
      <c r="U5322">
        <v>0.67938229999999999</v>
      </c>
      <c r="V5322">
        <v>-5.3911349999999997E-2</v>
      </c>
      <c r="W5322">
        <v>2.976238E-3</v>
      </c>
      <c r="X5322">
        <v>0.99854129999999997</v>
      </c>
      <c r="Y5322">
        <v>-0.22686519999999999</v>
      </c>
      <c r="Z5322">
        <v>4.6415709999999997E-3</v>
      </c>
      <c r="AA5322">
        <v>0.97391510000000003</v>
      </c>
      <c r="AB5322">
        <v>25</v>
      </c>
      <c r="AC5322">
        <v>27.3796999999999</v>
      </c>
      <c r="AD5322">
        <v>-1.103562061673</v>
      </c>
      <c r="AE5322">
        <v>6.3118499999999997</v>
      </c>
      <c r="AF5322">
        <v>-6.4155229406784704</v>
      </c>
      <c r="AG5322">
        <v>-1.103562061673</v>
      </c>
      <c r="AH5322">
        <v>27.3111408364834</v>
      </c>
      <c r="AI5322">
        <v>92.252642917986705</v>
      </c>
      <c r="AJ5322">
        <v>103.219391659626</v>
      </c>
      <c r="AK5322">
        <v>28.076239021930402</v>
      </c>
    </row>
    <row r="5323" spans="1:37" x14ac:dyDescent="0.2">
      <c r="A5323" t="str">
        <f>"20200111155702408"</f>
        <v>20200111155702408</v>
      </c>
      <c r="B5323" t="str">
        <f>"1578729422398770"</f>
        <v>1578729422398770</v>
      </c>
      <c r="C5323" t="s">
        <v>37</v>
      </c>
      <c r="D5323">
        <v>5.4922690000000003</v>
      </c>
      <c r="E5323">
        <v>0.43464740000000002</v>
      </c>
      <c r="F5323" t="s">
        <v>38</v>
      </c>
      <c r="G5323">
        <v>-348.18130000000002</v>
      </c>
      <c r="H5323" s="1">
        <v>-1.7041389999999999E-6</v>
      </c>
      <c r="I5323">
        <v>23.155100000000001</v>
      </c>
      <c r="J5323">
        <v>-374.72280000000001</v>
      </c>
      <c r="K5323">
        <v>1.1035520000000001</v>
      </c>
      <c r="L5323">
        <v>17.07227</v>
      </c>
      <c r="M5323">
        <v>0.99999020000000005</v>
      </c>
      <c r="N5323">
        <v>0</v>
      </c>
      <c r="O5323">
        <v>-3.9813959999999999E-3</v>
      </c>
      <c r="P5323">
        <v>0.99876799999999999</v>
      </c>
      <c r="Q5323">
        <v>9.4528119999999895E-4</v>
      </c>
      <c r="R5323">
        <v>4.9614119999999998E-2</v>
      </c>
      <c r="S5323">
        <v>2.970154</v>
      </c>
      <c r="T5323">
        <v>-0.1228142</v>
      </c>
      <c r="U5323">
        <v>0.67691040000000002</v>
      </c>
      <c r="V5323">
        <v>-5.359092E-2</v>
      </c>
      <c r="W5323">
        <v>2.879918E-3</v>
      </c>
      <c r="X5323">
        <v>0.99855879999999997</v>
      </c>
      <c r="Y5323">
        <v>-0.22589980000000001</v>
      </c>
      <c r="Z5323">
        <v>4.7718959999999899E-3</v>
      </c>
      <c r="AA5323">
        <v>0.97413890000000003</v>
      </c>
      <c r="AB5323">
        <v>25</v>
      </c>
      <c r="AC5323">
        <v>26.5414999999999</v>
      </c>
      <c r="AD5323">
        <v>-1.103553704139</v>
      </c>
      <c r="AE5323">
        <v>6.0828300000000004</v>
      </c>
      <c r="AF5323">
        <v>-6.17830637537954</v>
      </c>
      <c r="AG5323">
        <v>-1.103553704139</v>
      </c>
      <c r="AH5323">
        <v>26.4735887170702</v>
      </c>
      <c r="AI5323">
        <v>92.324603708055804</v>
      </c>
      <c r="AJ5323">
        <v>103.136353272463</v>
      </c>
      <c r="AK5323">
        <v>27.207355623186899</v>
      </c>
    </row>
    <row r="5324" spans="1:37" x14ac:dyDescent="0.2">
      <c r="A5324" t="str">
        <f>"20200111155702423"</f>
        <v>20200111155702423</v>
      </c>
      <c r="B5324" t="str">
        <f>"1578729422418289"</f>
        <v>1578729422418289</v>
      </c>
      <c r="C5324" t="s">
        <v>37</v>
      </c>
      <c r="D5324">
        <v>5.4816649999999996</v>
      </c>
      <c r="E5324">
        <v>0.43482529999999903</v>
      </c>
      <c r="F5324" t="s">
        <v>38</v>
      </c>
      <c r="G5324">
        <v>-348.40089999999998</v>
      </c>
      <c r="H5324" s="1">
        <v>-1.5848189999999999E-6</v>
      </c>
      <c r="I5324">
        <v>23.060790000000001</v>
      </c>
      <c r="J5324">
        <v>-374.56290000000001</v>
      </c>
      <c r="K5324">
        <v>1.1035429999999999</v>
      </c>
      <c r="L5324">
        <v>17.071809999999999</v>
      </c>
      <c r="M5324">
        <v>0.99999119999999997</v>
      </c>
      <c r="N5324">
        <v>0</v>
      </c>
      <c r="O5324">
        <v>-3.7991639999999998E-3</v>
      </c>
      <c r="P5324">
        <v>0.9987779</v>
      </c>
      <c r="Q5324">
        <v>9.1849270000000005E-4</v>
      </c>
      <c r="R5324">
        <v>4.9419640000000001E-2</v>
      </c>
      <c r="S5324">
        <v>2.9702759999999899</v>
      </c>
      <c r="T5324">
        <v>-0.1245298</v>
      </c>
      <c r="U5324">
        <v>0.67578130000000003</v>
      </c>
      <c r="V5324">
        <v>-5.3215249999999999E-2</v>
      </c>
      <c r="W5324">
        <v>2.759278E-3</v>
      </c>
      <c r="X5324">
        <v>0.99857929999999995</v>
      </c>
      <c r="Y5324">
        <v>-0.225356799999999</v>
      </c>
      <c r="Z5324">
        <v>4.819729E-3</v>
      </c>
      <c r="AA5324">
        <v>0.97426440000000003</v>
      </c>
      <c r="AB5324">
        <v>26</v>
      </c>
      <c r="AC5324">
        <v>26.161999999999999</v>
      </c>
      <c r="AD5324">
        <v>-1.103544584819</v>
      </c>
      <c r="AE5324">
        <v>5.9889799999999997</v>
      </c>
      <c r="AF5324">
        <v>-6.0780547603341102</v>
      </c>
      <c r="AG5324">
        <v>-1.103544584819</v>
      </c>
      <c r="AH5324">
        <v>26.0949404535504</v>
      </c>
      <c r="AI5324">
        <v>92.3585146171269</v>
      </c>
      <c r="AJ5324">
        <v>103.111605005551</v>
      </c>
      <c r="AK5324">
        <v>26.8161607541916</v>
      </c>
    </row>
    <row r="5325" spans="1:37" x14ac:dyDescent="0.2">
      <c r="A5325" t="str">
        <f>"20200111155702438"</f>
        <v>20200111155702438</v>
      </c>
      <c r="B5325" t="str">
        <f>"1578729422428049"</f>
        <v>1578729422428049</v>
      </c>
      <c r="C5325" t="s">
        <v>37</v>
      </c>
      <c r="D5325">
        <v>5.5043419999999896</v>
      </c>
      <c r="E5325">
        <v>0.4444438</v>
      </c>
      <c r="F5325" t="s">
        <v>38</v>
      </c>
      <c r="G5325">
        <v>-348.69400000000002</v>
      </c>
      <c r="H5325" s="1">
        <v>-1.426729E-6</v>
      </c>
      <c r="I5325">
        <v>22.939160000000001</v>
      </c>
      <c r="J5325">
        <v>-374.37119999999999</v>
      </c>
      <c r="K5325">
        <v>1.1035330000000001</v>
      </c>
      <c r="L5325">
        <v>17.071290000000001</v>
      </c>
      <c r="M5325">
        <v>0.99999210000000005</v>
      </c>
      <c r="N5325">
        <v>0</v>
      </c>
      <c r="O5325">
        <v>-3.580925E-3</v>
      </c>
      <c r="P5325">
        <v>0.99879039999999997</v>
      </c>
      <c r="Q5325">
        <v>7.6637039999999997E-4</v>
      </c>
      <c r="R5325">
        <v>4.916359E-2</v>
      </c>
      <c r="S5325">
        <v>2.9704280000000001</v>
      </c>
      <c r="T5325">
        <v>-0.12671589999999999</v>
      </c>
      <c r="U5325">
        <v>0.67373660000000002</v>
      </c>
      <c r="V5325">
        <v>-5.2740549999999997E-2</v>
      </c>
      <c r="W5325">
        <v>2.5022640000000001E-3</v>
      </c>
      <c r="X5325">
        <v>0.99860509999999902</v>
      </c>
      <c r="Y5325">
        <v>-0.22448979999999899</v>
      </c>
      <c r="Z5325">
        <v>4.8769440000000002E-3</v>
      </c>
      <c r="AA5325">
        <v>0.9744642</v>
      </c>
      <c r="AB5325">
        <v>26</v>
      </c>
      <c r="AC5325">
        <v>25.6771999999999</v>
      </c>
      <c r="AD5325">
        <v>-1.1035344267289999</v>
      </c>
      <c r="AE5325">
        <v>5.8678699999999999</v>
      </c>
      <c r="AF5325">
        <v>-5.9493373587830396</v>
      </c>
      <c r="AG5325">
        <v>-1.1035344267289999</v>
      </c>
      <c r="AH5325">
        <v>25.611066060071199</v>
      </c>
      <c r="AI5325">
        <v>92.403331780265006</v>
      </c>
      <c r="AJ5325">
        <v>103.077620362074</v>
      </c>
      <c r="AK5325">
        <v>26.316137786022502</v>
      </c>
    </row>
    <row r="5326" spans="1:37" x14ac:dyDescent="0.2">
      <c r="A5326" t="str">
        <f>"20200111155702452"</f>
        <v>20200111155702452</v>
      </c>
      <c r="B5326" t="str">
        <f>"1578729422448545"</f>
        <v>1578729422448545</v>
      </c>
      <c r="C5326" t="s">
        <v>37</v>
      </c>
      <c r="D5326">
        <v>5.4808240000000001</v>
      </c>
      <c r="E5326">
        <v>0.44565889999999903</v>
      </c>
      <c r="F5326" t="s">
        <v>38</v>
      </c>
      <c r="G5326">
        <v>-346.28590000000003</v>
      </c>
      <c r="H5326" s="1">
        <v>-2.3953499999999999E-6</v>
      </c>
      <c r="I5326">
        <v>22.696919999999999</v>
      </c>
      <c r="J5326">
        <v>-374.21359999999999</v>
      </c>
      <c r="K5326">
        <v>1.1035280000000001</v>
      </c>
      <c r="L5326">
        <v>17.070889999999999</v>
      </c>
      <c r="M5326">
        <v>0.99999289999999996</v>
      </c>
      <c r="N5326">
        <v>0</v>
      </c>
      <c r="O5326">
        <v>-3.4002629999999902E-3</v>
      </c>
      <c r="P5326">
        <v>0.99877739999999904</v>
      </c>
      <c r="Q5326">
        <v>7.8092329999999998E-4</v>
      </c>
      <c r="R5326">
        <v>4.9428100000000003E-2</v>
      </c>
      <c r="S5326">
        <v>2.974396</v>
      </c>
      <c r="T5326">
        <v>-0.116870499999999</v>
      </c>
      <c r="U5326">
        <v>0.59579469999999901</v>
      </c>
      <c r="V5326">
        <v>-5.2825320000000002E-2</v>
      </c>
      <c r="W5326">
        <v>2.4393209999999999E-3</v>
      </c>
      <c r="X5326">
        <v>0.99860079999999996</v>
      </c>
      <c r="Y5326">
        <v>-0.1995886</v>
      </c>
      <c r="Z5326">
        <v>4.0133720000000003E-3</v>
      </c>
      <c r="AA5326">
        <v>0.97987159999999995</v>
      </c>
      <c r="AB5326">
        <v>26</v>
      </c>
      <c r="AC5326">
        <v>27.927699999999898</v>
      </c>
      <c r="AD5326">
        <v>-1.10353039535</v>
      </c>
      <c r="AE5326">
        <v>5.6260300000000001</v>
      </c>
      <c r="AF5326">
        <v>-5.7123879659773804</v>
      </c>
      <c r="AG5326">
        <v>-1.10353039535</v>
      </c>
      <c r="AH5326">
        <v>27.866596071644999</v>
      </c>
      <c r="AI5326">
        <v>92.221605937859806</v>
      </c>
      <c r="AJ5326">
        <v>101.58460486044</v>
      </c>
      <c r="AK5326">
        <v>28.467460937490099</v>
      </c>
    </row>
    <row r="5327" spans="1:37" x14ac:dyDescent="0.2">
      <c r="A5327" t="str">
        <f>"20200111155702466"</f>
        <v>20200111155702466</v>
      </c>
      <c r="B5327" t="str">
        <f>"1578729422459283"</f>
        <v>1578729422459283</v>
      </c>
      <c r="C5327" t="s">
        <v>37</v>
      </c>
      <c r="D5327">
        <v>5.479698</v>
      </c>
      <c r="E5327">
        <v>0.4458144</v>
      </c>
      <c r="F5327" t="s">
        <v>38</v>
      </c>
      <c r="G5327">
        <v>-348.27659999999997</v>
      </c>
      <c r="H5327" s="1">
        <v>-1.4069010000000001E-6</v>
      </c>
      <c r="I5327">
        <v>22.19173</v>
      </c>
      <c r="J5327">
        <v>-374.0573</v>
      </c>
      <c r="K5327">
        <v>1.103518</v>
      </c>
      <c r="L5327">
        <v>17.07056</v>
      </c>
      <c r="M5327">
        <v>0.99999359999999904</v>
      </c>
      <c r="N5327">
        <v>0</v>
      </c>
      <c r="O5327">
        <v>-3.2208009999999902E-3</v>
      </c>
      <c r="P5327">
        <v>0.99875979999999998</v>
      </c>
      <c r="Q5327">
        <v>6.8082660000000003E-4</v>
      </c>
      <c r="R5327">
        <v>4.9783870000000001E-2</v>
      </c>
      <c r="S5327">
        <v>2.9746700000000001</v>
      </c>
      <c r="T5327">
        <v>-0.12656210000000001</v>
      </c>
      <c r="U5327">
        <v>0.58731080000000002</v>
      </c>
      <c r="V5327">
        <v>-5.3001050000000001E-2</v>
      </c>
      <c r="W5327">
        <v>2.2686149999999999E-3</v>
      </c>
      <c r="X5327">
        <v>0.99859189999999998</v>
      </c>
      <c r="Y5327">
        <v>-0.19668269999999999</v>
      </c>
      <c r="Z5327">
        <v>4.2779459999999899E-3</v>
      </c>
      <c r="AA5327">
        <v>0.98045780000000005</v>
      </c>
      <c r="AB5327">
        <v>26</v>
      </c>
      <c r="AC5327">
        <v>25.7807</v>
      </c>
      <c r="AD5327">
        <v>-1.1035194069009999</v>
      </c>
      <c r="AE5327">
        <v>5.1211699999999896</v>
      </c>
      <c r="AF5327">
        <v>-5.1950211022781598</v>
      </c>
      <c r="AG5327">
        <v>-1.1035194069009999</v>
      </c>
      <c r="AH5327">
        <v>25.718739170607201</v>
      </c>
      <c r="AI5327">
        <v>92.408314071684103</v>
      </c>
      <c r="AJ5327">
        <v>101.41972268422801</v>
      </c>
      <c r="AK5327">
        <v>26.261369801673499</v>
      </c>
    </row>
    <row r="5328" spans="1:37" x14ac:dyDescent="0.2">
      <c r="A5328" t="str">
        <f>"20200111155702480"</f>
        <v>20200111155702480</v>
      </c>
      <c r="B5328" t="str">
        <f>"1578729422468066"</f>
        <v>1578729422468066</v>
      </c>
      <c r="C5328" t="s">
        <v>37</v>
      </c>
      <c r="D5328">
        <v>5.6283409999999998</v>
      </c>
      <c r="E5328">
        <v>0.4466232</v>
      </c>
      <c r="F5328" t="s">
        <v>38</v>
      </c>
      <c r="G5328">
        <v>-348.94709999999998</v>
      </c>
      <c r="H5328" s="1">
        <v>-1.075597E-6</v>
      </c>
      <c r="I5328">
        <v>22.027629999999998</v>
      </c>
      <c r="J5328">
        <v>-373.88920000000002</v>
      </c>
      <c r="K5328">
        <v>1.103515</v>
      </c>
      <c r="L5328">
        <v>17.07019</v>
      </c>
      <c r="M5328">
        <v>0.9999943</v>
      </c>
      <c r="N5328">
        <v>0</v>
      </c>
      <c r="O5328">
        <v>-3.0266799999999999E-3</v>
      </c>
      <c r="P5328">
        <v>0.99873909999999999</v>
      </c>
      <c r="Q5328">
        <v>5.0682389999999998E-4</v>
      </c>
      <c r="R5328">
        <v>5.0203669999999999E-2</v>
      </c>
      <c r="S5328">
        <v>2.9745180000000002</v>
      </c>
      <c r="T5328">
        <v>-0.13072159999999999</v>
      </c>
      <c r="U5328">
        <v>0.58721919999999905</v>
      </c>
      <c r="V5328">
        <v>-5.3227249999999997E-2</v>
      </c>
      <c r="W5328">
        <v>2.024475E-3</v>
      </c>
      <c r="X5328">
        <v>0.99858040000000003</v>
      </c>
      <c r="Y5328">
        <v>-0.19646169999999999</v>
      </c>
      <c r="Z5328">
        <v>4.4053900000000003E-3</v>
      </c>
      <c r="AA5328">
        <v>0.98050159999999997</v>
      </c>
      <c r="AB5328">
        <v>26</v>
      </c>
      <c r="AC5328">
        <v>24.9421</v>
      </c>
      <c r="AD5328">
        <v>-1.1035160755969999</v>
      </c>
      <c r="AE5328">
        <v>4.9574399999999903</v>
      </c>
      <c r="AF5328">
        <v>-5.0234496607726404</v>
      </c>
      <c r="AG5328">
        <v>-1.1035160755969999</v>
      </c>
      <c r="AH5328">
        <v>24.880130302437902</v>
      </c>
      <c r="AI5328">
        <v>92.489422893268497</v>
      </c>
      <c r="AJ5328">
        <v>101.41490400099499</v>
      </c>
      <c r="AK5328">
        <v>25.406174015182</v>
      </c>
    </row>
    <row r="5329" spans="1:37" x14ac:dyDescent="0.2">
      <c r="A5329" t="str">
        <f>"20200111155702496"</f>
        <v>20200111155702496</v>
      </c>
      <c r="B5329" t="str">
        <f>"1578729422488183"</f>
        <v>1578729422488183</v>
      </c>
      <c r="C5329" t="s">
        <v>37</v>
      </c>
      <c r="D5329">
        <v>5.5438879999999999</v>
      </c>
      <c r="E5329">
        <v>0.44682569999999999</v>
      </c>
      <c r="F5329" t="s">
        <v>38</v>
      </c>
      <c r="G5329">
        <v>-349.49720000000002</v>
      </c>
      <c r="H5329" s="1">
        <v>-7.9044540000000003E-7</v>
      </c>
      <c r="I5329">
        <v>21.842849999999999</v>
      </c>
      <c r="J5329">
        <v>-373.69139999999999</v>
      </c>
      <c r="K5329">
        <v>1.1035109999999999</v>
      </c>
      <c r="L5329">
        <v>17.069849999999999</v>
      </c>
      <c r="M5329">
        <v>0.99999490000000002</v>
      </c>
      <c r="N5329">
        <v>0</v>
      </c>
      <c r="O5329">
        <v>-2.7969190000000001E-3</v>
      </c>
      <c r="P5329">
        <v>0.99869789999999903</v>
      </c>
      <c r="Q5329">
        <v>1.909975E-4</v>
      </c>
      <c r="R5329">
        <v>5.1013929999999999E-2</v>
      </c>
      <c r="S5329">
        <v>2.9745789999999999</v>
      </c>
      <c r="T5329">
        <v>-0.13457269999999999</v>
      </c>
      <c r="U5329">
        <v>0.58203130000000003</v>
      </c>
      <c r="V5329">
        <v>-5.3807710000000002E-2</v>
      </c>
      <c r="W5329">
        <v>1.6401439999999901E-3</v>
      </c>
      <c r="X5329">
        <v>0.99855000000000005</v>
      </c>
      <c r="Y5329">
        <v>-0.19457659999999999</v>
      </c>
      <c r="Z5329">
        <v>4.4831979999999999E-3</v>
      </c>
      <c r="AA5329">
        <v>0.98087709999999995</v>
      </c>
      <c r="AB5329">
        <v>26</v>
      </c>
      <c r="AC5329">
        <v>24.194199999999899</v>
      </c>
      <c r="AD5329">
        <v>-1.1035117904453999</v>
      </c>
      <c r="AE5329">
        <v>4.7729999999999997</v>
      </c>
      <c r="AF5329">
        <v>-4.83097710390894</v>
      </c>
      <c r="AG5329">
        <v>-1.1035117904453999</v>
      </c>
      <c r="AH5329">
        <v>24.1324329899841</v>
      </c>
      <c r="AI5329">
        <v>92.567293367438893</v>
      </c>
      <c r="AJ5329">
        <v>101.32018351362601</v>
      </c>
      <c r="AK5329">
        <v>24.635957461933899</v>
      </c>
    </row>
    <row r="5330" spans="1:37" x14ac:dyDescent="0.2">
      <c r="A5330" t="str">
        <f>"20200111155702512"</f>
        <v>20200111155702512</v>
      </c>
      <c r="B5330" t="str">
        <f>"1578729422508679"</f>
        <v>1578729422508679</v>
      </c>
      <c r="C5330" t="s">
        <v>37</v>
      </c>
      <c r="D5330">
        <v>5.4292439999999997</v>
      </c>
      <c r="E5330">
        <v>0.44691700000000001</v>
      </c>
      <c r="F5330" t="s">
        <v>38</v>
      </c>
      <c r="G5330">
        <v>-348.34570000000002</v>
      </c>
      <c r="H5330" s="1">
        <v>-1.33521E-6</v>
      </c>
      <c r="I5330">
        <v>22.033639999999998</v>
      </c>
      <c r="J5330">
        <v>-373.50880000000001</v>
      </c>
      <c r="K5330">
        <v>1.1035079999999999</v>
      </c>
      <c r="L5330">
        <v>17.06955</v>
      </c>
      <c r="M5330">
        <v>0.99999570000000004</v>
      </c>
      <c r="N5330">
        <v>0</v>
      </c>
      <c r="O5330">
        <v>-2.5836219999999998E-3</v>
      </c>
      <c r="P5330">
        <v>0.9986718</v>
      </c>
      <c r="Q5330" s="1">
        <v>7.6843429999999999E-5</v>
      </c>
      <c r="R5330">
        <v>5.1524260000000002E-2</v>
      </c>
      <c r="S5330">
        <v>2.9742130000000002</v>
      </c>
      <c r="T5330">
        <v>-0.1294923</v>
      </c>
      <c r="U5330">
        <v>0.58248900000000003</v>
      </c>
      <c r="V5330">
        <v>-5.4104850000000003E-2</v>
      </c>
      <c r="W5330">
        <v>1.4761129999999901E-3</v>
      </c>
      <c r="X5330">
        <v>0.99853409999999998</v>
      </c>
      <c r="Y5330">
        <v>-0.19455020000000001</v>
      </c>
      <c r="Z5330">
        <v>4.3048000000000001E-3</v>
      </c>
      <c r="AA5330">
        <v>0.98088310000000001</v>
      </c>
      <c r="AB5330">
        <v>26</v>
      </c>
      <c r="AC5330">
        <v>25.163099999999901</v>
      </c>
      <c r="AD5330">
        <v>-1.1035093352099901</v>
      </c>
      <c r="AE5330">
        <v>4.9640899999999899</v>
      </c>
      <c r="AF5330">
        <v>-5.0197930256232297</v>
      </c>
      <c r="AG5330">
        <v>-1.1035093352099901</v>
      </c>
      <c r="AH5330">
        <v>25.103719831744201</v>
      </c>
      <c r="AI5330">
        <v>92.468188358662104</v>
      </c>
      <c r="AJ5330">
        <v>101.307845544297</v>
      </c>
      <c r="AK5330">
        <v>25.624457150614901</v>
      </c>
    </row>
    <row r="5331" spans="1:37" x14ac:dyDescent="0.2">
      <c r="A5331" t="str">
        <f>"20200111155702529"</f>
        <v>20200111155702529</v>
      </c>
      <c r="B5331" t="str">
        <f>"1578729422518440"</f>
        <v>1578729422518440</v>
      </c>
      <c r="C5331" t="s">
        <v>37</v>
      </c>
      <c r="D5331">
        <v>5.4568190000000003</v>
      </c>
      <c r="E5331">
        <v>0.44675599999999999</v>
      </c>
      <c r="F5331" t="s">
        <v>38</v>
      </c>
      <c r="G5331">
        <v>-349.0172</v>
      </c>
      <c r="H5331" s="1">
        <v>-1.004718E-6</v>
      </c>
      <c r="I5331">
        <v>21.87415</v>
      </c>
      <c r="J5331">
        <v>-373.30770000000001</v>
      </c>
      <c r="K5331">
        <v>1.103507</v>
      </c>
      <c r="L5331">
        <v>17.069269999999999</v>
      </c>
      <c r="M5331">
        <v>0.99999640000000001</v>
      </c>
      <c r="N5331">
        <v>0</v>
      </c>
      <c r="O5331">
        <v>-2.347919E-3</v>
      </c>
      <c r="P5331">
        <v>0.99859699999999996</v>
      </c>
      <c r="Q5331">
        <v>-2.12755099999999E-4</v>
      </c>
      <c r="R5331">
        <v>5.2955339999999997E-2</v>
      </c>
      <c r="S5331">
        <v>2.9738769999999999</v>
      </c>
      <c r="T5331">
        <v>-0.13399269999999999</v>
      </c>
      <c r="U5331">
        <v>0.58340449999999999</v>
      </c>
      <c r="V5331">
        <v>-5.5300410000000001E-2</v>
      </c>
      <c r="W5331">
        <v>1.1456649999999999E-3</v>
      </c>
      <c r="X5331">
        <v>0.998469099999999</v>
      </c>
      <c r="Y5331">
        <v>-0.19461809999999999</v>
      </c>
      <c r="Z5331">
        <v>4.4456249999999999E-3</v>
      </c>
      <c r="AA5331">
        <v>0.98086899999999999</v>
      </c>
      <c r="AB5331">
        <v>26</v>
      </c>
      <c r="AC5331">
        <v>24.290500000000002</v>
      </c>
      <c r="AD5331">
        <v>-1.1035080047179999</v>
      </c>
      <c r="AE5331">
        <v>4.8048799999999998</v>
      </c>
      <c r="AF5331">
        <v>-4.8522616819362296</v>
      </c>
      <c r="AG5331">
        <v>-1.1035080047179999</v>
      </c>
      <c r="AH5331">
        <v>24.231025470746999</v>
      </c>
      <c r="AI5331">
        <v>92.556821162483502</v>
      </c>
      <c r="AJ5331">
        <v>101.32370217889201</v>
      </c>
      <c r="AK5331">
        <v>24.736708930463099</v>
      </c>
    </row>
    <row r="5332" spans="1:37" x14ac:dyDescent="0.2">
      <c r="A5332" t="str">
        <f>"20200111155702542"</f>
        <v>20200111155702542</v>
      </c>
      <c r="B5332" t="str">
        <f>"1578729422538935"</f>
        <v>1578729422538935</v>
      </c>
      <c r="C5332" t="s">
        <v>37</v>
      </c>
      <c r="D5332">
        <v>5.4033790000000002</v>
      </c>
      <c r="E5332">
        <v>0.44682659999999902</v>
      </c>
      <c r="F5332" t="s">
        <v>38</v>
      </c>
      <c r="G5332">
        <v>-349.12849999999997</v>
      </c>
      <c r="H5332" s="1">
        <v>-9.5281489999999995E-7</v>
      </c>
      <c r="I5332">
        <v>21.858650000000001</v>
      </c>
      <c r="J5332">
        <v>-373.1508</v>
      </c>
      <c r="K5332">
        <v>1.1035079999999999</v>
      </c>
      <c r="L5332">
        <v>17.06906</v>
      </c>
      <c r="M5332">
        <v>0.99999680000000002</v>
      </c>
      <c r="N5332">
        <v>0</v>
      </c>
      <c r="O5332">
        <v>-2.163847E-3</v>
      </c>
      <c r="P5332">
        <v>0.99856590000000001</v>
      </c>
      <c r="Q5332">
        <v>-3.9039739999999998E-4</v>
      </c>
      <c r="R5332">
        <v>5.3541819999999997E-2</v>
      </c>
      <c r="S5332">
        <v>2.9729919999999899</v>
      </c>
      <c r="T5332">
        <v>-0.13568379999999999</v>
      </c>
      <c r="U5332">
        <v>0.58889769999999997</v>
      </c>
      <c r="V5332">
        <v>-5.5703210000000003E-2</v>
      </c>
      <c r="W5332">
        <v>9.4777749999999997E-4</v>
      </c>
      <c r="X5332">
        <v>0.99844690000000003</v>
      </c>
      <c r="Y5332">
        <v>-0.19623060000000001</v>
      </c>
      <c r="Z5332">
        <v>4.5303009999999996E-3</v>
      </c>
      <c r="AA5332">
        <v>0.98054730000000001</v>
      </c>
      <c r="AB5332">
        <v>27</v>
      </c>
      <c r="AC5332">
        <v>24.022300000000001</v>
      </c>
      <c r="AD5332">
        <v>-1.10350895281489</v>
      </c>
      <c r="AE5332">
        <v>4.7895899999999996</v>
      </c>
      <c r="AF5332">
        <v>-4.8317532932537004</v>
      </c>
      <c r="AG5332">
        <v>-1.10350895281489</v>
      </c>
      <c r="AH5332">
        <v>23.963246023035499</v>
      </c>
      <c r="AI5332">
        <v>92.584667251423994</v>
      </c>
      <c r="AJ5332">
        <v>101.399805464434</v>
      </c>
      <c r="AK5332">
        <v>24.4704052246042</v>
      </c>
    </row>
    <row r="5333" spans="1:37" x14ac:dyDescent="0.2">
      <c r="A5333" t="str">
        <f>"20200111155702555"</f>
        <v>20200111155702555</v>
      </c>
      <c r="B5333" t="str">
        <f>"1578729422548695"</f>
        <v>1578729422548695</v>
      </c>
      <c r="C5333" t="s">
        <v>37</v>
      </c>
      <c r="D5333">
        <v>5.4396199999999997</v>
      </c>
      <c r="E5333">
        <v>0.44679950000000002</v>
      </c>
      <c r="F5333" t="s">
        <v>38</v>
      </c>
      <c r="G5333">
        <v>-349.8186</v>
      </c>
      <c r="H5333" s="1">
        <v>-6.1490239999999995E-7</v>
      </c>
      <c r="I5333">
        <v>21.701309999999999</v>
      </c>
      <c r="J5333">
        <v>-372.983</v>
      </c>
      <c r="K5333">
        <v>1.103512</v>
      </c>
      <c r="L5333">
        <v>17.068909999999999</v>
      </c>
      <c r="M5333">
        <v>0.99999729999999998</v>
      </c>
      <c r="N5333">
        <v>0</v>
      </c>
      <c r="O5333">
        <v>-1.9665479999999998E-3</v>
      </c>
      <c r="P5333">
        <v>0.99851869999999998</v>
      </c>
      <c r="Q5333">
        <v>-2.3921209999999999E-4</v>
      </c>
      <c r="R5333">
        <v>5.4412799999999997E-2</v>
      </c>
      <c r="S5333">
        <v>2.972626</v>
      </c>
      <c r="T5333">
        <v>-0.14059169999999999</v>
      </c>
      <c r="U5333">
        <v>0.59017940000000002</v>
      </c>
      <c r="V5333">
        <v>-5.6376870000000003E-2</v>
      </c>
      <c r="W5333">
        <v>1.0917819999999999E-3</v>
      </c>
      <c r="X5333">
        <v>0.99840899999999999</v>
      </c>
      <c r="Y5333">
        <v>-0.1964523</v>
      </c>
      <c r="Z5333">
        <v>4.6903190000000001E-3</v>
      </c>
      <c r="AA5333">
        <v>0.98050219999999899</v>
      </c>
      <c r="AB5333">
        <v>27</v>
      </c>
      <c r="AC5333">
        <v>23.164400000000001</v>
      </c>
      <c r="AD5333">
        <v>-1.1035126149023999</v>
      </c>
      <c r="AE5333">
        <v>4.6323999999999996</v>
      </c>
      <c r="AF5333">
        <v>-4.66775927757568</v>
      </c>
      <c r="AG5333">
        <v>-1.1035126149023999</v>
      </c>
      <c r="AH5333">
        <v>23.104827395398502</v>
      </c>
      <c r="AI5333">
        <v>92.680363049819505</v>
      </c>
      <c r="AJ5333">
        <v>101.42146594084301</v>
      </c>
      <c r="AK5333">
        <v>23.597431337664698</v>
      </c>
    </row>
    <row r="5334" spans="1:37" x14ac:dyDescent="0.2">
      <c r="A5334" t="str">
        <f>"20200111155702568"</f>
        <v>20200111155702568</v>
      </c>
      <c r="B5334" t="str">
        <f>"1578729422558455"</f>
        <v>1578729422558455</v>
      </c>
      <c r="C5334" t="s">
        <v>37</v>
      </c>
      <c r="D5334">
        <v>5.3933099999999996</v>
      </c>
      <c r="E5334">
        <v>0.44680619999999999</v>
      </c>
      <c r="F5334" t="s">
        <v>38</v>
      </c>
      <c r="G5334">
        <v>-349.6293</v>
      </c>
      <c r="H5334" s="1">
        <v>-7.0325289999999898E-7</v>
      </c>
      <c r="I5334">
        <v>21.728059999999999</v>
      </c>
      <c r="J5334">
        <v>-372.8381</v>
      </c>
      <c r="K5334">
        <v>1.103521</v>
      </c>
      <c r="L5334">
        <v>17.06879</v>
      </c>
      <c r="M5334">
        <v>0.99999749999999998</v>
      </c>
      <c r="N5334">
        <v>0</v>
      </c>
      <c r="O5334">
        <v>-1.795961E-3</v>
      </c>
      <c r="P5334">
        <v>0.99847960000000002</v>
      </c>
      <c r="Q5334" s="1">
        <v>-4.0369109999999899E-5</v>
      </c>
      <c r="R5334">
        <v>5.5122789999999998E-2</v>
      </c>
      <c r="S5334">
        <v>2.9721069999999998</v>
      </c>
      <c r="T5334">
        <v>-0.14043810000000001</v>
      </c>
      <c r="U5334">
        <v>0.5929565</v>
      </c>
      <c r="V5334">
        <v>-5.6916710000000002E-2</v>
      </c>
      <c r="W5334">
        <v>1.3001600000000001E-3</v>
      </c>
      <c r="X5334">
        <v>0.99837809999999905</v>
      </c>
      <c r="Y5334">
        <v>-0.1971987</v>
      </c>
      <c r="Z5334">
        <v>4.6950539999999997E-3</v>
      </c>
      <c r="AA5334">
        <v>0.98035229999999995</v>
      </c>
      <c r="AB5334">
        <v>27</v>
      </c>
      <c r="AC5334">
        <v>23.2088</v>
      </c>
      <c r="AD5334">
        <v>-1.1035217032528899</v>
      </c>
      <c r="AE5334">
        <v>4.6592699999999896</v>
      </c>
      <c r="AF5334">
        <v>-4.6907507507562904</v>
      </c>
      <c r="AG5334">
        <v>-1.1035217032528899</v>
      </c>
      <c r="AH5334">
        <v>23.150085265112899</v>
      </c>
      <c r="AI5334">
        <v>92.674842053453503</v>
      </c>
      <c r="AJ5334">
        <v>101.45439208763599</v>
      </c>
      <c r="AK5334">
        <v>23.646296761591898</v>
      </c>
    </row>
    <row r="5335" spans="1:37" x14ac:dyDescent="0.2">
      <c r="A5335" t="str">
        <f>"20200111155702585"</f>
        <v>20200111155702585</v>
      </c>
      <c r="B5335" t="str">
        <f>"1578729422578951"</f>
        <v>1578729422578951</v>
      </c>
      <c r="C5335" t="s">
        <v>37</v>
      </c>
      <c r="D5335">
        <v>5.4122329999999996</v>
      </c>
      <c r="E5335">
        <v>0.44701179999999902</v>
      </c>
      <c r="F5335" t="s">
        <v>38</v>
      </c>
      <c r="G5335">
        <v>-349.7176</v>
      </c>
      <c r="H5335" s="1">
        <v>-6.5759069999999905E-7</v>
      </c>
      <c r="I5335">
        <v>21.698869999999999</v>
      </c>
      <c r="J5335">
        <v>-372.6198</v>
      </c>
      <c r="K5335">
        <v>1.1035349999999999</v>
      </c>
      <c r="L5335">
        <v>17.068660000000001</v>
      </c>
      <c r="M5335">
        <v>0.99999799999999905</v>
      </c>
      <c r="N5335">
        <v>0</v>
      </c>
      <c r="O5335">
        <v>-1.5390759999999999E-3</v>
      </c>
      <c r="P5335">
        <v>0.99843219999999999</v>
      </c>
      <c r="Q5335">
        <v>1.80052599999999E-4</v>
      </c>
      <c r="R5335">
        <v>5.5977789999999999E-2</v>
      </c>
      <c r="S5335">
        <v>2.9717099999999999</v>
      </c>
      <c r="T5335">
        <v>-0.141837299999999</v>
      </c>
      <c r="U5335">
        <v>0.59512330000000002</v>
      </c>
      <c r="V5335">
        <v>-5.7515570000000002E-2</v>
      </c>
      <c r="W5335">
        <v>1.55669799999999E-3</v>
      </c>
      <c r="X5335">
        <v>0.99834339999999999</v>
      </c>
      <c r="Y5335">
        <v>-0.19765479999999899</v>
      </c>
      <c r="Z5335">
        <v>4.7407029999999998E-3</v>
      </c>
      <c r="AA5335">
        <v>0.98026019999999903</v>
      </c>
      <c r="AB5335">
        <v>27</v>
      </c>
      <c r="AC5335">
        <v>22.902200000000001</v>
      </c>
      <c r="AD5335">
        <v>-1.1035356575906901</v>
      </c>
      <c r="AE5335">
        <v>4.6302099999999902</v>
      </c>
      <c r="AF5335">
        <v>-4.6550692100571602</v>
      </c>
      <c r="AG5335">
        <v>-1.1035356575906901</v>
      </c>
      <c r="AH5335">
        <v>22.844090773201302</v>
      </c>
      <c r="AI5335">
        <v>92.710043982942395</v>
      </c>
      <c r="AJ5335">
        <v>101.517788542566</v>
      </c>
      <c r="AK5335">
        <v>23.3396645981097</v>
      </c>
    </row>
    <row r="5336" spans="1:37" x14ac:dyDescent="0.2">
      <c r="A5336" t="str">
        <f>"20200111155702600"</f>
        <v>20200111155702600</v>
      </c>
      <c r="B5336" t="str">
        <f>"1578729422588711"</f>
        <v>1578729422588711</v>
      </c>
      <c r="C5336" t="s">
        <v>37</v>
      </c>
      <c r="D5336">
        <v>5.4179009999999996</v>
      </c>
      <c r="E5336">
        <v>0.44699889999999998</v>
      </c>
      <c r="F5336" t="s">
        <v>38</v>
      </c>
      <c r="G5336">
        <v>-349.51929999999999</v>
      </c>
      <c r="H5336" s="1">
        <v>-7.4342259999999998E-7</v>
      </c>
      <c r="I5336">
        <v>21.70177</v>
      </c>
      <c r="J5336">
        <v>-372.45139999999998</v>
      </c>
      <c r="K5336">
        <v>1.103545</v>
      </c>
      <c r="L5336">
        <v>17.0686</v>
      </c>
      <c r="M5336">
        <v>0.9999981</v>
      </c>
      <c r="N5336">
        <v>0</v>
      </c>
      <c r="O5336">
        <v>-1.341089E-3</v>
      </c>
      <c r="P5336">
        <v>0.99841709999999995</v>
      </c>
      <c r="Q5336">
        <v>2.6152659999999998E-4</v>
      </c>
      <c r="R5336">
        <v>5.6245549999999998E-2</v>
      </c>
      <c r="S5336">
        <v>2.9713129999999999</v>
      </c>
      <c r="T5336">
        <v>-0.14194309999999999</v>
      </c>
      <c r="U5336">
        <v>0.59594729999999996</v>
      </c>
      <c r="V5336">
        <v>-5.7585539999999998E-2</v>
      </c>
      <c r="W5336">
        <v>1.6878279999999999E-3</v>
      </c>
      <c r="X5336">
        <v>0.99833919999999998</v>
      </c>
      <c r="Y5336">
        <v>-0.19774700000000001</v>
      </c>
      <c r="Z5336">
        <v>4.7375469999999999E-3</v>
      </c>
      <c r="AA5336">
        <v>0.98024169999999999</v>
      </c>
      <c r="AB5336">
        <v>27</v>
      </c>
      <c r="AC5336">
        <v>22.932099999999899</v>
      </c>
      <c r="AD5336">
        <v>-1.1035457434225999</v>
      </c>
      <c r="AE5336">
        <v>4.6331699999999998</v>
      </c>
      <c r="AF5336">
        <v>-4.6535659640485898</v>
      </c>
      <c r="AG5336">
        <v>-1.1035457434225999</v>
      </c>
      <c r="AH5336">
        <v>22.874970528594702</v>
      </c>
      <c r="AI5336">
        <v>92.706595794541798</v>
      </c>
      <c r="AJ5336">
        <v>101.499039393882</v>
      </c>
      <c r="AK5336">
        <v>23.369590627001799</v>
      </c>
    </row>
    <row r="5337" spans="1:37" x14ac:dyDescent="0.2">
      <c r="A5337" t="str">
        <f>"20200111155702618"</f>
        <v>20200111155702618</v>
      </c>
      <c r="B5337" t="str">
        <f>"1578729422608231"</f>
        <v>1578729422608231</v>
      </c>
      <c r="C5337" t="s">
        <v>37</v>
      </c>
      <c r="D5337">
        <v>5.3847659999999999</v>
      </c>
      <c r="E5337">
        <v>0.44707659999999899</v>
      </c>
      <c r="F5337" t="s">
        <v>38</v>
      </c>
      <c r="G5337">
        <v>-349.43079999999998</v>
      </c>
      <c r="H5337" s="1">
        <v>-7.7888909999999897E-7</v>
      </c>
      <c r="I5337">
        <v>21.69228</v>
      </c>
      <c r="J5337">
        <v>-372.21440000000001</v>
      </c>
      <c r="K5337">
        <v>1.1035779999999999</v>
      </c>
      <c r="L5337">
        <v>17.068570000000001</v>
      </c>
      <c r="M5337">
        <v>0.99999839999999995</v>
      </c>
      <c r="N5337">
        <v>0</v>
      </c>
      <c r="O5337">
        <v>-1.0620709999999999E-3</v>
      </c>
      <c r="P5337">
        <v>0.99839690000000003</v>
      </c>
      <c r="Q5337">
        <v>1.5489569999999999E-4</v>
      </c>
      <c r="R5337">
        <v>5.6605830000000003E-2</v>
      </c>
      <c r="S5337">
        <v>2.9711910000000001</v>
      </c>
      <c r="T5337">
        <v>-0.14243039999999901</v>
      </c>
      <c r="U5337">
        <v>0.59677119999999995</v>
      </c>
      <c r="V5337">
        <v>-5.7667419999999997E-2</v>
      </c>
      <c r="W5337">
        <v>1.6940270000000001E-3</v>
      </c>
      <c r="X5337">
        <v>0.99833439999999996</v>
      </c>
      <c r="Y5337">
        <v>-0.19774149999999999</v>
      </c>
      <c r="Z5337">
        <v>4.7404880000000002E-3</v>
      </c>
      <c r="AA5337">
        <v>0.98024270000000002</v>
      </c>
      <c r="AB5337">
        <v>27</v>
      </c>
      <c r="AC5337">
        <v>22.7836</v>
      </c>
      <c r="AD5337">
        <v>-1.1035787788891001</v>
      </c>
      <c r="AE5337">
        <v>4.6237099999999902</v>
      </c>
      <c r="AF5337">
        <v>-4.6374552751609901</v>
      </c>
      <c r="AG5337">
        <v>-1.1035787788891001</v>
      </c>
      <c r="AH5337">
        <v>22.727462855798201</v>
      </c>
      <c r="AI5337">
        <v>92.7238920602327</v>
      </c>
      <c r="AJ5337">
        <v>101.532678554456</v>
      </c>
      <c r="AK5337">
        <v>23.222003475411402</v>
      </c>
    </row>
    <row r="5338" spans="1:37" x14ac:dyDescent="0.2">
      <c r="A5338" t="str">
        <f>"20200111155702664"</f>
        <v>20200111155702664</v>
      </c>
      <c r="B5338" t="str">
        <f>"1578729422658007"</f>
        <v>1578729422658007</v>
      </c>
      <c r="C5338" t="s">
        <v>37</v>
      </c>
      <c r="D5338">
        <v>5.4312809999999896</v>
      </c>
      <c r="E5338">
        <v>0.52281049999999996</v>
      </c>
      <c r="F5338" t="s">
        <v>38</v>
      </c>
      <c r="G5338">
        <v>-349.07049999999998</v>
      </c>
      <c r="H5338" s="1">
        <v>-9.4053789999999998E-7</v>
      </c>
      <c r="I5338">
        <v>21.718979999999998</v>
      </c>
      <c r="J5338">
        <v>-371.64909999999998</v>
      </c>
      <c r="K5338">
        <v>1.1036870000000001</v>
      </c>
      <c r="L5338">
        <v>17.06879</v>
      </c>
      <c r="M5338">
        <v>0.999997899999999</v>
      </c>
      <c r="N5338">
        <v>0</v>
      </c>
      <c r="O5338">
        <v>-3.9610710000000001E-4</v>
      </c>
      <c r="P5338">
        <v>0.99836009999999997</v>
      </c>
      <c r="Q5338">
        <v>-4.8724559999999899E-4</v>
      </c>
      <c r="R5338">
        <v>5.7243049999999997E-2</v>
      </c>
      <c r="S5338">
        <v>2.9709779999999899</v>
      </c>
      <c r="T5338">
        <v>-0.1416666</v>
      </c>
      <c r="U5338">
        <v>0.59698490000000004</v>
      </c>
      <c r="V5338">
        <v>-5.7639349999999999E-2</v>
      </c>
      <c r="W5338">
        <v>1.53524E-3</v>
      </c>
      <c r="X5338">
        <v>0.99833629999999995</v>
      </c>
      <c r="Y5338">
        <v>-0.19717370000000001</v>
      </c>
      <c r="Z5338">
        <v>4.6705719999999996E-3</v>
      </c>
      <c r="AA5338">
        <v>0.98035749999999999</v>
      </c>
      <c r="AB5338">
        <v>28</v>
      </c>
      <c r="AC5338">
        <v>22.578599999999899</v>
      </c>
      <c r="AD5338">
        <v>-1.1036879405379001</v>
      </c>
      <c r="AE5338">
        <v>4.6501899999999896</v>
      </c>
      <c r="AF5338">
        <v>-4.6484778511155698</v>
      </c>
      <c r="AG5338">
        <v>-1.1036879405379001</v>
      </c>
      <c r="AH5338">
        <v>22.525123654496699</v>
      </c>
      <c r="AI5338">
        <v>92.747339703847999</v>
      </c>
      <c r="AJ5338">
        <v>101.66035750963</v>
      </c>
      <c r="AK5338">
        <v>23.026238708325099</v>
      </c>
    </row>
    <row r="5339" spans="1:37" x14ac:dyDescent="0.2">
      <c r="A5339" t="str">
        <f>"20200111155702679"</f>
        <v>20200111155702679</v>
      </c>
      <c r="B5339" t="str">
        <f>"1578729422668744"</f>
        <v>1578729422668744</v>
      </c>
      <c r="C5339" t="s">
        <v>37</v>
      </c>
      <c r="D5339">
        <v>5.5117919999999998</v>
      </c>
      <c r="E5339">
        <v>0.53407269999999996</v>
      </c>
      <c r="F5339" t="s">
        <v>38</v>
      </c>
      <c r="G5339">
        <v>-346.55459999999999</v>
      </c>
      <c r="H5339" s="1">
        <v>-1.9198810000000001E-6</v>
      </c>
      <c r="I5339">
        <v>17.02589</v>
      </c>
      <c r="J5339">
        <v>-371.47239999999999</v>
      </c>
      <c r="K5339">
        <v>1.1037360000000001</v>
      </c>
      <c r="L5339">
        <v>17.068909999999999</v>
      </c>
      <c r="M5339">
        <v>0.99999740000000004</v>
      </c>
      <c r="N5339">
        <v>0</v>
      </c>
      <c r="O5339">
        <v>-1.8767950000000001E-4</v>
      </c>
      <c r="P5339">
        <v>0.99836909999999901</v>
      </c>
      <c r="Q5339">
        <v>-8.1995690000000003E-4</v>
      </c>
      <c r="R5339">
        <v>5.7085530000000002E-2</v>
      </c>
      <c r="S5339">
        <v>3.0051570000000001</v>
      </c>
      <c r="T5339">
        <v>-0.13217010000000001</v>
      </c>
      <c r="U5339">
        <v>-5.1269530000000001E-3</v>
      </c>
      <c r="V5339">
        <v>-5.7274220000000001E-2</v>
      </c>
      <c r="W5339">
        <v>1.4398729999999999E-3</v>
      </c>
      <c r="X5339">
        <v>0.99835750000000001</v>
      </c>
      <c r="Y5339">
        <v>1.5170839999999999E-3</v>
      </c>
      <c r="Z5339" s="1">
        <v>-2.5094989999999999E-5</v>
      </c>
      <c r="AA5339">
        <v>0.99999889999999902</v>
      </c>
      <c r="AB5339">
        <v>28</v>
      </c>
      <c r="AC5339">
        <v>24.9178</v>
      </c>
      <c r="AD5339">
        <v>-1.103737919881</v>
      </c>
      <c r="AE5339">
        <v>-4.3019999999998497E-2</v>
      </c>
      <c r="AF5339">
        <v>3.8268342317134101E-2</v>
      </c>
      <c r="AG5339">
        <v>-1.103737919881</v>
      </c>
      <c r="AH5339">
        <v>24.8690132561964</v>
      </c>
      <c r="AI5339">
        <v>92.541233773691104</v>
      </c>
      <c r="AJ5339">
        <v>89.911833543594099</v>
      </c>
      <c r="AK5339">
        <v>24.893523699924099</v>
      </c>
    </row>
    <row r="5340" spans="1:37" x14ac:dyDescent="0.2">
      <c r="A5340" t="str">
        <f>"20200111155702697"</f>
        <v>20200111155702697</v>
      </c>
      <c r="B5340" t="str">
        <f>"1578729422688262"</f>
        <v>1578729422688262</v>
      </c>
      <c r="C5340" t="s">
        <v>37</v>
      </c>
      <c r="D5340">
        <v>5.5022909999999996</v>
      </c>
      <c r="E5340">
        <v>0.54208579999999995</v>
      </c>
      <c r="F5340" t="s">
        <v>40</v>
      </c>
      <c r="G5340">
        <v>-370.5043</v>
      </c>
      <c r="H5340">
        <v>1.0483290000000001</v>
      </c>
      <c r="I5340">
        <v>17.038350000000001</v>
      </c>
      <c r="J5340">
        <v>-371.25080000000003</v>
      </c>
      <c r="K5340">
        <v>1.103815</v>
      </c>
      <c r="L5340">
        <v>17.069179999999999</v>
      </c>
      <c r="M5340">
        <v>0.99999640000000001</v>
      </c>
      <c r="N5340">
        <v>0</v>
      </c>
      <c r="O5340" s="1">
        <v>7.3722009999999997E-5</v>
      </c>
      <c r="P5340">
        <v>0.99836209999999903</v>
      </c>
      <c r="Q5340">
        <v>-1.53753299999999E-3</v>
      </c>
      <c r="R5340">
        <v>5.7192529999999998E-2</v>
      </c>
      <c r="S5340">
        <v>3.0101619999999998</v>
      </c>
      <c r="T5340">
        <v>-0.17227770000000001</v>
      </c>
      <c r="U5340">
        <v>-9.3963619999999998E-2</v>
      </c>
      <c r="V5340">
        <v>-5.7119999999999997E-2</v>
      </c>
      <c r="W5340">
        <v>1.1222999999999999E-3</v>
      </c>
      <c r="X5340">
        <v>0.99836669999999905</v>
      </c>
      <c r="Y5340">
        <v>3.122279E-2</v>
      </c>
      <c r="Z5340">
        <v>-8.9673919999999998E-4</v>
      </c>
      <c r="AA5340">
        <v>0.99951209999999902</v>
      </c>
      <c r="AB5340">
        <v>28</v>
      </c>
      <c r="AC5340">
        <v>0.74650000000002503</v>
      </c>
      <c r="AD5340">
        <v>-5.5485999999999903E-2</v>
      </c>
      <c r="AE5340">
        <v>-3.0829999999998099E-2</v>
      </c>
      <c r="AF5340">
        <v>3.0715628487974302E-2</v>
      </c>
      <c r="AG5340">
        <v>-5.5485999999999903E-2</v>
      </c>
      <c r="AH5340">
        <v>0.74240316823479502</v>
      </c>
      <c r="AI5340">
        <v>94.270606388179004</v>
      </c>
      <c r="AJ5340">
        <v>87.630838835830403</v>
      </c>
      <c r="AK5340">
        <v>0.74510711326256496</v>
      </c>
    </row>
    <row r="5341" spans="1:37" x14ac:dyDescent="0.2">
      <c r="A5341" t="str">
        <f>"20200111155702710"</f>
        <v>20200111155702710</v>
      </c>
      <c r="B5341" t="str">
        <f>"1578729422698023"</f>
        <v>1578729422698023</v>
      </c>
      <c r="C5341" t="s">
        <v>37</v>
      </c>
      <c r="D5341">
        <v>5.4233779999999996</v>
      </c>
      <c r="E5341">
        <v>0.54451910000000003</v>
      </c>
      <c r="F5341" t="s">
        <v>40</v>
      </c>
      <c r="G5341">
        <v>-370.50049999999999</v>
      </c>
      <c r="H5341">
        <v>1.0531459999999999</v>
      </c>
      <c r="I5341">
        <v>17.02985</v>
      </c>
      <c r="J5341">
        <v>-371.0849</v>
      </c>
      <c r="K5341">
        <v>1.1038840000000001</v>
      </c>
      <c r="L5341">
        <v>17.069369999999999</v>
      </c>
      <c r="M5341">
        <v>0.99999539999999998</v>
      </c>
      <c r="N5341">
        <v>0</v>
      </c>
      <c r="O5341">
        <v>2.700728E-4</v>
      </c>
      <c r="P5341">
        <v>0.99835980000000002</v>
      </c>
      <c r="Q5341">
        <v>-1.4297349999999999E-3</v>
      </c>
      <c r="R5341">
        <v>5.7233649999999997E-2</v>
      </c>
      <c r="S5341">
        <v>3.0135800000000001</v>
      </c>
      <c r="T5341">
        <v>-0.20351469999999999</v>
      </c>
      <c r="U5341">
        <v>-0.1566467</v>
      </c>
      <c r="V5341">
        <v>-5.6965250000000002E-2</v>
      </c>
      <c r="W5341">
        <v>1.5834009999999999E-3</v>
      </c>
      <c r="X5341">
        <v>0.99837489999999995</v>
      </c>
      <c r="Y5341">
        <v>5.2061030000000001E-2</v>
      </c>
      <c r="Z5341">
        <v>-1.7729320000000001E-3</v>
      </c>
      <c r="AA5341">
        <v>0.99864229999999998</v>
      </c>
      <c r="AB5341">
        <v>28</v>
      </c>
      <c r="AC5341">
        <v>0.58440000000001602</v>
      </c>
      <c r="AD5341">
        <v>-5.0738000000000102E-2</v>
      </c>
      <c r="AE5341">
        <v>-3.9520000000003101E-2</v>
      </c>
      <c r="AF5341">
        <v>3.9382323990720301E-2</v>
      </c>
      <c r="AG5341">
        <v>-5.0738000000000102E-2</v>
      </c>
      <c r="AH5341">
        <v>0.580036989496168</v>
      </c>
      <c r="AI5341">
        <v>94.987725858167494</v>
      </c>
      <c r="AJ5341">
        <v>86.115793938918102</v>
      </c>
      <c r="AK5341">
        <v>0.58358223179830304</v>
      </c>
    </row>
    <row r="5342" spans="1:37" x14ac:dyDescent="0.2">
      <c r="A5342" t="str">
        <f>"20200111155702723"</f>
        <v>20200111155702723</v>
      </c>
      <c r="B5342" t="str">
        <f>"1578729422718519"</f>
        <v>1578729422718519</v>
      </c>
      <c r="C5342" t="s">
        <v>37</v>
      </c>
      <c r="D5342">
        <v>5.378234</v>
      </c>
      <c r="E5342">
        <v>0.54747230000000002</v>
      </c>
      <c r="F5342" t="s">
        <v>40</v>
      </c>
      <c r="G5342">
        <v>-370.25630000000001</v>
      </c>
      <c r="H5342">
        <v>1.046648</v>
      </c>
      <c r="I5342">
        <v>17.020759999999999</v>
      </c>
      <c r="J5342">
        <v>-370.92680000000001</v>
      </c>
      <c r="K5342">
        <v>1.1039570000000001</v>
      </c>
      <c r="L5342">
        <v>17.069610000000001</v>
      </c>
      <c r="M5342">
        <v>0.99999400000000005</v>
      </c>
      <c r="N5342">
        <v>0</v>
      </c>
      <c r="O5342">
        <v>4.58708E-4</v>
      </c>
      <c r="P5342">
        <v>0.99835090000000004</v>
      </c>
      <c r="Q5342">
        <v>-9.5762129999999997E-4</v>
      </c>
      <c r="R5342">
        <v>5.7399220000000001E-2</v>
      </c>
      <c r="S5342">
        <v>3.0147089999999999</v>
      </c>
      <c r="T5342">
        <v>-0.20834220000000001</v>
      </c>
      <c r="U5342">
        <v>-0.1758728</v>
      </c>
      <c r="V5342">
        <v>-5.6942769999999997E-2</v>
      </c>
      <c r="W5342">
        <v>2.4283539999999902E-3</v>
      </c>
      <c r="X5342">
        <v>0.99837450000000005</v>
      </c>
      <c r="Y5342">
        <v>5.8556850000000001E-2</v>
      </c>
      <c r="Z5342">
        <v>-2.050905E-3</v>
      </c>
      <c r="AA5342">
        <v>0.998282</v>
      </c>
      <c r="AB5342">
        <v>28</v>
      </c>
      <c r="AC5342">
        <v>0.67050000000000398</v>
      </c>
      <c r="AD5342">
        <v>-5.7308999999999999E-2</v>
      </c>
      <c r="AE5342">
        <v>-4.88500000000016E-2</v>
      </c>
      <c r="AF5342">
        <v>4.88029146744135E-2</v>
      </c>
      <c r="AG5342">
        <v>-5.7308999999999999E-2</v>
      </c>
      <c r="AH5342">
        <v>0.665640381905376</v>
      </c>
      <c r="AI5342">
        <v>94.907696862436694</v>
      </c>
      <c r="AJ5342">
        <v>85.806734442689503</v>
      </c>
      <c r="AK5342">
        <v>0.66988294797289205</v>
      </c>
    </row>
    <row r="5343" spans="1:37" x14ac:dyDescent="0.2">
      <c r="A5343" t="str">
        <f>"20200111155702742"</f>
        <v>20200111155702742</v>
      </c>
      <c r="B5343" t="str">
        <f>"1578729422738039"</f>
        <v>1578729422738039</v>
      </c>
      <c r="C5343" t="s">
        <v>37</v>
      </c>
      <c r="D5343">
        <v>5.3845529999999897</v>
      </c>
      <c r="E5343">
        <v>0.54937380000000002</v>
      </c>
      <c r="F5343" t="s">
        <v>40</v>
      </c>
      <c r="G5343">
        <v>-370.01069999999999</v>
      </c>
      <c r="H5343">
        <v>1.039452</v>
      </c>
      <c r="I5343">
        <v>17.00882</v>
      </c>
      <c r="J5343">
        <v>-370.69069999999999</v>
      </c>
      <c r="K5343">
        <v>1.104085</v>
      </c>
      <c r="L5343">
        <v>17.070039999999999</v>
      </c>
      <c r="M5343">
        <v>0.99999139999999997</v>
      </c>
      <c r="N5343">
        <v>0</v>
      </c>
      <c r="O5343">
        <v>7.4164259999999905E-4</v>
      </c>
      <c r="P5343">
        <v>0.99831890000000001</v>
      </c>
      <c r="Q5343">
        <v>-9.1709940000000002E-4</v>
      </c>
      <c r="R5343">
        <v>5.7954800000000001E-2</v>
      </c>
      <c r="S5343">
        <v>3.0161739999999999</v>
      </c>
      <c r="T5343">
        <v>-0.21239729999999901</v>
      </c>
      <c r="U5343">
        <v>-0.19879150000000001</v>
      </c>
      <c r="V5343">
        <v>-5.7216400000000001E-2</v>
      </c>
      <c r="W5343">
        <v>3.124057E-3</v>
      </c>
      <c r="X5343">
        <v>0.99835689999999999</v>
      </c>
      <c r="Y5343">
        <v>6.6340430000000006E-2</v>
      </c>
      <c r="Z5343">
        <v>-2.3825259999999998E-3</v>
      </c>
      <c r="AA5343">
        <v>0.99779419999999996</v>
      </c>
      <c r="AB5343">
        <v>28</v>
      </c>
      <c r="AC5343">
        <v>0.68000000000000604</v>
      </c>
      <c r="AD5343">
        <v>-6.4632999999999899E-2</v>
      </c>
      <c r="AE5343">
        <v>-6.1219999999998699E-2</v>
      </c>
      <c r="AF5343">
        <v>6.1176069680900398E-2</v>
      </c>
      <c r="AG5343">
        <v>-6.4632999999999899E-2</v>
      </c>
      <c r="AH5343">
        <v>0.67391506103985399</v>
      </c>
      <c r="AI5343">
        <v>95.455998364826101</v>
      </c>
      <c r="AJ5343">
        <v>84.813070468182303</v>
      </c>
      <c r="AK5343">
        <v>0.67976572853222905</v>
      </c>
    </row>
    <row r="5344" spans="1:37" x14ac:dyDescent="0.2">
      <c r="A5344" t="str">
        <f>"20200111155702755"</f>
        <v>20200111155702755</v>
      </c>
      <c r="B5344" t="str">
        <f>"1578729422748774"</f>
        <v>1578729422748774</v>
      </c>
      <c r="C5344" t="s">
        <v>37</v>
      </c>
      <c r="D5344">
        <v>5.3698990000000002</v>
      </c>
      <c r="E5344">
        <v>0.55002949999999995</v>
      </c>
      <c r="F5344" t="s">
        <v>40</v>
      </c>
      <c r="G5344">
        <v>-369.76280000000003</v>
      </c>
      <c r="H5344">
        <v>1.0375430000000001</v>
      </c>
      <c r="I5344">
        <v>17.0046</v>
      </c>
      <c r="J5344">
        <v>-370.5163</v>
      </c>
      <c r="K5344">
        <v>1.1041809999999901</v>
      </c>
      <c r="L5344">
        <v>17.070399999999999</v>
      </c>
      <c r="M5344">
        <v>0.99998889999999996</v>
      </c>
      <c r="N5344">
        <v>0</v>
      </c>
      <c r="O5344">
        <v>9.4220899999999995E-4</v>
      </c>
      <c r="P5344">
        <v>0.9982972</v>
      </c>
      <c r="Q5344">
        <v>-9.9826420000000008E-4</v>
      </c>
      <c r="R5344">
        <v>5.8325769999999999E-2</v>
      </c>
      <c r="S5344">
        <v>3.0172119999999998</v>
      </c>
      <c r="T5344">
        <v>-0.21638579999999899</v>
      </c>
      <c r="U5344">
        <v>-0.21231079999999899</v>
      </c>
      <c r="V5344">
        <v>-5.7387689999999998E-2</v>
      </c>
      <c r="W5344">
        <v>3.5923090000000001E-3</v>
      </c>
      <c r="X5344">
        <v>0.9983455</v>
      </c>
      <c r="Y5344">
        <v>7.0949120000000004E-2</v>
      </c>
      <c r="Z5344">
        <v>-2.605151E-3</v>
      </c>
      <c r="AA5344">
        <v>0.99747649999999999</v>
      </c>
      <c r="AB5344">
        <v>28</v>
      </c>
      <c r="AC5344">
        <v>0.75349999999997397</v>
      </c>
      <c r="AD5344">
        <v>-6.6637999999999697E-2</v>
      </c>
      <c r="AE5344">
        <v>-6.5799999999999401E-2</v>
      </c>
      <c r="AF5344">
        <v>6.5997653767666406E-2</v>
      </c>
      <c r="AG5344">
        <v>-6.6637999999999697E-2</v>
      </c>
      <c r="AH5344">
        <v>0.74763446892402496</v>
      </c>
      <c r="AI5344">
        <v>95.073788914342003</v>
      </c>
      <c r="AJ5344">
        <v>84.955274726749394</v>
      </c>
      <c r="AK5344">
        <v>0.75349426837245803</v>
      </c>
    </row>
    <row r="5345" spans="1:37" x14ac:dyDescent="0.2">
      <c r="A5345" t="str">
        <f>"20200111155702769"</f>
        <v>20200111155702769</v>
      </c>
      <c r="B5345" t="str">
        <f>"1578729422758536"</f>
        <v>1578729422758536</v>
      </c>
      <c r="C5345" t="s">
        <v>37</v>
      </c>
      <c r="D5345">
        <v>5.3593070000000003</v>
      </c>
      <c r="E5345">
        <v>0.55058629999999997</v>
      </c>
      <c r="F5345" t="s">
        <v>40</v>
      </c>
      <c r="G5345">
        <v>-369.75689999999997</v>
      </c>
      <c r="H5345">
        <v>1.0495620000000001</v>
      </c>
      <c r="I5345">
        <v>17.01577</v>
      </c>
      <c r="J5345">
        <v>-370.35570000000001</v>
      </c>
      <c r="K5345">
        <v>1.1042609999999999</v>
      </c>
      <c r="L5345">
        <v>17.070799999999998</v>
      </c>
      <c r="M5345">
        <v>0.99998609999999899</v>
      </c>
      <c r="N5345">
        <v>0</v>
      </c>
      <c r="O5345">
        <v>1.127917E-3</v>
      </c>
      <c r="P5345">
        <v>0.99827140000000003</v>
      </c>
      <c r="Q5345">
        <v>-3.0151800000000001E-3</v>
      </c>
      <c r="R5345">
        <v>5.8697140000000002E-2</v>
      </c>
      <c r="S5345">
        <v>3.0175779999999999</v>
      </c>
      <c r="T5345">
        <v>-0.217085799999999</v>
      </c>
      <c r="U5345">
        <v>-0.21658330000000001</v>
      </c>
      <c r="V5345">
        <v>-5.7572640000000001E-2</v>
      </c>
      <c r="W5345">
        <v>2.1098279999999998E-3</v>
      </c>
      <c r="X5345">
        <v>0.99833909999999904</v>
      </c>
      <c r="Y5345">
        <v>7.2525320000000004E-2</v>
      </c>
      <c r="Z5345">
        <v>-2.682987E-3</v>
      </c>
      <c r="AA5345">
        <v>0.997362999999999</v>
      </c>
      <c r="AB5345">
        <v>28</v>
      </c>
      <c r="AC5345">
        <v>0.59880000000003897</v>
      </c>
      <c r="AD5345">
        <v>-5.4698999999999998E-2</v>
      </c>
      <c r="AE5345">
        <v>-5.5029999999998497E-2</v>
      </c>
      <c r="AF5345">
        <v>5.5248218309220401E-2</v>
      </c>
      <c r="AG5345">
        <v>-5.4698999999999998E-2</v>
      </c>
      <c r="AH5345">
        <v>0.59382394245676395</v>
      </c>
      <c r="AI5345">
        <v>95.240339354640795</v>
      </c>
      <c r="AJ5345">
        <v>84.684614278320396</v>
      </c>
      <c r="AK5345">
        <v>0.59889166037125396</v>
      </c>
    </row>
    <row r="5346" spans="1:37" x14ac:dyDescent="0.2">
      <c r="A5346" t="str">
        <f>"20200111155702785"</f>
        <v>20200111155702785</v>
      </c>
      <c r="B5346" t="str">
        <f>"1578729422778055"</f>
        <v>1578729422778055</v>
      </c>
      <c r="C5346" t="s">
        <v>37</v>
      </c>
      <c r="D5346">
        <v>5.3645779999999998</v>
      </c>
      <c r="E5346">
        <v>0.55152619999999997</v>
      </c>
      <c r="F5346" t="s">
        <v>40</v>
      </c>
      <c r="G5346">
        <v>-369.51229999999998</v>
      </c>
      <c r="H5346">
        <v>1.0414969999999999</v>
      </c>
      <c r="I5346">
        <v>17.009219999999999</v>
      </c>
      <c r="J5346">
        <v>-370.13959999999997</v>
      </c>
      <c r="K5346">
        <v>1.1043609999999999</v>
      </c>
      <c r="L5346">
        <v>17.07132</v>
      </c>
      <c r="M5346">
        <v>0.99998180000000003</v>
      </c>
      <c r="N5346">
        <v>0</v>
      </c>
      <c r="O5346">
        <v>1.380973E-3</v>
      </c>
      <c r="P5346">
        <v>0.99821349999999998</v>
      </c>
      <c r="Q5346">
        <v>-6.64863E-3</v>
      </c>
      <c r="R5346">
        <v>5.9380540000000002E-2</v>
      </c>
      <c r="S5346">
        <v>3.0174560000000001</v>
      </c>
      <c r="T5346">
        <v>-0.22453049999999999</v>
      </c>
      <c r="U5346">
        <v>-0.2200317</v>
      </c>
      <c r="V5346">
        <v>-5.8001650000000002E-2</v>
      </c>
      <c r="W5346">
        <v>-7.9731479999999998E-4</v>
      </c>
      <c r="X5346">
        <v>0.99831619999999999</v>
      </c>
      <c r="Y5346">
        <v>7.3896760000000006E-2</v>
      </c>
      <c r="Z5346">
        <v>-2.8444120000000002E-3</v>
      </c>
      <c r="AA5346">
        <v>0.99726179999999998</v>
      </c>
      <c r="AB5346">
        <v>28</v>
      </c>
      <c r="AC5346">
        <v>0.62729999999999098</v>
      </c>
      <c r="AD5346">
        <v>-6.2864000000000197E-2</v>
      </c>
      <c r="AE5346">
        <v>-6.2099999999997303E-2</v>
      </c>
      <c r="AF5346">
        <v>6.23461883540367E-2</v>
      </c>
      <c r="AG5346">
        <v>-6.2864000000000197E-2</v>
      </c>
      <c r="AH5346">
        <v>0.62103723842597303</v>
      </c>
      <c r="AI5346">
        <v>95.751318262063805</v>
      </c>
      <c r="AJ5346">
        <v>84.267259858239797</v>
      </c>
      <c r="AK5346">
        <v>0.627316651468806</v>
      </c>
    </row>
    <row r="5347" spans="1:37" x14ac:dyDescent="0.2">
      <c r="A5347" t="str">
        <f>"20200111155702799"</f>
        <v>20200111155702799</v>
      </c>
      <c r="B5347" t="str">
        <f>"1578729422788763"</f>
        <v>1578729422788763</v>
      </c>
      <c r="C5347" t="s">
        <v>37</v>
      </c>
      <c r="D5347">
        <v>5.3915610000000003</v>
      </c>
      <c r="E5347">
        <v>0.55185099999999998</v>
      </c>
      <c r="F5347" t="s">
        <v>40</v>
      </c>
      <c r="G5347">
        <v>-369.26690000000002</v>
      </c>
      <c r="H5347">
        <v>1.035541</v>
      </c>
      <c r="I5347">
        <v>17.006070000000001</v>
      </c>
      <c r="J5347">
        <v>-369.97460000000001</v>
      </c>
      <c r="K5347">
        <v>1.104436</v>
      </c>
      <c r="L5347">
        <v>17.071750000000002</v>
      </c>
      <c r="M5347">
        <v>0.99997809999999898</v>
      </c>
      <c r="N5347">
        <v>0</v>
      </c>
      <c r="O5347">
        <v>1.5772379999999999E-3</v>
      </c>
      <c r="P5347">
        <v>0.99816319999999903</v>
      </c>
      <c r="Q5347">
        <v>-8.2812790000000008E-3</v>
      </c>
      <c r="R5347">
        <v>6.0015099999999898E-2</v>
      </c>
      <c r="S5347">
        <v>3.0172119999999998</v>
      </c>
      <c r="T5347">
        <v>-0.2379541</v>
      </c>
      <c r="U5347">
        <v>-0.22555539999999999</v>
      </c>
      <c r="V5347">
        <v>-5.8439520000000002E-2</v>
      </c>
      <c r="W5347">
        <v>-1.8802409999999999E-3</v>
      </c>
      <c r="X5347">
        <v>0.99828919999999999</v>
      </c>
      <c r="Y5347">
        <v>7.5881829999999997E-2</v>
      </c>
      <c r="Z5347">
        <v>-3.1074800000000001E-3</v>
      </c>
      <c r="AA5347">
        <v>0.997112</v>
      </c>
      <c r="AB5347">
        <v>28</v>
      </c>
      <c r="AC5347">
        <v>0.70769999999998801</v>
      </c>
      <c r="AD5347">
        <v>-6.8894999999999901E-2</v>
      </c>
      <c r="AE5347">
        <v>-6.5680000000000405E-2</v>
      </c>
      <c r="AF5347">
        <v>6.6174364994847398E-2</v>
      </c>
      <c r="AG5347">
        <v>-6.8894999999999901E-2</v>
      </c>
      <c r="AH5347">
        <v>0.70100870521771097</v>
      </c>
      <c r="AI5347">
        <v>95.588307091181093</v>
      </c>
      <c r="AJ5347">
        <v>84.607328817003307</v>
      </c>
      <c r="AK5347">
        <v>0.70748764823032995</v>
      </c>
    </row>
    <row r="5348" spans="1:37" x14ac:dyDescent="0.2">
      <c r="A5348" t="str">
        <f>"20200111155702812"</f>
        <v>20200111155702812</v>
      </c>
      <c r="B5348" t="str">
        <f>"1578729422808282"</f>
        <v>1578729422808282</v>
      </c>
      <c r="C5348" t="s">
        <v>37</v>
      </c>
      <c r="D5348">
        <v>5.6469860000000001</v>
      </c>
      <c r="E5348">
        <v>0.55215499999999995</v>
      </c>
      <c r="F5348" t="s">
        <v>40</v>
      </c>
      <c r="G5348">
        <v>-369.02280000000002</v>
      </c>
      <c r="H5348">
        <v>1.027617</v>
      </c>
      <c r="I5348">
        <v>17.000050000000002</v>
      </c>
      <c r="J5348">
        <v>-369.81689999999998</v>
      </c>
      <c r="K5348">
        <v>1.1044940000000001</v>
      </c>
      <c r="L5348">
        <v>17.072240000000001</v>
      </c>
      <c r="M5348">
        <v>0.99997449999999999</v>
      </c>
      <c r="N5348">
        <v>0</v>
      </c>
      <c r="O5348">
        <v>1.7682069999999999E-3</v>
      </c>
      <c r="P5348">
        <v>0.99814360000000002</v>
      </c>
      <c r="Q5348">
        <v>-8.7889019999999995E-3</v>
      </c>
      <c r="R5348">
        <v>6.0271039999999998E-2</v>
      </c>
      <c r="S5348">
        <v>3.01709</v>
      </c>
      <c r="T5348">
        <v>-0.24350869999999999</v>
      </c>
      <c r="U5348">
        <v>-0.22625729999999999</v>
      </c>
      <c r="V5348">
        <v>-5.8504729999999998E-2</v>
      </c>
      <c r="W5348">
        <v>-1.888565E-3</v>
      </c>
      <c r="X5348">
        <v>0.99828539999999999</v>
      </c>
      <c r="Y5348">
        <v>7.6292680000000002E-2</v>
      </c>
      <c r="Z5348">
        <v>-3.2117840000000001E-3</v>
      </c>
      <c r="AA5348">
        <v>0.99708030000000003</v>
      </c>
      <c r="AB5348">
        <v>28</v>
      </c>
      <c r="AC5348">
        <v>0.79409999999995695</v>
      </c>
      <c r="AD5348">
        <v>-7.6877000000000001E-2</v>
      </c>
      <c r="AE5348">
        <v>-7.2189999999999005E-2</v>
      </c>
      <c r="AF5348">
        <v>7.2916268039475096E-2</v>
      </c>
      <c r="AG5348">
        <v>-7.6877000000000001E-2</v>
      </c>
      <c r="AH5348">
        <v>0.78665880026022805</v>
      </c>
      <c r="AI5348">
        <v>95.557887921031195</v>
      </c>
      <c r="AJ5348">
        <v>84.704322870908996</v>
      </c>
      <c r="AK5348">
        <v>0.793762510641984</v>
      </c>
    </row>
    <row r="5349" spans="1:37" x14ac:dyDescent="0.2">
      <c r="A5349" t="str">
        <f>"20200111155702830"</f>
        <v>20200111155702830</v>
      </c>
      <c r="B5349" t="str">
        <f>"1578729422828778"</f>
        <v>1578729422828778</v>
      </c>
      <c r="C5349" t="s">
        <v>37</v>
      </c>
      <c r="D5349">
        <v>5.3775379999999897</v>
      </c>
      <c r="E5349">
        <v>0.55286029999999997</v>
      </c>
      <c r="F5349" t="s">
        <v>40</v>
      </c>
      <c r="G5349">
        <v>-369.01710000000003</v>
      </c>
      <c r="H5349">
        <v>1.039328</v>
      </c>
      <c r="I5349">
        <v>17.011479999999999</v>
      </c>
      <c r="J5349">
        <v>-369.59109999999998</v>
      </c>
      <c r="K5349">
        <v>1.104573</v>
      </c>
      <c r="L5349">
        <v>17.072970000000002</v>
      </c>
      <c r="M5349">
        <v>0.99996890000000005</v>
      </c>
      <c r="N5349">
        <v>0</v>
      </c>
      <c r="O5349">
        <v>2.0424570000000001E-3</v>
      </c>
      <c r="P5349">
        <v>0.99812049999999997</v>
      </c>
      <c r="Q5349">
        <v>-8.6264129999999994E-3</v>
      </c>
      <c r="R5349">
        <v>6.0672860000000002E-2</v>
      </c>
      <c r="S5349">
        <v>3.0171809999999999</v>
      </c>
      <c r="T5349">
        <v>-0.24583369999999999</v>
      </c>
      <c r="U5349">
        <v>-0.22802729999999899</v>
      </c>
      <c r="V5349">
        <v>-5.8633810000000001E-2</v>
      </c>
      <c r="W5349">
        <v>-1.044417E-3</v>
      </c>
      <c r="X5349">
        <v>0.99827900000000003</v>
      </c>
      <c r="Y5349">
        <v>7.7137010000000006E-2</v>
      </c>
      <c r="Z5349">
        <v>-3.2987509999999999E-3</v>
      </c>
      <c r="AA5349">
        <v>0.99701509999999904</v>
      </c>
      <c r="AB5349">
        <v>28</v>
      </c>
      <c r="AC5349">
        <v>0.57399999999995499</v>
      </c>
      <c r="AD5349">
        <v>-6.5244999999999997E-2</v>
      </c>
      <c r="AE5349">
        <v>-6.1490000000002702E-2</v>
      </c>
      <c r="AF5349">
        <v>6.1871945220195602E-2</v>
      </c>
      <c r="AG5349">
        <v>-6.5244999999999997E-2</v>
      </c>
      <c r="AH5349">
        <v>0.56663520601323702</v>
      </c>
      <c r="AI5349">
        <v>96.529900653698107</v>
      </c>
      <c r="AJ5349">
        <v>83.768455648387601</v>
      </c>
      <c r="AK5349">
        <v>0.57372511216086297</v>
      </c>
    </row>
    <row r="5350" spans="1:37" x14ac:dyDescent="0.2">
      <c r="A5350" t="str">
        <f>"20200111155702844"</f>
        <v>20200111155702844</v>
      </c>
      <c r="B5350" t="str">
        <f>"1578729422838538"</f>
        <v>1578729422838538</v>
      </c>
      <c r="C5350" t="s">
        <v>37</v>
      </c>
      <c r="D5350">
        <v>5.3909050000000001</v>
      </c>
      <c r="E5350">
        <v>0.55314759999999996</v>
      </c>
      <c r="F5350" t="s">
        <v>40</v>
      </c>
      <c r="G5350">
        <v>-368.77019999999999</v>
      </c>
      <c r="H5350">
        <v>1.037836</v>
      </c>
      <c r="I5350">
        <v>17.009679999999999</v>
      </c>
      <c r="J5350">
        <v>-369.423</v>
      </c>
      <c r="K5350">
        <v>1.1046320000000001</v>
      </c>
      <c r="L5350">
        <v>17.073519999999998</v>
      </c>
      <c r="M5350">
        <v>0.99996459999999998</v>
      </c>
      <c r="N5350">
        <v>0</v>
      </c>
      <c r="O5350">
        <v>2.247293E-3</v>
      </c>
      <c r="P5350">
        <v>0.99808869999999905</v>
      </c>
      <c r="Q5350">
        <v>-7.9078540000000006E-3</v>
      </c>
      <c r="R5350">
        <v>6.1291279999999997E-2</v>
      </c>
      <c r="S5350">
        <v>3.0176699999999999</v>
      </c>
      <c r="T5350">
        <v>-0.24527559999999901</v>
      </c>
      <c r="U5350">
        <v>-0.23272709999999999</v>
      </c>
      <c r="V5350">
        <v>-5.9048440000000001E-2</v>
      </c>
      <c r="W5350">
        <v>1.5288979999999999E-4</v>
      </c>
      <c r="X5350">
        <v>0.99825509999999995</v>
      </c>
      <c r="Y5350">
        <v>7.8867709999999994E-2</v>
      </c>
      <c r="Z5350">
        <v>-3.377279E-3</v>
      </c>
      <c r="AA5350">
        <v>0.99687939999999997</v>
      </c>
      <c r="AB5350">
        <v>28</v>
      </c>
      <c r="AC5350">
        <v>0.65280000000001304</v>
      </c>
      <c r="AD5350">
        <v>-6.6795999999999994E-2</v>
      </c>
      <c r="AE5350">
        <v>-6.3840000000002506E-2</v>
      </c>
      <c r="AF5350">
        <v>6.46365949580366E-2</v>
      </c>
      <c r="AG5350">
        <v>-6.6795999999999994E-2</v>
      </c>
      <c r="AH5350">
        <v>0.64595588297683104</v>
      </c>
      <c r="AI5350">
        <v>95.874639076327497</v>
      </c>
      <c r="AJ5350">
        <v>84.285805639032702</v>
      </c>
      <c r="AK5350">
        <v>0.65260906963981702</v>
      </c>
    </row>
    <row r="5351" spans="1:37" x14ac:dyDescent="0.2">
      <c r="A5351" t="str">
        <f>"20200111155702856"</f>
        <v>20200111155702856</v>
      </c>
      <c r="B5351" t="str">
        <f>"1578729422848299"</f>
        <v>1578729422848299</v>
      </c>
      <c r="C5351" t="s">
        <v>37</v>
      </c>
      <c r="D5351">
        <v>5.4208540000000003</v>
      </c>
      <c r="E5351">
        <v>0.55346379999999995</v>
      </c>
      <c r="F5351" t="s">
        <v>40</v>
      </c>
      <c r="G5351">
        <v>-368.52550000000002</v>
      </c>
      <c r="H5351">
        <v>1.032322</v>
      </c>
      <c r="I5351">
        <v>17.003879999999999</v>
      </c>
      <c r="J5351">
        <v>-369.26389999999998</v>
      </c>
      <c r="K5351">
        <v>1.104678</v>
      </c>
      <c r="L5351">
        <v>17.074069999999999</v>
      </c>
      <c r="M5351">
        <v>0.99996070000000004</v>
      </c>
      <c r="N5351">
        <v>0</v>
      </c>
      <c r="O5351">
        <v>2.4411319999999999E-3</v>
      </c>
      <c r="P5351">
        <v>0.99806159999999999</v>
      </c>
      <c r="Q5351">
        <v>-5.7202969999999896E-3</v>
      </c>
      <c r="R5351">
        <v>6.1973880000000002E-2</v>
      </c>
      <c r="S5351">
        <v>3.0181269999999998</v>
      </c>
      <c r="T5351">
        <v>-0.2431952</v>
      </c>
      <c r="U5351">
        <v>-0.2331848</v>
      </c>
      <c r="V5351">
        <v>-5.9538969999999997E-2</v>
      </c>
      <c r="W5351">
        <v>2.7726299999999999E-3</v>
      </c>
      <c r="X5351">
        <v>0.9982221</v>
      </c>
      <c r="Y5351">
        <v>7.9202510000000004E-2</v>
      </c>
      <c r="Z5351">
        <v>-3.377222E-3</v>
      </c>
      <c r="AA5351">
        <v>0.99685279999999998</v>
      </c>
      <c r="AB5351">
        <v>28</v>
      </c>
      <c r="AC5351">
        <v>0.73839999999995498</v>
      </c>
      <c r="AD5351">
        <v>-7.2356000000000004E-2</v>
      </c>
      <c r="AE5351">
        <v>-7.0190000000003694E-2</v>
      </c>
      <c r="AF5351">
        <v>7.1313759095341794E-2</v>
      </c>
      <c r="AG5351">
        <v>-7.2356000000000004E-2</v>
      </c>
      <c r="AH5351">
        <v>0.73126763217166602</v>
      </c>
      <c r="AI5351">
        <v>95.624285787306903</v>
      </c>
      <c r="AJ5351">
        <v>84.430085918863497</v>
      </c>
      <c r="AK5351">
        <v>0.73829085923791804</v>
      </c>
    </row>
    <row r="5352" spans="1:37" x14ac:dyDescent="0.2">
      <c r="A5352" t="str">
        <f>"20200111155702869"</f>
        <v>20200111155702869</v>
      </c>
      <c r="B5352" t="str">
        <f>"1578729422858059"</f>
        <v>1578729422858059</v>
      </c>
      <c r="C5352" t="s">
        <v>37</v>
      </c>
      <c r="D5352">
        <v>5.3976639999999998</v>
      </c>
      <c r="E5352">
        <v>0.55381800000000003</v>
      </c>
      <c r="F5352" t="s">
        <v>40</v>
      </c>
      <c r="G5352">
        <v>-368.51870000000002</v>
      </c>
      <c r="H5352">
        <v>1.046408</v>
      </c>
      <c r="I5352">
        <v>17.01605</v>
      </c>
      <c r="J5352">
        <v>-369.111999999999</v>
      </c>
      <c r="K5352">
        <v>1.1047169999999999</v>
      </c>
      <c r="L5352">
        <v>17.074649999999998</v>
      </c>
      <c r="M5352">
        <v>0.99995669999999903</v>
      </c>
      <c r="N5352">
        <v>0</v>
      </c>
      <c r="O5352">
        <v>2.6286650000000001E-3</v>
      </c>
      <c r="P5352">
        <v>0.99803379999999997</v>
      </c>
      <c r="Q5352">
        <v>-4.821138E-3</v>
      </c>
      <c r="R5352">
        <v>6.2491989999999997E-2</v>
      </c>
      <c r="S5352">
        <v>3.0189819999999998</v>
      </c>
      <c r="T5352">
        <v>-0.23608019999999999</v>
      </c>
      <c r="U5352">
        <v>-0.23379520000000001</v>
      </c>
      <c r="V5352">
        <v>-5.9870470000000002E-2</v>
      </c>
      <c r="W5352">
        <v>4.0534070000000002E-3</v>
      </c>
      <c r="X5352">
        <v>0.99819789999999997</v>
      </c>
      <c r="Y5352">
        <v>7.958171E-2</v>
      </c>
      <c r="Z5352">
        <v>-3.3071770000000001E-3</v>
      </c>
      <c r="AA5352">
        <v>0.99682280000000001</v>
      </c>
      <c r="AB5352">
        <v>28</v>
      </c>
      <c r="AC5352">
        <v>0.59329999999994198</v>
      </c>
      <c r="AD5352">
        <v>-5.8308999999999903E-2</v>
      </c>
      <c r="AE5352">
        <v>-5.8599999999998403E-2</v>
      </c>
      <c r="AF5352">
        <v>5.9589445587962399E-2</v>
      </c>
      <c r="AG5352">
        <v>-5.8308999999999903E-2</v>
      </c>
      <c r="AH5352">
        <v>0.58752396157169995</v>
      </c>
      <c r="AI5352">
        <v>95.639035537622703</v>
      </c>
      <c r="AJ5352">
        <v>84.208596838602304</v>
      </c>
      <c r="AK5352">
        <v>0.59340984734615299</v>
      </c>
    </row>
    <row r="5353" spans="1:37" x14ac:dyDescent="0.2">
      <c r="A5353" t="str">
        <f>"20200111155702886"</f>
        <v>20200111155702886</v>
      </c>
      <c r="B5353" t="str">
        <f>"1578729422878554"</f>
        <v>1578729422878554</v>
      </c>
      <c r="C5353" t="s">
        <v>37</v>
      </c>
      <c r="D5353">
        <v>5.4178829999999998</v>
      </c>
      <c r="E5353">
        <v>0.55409019999999898</v>
      </c>
      <c r="F5353" t="s">
        <v>40</v>
      </c>
      <c r="G5353">
        <v>-368.27480000000003</v>
      </c>
      <c r="H5353">
        <v>1.0401639999999901</v>
      </c>
      <c r="I5353">
        <v>17.009260000000001</v>
      </c>
      <c r="J5353">
        <v>-368.89949999999999</v>
      </c>
      <c r="K5353">
        <v>1.1047639999999901</v>
      </c>
      <c r="L5353">
        <v>17.075530000000001</v>
      </c>
      <c r="M5353">
        <v>0.99995140000000005</v>
      </c>
      <c r="N5353">
        <v>0</v>
      </c>
      <c r="O5353">
        <v>2.8966179999999901E-3</v>
      </c>
      <c r="P5353">
        <v>0.99795730000000005</v>
      </c>
      <c r="Q5353">
        <v>-5.2974319999999899E-3</v>
      </c>
      <c r="R5353">
        <v>6.3663750000000005E-2</v>
      </c>
      <c r="S5353">
        <v>3.0195620000000001</v>
      </c>
      <c r="T5353">
        <v>-0.23280529999999999</v>
      </c>
      <c r="U5353">
        <v>-0.23522950000000001</v>
      </c>
      <c r="V5353">
        <v>-6.0775280000000001E-2</v>
      </c>
      <c r="W5353">
        <v>4.0815399999999998E-3</v>
      </c>
      <c r="X5353">
        <v>0.99814309999999995</v>
      </c>
      <c r="Y5353">
        <v>8.0308790000000005E-2</v>
      </c>
      <c r="Z5353">
        <v>-3.309298E-3</v>
      </c>
      <c r="AA5353">
        <v>0.99676450000000005</v>
      </c>
      <c r="AB5353">
        <v>28</v>
      </c>
      <c r="AC5353">
        <v>0.62469999999996095</v>
      </c>
      <c r="AD5353">
        <v>-6.4599999999999894E-2</v>
      </c>
      <c r="AE5353">
        <v>-6.6269999999999302E-2</v>
      </c>
      <c r="AF5353">
        <v>6.7366944367168294E-2</v>
      </c>
      <c r="AG5353">
        <v>-6.4599999999999894E-2</v>
      </c>
      <c r="AH5353">
        <v>0.61797064927399104</v>
      </c>
      <c r="AI5353">
        <v>95.9328840795107</v>
      </c>
      <c r="AJ5353">
        <v>83.778572258887706</v>
      </c>
      <c r="AK5353">
        <v>0.62497935050486897</v>
      </c>
    </row>
    <row r="5354" spans="1:37" x14ac:dyDescent="0.2">
      <c r="A5354" t="str">
        <f>"20200111155702900"</f>
        <v>20200111155702900</v>
      </c>
      <c r="B5354" t="str">
        <f>"1578729422888314"</f>
        <v>1578729422888314</v>
      </c>
      <c r="C5354" t="s">
        <v>37</v>
      </c>
      <c r="D5354">
        <v>5.3939940000000002</v>
      </c>
      <c r="E5354">
        <v>0.55433580000000005</v>
      </c>
      <c r="F5354" t="s">
        <v>40</v>
      </c>
      <c r="G5354">
        <v>-368.02940000000001</v>
      </c>
      <c r="H5354">
        <v>1.037677</v>
      </c>
      <c r="I5354">
        <v>17.007929999999899</v>
      </c>
      <c r="J5354">
        <v>-368.7405</v>
      </c>
      <c r="K5354">
        <v>1.1047899999999999</v>
      </c>
      <c r="L5354">
        <v>17.0762</v>
      </c>
      <c r="M5354">
        <v>0.99994719999999904</v>
      </c>
      <c r="N5354">
        <v>0</v>
      </c>
      <c r="O5354">
        <v>3.102437E-3</v>
      </c>
      <c r="P5354">
        <v>0.99791669999999999</v>
      </c>
      <c r="Q5354">
        <v>-6.1828359999999997E-3</v>
      </c>
      <c r="R5354">
        <v>6.4219440000000003E-2</v>
      </c>
      <c r="S5354">
        <v>3.019806</v>
      </c>
      <c r="T5354">
        <v>-0.2328074</v>
      </c>
      <c r="U5354">
        <v>-0.234283399999999</v>
      </c>
      <c r="V5354">
        <v>-6.1125209999999999E-2</v>
      </c>
      <c r="W5354">
        <v>3.5517769999999999E-3</v>
      </c>
      <c r="X5354">
        <v>0.99812380000000001</v>
      </c>
      <c r="Y5354">
        <v>8.0197069999999995E-2</v>
      </c>
      <c r="Z5354">
        <v>-3.320632E-3</v>
      </c>
      <c r="AA5354">
        <v>0.99677349999999998</v>
      </c>
      <c r="AB5354">
        <v>28</v>
      </c>
      <c r="AC5354">
        <v>0.71109999999998696</v>
      </c>
      <c r="AD5354">
        <v>-6.7112999999999895E-2</v>
      </c>
      <c r="AE5354">
        <v>-6.8270000000001801E-2</v>
      </c>
      <c r="AF5354">
        <v>6.9859336921527598E-2</v>
      </c>
      <c r="AG5354">
        <v>-6.7112999999999895E-2</v>
      </c>
      <c r="AH5354">
        <v>0.70466533913840101</v>
      </c>
      <c r="AI5354">
        <v>95.414112292454107</v>
      </c>
      <c r="AJ5354">
        <v>84.338292908065796</v>
      </c>
      <c r="AK5354">
        <v>0.71129299301142601</v>
      </c>
    </row>
    <row r="5355" spans="1:37" x14ac:dyDescent="0.2">
      <c r="A5355" t="str">
        <f>"20200111155702912"</f>
        <v>20200111155702912</v>
      </c>
      <c r="B5355" t="str">
        <f>"1578729422908811"</f>
        <v>1578729422908811</v>
      </c>
      <c r="C5355" t="s">
        <v>37</v>
      </c>
      <c r="D5355">
        <v>5.4060779999999999</v>
      </c>
      <c r="E5355">
        <v>0.55477569999999998</v>
      </c>
      <c r="F5355" t="s">
        <v>40</v>
      </c>
      <c r="G5355">
        <v>-367.78660000000002</v>
      </c>
      <c r="H5355">
        <v>1.0305040000000001</v>
      </c>
      <c r="I5355">
        <v>17.00196</v>
      </c>
      <c r="J5355">
        <v>-368.57089999999999</v>
      </c>
      <c r="K5355">
        <v>1.104816</v>
      </c>
      <c r="L5355">
        <v>17.076969999999999</v>
      </c>
      <c r="M5355">
        <v>0.99994300000000003</v>
      </c>
      <c r="N5355">
        <v>0</v>
      </c>
      <c r="O5355">
        <v>3.3340240000000001E-3</v>
      </c>
      <c r="P5355">
        <v>0.99787369999999898</v>
      </c>
      <c r="Q5355">
        <v>-7.4415790000000002E-3</v>
      </c>
      <c r="R5355">
        <v>6.4750370000000002E-2</v>
      </c>
      <c r="S5355">
        <v>3.0198969999999998</v>
      </c>
      <c r="T5355">
        <v>-0.23523179999999899</v>
      </c>
      <c r="U5355">
        <v>-0.23474120000000001</v>
      </c>
      <c r="V5355">
        <v>-6.1424760000000002E-2</v>
      </c>
      <c r="W5355">
        <v>2.6362550000000001E-3</v>
      </c>
      <c r="X5355">
        <v>0.9981082</v>
      </c>
      <c r="Y5355">
        <v>8.0568849999999997E-2</v>
      </c>
      <c r="Z5355">
        <v>-3.3874109999999999E-3</v>
      </c>
      <c r="AA5355">
        <v>0.9967433</v>
      </c>
      <c r="AB5355">
        <v>28</v>
      </c>
      <c r="AC5355">
        <v>0.78429999999997302</v>
      </c>
      <c r="AD5355">
        <v>-7.4311999999999906E-2</v>
      </c>
      <c r="AE5355">
        <v>-7.5010000000002394E-2</v>
      </c>
      <c r="AF5355">
        <v>7.6940126454847699E-2</v>
      </c>
      <c r="AG5355">
        <v>-7.4311999999999906E-2</v>
      </c>
      <c r="AH5355">
        <v>0.77713210674881705</v>
      </c>
      <c r="AI5355">
        <v>95.435792492636196</v>
      </c>
      <c r="AJ5355">
        <v>84.345845413148893</v>
      </c>
      <c r="AK5355">
        <v>0.78445928367426598</v>
      </c>
    </row>
    <row r="5356" spans="1:37" x14ac:dyDescent="0.2">
      <c r="A5356" t="str">
        <f>"20200111155702932"</f>
        <v>20200111155702932</v>
      </c>
      <c r="B5356" t="str">
        <f>"1578729422928331"</f>
        <v>1578729422928331</v>
      </c>
      <c r="C5356" t="s">
        <v>37</v>
      </c>
      <c r="D5356">
        <v>5.63727</v>
      </c>
      <c r="E5356">
        <v>0.55481340000000001</v>
      </c>
      <c r="F5356" t="s">
        <v>40</v>
      </c>
      <c r="G5356">
        <v>-367.7808</v>
      </c>
      <c r="H5356">
        <v>1.0423519999999999</v>
      </c>
      <c r="I5356">
        <v>17.01493</v>
      </c>
      <c r="J5356">
        <v>-368.34320000000002</v>
      </c>
      <c r="K5356">
        <v>1.1048439999999999</v>
      </c>
      <c r="L5356">
        <v>17.07809</v>
      </c>
      <c r="M5356">
        <v>0.99993770000000004</v>
      </c>
      <c r="N5356">
        <v>0</v>
      </c>
      <c r="O5356">
        <v>3.6587729999999902E-3</v>
      </c>
      <c r="P5356">
        <v>0.99784669999999898</v>
      </c>
      <c r="Q5356">
        <v>-8.5281409999999995E-3</v>
      </c>
      <c r="R5356">
        <v>6.5036300000000005E-2</v>
      </c>
      <c r="S5356">
        <v>3.0199579999999999</v>
      </c>
      <c r="T5356">
        <v>-0.2388489</v>
      </c>
      <c r="U5356">
        <v>-0.23678589999999999</v>
      </c>
      <c r="V5356">
        <v>-6.1385820000000001E-2</v>
      </c>
      <c r="W5356">
        <v>1.9748829999999898E-3</v>
      </c>
      <c r="X5356">
        <v>0.99811209999999995</v>
      </c>
      <c r="Y5356">
        <v>8.1549860000000002E-2</v>
      </c>
      <c r="Z5356">
        <v>-3.5034630000000001E-3</v>
      </c>
      <c r="AA5356">
        <v>0.99666309999999902</v>
      </c>
      <c r="AB5356">
        <v>28</v>
      </c>
      <c r="AC5356">
        <v>0.56240000000002499</v>
      </c>
      <c r="AD5356">
        <v>-6.24920000000002E-2</v>
      </c>
      <c r="AE5356">
        <v>-6.31599999999998E-2</v>
      </c>
      <c r="AF5356">
        <v>6.4431761033487203E-2</v>
      </c>
      <c r="AG5356">
        <v>-6.24920000000002E-2</v>
      </c>
      <c r="AH5356">
        <v>0.55539315599622197</v>
      </c>
      <c r="AI5356">
        <v>96.377416851722998</v>
      </c>
      <c r="AJ5356">
        <v>83.382635574302398</v>
      </c>
      <c r="AK5356">
        <v>0.56259955529783401</v>
      </c>
    </row>
    <row r="5357" spans="1:37" x14ac:dyDescent="0.2">
      <c r="A5357" t="str">
        <f>"20200111155702945"</f>
        <v>20200111155702945</v>
      </c>
      <c r="B5357" t="str">
        <f>"1578729422938091"</f>
        <v>1578729422938091</v>
      </c>
      <c r="C5357" t="s">
        <v>37</v>
      </c>
      <c r="D5357">
        <v>5.5978019999999997</v>
      </c>
      <c r="E5357">
        <v>0.55267889999999997</v>
      </c>
      <c r="F5357" t="s">
        <v>40</v>
      </c>
      <c r="G5357">
        <v>-367.536</v>
      </c>
      <c r="H5357">
        <v>1.0401149999999999</v>
      </c>
      <c r="I5357">
        <v>17.014479999999999</v>
      </c>
      <c r="J5357">
        <v>-368.17149999999998</v>
      </c>
      <c r="K5357">
        <v>1.1048690000000001</v>
      </c>
      <c r="L5357">
        <v>17.07901</v>
      </c>
      <c r="M5357">
        <v>0.99993349999999903</v>
      </c>
      <c r="N5357">
        <v>0</v>
      </c>
      <c r="O5357">
        <v>3.9166909999999999E-3</v>
      </c>
      <c r="P5357">
        <v>0.99783639999999996</v>
      </c>
      <c r="Q5357">
        <v>-8.4124209999999998E-3</v>
      </c>
      <c r="R5357">
        <v>6.5210450000000003E-2</v>
      </c>
      <c r="S5357">
        <v>3.0198360000000002</v>
      </c>
      <c r="T5357">
        <v>-0.2422311</v>
      </c>
      <c r="U5357">
        <v>-0.23641970000000001</v>
      </c>
      <c r="V5357">
        <v>-6.1303440000000001E-2</v>
      </c>
      <c r="W5357">
        <v>2.3835319999999998E-3</v>
      </c>
      <c r="X5357">
        <v>0.99811629999999996</v>
      </c>
      <c r="Y5357">
        <v>8.1681160000000003E-2</v>
      </c>
      <c r="Z5357">
        <v>-3.5789540000000001E-3</v>
      </c>
      <c r="AA5357">
        <v>0.99665210000000004</v>
      </c>
      <c r="AB5357">
        <v>28</v>
      </c>
      <c r="AC5357">
        <v>0.63549999999997897</v>
      </c>
      <c r="AD5357">
        <v>-6.47540000000002E-2</v>
      </c>
      <c r="AE5357">
        <v>-6.4530000000001295E-2</v>
      </c>
      <c r="AF5357">
        <v>6.6336993496958097E-2</v>
      </c>
      <c r="AG5357">
        <v>-6.47540000000002E-2</v>
      </c>
      <c r="AH5357">
        <v>0.62878067359765</v>
      </c>
      <c r="AI5357">
        <v>95.847562779858904</v>
      </c>
      <c r="AJ5357">
        <v>83.977516039379907</v>
      </c>
      <c r="AK5357">
        <v>0.63557754264301203</v>
      </c>
    </row>
    <row r="5358" spans="1:37" x14ac:dyDescent="0.2">
      <c r="A5358" t="str">
        <f>"20200111155702959"</f>
        <v>20200111155702959</v>
      </c>
      <c r="B5358" t="str">
        <f>"1578729422947850"</f>
        <v>1578729422947850</v>
      </c>
      <c r="C5358" t="s">
        <v>37</v>
      </c>
      <c r="D5358">
        <v>5.2666139999999997</v>
      </c>
      <c r="E5358">
        <v>0.55139309999999997</v>
      </c>
      <c r="F5358" t="s">
        <v>40</v>
      </c>
      <c r="G5358">
        <v>-367.29239999999999</v>
      </c>
      <c r="H5358">
        <v>1.0362719999999901</v>
      </c>
      <c r="I5358">
        <v>17.01492</v>
      </c>
      <c r="J5358">
        <v>-368.0061</v>
      </c>
      <c r="K5358">
        <v>1.1048929999999999</v>
      </c>
      <c r="L5358">
        <v>17.079929999999901</v>
      </c>
      <c r="M5358">
        <v>0.99992950000000003</v>
      </c>
      <c r="N5358">
        <v>0</v>
      </c>
      <c r="O5358">
        <v>4.1743659999999997E-3</v>
      </c>
      <c r="P5358">
        <v>0.99783440000000001</v>
      </c>
      <c r="Q5358">
        <v>-8.0166040000000001E-3</v>
      </c>
      <c r="R5358">
        <v>6.5285510000000005E-2</v>
      </c>
      <c r="S5358">
        <v>3.0188599999999899</v>
      </c>
      <c r="T5358">
        <v>-0.2355862</v>
      </c>
      <c r="U5358">
        <v>-0.21902469999999999</v>
      </c>
      <c r="V5358">
        <v>-6.1121509999999997E-2</v>
      </c>
      <c r="W5358">
        <v>3.0444259999999998E-3</v>
      </c>
      <c r="X5358">
        <v>0.9981257</v>
      </c>
      <c r="Y5358">
        <v>7.6281630000000003E-2</v>
      </c>
      <c r="Z5358">
        <v>-3.2929090000000001E-3</v>
      </c>
      <c r="AA5358">
        <v>0.99708090000000005</v>
      </c>
      <c r="AB5358">
        <v>27</v>
      </c>
      <c r="AC5358">
        <v>0.71370000000001699</v>
      </c>
      <c r="AD5358">
        <v>-6.8621000000000196E-2</v>
      </c>
      <c r="AE5358">
        <v>-6.5009999999997306E-2</v>
      </c>
      <c r="AF5358">
        <v>6.7371175878739295E-2</v>
      </c>
      <c r="AG5358">
        <v>-6.8621000000000196E-2</v>
      </c>
      <c r="AH5358">
        <v>0.70694086311345095</v>
      </c>
      <c r="AI5358">
        <v>95.519339160970105</v>
      </c>
      <c r="AJ5358">
        <v>84.556176151819599</v>
      </c>
      <c r="AK5358">
        <v>0.71345154069486405</v>
      </c>
    </row>
    <row r="5359" spans="1:37" x14ac:dyDescent="0.2">
      <c r="A5359" t="str">
        <f>"20200111155702976"</f>
        <v>20200111155702976</v>
      </c>
      <c r="B5359" t="str">
        <f>"1578729422968346"</f>
        <v>1578729422968346</v>
      </c>
      <c r="C5359" t="s">
        <v>37</v>
      </c>
      <c r="D5359">
        <v>5.2441139999999997</v>
      </c>
      <c r="E5359">
        <v>0.54882169999999997</v>
      </c>
      <c r="F5359" t="s">
        <v>40</v>
      </c>
      <c r="G5359">
        <v>-367.04899999999998</v>
      </c>
      <c r="H5359">
        <v>1.0324389999999899</v>
      </c>
      <c r="I5359">
        <v>17.013390000000001</v>
      </c>
      <c r="J5359">
        <v>-367.79169999999999</v>
      </c>
      <c r="K5359">
        <v>1.1049199999999999</v>
      </c>
      <c r="L5359">
        <v>17.081209999999999</v>
      </c>
      <c r="M5359">
        <v>0.99992449999999999</v>
      </c>
      <c r="N5359">
        <v>0</v>
      </c>
      <c r="O5359">
        <v>4.5282270000000001E-3</v>
      </c>
      <c r="P5359">
        <v>0.99788519999999903</v>
      </c>
      <c r="Q5359">
        <v>-6.6286950000000004E-3</v>
      </c>
      <c r="R5359">
        <v>6.4666219999999996E-2</v>
      </c>
      <c r="S5359">
        <v>3.0183409999999999</v>
      </c>
      <c r="T5359">
        <v>-0.22854450000000001</v>
      </c>
      <c r="U5359">
        <v>-0.20867919999999901</v>
      </c>
      <c r="V5359">
        <v>-6.0150639999999998E-2</v>
      </c>
      <c r="W5359">
        <v>4.7395700000000002E-3</v>
      </c>
      <c r="X5359">
        <v>0.99817809999999996</v>
      </c>
      <c r="Y5359">
        <v>7.3267799999999994E-2</v>
      </c>
      <c r="Z5359">
        <v>-3.1086239999999999E-3</v>
      </c>
      <c r="AA5359">
        <v>0.99730750000000001</v>
      </c>
      <c r="AB5359">
        <v>27</v>
      </c>
      <c r="AC5359">
        <v>0.74269999999995595</v>
      </c>
      <c r="AD5359">
        <v>-7.2481000000000198E-2</v>
      </c>
      <c r="AE5359">
        <v>-6.7820000000001102E-2</v>
      </c>
      <c r="AF5359">
        <v>7.0516588821417106E-2</v>
      </c>
      <c r="AG5359">
        <v>-7.2481000000000198E-2</v>
      </c>
      <c r="AH5359">
        <v>0.73543882943885397</v>
      </c>
      <c r="AI5359">
        <v>95.603062556459193</v>
      </c>
      <c r="AJ5359">
        <v>84.523012838828905</v>
      </c>
      <c r="AK5359">
        <v>0.74235864412452301</v>
      </c>
    </row>
    <row r="5360" spans="1:37" x14ac:dyDescent="0.2">
      <c r="A5360" t="str">
        <f>"20200111155702988"</f>
        <v>20200111155702988</v>
      </c>
      <c r="B5360" t="str">
        <f>"1578729422978106"</f>
        <v>1578729422978106</v>
      </c>
      <c r="C5360" t="s">
        <v>37</v>
      </c>
      <c r="D5360">
        <v>5.195316</v>
      </c>
      <c r="E5360">
        <v>0.54759569999999902</v>
      </c>
      <c r="F5360" t="s">
        <v>40</v>
      </c>
      <c r="G5360">
        <v>-367.03789999999998</v>
      </c>
      <c r="H5360">
        <v>1.050495</v>
      </c>
      <c r="I5360">
        <v>17.033239999999999</v>
      </c>
      <c r="J5360">
        <v>-367.63819999999998</v>
      </c>
      <c r="K5360">
        <v>1.104941</v>
      </c>
      <c r="L5360">
        <v>17.082179999999902</v>
      </c>
      <c r="M5360">
        <v>0.9999209</v>
      </c>
      <c r="N5360">
        <v>0</v>
      </c>
      <c r="O5360">
        <v>4.7948599999999997E-3</v>
      </c>
      <c r="P5360">
        <v>0.99790999999999996</v>
      </c>
      <c r="Q5360">
        <v>-5.8888780000000002E-3</v>
      </c>
      <c r="R5360">
        <v>6.4354889999999998E-2</v>
      </c>
      <c r="S5360">
        <v>3.0173030000000001</v>
      </c>
      <c r="T5360">
        <v>-0.2178476</v>
      </c>
      <c r="U5360">
        <v>-0.1905212</v>
      </c>
      <c r="V5360">
        <v>-5.9573939999999999E-2</v>
      </c>
      <c r="W5360">
        <v>5.6774959999999998E-3</v>
      </c>
      <c r="X5360">
        <v>0.99820769999999903</v>
      </c>
      <c r="Y5360">
        <v>6.7614569999999999E-2</v>
      </c>
      <c r="Z5360">
        <v>-2.7807079999999998E-3</v>
      </c>
      <c r="AA5360">
        <v>0.99770769999999998</v>
      </c>
      <c r="AB5360">
        <v>27</v>
      </c>
      <c r="AC5360">
        <v>0.60030000000000405</v>
      </c>
      <c r="AD5360">
        <v>-5.4445999999999703E-2</v>
      </c>
      <c r="AE5360">
        <v>-4.89399999999982E-2</v>
      </c>
      <c r="AF5360">
        <v>5.1397971903661299E-2</v>
      </c>
      <c r="AG5360">
        <v>-5.4445999999999703E-2</v>
      </c>
      <c r="AH5360">
        <v>0.59519460445597405</v>
      </c>
      <c r="AI5360">
        <v>95.207367538937902</v>
      </c>
      <c r="AJ5360">
        <v>85.064472611698605</v>
      </c>
      <c r="AK5360">
        <v>0.59988560209869501</v>
      </c>
    </row>
    <row r="5361" spans="1:37" x14ac:dyDescent="0.2">
      <c r="A5361" t="str">
        <f>"20200111155703003"</f>
        <v>20200111155703003</v>
      </c>
      <c r="B5361" t="str">
        <f>"1578729422998602"</f>
        <v>1578729422998602</v>
      </c>
      <c r="C5361" t="s">
        <v>37</v>
      </c>
      <c r="D5361">
        <v>5.188231</v>
      </c>
      <c r="E5361">
        <v>0.54549150000000002</v>
      </c>
      <c r="F5361" t="s">
        <v>40</v>
      </c>
      <c r="G5361">
        <v>-366.79759999999999</v>
      </c>
      <c r="H5361">
        <v>1.045615</v>
      </c>
      <c r="I5361">
        <v>17.031389999999998</v>
      </c>
      <c r="J5361">
        <v>-367.4676</v>
      </c>
      <c r="K5361">
        <v>1.1049659999999999</v>
      </c>
      <c r="L5361">
        <v>17.083310000000001</v>
      </c>
      <c r="M5361">
        <v>0.99991679999999905</v>
      </c>
      <c r="N5361">
        <v>0</v>
      </c>
      <c r="O5361">
        <v>5.1012690000000003E-3</v>
      </c>
      <c r="P5361">
        <v>0.99796149999999995</v>
      </c>
      <c r="Q5361">
        <v>-5.7288249999999999E-3</v>
      </c>
      <c r="R5361">
        <v>6.356204E-2</v>
      </c>
      <c r="S5361">
        <v>3.016724</v>
      </c>
      <c r="T5361">
        <v>-0.21290329999999999</v>
      </c>
      <c r="U5361">
        <v>-0.18194579999999999</v>
      </c>
      <c r="V5361">
        <v>-5.847521E-2</v>
      </c>
      <c r="W5361">
        <v>6.0460840000000002E-3</v>
      </c>
      <c r="X5361">
        <v>0.99827060000000001</v>
      </c>
      <c r="Y5361">
        <v>6.5120529999999996E-2</v>
      </c>
      <c r="Z5361">
        <v>-2.6522729999999902E-3</v>
      </c>
      <c r="AA5361">
        <v>0.99787389999999998</v>
      </c>
      <c r="AB5361">
        <v>27</v>
      </c>
      <c r="AC5361">
        <v>0.67000000000001503</v>
      </c>
      <c r="AD5361">
        <v>-5.9350999999999897E-2</v>
      </c>
      <c r="AE5361">
        <v>-5.1920000000002603E-2</v>
      </c>
      <c r="AF5361">
        <v>5.4909111877389699E-2</v>
      </c>
      <c r="AG5361">
        <v>-5.9350999999999897E-2</v>
      </c>
      <c r="AH5361">
        <v>0.66454283090251998</v>
      </c>
      <c r="AI5361">
        <v>95.086361962439099</v>
      </c>
      <c r="AJ5361">
        <v>85.276557343683905</v>
      </c>
      <c r="AK5361">
        <v>0.66944359424233701</v>
      </c>
    </row>
    <row r="5362" spans="1:37" x14ac:dyDescent="0.2">
      <c r="A5362" t="str">
        <f>"20200111155703020"</f>
        <v>20200111155703020</v>
      </c>
      <c r="B5362" t="str">
        <f>"1578729423008363"</f>
        <v>1578729423008363</v>
      </c>
      <c r="C5362" t="s">
        <v>37</v>
      </c>
      <c r="D5362">
        <v>5.172955</v>
      </c>
      <c r="E5362">
        <v>0.54449550000000002</v>
      </c>
      <c r="F5362" t="s">
        <v>40</v>
      </c>
      <c r="G5362">
        <v>-366.55489999999998</v>
      </c>
      <c r="H5362">
        <v>1.0420229999999999</v>
      </c>
      <c r="I5362">
        <v>17.03237</v>
      </c>
      <c r="J5362">
        <v>-367.26659999999998</v>
      </c>
      <c r="K5362">
        <v>1.1049949999999999</v>
      </c>
      <c r="L5362">
        <v>17.084720000000001</v>
      </c>
      <c r="M5362">
        <v>0.99991229999999998</v>
      </c>
      <c r="N5362">
        <v>0</v>
      </c>
      <c r="O5362">
        <v>5.4811269999999997E-3</v>
      </c>
      <c r="P5362">
        <v>0.99809950000000003</v>
      </c>
      <c r="Q5362">
        <v>-5.8998130000000003E-3</v>
      </c>
      <c r="R5362">
        <v>6.1343499999999898E-2</v>
      </c>
      <c r="S5362">
        <v>3.015625</v>
      </c>
      <c r="T5362">
        <v>-0.20803679999999999</v>
      </c>
      <c r="U5362">
        <v>-0.16775509999999999</v>
      </c>
      <c r="V5362">
        <v>-5.5876919999999997E-2</v>
      </c>
      <c r="W5362">
        <v>6.1004409999999998E-3</v>
      </c>
      <c r="X5362">
        <v>0.99841899999999995</v>
      </c>
      <c r="Y5362">
        <v>6.0857799999999997E-2</v>
      </c>
      <c r="Z5362">
        <v>-2.472494E-3</v>
      </c>
      <c r="AA5362">
        <v>0.99814340000000001</v>
      </c>
      <c r="AB5362">
        <v>27</v>
      </c>
      <c r="AC5362">
        <v>0.71170000000000699</v>
      </c>
      <c r="AD5362">
        <v>-6.2972000000000194E-2</v>
      </c>
      <c r="AE5362">
        <v>-5.23500000000005E-2</v>
      </c>
      <c r="AF5362">
        <v>5.58157901380468E-2</v>
      </c>
      <c r="AG5362">
        <v>-6.2972000000000194E-2</v>
      </c>
      <c r="AH5362">
        <v>0.70590562169513205</v>
      </c>
      <c r="AI5362">
        <v>95.081935214534298</v>
      </c>
      <c r="AJ5362">
        <v>85.479042358963696</v>
      </c>
      <c r="AK5362">
        <v>0.71090338440151302</v>
      </c>
    </row>
    <row r="5363" spans="1:37" x14ac:dyDescent="0.2">
      <c r="A5363" t="str">
        <f>"20200111155703033"</f>
        <v>20200111155703033</v>
      </c>
      <c r="B5363" t="str">
        <f>"1578729423027882"</f>
        <v>1578729423027882</v>
      </c>
      <c r="C5363" t="s">
        <v>37</v>
      </c>
      <c r="D5363">
        <v>5.182804</v>
      </c>
      <c r="E5363">
        <v>0.54262849999999996</v>
      </c>
      <c r="F5363" t="s">
        <v>40</v>
      </c>
      <c r="G5363">
        <v>-366.31199999999899</v>
      </c>
      <c r="H5363">
        <v>1.0394729999999901</v>
      </c>
      <c r="I5363">
        <v>17.03199</v>
      </c>
      <c r="J5363">
        <v>-367.08870000000002</v>
      </c>
      <c r="K5363">
        <v>1.1050219999999999</v>
      </c>
      <c r="L5363">
        <v>17.08606</v>
      </c>
      <c r="M5363">
        <v>0.99990800000000002</v>
      </c>
      <c r="N5363">
        <v>0</v>
      </c>
      <c r="O5363">
        <v>5.8400769999999999E-3</v>
      </c>
      <c r="P5363">
        <v>0.99817269999999902</v>
      </c>
      <c r="Q5363">
        <v>-6.3983410000000001E-3</v>
      </c>
      <c r="R5363">
        <v>6.0088099999999998E-2</v>
      </c>
      <c r="S5363">
        <v>3.0147089999999999</v>
      </c>
      <c r="T5363">
        <v>-0.2069058</v>
      </c>
      <c r="U5363">
        <v>-0.16644289999999901</v>
      </c>
      <c r="V5363">
        <v>-5.426255E-2</v>
      </c>
      <c r="W5363">
        <v>5.7785830000000003E-3</v>
      </c>
      <c r="X5363">
        <v>0.99851000000000001</v>
      </c>
      <c r="Y5363">
        <v>6.0800699999999902E-2</v>
      </c>
      <c r="Z5363">
        <v>-2.4824949999999999E-3</v>
      </c>
      <c r="AA5363">
        <v>0.9981468</v>
      </c>
      <c r="AB5363">
        <v>27</v>
      </c>
      <c r="AC5363">
        <v>0.77670000000006201</v>
      </c>
      <c r="AD5363">
        <v>-6.5548999999999996E-2</v>
      </c>
      <c r="AE5363">
        <v>-5.4069999999999403E-2</v>
      </c>
      <c r="AF5363">
        <v>5.8192931971754298E-2</v>
      </c>
      <c r="AG5363">
        <v>-6.5548999999999996E-2</v>
      </c>
      <c r="AH5363">
        <v>0.77090674129454695</v>
      </c>
      <c r="AI5363">
        <v>94.846358728135996</v>
      </c>
      <c r="AJ5363">
        <v>85.683138048815593</v>
      </c>
      <c r="AK5363">
        <v>0.77587388956314696</v>
      </c>
    </row>
    <row r="5364" spans="1:37" x14ac:dyDescent="0.2">
      <c r="A5364" t="str">
        <f>"20200111155703047"</f>
        <v>20200111155703047</v>
      </c>
      <c r="B5364" t="str">
        <f>"1578729423038618"</f>
        <v>1578729423038618</v>
      </c>
      <c r="C5364" t="s">
        <v>37</v>
      </c>
      <c r="D5364">
        <v>5.116161</v>
      </c>
      <c r="E5364">
        <v>0.54179860000000002</v>
      </c>
      <c r="F5364" t="s">
        <v>40</v>
      </c>
      <c r="G5364">
        <v>-366.30279999999999</v>
      </c>
      <c r="H5364">
        <v>1.0515829999999999</v>
      </c>
      <c r="I5364">
        <v>17.045490000000001</v>
      </c>
      <c r="J5364">
        <v>-366.92860000000002</v>
      </c>
      <c r="K5364">
        <v>1.105046</v>
      </c>
      <c r="L5364">
        <v>17.087340000000001</v>
      </c>
      <c r="M5364">
        <v>0.99990409999999996</v>
      </c>
      <c r="N5364">
        <v>0</v>
      </c>
      <c r="O5364">
        <v>6.1791609999999999E-3</v>
      </c>
      <c r="P5364">
        <v>0.99825710000000001</v>
      </c>
      <c r="Q5364">
        <v>-7.2694469999999897E-3</v>
      </c>
      <c r="R5364">
        <v>5.8566449999999999E-2</v>
      </c>
      <c r="S5364">
        <v>3.0135190000000001</v>
      </c>
      <c r="T5364">
        <v>-0.20492449999999901</v>
      </c>
      <c r="U5364">
        <v>-0.15542600000000001</v>
      </c>
      <c r="V5364">
        <v>-5.240148E-2</v>
      </c>
      <c r="W5364">
        <v>5.0542779999999997E-3</v>
      </c>
      <c r="X5364">
        <v>0.99861329999999904</v>
      </c>
      <c r="Y5364">
        <v>5.7531480000000003E-2</v>
      </c>
      <c r="Z5364">
        <v>-2.3720479999999999E-3</v>
      </c>
      <c r="AA5364">
        <v>0.99834080000000003</v>
      </c>
      <c r="AB5364">
        <v>27</v>
      </c>
      <c r="AC5364">
        <v>0.625800000000026</v>
      </c>
      <c r="AD5364">
        <v>-5.3462999999999997E-2</v>
      </c>
      <c r="AE5364">
        <v>-4.1850000000000102E-2</v>
      </c>
      <c r="AF5364">
        <v>4.5386635910171599E-2</v>
      </c>
      <c r="AG5364">
        <v>-5.3462999999999997E-2</v>
      </c>
      <c r="AH5364">
        <v>0.62101709979374198</v>
      </c>
      <c r="AI5364">
        <v>94.907404056239997</v>
      </c>
      <c r="AJ5364">
        <v>85.820006412302206</v>
      </c>
      <c r="AK5364">
        <v>0.62496438084459904</v>
      </c>
    </row>
    <row r="5365" spans="1:37" x14ac:dyDescent="0.2">
      <c r="A5365" t="str">
        <f>"20200111155703060"</f>
        <v>20200111155703060</v>
      </c>
      <c r="B5365" t="str">
        <f>"1578729423048378"</f>
        <v>1578729423048378</v>
      </c>
      <c r="C5365" t="s">
        <v>37</v>
      </c>
      <c r="D5365">
        <v>5.2896749999999999</v>
      </c>
      <c r="E5365">
        <v>0.54089129999999996</v>
      </c>
      <c r="F5365" t="s">
        <v>40</v>
      </c>
      <c r="G5365">
        <v>-366.0643</v>
      </c>
      <c r="H5365">
        <v>1.0459940000000001</v>
      </c>
      <c r="I5365">
        <v>17.043129999999898</v>
      </c>
      <c r="J5365">
        <v>-366.77260000000001</v>
      </c>
      <c r="K5365">
        <v>1.10507</v>
      </c>
      <c r="L5365">
        <v>17.088650000000001</v>
      </c>
      <c r="M5365">
        <v>0.99990040000000002</v>
      </c>
      <c r="N5365">
        <v>0</v>
      </c>
      <c r="O5365">
        <v>6.5217829999999997E-3</v>
      </c>
      <c r="P5365">
        <v>0.99833739999999904</v>
      </c>
      <c r="Q5365">
        <v>-7.9486799999999996E-3</v>
      </c>
      <c r="R5365">
        <v>5.7092709999999998E-2</v>
      </c>
      <c r="S5365">
        <v>3.0127259999999998</v>
      </c>
      <c r="T5365">
        <v>-0.20584629999999901</v>
      </c>
      <c r="U5365">
        <v>-0.1533813</v>
      </c>
      <c r="V5365">
        <v>-5.0584919999999998E-2</v>
      </c>
      <c r="W5365">
        <v>4.5097359999999899E-3</v>
      </c>
      <c r="X5365">
        <v>0.99870959999999998</v>
      </c>
      <c r="Y5365">
        <v>5.7209870000000003E-2</v>
      </c>
      <c r="Z5365">
        <v>-2.3957649999999998E-3</v>
      </c>
      <c r="AA5365">
        <v>0.99835929999999995</v>
      </c>
      <c r="AB5365">
        <v>27</v>
      </c>
      <c r="AC5365">
        <v>0.70830000000000803</v>
      </c>
      <c r="AD5365">
        <v>-5.9075999999999899E-2</v>
      </c>
      <c r="AE5365">
        <v>-4.5520000000003301E-2</v>
      </c>
      <c r="AF5365">
        <v>4.9793809152181998E-2</v>
      </c>
      <c r="AG5365">
        <v>-5.9075999999999899E-2</v>
      </c>
      <c r="AH5365">
        <v>0.70311695974119803</v>
      </c>
      <c r="AI5365">
        <v>94.790777905730195</v>
      </c>
      <c r="AJ5365">
        <v>85.9491520178549</v>
      </c>
      <c r="AK5365">
        <v>0.70734917564212196</v>
      </c>
    </row>
    <row r="5366" spans="1:37" x14ac:dyDescent="0.2">
      <c r="A5366" t="str">
        <f>"20200111155703076"</f>
        <v>20200111155703076</v>
      </c>
      <c r="B5366" t="str">
        <f>"1578729423068282"</f>
        <v>1578729423068282</v>
      </c>
      <c r="C5366" t="s">
        <v>37</v>
      </c>
      <c r="D5366">
        <v>5.1155019999999896</v>
      </c>
      <c r="E5366">
        <v>0.53917380000000004</v>
      </c>
      <c r="F5366" t="s">
        <v>40</v>
      </c>
      <c r="G5366">
        <v>-365.82429999999999</v>
      </c>
      <c r="H5366">
        <v>1.0401819999999999</v>
      </c>
      <c r="I5366">
        <v>17.041319999999999</v>
      </c>
      <c r="J5366">
        <v>-366.57440000000003</v>
      </c>
      <c r="K5366">
        <v>1.1051070000000001</v>
      </c>
      <c r="L5366">
        <v>17.090420000000002</v>
      </c>
      <c r="M5366">
        <v>0.99989509999999904</v>
      </c>
      <c r="N5366">
        <v>0</v>
      </c>
      <c r="O5366">
        <v>7.0010419999999999E-3</v>
      </c>
      <c r="P5366">
        <v>0.99850169999999905</v>
      </c>
      <c r="Q5366">
        <v>-9.2542389999999992E-3</v>
      </c>
      <c r="R5366">
        <v>5.3931600000000003E-2</v>
      </c>
      <c r="S5366">
        <v>3.0119630000000002</v>
      </c>
      <c r="T5366">
        <v>-0.20607609999999901</v>
      </c>
      <c r="U5366">
        <v>-0.15060419999999999</v>
      </c>
      <c r="V5366">
        <v>-4.6943140000000001E-2</v>
      </c>
      <c r="W5366">
        <v>3.3586599999999999E-3</v>
      </c>
      <c r="X5366">
        <v>0.99889189999999894</v>
      </c>
      <c r="Y5366">
        <v>5.6782529999999998E-2</v>
      </c>
      <c r="Z5366">
        <v>-2.4172389999999998E-3</v>
      </c>
      <c r="AA5366">
        <v>0.99838359999999904</v>
      </c>
      <c r="AB5366">
        <v>27</v>
      </c>
      <c r="AC5366">
        <v>0.75010000000003096</v>
      </c>
      <c r="AD5366">
        <v>-6.4925000000000094E-2</v>
      </c>
      <c r="AE5366">
        <v>-4.90999999999992E-2</v>
      </c>
      <c r="AF5366">
        <v>5.3948255668530301E-2</v>
      </c>
      <c r="AG5366">
        <v>-6.4925000000000094E-2</v>
      </c>
      <c r="AH5366">
        <v>0.74418633423262004</v>
      </c>
      <c r="AI5366">
        <v>94.973043032473996</v>
      </c>
      <c r="AJ5366">
        <v>85.853713537326399</v>
      </c>
      <c r="AK5366">
        <v>0.74895859029272205</v>
      </c>
    </row>
    <row r="5367" spans="1:37" x14ac:dyDescent="0.2">
      <c r="A5367" t="str">
        <f>"20200111155703088"</f>
        <v>20200111155703088</v>
      </c>
      <c r="B5367" t="str">
        <f>"1578729423078042"</f>
        <v>1578729423078042</v>
      </c>
      <c r="C5367" t="s">
        <v>37</v>
      </c>
      <c r="D5367">
        <v>5.0790790000000001</v>
      </c>
      <c r="E5367">
        <v>0.53846380000000005</v>
      </c>
      <c r="F5367" t="s">
        <v>38</v>
      </c>
      <c r="G5367">
        <v>-350.11840000000001</v>
      </c>
      <c r="H5367" s="1">
        <v>-4.8115210000000004E-6</v>
      </c>
      <c r="I5367">
        <v>16.2898</v>
      </c>
      <c r="J5367">
        <v>-366.42520000000002</v>
      </c>
      <c r="K5367">
        <v>1.1051439999999999</v>
      </c>
      <c r="L5367">
        <v>17.091889999999999</v>
      </c>
      <c r="M5367">
        <v>0.99989099999999997</v>
      </c>
      <c r="N5367">
        <v>0</v>
      </c>
      <c r="O5367">
        <v>7.3974710000000001E-3</v>
      </c>
      <c r="P5367">
        <v>0.99856440000000002</v>
      </c>
      <c r="Q5367">
        <v>-9.6540050000000002E-3</v>
      </c>
      <c r="R5367">
        <v>5.2689069999999998E-2</v>
      </c>
      <c r="S5367">
        <v>3.010529</v>
      </c>
      <c r="T5367">
        <v>-0.20217370000000001</v>
      </c>
      <c r="U5367">
        <v>-0.1464539</v>
      </c>
      <c r="V5367">
        <v>-4.5303660000000003E-2</v>
      </c>
      <c r="W5367">
        <v>3.0615920000000001E-3</v>
      </c>
      <c r="X5367">
        <v>0.99896849999999904</v>
      </c>
      <c r="Y5367">
        <v>5.5835660000000002E-2</v>
      </c>
      <c r="Z5367">
        <v>-2.367615E-3</v>
      </c>
      <c r="AA5367">
        <v>0.99843719999999903</v>
      </c>
      <c r="AB5367">
        <v>27</v>
      </c>
      <c r="AC5367">
        <v>16.306799999999999</v>
      </c>
      <c r="AD5367">
        <v>-1.105148811521</v>
      </c>
      <c r="AE5367">
        <v>-0.80208999999999897</v>
      </c>
      <c r="AF5367">
        <v>0.91849842373525403</v>
      </c>
      <c r="AG5367">
        <v>-1.105148811521</v>
      </c>
      <c r="AH5367">
        <v>16.2260720505503</v>
      </c>
      <c r="AI5367">
        <v>93.890157986631195</v>
      </c>
      <c r="AJ5367">
        <v>86.760153577998807</v>
      </c>
      <c r="AK5367">
        <v>16.289579719552599</v>
      </c>
    </row>
    <row r="5368" spans="1:37" x14ac:dyDescent="0.2">
      <c r="A5368" t="str">
        <f>"20200111155703102"</f>
        <v>20200111155703102</v>
      </c>
      <c r="B5368" t="str">
        <f>"1578729423098538"</f>
        <v>1578729423098538</v>
      </c>
      <c r="C5368" t="s">
        <v>37</v>
      </c>
      <c r="D5368">
        <v>5.0786150000000001</v>
      </c>
      <c r="E5368">
        <v>0.53710690000000005</v>
      </c>
      <c r="F5368" t="s">
        <v>40</v>
      </c>
      <c r="G5368">
        <v>-365.57510000000002</v>
      </c>
      <c r="H5368">
        <v>1.048586</v>
      </c>
      <c r="I5368">
        <v>17.050740000000001</v>
      </c>
      <c r="J5368">
        <v>-366.26130000000001</v>
      </c>
      <c r="K5368">
        <v>1.105194</v>
      </c>
      <c r="L5368">
        <v>17.093540000000001</v>
      </c>
      <c r="M5368">
        <v>0.99988619999999995</v>
      </c>
      <c r="N5368">
        <v>0</v>
      </c>
      <c r="O5368">
        <v>7.8548239999999998E-3</v>
      </c>
      <c r="P5368">
        <v>0.99861060000000001</v>
      </c>
      <c r="Q5368">
        <v>-1.0175689999999999E-2</v>
      </c>
      <c r="R5368">
        <v>5.1708339999999998E-2</v>
      </c>
      <c r="S5368">
        <v>3.01004</v>
      </c>
      <c r="T5368">
        <v>-0.2003537</v>
      </c>
      <c r="U5368">
        <v>-0.14456179999999999</v>
      </c>
      <c r="V5368">
        <v>-4.3865580000000001E-2</v>
      </c>
      <c r="W5368">
        <v>2.6457920000000001E-3</v>
      </c>
      <c r="X5368">
        <v>0.99903390000000003</v>
      </c>
      <c r="Y5368">
        <v>5.5675910000000002E-2</v>
      </c>
      <c r="Z5368">
        <v>-2.3718519999999998E-3</v>
      </c>
      <c r="AA5368">
        <v>0.99844599999999994</v>
      </c>
      <c r="AB5368">
        <v>27</v>
      </c>
      <c r="AC5368">
        <v>0.68619999999998504</v>
      </c>
      <c r="AD5368">
        <v>-5.6607999999999901E-2</v>
      </c>
      <c r="AE5368">
        <v>-4.2799999999999699E-2</v>
      </c>
      <c r="AF5368">
        <v>4.7864630727124602E-2</v>
      </c>
      <c r="AG5368">
        <v>-5.6607999999999901E-2</v>
      </c>
      <c r="AH5368">
        <v>0.68122456742365001</v>
      </c>
      <c r="AI5368">
        <v>94.738588451454703</v>
      </c>
      <c r="AJ5368">
        <v>85.980853033023493</v>
      </c>
      <c r="AK5368">
        <v>0.68524623297044396</v>
      </c>
    </row>
    <row r="5369" spans="1:37" x14ac:dyDescent="0.2">
      <c r="A5369" t="str">
        <f>"20200111155703115"</f>
        <v>20200111155703115</v>
      </c>
      <c r="B5369" t="str">
        <f>"1578729423108298"</f>
        <v>1578729423108298</v>
      </c>
      <c r="C5369" t="s">
        <v>37</v>
      </c>
      <c r="D5369">
        <v>5.0808309999999999</v>
      </c>
      <c r="E5369">
        <v>0.53650929999999997</v>
      </c>
      <c r="F5369" t="s">
        <v>40</v>
      </c>
      <c r="G5369">
        <v>-365.33519999999999</v>
      </c>
      <c r="H5369">
        <v>1.0455049999999999</v>
      </c>
      <c r="I5369">
        <v>17.05134</v>
      </c>
      <c r="J5369">
        <v>-366.09539999999998</v>
      </c>
      <c r="K5369">
        <v>1.1052469999999901</v>
      </c>
      <c r="L5369">
        <v>17.095369999999999</v>
      </c>
      <c r="M5369">
        <v>0.99988069999999896</v>
      </c>
      <c r="N5369">
        <v>0</v>
      </c>
      <c r="O5369">
        <v>8.3571940000000001E-3</v>
      </c>
      <c r="P5369">
        <v>0.99867939999999999</v>
      </c>
      <c r="Q5369">
        <v>-1.0428740000000001E-2</v>
      </c>
      <c r="R5369">
        <v>5.0306709999999998E-2</v>
      </c>
      <c r="S5369">
        <v>3.009277</v>
      </c>
      <c r="T5369">
        <v>-0.19404949999999899</v>
      </c>
      <c r="U5369">
        <v>-0.13684079999999901</v>
      </c>
      <c r="V5369">
        <v>-4.1961440000000003E-2</v>
      </c>
      <c r="W5369">
        <v>2.4898659999999999E-3</v>
      </c>
      <c r="X5369">
        <v>0.99911609999999995</v>
      </c>
      <c r="Y5369">
        <v>5.3645199999999997E-2</v>
      </c>
      <c r="Z5369">
        <v>-2.265071E-3</v>
      </c>
      <c r="AA5369">
        <v>0.99855749999999999</v>
      </c>
      <c r="AB5369">
        <v>27</v>
      </c>
      <c r="AC5369">
        <v>0.76019999999999699</v>
      </c>
      <c r="AD5369">
        <v>-5.9741999999999899E-2</v>
      </c>
      <c r="AE5369">
        <v>-4.40300000000029E-2</v>
      </c>
      <c r="AF5369">
        <v>5.0073917037387602E-2</v>
      </c>
      <c r="AG5369">
        <v>-5.9741999999999899E-2</v>
      </c>
      <c r="AH5369">
        <v>0.75515722906954397</v>
      </c>
      <c r="AI5369">
        <v>94.513491947778803</v>
      </c>
      <c r="AJ5369">
        <v>86.206312932345497</v>
      </c>
      <c r="AK5369">
        <v>0.75916990479566504</v>
      </c>
    </row>
    <row r="5370" spans="1:37" x14ac:dyDescent="0.2">
      <c r="A5370" t="str">
        <f>"20200111155703132"</f>
        <v>20200111155703132</v>
      </c>
      <c r="B5370" t="str">
        <f>"1578729423128794"</f>
        <v>1578729423128794</v>
      </c>
      <c r="C5370" t="s">
        <v>37</v>
      </c>
      <c r="D5370">
        <v>5.0237639999999999</v>
      </c>
      <c r="E5370">
        <v>0.53527389999999997</v>
      </c>
      <c r="F5370" t="s">
        <v>38</v>
      </c>
      <c r="G5370">
        <v>-348.7441</v>
      </c>
      <c r="H5370" s="1">
        <v>-1.2934200000000001E-6</v>
      </c>
      <c r="I5370">
        <v>16.308949999999999</v>
      </c>
      <c r="J5370">
        <v>-365.90050000000002</v>
      </c>
      <c r="K5370">
        <v>1.105316</v>
      </c>
      <c r="L5370">
        <v>17.097629999999999</v>
      </c>
      <c r="M5370">
        <v>0.99987380000000003</v>
      </c>
      <c r="N5370">
        <v>0</v>
      </c>
      <c r="O5370">
        <v>8.9981850000000006E-3</v>
      </c>
      <c r="P5370">
        <v>0.99880499999999905</v>
      </c>
      <c r="Q5370">
        <v>-9.2496850000000005E-3</v>
      </c>
      <c r="R5370">
        <v>4.7992020000000003E-2</v>
      </c>
      <c r="S5370">
        <v>3.0087890000000002</v>
      </c>
      <c r="T5370">
        <v>-0.19165499999999999</v>
      </c>
      <c r="U5370">
        <v>-0.13635249999999999</v>
      </c>
      <c r="V5370">
        <v>-3.9007809999999997E-2</v>
      </c>
      <c r="W5370">
        <v>3.774459E-3</v>
      </c>
      <c r="X5370">
        <v>0.9992318</v>
      </c>
      <c r="Y5370">
        <v>5.4131819999999997E-2</v>
      </c>
      <c r="Z5370">
        <v>-2.2937979999999901E-3</v>
      </c>
      <c r="AA5370">
        <v>0.99853119999999995</v>
      </c>
      <c r="AB5370">
        <v>27</v>
      </c>
      <c r="AC5370">
        <v>17.156400000000001</v>
      </c>
      <c r="AD5370">
        <v>-1.10531729342</v>
      </c>
      <c r="AE5370">
        <v>-0.78867999999999905</v>
      </c>
      <c r="AF5370">
        <v>0.93914785639340104</v>
      </c>
      <c r="AG5370">
        <v>-1.10531729342</v>
      </c>
      <c r="AH5370">
        <v>17.0778723308152</v>
      </c>
      <c r="AI5370">
        <v>93.697572086674896</v>
      </c>
      <c r="AJ5370">
        <v>86.852355863275207</v>
      </c>
      <c r="AK5370">
        <v>17.139353790704199</v>
      </c>
    </row>
    <row r="5371" spans="1:37" x14ac:dyDescent="0.2">
      <c r="A5371" t="str">
        <f>"20200111155703145"</f>
        <v>20200111155703145</v>
      </c>
      <c r="B5371" t="str">
        <f>"1578729423138554"</f>
        <v>1578729423138554</v>
      </c>
      <c r="C5371" t="s">
        <v>37</v>
      </c>
      <c r="D5371">
        <v>4.998399</v>
      </c>
      <c r="E5371">
        <v>0.53467989999999999</v>
      </c>
      <c r="F5371" t="s">
        <v>38</v>
      </c>
      <c r="G5371">
        <v>-347.9658</v>
      </c>
      <c r="H5371" s="1">
        <v>-1.5602220000000001E-6</v>
      </c>
      <c r="I5371">
        <v>16.301749999999998</v>
      </c>
      <c r="J5371">
        <v>-365.7398</v>
      </c>
      <c r="K5371">
        <v>1.105372</v>
      </c>
      <c r="L5371">
        <v>17.099640000000001</v>
      </c>
      <c r="M5371">
        <v>0.99986759999999997</v>
      </c>
      <c r="N5371">
        <v>0</v>
      </c>
      <c r="O5371">
        <v>9.5600900000000003E-3</v>
      </c>
      <c r="P5371">
        <v>0.99885040000000003</v>
      </c>
      <c r="Q5371">
        <v>-8.4620790000000008E-3</v>
      </c>
      <c r="R5371">
        <v>4.7182130000000003E-2</v>
      </c>
      <c r="S5371">
        <v>3.0083310000000001</v>
      </c>
      <c r="T5371">
        <v>-0.18540379999999901</v>
      </c>
      <c r="U5371">
        <v>-0.13348389999999999</v>
      </c>
      <c r="V5371">
        <v>-3.7637770000000001E-2</v>
      </c>
      <c r="W5371">
        <v>4.6394339999999996E-3</v>
      </c>
      <c r="X5371">
        <v>0.99928069999999902</v>
      </c>
      <c r="Y5371">
        <v>5.375738E-2</v>
      </c>
      <c r="Z5371">
        <v>-2.242572E-3</v>
      </c>
      <c r="AA5371">
        <v>0.99855149999999904</v>
      </c>
      <c r="AB5371">
        <v>27</v>
      </c>
      <c r="AC5371">
        <v>17.774000000000001</v>
      </c>
      <c r="AD5371">
        <v>-1.1053735602220001</v>
      </c>
      <c r="AE5371">
        <v>-0.79789000000000199</v>
      </c>
      <c r="AF5371">
        <v>0.96406811921980196</v>
      </c>
      <c r="AG5371">
        <v>-1.1053735602220001</v>
      </c>
      <c r="AH5371">
        <v>17.697249837570599</v>
      </c>
      <c r="AI5371">
        <v>93.5687844963836</v>
      </c>
      <c r="AJ5371">
        <v>86.881860645165304</v>
      </c>
      <c r="AK5371">
        <v>17.757925832132699</v>
      </c>
    </row>
    <row r="5372" spans="1:37" x14ac:dyDescent="0.2">
      <c r="A5372" t="str">
        <f>"20200111155703157"</f>
        <v>20200111155703157</v>
      </c>
      <c r="B5372" t="str">
        <f>"1578729423148314"</f>
        <v>1578729423148314</v>
      </c>
      <c r="C5372" t="s">
        <v>37</v>
      </c>
      <c r="D5372">
        <v>5.016229</v>
      </c>
      <c r="E5372">
        <v>0.53408489999999997</v>
      </c>
      <c r="F5372" t="s">
        <v>40</v>
      </c>
      <c r="G5372">
        <v>-364.84539999999998</v>
      </c>
      <c r="H5372">
        <v>1.051274</v>
      </c>
      <c r="I5372">
        <v>17.060559999999999</v>
      </c>
      <c r="J5372">
        <v>-365.5908</v>
      </c>
      <c r="K5372">
        <v>1.105423</v>
      </c>
      <c r="L5372">
        <v>17.10162</v>
      </c>
      <c r="M5372">
        <v>0.99986129999999995</v>
      </c>
      <c r="N5372">
        <v>0</v>
      </c>
      <c r="O5372">
        <v>1.0104770000000001E-2</v>
      </c>
      <c r="P5372">
        <v>0.99888650000000001</v>
      </c>
      <c r="Q5372">
        <v>-7.6150200000000001E-3</v>
      </c>
      <c r="R5372">
        <v>4.6559709999999997E-2</v>
      </c>
      <c r="S5372">
        <v>3.0081180000000001</v>
      </c>
      <c r="T5372">
        <v>-0.18202879999999999</v>
      </c>
      <c r="U5372">
        <v>-0.13116459999999999</v>
      </c>
      <c r="V5372">
        <v>-3.6472560000000001E-2</v>
      </c>
      <c r="W5372">
        <v>5.5530429999999997E-3</v>
      </c>
      <c r="X5372">
        <v>0.99931930000000002</v>
      </c>
      <c r="Y5372">
        <v>5.353977E-2</v>
      </c>
      <c r="Z5372">
        <v>-2.2283629999999902E-3</v>
      </c>
      <c r="AA5372">
        <v>0.99856319999999998</v>
      </c>
      <c r="AB5372">
        <v>27</v>
      </c>
      <c r="AC5372">
        <v>0.74540000000001705</v>
      </c>
      <c r="AD5372">
        <v>-5.4149000000000003E-2</v>
      </c>
      <c r="AE5372">
        <v>-4.1060000000001602E-2</v>
      </c>
      <c r="AF5372">
        <v>4.8336350979492002E-2</v>
      </c>
      <c r="AG5372">
        <v>-5.4149000000000003E-2</v>
      </c>
      <c r="AH5372">
        <v>0.74104818286219398</v>
      </c>
      <c r="AI5372">
        <v>94.170391364204605</v>
      </c>
      <c r="AJ5372">
        <v>86.268054706167803</v>
      </c>
      <c r="AK5372">
        <v>0.74459447107158505</v>
      </c>
    </row>
    <row r="5373" spans="1:37" x14ac:dyDescent="0.2">
      <c r="A5373" t="str">
        <f>"20200111155703170"</f>
        <v>20200111155703170</v>
      </c>
      <c r="B5373" t="str">
        <f>"1578729423158075"</f>
        <v>1578729423158075</v>
      </c>
      <c r="C5373" t="s">
        <v>37</v>
      </c>
      <c r="D5373">
        <v>5.0502180000000001</v>
      </c>
      <c r="E5373">
        <v>0.53351740000000003</v>
      </c>
      <c r="F5373" t="s">
        <v>38</v>
      </c>
      <c r="G5373">
        <v>-346.92149999999998</v>
      </c>
      <c r="H5373" s="1">
        <v>-1.9146159999999999E-6</v>
      </c>
      <c r="I5373">
        <v>16.30545</v>
      </c>
      <c r="J5373">
        <v>-365.43490000000003</v>
      </c>
      <c r="K5373">
        <v>1.105472</v>
      </c>
      <c r="L5373">
        <v>17.10388</v>
      </c>
      <c r="M5373">
        <v>0.99985409999999997</v>
      </c>
      <c r="N5373">
        <v>0</v>
      </c>
      <c r="O5373">
        <v>1.0714629999999999E-2</v>
      </c>
      <c r="P5373">
        <v>0.99892250000000005</v>
      </c>
      <c r="Q5373">
        <v>-6.2285500000000002E-3</v>
      </c>
      <c r="R5373">
        <v>4.5990900000000001E-2</v>
      </c>
      <c r="S5373">
        <v>3.0079959999999999</v>
      </c>
      <c r="T5373">
        <v>-0.1781054</v>
      </c>
      <c r="U5373">
        <v>-0.1282654</v>
      </c>
      <c r="V5373">
        <v>-3.5296649999999999E-2</v>
      </c>
      <c r="W5373">
        <v>7.002599E-3</v>
      </c>
      <c r="X5373">
        <v>0.99935229999999997</v>
      </c>
      <c r="Y5373">
        <v>5.3194430000000001E-2</v>
      </c>
      <c r="Z5373">
        <v>-2.206408E-3</v>
      </c>
      <c r="AA5373">
        <v>0.99858169999999902</v>
      </c>
      <c r="AB5373">
        <v>27</v>
      </c>
      <c r="AC5373">
        <v>18.513400000000001</v>
      </c>
      <c r="AD5373">
        <v>-1.105473914616</v>
      </c>
      <c r="AE5373">
        <v>-0.79842999999999897</v>
      </c>
      <c r="AF5373">
        <v>0.993231120427574</v>
      </c>
      <c r="AG5373">
        <v>-1.105473914616</v>
      </c>
      <c r="AH5373">
        <v>18.4381615930522</v>
      </c>
      <c r="AI5373">
        <v>93.4261489292265</v>
      </c>
      <c r="AJ5373">
        <v>86.916557991319905</v>
      </c>
      <c r="AK5373">
        <v>18.4979561996991</v>
      </c>
    </row>
    <row r="5374" spans="1:37" x14ac:dyDescent="0.2">
      <c r="A5374" t="str">
        <f>"20200111155703188"</f>
        <v>20200111155703188</v>
      </c>
      <c r="B5374" t="str">
        <f>"1578729423178569"</f>
        <v>1578729423178569</v>
      </c>
      <c r="C5374" t="s">
        <v>37</v>
      </c>
      <c r="D5374">
        <v>5.0038980000000004</v>
      </c>
      <c r="E5374">
        <v>0.53235399999999999</v>
      </c>
      <c r="F5374" t="s">
        <v>38</v>
      </c>
      <c r="G5374">
        <v>-346.19389999999999</v>
      </c>
      <c r="H5374" s="1">
        <v>-2.2031129999999999E-6</v>
      </c>
      <c r="I5374">
        <v>16.301469999999998</v>
      </c>
      <c r="J5374">
        <v>-365.21789999999999</v>
      </c>
      <c r="K5374">
        <v>1.10554</v>
      </c>
      <c r="L5374">
        <v>17.107119999999998</v>
      </c>
      <c r="M5374">
        <v>0.99984329999999999</v>
      </c>
      <c r="N5374">
        <v>0</v>
      </c>
      <c r="O5374">
        <v>1.159369E-2</v>
      </c>
      <c r="P5374">
        <v>0.99896770000000001</v>
      </c>
      <c r="Q5374">
        <v>-2.7034889999999999E-3</v>
      </c>
      <c r="R5374">
        <v>4.5346890000000001E-2</v>
      </c>
      <c r="S5374">
        <v>3.0079349999999998</v>
      </c>
      <c r="T5374">
        <v>-0.1728179</v>
      </c>
      <c r="U5374">
        <v>-0.12542719999999999</v>
      </c>
      <c r="V5374">
        <v>-3.3781609999999997E-2</v>
      </c>
      <c r="W5374">
        <v>1.060878E-2</v>
      </c>
      <c r="X5374">
        <v>0.99937299999999996</v>
      </c>
      <c r="Y5374">
        <v>5.3137869999999997E-2</v>
      </c>
      <c r="Z5374">
        <v>-2.1899300000000001E-3</v>
      </c>
      <c r="AA5374">
        <v>0.99858480000000005</v>
      </c>
      <c r="AB5374">
        <v>27</v>
      </c>
      <c r="AC5374">
        <v>19.024000000000001</v>
      </c>
      <c r="AD5374">
        <v>-1.105542203113</v>
      </c>
      <c r="AE5374">
        <v>-0.80564999999999998</v>
      </c>
      <c r="AF5374">
        <v>1.02272625040766</v>
      </c>
      <c r="AG5374">
        <v>-1.105542203113</v>
      </c>
      <c r="AH5374">
        <v>18.949499653579998</v>
      </c>
      <c r="AI5374">
        <v>93.334095362715402</v>
      </c>
      <c r="AJ5374">
        <v>86.910678290196103</v>
      </c>
      <c r="AK5374">
        <v>19.009253790382299</v>
      </c>
    </row>
    <row r="5375" spans="1:37" x14ac:dyDescent="0.2">
      <c r="A5375" t="str">
        <f>"20200111155703203"</f>
        <v>20200111155703203</v>
      </c>
      <c r="B5375" t="str">
        <f>"1578729423198597"</f>
        <v>1578729423198597</v>
      </c>
      <c r="C5375" t="s">
        <v>37</v>
      </c>
      <c r="D5375">
        <v>5.0469269999999904</v>
      </c>
      <c r="E5375">
        <v>0.53128969999999998</v>
      </c>
      <c r="F5375" t="s">
        <v>38</v>
      </c>
      <c r="G5375">
        <v>-344.34399999999999</v>
      </c>
      <c r="H5375" s="1">
        <v>-2.99931399999999E-6</v>
      </c>
      <c r="I5375">
        <v>16.286829999999998</v>
      </c>
      <c r="J5375">
        <v>-365.04169999999999</v>
      </c>
      <c r="K5375">
        <v>1.1055809999999999</v>
      </c>
      <c r="L5375">
        <v>17.109950000000001</v>
      </c>
      <c r="M5375">
        <v>0.99983359999999899</v>
      </c>
      <c r="N5375">
        <v>0</v>
      </c>
      <c r="O5375">
        <v>1.2332650000000001E-2</v>
      </c>
      <c r="P5375">
        <v>0.99895990000000001</v>
      </c>
      <c r="Q5375">
        <v>-1.3277250000000001E-3</v>
      </c>
      <c r="R5375">
        <v>4.5579170000000002E-2</v>
      </c>
      <c r="S5375">
        <v>3.008057</v>
      </c>
      <c r="T5375">
        <v>-0.15931489999999901</v>
      </c>
      <c r="U5375">
        <v>-0.1181946</v>
      </c>
      <c r="V5375">
        <v>-3.327832E-2</v>
      </c>
      <c r="W5375">
        <v>1.204301E-2</v>
      </c>
      <c r="X5375">
        <v>0.99937359999999897</v>
      </c>
      <c r="Y5375">
        <v>5.1494320000000003E-2</v>
      </c>
      <c r="Z5375">
        <v>-2.014708E-3</v>
      </c>
      <c r="AA5375">
        <v>0.99867119999999998</v>
      </c>
      <c r="AB5375">
        <v>27</v>
      </c>
      <c r="AC5375">
        <v>20.697700000000001</v>
      </c>
      <c r="AD5375">
        <v>-1.105583999314</v>
      </c>
      <c r="AE5375">
        <v>-0.82312000000000296</v>
      </c>
      <c r="AF5375">
        <v>1.0752747636006399</v>
      </c>
      <c r="AG5375">
        <v>-1.105583999314</v>
      </c>
      <c r="AH5375">
        <v>20.627211898282599</v>
      </c>
      <c r="AI5375">
        <v>93.063869964378696</v>
      </c>
      <c r="AJ5375">
        <v>87.015932585932404</v>
      </c>
      <c r="AK5375">
        <v>20.684786740341998</v>
      </c>
    </row>
    <row r="5376" spans="1:37" x14ac:dyDescent="0.2">
      <c r="A5376" t="str">
        <f>"20200111155703216"</f>
        <v>20200111155703216</v>
      </c>
      <c r="B5376" t="str">
        <f>"1578729423208358"</f>
        <v>1578729423208358</v>
      </c>
      <c r="C5376" t="s">
        <v>37</v>
      </c>
      <c r="D5376">
        <v>5.0586779999999996</v>
      </c>
      <c r="E5376">
        <v>0.53082600000000002</v>
      </c>
      <c r="F5376" t="s">
        <v>38</v>
      </c>
      <c r="G5376">
        <v>-343.23950000000002</v>
      </c>
      <c r="H5376" s="1">
        <v>-3.4675019999999999E-6</v>
      </c>
      <c r="I5376">
        <v>16.318629999999999</v>
      </c>
      <c r="J5376">
        <v>-364.87619999999998</v>
      </c>
      <c r="K5376">
        <v>1.105613</v>
      </c>
      <c r="L5376">
        <v>17.1127</v>
      </c>
      <c r="M5376">
        <v>0.99982399999999905</v>
      </c>
      <c r="N5376">
        <v>0</v>
      </c>
      <c r="O5376">
        <v>1.30432999999999E-2</v>
      </c>
      <c r="P5376">
        <v>0.99893460000000001</v>
      </c>
      <c r="Q5376">
        <v>-7.2735179999999897E-4</v>
      </c>
      <c r="R5376">
        <v>4.6145190000000003E-2</v>
      </c>
      <c r="S5376">
        <v>3.0079039999999999</v>
      </c>
      <c r="T5376">
        <v>-0.15252939999999901</v>
      </c>
      <c r="U5376">
        <v>-0.10916140000000001</v>
      </c>
      <c r="V5376">
        <v>-3.3136039999999999E-2</v>
      </c>
      <c r="W5376">
        <v>1.269289E-2</v>
      </c>
      <c r="X5376">
        <v>0.99937030000000004</v>
      </c>
      <c r="Y5376">
        <v>4.922054E-2</v>
      </c>
      <c r="Z5376">
        <v>-1.9076270000000001E-3</v>
      </c>
      <c r="AA5376">
        <v>0.99878609999999901</v>
      </c>
      <c r="AB5376">
        <v>27</v>
      </c>
      <c r="AC5376">
        <v>21.636699999999902</v>
      </c>
      <c r="AD5376">
        <v>-1.1056164675019999</v>
      </c>
      <c r="AE5376">
        <v>-0.79407000000000105</v>
      </c>
      <c r="AF5376">
        <v>1.07344295090254</v>
      </c>
      <c r="AG5376">
        <v>-1.1056164675019999</v>
      </c>
      <c r="AH5376">
        <v>21.568259274380502</v>
      </c>
      <c r="AI5376">
        <v>92.930864858764394</v>
      </c>
      <c r="AJ5376">
        <v>87.150764770034201</v>
      </c>
      <c r="AK5376">
        <v>21.623239250143701</v>
      </c>
    </row>
    <row r="5377" spans="1:37" x14ac:dyDescent="0.2">
      <c r="A5377" t="str">
        <f>"20200111155703232"</f>
        <v>20200111155703232</v>
      </c>
      <c r="B5377" t="str">
        <f>"1578729423227878"</f>
        <v>1578729423227878</v>
      </c>
      <c r="C5377" t="s">
        <v>37</v>
      </c>
      <c r="D5377">
        <v>5.0728879999999998</v>
      </c>
      <c r="E5377">
        <v>0.5298465</v>
      </c>
      <c r="F5377" t="s">
        <v>38</v>
      </c>
      <c r="G5377">
        <v>-342.64280000000002</v>
      </c>
      <c r="H5377" s="1">
        <v>-3.7187999999999999E-6</v>
      </c>
      <c r="I5377">
        <v>16.34497</v>
      </c>
      <c r="J5377">
        <v>-364.68259999999998</v>
      </c>
      <c r="K5377">
        <v>1.105639</v>
      </c>
      <c r="L5377">
        <v>17.11618</v>
      </c>
      <c r="M5377">
        <v>0.99981180000000003</v>
      </c>
      <c r="N5377">
        <v>0</v>
      </c>
      <c r="O5377">
        <v>1.388789E-2</v>
      </c>
      <c r="P5377">
        <v>0.99888519999999903</v>
      </c>
      <c r="Q5377" s="1">
        <v>1.8533319999999999E-5</v>
      </c>
      <c r="R5377">
        <v>4.7207770000000003E-2</v>
      </c>
      <c r="S5377">
        <v>3.0078740000000002</v>
      </c>
      <c r="T5377">
        <v>-0.14957479999999901</v>
      </c>
      <c r="U5377">
        <v>-0.10385129999999999</v>
      </c>
      <c r="V5377">
        <v>-3.3356810000000001E-2</v>
      </c>
      <c r="W5377">
        <v>1.3489620000000001E-2</v>
      </c>
      <c r="X5377">
        <v>0.99935249999999998</v>
      </c>
      <c r="Y5377">
        <v>4.8306729999999999E-2</v>
      </c>
      <c r="Z5377">
        <v>-1.8900639999999999E-3</v>
      </c>
      <c r="AA5377">
        <v>0.99883069999999896</v>
      </c>
      <c r="AB5377">
        <v>27</v>
      </c>
      <c r="AC5377">
        <v>22.0397999999999</v>
      </c>
      <c r="AD5377">
        <v>-1.1056427188</v>
      </c>
      <c r="AE5377">
        <v>-0.77120999999999995</v>
      </c>
      <c r="AF5377">
        <v>1.07454910966521</v>
      </c>
      <c r="AG5377">
        <v>-1.1056427188</v>
      </c>
      <c r="AH5377">
        <v>21.971736131071999</v>
      </c>
      <c r="AI5377">
        <v>92.877325635100306</v>
      </c>
      <c r="AJ5377">
        <v>87.200125037040493</v>
      </c>
      <c r="AK5377">
        <v>22.025764237006001</v>
      </c>
    </row>
    <row r="5378" spans="1:37" x14ac:dyDescent="0.2">
      <c r="A5378" t="str">
        <f>"20200111155703246"</f>
        <v>20200111155703246</v>
      </c>
      <c r="B5378" t="str">
        <f>"1578729423238613"</f>
        <v>1578729423238613</v>
      </c>
      <c r="C5378" t="s">
        <v>37</v>
      </c>
      <c r="D5378">
        <v>5.0039400000000001</v>
      </c>
      <c r="E5378">
        <v>0.52939950000000002</v>
      </c>
      <c r="F5378" t="s">
        <v>38</v>
      </c>
      <c r="G5378">
        <v>-341.80739999999997</v>
      </c>
      <c r="H5378" s="1">
        <v>-4.0660309999999902E-6</v>
      </c>
      <c r="I5378">
        <v>16.407720000000001</v>
      </c>
      <c r="J5378">
        <v>-364.51830000000001</v>
      </c>
      <c r="K5378">
        <v>1.1056549999999901</v>
      </c>
      <c r="L5378">
        <v>17.119229999999899</v>
      </c>
      <c r="M5378">
        <v>0.99980100000000005</v>
      </c>
      <c r="N5378">
        <v>0</v>
      </c>
      <c r="O5378">
        <v>1.46088E-2</v>
      </c>
      <c r="P5378">
        <v>0.99879799999999996</v>
      </c>
      <c r="Q5378">
        <v>-1.68608499999999E-4</v>
      </c>
      <c r="R5378">
        <v>4.9013130000000002E-2</v>
      </c>
      <c r="S5378">
        <v>3.0077509999999998</v>
      </c>
      <c r="T5378">
        <v>-0.14537549999999999</v>
      </c>
      <c r="U5378">
        <v>-9.3139650000000004E-2</v>
      </c>
      <c r="V5378">
        <v>-3.4442380000000002E-2</v>
      </c>
      <c r="W5378">
        <v>1.3339429999999999E-2</v>
      </c>
      <c r="X5378">
        <v>0.99931759999999903</v>
      </c>
      <c r="Y5378">
        <v>4.548145E-2</v>
      </c>
      <c r="Z5378">
        <v>-1.803839E-3</v>
      </c>
      <c r="AA5378">
        <v>0.9989635</v>
      </c>
      <c r="AB5378">
        <v>27</v>
      </c>
      <c r="AC5378">
        <v>22.710899999999999</v>
      </c>
      <c r="AD5378">
        <v>-1.10565906603099</v>
      </c>
      <c r="AE5378">
        <v>-0.71150999999999698</v>
      </c>
      <c r="AF5378">
        <v>1.04077929915915</v>
      </c>
      <c r="AG5378">
        <v>-1.10565906603099</v>
      </c>
      <c r="AH5378">
        <v>22.644462817601099</v>
      </c>
      <c r="AI5378">
        <v>92.792412401851195</v>
      </c>
      <c r="AJ5378">
        <v>87.368437301690193</v>
      </c>
      <c r="AK5378">
        <v>22.695316693484902</v>
      </c>
    </row>
    <row r="5379" spans="1:37" x14ac:dyDescent="0.2">
      <c r="A5379" t="str">
        <f>"20200111155703261"</f>
        <v>20200111155703261</v>
      </c>
      <c r="B5379" t="str">
        <f>"1578729423248373"</f>
        <v>1578729423248373</v>
      </c>
      <c r="C5379" t="s">
        <v>37</v>
      </c>
      <c r="D5379">
        <v>5.0688440000000003</v>
      </c>
      <c r="E5379">
        <v>0.52900049999999998</v>
      </c>
      <c r="F5379" t="s">
        <v>38</v>
      </c>
      <c r="G5379">
        <v>-341.6472</v>
      </c>
      <c r="H5379" s="1">
        <v>-4.1221989999999999E-6</v>
      </c>
      <c r="I5379">
        <v>16.478649999999998</v>
      </c>
      <c r="J5379">
        <v>-364.34870000000001</v>
      </c>
      <c r="K5379">
        <v>1.1056649999999999</v>
      </c>
      <c r="L5379">
        <v>17.12247</v>
      </c>
      <c r="M5379">
        <v>0.99978929999999999</v>
      </c>
      <c r="N5379">
        <v>0</v>
      </c>
      <c r="O5379">
        <v>1.535459E-2</v>
      </c>
      <c r="P5379">
        <v>0.99869629999999998</v>
      </c>
      <c r="Q5379">
        <v>-6.5802880000000001E-4</v>
      </c>
      <c r="R5379">
        <v>5.104156E-2</v>
      </c>
      <c r="S5379">
        <v>3.0076900000000002</v>
      </c>
      <c r="T5379">
        <v>-0.14540039999999901</v>
      </c>
      <c r="U5379">
        <v>-8.4228520000000001E-2</v>
      </c>
      <c r="V5379">
        <v>-3.5725819999999998E-2</v>
      </c>
      <c r="W5379">
        <v>1.288504E-2</v>
      </c>
      <c r="X5379">
        <v>0.99927849999999996</v>
      </c>
      <c r="Y5379">
        <v>4.3271690000000002E-2</v>
      </c>
      <c r="Z5379">
        <v>-1.7869170000000001E-3</v>
      </c>
      <c r="AA5379">
        <v>0.9990618</v>
      </c>
      <c r="AB5379">
        <v>27</v>
      </c>
      <c r="AC5379">
        <v>22.701499999999999</v>
      </c>
      <c r="AD5379">
        <v>-1.1056691221989901</v>
      </c>
      <c r="AE5379">
        <v>-0.64382000000000095</v>
      </c>
      <c r="AF5379">
        <v>0.99000212098537399</v>
      </c>
      <c r="AG5379">
        <v>-1.1056691221989901</v>
      </c>
      <c r="AH5379">
        <v>22.635285713165501</v>
      </c>
      <c r="AI5379">
        <v>92.793845852501804</v>
      </c>
      <c r="AJ5379">
        <v>87.495643911491001</v>
      </c>
      <c r="AK5379">
        <v>22.683887844105801</v>
      </c>
    </row>
    <row r="5380" spans="1:37" x14ac:dyDescent="0.2">
      <c r="A5380" t="str">
        <f>"20200111155703276"</f>
        <v>20200111155703276</v>
      </c>
      <c r="B5380" t="str">
        <f>"1578729423267893"</f>
        <v>1578729423267893</v>
      </c>
      <c r="C5380" t="s">
        <v>37</v>
      </c>
      <c r="D5380">
        <v>5.0429409999999999</v>
      </c>
      <c r="E5380">
        <v>0.52821359999999995</v>
      </c>
      <c r="F5380" t="s">
        <v>38</v>
      </c>
      <c r="G5380">
        <v>-341.65640000000002</v>
      </c>
      <c r="H5380" s="1">
        <v>-4.1044850000000001E-6</v>
      </c>
      <c r="I5380">
        <v>16.556190000000001</v>
      </c>
      <c r="J5380">
        <v>-364.1456</v>
      </c>
      <c r="K5380">
        <v>1.1056790000000001</v>
      </c>
      <c r="L5380">
        <v>17.126560000000001</v>
      </c>
      <c r="M5380">
        <v>0.99977479999999996</v>
      </c>
      <c r="N5380">
        <v>0</v>
      </c>
      <c r="O5380">
        <v>1.6245099999999998E-2</v>
      </c>
      <c r="P5380">
        <v>0.9985136</v>
      </c>
      <c r="Q5380">
        <v>-1.569705E-3</v>
      </c>
      <c r="R5380">
        <v>5.4483610000000002E-2</v>
      </c>
      <c r="S5380">
        <v>3.0076290000000001</v>
      </c>
      <c r="T5380">
        <v>-0.14654489999999901</v>
      </c>
      <c r="U5380">
        <v>-7.5042719999999993E-2</v>
      </c>
      <c r="V5380">
        <v>-3.8278689999999997E-2</v>
      </c>
      <c r="W5380">
        <v>1.2007729999999999E-2</v>
      </c>
      <c r="X5380">
        <v>0.99919500000000006</v>
      </c>
      <c r="Y5380">
        <v>4.1113289999999997E-2</v>
      </c>
      <c r="Z5380">
        <v>-1.7918889999999901E-3</v>
      </c>
      <c r="AA5380">
        <v>0.99915290000000001</v>
      </c>
      <c r="AB5380">
        <v>27</v>
      </c>
      <c r="AC5380">
        <v>22.489199999999901</v>
      </c>
      <c r="AD5380">
        <v>-1.105683104485</v>
      </c>
      <c r="AE5380">
        <v>-0.57037000000000004</v>
      </c>
      <c r="AF5380">
        <v>0.93341328532723999</v>
      </c>
      <c r="AG5380">
        <v>-1.105683104485</v>
      </c>
      <c r="AH5380">
        <v>22.422799538928</v>
      </c>
      <c r="AI5380">
        <v>92.820567409241804</v>
      </c>
      <c r="AJ5380">
        <v>87.616275258278506</v>
      </c>
      <c r="AK5380">
        <v>22.469440016425001</v>
      </c>
    </row>
    <row r="5381" spans="1:37" x14ac:dyDescent="0.2">
      <c r="A5381" t="str">
        <f>"20200111155703290"</f>
        <v>20200111155703290</v>
      </c>
      <c r="B5381" t="str">
        <f>"1578729423278629"</f>
        <v>1578729423278629</v>
      </c>
      <c r="C5381" t="s">
        <v>37</v>
      </c>
      <c r="D5381">
        <v>4.9828779999999897</v>
      </c>
      <c r="E5381">
        <v>0.52785760000000004</v>
      </c>
      <c r="F5381" t="s">
        <v>38</v>
      </c>
      <c r="G5381">
        <v>-341.77429999999998</v>
      </c>
      <c r="H5381" s="1">
        <v>-4.0298689999999902E-6</v>
      </c>
      <c r="I5381">
        <v>16.691739999999999</v>
      </c>
      <c r="J5381">
        <v>-363.9957</v>
      </c>
      <c r="K5381">
        <v>1.1056820000000001</v>
      </c>
      <c r="L5381">
        <v>17.1297</v>
      </c>
      <c r="M5381">
        <v>0.99976350000000003</v>
      </c>
      <c r="N5381">
        <v>0</v>
      </c>
      <c r="O5381">
        <v>1.689672E-2</v>
      </c>
      <c r="P5381">
        <v>0.99841740000000001</v>
      </c>
      <c r="Q5381">
        <v>-2.0457409999999998E-3</v>
      </c>
      <c r="R5381">
        <v>5.6203040000000003E-2</v>
      </c>
      <c r="S5381">
        <v>3.0074160000000001</v>
      </c>
      <c r="T5381">
        <v>-0.1486391</v>
      </c>
      <c r="U5381">
        <v>-5.8441159999999999E-2</v>
      </c>
      <c r="V5381">
        <v>-3.934708E-2</v>
      </c>
      <c r="W5381">
        <v>1.1556189999999999E-2</v>
      </c>
      <c r="X5381">
        <v>0.99915880000000001</v>
      </c>
      <c r="Y5381">
        <v>3.6256169999999997E-2</v>
      </c>
      <c r="Z5381">
        <v>-1.7299360000000001E-3</v>
      </c>
      <c r="AA5381">
        <v>0.99934100000000003</v>
      </c>
      <c r="AB5381">
        <v>27</v>
      </c>
      <c r="AC5381">
        <v>22.221399999999999</v>
      </c>
      <c r="AD5381">
        <v>-1.1056860298690001</v>
      </c>
      <c r="AE5381">
        <v>-0.43796000000000002</v>
      </c>
      <c r="AF5381">
        <v>0.81139334192146895</v>
      </c>
      <c r="AG5381">
        <v>-1.1056860298690001</v>
      </c>
      <c r="AH5381">
        <v>22.155993130587799</v>
      </c>
      <c r="AI5381">
        <v>92.855042233600102</v>
      </c>
      <c r="AJ5381">
        <v>87.902660142048504</v>
      </c>
      <c r="AK5381">
        <v>22.1983993196495</v>
      </c>
    </row>
    <row r="5382" spans="1:37" x14ac:dyDescent="0.2">
      <c r="A5382" t="str">
        <f>"20200111155703304"</f>
        <v>20200111155703304</v>
      </c>
      <c r="B5382" t="str">
        <f>"1578729423298149"</f>
        <v>1578729423298149</v>
      </c>
      <c r="C5382" t="s">
        <v>37</v>
      </c>
      <c r="D5382">
        <v>5.0279160000000003</v>
      </c>
      <c r="E5382">
        <v>0.527362</v>
      </c>
      <c r="F5382" t="s">
        <v>38</v>
      </c>
      <c r="G5382">
        <v>-341.84269999999998</v>
      </c>
      <c r="H5382" s="1">
        <v>-3.9886439999999998E-6</v>
      </c>
      <c r="I5382">
        <v>16.758689999999898</v>
      </c>
      <c r="J5382">
        <v>-363.83479999999997</v>
      </c>
      <c r="K5382">
        <v>1.1056820000000001</v>
      </c>
      <c r="L5382">
        <v>17.133179999999999</v>
      </c>
      <c r="M5382">
        <v>0.99975119999999895</v>
      </c>
      <c r="N5382">
        <v>0</v>
      </c>
      <c r="O5382">
        <v>1.7591409999999998E-2</v>
      </c>
      <c r="P5382">
        <v>0.99829609999999902</v>
      </c>
      <c r="Q5382">
        <v>-2.5259340000000001E-3</v>
      </c>
      <c r="R5382">
        <v>5.8297809999999999E-2</v>
      </c>
      <c r="S5382">
        <v>3.0072939999999999</v>
      </c>
      <c r="T5382">
        <v>-0.15009819999999999</v>
      </c>
      <c r="U5382">
        <v>-5.0354000000000003E-2</v>
      </c>
      <c r="V5382">
        <v>-4.0747980000000003E-2</v>
      </c>
      <c r="W5382">
        <v>1.1099410000000001E-2</v>
      </c>
      <c r="X5382">
        <v>0.99910779999999999</v>
      </c>
      <c r="Y5382">
        <v>3.4265080000000003E-2</v>
      </c>
      <c r="Z5382">
        <v>-1.7320020000000001E-3</v>
      </c>
      <c r="AA5382">
        <v>0.9994113</v>
      </c>
      <c r="AB5382">
        <v>27</v>
      </c>
      <c r="AC5382">
        <v>21.992099999999901</v>
      </c>
      <c r="AD5382">
        <v>-1.105685988644</v>
      </c>
      <c r="AE5382">
        <v>-0.37449000000000099</v>
      </c>
      <c r="AF5382">
        <v>0.75942142096899101</v>
      </c>
      <c r="AG5382">
        <v>-1.105685988644</v>
      </c>
      <c r="AH5382">
        <v>21.926699209016601</v>
      </c>
      <c r="AI5382">
        <v>92.8850516275226</v>
      </c>
      <c r="AJ5382">
        <v>88.016379199291293</v>
      </c>
      <c r="AK5382">
        <v>21.967689924131701</v>
      </c>
    </row>
    <row r="5383" spans="1:37" x14ac:dyDescent="0.2">
      <c r="A5383" t="str">
        <f>"20200111155703315"</f>
        <v>20200111155703315</v>
      </c>
      <c r="B5383" t="str">
        <f>"1578729423307909"</f>
        <v>1578729423307909</v>
      </c>
      <c r="C5383" t="s">
        <v>37</v>
      </c>
      <c r="D5383">
        <v>5.1866250000000003</v>
      </c>
      <c r="E5383">
        <v>0.52713359999999998</v>
      </c>
      <c r="F5383" t="s">
        <v>38</v>
      </c>
      <c r="G5383">
        <v>-341.61380000000003</v>
      </c>
      <c r="H5383" s="1">
        <v>-4.0729559999999901E-6</v>
      </c>
      <c r="I5383">
        <v>16.83699</v>
      </c>
      <c r="J5383">
        <v>-363.67349999999999</v>
      </c>
      <c r="K5383">
        <v>1.105685</v>
      </c>
      <c r="L5383">
        <v>17.136749999999999</v>
      </c>
      <c r="M5383">
        <v>0.99973860000000003</v>
      </c>
      <c r="N5383">
        <v>0</v>
      </c>
      <c r="O5383">
        <v>1.8281619999999998E-2</v>
      </c>
      <c r="P5383">
        <v>0.99819249999999904</v>
      </c>
      <c r="Q5383">
        <v>-3.42653099999999E-3</v>
      </c>
      <c r="R5383">
        <v>6.0005070000000001E-2</v>
      </c>
      <c r="S5383">
        <v>3.00707999999999</v>
      </c>
      <c r="T5383">
        <v>-0.14962790000000001</v>
      </c>
      <c r="U5383">
        <v>-4.006958E-2</v>
      </c>
      <c r="V5383">
        <v>-4.1765490000000002E-2</v>
      </c>
      <c r="W5383">
        <v>1.0221610000000001E-2</v>
      </c>
      <c r="X5383">
        <v>0.99907520000000005</v>
      </c>
      <c r="Y5383">
        <v>3.1541760000000002E-2</v>
      </c>
      <c r="Z5383">
        <v>-1.693356E-3</v>
      </c>
      <c r="AA5383">
        <v>0.99950099999999997</v>
      </c>
      <c r="AB5383">
        <v>27</v>
      </c>
      <c r="AC5383">
        <v>22.0596999999999</v>
      </c>
      <c r="AD5383">
        <v>-1.1056890729560001</v>
      </c>
      <c r="AE5383">
        <v>-0.29975999999999903</v>
      </c>
      <c r="AF5383">
        <v>0.701273499327836</v>
      </c>
      <c r="AG5383">
        <v>-1.1056890729560001</v>
      </c>
      <c r="AH5383">
        <v>21.995284054598301</v>
      </c>
      <c r="AI5383">
        <v>92.876341195451602</v>
      </c>
      <c r="AJ5383">
        <v>88.173862842343397</v>
      </c>
      <c r="AK5383">
        <v>22.034220056298299</v>
      </c>
    </row>
    <row r="5384" spans="1:37" x14ac:dyDescent="0.2">
      <c r="A5384" t="str">
        <f>"20200111155703333"</f>
        <v>20200111155703333</v>
      </c>
      <c r="B5384" t="str">
        <f>"1578729423328405"</f>
        <v>1578729423328405</v>
      </c>
      <c r="C5384" t="s">
        <v>37</v>
      </c>
      <c r="D5384">
        <v>5.0642870000000002</v>
      </c>
      <c r="E5384">
        <v>0.52677079999999998</v>
      </c>
      <c r="F5384" t="s">
        <v>38</v>
      </c>
      <c r="G5384">
        <v>-341.7756</v>
      </c>
      <c r="H5384" s="1">
        <v>-3.9931699999999998E-6</v>
      </c>
      <c r="I5384">
        <v>16.895529999999901</v>
      </c>
      <c r="J5384">
        <v>-363.4846</v>
      </c>
      <c r="K5384">
        <v>1.1056870000000001</v>
      </c>
      <c r="L5384">
        <v>17.141110000000001</v>
      </c>
      <c r="M5384">
        <v>0.99972340000000004</v>
      </c>
      <c r="N5384">
        <v>0</v>
      </c>
      <c r="O5384">
        <v>1.907642E-2</v>
      </c>
      <c r="P5384">
        <v>0.998015599999999</v>
      </c>
      <c r="Q5384">
        <v>-3.4504709999999901E-3</v>
      </c>
      <c r="R5384">
        <v>6.2873650000000003E-2</v>
      </c>
      <c r="S5384">
        <v>3.0068969999999999</v>
      </c>
      <c r="T5384">
        <v>-0.15182670000000001</v>
      </c>
      <c r="U5384">
        <v>-3.311157E-2</v>
      </c>
      <c r="V5384">
        <v>-4.3842010000000001E-2</v>
      </c>
      <c r="W5384">
        <v>1.021827E-2</v>
      </c>
      <c r="X5384">
        <v>0.99898619999999905</v>
      </c>
      <c r="Y5384">
        <v>3.0023729999999998E-2</v>
      </c>
      <c r="Z5384">
        <v>-1.7201389999999899E-3</v>
      </c>
      <c r="AA5384">
        <v>0.99954769999999904</v>
      </c>
      <c r="AB5384">
        <v>27</v>
      </c>
      <c r="AC5384">
        <v>21.709</v>
      </c>
      <c r="AD5384">
        <v>-1.1056909931700001</v>
      </c>
      <c r="AE5384">
        <v>-0.24558000000000299</v>
      </c>
      <c r="AF5384">
        <v>0.65799779151201898</v>
      </c>
      <c r="AG5384">
        <v>-1.1056909931700001</v>
      </c>
      <c r="AH5384">
        <v>21.6442233536863</v>
      </c>
      <c r="AI5384">
        <v>92.923053680569595</v>
      </c>
      <c r="AJ5384">
        <v>88.258709126860893</v>
      </c>
      <c r="AK5384">
        <v>21.682433402417502</v>
      </c>
    </row>
    <row r="5385" spans="1:37" x14ac:dyDescent="0.2">
      <c r="A5385" t="str">
        <f>"20200111155703345"</f>
        <v>20200111155703345</v>
      </c>
      <c r="B5385" t="str">
        <f>"1578729423338165"</f>
        <v>1578729423338165</v>
      </c>
      <c r="C5385" t="s">
        <v>37</v>
      </c>
      <c r="D5385">
        <v>5.1280239999999999</v>
      </c>
      <c r="E5385">
        <v>0.52660079999999998</v>
      </c>
      <c r="F5385" t="s">
        <v>38</v>
      </c>
      <c r="G5385">
        <v>-341.37479999999999</v>
      </c>
      <c r="H5385" s="1">
        <v>-4.1497689999999998E-6</v>
      </c>
      <c r="I5385">
        <v>16.981929999999998</v>
      </c>
      <c r="J5385">
        <v>-363.32369999999997</v>
      </c>
      <c r="K5385">
        <v>1.105685</v>
      </c>
      <c r="L5385">
        <v>17.144929999999999</v>
      </c>
      <c r="M5385">
        <v>0.99971010000000005</v>
      </c>
      <c r="N5385">
        <v>0</v>
      </c>
      <c r="O5385">
        <v>1.9743050000000002E-2</v>
      </c>
      <c r="P5385">
        <v>0.99792440000000004</v>
      </c>
      <c r="Q5385">
        <v>-2.1350010000000001E-3</v>
      </c>
      <c r="R5385">
        <v>6.4360920000000002E-2</v>
      </c>
      <c r="S5385">
        <v>3.0068049999999999</v>
      </c>
      <c r="T5385">
        <v>-0.1503679</v>
      </c>
      <c r="U5385">
        <v>-2.163696E-2</v>
      </c>
      <c r="V5385">
        <v>-4.466734E-2</v>
      </c>
      <c r="W5385">
        <v>1.1552379999999999E-2</v>
      </c>
      <c r="X5385">
        <v>0.99893509999999996</v>
      </c>
      <c r="Y5385">
        <v>2.688055E-2</v>
      </c>
      <c r="Z5385">
        <v>-1.6584760000000001E-3</v>
      </c>
      <c r="AA5385">
        <v>0.99963729999999995</v>
      </c>
      <c r="AB5385">
        <v>27</v>
      </c>
      <c r="AC5385">
        <v>21.948899999999899</v>
      </c>
      <c r="AD5385">
        <v>-1.105689149769</v>
      </c>
      <c r="AE5385">
        <v>-0.16300000000000001</v>
      </c>
      <c r="AF5385">
        <v>0.59483817205644196</v>
      </c>
      <c r="AG5385">
        <v>-1.105689149769</v>
      </c>
      <c r="AH5385">
        <v>21.8858659014168</v>
      </c>
      <c r="AI5385">
        <v>92.891097839441599</v>
      </c>
      <c r="AJ5385">
        <v>88.443135467976902</v>
      </c>
      <c r="AK5385">
        <v>21.921849994962798</v>
      </c>
    </row>
    <row r="5386" spans="1:37" x14ac:dyDescent="0.2">
      <c r="A5386" t="str">
        <f>"20200111155703358"</f>
        <v>20200111155703358</v>
      </c>
      <c r="B5386" t="str">
        <f>"1578729423347925"</f>
        <v>1578729423347925</v>
      </c>
      <c r="C5386" t="s">
        <v>37</v>
      </c>
      <c r="D5386">
        <v>5.1201930000000004</v>
      </c>
      <c r="E5386">
        <v>0.5264856</v>
      </c>
      <c r="F5386" t="s">
        <v>38</v>
      </c>
      <c r="G5386">
        <v>-340.54790000000003</v>
      </c>
      <c r="H5386" s="1">
        <v>-4.4968619999999902E-6</v>
      </c>
      <c r="I5386">
        <v>17.025110000000002</v>
      </c>
      <c r="J5386">
        <v>-363.17320000000001</v>
      </c>
      <c r="K5386">
        <v>1.105683</v>
      </c>
      <c r="L5386">
        <v>17.14856</v>
      </c>
      <c r="M5386">
        <v>0.99969750000000002</v>
      </c>
      <c r="N5386">
        <v>0</v>
      </c>
      <c r="O5386">
        <v>2.036002E-2</v>
      </c>
      <c r="P5386">
        <v>0.99785100000000004</v>
      </c>
      <c r="Q5386">
        <v>-1.082148E-3</v>
      </c>
      <c r="R5386">
        <v>6.5517839999999994E-2</v>
      </c>
      <c r="S5386">
        <v>3.006958</v>
      </c>
      <c r="T5386">
        <v>-0.14597760000000001</v>
      </c>
      <c r="U5386">
        <v>-1.580811E-2</v>
      </c>
      <c r="V5386">
        <v>-4.5211189999999998E-2</v>
      </c>
      <c r="W5386">
        <v>1.262185E-2</v>
      </c>
      <c r="X5386">
        <v>0.998897699999999</v>
      </c>
      <c r="Y5386">
        <v>2.556361E-2</v>
      </c>
      <c r="Z5386">
        <v>-1.6080210000000001E-3</v>
      </c>
      <c r="AA5386">
        <v>0.99967189999999995</v>
      </c>
      <c r="AB5386">
        <v>27</v>
      </c>
      <c r="AC5386">
        <v>22.6252999999999</v>
      </c>
      <c r="AD5386">
        <v>-1.1056874968620001</v>
      </c>
      <c r="AE5386">
        <v>-0.12344999999999801</v>
      </c>
      <c r="AF5386">
        <v>0.58272817400082799</v>
      </c>
      <c r="AG5386">
        <v>-1.1056874968620001</v>
      </c>
      <c r="AH5386">
        <v>22.564208589539799</v>
      </c>
      <c r="AI5386">
        <v>92.804420503736594</v>
      </c>
      <c r="AJ5386">
        <v>88.520646307797804</v>
      </c>
      <c r="AK5386">
        <v>22.598797008640801</v>
      </c>
    </row>
    <row r="5387" spans="1:37" x14ac:dyDescent="0.2">
      <c r="A5387" t="str">
        <f>"20200111155703370"</f>
        <v>20200111155703370</v>
      </c>
      <c r="B5387" t="str">
        <f>"1578729423358662"</f>
        <v>1578729423358662</v>
      </c>
      <c r="C5387" t="s">
        <v>37</v>
      </c>
      <c r="D5387">
        <v>5.122153</v>
      </c>
      <c r="E5387">
        <v>0.52621890000000004</v>
      </c>
      <c r="F5387" t="s">
        <v>38</v>
      </c>
      <c r="G5387">
        <v>-339.78769999999997</v>
      </c>
      <c r="H5387" s="1">
        <v>-7.3872949999999998E-7</v>
      </c>
      <c r="I5387">
        <v>17.059000000000001</v>
      </c>
      <c r="J5387">
        <v>-363.02550000000002</v>
      </c>
      <c r="K5387">
        <v>1.1056809999999999</v>
      </c>
      <c r="L5387">
        <v>17.152249999999999</v>
      </c>
      <c r="M5387">
        <v>0.99968509999999999</v>
      </c>
      <c r="N5387">
        <v>0</v>
      </c>
      <c r="O5387">
        <v>2.095116E-2</v>
      </c>
      <c r="P5387">
        <v>0.99779269999999998</v>
      </c>
      <c r="Q5387">
        <v>-6.0459230000000004E-4</v>
      </c>
      <c r="R5387">
        <v>6.6406480000000004E-2</v>
      </c>
      <c r="S5387">
        <v>3.00705</v>
      </c>
      <c r="T5387">
        <v>-0.1421751</v>
      </c>
      <c r="U5387">
        <v>-1.1505130000000001E-2</v>
      </c>
      <c r="V5387">
        <v>-4.5510500000000002E-2</v>
      </c>
      <c r="W5387">
        <v>1.3114860000000001E-2</v>
      </c>
      <c r="X5387">
        <v>0.99887780000000004</v>
      </c>
      <c r="Y5387">
        <v>2.472717E-2</v>
      </c>
      <c r="Z5387">
        <v>-1.5743070000000001E-3</v>
      </c>
      <c r="AA5387">
        <v>0.99969300000000005</v>
      </c>
      <c r="AB5387">
        <v>27</v>
      </c>
      <c r="AC5387">
        <v>23.2378</v>
      </c>
      <c r="AD5387">
        <v>-1.1056817387294999</v>
      </c>
      <c r="AE5387">
        <v>-9.3249999999997599E-2</v>
      </c>
      <c r="AF5387">
        <v>0.57882441557980702</v>
      </c>
      <c r="AG5387">
        <v>-1.1056817387294999</v>
      </c>
      <c r="AH5387">
        <v>23.178270441883601</v>
      </c>
      <c r="AI5387">
        <v>92.730281745375606</v>
      </c>
      <c r="AJ5387">
        <v>88.569465973856197</v>
      </c>
      <c r="AK5387">
        <v>23.211845908684801</v>
      </c>
    </row>
    <row r="5388" spans="1:37" x14ac:dyDescent="0.2">
      <c r="A5388" t="str">
        <f>"20200111155703388"</f>
        <v>20200111155703388</v>
      </c>
      <c r="B5388" t="str">
        <f>"1578729423378180"</f>
        <v>1578729423378180</v>
      </c>
      <c r="C5388" t="s">
        <v>37</v>
      </c>
      <c r="D5388">
        <v>5.1368980000000004</v>
      </c>
      <c r="E5388">
        <v>0.52595970000000003</v>
      </c>
      <c r="F5388" t="s">
        <v>38</v>
      </c>
      <c r="G5388">
        <v>-339.39710000000002</v>
      </c>
      <c r="H5388" s="1">
        <v>-8.6104129999999999E-7</v>
      </c>
      <c r="I5388">
        <v>17.098939999999999</v>
      </c>
      <c r="J5388">
        <v>-362.82080000000002</v>
      </c>
      <c r="K5388">
        <v>1.1056649999999999</v>
      </c>
      <c r="L5388">
        <v>17.15747</v>
      </c>
      <c r="M5388">
        <v>0.99966759999999999</v>
      </c>
      <c r="N5388">
        <v>0</v>
      </c>
      <c r="O5388">
        <v>2.1758059999999999E-2</v>
      </c>
      <c r="P5388">
        <v>0.99767729999999999</v>
      </c>
      <c r="Q5388">
        <v>9.6537550000000004E-4</v>
      </c>
      <c r="R5388">
        <v>6.8114770000000005E-2</v>
      </c>
      <c r="S5388">
        <v>3.00705</v>
      </c>
      <c r="T5388">
        <v>-0.14071349999999999</v>
      </c>
      <c r="U5388">
        <v>-6.7749019999999898E-3</v>
      </c>
      <c r="V5388">
        <v>-4.641634E-2</v>
      </c>
      <c r="W5388">
        <v>1.4703519999999999E-2</v>
      </c>
      <c r="X5388">
        <v>0.99881399999999998</v>
      </c>
      <c r="Y5388">
        <v>2.3962529999999999E-2</v>
      </c>
      <c r="Z5388">
        <v>-1.5779939999999899E-3</v>
      </c>
      <c r="AA5388">
        <v>0.99971160000000003</v>
      </c>
      <c r="AB5388">
        <v>27</v>
      </c>
      <c r="AC5388">
        <v>23.4237</v>
      </c>
      <c r="AD5388">
        <v>-1.1056658610412999</v>
      </c>
      <c r="AE5388">
        <v>-5.8530000000000998E-2</v>
      </c>
      <c r="AF5388">
        <v>0.56695592788366</v>
      </c>
      <c r="AG5388">
        <v>-1.1056658610412999</v>
      </c>
      <c r="AH5388">
        <v>23.364821029731299</v>
      </c>
      <c r="AI5388">
        <v>92.708523315087604</v>
      </c>
      <c r="AJ5388">
        <v>88.609969731873306</v>
      </c>
      <c r="AK5388">
        <v>23.397837459299701</v>
      </c>
    </row>
    <row r="5389" spans="1:37" x14ac:dyDescent="0.2">
      <c r="A5389" t="str">
        <f>"20200111155703401"</f>
        <v>20200111155703401</v>
      </c>
      <c r="B5389" t="str">
        <f>"1578729423398678"</f>
        <v>1578729423398678</v>
      </c>
      <c r="C5389" t="s">
        <v>37</v>
      </c>
      <c r="D5389">
        <v>5.2417639999999999</v>
      </c>
      <c r="E5389">
        <v>0.52561650000000004</v>
      </c>
      <c r="F5389" t="s">
        <v>38</v>
      </c>
      <c r="G5389">
        <v>-338.15769999999998</v>
      </c>
      <c r="H5389" s="1">
        <v>-1.266583E-6</v>
      </c>
      <c r="I5389">
        <v>17.1599</v>
      </c>
      <c r="J5389">
        <v>-362.66359999999997</v>
      </c>
      <c r="K5389">
        <v>1.1056549999999901</v>
      </c>
      <c r="L5389">
        <v>17.161560000000001</v>
      </c>
      <c r="M5389">
        <v>0.99965400000000004</v>
      </c>
      <c r="N5389">
        <v>0</v>
      </c>
      <c r="O5389">
        <v>2.2366569999999999E-2</v>
      </c>
      <c r="P5389">
        <v>0.99763279999999999</v>
      </c>
      <c r="Q5389">
        <v>9.1898809999999996E-4</v>
      </c>
      <c r="R5389">
        <v>6.8759290000000001E-2</v>
      </c>
      <c r="S5389">
        <v>3.0071110000000001</v>
      </c>
      <c r="T5389">
        <v>-0.13481109999999999</v>
      </c>
      <c r="U5389">
        <v>3.0517579999999998E-4</v>
      </c>
      <c r="V5389">
        <v>-4.6453029999999999E-2</v>
      </c>
      <c r="W5389">
        <v>1.467158E-2</v>
      </c>
      <c r="X5389">
        <v>0.9988127</v>
      </c>
      <c r="Y5389">
        <v>2.2222470000000001E-2</v>
      </c>
      <c r="Z5389">
        <v>-1.5001159999999999E-3</v>
      </c>
      <c r="AA5389">
        <v>0.99975190000000003</v>
      </c>
      <c r="AB5389">
        <v>27</v>
      </c>
      <c r="AC5389">
        <v>24.5059</v>
      </c>
      <c r="AD5389">
        <v>-1.1056562665829901</v>
      </c>
      <c r="AE5389">
        <v>-1.6600000000011E-3</v>
      </c>
      <c r="AF5389">
        <v>0.54870806691985297</v>
      </c>
      <c r="AG5389">
        <v>-1.1056562665829901</v>
      </c>
      <c r="AH5389">
        <v>24.449960138594101</v>
      </c>
      <c r="AI5389">
        <v>92.588568391237999</v>
      </c>
      <c r="AJ5389">
        <v>88.714379089416298</v>
      </c>
      <c r="AK5389">
        <v>24.481096934193499</v>
      </c>
    </row>
    <row r="5390" spans="1:37" x14ac:dyDescent="0.2">
      <c r="A5390" t="str">
        <f>"20200111155703414"</f>
        <v>20200111155703414</v>
      </c>
      <c r="B5390" t="str">
        <f>"1578729423408438"</f>
        <v>1578729423408438</v>
      </c>
      <c r="C5390" t="s">
        <v>37</v>
      </c>
      <c r="D5390">
        <v>5.1697800000000003</v>
      </c>
      <c r="E5390">
        <v>0.5254335</v>
      </c>
      <c r="F5390" t="s">
        <v>38</v>
      </c>
      <c r="G5390">
        <v>-338.07569999999998</v>
      </c>
      <c r="H5390" s="1">
        <v>-1.283189E-6</v>
      </c>
      <c r="I5390">
        <v>17.20241</v>
      </c>
      <c r="J5390">
        <v>-362.50889999999998</v>
      </c>
      <c r="K5390">
        <v>1.1056429999999999</v>
      </c>
      <c r="L5390">
        <v>17.165649999999999</v>
      </c>
      <c r="M5390">
        <v>0.99964059999999899</v>
      </c>
      <c r="N5390">
        <v>0</v>
      </c>
      <c r="O5390">
        <v>2.2950709999999999E-2</v>
      </c>
      <c r="P5390">
        <v>0.99759660000000006</v>
      </c>
      <c r="Q5390">
        <v>3.7456119999999999E-4</v>
      </c>
      <c r="R5390">
        <v>6.9289149999999994E-2</v>
      </c>
      <c r="S5390">
        <v>3.006866</v>
      </c>
      <c r="T5390">
        <v>-0.135211</v>
      </c>
      <c r="U5390">
        <v>5.0048829999999999E-3</v>
      </c>
      <c r="V5390">
        <v>-4.6398139999999997E-2</v>
      </c>
      <c r="W5390">
        <v>1.4140440000000001E-2</v>
      </c>
      <c r="X5390">
        <v>0.99882289999999996</v>
      </c>
      <c r="Y5390">
        <v>2.1244180000000001E-2</v>
      </c>
      <c r="Z5390">
        <v>-1.508945E-3</v>
      </c>
      <c r="AA5390">
        <v>0.99977320000000003</v>
      </c>
      <c r="AB5390">
        <v>27</v>
      </c>
      <c r="AC5390">
        <v>24.433199999999999</v>
      </c>
      <c r="AD5390">
        <v>-1.1056442831890001</v>
      </c>
      <c r="AE5390">
        <v>3.6760000000001E-2</v>
      </c>
      <c r="AF5390">
        <v>0.52299185730025799</v>
      </c>
      <c r="AG5390">
        <v>-1.1056442831890001</v>
      </c>
      <c r="AH5390">
        <v>24.377688235739601</v>
      </c>
      <c r="AI5390">
        <v>92.596260283196699</v>
      </c>
      <c r="AJ5390">
        <v>88.770981487634202</v>
      </c>
      <c r="AK5390">
        <v>24.408352125505498</v>
      </c>
    </row>
    <row r="5391" spans="1:37" x14ac:dyDescent="0.2">
      <c r="A5391" t="str">
        <f>"20200111155703426"</f>
        <v>20200111155703426</v>
      </c>
      <c r="B5391" t="str">
        <f>"1578729423418196"</f>
        <v>1578729423418196</v>
      </c>
      <c r="C5391" t="s">
        <v>37</v>
      </c>
      <c r="D5391">
        <v>6.0158569999999996</v>
      </c>
      <c r="E5391">
        <v>0.52528739999999996</v>
      </c>
      <c r="F5391" t="s">
        <v>38</v>
      </c>
      <c r="G5391">
        <v>-338.28739999999999</v>
      </c>
      <c r="H5391" s="1">
        <v>-1.203584E-6</v>
      </c>
      <c r="I5391">
        <v>17.230720000000002</v>
      </c>
      <c r="J5391">
        <v>-362.3623</v>
      </c>
      <c r="K5391">
        <v>1.1056349999999999</v>
      </c>
      <c r="L5391">
        <v>17.169619999999998</v>
      </c>
      <c r="M5391">
        <v>0.99962790000000001</v>
      </c>
      <c r="N5391">
        <v>0</v>
      </c>
      <c r="O5391">
        <v>2.3491049999999999E-2</v>
      </c>
      <c r="P5391">
        <v>0.99755949999999904</v>
      </c>
      <c r="Q5391">
        <v>-4.085712E-4</v>
      </c>
      <c r="R5391">
        <v>6.9821519999999998E-2</v>
      </c>
      <c r="S5391">
        <v>3.0067140000000001</v>
      </c>
      <c r="T5391">
        <v>-0.1372486</v>
      </c>
      <c r="U5391">
        <v>8.0871580000000005E-3</v>
      </c>
      <c r="V5391">
        <v>-4.638958E-2</v>
      </c>
      <c r="W5391">
        <v>1.336851E-2</v>
      </c>
      <c r="X5391">
        <v>0.998834</v>
      </c>
      <c r="Y5391">
        <v>2.0758200000000001E-2</v>
      </c>
      <c r="Z5391">
        <v>-1.5452969999999999E-3</v>
      </c>
      <c r="AA5391">
        <v>0.99978330000000004</v>
      </c>
      <c r="AB5391">
        <v>27</v>
      </c>
      <c r="AC5391">
        <v>24.0749</v>
      </c>
      <c r="AD5391">
        <v>-1.1056362035839999</v>
      </c>
      <c r="AE5391">
        <v>6.1099999999999703E-2</v>
      </c>
      <c r="AF5391">
        <v>0.50345408523528901</v>
      </c>
      <c r="AG5391">
        <v>-1.1056362035839999</v>
      </c>
      <c r="AH5391">
        <v>24.0190326052569</v>
      </c>
      <c r="AI5391">
        <v>92.634982049113901</v>
      </c>
      <c r="AJ5391">
        <v>88.799220126725402</v>
      </c>
      <c r="AK5391">
        <v>24.049736479284199</v>
      </c>
    </row>
    <row r="5392" spans="1:37" x14ac:dyDescent="0.2">
      <c r="A5392" t="str">
        <f>"20200111155703439"</f>
        <v>20200111155703439</v>
      </c>
      <c r="B5392" t="str">
        <f>"1578729423428933"</f>
        <v>1578729423428933</v>
      </c>
      <c r="C5392" t="s">
        <v>37</v>
      </c>
      <c r="D5392">
        <v>5.2018019999999998</v>
      </c>
      <c r="E5392">
        <v>0.52515109999999998</v>
      </c>
      <c r="F5392" t="s">
        <v>38</v>
      </c>
      <c r="G5392">
        <v>-338.25810000000001</v>
      </c>
      <c r="H5392" s="1">
        <v>-1.2067259999999999E-6</v>
      </c>
      <c r="I5392">
        <v>17.25639</v>
      </c>
      <c r="J5392">
        <v>-362.21300000000002</v>
      </c>
      <c r="K5392">
        <v>1.1056219999999899</v>
      </c>
      <c r="L5392">
        <v>17.173739999999999</v>
      </c>
      <c r="M5392">
        <v>0.99961489999999997</v>
      </c>
      <c r="N5392">
        <v>0</v>
      </c>
      <c r="O5392">
        <v>2.4033889999999999E-2</v>
      </c>
      <c r="P5392">
        <v>0.99753210000000003</v>
      </c>
      <c r="Q5392">
        <v>-1.365097E-3</v>
      </c>
      <c r="R5392">
        <v>7.0202169999999994E-2</v>
      </c>
      <c r="S5392">
        <v>3.0065309999999998</v>
      </c>
      <c r="T5392">
        <v>-0.1379068</v>
      </c>
      <c r="U5392">
        <v>1.083374E-2</v>
      </c>
      <c r="V5392">
        <v>-4.622631E-2</v>
      </c>
      <c r="W5392">
        <v>1.2423969999999999E-2</v>
      </c>
      <c r="X5392">
        <v>0.99885369999999996</v>
      </c>
      <c r="Y5392">
        <v>2.0386999999999999E-2</v>
      </c>
      <c r="Z5392">
        <v>-1.5691629999999999E-3</v>
      </c>
      <c r="AA5392">
        <v>0.99979089999999904</v>
      </c>
      <c r="AB5392">
        <v>27</v>
      </c>
      <c r="AC5392">
        <v>23.954899999999999</v>
      </c>
      <c r="AD5392">
        <v>-1.1056232067259999</v>
      </c>
      <c r="AE5392">
        <v>8.2650000000000903E-2</v>
      </c>
      <c r="AF5392">
        <v>0.49211041645228099</v>
      </c>
      <c r="AG5392">
        <v>-1.1056232067259999</v>
      </c>
      <c r="AH5392">
        <v>23.899055980894801</v>
      </c>
      <c r="AI5392">
        <v>92.648180447802005</v>
      </c>
      <c r="AJ5392">
        <v>88.820377425778105</v>
      </c>
      <c r="AK5392">
        <v>23.929677225470002</v>
      </c>
    </row>
    <row r="5393" spans="1:37" x14ac:dyDescent="0.2">
      <c r="A5393" t="str">
        <f>"20200111155703456"</f>
        <v>20200111155703456</v>
      </c>
      <c r="B5393" t="str">
        <f>"1578729423448453"</f>
        <v>1578729423448453</v>
      </c>
      <c r="C5393" t="s">
        <v>37</v>
      </c>
      <c r="D5393">
        <v>5.2216100000000001</v>
      </c>
      <c r="E5393">
        <v>0.52487150000000005</v>
      </c>
      <c r="F5393" t="s">
        <v>38</v>
      </c>
      <c r="G5393">
        <v>-338.392</v>
      </c>
      <c r="H5393" s="1">
        <v>-1.155647E-6</v>
      </c>
      <c r="I5393">
        <v>17.277149999999999</v>
      </c>
      <c r="J5393">
        <v>-362.00699999999898</v>
      </c>
      <c r="K5393">
        <v>1.1056029999999999</v>
      </c>
      <c r="L5393">
        <v>17.179500000000001</v>
      </c>
      <c r="M5393">
        <v>0.99959709999999902</v>
      </c>
      <c r="N5393">
        <v>0</v>
      </c>
      <c r="O5393">
        <v>2.4752710000000001E-2</v>
      </c>
      <c r="P5393">
        <v>0.9975233</v>
      </c>
      <c r="Q5393">
        <v>-2.6393789999999999E-3</v>
      </c>
      <c r="R5393">
        <v>7.0287790000000003E-2</v>
      </c>
      <c r="S5393">
        <v>3.0063169999999899</v>
      </c>
      <c r="T5393">
        <v>-0.13953479999999999</v>
      </c>
      <c r="U5393">
        <v>1.306152E-2</v>
      </c>
      <c r="V5393">
        <v>-4.5590650000000003E-2</v>
      </c>
      <c r="W5393">
        <v>1.1164739999999999E-2</v>
      </c>
      <c r="X5393">
        <v>0.99889779999999995</v>
      </c>
      <c r="Y5393">
        <v>2.0362979999999999E-2</v>
      </c>
      <c r="Z5393">
        <v>-1.6205589999999999E-3</v>
      </c>
      <c r="AA5393">
        <v>0.99979130000000005</v>
      </c>
      <c r="AB5393">
        <v>27</v>
      </c>
      <c r="AC5393">
        <v>23.614999999999899</v>
      </c>
      <c r="AD5393">
        <v>-1.105604155647</v>
      </c>
      <c r="AE5393">
        <v>9.7649999999998002E-2</v>
      </c>
      <c r="AF5393">
        <v>0.485906523605945</v>
      </c>
      <c r="AG5393">
        <v>-1.105604155647</v>
      </c>
      <c r="AH5393">
        <v>23.558543007520001</v>
      </c>
      <c r="AI5393">
        <v>92.686353210074202</v>
      </c>
      <c r="AJ5393">
        <v>88.818413932891303</v>
      </c>
      <c r="AK5393">
        <v>23.589476771133199</v>
      </c>
    </row>
    <row r="5394" spans="1:37" x14ac:dyDescent="0.2">
      <c r="A5394" t="str">
        <f>"20200111155703470"</f>
        <v>20200111155703470</v>
      </c>
      <c r="B5394" t="str">
        <f>"1578729423458213"</f>
        <v>1578729423458213</v>
      </c>
      <c r="C5394" t="s">
        <v>37</v>
      </c>
      <c r="D5394">
        <v>5.2222369999999998</v>
      </c>
      <c r="E5394">
        <v>0.52471619999999997</v>
      </c>
      <c r="F5394" t="s">
        <v>38</v>
      </c>
      <c r="G5394">
        <v>-338.97500000000002</v>
      </c>
      <c r="H5394" s="1">
        <v>-9.5158780000000003E-7</v>
      </c>
      <c r="I5394">
        <v>17.298439999999999</v>
      </c>
      <c r="J5394">
        <v>-361.84399999999999</v>
      </c>
      <c r="K5394">
        <v>1.105588</v>
      </c>
      <c r="L5394">
        <v>17.184200000000001</v>
      </c>
      <c r="M5394">
        <v>0.99958340000000001</v>
      </c>
      <c r="N5394">
        <v>0</v>
      </c>
      <c r="O5394">
        <v>2.5301170000000001E-2</v>
      </c>
      <c r="P5394">
        <v>0.99751800000000002</v>
      </c>
      <c r="Q5394">
        <v>-3.1038070000000001E-3</v>
      </c>
      <c r="R5394">
        <v>7.0344500000000004E-2</v>
      </c>
      <c r="S5394">
        <v>3.005951</v>
      </c>
      <c r="T5394">
        <v>-0.14429449999999999</v>
      </c>
      <c r="U5394">
        <v>1.5533450000000001E-2</v>
      </c>
      <c r="V5394">
        <v>-4.5098359999999997E-2</v>
      </c>
      <c r="W5394">
        <v>1.071129E-2</v>
      </c>
      <c r="X5394">
        <v>0.99892510000000001</v>
      </c>
      <c r="Y5394">
        <v>2.0085169999999999E-2</v>
      </c>
      <c r="Z5394">
        <v>-1.695617E-3</v>
      </c>
      <c r="AA5394">
        <v>0.99979680000000004</v>
      </c>
      <c r="AB5394">
        <v>27</v>
      </c>
      <c r="AC5394">
        <v>22.8689999999999</v>
      </c>
      <c r="AD5394">
        <v>-1.1055889515877999</v>
      </c>
      <c r="AE5394">
        <v>0.114239999999998</v>
      </c>
      <c r="AF5394">
        <v>0.46338186165911999</v>
      </c>
      <c r="AG5394">
        <v>-1.1055889515877999</v>
      </c>
      <c r="AH5394">
        <v>22.811255527419402</v>
      </c>
      <c r="AI5394">
        <v>92.774201323057994</v>
      </c>
      <c r="AJ5394">
        <v>88.836268615824906</v>
      </c>
      <c r="AK5394">
        <v>22.8427325076667</v>
      </c>
    </row>
    <row r="5395" spans="1:37" x14ac:dyDescent="0.2">
      <c r="A5395" t="str">
        <f>"20200111155703484"</f>
        <v>20200111155703484</v>
      </c>
      <c r="B5395" t="str">
        <f>"1578729423478710"</f>
        <v>1578729423478710</v>
      </c>
      <c r="C5395" t="s">
        <v>37</v>
      </c>
      <c r="D5395">
        <v>5.2490559999999897</v>
      </c>
      <c r="E5395">
        <v>0.52442169999999999</v>
      </c>
      <c r="F5395" t="s">
        <v>38</v>
      </c>
      <c r="G5395">
        <v>-339.09739999999999</v>
      </c>
      <c r="H5395" s="1">
        <v>-9.0626889999999996E-7</v>
      </c>
      <c r="I5395">
        <v>17.3123</v>
      </c>
      <c r="J5395">
        <v>-361.66860000000003</v>
      </c>
      <c r="K5395">
        <v>1.1055709999999901</v>
      </c>
      <c r="L5395">
        <v>17.189239999999899</v>
      </c>
      <c r="M5395">
        <v>0.99956849999999997</v>
      </c>
      <c r="N5395">
        <v>0</v>
      </c>
      <c r="O5395">
        <v>2.58742E-2</v>
      </c>
      <c r="P5395">
        <v>0.997484499999999</v>
      </c>
      <c r="Q5395">
        <v>-3.1101409999999999E-3</v>
      </c>
      <c r="R5395">
        <v>7.0817169999999999E-2</v>
      </c>
      <c r="S5395">
        <v>3.0058590000000001</v>
      </c>
      <c r="T5395">
        <v>-0.1460979</v>
      </c>
      <c r="U5395">
        <v>1.6937259999999999E-2</v>
      </c>
      <c r="V5395">
        <v>-4.4998330000000003E-2</v>
      </c>
      <c r="W5395">
        <v>1.0714629999999999E-2</v>
      </c>
      <c r="X5395">
        <v>0.99892959999999997</v>
      </c>
      <c r="Y5395">
        <v>2.0189149999999999E-2</v>
      </c>
      <c r="Z5395">
        <v>-1.74718799999999E-3</v>
      </c>
      <c r="AA5395">
        <v>0.99979470000000004</v>
      </c>
      <c r="AB5395">
        <v>27</v>
      </c>
      <c r="AC5395">
        <v>22.571200000000001</v>
      </c>
      <c r="AD5395">
        <v>-1.10557190626889</v>
      </c>
      <c r="AE5395">
        <v>0.123060000000002</v>
      </c>
      <c r="AF5395">
        <v>0.45994595008981198</v>
      </c>
      <c r="AG5395">
        <v>-1.10557190626889</v>
      </c>
      <c r="AH5395">
        <v>22.512815320209299</v>
      </c>
      <c r="AI5395">
        <v>92.810868876767003</v>
      </c>
      <c r="AJ5395">
        <v>88.8295868064871</v>
      </c>
      <c r="AK5395">
        <v>22.544637791696399</v>
      </c>
    </row>
    <row r="5396" spans="1:37" x14ac:dyDescent="0.2">
      <c r="A5396" t="str">
        <f>"20200111155703501"</f>
        <v>20200111155703501</v>
      </c>
      <c r="B5396" t="str">
        <f>"1578729423498230"</f>
        <v>1578729423498230</v>
      </c>
      <c r="C5396" t="s">
        <v>37</v>
      </c>
      <c r="D5396">
        <v>5.2633260000000002</v>
      </c>
      <c r="E5396">
        <v>0.52416240000000003</v>
      </c>
      <c r="F5396" t="s">
        <v>38</v>
      </c>
      <c r="G5396">
        <v>-339.0609</v>
      </c>
      <c r="H5396" s="1">
        <v>-9.1004229999999999E-7</v>
      </c>
      <c r="I5396">
        <v>17.34479</v>
      </c>
      <c r="J5396">
        <v>-361.48259999999999</v>
      </c>
      <c r="K5396">
        <v>1.105556</v>
      </c>
      <c r="L5396">
        <v>17.19473</v>
      </c>
      <c r="M5396">
        <v>0.99955309999999897</v>
      </c>
      <c r="N5396">
        <v>0</v>
      </c>
      <c r="O5396">
        <v>2.6459340000000001E-2</v>
      </c>
      <c r="P5396">
        <v>0.99752090000000004</v>
      </c>
      <c r="Q5396">
        <v>-2.0582809999999999E-3</v>
      </c>
      <c r="R5396">
        <v>7.0342249999999995E-2</v>
      </c>
      <c r="S5396">
        <v>3.0056759999999998</v>
      </c>
      <c r="T5396">
        <v>-0.14698420000000001</v>
      </c>
      <c r="U5396">
        <v>2.0690920000000002E-2</v>
      </c>
      <c r="V5396">
        <v>-4.3938909999999998E-2</v>
      </c>
      <c r="W5396">
        <v>1.177839E-2</v>
      </c>
      <c r="X5396">
        <v>0.99896479999999999</v>
      </c>
      <c r="Y5396">
        <v>1.9524949999999999E-2</v>
      </c>
      <c r="Z5396">
        <v>-1.7702309999999999E-3</v>
      </c>
      <c r="AA5396">
        <v>0.99980780000000002</v>
      </c>
      <c r="AB5396">
        <v>27</v>
      </c>
      <c r="AC5396">
        <v>22.421699999999898</v>
      </c>
      <c r="AD5396">
        <v>-1.1055569100422999</v>
      </c>
      <c r="AE5396">
        <v>0.150059999999999</v>
      </c>
      <c r="AF5396">
        <v>0.44223820655701601</v>
      </c>
      <c r="AG5396">
        <v>-1.1055569100422999</v>
      </c>
      <c r="AH5396">
        <v>22.363451156525802</v>
      </c>
      <c r="AI5396">
        <v>92.829610977346505</v>
      </c>
      <c r="AJ5396">
        <v>88.867121156982506</v>
      </c>
      <c r="AK5396">
        <v>22.3951284511386</v>
      </c>
    </row>
    <row r="5397" spans="1:37" x14ac:dyDescent="0.2">
      <c r="A5397" t="str">
        <f>"20200111155703514"</f>
        <v>20200111155703514</v>
      </c>
      <c r="B5397" t="str">
        <f>"1578729423508965"</f>
        <v>1578729423508965</v>
      </c>
      <c r="C5397" t="s">
        <v>37</v>
      </c>
      <c r="D5397">
        <v>5.2978529999999999</v>
      </c>
      <c r="E5397">
        <v>0.52402499999999996</v>
      </c>
      <c r="F5397" t="s">
        <v>38</v>
      </c>
      <c r="G5397">
        <v>-338.50170000000003</v>
      </c>
      <c r="H5397" s="1">
        <v>-1.0968729999999999E-6</v>
      </c>
      <c r="I5397">
        <v>17.357749999999999</v>
      </c>
      <c r="J5397">
        <v>-361.31259999999997</v>
      </c>
      <c r="K5397">
        <v>1.105537</v>
      </c>
      <c r="L5397">
        <v>17.199829999999999</v>
      </c>
      <c r="M5397">
        <v>0.99953950000000003</v>
      </c>
      <c r="N5397">
        <v>0</v>
      </c>
      <c r="O5397">
        <v>2.6967129999999999E-2</v>
      </c>
      <c r="P5397">
        <v>0.99753429999999998</v>
      </c>
      <c r="Q5397">
        <v>-1.4090379999999901E-3</v>
      </c>
      <c r="R5397">
        <v>7.0168259999999996E-2</v>
      </c>
      <c r="S5397">
        <v>3.0057070000000001</v>
      </c>
      <c r="T5397">
        <v>-0.14459759999999999</v>
      </c>
      <c r="U5397">
        <v>2.133179E-2</v>
      </c>
      <c r="V5397">
        <v>-4.3256900000000001E-2</v>
      </c>
      <c r="W5397">
        <v>1.243732E-2</v>
      </c>
      <c r="X5397">
        <v>0.9989865</v>
      </c>
      <c r="Y5397">
        <v>1.9820629999999999E-2</v>
      </c>
      <c r="Z5397">
        <v>-1.7730179999999999E-3</v>
      </c>
      <c r="AA5397">
        <v>0.99980199999999997</v>
      </c>
      <c r="AB5397">
        <v>27</v>
      </c>
      <c r="AC5397">
        <v>22.810899999999901</v>
      </c>
      <c r="AD5397">
        <v>-1.105538096873</v>
      </c>
      <c r="AE5397">
        <v>0.15792</v>
      </c>
      <c r="AF5397">
        <v>0.45626981593724503</v>
      </c>
      <c r="AG5397">
        <v>-1.105538096873</v>
      </c>
      <c r="AH5397">
        <v>22.753418900464801</v>
      </c>
      <c r="AI5397">
        <v>92.781128859705802</v>
      </c>
      <c r="AJ5397">
        <v>88.851213012957402</v>
      </c>
      <c r="AK5397">
        <v>22.7848297840603</v>
      </c>
    </row>
    <row r="5398" spans="1:37" x14ac:dyDescent="0.2">
      <c r="A5398" t="str">
        <f>"20200111155703528"</f>
        <v>20200111155703528</v>
      </c>
      <c r="B5398" t="str">
        <f>"1578729423518725"</f>
        <v>1578729423518725</v>
      </c>
      <c r="C5398" t="s">
        <v>37</v>
      </c>
      <c r="D5398">
        <v>5.2870730000000004</v>
      </c>
      <c r="E5398">
        <v>0.52389649999999999</v>
      </c>
      <c r="F5398" t="s">
        <v>38</v>
      </c>
      <c r="G5398">
        <v>-338.09190000000001</v>
      </c>
      <c r="H5398" s="1">
        <v>-1.233403E-6</v>
      </c>
      <c r="I5398">
        <v>17.368790000000001</v>
      </c>
      <c r="J5398">
        <v>-361.15410000000003</v>
      </c>
      <c r="K5398">
        <v>1.105518</v>
      </c>
      <c r="L5398">
        <v>17.204619999999998</v>
      </c>
      <c r="M5398">
        <v>0.99952719999999995</v>
      </c>
      <c r="N5398">
        <v>0</v>
      </c>
      <c r="O5398">
        <v>2.7418789999999998E-2</v>
      </c>
      <c r="P5398">
        <v>0.99753380000000003</v>
      </c>
      <c r="Q5398">
        <v>-6.5452329999999995E-4</v>
      </c>
      <c r="R5398">
        <v>7.0188769999999998E-2</v>
      </c>
      <c r="S5398">
        <v>3.005646</v>
      </c>
      <c r="T5398">
        <v>-0.143098799999999</v>
      </c>
      <c r="U5398">
        <v>2.18810999999999E-2</v>
      </c>
      <c r="V5398">
        <v>-4.2826339999999997E-2</v>
      </c>
      <c r="W5398">
        <v>1.3199249999999999E-2</v>
      </c>
      <c r="X5398">
        <v>0.99899539999999998</v>
      </c>
      <c r="Y5398">
        <v>2.0089849999999999E-2</v>
      </c>
      <c r="Z5398">
        <v>-1.7825849999999999E-3</v>
      </c>
      <c r="AA5398">
        <v>0.99979660000000004</v>
      </c>
      <c r="AB5398">
        <v>27</v>
      </c>
      <c r="AC5398">
        <v>23.062200000000001</v>
      </c>
      <c r="AD5398">
        <v>-1.105519233403</v>
      </c>
      <c r="AE5398">
        <v>0.16416999999999801</v>
      </c>
      <c r="AF5398">
        <v>0.46721700427215701</v>
      </c>
      <c r="AG5398">
        <v>-1.105519233403</v>
      </c>
      <c r="AH5398">
        <v>23.005168603540302</v>
      </c>
      <c r="AI5398">
        <v>92.750680398408903</v>
      </c>
      <c r="AJ5398">
        <v>88.836527419708503</v>
      </c>
      <c r="AK5398">
        <v>23.0364547398644</v>
      </c>
    </row>
    <row r="5399" spans="1:37" x14ac:dyDescent="0.2">
      <c r="A5399" t="str">
        <f>"20200111155703546"</f>
        <v>20200111155703546</v>
      </c>
      <c r="B5399" t="str">
        <f>"1578729423538244"</f>
        <v>1578729423538244</v>
      </c>
      <c r="C5399" t="s">
        <v>37</v>
      </c>
      <c r="D5399">
        <v>5.3075299999999999</v>
      </c>
      <c r="E5399">
        <v>0.52366639999999998</v>
      </c>
      <c r="F5399" t="s">
        <v>38</v>
      </c>
      <c r="G5399">
        <v>-337.63569999999999</v>
      </c>
      <c r="H5399" s="1">
        <v>-1.39246E-6</v>
      </c>
      <c r="I5399">
        <v>17.38458</v>
      </c>
      <c r="J5399">
        <v>-360.94540000000001</v>
      </c>
      <c r="K5399">
        <v>1.1054949999999999</v>
      </c>
      <c r="L5399">
        <v>17.211029999999901</v>
      </c>
      <c r="M5399">
        <v>0.9995115</v>
      </c>
      <c r="N5399">
        <v>0</v>
      </c>
      <c r="O5399">
        <v>2.7981740000000001E-2</v>
      </c>
      <c r="P5399">
        <v>0.99753579999999997</v>
      </c>
      <c r="Q5399">
        <v>1.5483739999999999E-3</v>
      </c>
      <c r="R5399">
        <v>7.0144970000000001E-2</v>
      </c>
      <c r="S5399">
        <v>3.0057070000000001</v>
      </c>
      <c r="T5399">
        <v>-0.141288</v>
      </c>
      <c r="U5399">
        <v>2.3010249999999999E-2</v>
      </c>
      <c r="V5399">
        <v>-4.2221439999999999E-2</v>
      </c>
      <c r="W5399">
        <v>1.541155E-2</v>
      </c>
      <c r="X5399">
        <v>0.99898940000000003</v>
      </c>
      <c r="Y5399">
        <v>2.0278060000000001E-2</v>
      </c>
      <c r="Z5399">
        <v>-1.7908760000000001E-3</v>
      </c>
      <c r="AA5399">
        <v>0.99979280000000004</v>
      </c>
      <c r="AB5399">
        <v>27</v>
      </c>
      <c r="AC5399">
        <v>23.309699999999999</v>
      </c>
      <c r="AD5399">
        <v>-1.1054963924600001</v>
      </c>
      <c r="AE5399">
        <v>0.17355000000000201</v>
      </c>
      <c r="AF5399">
        <v>0.47775260642508999</v>
      </c>
      <c r="AG5399">
        <v>-1.1054963924600001</v>
      </c>
      <c r="AH5399">
        <v>23.253128028683602</v>
      </c>
      <c r="AI5399">
        <v>92.721323621815301</v>
      </c>
      <c r="AJ5399">
        <v>88.822981695958504</v>
      </c>
      <c r="AK5399">
        <v>23.284293696503699</v>
      </c>
    </row>
    <row r="5400" spans="1:37" x14ac:dyDescent="0.2">
      <c r="A5400" t="str">
        <f>"20200111155703559"</f>
        <v>20200111155703559</v>
      </c>
      <c r="B5400" t="str">
        <f>"1578729423548980"</f>
        <v>1578729423548980</v>
      </c>
      <c r="C5400" t="s">
        <v>37</v>
      </c>
      <c r="D5400">
        <v>6.1284799999999997</v>
      </c>
      <c r="E5400">
        <v>0.52354129999999999</v>
      </c>
      <c r="F5400" t="s">
        <v>38</v>
      </c>
      <c r="G5400">
        <v>-336.4203</v>
      </c>
      <c r="H5400" s="1">
        <v>-1.90893E-6</v>
      </c>
      <c r="I5400">
        <v>17.412379999999999</v>
      </c>
      <c r="J5400">
        <v>-360.79250000000002</v>
      </c>
      <c r="K5400">
        <v>1.1054709999999901</v>
      </c>
      <c r="L5400">
        <v>17.21576</v>
      </c>
      <c r="M5400">
        <v>0.99950039999999996</v>
      </c>
      <c r="N5400">
        <v>0</v>
      </c>
      <c r="O5400">
        <v>2.837143E-2</v>
      </c>
      <c r="P5400">
        <v>0.99752269999999899</v>
      </c>
      <c r="Q5400">
        <v>3.37680599999999E-3</v>
      </c>
      <c r="R5400">
        <v>7.0265040000000001E-2</v>
      </c>
      <c r="S5400">
        <v>3.00589</v>
      </c>
      <c r="T5400">
        <v>-0.13549369999999999</v>
      </c>
      <c r="U5400">
        <v>2.4688720000000001E-2</v>
      </c>
      <c r="V5400">
        <v>-4.1953419999999998E-2</v>
      </c>
      <c r="W5400">
        <v>1.7247120000000001E-2</v>
      </c>
      <c r="X5400">
        <v>0.99897069999999999</v>
      </c>
      <c r="Y5400">
        <v>2.0114130000000001E-2</v>
      </c>
      <c r="Z5400">
        <v>-1.7312549999999999E-3</v>
      </c>
      <c r="AA5400">
        <v>0.99979619999999902</v>
      </c>
      <c r="AB5400">
        <v>26</v>
      </c>
      <c r="AC5400">
        <v>24.372199999999999</v>
      </c>
      <c r="AD5400">
        <v>-1.1054729089299999</v>
      </c>
      <c r="AE5400">
        <v>0.19661999999999899</v>
      </c>
      <c r="AF5400">
        <v>0.49398418916252002</v>
      </c>
      <c r="AG5400">
        <v>-1.1054729089299999</v>
      </c>
      <c r="AH5400">
        <v>24.317938907507699</v>
      </c>
      <c r="AI5400">
        <v>92.602289546912104</v>
      </c>
      <c r="AJ5400">
        <v>88.836278138819395</v>
      </c>
      <c r="AK5400">
        <v>24.3480644701134</v>
      </c>
    </row>
    <row r="5401" spans="1:37" x14ac:dyDescent="0.2">
      <c r="A5401" t="str">
        <f>"20200111155703571"</f>
        <v>20200111155703571</v>
      </c>
      <c r="B5401" t="str">
        <f>"1578729423568501"</f>
        <v>1578729423568501</v>
      </c>
      <c r="C5401" t="s">
        <v>37</v>
      </c>
      <c r="D5401">
        <v>5.3260930000000002</v>
      </c>
      <c r="E5401">
        <v>0.52329490000000001</v>
      </c>
      <c r="F5401" t="s">
        <v>38</v>
      </c>
      <c r="G5401">
        <v>-335.14940000000001</v>
      </c>
      <c r="H5401" s="1">
        <v>-2.4497029999999999E-6</v>
      </c>
      <c r="I5401">
        <v>17.437479999999901</v>
      </c>
      <c r="J5401">
        <v>-360.64240000000001</v>
      </c>
      <c r="K5401">
        <v>1.1054469999999901</v>
      </c>
      <c r="L5401">
        <v>17.22043</v>
      </c>
      <c r="M5401">
        <v>0.99949059999999901</v>
      </c>
      <c r="N5401">
        <v>0</v>
      </c>
      <c r="O5401">
        <v>2.8716729999999999E-2</v>
      </c>
      <c r="P5401">
        <v>0.9975039</v>
      </c>
      <c r="Q5401">
        <v>4.7277040000000001E-3</v>
      </c>
      <c r="R5401">
        <v>7.0455619999999997E-2</v>
      </c>
      <c r="S5401">
        <v>3.00607299999999</v>
      </c>
      <c r="T5401">
        <v>-0.12959119999999999</v>
      </c>
      <c r="U5401">
        <v>2.600098E-2</v>
      </c>
      <c r="V5401">
        <v>-4.1799019999999999E-2</v>
      </c>
      <c r="W5401">
        <v>1.860351E-2</v>
      </c>
      <c r="X5401">
        <v>0.99895279999999997</v>
      </c>
      <c r="Y5401">
        <v>2.0027590000000001E-2</v>
      </c>
      <c r="Z5401">
        <v>-1.668814E-3</v>
      </c>
      <c r="AA5401">
        <v>0.99979810000000002</v>
      </c>
      <c r="AB5401">
        <v>26</v>
      </c>
      <c r="AC5401">
        <v>25.492999999999899</v>
      </c>
      <c r="AD5401">
        <v>-1.1054494497030001</v>
      </c>
      <c r="AE5401">
        <v>0.217049999999996</v>
      </c>
      <c r="AF5401">
        <v>0.51421927441153503</v>
      </c>
      <c r="AG5401">
        <v>-1.1054494497030001</v>
      </c>
      <c r="AH5401">
        <v>25.4408839656198</v>
      </c>
      <c r="AI5401">
        <v>92.487526064098205</v>
      </c>
      <c r="AJ5401">
        <v>88.842077067918595</v>
      </c>
      <c r="AK5401">
        <v>25.470080818484899</v>
      </c>
    </row>
    <row r="5402" spans="1:37" x14ac:dyDescent="0.2">
      <c r="A5402" t="str">
        <f>"20200111155703589"</f>
        <v>20200111155703589</v>
      </c>
      <c r="B5402" t="str">
        <f>"1578729423578260"</f>
        <v>1578729423578260</v>
      </c>
      <c r="C5402" t="s">
        <v>37</v>
      </c>
      <c r="D5402">
        <v>5.2451889999999999</v>
      </c>
      <c r="E5402">
        <v>0.52334040000000004</v>
      </c>
      <c r="F5402" t="s">
        <v>38</v>
      </c>
      <c r="G5402">
        <v>-334.31560000000002</v>
      </c>
      <c r="H5402" s="1">
        <v>-2.8015030000000001E-6</v>
      </c>
      <c r="I5402">
        <v>17.470510000000001</v>
      </c>
      <c r="J5402">
        <v>-360.43520000000001</v>
      </c>
      <c r="K5402">
        <v>1.1054059999999899</v>
      </c>
      <c r="L5402">
        <v>17.226900000000001</v>
      </c>
      <c r="M5402">
        <v>0.99947759999999997</v>
      </c>
      <c r="N5402">
        <v>0</v>
      </c>
      <c r="O5402">
        <v>2.915649E-2</v>
      </c>
      <c r="P5402">
        <v>0.99751990000000001</v>
      </c>
      <c r="Q5402">
        <v>6.0960819999999897E-3</v>
      </c>
      <c r="R5402">
        <v>7.0120799999999997E-2</v>
      </c>
      <c r="S5402">
        <v>3.0061339999999999</v>
      </c>
      <c r="T5402">
        <v>-0.12622619999999901</v>
      </c>
      <c r="U5402">
        <v>2.8564450000000002E-2</v>
      </c>
      <c r="V5402">
        <v>-4.1023869999999997E-2</v>
      </c>
      <c r="W5402">
        <v>1.9979879999999998E-2</v>
      </c>
      <c r="X5402">
        <v>0.99895840000000002</v>
      </c>
      <c r="Y5402">
        <v>1.961746E-2</v>
      </c>
      <c r="Z5402">
        <v>-1.635322E-3</v>
      </c>
      <c r="AA5402">
        <v>0.99980619999999998</v>
      </c>
      <c r="AB5402">
        <v>26</v>
      </c>
      <c r="AC5402">
        <v>26.119599999999899</v>
      </c>
      <c r="AD5402">
        <v>-1.1054088015029999</v>
      </c>
      <c r="AE5402">
        <v>0.24360999999999999</v>
      </c>
      <c r="AF5402">
        <v>0.517197232532287</v>
      </c>
      <c r="AG5402">
        <v>-1.1054088015029999</v>
      </c>
      <c r="AH5402">
        <v>26.068909629051799</v>
      </c>
      <c r="AI5402">
        <v>92.427600626534002</v>
      </c>
      <c r="AJ5402">
        <v>88.863422676371002</v>
      </c>
      <c r="AK5402">
        <v>26.097461003772899</v>
      </c>
    </row>
    <row r="5403" spans="1:37" x14ac:dyDescent="0.2">
      <c r="A5403" t="str">
        <f>"20200111155703603"</f>
        <v>20200111155703603</v>
      </c>
      <c r="B5403" t="str">
        <f>"1578729423598756"</f>
        <v>1578729423598756</v>
      </c>
      <c r="C5403" t="s">
        <v>37</v>
      </c>
      <c r="D5403">
        <v>5.4287419999999997</v>
      </c>
      <c r="E5403">
        <v>0.52330080000000001</v>
      </c>
      <c r="F5403" t="s">
        <v>38</v>
      </c>
      <c r="G5403">
        <v>-333.12849999999997</v>
      </c>
      <c r="H5403" s="1">
        <v>-3.310288E-6</v>
      </c>
      <c r="I5403">
        <v>17.47325</v>
      </c>
      <c r="J5403">
        <v>-360.26159999999999</v>
      </c>
      <c r="K5403">
        <v>1.1053660000000001</v>
      </c>
      <c r="L5403">
        <v>17.23236</v>
      </c>
      <c r="M5403">
        <v>0.99946809999999997</v>
      </c>
      <c r="N5403">
        <v>0</v>
      </c>
      <c r="O5403">
        <v>2.9482660000000001E-2</v>
      </c>
      <c r="P5403">
        <v>0.99752280000000004</v>
      </c>
      <c r="Q5403">
        <v>5.7615959999999999E-3</v>
      </c>
      <c r="R5403">
        <v>7.0107939999999994E-2</v>
      </c>
      <c r="S5403">
        <v>3.0062259999999998</v>
      </c>
      <c r="T5403">
        <v>-0.12169580000000001</v>
      </c>
      <c r="U5403">
        <v>2.7130129999999999E-2</v>
      </c>
      <c r="V5403">
        <v>-4.0682599999999999E-2</v>
      </c>
      <c r="W5403">
        <v>1.9652360000000001E-2</v>
      </c>
      <c r="X5403">
        <v>0.9989789</v>
      </c>
      <c r="Y5403">
        <v>2.04231E-2</v>
      </c>
      <c r="Z5403">
        <v>-1.6061279999999901E-3</v>
      </c>
      <c r="AA5403">
        <v>0.99979010000000001</v>
      </c>
      <c r="AB5403">
        <v>26</v>
      </c>
      <c r="AC5403">
        <v>27.133099999999999</v>
      </c>
      <c r="AD5403">
        <v>-1.105369310288</v>
      </c>
      <c r="AE5403">
        <v>0.24088999999999999</v>
      </c>
      <c r="AF5403">
        <v>0.55832187749011697</v>
      </c>
      <c r="AG5403">
        <v>-1.105369310288</v>
      </c>
      <c r="AH5403">
        <v>27.083460030558602</v>
      </c>
      <c r="AI5403">
        <v>92.336645140470793</v>
      </c>
      <c r="AJ5403">
        <v>88.819022504640301</v>
      </c>
      <c r="AK5403">
        <v>27.1117570780257</v>
      </c>
    </row>
    <row r="5404" spans="1:37" x14ac:dyDescent="0.2">
      <c r="A5404" t="str">
        <f>"20200111155703616"</f>
        <v>20200111155703616</v>
      </c>
      <c r="B5404" t="str">
        <f>"1578729423608517"</f>
        <v>1578729423608517</v>
      </c>
      <c r="C5404" t="s">
        <v>37</v>
      </c>
      <c r="D5404">
        <v>5.341939</v>
      </c>
      <c r="E5404">
        <v>0.55356380000000005</v>
      </c>
      <c r="F5404" t="s">
        <v>38</v>
      </c>
      <c r="G5404">
        <v>-332.95909999999998</v>
      </c>
      <c r="H5404" s="1">
        <v>-3.3816019999999898E-6</v>
      </c>
      <c r="I5404">
        <v>17.480899999999998</v>
      </c>
      <c r="J5404">
        <v>-360.11470000000003</v>
      </c>
      <c r="K5404">
        <v>1.1053280000000001</v>
      </c>
      <c r="L5404">
        <v>17.236999999999998</v>
      </c>
      <c r="M5404">
        <v>0.99946089999999999</v>
      </c>
      <c r="N5404">
        <v>0</v>
      </c>
      <c r="O5404">
        <v>2.9726969999999998E-2</v>
      </c>
      <c r="P5404">
        <v>0.99751840000000003</v>
      </c>
      <c r="Q5404">
        <v>5.3220219999999896E-3</v>
      </c>
      <c r="R5404">
        <v>7.0208010000000001E-2</v>
      </c>
      <c r="S5404">
        <v>3.006195</v>
      </c>
      <c r="T5404">
        <v>-0.1217087</v>
      </c>
      <c r="U5404">
        <v>2.7374269999999999E-2</v>
      </c>
      <c r="V5404">
        <v>-4.0536219999999998E-2</v>
      </c>
      <c r="W5404">
        <v>1.9218519999999999E-2</v>
      </c>
      <c r="X5404">
        <v>0.99899319999999903</v>
      </c>
      <c r="Y5404">
        <v>2.0585869999999999E-2</v>
      </c>
      <c r="Z5404">
        <v>-1.619491E-3</v>
      </c>
      <c r="AA5404">
        <v>0.99978679999999998</v>
      </c>
      <c r="AB5404">
        <v>26</v>
      </c>
      <c r="AC5404">
        <v>27.1556</v>
      </c>
      <c r="AD5404">
        <v>-1.1053313816020001</v>
      </c>
      <c r="AE5404">
        <v>0.24389999999999601</v>
      </c>
      <c r="AF5404">
        <v>0.56260787490143904</v>
      </c>
      <c r="AG5404">
        <v>-1.1053313816020001</v>
      </c>
      <c r="AH5404">
        <v>27.105942424441601</v>
      </c>
      <c r="AI5404">
        <v>92.334622387600703</v>
      </c>
      <c r="AJ5404">
        <v>88.810946012630495</v>
      </c>
      <c r="AK5404">
        <v>27.134303009312799</v>
      </c>
    </row>
    <row r="5405" spans="1:37" x14ac:dyDescent="0.2">
      <c r="A5405" t="str">
        <f>"20200111155703629"</f>
        <v>20200111155703629</v>
      </c>
      <c r="B5405" t="str">
        <f>"1578729423618277"</f>
        <v>1578729423618277</v>
      </c>
      <c r="C5405" t="s">
        <v>37</v>
      </c>
      <c r="D5405">
        <v>5.367718</v>
      </c>
      <c r="E5405">
        <v>0.55530639999999998</v>
      </c>
      <c r="F5405" t="s">
        <v>40</v>
      </c>
      <c r="G5405">
        <v>-359.36529999999999</v>
      </c>
      <c r="H5405">
        <v>1.0431549999999901</v>
      </c>
      <c r="I5405">
        <v>17.18441</v>
      </c>
      <c r="J5405">
        <v>-359.96859999999998</v>
      </c>
      <c r="K5405">
        <v>1.105278</v>
      </c>
      <c r="L5405">
        <v>17.241610000000001</v>
      </c>
      <c r="M5405">
        <v>0.99945509999999904</v>
      </c>
      <c r="N5405">
        <v>0</v>
      </c>
      <c r="O5405">
        <v>2.9922839999999999E-2</v>
      </c>
      <c r="P5405">
        <v>0.99753930000000002</v>
      </c>
      <c r="Q5405">
        <v>4.9931469999999999E-3</v>
      </c>
      <c r="R5405">
        <v>6.9934399999999994E-2</v>
      </c>
      <c r="S5405">
        <v>3.0236209999999999</v>
      </c>
      <c r="T5405">
        <v>-0.25087949999999998</v>
      </c>
      <c r="U5405">
        <v>-0.21096799999999999</v>
      </c>
      <c r="V5405">
        <v>-4.0063929999999998E-2</v>
      </c>
      <c r="W5405">
        <v>1.889528E-2</v>
      </c>
      <c r="X5405">
        <v>0.99901839999999997</v>
      </c>
      <c r="Y5405">
        <v>9.8985039999999996E-2</v>
      </c>
      <c r="Z5405">
        <v>-6.5707079999999998E-3</v>
      </c>
      <c r="AA5405">
        <v>0.99506719999999904</v>
      </c>
      <c r="AB5405">
        <v>26</v>
      </c>
      <c r="AC5405">
        <v>0.60329999999998996</v>
      </c>
      <c r="AD5405">
        <v>-6.2123000000000102E-2</v>
      </c>
      <c r="AE5405">
        <v>-5.7200000000001701E-2</v>
      </c>
      <c r="AF5405">
        <v>7.4446245372956896E-2</v>
      </c>
      <c r="AG5405">
        <v>-6.2123000000000102E-2</v>
      </c>
      <c r="AH5405">
        <v>0.59506465027636601</v>
      </c>
      <c r="AI5405">
        <v>95.914149089410103</v>
      </c>
      <c r="AJ5405">
        <v>82.868995542672806</v>
      </c>
      <c r="AK5405">
        <v>0.60291247174665796</v>
      </c>
    </row>
    <row r="5406" spans="1:37" x14ac:dyDescent="0.2">
      <c r="A5406" t="str">
        <f>"20200111155703646"</f>
        <v>20200111155703646</v>
      </c>
      <c r="B5406" t="str">
        <f>"1578729423638772"</f>
        <v>1578729423638772</v>
      </c>
      <c r="C5406" t="s">
        <v>37</v>
      </c>
      <c r="D5406">
        <v>5.3159720000000004</v>
      </c>
      <c r="E5406">
        <v>0.55754399999999904</v>
      </c>
      <c r="F5406" t="s">
        <v>40</v>
      </c>
      <c r="G5406">
        <v>-359.13279999999997</v>
      </c>
      <c r="H5406">
        <v>1.0365839999999999</v>
      </c>
      <c r="I5406">
        <v>17.17915</v>
      </c>
      <c r="J5406">
        <v>-359.77030000000002</v>
      </c>
      <c r="K5406">
        <v>1.1052029999999999</v>
      </c>
      <c r="L5406">
        <v>17.247859999999999</v>
      </c>
      <c r="M5406">
        <v>0.99944849999999996</v>
      </c>
      <c r="N5406">
        <v>0</v>
      </c>
      <c r="O5406">
        <v>3.0140480000000001E-2</v>
      </c>
      <c r="P5406">
        <v>0.99758449999999999</v>
      </c>
      <c r="Q5406">
        <v>1.932525E-3</v>
      </c>
      <c r="R5406">
        <v>6.9438180000000002E-2</v>
      </c>
      <c r="S5406">
        <v>3.0244749999999998</v>
      </c>
      <c r="T5406">
        <v>-0.2486632</v>
      </c>
      <c r="U5406">
        <v>-0.2259216</v>
      </c>
      <c r="V5406">
        <v>-3.9344299999999999E-2</v>
      </c>
      <c r="W5406">
        <v>1.5843030000000001E-2</v>
      </c>
      <c r="X5406">
        <v>0.99910010000000005</v>
      </c>
      <c r="Y5406">
        <v>0.10406549999999901</v>
      </c>
      <c r="Z5406">
        <v>-6.7359759999999899E-3</v>
      </c>
      <c r="AA5406">
        <v>0.99454759999999998</v>
      </c>
      <c r="AB5406">
        <v>26</v>
      </c>
      <c r="AC5406">
        <v>0.63750000000004503</v>
      </c>
      <c r="AD5406">
        <v>-6.8619000000000194E-2</v>
      </c>
      <c r="AE5406">
        <v>-6.8709999999999299E-2</v>
      </c>
      <c r="AF5406">
        <v>8.6899950059226502E-2</v>
      </c>
      <c r="AG5406">
        <v>-6.8619000000000194E-2</v>
      </c>
      <c r="AH5406">
        <v>0.62794738794460003</v>
      </c>
      <c r="AI5406">
        <v>96.177843066770805</v>
      </c>
      <c r="AJ5406">
        <v>82.121033680613905</v>
      </c>
      <c r="AK5406">
        <v>0.63763476262492302</v>
      </c>
    </row>
    <row r="5407" spans="1:37" x14ac:dyDescent="0.2">
      <c r="A5407" t="str">
        <f>"20200111155703660"</f>
        <v>20200111155703660</v>
      </c>
      <c r="B5407" t="str">
        <f>"1578729423648533"</f>
        <v>1578729423648533</v>
      </c>
      <c r="C5407" t="s">
        <v>37</v>
      </c>
      <c r="D5407">
        <v>5.5431319999999999</v>
      </c>
      <c r="E5407">
        <v>0.55737999999999999</v>
      </c>
      <c r="F5407" t="s">
        <v>40</v>
      </c>
      <c r="G5407">
        <v>-358.89940000000001</v>
      </c>
      <c r="H5407">
        <v>1.0327839999999999</v>
      </c>
      <c r="I5407">
        <v>17.17681</v>
      </c>
      <c r="J5407">
        <v>-359.61290000000002</v>
      </c>
      <c r="K5407">
        <v>1.105148</v>
      </c>
      <c r="L5407">
        <v>17.252779999999898</v>
      </c>
      <c r="M5407">
        <v>0.99944449999999996</v>
      </c>
      <c r="N5407">
        <v>0</v>
      </c>
      <c r="O5407">
        <v>3.027175E-2</v>
      </c>
      <c r="P5407">
        <v>0.99760499999999996</v>
      </c>
      <c r="Q5407">
        <v>1.022755E-3</v>
      </c>
      <c r="R5407">
        <v>6.9161509999999995E-2</v>
      </c>
      <c r="S5407">
        <v>3.0248409999999999</v>
      </c>
      <c r="T5407">
        <v>-0.25152720000000001</v>
      </c>
      <c r="U5407">
        <v>-0.24557499999999999</v>
      </c>
      <c r="V5407">
        <v>-3.893369E-2</v>
      </c>
      <c r="W5407">
        <v>1.494001E-2</v>
      </c>
      <c r="X5407">
        <v>0.99913009999999902</v>
      </c>
      <c r="Y5407">
        <v>0.1105749</v>
      </c>
      <c r="Z5407">
        <v>-7.09144099999999E-3</v>
      </c>
      <c r="AA5407">
        <v>0.99384249999999996</v>
      </c>
      <c r="AB5407">
        <v>26</v>
      </c>
      <c r="AC5407">
        <v>0.71350000000001002</v>
      </c>
      <c r="AD5407">
        <v>-7.2364000000000095E-2</v>
      </c>
      <c r="AE5407">
        <v>-7.5969999999998095E-2</v>
      </c>
      <c r="AF5407">
        <v>9.6554122348840393E-2</v>
      </c>
      <c r="AG5407">
        <v>-7.2364000000000095E-2</v>
      </c>
      <c r="AH5407">
        <v>0.70371552325868103</v>
      </c>
      <c r="AI5407">
        <v>95.817044299938502</v>
      </c>
      <c r="AJ5407">
        <v>82.187446129004996</v>
      </c>
      <c r="AK5407">
        <v>0.71398514320243001</v>
      </c>
    </row>
    <row r="5408" spans="1:37" x14ac:dyDescent="0.2">
      <c r="A5408" t="str">
        <f>"20200111155703673"</f>
        <v>20200111155703673</v>
      </c>
      <c r="B5408" t="str">
        <f>"1578729423668053"</f>
        <v>1578729423668053</v>
      </c>
      <c r="C5408" t="s">
        <v>37</v>
      </c>
      <c r="D5408">
        <v>5.326816</v>
      </c>
      <c r="E5408">
        <v>0.55838549999999998</v>
      </c>
      <c r="F5408" t="s">
        <v>40</v>
      </c>
      <c r="G5408">
        <v>-358.66719999999998</v>
      </c>
      <c r="H5408">
        <v>1.0268729999999999</v>
      </c>
      <c r="I5408">
        <v>17.176029999999901</v>
      </c>
      <c r="J5408">
        <v>-359.44720000000001</v>
      </c>
      <c r="K5408">
        <v>1.105091</v>
      </c>
      <c r="L5408">
        <v>17.257929999999899</v>
      </c>
      <c r="M5408">
        <v>0.99944219999999895</v>
      </c>
      <c r="N5408">
        <v>0</v>
      </c>
      <c r="O5408">
        <v>3.0351840000000001E-2</v>
      </c>
      <c r="P5408">
        <v>0.99763040000000003</v>
      </c>
      <c r="Q5408">
        <v>1.21097099999999E-4</v>
      </c>
      <c r="R5408">
        <v>6.8801929999999997E-2</v>
      </c>
      <c r="S5408">
        <v>3.0244450000000001</v>
      </c>
      <c r="T5408">
        <v>-0.25037489999999901</v>
      </c>
      <c r="U5408">
        <v>-0.24511720000000001</v>
      </c>
      <c r="V5408">
        <v>-3.8491119999999997E-2</v>
      </c>
      <c r="W5408">
        <v>1.404413E-2</v>
      </c>
      <c r="X5408">
        <v>0.99916019999999905</v>
      </c>
      <c r="Y5408">
        <v>0.1105198</v>
      </c>
      <c r="Z5408">
        <v>-7.0643640000000001E-3</v>
      </c>
      <c r="AA5408">
        <v>0.99384879999999998</v>
      </c>
      <c r="AB5408">
        <v>26</v>
      </c>
      <c r="AC5408">
        <v>0.780000000000029</v>
      </c>
      <c r="AD5408">
        <v>-7.8218000000000107E-2</v>
      </c>
      <c r="AE5408">
        <v>-8.1900000000000903E-2</v>
      </c>
      <c r="AF5408">
        <v>0.104499605796467</v>
      </c>
      <c r="AG5408">
        <v>-7.8218000000000107E-2</v>
      </c>
      <c r="AH5408">
        <v>0.76950080989808001</v>
      </c>
      <c r="AI5408">
        <v>95.751615345685707</v>
      </c>
      <c r="AJ5408">
        <v>82.266438762316994</v>
      </c>
      <c r="AK5408">
        <v>0.78049325401916103</v>
      </c>
    </row>
    <row r="5409" spans="1:37" x14ac:dyDescent="0.2">
      <c r="A5409" t="str">
        <f>"20200111155703686"</f>
        <v>20200111155703686</v>
      </c>
      <c r="B5409" t="str">
        <f>"1578729423678789"</f>
        <v>1578729423678789</v>
      </c>
      <c r="C5409" t="s">
        <v>37</v>
      </c>
      <c r="D5409">
        <v>5.3635529999999996</v>
      </c>
      <c r="E5409">
        <v>0.55876059999999905</v>
      </c>
      <c r="F5409" t="s">
        <v>40</v>
      </c>
      <c r="G5409">
        <v>-358.66149999999999</v>
      </c>
      <c r="H5409">
        <v>1.039612</v>
      </c>
      <c r="I5409">
        <v>17.191839999999999</v>
      </c>
      <c r="J5409">
        <v>-359.29509999999999</v>
      </c>
      <c r="K5409">
        <v>1.1050439999999999</v>
      </c>
      <c r="L5409">
        <v>17.262629999999898</v>
      </c>
      <c r="M5409">
        <v>0.99944069999999996</v>
      </c>
      <c r="N5409">
        <v>0</v>
      </c>
      <c r="O5409">
        <v>3.0397750000000001E-2</v>
      </c>
      <c r="P5409">
        <v>0.99766129999999997</v>
      </c>
      <c r="Q5409">
        <v>2.2793099999999901E-4</v>
      </c>
      <c r="R5409">
        <v>6.8353209999999998E-2</v>
      </c>
      <c r="S5409">
        <v>3.024689</v>
      </c>
      <c r="T5409">
        <v>-0.25212779999999901</v>
      </c>
      <c r="U5409">
        <v>-0.25405879999999997</v>
      </c>
      <c r="V5409">
        <v>-3.7994130000000001E-2</v>
      </c>
      <c r="W5409">
        <v>1.415569E-2</v>
      </c>
      <c r="X5409">
        <v>0.99917769999999995</v>
      </c>
      <c r="Y5409">
        <v>0.113459899999999</v>
      </c>
      <c r="Z5409">
        <v>-7.238179E-3</v>
      </c>
      <c r="AA5409">
        <v>0.99351619999999996</v>
      </c>
      <c r="AB5409">
        <v>26</v>
      </c>
      <c r="AC5409">
        <v>0.63360000000000105</v>
      </c>
      <c r="AD5409">
        <v>-6.5432000000000101E-2</v>
      </c>
      <c r="AE5409">
        <v>-7.0789999999998798E-2</v>
      </c>
      <c r="AF5409">
        <v>8.9080854828347697E-2</v>
      </c>
      <c r="AG5409">
        <v>-6.5432000000000101E-2</v>
      </c>
      <c r="AH5409">
        <v>0.62457626138752098</v>
      </c>
      <c r="AI5409">
        <v>95.921128750847799</v>
      </c>
      <c r="AJ5409">
        <v>81.882873021976394</v>
      </c>
      <c r="AK5409">
        <v>0.63428089330340198</v>
      </c>
    </row>
    <row r="5410" spans="1:37" x14ac:dyDescent="0.2">
      <c r="A5410" t="str">
        <f>"20200111155703701"</f>
        <v>20200111155703701</v>
      </c>
      <c r="B5410" t="str">
        <f>"1578729423698309"</f>
        <v>1578729423698309</v>
      </c>
      <c r="C5410" t="s">
        <v>37</v>
      </c>
      <c r="D5410">
        <v>5.3123550000000002</v>
      </c>
      <c r="E5410">
        <v>0.55953719999999996</v>
      </c>
      <c r="F5410" t="s">
        <v>40</v>
      </c>
      <c r="G5410">
        <v>-358.4298</v>
      </c>
      <c r="H5410">
        <v>1.03335</v>
      </c>
      <c r="I5410">
        <v>17.188300000000002</v>
      </c>
      <c r="J5410">
        <v>-359.12439999999998</v>
      </c>
      <c r="K5410">
        <v>1.105</v>
      </c>
      <c r="L5410">
        <v>17.267879999999899</v>
      </c>
      <c r="M5410">
        <v>0.99943989999999905</v>
      </c>
      <c r="N5410">
        <v>0</v>
      </c>
      <c r="O5410">
        <v>3.04205E-2</v>
      </c>
      <c r="P5410">
        <v>0.99768880000000004</v>
      </c>
      <c r="Q5410">
        <v>9.5564869999999896E-4</v>
      </c>
      <c r="R5410">
        <v>6.7940379999999995E-2</v>
      </c>
      <c r="S5410">
        <v>3.0247799999999998</v>
      </c>
      <c r="T5410">
        <v>-0.25062190000000001</v>
      </c>
      <c r="U5410">
        <v>-0.25820920000000003</v>
      </c>
      <c r="V5410">
        <v>-3.7556359999999997E-2</v>
      </c>
      <c r="W5410">
        <v>1.488804E-2</v>
      </c>
      <c r="X5410">
        <v>0.99918359999999995</v>
      </c>
      <c r="Y5410">
        <v>0.1148347</v>
      </c>
      <c r="Z5410">
        <v>-7.2531100000000001E-3</v>
      </c>
      <c r="AA5410">
        <v>0.99335810000000002</v>
      </c>
      <c r="AB5410">
        <v>26</v>
      </c>
      <c r="AC5410">
        <v>0.69459999999997901</v>
      </c>
      <c r="AD5410">
        <v>-7.1649999999999894E-2</v>
      </c>
      <c r="AE5410">
        <v>-7.9579999999996404E-2</v>
      </c>
      <c r="AF5410">
        <v>9.9628927930582006E-2</v>
      </c>
      <c r="AG5410">
        <v>-7.1649999999999894E-2</v>
      </c>
      <c r="AH5410">
        <v>0.68466655065724003</v>
      </c>
      <c r="AI5410">
        <v>95.912407891889004</v>
      </c>
      <c r="AJ5410">
        <v>81.720741825840406</v>
      </c>
      <c r="AK5410">
        <v>0.69557740861063</v>
      </c>
    </row>
    <row r="5411" spans="1:37" x14ac:dyDescent="0.2">
      <c r="A5411" t="str">
        <f>"20200111155703713"</f>
        <v>20200111155703713</v>
      </c>
      <c r="B5411" t="str">
        <f>"1578729423709044"</f>
        <v>1578729423709044</v>
      </c>
      <c r="C5411" t="s">
        <v>37</v>
      </c>
      <c r="D5411">
        <v>5.3613989999999996</v>
      </c>
      <c r="E5411">
        <v>0.55983190000000005</v>
      </c>
      <c r="F5411" t="s">
        <v>40</v>
      </c>
      <c r="G5411">
        <v>-358.19720000000001</v>
      </c>
      <c r="H5411">
        <v>1.0294129999999999</v>
      </c>
      <c r="I5411">
        <v>17.186319999999998</v>
      </c>
      <c r="J5411">
        <v>-358.97460000000001</v>
      </c>
      <c r="K5411">
        <v>1.104968</v>
      </c>
      <c r="L5411">
        <v>17.272459999999999</v>
      </c>
      <c r="M5411">
        <v>0.99944069999999996</v>
      </c>
      <c r="N5411">
        <v>0</v>
      </c>
      <c r="O5411">
        <v>3.0401959999999999E-2</v>
      </c>
      <c r="P5411">
        <v>0.99773909999999999</v>
      </c>
      <c r="Q5411">
        <v>1.4683529999999999E-3</v>
      </c>
      <c r="R5411">
        <v>6.7195379999999999E-2</v>
      </c>
      <c r="S5411">
        <v>3.02526899999999</v>
      </c>
      <c r="T5411">
        <v>-0.24664249999999999</v>
      </c>
      <c r="U5411">
        <v>-0.26544190000000001</v>
      </c>
      <c r="V5411">
        <v>-3.6827560000000002E-2</v>
      </c>
      <c r="W5411">
        <v>1.5404869999999999E-2</v>
      </c>
      <c r="X5411">
        <v>0.9992029</v>
      </c>
      <c r="Y5411">
        <v>0.117167699999999</v>
      </c>
      <c r="Z5411">
        <v>-7.2297300000000002E-3</v>
      </c>
      <c r="AA5411">
        <v>0.99308580000000002</v>
      </c>
      <c r="AB5411">
        <v>26</v>
      </c>
      <c r="AC5411">
        <v>0.77739999999999998</v>
      </c>
      <c r="AD5411">
        <v>-7.5554999999999997E-2</v>
      </c>
      <c r="AE5411">
        <v>-8.6139999999996705E-2</v>
      </c>
      <c r="AF5411">
        <v>0.10872243989472</v>
      </c>
      <c r="AG5411">
        <v>-7.5554999999999997E-2</v>
      </c>
      <c r="AH5411">
        <v>0.76726202335271998</v>
      </c>
      <c r="AI5411">
        <v>95.568710325437806</v>
      </c>
      <c r="AJ5411">
        <v>81.934778252474899</v>
      </c>
      <c r="AK5411">
        <v>0.77860139958837205</v>
      </c>
    </row>
    <row r="5412" spans="1:37" x14ac:dyDescent="0.2">
      <c r="A5412" t="str">
        <f>"20200111155703725"</f>
        <v>20200111155703725</v>
      </c>
      <c r="B5412" t="str">
        <f>"1578729423718805"</f>
        <v>1578729423718805</v>
      </c>
      <c r="C5412" t="s">
        <v>37</v>
      </c>
      <c r="D5412">
        <v>5.2987849999999996</v>
      </c>
      <c r="E5412">
        <v>0.56014869999999894</v>
      </c>
      <c r="F5412" t="s">
        <v>40</v>
      </c>
      <c r="G5412">
        <v>-358.19150000000002</v>
      </c>
      <c r="H5412">
        <v>1.0421719999999901</v>
      </c>
      <c r="I5412">
        <v>17.202369999999998</v>
      </c>
      <c r="J5412">
        <v>-358.83859999999999</v>
      </c>
      <c r="K5412">
        <v>1.104941</v>
      </c>
      <c r="L5412">
        <v>17.276579999999999</v>
      </c>
      <c r="M5412">
        <v>0.99944159999999904</v>
      </c>
      <c r="N5412">
        <v>0</v>
      </c>
      <c r="O5412">
        <v>3.036349E-2</v>
      </c>
      <c r="P5412">
        <v>0.99776730000000002</v>
      </c>
      <c r="Q5412">
        <v>1.9981879999999902E-3</v>
      </c>
      <c r="R5412">
        <v>6.6756839999999998E-2</v>
      </c>
      <c r="S5412">
        <v>3.02536</v>
      </c>
      <c r="T5412">
        <v>-0.24260279999999901</v>
      </c>
      <c r="U5412">
        <v>-0.26998899999999998</v>
      </c>
      <c r="V5412">
        <v>-3.6425609999999997E-2</v>
      </c>
      <c r="W5412">
        <v>1.593696E-2</v>
      </c>
      <c r="X5412">
        <v>0.99920929999999997</v>
      </c>
      <c r="Y5412">
        <v>0.11861919999999999</v>
      </c>
      <c r="Z5412">
        <v>-7.1659409999999899E-3</v>
      </c>
      <c r="AA5412">
        <v>0.99291399999999996</v>
      </c>
      <c r="AB5412">
        <v>26</v>
      </c>
      <c r="AC5412">
        <v>0.64709999999996604</v>
      </c>
      <c r="AD5412">
        <v>-6.2769000000000005E-2</v>
      </c>
      <c r="AE5412">
        <v>-7.4209999999997195E-2</v>
      </c>
      <c r="AF5412">
        <v>9.2962563968376197E-2</v>
      </c>
      <c r="AG5412">
        <v>-6.2769000000000005E-2</v>
      </c>
      <c r="AH5412">
        <v>0.638617277978341</v>
      </c>
      <c r="AI5412">
        <v>95.555330888498304</v>
      </c>
      <c r="AJ5412">
        <v>81.717713020499005</v>
      </c>
      <c r="AK5412">
        <v>0.64839340943060197</v>
      </c>
    </row>
    <row r="5413" spans="1:37" x14ac:dyDescent="0.2">
      <c r="A5413" t="str">
        <f>"20200111155703737"</f>
        <v>20200111155703737</v>
      </c>
      <c r="B5413" t="str">
        <f>"1578729423728565"</f>
        <v>1578729423728565</v>
      </c>
      <c r="C5413" t="s">
        <v>37</v>
      </c>
      <c r="D5413">
        <v>5.2963079999999998</v>
      </c>
      <c r="E5413">
        <v>0.56037380000000003</v>
      </c>
      <c r="F5413" t="s">
        <v>40</v>
      </c>
      <c r="G5413">
        <v>-357.96050000000002</v>
      </c>
      <c r="H5413">
        <v>1.0352619999999999</v>
      </c>
      <c r="I5413">
        <v>17.196929999999998</v>
      </c>
      <c r="J5413">
        <v>-358.6936</v>
      </c>
      <c r="K5413">
        <v>1.1049180000000001</v>
      </c>
      <c r="L5413">
        <v>17.280940000000001</v>
      </c>
      <c r="M5413">
        <v>0.99944359999999999</v>
      </c>
      <c r="N5413">
        <v>0</v>
      </c>
      <c r="O5413">
        <v>3.0305889999999999E-2</v>
      </c>
      <c r="P5413">
        <v>0.997803199999999</v>
      </c>
      <c r="Q5413">
        <v>2.6073369999999999E-3</v>
      </c>
      <c r="R5413">
        <v>6.6198670000000001E-2</v>
      </c>
      <c r="S5413">
        <v>3.0255429999999999</v>
      </c>
      <c r="T5413">
        <v>-0.2400949</v>
      </c>
      <c r="U5413">
        <v>-0.27374270000000001</v>
      </c>
      <c r="V5413">
        <v>-3.5923049999999998E-2</v>
      </c>
      <c r="W5413">
        <v>1.654866E-2</v>
      </c>
      <c r="X5413">
        <v>0.99921749999999998</v>
      </c>
      <c r="Y5413">
        <v>0.1197849</v>
      </c>
      <c r="Z5413">
        <v>-7.1328229999999999E-3</v>
      </c>
      <c r="AA5413">
        <v>0.99277420000000005</v>
      </c>
      <c r="AB5413">
        <v>26</v>
      </c>
      <c r="AC5413">
        <v>0.73309999999997899</v>
      </c>
      <c r="AD5413">
        <v>-6.9655999999999899E-2</v>
      </c>
      <c r="AE5413">
        <v>-8.4010000000002805E-2</v>
      </c>
      <c r="AF5413">
        <v>0.10525290361743</v>
      </c>
      <c r="AG5413">
        <v>-6.9655999999999899E-2</v>
      </c>
      <c r="AH5413">
        <v>0.72376749197488999</v>
      </c>
      <c r="AI5413">
        <v>95.4403868761203</v>
      </c>
      <c r="AJ5413">
        <v>81.725841212402798</v>
      </c>
      <c r="AK5413">
        <v>0.73469008057515195</v>
      </c>
    </row>
    <row r="5414" spans="1:37" x14ac:dyDescent="0.2">
      <c r="A5414" t="str">
        <f>"20200111155703750"</f>
        <v>20200111155703750</v>
      </c>
      <c r="B5414" t="str">
        <f>"1578729423738325"</f>
        <v>1578729423738325</v>
      </c>
      <c r="C5414" t="s">
        <v>37</v>
      </c>
      <c r="D5414">
        <v>5.2985610000000003</v>
      </c>
      <c r="E5414">
        <v>0.5606582</v>
      </c>
      <c r="F5414" t="s">
        <v>40</v>
      </c>
      <c r="G5414">
        <v>-357.9538</v>
      </c>
      <c r="H5414">
        <v>1.046726</v>
      </c>
      <c r="I5414">
        <v>17.213039999999999</v>
      </c>
      <c r="J5414">
        <v>-358.55279999999999</v>
      </c>
      <c r="K5414">
        <v>1.1048979999999999</v>
      </c>
      <c r="L5414">
        <v>17.285160000000001</v>
      </c>
      <c r="M5414">
        <v>0.99944619999999995</v>
      </c>
      <c r="N5414">
        <v>0</v>
      </c>
      <c r="O5414">
        <v>3.0219269999999999E-2</v>
      </c>
      <c r="P5414">
        <v>0.99784689999999998</v>
      </c>
      <c r="Q5414">
        <v>3.40917E-3</v>
      </c>
      <c r="R5414">
        <v>6.5499550000000004E-2</v>
      </c>
      <c r="S5414">
        <v>3.0255740000000002</v>
      </c>
      <c r="T5414">
        <v>-0.23799909999999999</v>
      </c>
      <c r="U5414">
        <v>-0.27688600000000002</v>
      </c>
      <c r="V5414">
        <v>-3.5308409999999998E-2</v>
      </c>
      <c r="W5414">
        <v>1.7352490000000002E-2</v>
      </c>
      <c r="X5414">
        <v>0.99922579999999905</v>
      </c>
      <c r="Y5414">
        <v>0.1207265</v>
      </c>
      <c r="Z5414">
        <v>-7.1004650000000002E-3</v>
      </c>
      <c r="AA5414">
        <v>0.992660399999999</v>
      </c>
      <c r="AB5414">
        <v>26</v>
      </c>
      <c r="AC5414">
        <v>0.59899999999998899</v>
      </c>
      <c r="AD5414">
        <v>-5.81719999999998E-2</v>
      </c>
      <c r="AE5414">
        <v>-7.2120000000001697E-2</v>
      </c>
      <c r="AF5414">
        <v>8.9359417326204393E-2</v>
      </c>
      <c r="AG5414">
        <v>-5.81719999999998E-2</v>
      </c>
      <c r="AH5414">
        <v>0.59105198405603099</v>
      </c>
      <c r="AI5414">
        <v>95.558249139755503</v>
      </c>
      <c r="AJ5414">
        <v>81.402728577433606</v>
      </c>
      <c r="AK5414">
        <v>0.600592653056504</v>
      </c>
    </row>
    <row r="5415" spans="1:37" x14ac:dyDescent="0.2">
      <c r="A5415" t="str">
        <f>"20200111155703762"</f>
        <v>20200111155703762</v>
      </c>
      <c r="B5415" t="str">
        <f>"1578729423758821"</f>
        <v>1578729423758821</v>
      </c>
      <c r="C5415" t="s">
        <v>37</v>
      </c>
      <c r="D5415">
        <v>5.3422269999999896</v>
      </c>
      <c r="E5415">
        <v>0.56100459999999996</v>
      </c>
      <c r="F5415" t="s">
        <v>40</v>
      </c>
      <c r="G5415">
        <v>-357.7244</v>
      </c>
      <c r="H5415">
        <v>1.0405180000000001</v>
      </c>
      <c r="I5415">
        <v>17.20797</v>
      </c>
      <c r="J5415">
        <v>-358.40899999999999</v>
      </c>
      <c r="K5415">
        <v>1.1048819999999999</v>
      </c>
      <c r="L5415">
        <v>17.289429999999999</v>
      </c>
      <c r="M5415">
        <v>0.99944900000000003</v>
      </c>
      <c r="N5415">
        <v>0</v>
      </c>
      <c r="O5415">
        <v>3.0121869999999999E-2</v>
      </c>
      <c r="P5415">
        <v>0.99785219999999897</v>
      </c>
      <c r="Q5415">
        <v>4.1977749999999999E-3</v>
      </c>
      <c r="R5415">
        <v>6.5373440000000005E-2</v>
      </c>
      <c r="S5415">
        <v>3.025757</v>
      </c>
      <c r="T5415">
        <v>-0.23512420000000001</v>
      </c>
      <c r="U5415">
        <v>-0.28112789999999999</v>
      </c>
      <c r="V5415">
        <v>-3.5277889999999999E-2</v>
      </c>
      <c r="W5415">
        <v>1.8142490000000001E-2</v>
      </c>
      <c r="X5415">
        <v>0.99921289999999996</v>
      </c>
      <c r="Y5415">
        <v>0.1220117</v>
      </c>
      <c r="Z5415">
        <v>-7.05630699999999E-3</v>
      </c>
      <c r="AA5415">
        <v>0.99250360000000004</v>
      </c>
      <c r="AB5415">
        <v>26</v>
      </c>
      <c r="AC5415">
        <v>0.684599999999989</v>
      </c>
      <c r="AD5415">
        <v>-6.4363999999999796E-2</v>
      </c>
      <c r="AE5415">
        <v>-8.1459999999999796E-2</v>
      </c>
      <c r="AF5415">
        <v>0.101164735592451</v>
      </c>
      <c r="AG5415">
        <v>-6.4363999999999796E-2</v>
      </c>
      <c r="AH5415">
        <v>0.67594394362406096</v>
      </c>
      <c r="AI5415">
        <v>95.3797953661647</v>
      </c>
      <c r="AJ5415">
        <v>81.488041418363693</v>
      </c>
      <c r="AK5415">
        <v>0.68649635333739301</v>
      </c>
    </row>
    <row r="5416" spans="1:37" x14ac:dyDescent="0.2">
      <c r="A5416" t="str">
        <f>"20200111155703779"</f>
        <v>20200111155703779</v>
      </c>
      <c r="B5416" t="str">
        <f>"1578729423768580"</f>
        <v>1578729423768580</v>
      </c>
      <c r="C5416" t="s">
        <v>37</v>
      </c>
      <c r="D5416">
        <v>5.2964459999999898</v>
      </c>
      <c r="E5416">
        <v>0.56122479999999997</v>
      </c>
      <c r="F5416" t="s">
        <v>40</v>
      </c>
      <c r="G5416">
        <v>-357.49340000000001</v>
      </c>
      <c r="H5416">
        <v>1.0347649999999999</v>
      </c>
      <c r="I5416">
        <v>17.202939999999899</v>
      </c>
      <c r="J5416">
        <v>-358.20929999999998</v>
      </c>
      <c r="K5416">
        <v>1.104862</v>
      </c>
      <c r="L5416">
        <v>17.29532</v>
      </c>
      <c r="M5416">
        <v>0.99945379999999995</v>
      </c>
      <c r="N5416">
        <v>0</v>
      </c>
      <c r="O5416">
        <v>2.9962989999999998E-2</v>
      </c>
      <c r="P5416">
        <v>0.99786779999999997</v>
      </c>
      <c r="Q5416">
        <v>4.3632269999999999E-3</v>
      </c>
      <c r="R5416">
        <v>6.5123769999999997E-2</v>
      </c>
      <c r="S5416">
        <v>3.0260310000000001</v>
      </c>
      <c r="T5416">
        <v>-0.2317295</v>
      </c>
      <c r="U5416">
        <v>-0.28417969999999998</v>
      </c>
      <c r="V5416">
        <v>-3.5185830000000001E-2</v>
      </c>
      <c r="W5416">
        <v>1.8309829999999999E-2</v>
      </c>
      <c r="X5416">
        <v>0.99921299999999902</v>
      </c>
      <c r="Y5416">
        <v>0.1228491</v>
      </c>
      <c r="Z5416">
        <v>-6.9736009999999899E-3</v>
      </c>
      <c r="AA5416">
        <v>0.99240090000000003</v>
      </c>
      <c r="AB5416">
        <v>26</v>
      </c>
      <c r="AC5416">
        <v>0.715899999999976</v>
      </c>
      <c r="AD5416">
        <v>-7.0097000000000007E-2</v>
      </c>
      <c r="AE5416">
        <v>-9.2380000000002099E-2</v>
      </c>
      <c r="AF5416">
        <v>0.112728052188761</v>
      </c>
      <c r="AG5416">
        <v>-7.0097000000000007E-2</v>
      </c>
      <c r="AH5416">
        <v>0.706151090861041</v>
      </c>
      <c r="AI5416">
        <v>95.598538837067096</v>
      </c>
      <c r="AJ5416">
        <v>80.929986791848705</v>
      </c>
      <c r="AK5416">
        <v>0.71851970486793904</v>
      </c>
    </row>
    <row r="5417" spans="1:37" x14ac:dyDescent="0.2">
      <c r="A5417" t="str">
        <f>"20200111155703791"</f>
        <v>20200111155703791</v>
      </c>
      <c r="B5417" t="str">
        <f>"1578729423778341"</f>
        <v>1578729423778341</v>
      </c>
      <c r="C5417" t="s">
        <v>37</v>
      </c>
      <c r="D5417">
        <v>5.3219430000000001</v>
      </c>
      <c r="E5417">
        <v>0.56132019999999905</v>
      </c>
      <c r="F5417" t="s">
        <v>40</v>
      </c>
      <c r="G5417">
        <v>-357.2611</v>
      </c>
      <c r="H5417">
        <v>1.032667</v>
      </c>
      <c r="I5417">
        <v>17.205369999999998</v>
      </c>
      <c r="J5417">
        <v>-358.07</v>
      </c>
      <c r="K5417">
        <v>1.104851</v>
      </c>
      <c r="L5417">
        <v>17.29935</v>
      </c>
      <c r="M5417">
        <v>0.9994575</v>
      </c>
      <c r="N5417">
        <v>0</v>
      </c>
      <c r="O5417">
        <v>2.9839689999999999E-2</v>
      </c>
      <c r="P5417">
        <v>0.99788109999999997</v>
      </c>
      <c r="Q5417">
        <v>4.4184920000000004E-3</v>
      </c>
      <c r="R5417">
        <v>6.491748E-2</v>
      </c>
      <c r="S5417">
        <v>3.0261230000000001</v>
      </c>
      <c r="T5417">
        <v>-0.2303731</v>
      </c>
      <c r="U5417">
        <v>-0.28665159999999901</v>
      </c>
      <c r="V5417">
        <v>-3.5101939999999998E-2</v>
      </c>
      <c r="W5417">
        <v>1.8365610000000001E-2</v>
      </c>
      <c r="X5417">
        <v>0.99921489999999902</v>
      </c>
      <c r="Y5417">
        <v>0.123530999999999</v>
      </c>
      <c r="Z5417">
        <v>-6.9489399999999998E-3</v>
      </c>
      <c r="AA5417">
        <v>0.99231639999999999</v>
      </c>
      <c r="AB5417">
        <v>26</v>
      </c>
      <c r="AC5417">
        <v>0.80889999999999396</v>
      </c>
      <c r="AD5417">
        <v>-7.2183999999999998E-2</v>
      </c>
      <c r="AE5417">
        <v>-9.3979999999998398E-2</v>
      </c>
      <c r="AF5417">
        <v>0.117157281754461</v>
      </c>
      <c r="AG5417">
        <v>-7.2183999999999998E-2</v>
      </c>
      <c r="AH5417">
        <v>0.79945363138830705</v>
      </c>
      <c r="AI5417">
        <v>95.105106543883693</v>
      </c>
      <c r="AJ5417">
        <v>81.662838053291495</v>
      </c>
      <c r="AK5417">
        <v>0.81121049504061904</v>
      </c>
    </row>
    <row r="5418" spans="1:37" x14ac:dyDescent="0.2">
      <c r="A5418" t="str">
        <f>"20200111155703803"</f>
        <v>20200111155703803</v>
      </c>
      <c r="B5418" t="str">
        <f>"1578729423798837"</f>
        <v>1578729423798837</v>
      </c>
      <c r="C5418" t="s">
        <v>37</v>
      </c>
      <c r="D5418">
        <v>5.4145469999999998</v>
      </c>
      <c r="E5418">
        <v>0.5613802</v>
      </c>
      <c r="F5418" t="s">
        <v>40</v>
      </c>
      <c r="G5418">
        <v>-357.25599999999997</v>
      </c>
      <c r="H5418">
        <v>1.043018</v>
      </c>
      <c r="I5418">
        <v>17.22174</v>
      </c>
      <c r="J5418">
        <v>-357.92779999999999</v>
      </c>
      <c r="K5418">
        <v>1.1048450000000001</v>
      </c>
      <c r="L5418">
        <v>17.3035</v>
      </c>
      <c r="M5418">
        <v>0.99946139999999895</v>
      </c>
      <c r="N5418">
        <v>0</v>
      </c>
      <c r="O5418">
        <v>2.9710779999999999E-2</v>
      </c>
      <c r="P5418">
        <v>0.99790579999999995</v>
      </c>
      <c r="Q5418">
        <v>4.6178929999999997E-3</v>
      </c>
      <c r="R5418">
        <v>6.4520129999999995E-2</v>
      </c>
      <c r="S5418">
        <v>3.0261230000000001</v>
      </c>
      <c r="T5418">
        <v>-0.22988439999999999</v>
      </c>
      <c r="U5418">
        <v>-0.28799439999999998</v>
      </c>
      <c r="V5418">
        <v>-3.4831649999999999E-2</v>
      </c>
      <c r="W5418">
        <v>1.856584E-2</v>
      </c>
      <c r="X5418">
        <v>0.99922069999999996</v>
      </c>
      <c r="Y5418">
        <v>0.1238407</v>
      </c>
      <c r="Z5418">
        <v>-6.93606E-3</v>
      </c>
      <c r="AA5418">
        <v>0.99227790000000005</v>
      </c>
      <c r="AB5418">
        <v>26</v>
      </c>
      <c r="AC5418">
        <v>0.67180000000001805</v>
      </c>
      <c r="AD5418">
        <v>-6.1827E-2</v>
      </c>
      <c r="AE5418">
        <v>-8.1759999999999097E-2</v>
      </c>
      <c r="AF5418">
        <v>0.10084387189492799</v>
      </c>
      <c r="AG5418">
        <v>-6.1827E-2</v>
      </c>
      <c r="AH5418">
        <v>0.66353594747968803</v>
      </c>
      <c r="AI5418">
        <v>95.263247344150997</v>
      </c>
      <c r="AJ5418">
        <v>81.358344587876502</v>
      </c>
      <c r="AK5418">
        <v>0.67399704600652999</v>
      </c>
    </row>
    <row r="5419" spans="1:37" x14ac:dyDescent="0.2">
      <c r="A5419" t="str">
        <f>"20200111155703816"</f>
        <v>20200111155703816</v>
      </c>
      <c r="B5419" t="str">
        <f>"1578729423808598"</f>
        <v>1578729423808598</v>
      </c>
      <c r="C5419" t="s">
        <v>37</v>
      </c>
      <c r="D5419">
        <v>5.3004199999999999</v>
      </c>
      <c r="E5419">
        <v>0.56151240000000002</v>
      </c>
      <c r="F5419" t="s">
        <v>40</v>
      </c>
      <c r="G5419">
        <v>-357.0265</v>
      </c>
      <c r="H5419">
        <v>1.0367309999999901</v>
      </c>
      <c r="I5419">
        <v>17.217029999999902</v>
      </c>
      <c r="J5419">
        <v>-357.77539999999999</v>
      </c>
      <c r="K5419">
        <v>1.1048450000000001</v>
      </c>
      <c r="L5419">
        <v>17.307860000000002</v>
      </c>
      <c r="M5419">
        <v>0.99946559999999995</v>
      </c>
      <c r="N5419">
        <v>0</v>
      </c>
      <c r="O5419">
        <v>2.9567779999999998E-2</v>
      </c>
      <c r="P5419">
        <v>0.99794389999999999</v>
      </c>
      <c r="Q5419">
        <v>5.3363530000000003E-3</v>
      </c>
      <c r="R5419">
        <v>6.3873540000000006E-2</v>
      </c>
      <c r="S5419">
        <v>3.0260929999999999</v>
      </c>
      <c r="T5419">
        <v>-0.22867660000000001</v>
      </c>
      <c r="U5419">
        <v>-0.28967290000000001</v>
      </c>
      <c r="V5419">
        <v>-3.4326599999999999E-2</v>
      </c>
      <c r="W5419">
        <v>1.9284309999999999E-2</v>
      </c>
      <c r="X5419">
        <v>0.99922459999999902</v>
      </c>
      <c r="Y5419">
        <v>0.124249</v>
      </c>
      <c r="Z5419">
        <v>-6.9042089999999997E-3</v>
      </c>
      <c r="AA5419">
        <v>0.99222710000000003</v>
      </c>
      <c r="AB5419">
        <v>26</v>
      </c>
      <c r="AC5419">
        <v>0.74889999999999102</v>
      </c>
      <c r="AD5419">
        <v>-6.8114000000000202E-2</v>
      </c>
      <c r="AE5419">
        <v>-9.0830000000003894E-2</v>
      </c>
      <c r="AF5419">
        <v>0.112022493549655</v>
      </c>
      <c r="AG5419">
        <v>-6.8114000000000202E-2</v>
      </c>
      <c r="AH5419">
        <v>0.73985503573672895</v>
      </c>
      <c r="AI5419">
        <v>95.201099815575304</v>
      </c>
      <c r="AJ5419">
        <v>81.390162509943096</v>
      </c>
      <c r="AK5419">
        <v>0.75138141443748696</v>
      </c>
    </row>
    <row r="5420" spans="1:37" x14ac:dyDescent="0.2">
      <c r="A5420" t="str">
        <f>"20200111155703828"</f>
        <v>20200111155703828</v>
      </c>
      <c r="B5420" t="str">
        <f>"1578729423818359"</f>
        <v>1578729423818359</v>
      </c>
      <c r="C5420" t="s">
        <v>37</v>
      </c>
      <c r="D5420">
        <v>5.3249979999999999</v>
      </c>
      <c r="E5420">
        <v>0.56159190000000003</v>
      </c>
      <c r="F5420" t="s">
        <v>40</v>
      </c>
      <c r="G5420">
        <v>-357.01900000000001</v>
      </c>
      <c r="H5420">
        <v>1.048224</v>
      </c>
      <c r="I5420">
        <v>17.23452</v>
      </c>
      <c r="J5420">
        <v>-357.63720000000001</v>
      </c>
      <c r="K5420">
        <v>1.1048530000000001</v>
      </c>
      <c r="L5420">
        <v>17.31183</v>
      </c>
      <c r="M5420">
        <v>0.99946950000000001</v>
      </c>
      <c r="N5420">
        <v>0</v>
      </c>
      <c r="O5420">
        <v>2.943467E-2</v>
      </c>
      <c r="P5420">
        <v>0.99799130000000003</v>
      </c>
      <c r="Q5420">
        <v>6.8006219999999897E-3</v>
      </c>
      <c r="R5420">
        <v>6.2987070000000006E-2</v>
      </c>
      <c r="S5420">
        <v>3.0261230000000001</v>
      </c>
      <c r="T5420">
        <v>-0.2264835</v>
      </c>
      <c r="U5420">
        <v>-0.29260249999999999</v>
      </c>
      <c r="V5420">
        <v>-3.3570879999999997E-2</v>
      </c>
      <c r="W5420">
        <v>2.0747910000000001E-2</v>
      </c>
      <c r="X5420">
        <v>0.99922099999999903</v>
      </c>
      <c r="Y5420">
        <v>0.12507409999999999</v>
      </c>
      <c r="Z5420">
        <v>-6.8586350000000001E-3</v>
      </c>
      <c r="AA5420">
        <v>0.99212369999999905</v>
      </c>
      <c r="AB5420">
        <v>26</v>
      </c>
      <c r="AC5420">
        <v>0.61820000000000097</v>
      </c>
      <c r="AD5420">
        <v>-5.6628999999999999E-2</v>
      </c>
      <c r="AE5420">
        <v>-7.73100000000006E-2</v>
      </c>
      <c r="AF5420">
        <v>9.4692436574288302E-2</v>
      </c>
      <c r="AG5420">
        <v>-5.6628999999999999E-2</v>
      </c>
      <c r="AH5420">
        <v>0.61061145467643796</v>
      </c>
      <c r="AI5420">
        <v>95.236302047574597</v>
      </c>
      <c r="AJ5420">
        <v>81.184899784157906</v>
      </c>
      <c r="AK5420">
        <v>0.620499677491819</v>
      </c>
    </row>
    <row r="5421" spans="1:37" x14ac:dyDescent="0.2">
      <c r="A5421" t="str">
        <f>"20200111155703841"</f>
        <v>20200111155703841</v>
      </c>
      <c r="B5421" t="str">
        <f>"1578729423828118"</f>
        <v>1578729423828118</v>
      </c>
      <c r="C5421" t="s">
        <v>37</v>
      </c>
      <c r="D5421">
        <v>5.3386399999999998</v>
      </c>
      <c r="E5421">
        <v>0.56167029999999996</v>
      </c>
      <c r="F5421" t="s">
        <v>40</v>
      </c>
      <c r="G5421">
        <v>-356.79039999999998</v>
      </c>
      <c r="H5421">
        <v>1.042692</v>
      </c>
      <c r="I5421">
        <v>17.229029999999899</v>
      </c>
      <c r="J5421">
        <v>-357.49130000000002</v>
      </c>
      <c r="K5421">
        <v>1.1048579999999999</v>
      </c>
      <c r="L5421">
        <v>17.31598</v>
      </c>
      <c r="M5421">
        <v>0.99947379999999997</v>
      </c>
      <c r="N5421">
        <v>0</v>
      </c>
      <c r="O5421">
        <v>2.9293119999999999E-2</v>
      </c>
      <c r="P5421">
        <v>0.99802009999999997</v>
      </c>
      <c r="Q5421">
        <v>8.5137619999999994E-3</v>
      </c>
      <c r="R5421">
        <v>6.2320220000000003E-2</v>
      </c>
      <c r="S5421">
        <v>3.0262150000000001</v>
      </c>
      <c r="T5421">
        <v>-0.2221051</v>
      </c>
      <c r="U5421">
        <v>-0.29565429999999998</v>
      </c>
      <c r="V5421">
        <v>-3.3044110000000002E-2</v>
      </c>
      <c r="W5421">
        <v>2.245983E-2</v>
      </c>
      <c r="X5421">
        <v>0.99920149999999996</v>
      </c>
      <c r="Y5421">
        <v>0.1259363</v>
      </c>
      <c r="Z5421">
        <v>-6.7470509999999996E-3</v>
      </c>
      <c r="AA5421">
        <v>0.99201539999999999</v>
      </c>
      <c r="AB5421">
        <v>26</v>
      </c>
      <c r="AC5421">
        <v>0.70090000000004604</v>
      </c>
      <c r="AD5421">
        <v>-6.2165999999999902E-2</v>
      </c>
      <c r="AE5421">
        <v>-8.6950000000001595E-2</v>
      </c>
      <c r="AF5421">
        <v>0.106620180675362</v>
      </c>
      <c r="AG5421">
        <v>-6.2165999999999902E-2</v>
      </c>
      <c r="AH5421">
        <v>0.69268530416766005</v>
      </c>
      <c r="AI5421">
        <v>95.068970025549305</v>
      </c>
      <c r="AJ5421">
        <v>81.249538196772207</v>
      </c>
      <c r="AK5421">
        <v>0.70359463122816002</v>
      </c>
    </row>
    <row r="5422" spans="1:37" x14ac:dyDescent="0.2">
      <c r="A5422" t="str">
        <f>"20200111155703859"</f>
        <v>20200111155703859</v>
      </c>
      <c r="B5422" t="str">
        <f>"1578729423848612"</f>
        <v>1578729423848612</v>
      </c>
      <c r="C5422" t="s">
        <v>37</v>
      </c>
      <c r="D5422">
        <v>5.3289089999999897</v>
      </c>
      <c r="E5422">
        <v>0.56188419999999994</v>
      </c>
      <c r="F5422" t="s">
        <v>40</v>
      </c>
      <c r="G5422">
        <v>-356.56029999999998</v>
      </c>
      <c r="H5422">
        <v>1.037979</v>
      </c>
      <c r="I5422">
        <v>17.22382</v>
      </c>
      <c r="J5422">
        <v>-357.2867</v>
      </c>
      <c r="K5422">
        <v>1.1048629999999999</v>
      </c>
      <c r="L5422">
        <v>17.321750000000002</v>
      </c>
      <c r="M5422">
        <v>0.99947969999999897</v>
      </c>
      <c r="N5422">
        <v>0</v>
      </c>
      <c r="O5422">
        <v>2.9093649999999999E-2</v>
      </c>
      <c r="P5422">
        <v>0.99808059999999998</v>
      </c>
      <c r="Q5422">
        <v>1.0225120000000001E-2</v>
      </c>
      <c r="R5422">
        <v>6.1080490000000001E-2</v>
      </c>
      <c r="S5422">
        <v>3.0264279999999899</v>
      </c>
      <c r="T5422">
        <v>-0.217425799999999</v>
      </c>
      <c r="U5422">
        <v>-0.29812620000000001</v>
      </c>
      <c r="V5422">
        <v>-3.2001759999999997E-2</v>
      </c>
      <c r="W5422">
        <v>2.4169779999999998E-2</v>
      </c>
      <c r="X5422">
        <v>0.99919550000000001</v>
      </c>
      <c r="Y5422">
        <v>0.12655039999999901</v>
      </c>
      <c r="Z5422">
        <v>-6.6122439999999998E-3</v>
      </c>
      <c r="AA5422">
        <v>0.99193809999999905</v>
      </c>
      <c r="AB5422">
        <v>26</v>
      </c>
      <c r="AC5422">
        <v>0.72640000000001204</v>
      </c>
      <c r="AD5422">
        <v>-6.6883999999999902E-2</v>
      </c>
      <c r="AE5422">
        <v>-9.7930000000001599E-2</v>
      </c>
      <c r="AF5422">
        <v>0.11804132494342399</v>
      </c>
      <c r="AG5422">
        <v>-6.6883999999999902E-2</v>
      </c>
      <c r="AH5422">
        <v>0.71727057013122997</v>
      </c>
      <c r="AI5422">
        <v>95.256999393183605</v>
      </c>
      <c r="AJ5422">
        <v>80.654592435064302</v>
      </c>
      <c r="AK5422">
        <v>0.72998924281579602</v>
      </c>
    </row>
    <row r="5423" spans="1:37" x14ac:dyDescent="0.2">
      <c r="A5423" t="str">
        <f>"20200111155703872"</f>
        <v>20200111155703872</v>
      </c>
      <c r="B5423" t="str">
        <f>"1578729423868133"</f>
        <v>1578729423868133</v>
      </c>
      <c r="C5423" t="s">
        <v>37</v>
      </c>
      <c r="D5423">
        <v>5.350276</v>
      </c>
      <c r="E5423">
        <v>0.56189199999999995</v>
      </c>
      <c r="F5423" t="s">
        <v>40</v>
      </c>
      <c r="G5423">
        <v>-356.32799999999997</v>
      </c>
      <c r="H5423">
        <v>1.0375219999999901</v>
      </c>
      <c r="I5423">
        <v>17.22533</v>
      </c>
      <c r="J5423">
        <v>-357.1275</v>
      </c>
      <c r="K5423">
        <v>1.1048639999999901</v>
      </c>
      <c r="L5423">
        <v>17.3262</v>
      </c>
      <c r="M5423">
        <v>0.99948409999999999</v>
      </c>
      <c r="N5423">
        <v>0</v>
      </c>
      <c r="O5423">
        <v>2.8940170000000001E-2</v>
      </c>
      <c r="P5423">
        <v>0.99811090000000002</v>
      </c>
      <c r="Q5423">
        <v>9.4168610000000003E-3</v>
      </c>
      <c r="R5423">
        <v>6.07158E-2</v>
      </c>
      <c r="S5423">
        <v>3.0265499999999999</v>
      </c>
      <c r="T5423">
        <v>-0.21260699999999999</v>
      </c>
      <c r="U5423">
        <v>-0.3037415</v>
      </c>
      <c r="V5423">
        <v>-3.1790350000000002E-2</v>
      </c>
      <c r="W5423">
        <v>2.336034E-2</v>
      </c>
      <c r="X5423">
        <v>0.99922149999999998</v>
      </c>
      <c r="Y5423">
        <v>0.12823010000000001</v>
      </c>
      <c r="Z5423">
        <v>-6.5132569999999997E-3</v>
      </c>
      <c r="AA5423">
        <v>0.99172309999999997</v>
      </c>
      <c r="AB5423">
        <v>26</v>
      </c>
      <c r="AC5423">
        <v>0.79949999999996602</v>
      </c>
      <c r="AD5423">
        <v>-6.7341999999999999E-2</v>
      </c>
      <c r="AE5423">
        <v>-0.10087</v>
      </c>
      <c r="AF5423">
        <v>0.123107921820724</v>
      </c>
      <c r="AG5423">
        <v>-6.7341999999999999E-2</v>
      </c>
      <c r="AH5423">
        <v>0.79072352287480296</v>
      </c>
      <c r="AI5423">
        <v>94.810178857842303</v>
      </c>
      <c r="AJ5423">
        <v>81.150651996748095</v>
      </c>
      <c r="AK5423">
        <v>0.80307795076602395</v>
      </c>
    </row>
    <row r="5424" spans="1:37" x14ac:dyDescent="0.2">
      <c r="A5424" t="str">
        <f>"20200111155703884"</f>
        <v>20200111155703884</v>
      </c>
      <c r="B5424" t="str">
        <f>"1578729423878869"</f>
        <v>1578729423878869</v>
      </c>
      <c r="C5424" t="s">
        <v>37</v>
      </c>
      <c r="D5424">
        <v>5.3239890000000001</v>
      </c>
      <c r="E5424">
        <v>0.56197900000000001</v>
      </c>
      <c r="F5424" t="s">
        <v>40</v>
      </c>
      <c r="G5424">
        <v>-356.32190000000003</v>
      </c>
      <c r="H5424">
        <v>1.0477459999999901</v>
      </c>
      <c r="I5424">
        <v>17.244789999999998</v>
      </c>
      <c r="J5424">
        <v>-356.98360000000002</v>
      </c>
      <c r="K5424">
        <v>1.1048579999999999</v>
      </c>
      <c r="L5424">
        <v>17.33023</v>
      </c>
      <c r="M5424">
        <v>0.99948799999999904</v>
      </c>
      <c r="N5424">
        <v>0</v>
      </c>
      <c r="O5424">
        <v>2.8803209999999999E-2</v>
      </c>
      <c r="P5424">
        <v>0.99816179999999999</v>
      </c>
      <c r="Q5424">
        <v>7.7337559999999996E-3</v>
      </c>
      <c r="R5424">
        <v>6.0111100000000001E-2</v>
      </c>
      <c r="S5424">
        <v>3.02627599999999</v>
      </c>
      <c r="T5424">
        <v>-0.2146161</v>
      </c>
      <c r="U5424">
        <v>-0.30505369999999998</v>
      </c>
      <c r="V5424">
        <v>-3.1322700000000002E-2</v>
      </c>
      <c r="W5424">
        <v>2.1676580000000001E-2</v>
      </c>
      <c r="X5424">
        <v>0.99927429999999995</v>
      </c>
      <c r="Y5424">
        <v>0.1285212</v>
      </c>
      <c r="Z5424">
        <v>-6.5757050000000003E-3</v>
      </c>
      <c r="AA5424">
        <v>0.99168500000000004</v>
      </c>
      <c r="AB5424">
        <v>26</v>
      </c>
      <c r="AC5424">
        <v>0.66169999999999596</v>
      </c>
      <c r="AD5424">
        <v>-5.7112000000000003E-2</v>
      </c>
      <c r="AE5424">
        <v>-8.5440000000001903E-2</v>
      </c>
      <c r="AF5424">
        <v>0.103705583402964</v>
      </c>
      <c r="AG5424">
        <v>-5.7112000000000003E-2</v>
      </c>
      <c r="AH5424">
        <v>0.65417083524731501</v>
      </c>
      <c r="AI5424">
        <v>94.928288093027604</v>
      </c>
      <c r="AJ5424">
        <v>80.991874497617403</v>
      </c>
      <c r="AK5424">
        <v>0.66479779652246096</v>
      </c>
    </row>
    <row r="5425" spans="1:37" x14ac:dyDescent="0.2">
      <c r="A5425" t="str">
        <f>"20200111155703897"</f>
        <v>20200111155703897</v>
      </c>
      <c r="B5425" t="str">
        <f>"1578729423888629"</f>
        <v>1578729423888629</v>
      </c>
      <c r="C5425" t="s">
        <v>37</v>
      </c>
      <c r="D5425">
        <v>5.3383959999999897</v>
      </c>
      <c r="E5425">
        <v>0.56201449999999997</v>
      </c>
      <c r="F5425" t="s">
        <v>40</v>
      </c>
      <c r="G5425">
        <v>-356.09519999999998</v>
      </c>
      <c r="H5425">
        <v>1.040216</v>
      </c>
      <c r="I5425">
        <v>17.239450000000001</v>
      </c>
      <c r="J5425">
        <v>-356.83409999999998</v>
      </c>
      <c r="K5425">
        <v>1.104849</v>
      </c>
      <c r="L5425">
        <v>17.334379999999999</v>
      </c>
      <c r="M5425">
        <v>0.99949219999999905</v>
      </c>
      <c r="N5425">
        <v>0</v>
      </c>
      <c r="O5425">
        <v>2.8663040000000001E-2</v>
      </c>
      <c r="P5425">
        <v>0.998195099999999</v>
      </c>
      <c r="Q5425">
        <v>5.7207369999999896E-3</v>
      </c>
      <c r="R5425">
        <v>5.9783469999999998E-2</v>
      </c>
      <c r="S5425">
        <v>3.0257869999999998</v>
      </c>
      <c r="T5425">
        <v>-0.22017619999999999</v>
      </c>
      <c r="U5425">
        <v>-0.30767820000000001</v>
      </c>
      <c r="V5425">
        <v>-3.1135289999999999E-2</v>
      </c>
      <c r="W5425">
        <v>1.9662369999999998E-2</v>
      </c>
      <c r="X5425">
        <v>0.99932180000000004</v>
      </c>
      <c r="Y5425">
        <v>0.12922739999999999</v>
      </c>
      <c r="Z5425">
        <v>-6.761848E-3</v>
      </c>
      <c r="AA5425">
        <v>0.99159189999999997</v>
      </c>
      <c r="AB5425">
        <v>26</v>
      </c>
      <c r="AC5425">
        <v>0.738900000000001</v>
      </c>
      <c r="AD5425">
        <v>-6.4632999999999899E-2</v>
      </c>
      <c r="AE5425">
        <v>-9.4929999999997905E-2</v>
      </c>
      <c r="AF5425">
        <v>0.115205002029495</v>
      </c>
      <c r="AG5425">
        <v>-6.4632999999999899E-2</v>
      </c>
      <c r="AH5425">
        <v>0.73037748237602895</v>
      </c>
      <c r="AI5425">
        <v>94.995634005898793</v>
      </c>
      <c r="AJ5425">
        <v>81.036386672399004</v>
      </c>
      <c r="AK5425">
        <v>0.74222697602792798</v>
      </c>
    </row>
    <row r="5426" spans="1:37" x14ac:dyDescent="0.2">
      <c r="A5426" t="str">
        <f>"20200111155703914"</f>
        <v>20200111155703914</v>
      </c>
      <c r="B5426" t="str">
        <f>"1578729423908149"</f>
        <v>1578729423908149</v>
      </c>
      <c r="C5426" t="s">
        <v>37</v>
      </c>
      <c r="D5426">
        <v>5.3117960000000002</v>
      </c>
      <c r="E5426">
        <v>0.56212379999999995</v>
      </c>
      <c r="F5426" t="s">
        <v>40</v>
      </c>
      <c r="G5426">
        <v>-356.08960000000002</v>
      </c>
      <c r="H5426">
        <v>1.049088</v>
      </c>
      <c r="I5426">
        <v>17.25787</v>
      </c>
      <c r="J5426">
        <v>-356.63690000000003</v>
      </c>
      <c r="K5426">
        <v>1.1048389999999999</v>
      </c>
      <c r="L5426">
        <v>17.339839999999999</v>
      </c>
      <c r="M5426">
        <v>0.99949719999999997</v>
      </c>
      <c r="N5426">
        <v>0</v>
      </c>
      <c r="O5426">
        <v>2.8484039999999999E-2</v>
      </c>
      <c r="P5426">
        <v>0.99826870000000001</v>
      </c>
      <c r="Q5426">
        <v>3.071744E-3</v>
      </c>
      <c r="R5426">
        <v>5.8740380000000002E-2</v>
      </c>
      <c r="S5426">
        <v>3.0252379999999999</v>
      </c>
      <c r="T5426">
        <v>-0.22659270000000001</v>
      </c>
      <c r="U5426">
        <v>-0.3089905</v>
      </c>
      <c r="V5426">
        <v>-3.0271409999999999E-2</v>
      </c>
      <c r="W5426">
        <v>1.7012079999999999E-2</v>
      </c>
      <c r="X5426">
        <v>0.99939690000000003</v>
      </c>
      <c r="Y5426">
        <v>0.1294689</v>
      </c>
      <c r="Z5426">
        <v>-6.9551159999999999E-3</v>
      </c>
      <c r="AA5426">
        <v>0.99155910000000003</v>
      </c>
      <c r="AB5426">
        <v>26</v>
      </c>
      <c r="AC5426">
        <v>0.547300000000007</v>
      </c>
      <c r="AD5426">
        <v>-5.5750999999999801E-2</v>
      </c>
      <c r="AE5426">
        <v>-8.1969999999998294E-2</v>
      </c>
      <c r="AF5426">
        <v>9.6547705773401798E-2</v>
      </c>
      <c r="AG5426">
        <v>-5.5750999999999801E-2</v>
      </c>
      <c r="AH5426">
        <v>0.53926981446004496</v>
      </c>
      <c r="AI5426">
        <v>95.810662351251395</v>
      </c>
      <c r="AJ5426">
        <v>79.849638429939901</v>
      </c>
      <c r="AK5426">
        <v>0.55067373850482404</v>
      </c>
    </row>
    <row r="5427" spans="1:37" x14ac:dyDescent="0.2">
      <c r="A5427" t="str">
        <f>"20200111155703936"</f>
        <v>20200111155703936</v>
      </c>
      <c r="B5427" t="str">
        <f>"1578729423928645"</f>
        <v>1578729423928645</v>
      </c>
      <c r="C5427" t="s">
        <v>37</v>
      </c>
      <c r="D5427">
        <v>5.2487300000000001</v>
      </c>
      <c r="E5427">
        <v>0.57330689999999995</v>
      </c>
      <c r="F5427" t="s">
        <v>40</v>
      </c>
      <c r="G5427">
        <v>-355.861999999999</v>
      </c>
      <c r="H5427">
        <v>1.04443</v>
      </c>
      <c r="I5427">
        <v>17.259599999999999</v>
      </c>
      <c r="J5427">
        <v>-356.38569999999999</v>
      </c>
      <c r="K5427">
        <v>1.104833</v>
      </c>
      <c r="L5427">
        <v>17.346710000000002</v>
      </c>
      <c r="M5427">
        <v>0.99950349999999999</v>
      </c>
      <c r="N5427">
        <v>0</v>
      </c>
      <c r="O5427">
        <v>2.826248E-2</v>
      </c>
      <c r="P5427">
        <v>0.99833439999999996</v>
      </c>
      <c r="Q5427">
        <v>1.933146E-3</v>
      </c>
      <c r="R5427">
        <v>5.7660059999999999E-2</v>
      </c>
      <c r="S5427">
        <v>3.0243530000000001</v>
      </c>
      <c r="T5427">
        <v>-0.23578640000000001</v>
      </c>
      <c r="U5427">
        <v>-0.31292720000000002</v>
      </c>
      <c r="V5427">
        <v>-2.9411300000000001E-2</v>
      </c>
      <c r="W5427">
        <v>1.5870680000000002E-2</v>
      </c>
      <c r="X5427">
        <v>0.99944140000000004</v>
      </c>
      <c r="Y5427">
        <v>0.13051660000000001</v>
      </c>
      <c r="Z5427">
        <v>-7.2615789999999998E-3</v>
      </c>
      <c r="AA5427">
        <v>0.99141959999999996</v>
      </c>
      <c r="AB5427">
        <v>26</v>
      </c>
      <c r="AC5427">
        <v>0.52370000000001904</v>
      </c>
      <c r="AD5427">
        <v>-6.0402999999999901E-2</v>
      </c>
      <c r="AE5427">
        <v>-8.7110000000002602E-2</v>
      </c>
      <c r="AF5427">
        <v>0.10057574798274301</v>
      </c>
      <c r="AG5427">
        <v>-6.0402999999999901E-2</v>
      </c>
      <c r="AH5427">
        <v>0.51437009931141398</v>
      </c>
      <c r="AI5427">
        <v>96.574250541192995</v>
      </c>
      <c r="AJ5427">
        <v>78.936436284638702</v>
      </c>
      <c r="AK5427">
        <v>0.52757994897164395</v>
      </c>
    </row>
    <row r="5428" spans="1:37" x14ac:dyDescent="0.2">
      <c r="A5428" t="str">
        <f>"20200111155703949"</f>
        <v>20200111155703949</v>
      </c>
      <c r="B5428" t="str">
        <f>"1578729423938405"</f>
        <v>1578729423938405</v>
      </c>
      <c r="C5428" t="s">
        <v>37</v>
      </c>
      <c r="D5428">
        <v>5.2818559999999897</v>
      </c>
      <c r="E5428">
        <v>0.57542320000000002</v>
      </c>
      <c r="F5428" t="s">
        <v>38</v>
      </c>
      <c r="G5428">
        <v>-338.21039999999999</v>
      </c>
      <c r="H5428" s="1">
        <v>-1.8477299999999899E-6</v>
      </c>
      <c r="I5428">
        <v>14.908300000000001</v>
      </c>
      <c r="J5428">
        <v>-356.24290000000002</v>
      </c>
      <c r="K5428">
        <v>1.10483</v>
      </c>
      <c r="L5428">
        <v>17.35059</v>
      </c>
      <c r="M5428">
        <v>0.99950709999999998</v>
      </c>
      <c r="N5428">
        <v>0</v>
      </c>
      <c r="O5428">
        <v>2.8139399999999998E-2</v>
      </c>
      <c r="P5428">
        <v>0.99838989999999905</v>
      </c>
      <c r="Q5428">
        <v>9.8892209999999997E-4</v>
      </c>
      <c r="R5428">
        <v>5.6718930000000001E-2</v>
      </c>
      <c r="S5428">
        <v>3.02887</v>
      </c>
      <c r="T5428">
        <v>-0.1841178</v>
      </c>
      <c r="U5428">
        <v>-0.40634159999999903</v>
      </c>
      <c r="V5428">
        <v>-2.8592960000000001E-2</v>
      </c>
      <c r="W5428">
        <v>1.4925229999999999E-2</v>
      </c>
      <c r="X5428">
        <v>0.99947969999999897</v>
      </c>
      <c r="Y5428">
        <v>0.1604622</v>
      </c>
      <c r="Z5428">
        <v>-6.5530379999999997E-3</v>
      </c>
      <c r="AA5428">
        <v>0.98702029999999996</v>
      </c>
      <c r="AB5428">
        <v>26</v>
      </c>
      <c r="AC5428">
        <v>18.032499999999999</v>
      </c>
      <c r="AD5428">
        <v>-1.1048318477299901</v>
      </c>
      <c r="AE5428">
        <v>-2.4422899999999998</v>
      </c>
      <c r="AF5428">
        <v>2.9379654663706098</v>
      </c>
      <c r="AG5428">
        <v>-1.1048318477299901</v>
      </c>
      <c r="AH5428">
        <v>17.890676948909999</v>
      </c>
      <c r="AI5428">
        <v>93.487201037341293</v>
      </c>
      <c r="AJ5428">
        <v>80.674256019581406</v>
      </c>
      <c r="AK5428">
        <v>18.163937243439399</v>
      </c>
    </row>
    <row r="5429" spans="1:37" x14ac:dyDescent="0.2">
      <c r="A5429" t="str">
        <f>"20200111155703960"</f>
        <v>20200111155703960</v>
      </c>
      <c r="B5429" t="str">
        <f>"1578729423958901"</f>
        <v>1578729423958901</v>
      </c>
      <c r="C5429" t="s">
        <v>37</v>
      </c>
      <c r="D5429">
        <v>5.2303559999999996</v>
      </c>
      <c r="E5429">
        <v>0.57686440000000005</v>
      </c>
      <c r="F5429" t="s">
        <v>38</v>
      </c>
      <c r="G5429">
        <v>-337.68520000000001</v>
      </c>
      <c r="H5429" s="1">
        <v>-2.071461E-6</v>
      </c>
      <c r="I5429">
        <v>14.739269999999999</v>
      </c>
      <c r="J5429">
        <v>-356.10169999999999</v>
      </c>
      <c r="K5429">
        <v>1.1048260000000001</v>
      </c>
      <c r="L5429">
        <v>17.354429999999901</v>
      </c>
      <c r="M5429">
        <v>0.99951039999999902</v>
      </c>
      <c r="N5429">
        <v>0</v>
      </c>
      <c r="O5429">
        <v>2.8018640000000001E-2</v>
      </c>
      <c r="P5429">
        <v>0.99843349999999897</v>
      </c>
      <c r="Q5429" s="1">
        <v>-4.6647149999999999E-5</v>
      </c>
      <c r="R5429">
        <v>5.5949079999999998E-2</v>
      </c>
      <c r="S5429">
        <v>3.029236</v>
      </c>
      <c r="T5429">
        <v>-0.180344899999999</v>
      </c>
      <c r="U5429">
        <v>-0.42623899999999998</v>
      </c>
      <c r="V5429">
        <v>-2.7943780000000001E-2</v>
      </c>
      <c r="W5429">
        <v>1.388869E-2</v>
      </c>
      <c r="X5429">
        <v>0.99951299999999899</v>
      </c>
      <c r="Y5429">
        <v>0.1666908</v>
      </c>
      <c r="Z5429">
        <v>-6.5925990000000002E-3</v>
      </c>
      <c r="AA5429">
        <v>0.98598719999999995</v>
      </c>
      <c r="AB5429">
        <v>26</v>
      </c>
      <c r="AC5429">
        <v>18.4164999999999</v>
      </c>
      <c r="AD5429">
        <v>-1.1048280714609999</v>
      </c>
      <c r="AE5429">
        <v>-2.6151599999999902</v>
      </c>
      <c r="AF5429">
        <v>3.1191845247469399</v>
      </c>
      <c r="AG5429">
        <v>-1.1048280714609999</v>
      </c>
      <c r="AH5429">
        <v>18.2715294912941</v>
      </c>
      <c r="AI5429">
        <v>93.411073458887898</v>
      </c>
      <c r="AJ5429">
        <v>80.312264347502804</v>
      </c>
      <c r="AK5429">
        <v>18.568757285239599</v>
      </c>
    </row>
    <row r="5430" spans="1:37" x14ac:dyDescent="0.2">
      <c r="A5430" t="str">
        <f>"20200111155703972"</f>
        <v>20200111155703972</v>
      </c>
      <c r="B5430" t="str">
        <f>"1578729423968661"</f>
        <v>1578729423968661</v>
      </c>
      <c r="C5430" t="s">
        <v>37</v>
      </c>
      <c r="D5430">
        <v>5.2590690000000002</v>
      </c>
      <c r="E5430">
        <v>0.57698680000000002</v>
      </c>
      <c r="F5430" t="s">
        <v>38</v>
      </c>
      <c r="G5430">
        <v>-336.9735</v>
      </c>
      <c r="H5430" s="1">
        <v>-2.3575779999999999E-6</v>
      </c>
      <c r="I5430">
        <v>14.574129999999901</v>
      </c>
      <c r="J5430">
        <v>-355.96690000000001</v>
      </c>
      <c r="K5430">
        <v>1.104827</v>
      </c>
      <c r="L5430">
        <v>17.358059999999998</v>
      </c>
      <c r="M5430">
        <v>0.9995136</v>
      </c>
      <c r="N5430">
        <v>0</v>
      </c>
      <c r="O5430">
        <v>2.7904370000000001E-2</v>
      </c>
      <c r="P5430">
        <v>0.99849750000000004</v>
      </c>
      <c r="Q5430">
        <v>-6.8109300000000002E-4</v>
      </c>
      <c r="R5430">
        <v>5.479258E-2</v>
      </c>
      <c r="S5430">
        <v>3.0293580000000002</v>
      </c>
      <c r="T5430">
        <v>-0.1749733</v>
      </c>
      <c r="U5430">
        <v>-0.44030760000000002</v>
      </c>
      <c r="V5430">
        <v>-2.6900230000000001E-2</v>
      </c>
      <c r="W5430">
        <v>1.325313E-2</v>
      </c>
      <c r="X5430">
        <v>0.9995503</v>
      </c>
      <c r="Y5430">
        <v>0.17107120000000001</v>
      </c>
      <c r="Z5430">
        <v>-6.513423E-3</v>
      </c>
      <c r="AA5430">
        <v>0.98523709999999898</v>
      </c>
      <c r="AB5430">
        <v>26</v>
      </c>
      <c r="AC5430">
        <v>18.993400000000001</v>
      </c>
      <c r="AD5430">
        <v>-1.1048293575779999</v>
      </c>
      <c r="AE5430">
        <v>-2.7839299999999998</v>
      </c>
      <c r="AF5430">
        <v>3.30195829758821</v>
      </c>
      <c r="AG5430">
        <v>-1.1048293575779999</v>
      </c>
      <c r="AH5430">
        <v>18.845884488544101</v>
      </c>
      <c r="AI5430">
        <v>93.304863900160498</v>
      </c>
      <c r="AJ5430">
        <v>80.062166235470897</v>
      </c>
      <c r="AK5430">
        <v>19.164835993661001</v>
      </c>
    </row>
    <row r="5431" spans="1:37" x14ac:dyDescent="0.2">
      <c r="A5431" t="str">
        <f>"20200111155703984"</f>
        <v>20200111155703984</v>
      </c>
      <c r="B5431" t="str">
        <f>"1578729423978422"</f>
        <v>1578729423978422</v>
      </c>
      <c r="C5431" t="s">
        <v>37</v>
      </c>
      <c r="D5431">
        <v>5.2353180000000004</v>
      </c>
      <c r="E5431">
        <v>0.57731560000000004</v>
      </c>
      <c r="F5431" t="s">
        <v>38</v>
      </c>
      <c r="G5431">
        <v>-336.79829999999998</v>
      </c>
      <c r="H5431" s="1">
        <v>-2.4254600000000001E-6</v>
      </c>
      <c r="I5431">
        <v>14.5430299999999</v>
      </c>
      <c r="J5431">
        <v>-355.83249999999998</v>
      </c>
      <c r="K5431">
        <v>1.10483</v>
      </c>
      <c r="L5431">
        <v>17.361689999999999</v>
      </c>
      <c r="M5431">
        <v>0.99951679999999998</v>
      </c>
      <c r="N5431">
        <v>0</v>
      </c>
      <c r="O5431">
        <v>2.77904E-2</v>
      </c>
      <c r="P5431">
        <v>0.99855720000000003</v>
      </c>
      <c r="Q5431">
        <v>-4.9698629999999895E-4</v>
      </c>
      <c r="R5431">
        <v>5.3696790000000001E-2</v>
      </c>
      <c r="S5431">
        <v>3.0288390000000001</v>
      </c>
      <c r="T5431">
        <v>-0.17457520000000001</v>
      </c>
      <c r="U5431">
        <v>-0.44479370000000001</v>
      </c>
      <c r="V5431">
        <v>-2.591736E-2</v>
      </c>
      <c r="W5431">
        <v>1.343574E-2</v>
      </c>
      <c r="X5431">
        <v>0.99957379999999996</v>
      </c>
      <c r="Y5431">
        <v>0.17241099999999901</v>
      </c>
      <c r="Z5431">
        <v>-6.5308839999999998E-3</v>
      </c>
      <c r="AA5431">
        <v>0.98500350000000003</v>
      </c>
      <c r="AB5431">
        <v>26</v>
      </c>
      <c r="AC5431">
        <v>19.034199999999998</v>
      </c>
      <c r="AD5431">
        <v>-1.1048324254599999</v>
      </c>
      <c r="AE5431">
        <v>-2.8186599999999999</v>
      </c>
      <c r="AF5431">
        <v>3.3355934110544001</v>
      </c>
      <c r="AG5431">
        <v>-1.1048324254599999</v>
      </c>
      <c r="AH5431">
        <v>18.886242115655701</v>
      </c>
      <c r="AI5431">
        <v>93.297036911290604</v>
      </c>
      <c r="AJ5431">
        <v>79.983996810442903</v>
      </c>
      <c r="AK5431">
        <v>19.210335222046101</v>
      </c>
    </row>
    <row r="5432" spans="1:37" x14ac:dyDescent="0.2">
      <c r="A5432" t="str">
        <f>"20200111155703995"</f>
        <v>20200111155703995</v>
      </c>
      <c r="B5432" t="str">
        <f>"1578729423988181"</f>
        <v>1578729423988181</v>
      </c>
      <c r="C5432" t="s">
        <v>37</v>
      </c>
      <c r="D5432">
        <v>5.2141000000000002</v>
      </c>
      <c r="E5432">
        <v>0.57762119999999995</v>
      </c>
      <c r="F5432" t="s">
        <v>38</v>
      </c>
      <c r="G5432">
        <v>-336.38810000000001</v>
      </c>
      <c r="H5432" s="1">
        <v>-2.5850950000000001E-6</v>
      </c>
      <c r="I5432">
        <v>14.46782</v>
      </c>
      <c r="J5432">
        <v>-355.69369999999998</v>
      </c>
      <c r="K5432">
        <v>1.104835</v>
      </c>
      <c r="L5432">
        <v>17.36542</v>
      </c>
      <c r="M5432">
        <v>0.99951999999999996</v>
      </c>
      <c r="N5432">
        <v>0</v>
      </c>
      <c r="O5432">
        <v>2.7673090000000001E-2</v>
      </c>
      <c r="P5432">
        <v>0.99862809999999902</v>
      </c>
      <c r="Q5432" s="1">
        <v>-8.8361089999999996E-5</v>
      </c>
      <c r="R5432">
        <v>5.2364639999999997E-2</v>
      </c>
      <c r="S5432">
        <v>3.02850299999999</v>
      </c>
      <c r="T5432">
        <v>-0.1720797</v>
      </c>
      <c r="U5432">
        <v>-0.45071409999999901</v>
      </c>
      <c r="V5432">
        <v>-2.470083E-2</v>
      </c>
      <c r="W5432">
        <v>1.38434E-2</v>
      </c>
      <c r="X5432">
        <v>0.99959900000000002</v>
      </c>
      <c r="Y5432">
        <v>0.17420179999999999</v>
      </c>
      <c r="Z5432">
        <v>-6.4814069999999998E-3</v>
      </c>
      <c r="AA5432">
        <v>0.98468860000000002</v>
      </c>
      <c r="AB5432">
        <v>26</v>
      </c>
      <c r="AC5432">
        <v>19.305599999999899</v>
      </c>
      <c r="AD5432">
        <v>-1.1048375850950001</v>
      </c>
      <c r="AE5432">
        <v>-2.89759999999999</v>
      </c>
      <c r="AF5432">
        <v>3.41983382152321</v>
      </c>
      <c r="AG5432">
        <v>-1.1048375850950001</v>
      </c>
      <c r="AH5432">
        <v>19.15665317897</v>
      </c>
      <c r="AI5432">
        <v>93.249549171739901</v>
      </c>
      <c r="AJ5432">
        <v>79.878218456107206</v>
      </c>
      <c r="AK5432">
        <v>19.4908514558911</v>
      </c>
    </row>
    <row r="5433" spans="1:37" x14ac:dyDescent="0.2">
      <c r="A5433" t="str">
        <f>"20200111155704007"</f>
        <v>20200111155704007</v>
      </c>
      <c r="B5433" t="str">
        <f>"1578729423998917"</f>
        <v>1578729423998917</v>
      </c>
      <c r="C5433" t="s">
        <v>37</v>
      </c>
      <c r="D5433">
        <v>5.198969</v>
      </c>
      <c r="E5433">
        <v>0.5777698</v>
      </c>
      <c r="F5433" t="s">
        <v>38</v>
      </c>
      <c r="G5433">
        <v>-335.64929999999998</v>
      </c>
      <c r="H5433" s="1">
        <v>-2.8709310000000001E-6</v>
      </c>
      <c r="I5433">
        <v>14.3384</v>
      </c>
      <c r="J5433">
        <v>-355.5616</v>
      </c>
      <c r="K5433">
        <v>1.104843</v>
      </c>
      <c r="L5433">
        <v>17.368960000000001</v>
      </c>
      <c r="M5433">
        <v>0.99952319999999995</v>
      </c>
      <c r="N5433">
        <v>0</v>
      </c>
      <c r="O5433">
        <v>2.756107E-2</v>
      </c>
      <c r="P5433">
        <v>0.99869379999999996</v>
      </c>
      <c r="Q5433">
        <v>1.7504020000000001E-3</v>
      </c>
      <c r="R5433">
        <v>5.1065970000000002E-2</v>
      </c>
      <c r="S5433">
        <v>3.028076</v>
      </c>
      <c r="T5433">
        <v>-0.16690629999999901</v>
      </c>
      <c r="U5433">
        <v>-0.4572754</v>
      </c>
      <c r="V5433">
        <v>-2.3512370000000001E-2</v>
      </c>
      <c r="W5433">
        <v>1.5679970000000001E-2</v>
      </c>
      <c r="X5433">
        <v>0.99960059999999995</v>
      </c>
      <c r="Y5433">
        <v>0.17621410000000001</v>
      </c>
      <c r="Z5433">
        <v>-6.33569699999999E-3</v>
      </c>
      <c r="AA5433">
        <v>0.98433150000000003</v>
      </c>
      <c r="AB5433">
        <v>26</v>
      </c>
      <c r="AC5433">
        <v>19.912299999999998</v>
      </c>
      <c r="AD5433">
        <v>-1.1048458709310001</v>
      </c>
      <c r="AE5433">
        <v>-3.0305599999999999</v>
      </c>
      <c r="AF5433">
        <v>3.5675314648858798</v>
      </c>
      <c r="AG5433">
        <v>-1.1048458709310001</v>
      </c>
      <c r="AH5433">
        <v>19.761738551076299</v>
      </c>
      <c r="AI5433">
        <v>93.149180584443201</v>
      </c>
      <c r="AJ5433">
        <v>79.766770220932003</v>
      </c>
      <c r="AK5433">
        <v>20.1115458310036</v>
      </c>
    </row>
    <row r="5434" spans="1:37" x14ac:dyDescent="0.2">
      <c r="A5434" t="str">
        <f>"20200111155704026"</f>
        <v>20200111155704026</v>
      </c>
      <c r="B5434" t="str">
        <f>"1578729424018436"</f>
        <v>1578729424018436</v>
      </c>
      <c r="C5434" t="s">
        <v>37</v>
      </c>
      <c r="D5434">
        <v>5.2351839999999896</v>
      </c>
      <c r="E5434">
        <v>0.57777279999999998</v>
      </c>
      <c r="F5434" t="s">
        <v>38</v>
      </c>
      <c r="G5434">
        <v>-334.84030000000001</v>
      </c>
      <c r="H5434" s="1">
        <v>-3.1817859999999998E-6</v>
      </c>
      <c r="I5434">
        <v>14.20481</v>
      </c>
      <c r="J5434">
        <v>-355.35419999999999</v>
      </c>
      <c r="K5434">
        <v>1.1048719999999901</v>
      </c>
      <c r="L5434">
        <v>17.374479999999998</v>
      </c>
      <c r="M5434">
        <v>0.99952809999999903</v>
      </c>
      <c r="N5434">
        <v>0</v>
      </c>
      <c r="O5434">
        <v>2.738488E-2</v>
      </c>
      <c r="P5434">
        <v>0.99879869999999904</v>
      </c>
      <c r="Q5434">
        <v>7.278283E-3</v>
      </c>
      <c r="R5434">
        <v>4.8459500000000003E-2</v>
      </c>
      <c r="S5434">
        <v>3.027863</v>
      </c>
      <c r="T5434">
        <v>-0.16144320000000001</v>
      </c>
      <c r="U5434">
        <v>-0.46234129999999901</v>
      </c>
      <c r="V5434">
        <v>-2.1077829999999999E-2</v>
      </c>
      <c r="W5434">
        <v>2.1205089999999999E-2</v>
      </c>
      <c r="X5434">
        <v>0.99955289999999997</v>
      </c>
      <c r="Y5434">
        <v>0.17767820000000001</v>
      </c>
      <c r="Z5434">
        <v>-6.1577239999999998E-3</v>
      </c>
      <c r="AA5434">
        <v>0.98406939999999998</v>
      </c>
      <c r="AB5434">
        <v>26</v>
      </c>
      <c r="AC5434">
        <v>20.5138999999999</v>
      </c>
      <c r="AD5434">
        <v>-1.1048751817860001</v>
      </c>
      <c r="AE5434">
        <v>-3.1696699999999902</v>
      </c>
      <c r="AF5434">
        <v>3.7197671273026001</v>
      </c>
      <c r="AG5434">
        <v>-1.1048751817860001</v>
      </c>
      <c r="AH5434">
        <v>20.361706025499601</v>
      </c>
      <c r="AI5434">
        <v>93.0554911646515</v>
      </c>
      <c r="AJ5434">
        <v>79.647115462073799</v>
      </c>
      <c r="AK5434">
        <v>20.728156910771201</v>
      </c>
    </row>
    <row r="5435" spans="1:37" x14ac:dyDescent="0.2">
      <c r="A5435" t="str">
        <f>"20200111155704037"</f>
        <v>20200111155704037</v>
      </c>
      <c r="B5435" t="str">
        <f>"1578729424028197"</f>
        <v>1578729424028197</v>
      </c>
      <c r="C5435" t="s">
        <v>37</v>
      </c>
      <c r="D5435">
        <v>5.2649220000000003</v>
      </c>
      <c r="E5435">
        <v>0.57759280000000002</v>
      </c>
      <c r="F5435" t="s">
        <v>38</v>
      </c>
      <c r="G5435">
        <v>-332.30619999999999</v>
      </c>
      <c r="H5435" s="1">
        <v>-4.3151899999999999E-6</v>
      </c>
      <c r="I5435">
        <v>13.796989999999999</v>
      </c>
      <c r="J5435">
        <v>-355.2106</v>
      </c>
      <c r="K5435">
        <v>1.1048879999999901</v>
      </c>
      <c r="L5435">
        <v>17.378270000000001</v>
      </c>
      <c r="M5435">
        <v>0.99953139999999996</v>
      </c>
      <c r="N5435">
        <v>0</v>
      </c>
      <c r="O5435">
        <v>2.7262910000000001E-2</v>
      </c>
      <c r="P5435">
        <v>0.99885249999999903</v>
      </c>
      <c r="Q5435">
        <v>1.045596E-2</v>
      </c>
      <c r="R5435">
        <v>4.6741350000000001E-2</v>
      </c>
      <c r="S5435">
        <v>3.027466</v>
      </c>
      <c r="T5435">
        <v>-0.14513029999999999</v>
      </c>
      <c r="U5435">
        <v>-0.46990969999999999</v>
      </c>
      <c r="V5435">
        <v>-1.9479710000000001E-2</v>
      </c>
      <c r="W5435">
        <v>2.438048E-2</v>
      </c>
      <c r="X5435">
        <v>0.99951299999999899</v>
      </c>
      <c r="Y5435">
        <v>0.1800321</v>
      </c>
      <c r="Z5435">
        <v>-5.5861849999999996E-3</v>
      </c>
      <c r="AA5435">
        <v>0.98364479999999999</v>
      </c>
      <c r="AB5435">
        <v>26</v>
      </c>
      <c r="AC5435">
        <v>22.904399999999999</v>
      </c>
      <c r="AD5435">
        <v>-1.1048923151899901</v>
      </c>
      <c r="AE5435">
        <v>-3.58128</v>
      </c>
      <c r="AF5435">
        <v>4.1949209061790604</v>
      </c>
      <c r="AG5435">
        <v>-1.1048923151899901</v>
      </c>
      <c r="AH5435">
        <v>22.746570384404802</v>
      </c>
      <c r="AI5435">
        <v>92.734853954226196</v>
      </c>
      <c r="AJ5435">
        <v>79.550920934052996</v>
      </c>
      <c r="AK5435">
        <v>23.156524192761498</v>
      </c>
    </row>
    <row r="5436" spans="1:37" x14ac:dyDescent="0.2">
      <c r="A5436" t="str">
        <f>"20200111155704050"</f>
        <v>20200111155704050</v>
      </c>
      <c r="B5436" t="str">
        <f>"1578729424038934"</f>
        <v>1578729424038934</v>
      </c>
      <c r="C5436" t="s">
        <v>37</v>
      </c>
      <c r="D5436">
        <v>5.2237640000000001</v>
      </c>
      <c r="E5436">
        <v>0.57769209999999904</v>
      </c>
      <c r="F5436" t="s">
        <v>38</v>
      </c>
      <c r="G5436">
        <v>-330.77339999999998</v>
      </c>
      <c r="H5436" s="1">
        <v>-5.015565E-6</v>
      </c>
      <c r="I5436">
        <v>13.5555</v>
      </c>
      <c r="J5436">
        <v>-355.07569999999998</v>
      </c>
      <c r="K5436">
        <v>1.1049089999999999</v>
      </c>
      <c r="L5436">
        <v>17.381810000000002</v>
      </c>
      <c r="M5436">
        <v>0.9995347</v>
      </c>
      <c r="N5436">
        <v>0</v>
      </c>
      <c r="O5436">
        <v>2.7148019999999998E-2</v>
      </c>
      <c r="P5436">
        <v>0.99884110000000004</v>
      </c>
      <c r="Q5436">
        <v>1.362497E-2</v>
      </c>
      <c r="R5436">
        <v>4.6166409999999998E-2</v>
      </c>
      <c r="S5436">
        <v>3.0270079999999999</v>
      </c>
      <c r="T5436">
        <v>-0.1368617</v>
      </c>
      <c r="U5436">
        <v>-0.47351070000000001</v>
      </c>
      <c r="V5436">
        <v>-1.9018690000000001E-2</v>
      </c>
      <c r="W5436">
        <v>2.7547519999999999E-2</v>
      </c>
      <c r="X5436">
        <v>0.99943950000000004</v>
      </c>
      <c r="Y5436">
        <v>0.18110870000000001</v>
      </c>
      <c r="Z5436">
        <v>-5.2875730000000003E-3</v>
      </c>
      <c r="AA5436">
        <v>0.98344889999999996</v>
      </c>
      <c r="AB5436">
        <v>26</v>
      </c>
      <c r="AC5436">
        <v>24.302299999999999</v>
      </c>
      <c r="AD5436">
        <v>-1.1049140155649999</v>
      </c>
      <c r="AE5436">
        <v>-3.8263099999999999</v>
      </c>
      <c r="AF5436">
        <v>4.4756946402892304</v>
      </c>
      <c r="AG5436">
        <v>-1.1049140155649999</v>
      </c>
      <c r="AH5436">
        <v>24.140759906268801</v>
      </c>
      <c r="AI5436">
        <v>92.576728354577398</v>
      </c>
      <c r="AJ5436">
        <v>79.496628707129005</v>
      </c>
      <c r="AK5436">
        <v>24.577000759796199</v>
      </c>
    </row>
    <row r="5437" spans="1:37" x14ac:dyDescent="0.2">
      <c r="A5437" t="str">
        <f>"20200111155704064"</f>
        <v>20200111155704064</v>
      </c>
      <c r="B5437" t="str">
        <f>"1578729424058452"</f>
        <v>1578729424058452</v>
      </c>
      <c r="C5437" t="s">
        <v>37</v>
      </c>
      <c r="D5437">
        <v>5.2973970000000001</v>
      </c>
      <c r="E5437">
        <v>0.57769320000000002</v>
      </c>
      <c r="F5437" t="s">
        <v>38</v>
      </c>
      <c r="G5437">
        <v>-328.87650000000002</v>
      </c>
      <c r="H5437" s="1">
        <v>-2.10590399999999E-6</v>
      </c>
      <c r="I5437">
        <v>13.263719999999999</v>
      </c>
      <c r="J5437">
        <v>-354.92309999999998</v>
      </c>
      <c r="K5437">
        <v>1.1049309999999899</v>
      </c>
      <c r="L5437">
        <v>17.3858</v>
      </c>
      <c r="M5437">
        <v>0.99953799999999904</v>
      </c>
      <c r="N5437">
        <v>0</v>
      </c>
      <c r="O5437">
        <v>2.702189E-2</v>
      </c>
      <c r="P5437">
        <v>0.99879899999999999</v>
      </c>
      <c r="Q5437">
        <v>1.7553050000000001E-2</v>
      </c>
      <c r="R5437">
        <v>4.5746700000000001E-2</v>
      </c>
      <c r="S5437">
        <v>3.0272220000000001</v>
      </c>
      <c r="T5437">
        <v>-0.12766849999999999</v>
      </c>
      <c r="U5437">
        <v>-0.47583009999999898</v>
      </c>
      <c r="V5437">
        <v>-1.8724859999999999E-2</v>
      </c>
      <c r="W5437">
        <v>3.1473029999999999E-2</v>
      </c>
      <c r="X5437">
        <v>0.99932919999999903</v>
      </c>
      <c r="Y5437">
        <v>0.18173599999999901</v>
      </c>
      <c r="Z5437">
        <v>-4.9399420000000001E-3</v>
      </c>
      <c r="AA5437">
        <v>0.98333499999999996</v>
      </c>
      <c r="AB5437">
        <v>26</v>
      </c>
      <c r="AC5437">
        <v>26.046599999999899</v>
      </c>
      <c r="AD5437">
        <v>-1.104933105904</v>
      </c>
      <c r="AE5437">
        <v>-4.1220799999999898</v>
      </c>
      <c r="AF5437">
        <v>4.8160159801624003</v>
      </c>
      <c r="AG5437">
        <v>-1.104933105904</v>
      </c>
      <c r="AH5437">
        <v>25.880254363941901</v>
      </c>
      <c r="AI5437">
        <v>92.403493355591706</v>
      </c>
      <c r="AJ5437">
        <v>79.458494728211306</v>
      </c>
      <c r="AK5437">
        <v>26.347721970448099</v>
      </c>
    </row>
    <row r="5438" spans="1:37" x14ac:dyDescent="0.2">
      <c r="A5438" t="str">
        <f>"20200111155704076"</f>
        <v>20200111155704076</v>
      </c>
      <c r="B5438" t="str">
        <f>"1578729424068213"</f>
        <v>1578729424068213</v>
      </c>
      <c r="C5438" t="s">
        <v>37</v>
      </c>
      <c r="D5438">
        <v>5.2707899999999999</v>
      </c>
      <c r="E5438">
        <v>0.57644289999999998</v>
      </c>
      <c r="F5438" t="s">
        <v>38</v>
      </c>
      <c r="G5438">
        <v>-326.14089999999999</v>
      </c>
      <c r="H5438" s="1">
        <v>-3.26654499999999E-6</v>
      </c>
      <c r="I5438">
        <v>12.84989</v>
      </c>
      <c r="J5438">
        <v>-354.77440000000001</v>
      </c>
      <c r="K5438">
        <v>1.104957</v>
      </c>
      <c r="L5438">
        <v>17.389679999999998</v>
      </c>
      <c r="M5438">
        <v>0.99954109999999996</v>
      </c>
      <c r="N5438">
        <v>0</v>
      </c>
      <c r="O5438">
        <v>2.690439E-2</v>
      </c>
      <c r="P5438">
        <v>0.99875939999999996</v>
      </c>
      <c r="Q5438">
        <v>2.0919859999999998E-2</v>
      </c>
      <c r="R5438">
        <v>4.5188249999999999E-2</v>
      </c>
      <c r="S5438">
        <v>3.027466</v>
      </c>
      <c r="T5438">
        <v>-0.1162229</v>
      </c>
      <c r="U5438">
        <v>-0.47711179999999997</v>
      </c>
      <c r="V5438">
        <v>-1.8284419999999999E-2</v>
      </c>
      <c r="W5438">
        <v>3.4836699999999998E-2</v>
      </c>
      <c r="X5438">
        <v>0.99922569999999999</v>
      </c>
      <c r="Y5438">
        <v>0.1820454</v>
      </c>
      <c r="Z5438">
        <v>-4.4983169999999999E-3</v>
      </c>
      <c r="AA5438">
        <v>0.98327980000000004</v>
      </c>
      <c r="AB5438">
        <v>26</v>
      </c>
      <c r="AC5438">
        <v>28.633500000000002</v>
      </c>
      <c r="AD5438">
        <v>-1.104960266545</v>
      </c>
      <c r="AE5438">
        <v>-4.5397899999999902</v>
      </c>
      <c r="AF5438">
        <v>5.3008874600870097</v>
      </c>
      <c r="AG5438">
        <v>-1.104960266545</v>
      </c>
      <c r="AH5438">
        <v>28.4596388550654</v>
      </c>
      <c r="AI5438">
        <v>92.185865522146699</v>
      </c>
      <c r="AJ5438">
        <v>79.449003449060996</v>
      </c>
      <c r="AK5438">
        <v>28.9701810283591</v>
      </c>
    </row>
    <row r="5439" spans="1:37" x14ac:dyDescent="0.2">
      <c r="A5439" t="str">
        <f>"20200111155704092"</f>
        <v>20200111155704092</v>
      </c>
      <c r="B5439" t="str">
        <f>"1578729424088709"</f>
        <v>1578729424088709</v>
      </c>
      <c r="C5439" t="s">
        <v>37</v>
      </c>
      <c r="D5439">
        <v>5.059018</v>
      </c>
      <c r="E5439">
        <v>0.57683180000000001</v>
      </c>
      <c r="F5439" t="s">
        <v>38</v>
      </c>
      <c r="G5439">
        <v>-322.19040000000001</v>
      </c>
      <c r="H5439" s="1">
        <v>-4.962633E-6</v>
      </c>
      <c r="I5439">
        <v>12.341060000000001</v>
      </c>
      <c r="J5439">
        <v>-354.59550000000002</v>
      </c>
      <c r="K5439">
        <v>1.1050229999999901</v>
      </c>
      <c r="L5439">
        <v>17.394349999999999</v>
      </c>
      <c r="M5439">
        <v>0.99954460000000001</v>
      </c>
      <c r="N5439">
        <v>0</v>
      </c>
      <c r="O5439">
        <v>2.6780399999999999E-2</v>
      </c>
      <c r="P5439">
        <v>0.99858899999999995</v>
      </c>
      <c r="Q5439">
        <v>2.7684399999999901E-2</v>
      </c>
      <c r="R5439">
        <v>4.5318799999999999E-2</v>
      </c>
      <c r="S5439">
        <v>3.0270999999999999</v>
      </c>
      <c r="T5439">
        <v>-0.10265249999999999</v>
      </c>
      <c r="U5439">
        <v>-0.46902470000000002</v>
      </c>
      <c r="V5439">
        <v>-1.854215E-2</v>
      </c>
      <c r="W5439">
        <v>4.159616E-2</v>
      </c>
      <c r="X5439">
        <v>0.99896249999999998</v>
      </c>
      <c r="Y5439">
        <v>0.1794113</v>
      </c>
      <c r="Z5439">
        <v>-3.9261169999999998E-3</v>
      </c>
      <c r="AA5439">
        <v>0.98376629999999998</v>
      </c>
      <c r="AB5439">
        <v>26</v>
      </c>
      <c r="AC5439">
        <v>32.405099999999997</v>
      </c>
      <c r="AD5439">
        <v>-1.105027962633</v>
      </c>
      <c r="AE5439">
        <v>-5.0532899999999898</v>
      </c>
      <c r="AF5439">
        <v>5.9126704512605102</v>
      </c>
      <c r="AG5439">
        <v>-1.105027962633</v>
      </c>
      <c r="AH5439">
        <v>32.221554163976798</v>
      </c>
      <c r="AI5439">
        <v>91.931938587351297</v>
      </c>
      <c r="AJ5439">
        <v>79.601877431647594</v>
      </c>
      <c r="AK5439">
        <v>32.778183467140202</v>
      </c>
    </row>
    <row r="5440" spans="1:37" x14ac:dyDescent="0.2">
      <c r="A5440" t="str">
        <f>"20200111155704105"</f>
        <v>20200111155704105</v>
      </c>
      <c r="B5440" t="str">
        <f>"1578729424098469"</f>
        <v>1578729424098469</v>
      </c>
      <c r="C5440" t="s">
        <v>37</v>
      </c>
      <c r="D5440">
        <v>5.0865769999999904</v>
      </c>
      <c r="E5440">
        <v>0.57731299999999997</v>
      </c>
      <c r="F5440" t="s">
        <v>39</v>
      </c>
      <c r="G5440">
        <v>-311.26490000000001</v>
      </c>
      <c r="H5440">
        <v>-0.05</v>
      </c>
      <c r="I5440">
        <v>10.64221</v>
      </c>
      <c r="J5440">
        <v>-354.44709999999998</v>
      </c>
      <c r="K5440">
        <v>1.105059</v>
      </c>
      <c r="L5440">
        <v>17.39819</v>
      </c>
      <c r="M5440">
        <v>0.99954690000000002</v>
      </c>
      <c r="N5440">
        <v>0</v>
      </c>
      <c r="O5440">
        <v>2.6693000000000001E-2</v>
      </c>
      <c r="P5440">
        <v>0.99842749999999902</v>
      </c>
      <c r="Q5440">
        <v>3.3246449999999997E-2</v>
      </c>
      <c r="R5440">
        <v>4.513499E-2</v>
      </c>
      <c r="S5440">
        <v>3.0278930000000002</v>
      </c>
      <c r="T5440">
        <v>-8.0711720000000001E-2</v>
      </c>
      <c r="U5440">
        <v>-0.47183229999999998</v>
      </c>
      <c r="V5440">
        <v>-1.8449469999999999E-2</v>
      </c>
      <c r="W5440">
        <v>4.7152979999999997E-2</v>
      </c>
      <c r="X5440">
        <v>0.99871730000000003</v>
      </c>
      <c r="Y5440">
        <v>0.18022089999999999</v>
      </c>
      <c r="Z5440">
        <v>-3.094678E-3</v>
      </c>
      <c r="AA5440">
        <v>0.98362129999999903</v>
      </c>
      <c r="AB5440">
        <v>26</v>
      </c>
      <c r="AC5440">
        <v>43.182199999999902</v>
      </c>
      <c r="AD5440">
        <v>-1.1550590000000001</v>
      </c>
      <c r="AE5440">
        <v>-6.7559799999999903</v>
      </c>
      <c r="AF5440">
        <v>7.9008283820751997</v>
      </c>
      <c r="AG5440">
        <v>-1.1550590000000001</v>
      </c>
      <c r="AH5440">
        <v>42.9564552026117</v>
      </c>
      <c r="AI5440">
        <v>91.514861087294406</v>
      </c>
      <c r="AJ5440">
        <v>79.578267538482805</v>
      </c>
      <c r="AK5440">
        <v>43.692268125956502</v>
      </c>
    </row>
    <row r="5441" spans="1:37" x14ac:dyDescent="0.2">
      <c r="A5441" t="str">
        <f>"20200111155704532"</f>
        <v>20200111155704532</v>
      </c>
      <c r="B5441" t="str">
        <f>"1578729424528420"</f>
        <v>1578729424528420</v>
      </c>
      <c r="C5441" t="s">
        <v>37</v>
      </c>
      <c r="D5441">
        <v>5.277012</v>
      </c>
      <c r="E5441">
        <v>0.5140595</v>
      </c>
      <c r="F5441" t="s">
        <v>39</v>
      </c>
      <c r="G5441">
        <v>-298.75020000000001</v>
      </c>
      <c r="H5441">
        <v>-0.05</v>
      </c>
      <c r="I5441">
        <v>8.640549</v>
      </c>
      <c r="J5441">
        <v>-349.61559999999997</v>
      </c>
      <c r="K5441">
        <v>1.1056379999999999</v>
      </c>
      <c r="L5441">
        <v>17.584529999999901</v>
      </c>
      <c r="M5441">
        <v>0.99878389999999995</v>
      </c>
      <c r="N5441">
        <v>0</v>
      </c>
      <c r="O5441">
        <v>4.7910719999999997E-2</v>
      </c>
      <c r="P5441">
        <v>0.9984248</v>
      </c>
      <c r="Q5441">
        <v>1.7885849999999998E-2</v>
      </c>
      <c r="R5441">
        <v>5.3183920000000003E-2</v>
      </c>
      <c r="S5441">
        <v>3.0283199999999999</v>
      </c>
      <c r="T5441">
        <v>-6.280231E-2</v>
      </c>
      <c r="U5441">
        <v>-0.47616579999999997</v>
      </c>
      <c r="V5441">
        <v>-5.3542559999999999E-3</v>
      </c>
      <c r="W5441">
        <v>2.9509380000000002E-2</v>
      </c>
      <c r="X5441">
        <v>0.99955020000000006</v>
      </c>
      <c r="Y5441">
        <v>0.20243050000000001</v>
      </c>
      <c r="Z5441">
        <v>-3.0741269999999998E-3</v>
      </c>
      <c r="AA5441">
        <v>0.97929179999999905</v>
      </c>
      <c r="AB5441">
        <v>25</v>
      </c>
      <c r="AC5441">
        <v>50.865399999999902</v>
      </c>
      <c r="AD5441">
        <v>-1.1556379999999999</v>
      </c>
      <c r="AE5441">
        <v>-8.9439809999999902</v>
      </c>
      <c r="AF5441">
        <v>11.3651808319234</v>
      </c>
      <c r="AG5441">
        <v>-1.1556379999999999</v>
      </c>
      <c r="AH5441">
        <v>50.353226155552498</v>
      </c>
      <c r="AI5441">
        <v>91.282492089429795</v>
      </c>
      <c r="AJ5441">
        <v>77.2809522234393</v>
      </c>
      <c r="AK5441">
        <v>51.632840506809004</v>
      </c>
    </row>
    <row r="5442" spans="1:37" x14ac:dyDescent="0.2">
      <c r="A5442" t="str">
        <f>"20200111155704549"</f>
        <v>20200111155704549</v>
      </c>
      <c r="B5442" t="str">
        <f>"1578729424538179"</f>
        <v>1578729424538179</v>
      </c>
      <c r="C5442" t="s">
        <v>37</v>
      </c>
      <c r="D5442">
        <v>5.349882</v>
      </c>
      <c r="E5442">
        <v>0.51435580000000003</v>
      </c>
      <c r="F5442" t="s">
        <v>91</v>
      </c>
      <c r="G5442">
        <v>-279.68</v>
      </c>
      <c r="H5442">
        <v>0.46514279999999902</v>
      </c>
      <c r="I5442">
        <v>18.737459999999999</v>
      </c>
      <c r="J5442">
        <v>-349.42750000000001</v>
      </c>
      <c r="K5442">
        <v>1.105577</v>
      </c>
      <c r="L5442">
        <v>17.5947</v>
      </c>
      <c r="M5442">
        <v>0.99873619999999996</v>
      </c>
      <c r="N5442">
        <v>0</v>
      </c>
      <c r="O5442">
        <v>4.8982280000000003E-2</v>
      </c>
      <c r="P5442">
        <v>0.9985638</v>
      </c>
      <c r="Q5442">
        <v>1.8230429999999999E-2</v>
      </c>
      <c r="R5442">
        <v>5.0379970000000003E-2</v>
      </c>
      <c r="S5442">
        <v>3.00259399999999</v>
      </c>
      <c r="T5442">
        <v>-2.7498720000000001E-2</v>
      </c>
      <c r="U5442">
        <v>4.9499509999999997E-2</v>
      </c>
      <c r="V5442">
        <v>-1.4735639999999999E-3</v>
      </c>
      <c r="W5442">
        <v>2.9489359999999999E-2</v>
      </c>
      <c r="X5442">
        <v>0.99956399999999901</v>
      </c>
      <c r="Y5442">
        <v>3.2511760000000001E-2</v>
      </c>
      <c r="Z5442">
        <v>-5.9726739999999999E-4</v>
      </c>
      <c r="AA5442">
        <v>0.9994712</v>
      </c>
      <c r="AB5442">
        <v>25</v>
      </c>
      <c r="AC5442">
        <v>69.747500000000002</v>
      </c>
      <c r="AD5442">
        <v>-0.64043419999999995</v>
      </c>
      <c r="AE5442">
        <v>1.14276</v>
      </c>
      <c r="AF5442">
        <v>2.2750282168329599</v>
      </c>
      <c r="AG5442">
        <v>-0.64043419999999995</v>
      </c>
      <c r="AH5442">
        <v>69.713870176998697</v>
      </c>
      <c r="AI5442">
        <v>90.526059199694103</v>
      </c>
      <c r="AJ5442">
        <v>88.130884546072707</v>
      </c>
      <c r="AK5442">
        <v>69.753921785139397</v>
      </c>
    </row>
    <row r="5443" spans="1:37" x14ac:dyDescent="0.2">
      <c r="A5443" t="str">
        <f>"20200111155704563"</f>
        <v>20200111155704563</v>
      </c>
      <c r="B5443" t="str">
        <f>"1578729424558676"</f>
        <v>1578729424558676</v>
      </c>
      <c r="C5443" t="s">
        <v>37</v>
      </c>
      <c r="D5443">
        <v>5.3316359999999996</v>
      </c>
      <c r="E5443">
        <v>0.5145769</v>
      </c>
      <c r="F5443" t="s">
        <v>91</v>
      </c>
      <c r="G5443">
        <v>-279.68</v>
      </c>
      <c r="H5443">
        <v>0.3538539</v>
      </c>
      <c r="I5443">
        <v>18.493459999999999</v>
      </c>
      <c r="J5443">
        <v>-349.27120000000002</v>
      </c>
      <c r="K5443">
        <v>1.105529</v>
      </c>
      <c r="L5443">
        <v>17.60324</v>
      </c>
      <c r="M5443">
        <v>0.99869599999999903</v>
      </c>
      <c r="N5443">
        <v>0</v>
      </c>
      <c r="O5443">
        <v>4.9863850000000001E-2</v>
      </c>
      <c r="P5443">
        <v>0.99858469999999999</v>
      </c>
      <c r="Q5443">
        <v>1.8678199999999999E-2</v>
      </c>
      <c r="R5443">
        <v>4.9800440000000001E-2</v>
      </c>
      <c r="S5443">
        <v>3.0029910000000002</v>
      </c>
      <c r="T5443">
        <v>-3.2365440000000002E-2</v>
      </c>
      <c r="U5443">
        <v>3.8696290000000001E-2</v>
      </c>
      <c r="V5443" s="1">
        <v>-1.15004399999999E-5</v>
      </c>
      <c r="W5443">
        <v>2.9622820000000001E-2</v>
      </c>
      <c r="X5443">
        <v>0.99956109999999898</v>
      </c>
      <c r="Y5443">
        <v>3.698883E-2</v>
      </c>
      <c r="Z5443">
        <v>-7.3651710000000004E-4</v>
      </c>
      <c r="AA5443">
        <v>0.99931539999999996</v>
      </c>
      <c r="AB5443">
        <v>26</v>
      </c>
      <c r="AC5443">
        <v>69.591200000000001</v>
      </c>
      <c r="AD5443">
        <v>-0.75167509999999904</v>
      </c>
      <c r="AE5443">
        <v>0.89021999999999901</v>
      </c>
      <c r="AF5443">
        <v>2.5808796895679298</v>
      </c>
      <c r="AG5443">
        <v>-0.75167509999999904</v>
      </c>
      <c r="AH5443">
        <v>69.540900453610604</v>
      </c>
      <c r="AI5443">
        <v>90.618866119746201</v>
      </c>
      <c r="AJ5443">
        <v>87.8745504317166</v>
      </c>
      <c r="AK5443">
        <v>69.592835775868295</v>
      </c>
    </row>
    <row r="5444" spans="1:37" x14ac:dyDescent="0.2">
      <c r="A5444" t="str">
        <f>"20200111155704575"</f>
        <v>20200111155704575</v>
      </c>
      <c r="B5444" t="str">
        <f>"1578729424568436"</f>
        <v>1578729424568436</v>
      </c>
      <c r="C5444" t="s">
        <v>37</v>
      </c>
      <c r="D5444">
        <v>5.3294110000000003</v>
      </c>
      <c r="E5444">
        <v>0.51455909999999905</v>
      </c>
      <c r="F5444" t="s">
        <v>91</v>
      </c>
      <c r="G5444">
        <v>-279.68</v>
      </c>
      <c r="H5444">
        <v>0.26443889999999998</v>
      </c>
      <c r="I5444">
        <v>18.419319999999999</v>
      </c>
      <c r="J5444">
        <v>-349.12549999999999</v>
      </c>
      <c r="K5444">
        <v>1.1054870000000001</v>
      </c>
      <c r="L5444">
        <v>17.61139</v>
      </c>
      <c r="M5444">
        <v>0.99865820000000005</v>
      </c>
      <c r="N5444">
        <v>0</v>
      </c>
      <c r="O5444">
        <v>5.0679399999999999E-2</v>
      </c>
      <c r="P5444">
        <v>0.99860269999999995</v>
      </c>
      <c r="Q5444">
        <v>1.9443169999999999E-2</v>
      </c>
      <c r="R5444">
        <v>4.9140360000000001E-2</v>
      </c>
      <c r="S5444">
        <v>3.003174</v>
      </c>
      <c r="T5444">
        <v>-3.6296729999999999E-2</v>
      </c>
      <c r="U5444">
        <v>3.5217289999999998E-2</v>
      </c>
      <c r="V5444">
        <v>1.4642520000000001E-3</v>
      </c>
      <c r="W5444">
        <v>3.0090860000000001E-2</v>
      </c>
      <c r="X5444">
        <v>0.99954609999999899</v>
      </c>
      <c r="Y5444">
        <v>3.8961429999999998E-2</v>
      </c>
      <c r="Z5444">
        <v>-8.4769580000000004E-4</v>
      </c>
      <c r="AA5444">
        <v>0.99924029999999997</v>
      </c>
      <c r="AB5444">
        <v>26</v>
      </c>
      <c r="AC5444">
        <v>69.445499999999896</v>
      </c>
      <c r="AD5444">
        <v>-0.84104809999999997</v>
      </c>
      <c r="AE5444">
        <v>0.80793000000000204</v>
      </c>
      <c r="AF5444">
        <v>2.7123663884590199</v>
      </c>
      <c r="AG5444">
        <v>-0.84104809999999997</v>
      </c>
      <c r="AH5444">
        <v>69.387022396473299</v>
      </c>
      <c r="AI5444">
        <v>90.693924817048895</v>
      </c>
      <c r="AJ5444">
        <v>87.761424880752998</v>
      </c>
      <c r="AK5444">
        <v>69.445109045781194</v>
      </c>
    </row>
    <row r="5445" spans="1:37" x14ac:dyDescent="0.2">
      <c r="A5445" t="str">
        <f>"20200111155704586"</f>
        <v>20200111155704586</v>
      </c>
      <c r="B5445" t="str">
        <f>"1578729424578195"</f>
        <v>1578729424578195</v>
      </c>
      <c r="C5445" t="s">
        <v>37</v>
      </c>
      <c r="D5445">
        <v>5.300637</v>
      </c>
      <c r="E5445">
        <v>0.51448059999999995</v>
      </c>
      <c r="F5445" t="s">
        <v>91</v>
      </c>
      <c r="G5445">
        <v>-279.68</v>
      </c>
      <c r="H5445">
        <v>0.25578060000000002</v>
      </c>
      <c r="I5445">
        <v>18.382670000000001</v>
      </c>
      <c r="J5445">
        <v>-348.99020000000002</v>
      </c>
      <c r="K5445">
        <v>1.105448</v>
      </c>
      <c r="L5445">
        <v>17.619019999999999</v>
      </c>
      <c r="M5445">
        <v>0.99862280000000003</v>
      </c>
      <c r="N5445">
        <v>0</v>
      </c>
      <c r="O5445">
        <v>5.1430910000000003E-2</v>
      </c>
      <c r="P5445">
        <v>0.99860260000000001</v>
      </c>
      <c r="Q5445">
        <v>1.97482E-2</v>
      </c>
      <c r="R5445">
        <v>4.9025569999999997E-2</v>
      </c>
      <c r="S5445">
        <v>3.0033259999999999</v>
      </c>
      <c r="T5445">
        <v>-3.6747340000000003E-2</v>
      </c>
      <c r="U5445">
        <v>3.3355709999999997E-2</v>
      </c>
      <c r="V5445">
        <v>2.3310449999999999E-3</v>
      </c>
      <c r="W5445">
        <v>3.012279E-2</v>
      </c>
      <c r="X5445">
        <v>0.99954349999999903</v>
      </c>
      <c r="Y5445">
        <v>4.0332760000000002E-2</v>
      </c>
      <c r="Z5445">
        <v>-8.7575249999999999E-4</v>
      </c>
      <c r="AA5445">
        <v>0.99918589999999996</v>
      </c>
      <c r="AB5445">
        <v>26</v>
      </c>
      <c r="AC5445">
        <v>69.310199999999995</v>
      </c>
      <c r="AD5445">
        <v>-0.84966739999999996</v>
      </c>
      <c r="AE5445">
        <v>0.76364999999999805</v>
      </c>
      <c r="AF5445">
        <v>2.8018177836112601</v>
      </c>
      <c r="AG5445">
        <v>-0.84966739999999996</v>
      </c>
      <c r="AH5445">
        <v>69.247333944801397</v>
      </c>
      <c r="AI5445">
        <v>90.702411434505805</v>
      </c>
      <c r="AJ5445">
        <v>87.683018123722206</v>
      </c>
      <c r="AK5445">
        <v>69.309201236531493</v>
      </c>
    </row>
    <row r="5446" spans="1:37" x14ac:dyDescent="0.2">
      <c r="A5446" t="str">
        <f>"20200111155704599"</f>
        <v>20200111155704599</v>
      </c>
      <c r="B5446" t="str">
        <f>"1578729424588932"</f>
        <v>1578729424588932</v>
      </c>
      <c r="C5446" t="s">
        <v>37</v>
      </c>
      <c r="D5446">
        <v>5.3123990000000001</v>
      </c>
      <c r="E5446">
        <v>0.51440450000000004</v>
      </c>
      <c r="F5446" t="s">
        <v>91</v>
      </c>
      <c r="G5446">
        <v>-279.68</v>
      </c>
      <c r="H5446">
        <v>0.22306010000000001</v>
      </c>
      <c r="I5446">
        <v>18.39443</v>
      </c>
      <c r="J5446">
        <v>-348.85230000000001</v>
      </c>
      <c r="K5446">
        <v>1.1054139999999999</v>
      </c>
      <c r="L5446">
        <v>17.62689</v>
      </c>
      <c r="M5446">
        <v>0.99858599999999997</v>
      </c>
      <c r="N5446">
        <v>0</v>
      </c>
      <c r="O5446">
        <v>5.2194690000000002E-2</v>
      </c>
      <c r="P5446">
        <v>0.99859100000000001</v>
      </c>
      <c r="Q5446">
        <v>1.9526080000000001E-2</v>
      </c>
      <c r="R5446">
        <v>4.9349509999999999E-2</v>
      </c>
      <c r="S5446">
        <v>3.0033259999999999</v>
      </c>
      <c r="T5446">
        <v>-3.8235190000000002E-2</v>
      </c>
      <c r="U5446">
        <v>3.3599850000000001E-2</v>
      </c>
      <c r="V5446">
        <v>2.7729349999999998E-3</v>
      </c>
      <c r="W5446">
        <v>2.962329E-2</v>
      </c>
      <c r="X5446">
        <v>0.99955729999999998</v>
      </c>
      <c r="Y5446">
        <v>4.1014929999999998E-2</v>
      </c>
      <c r="Z5446">
        <v>-9.2525940000000003E-4</v>
      </c>
      <c r="AA5446">
        <v>0.99915810000000005</v>
      </c>
      <c r="AB5446">
        <v>26</v>
      </c>
      <c r="AC5446">
        <v>69.172300000000007</v>
      </c>
      <c r="AD5446">
        <v>-0.88235389999999903</v>
      </c>
      <c r="AE5446">
        <v>0.76754</v>
      </c>
      <c r="AF5446">
        <v>2.8436540635185499</v>
      </c>
      <c r="AG5446">
        <v>-0.88235389999999903</v>
      </c>
      <c r="AH5446">
        <v>69.106823972807803</v>
      </c>
      <c r="AI5446">
        <v>90.730892632529802</v>
      </c>
      <c r="AJ5446">
        <v>87.643684051381101</v>
      </c>
      <c r="AK5446">
        <v>69.170933465195205</v>
      </c>
    </row>
    <row r="5447" spans="1:37" x14ac:dyDescent="0.2">
      <c r="A5447" t="str">
        <f>"20200111155704617"</f>
        <v>20200111155704617</v>
      </c>
      <c r="B5447" t="str">
        <f>"1578729424608451"</f>
        <v>1578729424608451</v>
      </c>
      <c r="C5447" t="s">
        <v>37</v>
      </c>
      <c r="D5447">
        <v>5.3703469999999998</v>
      </c>
      <c r="E5447">
        <v>0.51403799999999999</v>
      </c>
      <c r="F5447" t="s">
        <v>91</v>
      </c>
      <c r="G5447">
        <v>-279.68</v>
      </c>
      <c r="H5447">
        <v>0.2019473</v>
      </c>
      <c r="I5447">
        <v>18.435220000000001</v>
      </c>
      <c r="J5447">
        <v>-348.64030000000002</v>
      </c>
      <c r="K5447">
        <v>1.105351</v>
      </c>
      <c r="L5447">
        <v>17.639220000000002</v>
      </c>
      <c r="M5447">
        <v>0.99852849999999904</v>
      </c>
      <c r="N5447">
        <v>0</v>
      </c>
      <c r="O5447">
        <v>5.3358280000000001E-2</v>
      </c>
      <c r="P5447">
        <v>0.99862129999999905</v>
      </c>
      <c r="Q5447">
        <v>1.7260830000000001E-2</v>
      </c>
      <c r="R5447">
        <v>4.9578030000000002E-2</v>
      </c>
      <c r="S5447">
        <v>3.0032649999999999</v>
      </c>
      <c r="T5447">
        <v>-3.9225820000000002E-2</v>
      </c>
      <c r="U5447">
        <v>3.5095210000000002E-2</v>
      </c>
      <c r="V5447">
        <v>3.7176840000000002E-3</v>
      </c>
      <c r="W5447">
        <v>2.695264E-2</v>
      </c>
      <c r="X5447">
        <v>0.99962980000000001</v>
      </c>
      <c r="Y5447">
        <v>4.1680809999999999E-2</v>
      </c>
      <c r="Z5447">
        <v>-9.6876869999999997E-4</v>
      </c>
      <c r="AA5447">
        <v>0.99913050000000003</v>
      </c>
      <c r="AB5447">
        <v>26</v>
      </c>
      <c r="AC5447">
        <v>68.960300000000004</v>
      </c>
      <c r="AD5447">
        <v>-0.90340370000000003</v>
      </c>
      <c r="AE5447">
        <v>0.79599999999999904</v>
      </c>
      <c r="AF5447">
        <v>2.88441455829448</v>
      </c>
      <c r="AG5447">
        <v>-0.90340370000000003</v>
      </c>
      <c r="AH5447">
        <v>68.892705624746895</v>
      </c>
      <c r="AI5447">
        <v>90.750630304826799</v>
      </c>
      <c r="AJ5447">
        <v>87.602528254957406</v>
      </c>
      <c r="AK5447">
        <v>68.958979646506506</v>
      </c>
    </row>
    <row r="5448" spans="1:37" x14ac:dyDescent="0.2">
      <c r="A5448" t="str">
        <f>"20200111155704629"</f>
        <v>20200111155704629</v>
      </c>
      <c r="B5448" t="str">
        <f>"1578729424618212"</f>
        <v>1578729424618212</v>
      </c>
      <c r="C5448" t="s">
        <v>37</v>
      </c>
      <c r="D5448">
        <v>5.3656249999999996</v>
      </c>
      <c r="E5448">
        <v>0.51362059999999998</v>
      </c>
      <c r="F5448" t="s">
        <v>91</v>
      </c>
      <c r="G5448">
        <v>-279.68</v>
      </c>
      <c r="H5448">
        <v>9.4301699999999905E-2</v>
      </c>
      <c r="I5448">
        <v>18.525020000000001</v>
      </c>
      <c r="J5448">
        <v>-348.50920000000002</v>
      </c>
      <c r="K5448">
        <v>1.1053170000000001</v>
      </c>
      <c r="L5448">
        <v>17.646940000000001</v>
      </c>
      <c r="M5448">
        <v>0.99849239999999995</v>
      </c>
      <c r="N5448">
        <v>0</v>
      </c>
      <c r="O5448">
        <v>5.4070600000000003E-2</v>
      </c>
      <c r="P5448">
        <v>0.99860260000000001</v>
      </c>
      <c r="Q5448">
        <v>1.6201130000000001E-2</v>
      </c>
      <c r="R5448">
        <v>5.0305839999999998E-2</v>
      </c>
      <c r="S5448">
        <v>3.0030209999999999</v>
      </c>
      <c r="T5448">
        <v>-4.4028159999999997E-2</v>
      </c>
      <c r="U5448">
        <v>3.8574219999999999E-2</v>
      </c>
      <c r="V5448">
        <v>3.7060259999999999E-3</v>
      </c>
      <c r="W5448">
        <v>2.56579999999999E-2</v>
      </c>
      <c r="X5448">
        <v>0.99966390000000005</v>
      </c>
      <c r="Y5448">
        <v>4.1233029999999997E-2</v>
      </c>
      <c r="Z5448">
        <v>-1.094582E-3</v>
      </c>
      <c r="AA5448">
        <v>0.99914899999999995</v>
      </c>
      <c r="AB5448">
        <v>26</v>
      </c>
      <c r="AC5448">
        <v>68.8292</v>
      </c>
      <c r="AD5448">
        <v>-1.0110153</v>
      </c>
      <c r="AE5448">
        <v>0.87807999999999997</v>
      </c>
      <c r="AF5448">
        <v>2.8443933584216601</v>
      </c>
      <c r="AG5448">
        <v>-1.0110153</v>
      </c>
      <c r="AH5448">
        <v>68.761148775994997</v>
      </c>
      <c r="AI5448">
        <v>90.8416562224496</v>
      </c>
      <c r="AJ5448">
        <v>87.631236890202601</v>
      </c>
      <c r="AK5448">
        <v>68.827380500123496</v>
      </c>
    </row>
    <row r="5449" spans="1:37" x14ac:dyDescent="0.2">
      <c r="A5449" t="str">
        <f>"20200111155704643"</f>
        <v>20200111155704643</v>
      </c>
      <c r="B5449" t="str">
        <f>"1578729424638708"</f>
        <v>1578729424638708</v>
      </c>
      <c r="C5449" t="s">
        <v>37</v>
      </c>
      <c r="D5449">
        <v>5.3236169999999996</v>
      </c>
      <c r="E5449">
        <v>0.51290230000000003</v>
      </c>
      <c r="F5449" t="s">
        <v>39</v>
      </c>
      <c r="G5449">
        <v>-280.57029999999997</v>
      </c>
      <c r="H5449">
        <v>-0.05</v>
      </c>
      <c r="I5449">
        <v>18.646729999999899</v>
      </c>
      <c r="J5449">
        <v>-348.35199999999998</v>
      </c>
      <c r="K5449">
        <v>1.10527999999999</v>
      </c>
      <c r="L5449">
        <v>17.65634</v>
      </c>
      <c r="M5449">
        <v>0.99844849999999996</v>
      </c>
      <c r="N5449">
        <v>0</v>
      </c>
      <c r="O5449">
        <v>5.4921369999999997E-2</v>
      </c>
      <c r="P5449">
        <v>0.99859050000000005</v>
      </c>
      <c r="Q5449">
        <v>1.592594E-2</v>
      </c>
      <c r="R5449">
        <v>5.0630649999999999E-2</v>
      </c>
      <c r="S5449">
        <v>3.0028079999999999</v>
      </c>
      <c r="T5449">
        <v>-5.1063419999999998E-2</v>
      </c>
      <c r="U5449">
        <v>4.4189449999999998E-2</v>
      </c>
      <c r="V5449">
        <v>4.2343759999999998E-3</v>
      </c>
      <c r="W5449">
        <v>2.5111720000000001E-2</v>
      </c>
      <c r="X5449">
        <v>0.99967569999999994</v>
      </c>
      <c r="Y5449">
        <v>4.0211759999999999E-2</v>
      </c>
      <c r="Z5449">
        <v>-1.275286E-3</v>
      </c>
      <c r="AA5449">
        <v>0.99919040000000003</v>
      </c>
      <c r="AB5449">
        <v>26</v>
      </c>
      <c r="AC5449">
        <v>67.781700000000001</v>
      </c>
      <c r="AD5449">
        <v>-1.1552799999999901</v>
      </c>
      <c r="AE5449">
        <v>0.99038999999999699</v>
      </c>
      <c r="AF5449">
        <v>2.73313175324434</v>
      </c>
      <c r="AG5449">
        <v>-1.1552799999999901</v>
      </c>
      <c r="AH5449">
        <v>67.714116229794001</v>
      </c>
      <c r="AI5449">
        <v>90.976641397779602</v>
      </c>
      <c r="AJ5449">
        <v>87.688636199009096</v>
      </c>
      <c r="AK5449">
        <v>67.779098679762896</v>
      </c>
    </row>
    <row r="5450" spans="1:37" x14ac:dyDescent="0.2">
      <c r="A5450" t="str">
        <f>"20200111155704655"</f>
        <v>20200111155704655</v>
      </c>
      <c r="B5450" t="str">
        <f>"1578729424648467"</f>
        <v>1578729424648467</v>
      </c>
      <c r="C5450" t="s">
        <v>37</v>
      </c>
      <c r="D5450">
        <v>5.2649739999999996</v>
      </c>
      <c r="E5450">
        <v>0.51258029999999999</v>
      </c>
      <c r="F5450" t="s">
        <v>39</v>
      </c>
      <c r="G5450">
        <v>-290.81630000000001</v>
      </c>
      <c r="H5450">
        <v>-0.05</v>
      </c>
      <c r="I5450">
        <v>18.635249999999999</v>
      </c>
      <c r="J5450">
        <v>-348.19560000000001</v>
      </c>
      <c r="K5450">
        <v>1.1052469999999901</v>
      </c>
      <c r="L5450">
        <v>17.665800000000001</v>
      </c>
      <c r="M5450">
        <v>0.99840439999999997</v>
      </c>
      <c r="N5450">
        <v>0</v>
      </c>
      <c r="O5450">
        <v>5.575807E-2</v>
      </c>
      <c r="P5450">
        <v>0.99857229999999997</v>
      </c>
      <c r="Q5450">
        <v>1.5477070000000001E-2</v>
      </c>
      <c r="R5450">
        <v>5.112767E-2</v>
      </c>
      <c r="S5450">
        <v>3.00259399999999</v>
      </c>
      <c r="T5450">
        <v>-6.0290219999999999E-2</v>
      </c>
      <c r="U5450">
        <v>5.1086430000000002E-2</v>
      </c>
      <c r="V5450">
        <v>4.5768629999999996E-3</v>
      </c>
      <c r="W5450">
        <v>2.4412900000000001E-2</v>
      </c>
      <c r="X5450">
        <v>0.99969149999999996</v>
      </c>
      <c r="Y5450">
        <v>3.8748020000000001E-2</v>
      </c>
      <c r="Z5450">
        <v>-1.50782E-3</v>
      </c>
      <c r="AA5450">
        <v>0.99924780000000002</v>
      </c>
      <c r="AB5450">
        <v>26</v>
      </c>
      <c r="AC5450">
        <v>57.379300000000001</v>
      </c>
      <c r="AD5450">
        <v>-1.1552469999999999</v>
      </c>
      <c r="AE5450">
        <v>0.96944999999999804</v>
      </c>
      <c r="AF5450">
        <v>2.23064084890192</v>
      </c>
      <c r="AG5450">
        <v>-1.1552469999999999</v>
      </c>
      <c r="AH5450">
        <v>57.320856357551598</v>
      </c>
      <c r="AI5450">
        <v>91.153712281071904</v>
      </c>
      <c r="AJ5450">
        <v>87.771459512487993</v>
      </c>
      <c r="AK5450">
        <v>57.375874091737003</v>
      </c>
    </row>
    <row r="5451" spans="1:37" x14ac:dyDescent="0.2">
      <c r="A5451" t="str">
        <f>"20200111155704667"</f>
        <v>20200111155704667</v>
      </c>
      <c r="B5451" t="str">
        <f>"1578729424658228"</f>
        <v>1578729424658228</v>
      </c>
      <c r="C5451" t="s">
        <v>37</v>
      </c>
      <c r="D5451">
        <v>5.283112</v>
      </c>
      <c r="E5451">
        <v>0.51220969999999999</v>
      </c>
      <c r="F5451" t="s">
        <v>39</v>
      </c>
      <c r="G5451">
        <v>-293.666</v>
      </c>
      <c r="H5451">
        <v>-0.05</v>
      </c>
      <c r="I5451">
        <v>18.670100000000001</v>
      </c>
      <c r="J5451">
        <v>-348.05220000000003</v>
      </c>
      <c r="K5451">
        <v>1.105218</v>
      </c>
      <c r="L5451">
        <v>17.674589999999998</v>
      </c>
      <c r="M5451">
        <v>0.99836369999999897</v>
      </c>
      <c r="N5451">
        <v>0</v>
      </c>
      <c r="O5451">
        <v>5.6515610000000001E-2</v>
      </c>
      <c r="P5451">
        <v>0.9985465</v>
      </c>
      <c r="Q5451">
        <v>1.443243E-2</v>
      </c>
      <c r="R5451">
        <v>5.1928170000000003E-2</v>
      </c>
      <c r="S5451">
        <v>3.0024410000000001</v>
      </c>
      <c r="T5451">
        <v>-6.3608769999999995E-2</v>
      </c>
      <c r="U5451">
        <v>5.5297850000000003E-2</v>
      </c>
      <c r="V5451">
        <v>4.5377919999999997E-3</v>
      </c>
      <c r="W5451">
        <v>2.3160119999999999E-2</v>
      </c>
      <c r="X5451">
        <v>0.99972150000000004</v>
      </c>
      <c r="Y5451">
        <v>3.8101889999999999E-2</v>
      </c>
      <c r="Z5451">
        <v>-1.6000249999999999E-3</v>
      </c>
      <c r="AA5451">
        <v>0.99927259999999996</v>
      </c>
      <c r="AB5451">
        <v>26</v>
      </c>
      <c r="AC5451">
        <v>54.386200000000002</v>
      </c>
      <c r="AD5451">
        <v>-1.1552180000000001</v>
      </c>
      <c r="AE5451">
        <v>0.995510000000003</v>
      </c>
      <c r="AF5451">
        <v>2.0789295041388098</v>
      </c>
      <c r="AG5451">
        <v>-1.1552180000000001</v>
      </c>
      <c r="AH5451">
        <v>54.331027876454002</v>
      </c>
      <c r="AI5451">
        <v>91.217182267266296</v>
      </c>
      <c r="AJ5451">
        <v>87.808695898417199</v>
      </c>
      <c r="AK5451">
        <v>54.3830586361481</v>
      </c>
    </row>
    <row r="5452" spans="1:37" x14ac:dyDescent="0.2">
      <c r="A5452" t="str">
        <f>"20200111155704685"</f>
        <v>20200111155704685</v>
      </c>
      <c r="B5452" t="str">
        <f>"1578729424678723"</f>
        <v>1578729424678723</v>
      </c>
      <c r="C5452" t="s">
        <v>37</v>
      </c>
      <c r="D5452">
        <v>5.258324</v>
      </c>
      <c r="E5452">
        <v>0.51181790000000005</v>
      </c>
      <c r="F5452" t="s">
        <v>39</v>
      </c>
      <c r="G5452">
        <v>-298.0804</v>
      </c>
      <c r="H5452">
        <v>-0.05</v>
      </c>
      <c r="I5452">
        <v>18.687479999999901</v>
      </c>
      <c r="J5452">
        <v>-347.85239999999999</v>
      </c>
      <c r="K5452">
        <v>1.1051679999999999</v>
      </c>
      <c r="L5452">
        <v>17.686979999999998</v>
      </c>
      <c r="M5452">
        <v>0.99830669999999899</v>
      </c>
      <c r="N5452">
        <v>0</v>
      </c>
      <c r="O5452">
        <v>5.7555639999999998E-2</v>
      </c>
      <c r="P5452">
        <v>0.99851299999999898</v>
      </c>
      <c r="Q5452">
        <v>1.1184390000000001E-2</v>
      </c>
      <c r="R5452">
        <v>5.3358019999999999E-2</v>
      </c>
      <c r="S5452">
        <v>3.0021969999999998</v>
      </c>
      <c r="T5452">
        <v>-6.9402930000000002E-2</v>
      </c>
      <c r="U5452">
        <v>6.0852049999999998E-2</v>
      </c>
      <c r="V5452">
        <v>4.1582670000000002E-3</v>
      </c>
      <c r="W5452">
        <v>1.9645679999999999E-2</v>
      </c>
      <c r="X5452">
        <v>0.99979839999999998</v>
      </c>
      <c r="Y5452">
        <v>3.7289139999999998E-2</v>
      </c>
      <c r="Z5452">
        <v>-1.760434E-3</v>
      </c>
      <c r="AA5452">
        <v>0.99930300000000005</v>
      </c>
      <c r="AB5452">
        <v>26</v>
      </c>
      <c r="AC5452">
        <v>49.771999999999899</v>
      </c>
      <c r="AD5452">
        <v>-1.155168</v>
      </c>
      <c r="AE5452">
        <v>1.00049999999999</v>
      </c>
      <c r="AF5452">
        <v>1.86491561551775</v>
      </c>
      <c r="AG5452">
        <v>-1.155168</v>
      </c>
      <c r="AH5452">
        <v>49.720301706392497</v>
      </c>
      <c r="AI5452">
        <v>91.329997214959604</v>
      </c>
      <c r="AJ5452">
        <v>87.851949324435196</v>
      </c>
      <c r="AK5452">
        <v>49.768672125503997</v>
      </c>
    </row>
    <row r="5453" spans="1:37" x14ac:dyDescent="0.2">
      <c r="A5453" t="str">
        <f>"20200111155704697"</f>
        <v>20200111155704697</v>
      </c>
      <c r="B5453" t="str">
        <f>"1578729424688285"</f>
        <v>1578729424688285</v>
      </c>
      <c r="C5453" t="s">
        <v>37</v>
      </c>
      <c r="D5453">
        <v>5.274324</v>
      </c>
      <c r="E5453">
        <v>0.51159399999999999</v>
      </c>
      <c r="F5453" t="s">
        <v>39</v>
      </c>
      <c r="G5453">
        <v>-305.69779999999997</v>
      </c>
      <c r="H5453">
        <v>-0.05</v>
      </c>
      <c r="I5453">
        <v>18.646989999999999</v>
      </c>
      <c r="J5453">
        <v>-347.71179999999998</v>
      </c>
      <c r="K5453">
        <v>1.1051329999999999</v>
      </c>
      <c r="L5453">
        <v>17.695799999999998</v>
      </c>
      <c r="M5453">
        <v>0.99826619999999999</v>
      </c>
      <c r="N5453">
        <v>0</v>
      </c>
      <c r="O5453">
        <v>5.8275970000000003E-2</v>
      </c>
      <c r="P5453">
        <v>0.99845620000000002</v>
      </c>
      <c r="Q5453">
        <v>8.9738349999999995E-3</v>
      </c>
      <c r="R5453">
        <v>5.4816190000000001E-2</v>
      </c>
      <c r="S5453">
        <v>3.0017399999999999</v>
      </c>
      <c r="T5453">
        <v>-8.2257150000000001E-2</v>
      </c>
      <c r="U5453">
        <v>6.8359379999999997E-2</v>
      </c>
      <c r="V5453">
        <v>3.4262679999999901E-3</v>
      </c>
      <c r="W5453">
        <v>1.7263810000000001E-2</v>
      </c>
      <c r="X5453">
        <v>0.99984509999999904</v>
      </c>
      <c r="Y5453">
        <v>3.5499070000000001E-2</v>
      </c>
      <c r="Z5453">
        <v>-2.08179E-3</v>
      </c>
      <c r="AA5453">
        <v>0.99936749999999996</v>
      </c>
      <c r="AB5453">
        <v>26</v>
      </c>
      <c r="AC5453">
        <v>42.014000000000003</v>
      </c>
      <c r="AD5453">
        <v>-1.155133</v>
      </c>
      <c r="AE5453">
        <v>0.95118999999999998</v>
      </c>
      <c r="AF5453">
        <v>1.4977854933334001</v>
      </c>
      <c r="AG5453">
        <v>-1.155133</v>
      </c>
      <c r="AH5453">
        <v>41.966319279733597</v>
      </c>
      <c r="AI5453">
        <v>91.575679247753598</v>
      </c>
      <c r="AJ5453">
        <v>87.955970902688904</v>
      </c>
      <c r="AK5453">
        <v>42.008923427294199</v>
      </c>
    </row>
    <row r="5454" spans="1:37" x14ac:dyDescent="0.2">
      <c r="A5454" t="str">
        <f>"20200111155704710"</f>
        <v>20200111155704710</v>
      </c>
      <c r="B5454" t="str">
        <f>"1578729424698039"</f>
        <v>1578729424698039</v>
      </c>
      <c r="C5454" t="s">
        <v>37</v>
      </c>
      <c r="D5454">
        <v>5.2958299999999996</v>
      </c>
      <c r="E5454">
        <v>0.51143649999999996</v>
      </c>
      <c r="F5454" t="s">
        <v>39</v>
      </c>
      <c r="G5454">
        <v>-309.24020000000002</v>
      </c>
      <c r="H5454">
        <v>-0.05</v>
      </c>
      <c r="I5454">
        <v>18.650649999999999</v>
      </c>
      <c r="J5454">
        <v>-347.56819999999999</v>
      </c>
      <c r="K5454">
        <v>1.1051040000000001</v>
      </c>
      <c r="L5454">
        <v>17.70496</v>
      </c>
      <c r="M5454">
        <v>0.99822549999999899</v>
      </c>
      <c r="N5454">
        <v>0</v>
      </c>
      <c r="O5454">
        <v>5.8989989999999999E-2</v>
      </c>
      <c r="P5454">
        <v>0.99837960000000003</v>
      </c>
      <c r="Q5454">
        <v>6.783224E-3</v>
      </c>
      <c r="R5454">
        <v>5.6500839999999997E-2</v>
      </c>
      <c r="S5454">
        <v>3.0013730000000001</v>
      </c>
      <c r="T5454">
        <v>-9.0118050000000005E-2</v>
      </c>
      <c r="U5454">
        <v>7.4493409999999996E-2</v>
      </c>
      <c r="V5454">
        <v>2.461048E-3</v>
      </c>
      <c r="W5454">
        <v>1.492666E-2</v>
      </c>
      <c r="X5454">
        <v>0.99988559999999904</v>
      </c>
      <c r="Y5454">
        <v>3.4162949999999997E-2</v>
      </c>
      <c r="Z5454">
        <v>-2.282189E-3</v>
      </c>
      <c r="AA5454">
        <v>0.99941369999999896</v>
      </c>
      <c r="AB5454">
        <v>26</v>
      </c>
      <c r="AC5454">
        <v>38.327999999999903</v>
      </c>
      <c r="AD5454">
        <v>-1.1551039999999999</v>
      </c>
      <c r="AE5454">
        <v>0.94568999999999803</v>
      </c>
      <c r="AF5454">
        <v>1.31580558100478</v>
      </c>
      <c r="AG5454">
        <v>-1.1551039999999999</v>
      </c>
      <c r="AH5454">
        <v>38.282289217334501</v>
      </c>
      <c r="AI5454">
        <v>91.727260528311206</v>
      </c>
      <c r="AJ5454">
        <v>88.031454204255894</v>
      </c>
      <c r="AK5454">
        <v>38.322307828436799</v>
      </c>
    </row>
    <row r="5455" spans="1:37" x14ac:dyDescent="0.2">
      <c r="A5455" t="str">
        <f>"20200111155704723"</f>
        <v>20200111155704723</v>
      </c>
      <c r="B5455" t="str">
        <f>"1578729424718535"</f>
        <v>1578729424718535</v>
      </c>
      <c r="C5455" t="s">
        <v>37</v>
      </c>
      <c r="D5455">
        <v>5.2023409999999997</v>
      </c>
      <c r="E5455">
        <v>0.5111194</v>
      </c>
      <c r="F5455" t="s">
        <v>39</v>
      </c>
      <c r="G5455">
        <v>-311.83240000000001</v>
      </c>
      <c r="H5455">
        <v>-0.05</v>
      </c>
      <c r="I5455">
        <v>18.666899999999998</v>
      </c>
      <c r="J5455">
        <v>-347.41449999999998</v>
      </c>
      <c r="K5455">
        <v>1.1050709999999999</v>
      </c>
      <c r="L5455">
        <v>17.71481</v>
      </c>
      <c r="M5455">
        <v>0.99818200000000001</v>
      </c>
      <c r="N5455">
        <v>0</v>
      </c>
      <c r="O5455">
        <v>5.9739970000000003E-2</v>
      </c>
      <c r="P5455">
        <v>0.99829489999999999</v>
      </c>
      <c r="Q5455">
        <v>4.2286700000000003E-3</v>
      </c>
      <c r="R5455">
        <v>5.8220840000000003E-2</v>
      </c>
      <c r="S5455">
        <v>3.0009459999999999</v>
      </c>
      <c r="T5455">
        <v>-9.7000959999999997E-2</v>
      </c>
      <c r="U5455">
        <v>8.0780030000000003E-2</v>
      </c>
      <c r="V5455">
        <v>1.4965929999999901E-3</v>
      </c>
      <c r="W5455">
        <v>1.2228960000000001E-2</v>
      </c>
      <c r="X5455">
        <v>0.99992409999999998</v>
      </c>
      <c r="Y5455">
        <v>3.281162E-2</v>
      </c>
      <c r="Z5455">
        <v>-2.4590189999999998E-3</v>
      </c>
      <c r="AA5455">
        <v>0.99945859999999997</v>
      </c>
      <c r="AB5455">
        <v>26</v>
      </c>
      <c r="AC5455">
        <v>35.582099999999897</v>
      </c>
      <c r="AD5455">
        <v>-1.155071</v>
      </c>
      <c r="AE5455">
        <v>0.95208999999999799</v>
      </c>
      <c r="AF5455">
        <v>1.174115612154</v>
      </c>
      <c r="AG5455">
        <v>-1.155071</v>
      </c>
      <c r="AH5455">
        <v>35.538002183803101</v>
      </c>
      <c r="AI5455">
        <v>91.860581573145694</v>
      </c>
      <c r="AJ5455">
        <v>88.107732435723904</v>
      </c>
      <c r="AK5455">
        <v>35.576148410160101</v>
      </c>
    </row>
    <row r="5456" spans="1:37" x14ac:dyDescent="0.2">
      <c r="A5456" t="str">
        <f>"20200111155704735"</f>
        <v>20200111155704735</v>
      </c>
      <c r="B5456" t="str">
        <f>"1578729424728295"</f>
        <v>1578729424728295</v>
      </c>
      <c r="C5456" t="s">
        <v>37</v>
      </c>
      <c r="D5456">
        <v>5.2606650000000004</v>
      </c>
      <c r="E5456">
        <v>0.51107939999999996</v>
      </c>
      <c r="F5456" t="s">
        <v>39</v>
      </c>
      <c r="G5456">
        <v>-314.8537</v>
      </c>
      <c r="H5456">
        <v>-0.05</v>
      </c>
      <c r="I5456">
        <v>18.674900000000001</v>
      </c>
      <c r="J5456">
        <v>-347.26499999999999</v>
      </c>
      <c r="K5456">
        <v>1.1050359999999999</v>
      </c>
      <c r="L5456">
        <v>17.724489999999999</v>
      </c>
      <c r="M5456">
        <v>0.99814040000000004</v>
      </c>
      <c r="N5456">
        <v>0</v>
      </c>
      <c r="O5456">
        <v>6.044513E-2</v>
      </c>
      <c r="P5456">
        <v>0.99821009999999999</v>
      </c>
      <c r="Q5456">
        <v>1.5037289999999899E-3</v>
      </c>
      <c r="R5456">
        <v>5.9787380000000001E-2</v>
      </c>
      <c r="S5456">
        <v>3.0004270000000002</v>
      </c>
      <c r="T5456">
        <v>-0.1064378</v>
      </c>
      <c r="U5456">
        <v>8.8470460000000001E-2</v>
      </c>
      <c r="V5456">
        <v>6.4078099999999999E-4</v>
      </c>
      <c r="W5456">
        <v>9.3881339999999994E-3</v>
      </c>
      <c r="X5456">
        <v>0.999955699999999</v>
      </c>
      <c r="Y5456">
        <v>3.0944119999999999E-2</v>
      </c>
      <c r="Z5456">
        <v>-2.6902809999999901E-3</v>
      </c>
      <c r="AA5456">
        <v>0.99951749999999995</v>
      </c>
      <c r="AB5456">
        <v>26</v>
      </c>
      <c r="AC5456">
        <v>32.411299999999898</v>
      </c>
      <c r="AD5456">
        <v>-1.155036</v>
      </c>
      <c r="AE5456">
        <v>0.95041000000000098</v>
      </c>
      <c r="AF5456">
        <v>1.0092134314928201</v>
      </c>
      <c r="AG5456">
        <v>-1.155036</v>
      </c>
      <c r="AH5456">
        <v>32.368410352172297</v>
      </c>
      <c r="AI5456">
        <v>92.0426865686713</v>
      </c>
      <c r="AJ5456">
        <v>88.214155616071295</v>
      </c>
      <c r="AK5456">
        <v>32.404731269341198</v>
      </c>
    </row>
    <row r="5457" spans="1:37" x14ac:dyDescent="0.2">
      <c r="A5457" t="str">
        <f>"20200111155704750"</f>
        <v>20200111155704750</v>
      </c>
      <c r="B5457" t="str">
        <f>"1578729424748791"</f>
        <v>1578729424748791</v>
      </c>
      <c r="C5457" t="s">
        <v>37</v>
      </c>
      <c r="D5457">
        <v>5.2146419999999898</v>
      </c>
      <c r="E5457">
        <v>0.51096419999999998</v>
      </c>
      <c r="F5457" t="s">
        <v>39</v>
      </c>
      <c r="G5457">
        <v>-317.06479999999999</v>
      </c>
      <c r="H5457">
        <v>-0.05</v>
      </c>
      <c r="I5457">
        <v>18.665179999999999</v>
      </c>
      <c r="J5457">
        <v>-347.08210000000003</v>
      </c>
      <c r="K5457">
        <v>1.1049899999999999</v>
      </c>
      <c r="L5457">
        <v>17.73648</v>
      </c>
      <c r="M5457">
        <v>0.99809099999999995</v>
      </c>
      <c r="N5457">
        <v>0</v>
      </c>
      <c r="O5457">
        <v>6.1269160000000003E-2</v>
      </c>
      <c r="P5457">
        <v>0.99808479999999999</v>
      </c>
      <c r="Q5457">
        <v>-3.9146479999999997E-3</v>
      </c>
      <c r="R5457">
        <v>6.1737239999999999E-2</v>
      </c>
      <c r="S5457">
        <v>3</v>
      </c>
      <c r="T5457">
        <v>-0.11473800000000001</v>
      </c>
      <c r="U5457">
        <v>9.3444819999999998E-2</v>
      </c>
      <c r="V5457">
        <v>-4.7570510000000002E-4</v>
      </c>
      <c r="W5457">
        <v>3.857428E-3</v>
      </c>
      <c r="X5457">
        <v>0.9999924</v>
      </c>
      <c r="Y5457">
        <v>3.009997E-2</v>
      </c>
      <c r="Z5457">
        <v>-2.9155420000000001E-3</v>
      </c>
      <c r="AA5457">
        <v>0.99954270000000001</v>
      </c>
      <c r="AB5457">
        <v>26</v>
      </c>
      <c r="AC5457">
        <v>30.017299999999999</v>
      </c>
      <c r="AD5457">
        <v>-1.15499</v>
      </c>
      <c r="AE5457">
        <v>0.92869999999999897</v>
      </c>
      <c r="AF5457">
        <v>0.91088792077628</v>
      </c>
      <c r="AG5457">
        <v>-1.15499</v>
      </c>
      <c r="AH5457">
        <v>29.973471105161899</v>
      </c>
      <c r="AI5457">
        <v>92.205711702821802</v>
      </c>
      <c r="AJ5457">
        <v>88.259328202180498</v>
      </c>
      <c r="AK5457">
        <v>30.0095432953634</v>
      </c>
    </row>
    <row r="5458" spans="1:37" x14ac:dyDescent="0.2">
      <c r="A5458" t="str">
        <f>"20200111155704763"</f>
        <v>20200111155704763</v>
      </c>
      <c r="B5458" t="str">
        <f>"1578729424758551"</f>
        <v>1578729424758551</v>
      </c>
      <c r="C5458" t="s">
        <v>37</v>
      </c>
      <c r="D5458">
        <v>5.2208969999999999</v>
      </c>
      <c r="E5458">
        <v>0.51100800000000002</v>
      </c>
      <c r="F5458" t="s">
        <v>38</v>
      </c>
      <c r="G5458">
        <v>-321.81979999999999</v>
      </c>
      <c r="H5458" s="1">
        <v>-4.0311479999999999E-6</v>
      </c>
      <c r="I5458">
        <v>18.579899999999999</v>
      </c>
      <c r="J5458">
        <v>-346.93599999999998</v>
      </c>
      <c r="K5458">
        <v>1.104967</v>
      </c>
      <c r="L5458">
        <v>17.746089999999999</v>
      </c>
      <c r="M5458">
        <v>0.99805259999999996</v>
      </c>
      <c r="N5458">
        <v>0</v>
      </c>
      <c r="O5458">
        <v>6.190151E-2</v>
      </c>
      <c r="P5458">
        <v>0.99801430000000002</v>
      </c>
      <c r="Q5458">
        <v>-5.9245290000000004E-3</v>
      </c>
      <c r="R5458">
        <v>6.2710849999999999E-2</v>
      </c>
      <c r="S5458">
        <v>2.9990540000000001</v>
      </c>
      <c r="T5458">
        <v>-0.131181399999999</v>
      </c>
      <c r="U5458">
        <v>0.100128199999999</v>
      </c>
      <c r="V5458">
        <v>-8.1378479999999996E-4</v>
      </c>
      <c r="W5458">
        <v>1.7841489999999901E-3</v>
      </c>
      <c r="X5458">
        <v>0.9999981</v>
      </c>
      <c r="Y5458">
        <v>2.847864E-2</v>
      </c>
      <c r="Z5458">
        <v>-3.3260350000000002E-3</v>
      </c>
      <c r="AA5458">
        <v>0.99958880000000006</v>
      </c>
      <c r="AB5458">
        <v>27</v>
      </c>
      <c r="AC5458">
        <v>25.1161999999999</v>
      </c>
      <c r="AD5458">
        <v>-1.1049710311480001</v>
      </c>
      <c r="AE5458">
        <v>0.83380999999999905</v>
      </c>
      <c r="AF5458">
        <v>0.72117156589883802</v>
      </c>
      <c r="AG5458">
        <v>-1.1049710311480001</v>
      </c>
      <c r="AH5458">
        <v>25.071174577092499</v>
      </c>
      <c r="AI5458">
        <v>92.522542626134907</v>
      </c>
      <c r="AJ5458">
        <v>88.352343000317006</v>
      </c>
      <c r="AK5458">
        <v>25.105872701067099</v>
      </c>
    </row>
    <row r="5459" spans="1:37" x14ac:dyDescent="0.2">
      <c r="A5459" t="str">
        <f>"20200111155704776"</f>
        <v>20200111155704776</v>
      </c>
      <c r="B5459" t="str">
        <f>"1578729424768311"</f>
        <v>1578729424768311</v>
      </c>
      <c r="C5459" t="s">
        <v>37</v>
      </c>
      <c r="D5459">
        <v>5.2516699999999998</v>
      </c>
      <c r="E5459">
        <v>0.51106379999999996</v>
      </c>
      <c r="F5459" t="s">
        <v>38</v>
      </c>
      <c r="G5459">
        <v>-322.7577</v>
      </c>
      <c r="H5459" s="1">
        <v>-3.588843E-6</v>
      </c>
      <c r="I5459">
        <v>18.574089999999899</v>
      </c>
      <c r="J5459">
        <v>-346.774</v>
      </c>
      <c r="K5459">
        <v>1.1049420000000001</v>
      </c>
      <c r="L5459">
        <v>17.75684</v>
      </c>
      <c r="M5459">
        <v>0.99801119999999899</v>
      </c>
      <c r="N5459">
        <v>0</v>
      </c>
      <c r="O5459">
        <v>6.2570059999999997E-2</v>
      </c>
      <c r="P5459">
        <v>0.99794039999999995</v>
      </c>
      <c r="Q5459">
        <v>-7.39399999999999E-3</v>
      </c>
      <c r="R5459">
        <v>6.3723329999999995E-2</v>
      </c>
      <c r="S5459">
        <v>2.9987180000000002</v>
      </c>
      <c r="T5459">
        <v>-0.13704430000000001</v>
      </c>
      <c r="U5459">
        <v>0.1026917</v>
      </c>
      <c r="V5459">
        <v>-1.155678E-3</v>
      </c>
      <c r="W5459">
        <v>2.8115909999999999E-4</v>
      </c>
      <c r="X5459">
        <v>0.99999930000000004</v>
      </c>
      <c r="Y5459">
        <v>2.828259E-2</v>
      </c>
      <c r="Z5459">
        <v>-3.5008449999999998E-3</v>
      </c>
      <c r="AA5459">
        <v>0.99959390000000004</v>
      </c>
      <c r="AB5459">
        <v>27</v>
      </c>
      <c r="AC5459">
        <v>24.016300000000001</v>
      </c>
      <c r="AD5459">
        <v>-1.104945588843</v>
      </c>
      <c r="AE5459">
        <v>0.81724999999999703</v>
      </c>
      <c r="AF5459">
        <v>0.68564715708979396</v>
      </c>
      <c r="AG5459">
        <v>-1.104945588843</v>
      </c>
      <c r="AH5459">
        <v>23.969696786350902</v>
      </c>
      <c r="AI5459">
        <v>92.638252089263304</v>
      </c>
      <c r="AJ5459">
        <v>88.361515404843701</v>
      </c>
      <c r="AK5459">
        <v>24.004944924076099</v>
      </c>
    </row>
    <row r="5460" spans="1:37" x14ac:dyDescent="0.2">
      <c r="A5460" t="str">
        <f>"20200111155704788"</f>
        <v>20200111155704788</v>
      </c>
      <c r="B5460" t="str">
        <f>"1578729424778070"</f>
        <v>1578729424778070</v>
      </c>
      <c r="C5460" t="s">
        <v>37</v>
      </c>
      <c r="D5460">
        <v>5.2137549999999999</v>
      </c>
      <c r="E5460">
        <v>0.51122920000000005</v>
      </c>
      <c r="F5460" t="s">
        <v>38</v>
      </c>
      <c r="G5460">
        <v>-323.34960000000001</v>
      </c>
      <c r="H5460" s="1">
        <v>-3.308156E-6</v>
      </c>
      <c r="I5460">
        <v>18.57912</v>
      </c>
      <c r="J5460">
        <v>-346.63350000000003</v>
      </c>
      <c r="K5460">
        <v>1.1049279999999999</v>
      </c>
      <c r="L5460">
        <v>17.76624</v>
      </c>
      <c r="M5460">
        <v>0.99797689999999994</v>
      </c>
      <c r="N5460">
        <v>0</v>
      </c>
      <c r="O5460">
        <v>6.3109269999999995E-2</v>
      </c>
      <c r="P5460">
        <v>0.997899599999999</v>
      </c>
      <c r="Q5460">
        <v>-8.6058060000000006E-3</v>
      </c>
      <c r="R5460">
        <v>6.4205650000000003E-2</v>
      </c>
      <c r="S5460">
        <v>2.9984130000000002</v>
      </c>
      <c r="T5460">
        <v>-0.14143739999999999</v>
      </c>
      <c r="U5460">
        <v>0.1052551</v>
      </c>
      <c r="V5460">
        <v>-1.097504E-3</v>
      </c>
      <c r="W5460">
        <v>-9.0503329999999996E-4</v>
      </c>
      <c r="X5460">
        <v>0.99999899999999997</v>
      </c>
      <c r="Y5460">
        <v>2.795922E-2</v>
      </c>
      <c r="Z5460">
        <v>-3.6309839999999999E-3</v>
      </c>
      <c r="AA5460">
        <v>0.99960249999999995</v>
      </c>
      <c r="AB5460">
        <v>27</v>
      </c>
      <c r="AC5460">
        <v>23.283899999999999</v>
      </c>
      <c r="AD5460">
        <v>-1.1049313081559999</v>
      </c>
      <c r="AE5460">
        <v>0.81287999999999905</v>
      </c>
      <c r="AF5460">
        <v>0.65673685510927604</v>
      </c>
      <c r="AG5460">
        <v>-1.1049313081559999</v>
      </c>
      <c r="AH5460">
        <v>23.236521615388298</v>
      </c>
      <c r="AI5460">
        <v>92.721364108997193</v>
      </c>
      <c r="AJ5460">
        <v>88.381072853144502</v>
      </c>
      <c r="AK5460">
        <v>23.2720457475274</v>
      </c>
    </row>
    <row r="5461" spans="1:37" x14ac:dyDescent="0.2">
      <c r="A5461" t="str">
        <f>"20200111155704801"</f>
        <v>20200111155704801</v>
      </c>
      <c r="B5461" t="str">
        <f>"1578729424798567"</f>
        <v>1578729424798567</v>
      </c>
      <c r="C5461" t="s">
        <v>37</v>
      </c>
      <c r="D5461">
        <v>5.1836929999999999</v>
      </c>
      <c r="E5461">
        <v>0.51165470000000002</v>
      </c>
      <c r="F5461" t="s">
        <v>38</v>
      </c>
      <c r="G5461">
        <v>-323.709</v>
      </c>
      <c r="H5461" s="1">
        <v>-3.1395510000000001E-6</v>
      </c>
      <c r="I5461">
        <v>18.571929999999998</v>
      </c>
      <c r="J5461">
        <v>-346.48899999999998</v>
      </c>
      <c r="K5461">
        <v>1.1049209999999901</v>
      </c>
      <c r="L5461">
        <v>17.77591</v>
      </c>
      <c r="M5461">
        <v>0.99794259999999901</v>
      </c>
      <c r="N5461">
        <v>0</v>
      </c>
      <c r="O5461">
        <v>6.3645090000000001E-2</v>
      </c>
      <c r="P5461">
        <v>0.99785210000000002</v>
      </c>
      <c r="Q5461">
        <v>-9.5376760000000001E-3</v>
      </c>
      <c r="R5461">
        <v>6.4810099999999995E-2</v>
      </c>
      <c r="S5461">
        <v>2.998291</v>
      </c>
      <c r="T5461">
        <v>-0.14451359999999999</v>
      </c>
      <c r="U5461">
        <v>0.105377199999999</v>
      </c>
      <c r="V5461">
        <v>-1.165213E-3</v>
      </c>
      <c r="W5461">
        <v>-1.7829529999999899E-3</v>
      </c>
      <c r="X5461">
        <v>0.99999769999999899</v>
      </c>
      <c r="Y5461">
        <v>2.844822E-2</v>
      </c>
      <c r="Z5461">
        <v>-3.7475379999999999E-3</v>
      </c>
      <c r="AA5461">
        <v>0.99958829999999999</v>
      </c>
      <c r="AB5461">
        <v>27</v>
      </c>
      <c r="AC5461">
        <v>22.78</v>
      </c>
      <c r="AD5461">
        <v>-1.1049241395510001</v>
      </c>
      <c r="AE5461">
        <v>0.79601999999999795</v>
      </c>
      <c r="AF5461">
        <v>0.65393589693197796</v>
      </c>
      <c r="AG5461">
        <v>-1.1049241395510001</v>
      </c>
      <c r="AH5461">
        <v>22.731064214738598</v>
      </c>
      <c r="AI5461">
        <v>92.781725471641707</v>
      </c>
      <c r="AJ5461">
        <v>88.352147731044596</v>
      </c>
      <c r="AK5461">
        <v>22.7672960591728</v>
      </c>
    </row>
    <row r="5462" spans="1:37" x14ac:dyDescent="0.2">
      <c r="A5462" t="str">
        <f>"20200111155704817"</f>
        <v>20200111155704817</v>
      </c>
      <c r="B5462" t="str">
        <f>"1578729424808326"</f>
        <v>1578729424808326</v>
      </c>
      <c r="C5462" t="s">
        <v>37</v>
      </c>
      <c r="D5462">
        <v>5.2467920000000001</v>
      </c>
      <c r="E5462">
        <v>0.51187749999999999</v>
      </c>
      <c r="F5462" t="s">
        <v>38</v>
      </c>
      <c r="G5462">
        <v>-323.68819999999999</v>
      </c>
      <c r="H5462" s="1">
        <v>-3.1505900000000001E-6</v>
      </c>
      <c r="I5462">
        <v>18.564959999999999</v>
      </c>
      <c r="J5462">
        <v>-346.28989999999999</v>
      </c>
      <c r="K5462">
        <v>1.1049279999999999</v>
      </c>
      <c r="L5462">
        <v>17.789370000000002</v>
      </c>
      <c r="M5462">
        <v>0.99789819999999996</v>
      </c>
      <c r="N5462">
        <v>0</v>
      </c>
      <c r="O5462">
        <v>6.4314570000000001E-2</v>
      </c>
      <c r="P5462">
        <v>0.99780859999999905</v>
      </c>
      <c r="Q5462">
        <v>-1.004393E-2</v>
      </c>
      <c r="R5462">
        <v>6.5402440000000006E-2</v>
      </c>
      <c r="S5462">
        <v>2.998291</v>
      </c>
      <c r="T5462">
        <v>-0.14529710000000001</v>
      </c>
      <c r="U5462">
        <v>0.1037598</v>
      </c>
      <c r="V5462">
        <v>-1.088442E-3</v>
      </c>
      <c r="W5462">
        <v>-2.1007959999999998E-3</v>
      </c>
      <c r="X5462">
        <v>0.99999720000000003</v>
      </c>
      <c r="Y5462">
        <v>2.9654119999999999E-2</v>
      </c>
      <c r="Z5462">
        <v>-3.829425E-3</v>
      </c>
      <c r="AA5462">
        <v>0.99955289999999997</v>
      </c>
      <c r="AB5462">
        <v>27</v>
      </c>
      <c r="AC5462">
        <v>22.601699999999902</v>
      </c>
      <c r="AD5462">
        <v>-1.1049311505899999</v>
      </c>
      <c r="AE5462">
        <v>0.775589999999997</v>
      </c>
      <c r="AF5462">
        <v>0.67806147562669505</v>
      </c>
      <c r="AG5462">
        <v>-1.1049311505899999</v>
      </c>
      <c r="AH5462">
        <v>22.550955303502601</v>
      </c>
      <c r="AI5462">
        <v>92.803817942312307</v>
      </c>
      <c r="AJ5462">
        <v>88.277751042643303</v>
      </c>
      <c r="AK5462">
        <v>22.588187738569101</v>
      </c>
    </row>
    <row r="5463" spans="1:37" x14ac:dyDescent="0.2">
      <c r="A5463" t="str">
        <f>"20200111155704829"</f>
        <v>20200111155704829</v>
      </c>
      <c r="B5463" t="str">
        <f>"1578729424818088"</f>
        <v>1578729424818088</v>
      </c>
      <c r="C5463" t="s">
        <v>37</v>
      </c>
      <c r="D5463">
        <v>5.3670150000000003</v>
      </c>
      <c r="E5463">
        <v>0.51187749999999999</v>
      </c>
      <c r="F5463" t="s">
        <v>38</v>
      </c>
      <c r="G5463">
        <v>-323.6533</v>
      </c>
      <c r="H5463" s="1">
        <v>-3.165797E-6</v>
      </c>
      <c r="I5463">
        <v>18.57226</v>
      </c>
      <c r="J5463">
        <v>-346.15210000000002</v>
      </c>
      <c r="K5463">
        <v>1.1049519999999999</v>
      </c>
      <c r="L5463">
        <v>17.79871</v>
      </c>
      <c r="M5463">
        <v>0.99786960000000002</v>
      </c>
      <c r="N5463">
        <v>0</v>
      </c>
      <c r="O5463">
        <v>6.4727800000000002E-2</v>
      </c>
      <c r="P5463">
        <v>0.99778319999999998</v>
      </c>
      <c r="Q5463">
        <v>-1.00994E-2</v>
      </c>
      <c r="R5463">
        <v>6.5779030000000002E-2</v>
      </c>
      <c r="S5463">
        <v>2.9983520000000001</v>
      </c>
      <c r="T5463">
        <v>-0.14635499999999901</v>
      </c>
      <c r="U5463">
        <v>0.1036987</v>
      </c>
      <c r="V5463">
        <v>-1.052203E-3</v>
      </c>
      <c r="W5463">
        <v>-1.9366609999999999E-3</v>
      </c>
      <c r="X5463">
        <v>0.99999760000000004</v>
      </c>
      <c r="Y5463">
        <v>3.0086580000000002E-2</v>
      </c>
      <c r="Z5463">
        <v>-3.8878579999999901E-3</v>
      </c>
      <c r="AA5463">
        <v>0.99953969999999903</v>
      </c>
      <c r="AB5463">
        <v>27</v>
      </c>
      <c r="AC5463">
        <v>22.498799999999999</v>
      </c>
      <c r="AD5463">
        <v>-1.104955165797</v>
      </c>
      <c r="AE5463">
        <v>0.77354999999999996</v>
      </c>
      <c r="AF5463">
        <v>0.68277369961677103</v>
      </c>
      <c r="AG5463">
        <v>-1.104955165797</v>
      </c>
      <c r="AH5463">
        <v>22.447608894363398</v>
      </c>
      <c r="AI5463">
        <v>92.816737204170707</v>
      </c>
      <c r="AJ5463">
        <v>88.2578102540663</v>
      </c>
      <c r="AK5463">
        <v>22.4851562351169</v>
      </c>
    </row>
    <row r="5464" spans="1:37" x14ac:dyDescent="0.2">
      <c r="A5464" t="str">
        <f>"20200111155704841"</f>
        <v>20200111155704841</v>
      </c>
      <c r="B5464" t="str">
        <f>"1578729424828823"</f>
        <v>1578729424828823</v>
      </c>
      <c r="C5464" t="s">
        <v>37</v>
      </c>
      <c r="D5464">
        <v>5.4260799999999998</v>
      </c>
      <c r="E5464">
        <v>0.50982079999999996</v>
      </c>
      <c r="F5464" t="s">
        <v>38</v>
      </c>
      <c r="G5464">
        <v>-323.54289999999997</v>
      </c>
      <c r="H5464" s="1">
        <v>-3.2149759999999999E-6</v>
      </c>
      <c r="I5464">
        <v>18.589179999999999</v>
      </c>
      <c r="J5464">
        <v>-346.01330000000002</v>
      </c>
      <c r="K5464">
        <v>1.1049709999999999</v>
      </c>
      <c r="L5464">
        <v>17.808199999999999</v>
      </c>
      <c r="M5464">
        <v>0.99784169999999905</v>
      </c>
      <c r="N5464">
        <v>0</v>
      </c>
      <c r="O5464">
        <v>6.5127470000000007E-2</v>
      </c>
      <c r="P5464">
        <v>0.99776350000000003</v>
      </c>
      <c r="Q5464">
        <v>-1.035063E-2</v>
      </c>
      <c r="R5464">
        <v>6.6038970000000002E-2</v>
      </c>
      <c r="S5464">
        <v>2.998291</v>
      </c>
      <c r="T5464">
        <v>-0.14653239999999901</v>
      </c>
      <c r="U5464">
        <v>0.1048279</v>
      </c>
      <c r="V5464">
        <v>-9.1201289999999903E-4</v>
      </c>
      <c r="W5464">
        <v>-1.9486939999999999E-3</v>
      </c>
      <c r="X5464">
        <v>0.99999769999999899</v>
      </c>
      <c r="Y5464">
        <v>3.01096E-2</v>
      </c>
      <c r="Z5464">
        <v>-3.9126509999999996E-3</v>
      </c>
      <c r="AA5464">
        <v>0.99953899999999996</v>
      </c>
      <c r="AB5464">
        <v>27</v>
      </c>
      <c r="AC5464">
        <v>22.470400000000001</v>
      </c>
      <c r="AD5464">
        <v>-1.104974214976</v>
      </c>
      <c r="AE5464">
        <v>0.78097999999999901</v>
      </c>
      <c r="AF5464">
        <v>0.68252151262824101</v>
      </c>
      <c r="AG5464">
        <v>-1.104974214976</v>
      </c>
      <c r="AH5464">
        <v>22.419407945429601</v>
      </c>
      <c r="AI5464">
        <v>92.820320837939505</v>
      </c>
      <c r="AJ5464">
        <v>88.256264040063996</v>
      </c>
      <c r="AK5464">
        <v>22.456995708566101</v>
      </c>
    </row>
    <row r="5465" spans="1:37" x14ac:dyDescent="0.2">
      <c r="A5465" t="str">
        <f>"20200111155704853"</f>
        <v>20200111155704853</v>
      </c>
      <c r="B5465" t="str">
        <f>"1578729424849319"</f>
        <v>1578729424849319</v>
      </c>
      <c r="C5465" t="s">
        <v>37</v>
      </c>
      <c r="D5465">
        <v>5.1554580000000003</v>
      </c>
      <c r="E5465">
        <v>0.43189899999999998</v>
      </c>
      <c r="F5465" t="s">
        <v>38</v>
      </c>
      <c r="G5465">
        <v>-323.47669999999999</v>
      </c>
      <c r="H5465" s="1">
        <v>-3.222105E-6</v>
      </c>
      <c r="I5465">
        <v>18.725390000000001</v>
      </c>
      <c r="J5465">
        <v>-345.86939999999998</v>
      </c>
      <c r="K5465">
        <v>1.1049899999999999</v>
      </c>
      <c r="L5465">
        <v>17.817989999999899</v>
      </c>
      <c r="M5465">
        <v>0.99781529999999996</v>
      </c>
      <c r="N5465">
        <v>0</v>
      </c>
      <c r="O5465">
        <v>6.5493170000000003E-2</v>
      </c>
      <c r="P5465">
        <v>0.99775159999999996</v>
      </c>
      <c r="Q5465">
        <v>-1.07416E-2</v>
      </c>
      <c r="R5465">
        <v>6.6156560000000003E-2</v>
      </c>
      <c r="S5465">
        <v>2.9971619999999999</v>
      </c>
      <c r="T5465">
        <v>-0.14695139999999901</v>
      </c>
      <c r="U5465">
        <v>0.1219788</v>
      </c>
      <c r="V5465">
        <v>-6.6358110000000004E-4</v>
      </c>
      <c r="W5465">
        <v>-2.0512429999999999E-3</v>
      </c>
      <c r="X5465">
        <v>0.99999769999999899</v>
      </c>
      <c r="Y5465">
        <v>2.475627E-2</v>
      </c>
      <c r="Z5465">
        <v>-3.8115059999999901E-3</v>
      </c>
      <c r="AA5465">
        <v>0.99968619999999997</v>
      </c>
      <c r="AB5465">
        <v>27</v>
      </c>
      <c r="AC5465">
        <v>22.392699999999898</v>
      </c>
      <c r="AD5465">
        <v>-1.1049932221049901</v>
      </c>
      <c r="AE5465">
        <v>0.90740000000000198</v>
      </c>
      <c r="AF5465">
        <v>0.55981149593373103</v>
      </c>
      <c r="AG5465">
        <v>-1.1049932221049901</v>
      </c>
      <c r="AH5465">
        <v>22.349717119608599</v>
      </c>
      <c r="AI5465">
        <v>92.829572018815298</v>
      </c>
      <c r="AJ5465">
        <v>88.565166147235203</v>
      </c>
      <c r="AK5465">
        <v>22.384017830997301</v>
      </c>
    </row>
    <row r="5466" spans="1:37" x14ac:dyDescent="0.2">
      <c r="A5466" t="str">
        <f>"20200111155704864"</f>
        <v>20200111155704864</v>
      </c>
      <c r="B5466" t="str">
        <f>"1578729424858102"</f>
        <v>1578729424858102</v>
      </c>
      <c r="C5466" t="s">
        <v>37</v>
      </c>
      <c r="D5466">
        <v>5.1539999999999999</v>
      </c>
      <c r="E5466">
        <v>0.42664439999999998</v>
      </c>
      <c r="F5466" t="s">
        <v>87</v>
      </c>
      <c r="G5466">
        <v>-278.95639999999997</v>
      </c>
      <c r="H5466">
        <v>3.1033360000000001</v>
      </c>
      <c r="I5466">
        <v>34.516739999999999</v>
      </c>
      <c r="J5466">
        <v>-345.72629999999998</v>
      </c>
      <c r="K5466">
        <v>1.1050040000000001</v>
      </c>
      <c r="L5466">
        <v>17.82779</v>
      </c>
      <c r="M5466">
        <v>0.99779079999999998</v>
      </c>
      <c r="N5466">
        <v>0</v>
      </c>
      <c r="O5466">
        <v>6.5824740000000007E-2</v>
      </c>
      <c r="P5466">
        <v>0.99775509999999901</v>
      </c>
      <c r="Q5466">
        <v>-1.083374E-2</v>
      </c>
      <c r="R5466">
        <v>6.6085179999999993E-2</v>
      </c>
      <c r="S5466">
        <v>2.95871</v>
      </c>
      <c r="T5466">
        <v>8.8361499999999996E-2</v>
      </c>
      <c r="U5466">
        <v>0.73837280000000005</v>
      </c>
      <c r="V5466">
        <v>-2.601778E-4</v>
      </c>
      <c r="W5466">
        <v>-1.856615E-3</v>
      </c>
      <c r="X5466">
        <v>0.99999830000000001</v>
      </c>
      <c r="Y5466">
        <v>-0.1776924</v>
      </c>
      <c r="Z5466">
        <v>-6.81877E-4</v>
      </c>
      <c r="AA5466">
        <v>0.98408589999999996</v>
      </c>
      <c r="AB5466">
        <v>27</v>
      </c>
      <c r="AC5466">
        <v>66.769900000000007</v>
      </c>
      <c r="AD5466">
        <v>1.998332</v>
      </c>
      <c r="AE5466">
        <v>16.688949999999998</v>
      </c>
      <c r="AF5466">
        <v>-12.247138585191401</v>
      </c>
      <c r="AG5466">
        <v>1.998332</v>
      </c>
      <c r="AH5466">
        <v>67.666621176688395</v>
      </c>
      <c r="AI5466">
        <v>88.335459952619999</v>
      </c>
      <c r="AJ5466">
        <v>100.259035474038</v>
      </c>
      <c r="AK5466">
        <v>68.795038743913494</v>
      </c>
    </row>
    <row r="5467" spans="1:37" x14ac:dyDescent="0.2">
      <c r="A5467" t="str">
        <f>"20200111155704877"</f>
        <v>20200111155704877</v>
      </c>
      <c r="B5467" t="str">
        <f>"1578729424868839"</f>
        <v>1578729424868839</v>
      </c>
      <c r="C5467" t="s">
        <v>37</v>
      </c>
      <c r="D5467">
        <v>5.1155530000000002</v>
      </c>
      <c r="E5467">
        <v>0.42391250000000003</v>
      </c>
      <c r="F5467" t="s">
        <v>87</v>
      </c>
      <c r="G5467">
        <v>-279.62779999999998</v>
      </c>
      <c r="H5467">
        <v>2.269587</v>
      </c>
      <c r="I5467">
        <v>35.287439999999997</v>
      </c>
      <c r="J5467">
        <v>-345.57330000000002</v>
      </c>
      <c r="K5467">
        <v>1.105013</v>
      </c>
      <c r="L5467">
        <v>17.838259999999998</v>
      </c>
      <c r="M5467">
        <v>0.99776659999999995</v>
      </c>
      <c r="N5467">
        <v>0</v>
      </c>
      <c r="O5467">
        <v>6.6149959999999994E-2</v>
      </c>
      <c r="P5467">
        <v>0.99776659999999995</v>
      </c>
      <c r="Q5467">
        <v>-1.0358890000000001E-2</v>
      </c>
      <c r="R5467">
        <v>6.5991820000000007E-2</v>
      </c>
      <c r="S5467">
        <v>2.9555660000000001</v>
      </c>
      <c r="T5467">
        <v>5.2073960000000002E-2</v>
      </c>
      <c r="U5467">
        <v>0.78070069999999903</v>
      </c>
      <c r="V5467">
        <v>1.588088E-4</v>
      </c>
      <c r="W5467">
        <v>-1.0750969999999999E-3</v>
      </c>
      <c r="X5467">
        <v>0.99999939999999998</v>
      </c>
      <c r="Y5467">
        <v>-0.19084999999999999</v>
      </c>
      <c r="Z5467">
        <v>-5.1008979999999998E-4</v>
      </c>
      <c r="AA5467">
        <v>0.98161909999999897</v>
      </c>
      <c r="AB5467">
        <v>27</v>
      </c>
      <c r="AC5467">
        <v>65.945499999999996</v>
      </c>
      <c r="AD5467">
        <v>1.164574</v>
      </c>
      <c r="AE5467">
        <v>17.449179999999998</v>
      </c>
      <c r="AF5467">
        <v>-13.0446759121631</v>
      </c>
      <c r="AG5467">
        <v>1.164574</v>
      </c>
      <c r="AH5467">
        <v>66.935849912110001</v>
      </c>
      <c r="AI5467">
        <v>89.021649786742302</v>
      </c>
      <c r="AJ5467">
        <v>101.027764572244</v>
      </c>
      <c r="AK5467">
        <v>68.205042377461794</v>
      </c>
    </row>
    <row r="5468" spans="1:37" x14ac:dyDescent="0.2">
      <c r="A5468" t="str">
        <f>"20200111155704890"</f>
        <v>20200111155704890</v>
      </c>
      <c r="B5468" t="str">
        <f>"1578729424878599"</f>
        <v>1578729424878599</v>
      </c>
      <c r="C5468" t="s">
        <v>37</v>
      </c>
      <c r="D5468">
        <v>5.0920489999999896</v>
      </c>
      <c r="E5468">
        <v>0.42226160000000001</v>
      </c>
      <c r="F5468" t="s">
        <v>87</v>
      </c>
      <c r="G5468">
        <v>-280.86259999999999</v>
      </c>
      <c r="H5468">
        <v>1.8465849999999999</v>
      </c>
      <c r="I5468">
        <v>35.415659999999903</v>
      </c>
      <c r="J5468">
        <v>-345.43529999999998</v>
      </c>
      <c r="K5468">
        <v>1.105011</v>
      </c>
      <c r="L5468">
        <v>17.847719999999999</v>
      </c>
      <c r="M5468">
        <v>0.99774839999999998</v>
      </c>
      <c r="N5468">
        <v>0</v>
      </c>
      <c r="O5468">
        <v>6.6384970000000001E-2</v>
      </c>
      <c r="P5468">
        <v>0.99780550000000001</v>
      </c>
      <c r="Q5468">
        <v>-9.5713340000000008E-3</v>
      </c>
      <c r="R5468">
        <v>6.5518430000000002E-2</v>
      </c>
      <c r="S5468">
        <v>2.9540099999999998</v>
      </c>
      <c r="T5468">
        <v>3.3852460000000001E-2</v>
      </c>
      <c r="U5468">
        <v>0.80239869999999902</v>
      </c>
      <c r="V5468">
        <v>8.6831699999999996E-4</v>
      </c>
      <c r="W5468" s="1">
        <v>-2.5510199999999998E-5</v>
      </c>
      <c r="X5468">
        <v>0.99999959999999899</v>
      </c>
      <c r="Y5468">
        <v>-0.19747919999999999</v>
      </c>
      <c r="Z5468">
        <v>-3.6619449999999998E-4</v>
      </c>
      <c r="AA5468">
        <v>0.98030699999999904</v>
      </c>
      <c r="AB5468">
        <v>27</v>
      </c>
      <c r="AC5468">
        <v>64.572699999999998</v>
      </c>
      <c r="AD5468">
        <v>0.74157399999999996</v>
      </c>
      <c r="AE5468">
        <v>17.567939999999901</v>
      </c>
      <c r="AF5468">
        <v>-13.240704951983901</v>
      </c>
      <c r="AG5468">
        <v>0.74157399999999996</v>
      </c>
      <c r="AH5468">
        <v>65.588491155653799</v>
      </c>
      <c r="AI5468">
        <v>89.365023391638502</v>
      </c>
      <c r="AJ5468">
        <v>101.41321656206701</v>
      </c>
      <c r="AK5468">
        <v>66.915740836504497</v>
      </c>
    </row>
    <row r="5469" spans="1:37" x14ac:dyDescent="0.2">
      <c r="A5469" t="str">
        <f>"20200111155704902"</f>
        <v>20200111155704902</v>
      </c>
      <c r="B5469" t="str">
        <f>"1578729424898119"</f>
        <v>1578729424898119</v>
      </c>
      <c r="C5469" t="s">
        <v>37</v>
      </c>
      <c r="D5469">
        <v>5.0974050000000002</v>
      </c>
      <c r="E5469">
        <v>0.419651099999999</v>
      </c>
      <c r="F5469" t="s">
        <v>87</v>
      </c>
      <c r="G5469">
        <v>-280.86259999999999</v>
      </c>
      <c r="H5469">
        <v>1.742688</v>
      </c>
      <c r="I5469">
        <v>35.65063</v>
      </c>
      <c r="J5469">
        <v>-345.28309999999999</v>
      </c>
      <c r="K5469">
        <v>1.104997</v>
      </c>
      <c r="L5469">
        <v>17.858179999999901</v>
      </c>
      <c r="M5469">
        <v>0.99773029999999996</v>
      </c>
      <c r="N5469">
        <v>0</v>
      </c>
      <c r="O5469">
        <v>6.6618070000000001E-2</v>
      </c>
      <c r="P5469">
        <v>0.99784169999999905</v>
      </c>
      <c r="Q5469">
        <v>-8.2064679999999997E-3</v>
      </c>
      <c r="R5469">
        <v>6.5153349999999999E-2</v>
      </c>
      <c r="S5469">
        <v>2.95343</v>
      </c>
      <c r="T5469">
        <v>2.916622E-2</v>
      </c>
      <c r="U5469">
        <v>0.81426999999999905</v>
      </c>
      <c r="V5469">
        <v>1.46746299999999E-3</v>
      </c>
      <c r="W5469">
        <v>1.6225020000000001E-3</v>
      </c>
      <c r="X5469">
        <v>0.99999760000000004</v>
      </c>
      <c r="Y5469">
        <v>-0.200965</v>
      </c>
      <c r="Z5469">
        <v>-3.3006919999999898E-4</v>
      </c>
      <c r="AA5469">
        <v>0.97959830000000003</v>
      </c>
      <c r="AB5469">
        <v>27</v>
      </c>
      <c r="AC5469">
        <v>64.420500000000004</v>
      </c>
      <c r="AD5469">
        <v>0.63769100000000001</v>
      </c>
      <c r="AE5469">
        <v>17.792449999999999</v>
      </c>
      <c r="AF5469">
        <v>-13.459919710549199</v>
      </c>
      <c r="AG5469">
        <v>0.63769100000000001</v>
      </c>
      <c r="AH5469">
        <v>65.456775585644195</v>
      </c>
      <c r="AI5469">
        <v>89.453271011250493</v>
      </c>
      <c r="AJ5469">
        <v>101.61979856615601</v>
      </c>
      <c r="AK5469">
        <v>66.829376463463305</v>
      </c>
    </row>
    <row r="5470" spans="1:37" x14ac:dyDescent="0.2">
      <c r="A5470" t="str">
        <f>"20200111155704917"</f>
        <v>20200111155704917</v>
      </c>
      <c r="B5470" t="str">
        <f>"1578729424908854"</f>
        <v>1578729424908854</v>
      </c>
      <c r="C5470" t="s">
        <v>37</v>
      </c>
      <c r="D5470">
        <v>5.08127</v>
      </c>
      <c r="E5470">
        <v>0.41868</v>
      </c>
      <c r="F5470" t="s">
        <v>87</v>
      </c>
      <c r="G5470">
        <v>-280.86259999999999</v>
      </c>
      <c r="H5470">
        <v>1.585936</v>
      </c>
      <c r="I5470">
        <v>36.061329999999998</v>
      </c>
      <c r="J5470">
        <v>-345.10109999999997</v>
      </c>
      <c r="K5470">
        <v>1.1049869999999999</v>
      </c>
      <c r="L5470">
        <v>17.870639999999899</v>
      </c>
      <c r="M5470">
        <v>0.99771239999999894</v>
      </c>
      <c r="N5470">
        <v>0</v>
      </c>
      <c r="O5470">
        <v>6.6836339999999994E-2</v>
      </c>
      <c r="P5470">
        <v>0.99794550000000004</v>
      </c>
      <c r="Q5470">
        <v>-4.2333809999999996E-3</v>
      </c>
      <c r="R5470">
        <v>6.3929630000000001E-2</v>
      </c>
      <c r="S5470">
        <v>2.9522089999999999</v>
      </c>
      <c r="T5470">
        <v>2.2040130000000002E-2</v>
      </c>
      <c r="U5470">
        <v>0.834198</v>
      </c>
      <c r="V5470">
        <v>2.9119900000000002E-3</v>
      </c>
      <c r="W5470">
        <v>5.9225850000000002E-3</v>
      </c>
      <c r="X5470">
        <v>0.99997819999999904</v>
      </c>
      <c r="Y5470">
        <v>-0.20698720000000001</v>
      </c>
      <c r="Z5470">
        <v>-2.6978810000000001E-4</v>
      </c>
      <c r="AA5470">
        <v>0.97834359999999998</v>
      </c>
      <c r="AB5470">
        <v>27</v>
      </c>
      <c r="AC5470">
        <v>64.238499999999902</v>
      </c>
      <c r="AD5470">
        <v>0.48094899999999902</v>
      </c>
      <c r="AE5470">
        <v>18.19069</v>
      </c>
      <c r="AF5470">
        <v>-13.855604464860001</v>
      </c>
      <c r="AG5470">
        <v>0.48094899999999902</v>
      </c>
      <c r="AH5470">
        <v>65.307317522358105</v>
      </c>
      <c r="AI5470">
        <v>89.587245626421407</v>
      </c>
      <c r="AJ5470">
        <v>101.978262458684</v>
      </c>
      <c r="AK5470">
        <v>66.762675268396407</v>
      </c>
    </row>
    <row r="5471" spans="1:37" x14ac:dyDescent="0.2">
      <c r="A5471" t="str">
        <f>"20200111155704930"</f>
        <v>20200111155704930</v>
      </c>
      <c r="B5471" t="str">
        <f>"1578729424918615"</f>
        <v>1578729424918615</v>
      </c>
      <c r="C5471" t="s">
        <v>37</v>
      </c>
      <c r="D5471">
        <v>5.0931449999999998</v>
      </c>
      <c r="E5471">
        <v>0.41775800000000002</v>
      </c>
      <c r="F5471" t="s">
        <v>87</v>
      </c>
      <c r="G5471">
        <v>-280.86259999999999</v>
      </c>
      <c r="H5471">
        <v>1.7579739999999999</v>
      </c>
      <c r="I5471">
        <v>36.111550000000001</v>
      </c>
      <c r="J5471">
        <v>-344.9599</v>
      </c>
      <c r="K5471">
        <v>1.104968</v>
      </c>
      <c r="L5471">
        <v>17.880279999999999</v>
      </c>
      <c r="M5471">
        <v>0.99770239999999999</v>
      </c>
      <c r="N5471">
        <v>0</v>
      </c>
      <c r="O5471">
        <v>6.6947370000000006E-2</v>
      </c>
      <c r="P5471">
        <v>0.99797950000000002</v>
      </c>
      <c r="Q5471">
        <v>-2.7644929999999998E-3</v>
      </c>
      <c r="R5471">
        <v>6.3476400000000002E-2</v>
      </c>
      <c r="S5471">
        <v>2.9526059999999998</v>
      </c>
      <c r="T5471">
        <v>3.0013439999999999E-2</v>
      </c>
      <c r="U5471">
        <v>0.83840939999999997</v>
      </c>
      <c r="V5471">
        <v>3.4777909999999901E-3</v>
      </c>
      <c r="W5471">
        <v>7.6324840000000001E-3</v>
      </c>
      <c r="X5471">
        <v>0.99996479999999999</v>
      </c>
      <c r="Y5471">
        <v>-0.2081324</v>
      </c>
      <c r="Z5471">
        <v>-3.718792E-4</v>
      </c>
      <c r="AA5471">
        <v>0.97810059999999999</v>
      </c>
      <c r="AB5471">
        <v>27</v>
      </c>
      <c r="AC5471">
        <v>64.097300000000004</v>
      </c>
      <c r="AD5471">
        <v>0.65300599999999998</v>
      </c>
      <c r="AE5471">
        <v>18.231269999999999</v>
      </c>
      <c r="AF5471">
        <v>-13.897652062024701</v>
      </c>
      <c r="AG5471">
        <v>0.65300599999999998</v>
      </c>
      <c r="AH5471">
        <v>65.167826643319003</v>
      </c>
      <c r="AI5471">
        <v>89.438519228763298</v>
      </c>
      <c r="AJ5471">
        <v>102.038523790648</v>
      </c>
      <c r="AK5471">
        <v>66.636452329688197</v>
      </c>
    </row>
    <row r="5472" spans="1:37" x14ac:dyDescent="0.2">
      <c r="A5472" t="str">
        <f>"20200111155704952"</f>
        <v>20200111155704952</v>
      </c>
      <c r="B5472" t="str">
        <f>"1578729424948872"</f>
        <v>1578729424948872</v>
      </c>
      <c r="C5472" t="s">
        <v>37</v>
      </c>
      <c r="D5472">
        <v>5.1005379999999896</v>
      </c>
      <c r="E5472">
        <v>0.41585810000000001</v>
      </c>
      <c r="F5472" t="s">
        <v>87</v>
      </c>
      <c r="G5472">
        <v>-280.86259999999999</v>
      </c>
      <c r="H5472">
        <v>1.8196349999999999</v>
      </c>
      <c r="I5472">
        <v>36.213009999999997</v>
      </c>
      <c r="J5472">
        <v>-344.69420000000002</v>
      </c>
      <c r="K5472">
        <v>1.10491299999999</v>
      </c>
      <c r="L5472">
        <v>17.898409999999998</v>
      </c>
      <c r="M5472">
        <v>0.99768829999999997</v>
      </c>
      <c r="N5472">
        <v>0</v>
      </c>
      <c r="O5472">
        <v>6.7089389999999999E-2</v>
      </c>
      <c r="P5472">
        <v>0.99805219999999994</v>
      </c>
      <c r="Q5472">
        <v>-6.8665709999999995E-4</v>
      </c>
      <c r="R5472">
        <v>6.2382630000000001E-2</v>
      </c>
      <c r="S5472">
        <v>2.9524840000000001</v>
      </c>
      <c r="T5472">
        <v>3.2919530000000002E-2</v>
      </c>
      <c r="U5472">
        <v>0.84445190000000003</v>
      </c>
      <c r="V5472">
        <v>4.7174920000000002E-3</v>
      </c>
      <c r="W5472">
        <v>1.014436E-2</v>
      </c>
      <c r="X5472">
        <v>0.99993739999999998</v>
      </c>
      <c r="Y5472">
        <v>-0.20985309999999999</v>
      </c>
      <c r="Z5472">
        <v>-4.1565849999999899E-4</v>
      </c>
      <c r="AA5472">
        <v>0.97773279999999996</v>
      </c>
      <c r="AB5472">
        <v>26</v>
      </c>
      <c r="AC5472">
        <v>63.831600000000002</v>
      </c>
      <c r="AD5472">
        <v>0.71472199999999997</v>
      </c>
      <c r="AE5472">
        <v>18.314599999999899</v>
      </c>
      <c r="AF5472">
        <v>-13.989037555663399</v>
      </c>
      <c r="AG5472">
        <v>0.71472199999999997</v>
      </c>
      <c r="AH5472">
        <v>64.909036985629498</v>
      </c>
      <c r="AI5472">
        <v>89.383292747207605</v>
      </c>
      <c r="AJ5472">
        <v>102.162221203363</v>
      </c>
      <c r="AK5472">
        <v>66.403215898575795</v>
      </c>
    </row>
    <row r="5473" spans="1:37" x14ac:dyDescent="0.2">
      <c r="A5473" t="str">
        <f>"20200111155704965"</f>
        <v>20200111155704965</v>
      </c>
      <c r="B5473" t="str">
        <f>"1578729424958631"</f>
        <v>1578729424958631</v>
      </c>
      <c r="C5473" t="s">
        <v>37</v>
      </c>
      <c r="D5473">
        <v>5.0635959999999898</v>
      </c>
      <c r="E5473">
        <v>0.41523979999999999</v>
      </c>
      <c r="F5473" t="s">
        <v>87</v>
      </c>
      <c r="G5473">
        <v>-280.86259999999999</v>
      </c>
      <c r="H5473">
        <v>1.823223</v>
      </c>
      <c r="I5473">
        <v>36.413220000000003</v>
      </c>
      <c r="J5473">
        <v>-344.5401</v>
      </c>
      <c r="K5473">
        <v>1.104886</v>
      </c>
      <c r="L5473">
        <v>17.908839999999898</v>
      </c>
      <c r="M5473">
        <v>0.99768319999999999</v>
      </c>
      <c r="N5473">
        <v>0</v>
      </c>
      <c r="O5473">
        <v>6.7127829999999999E-2</v>
      </c>
      <c r="P5473">
        <v>0.99808969999999897</v>
      </c>
      <c r="Q5473">
        <v>-4.81755E-4</v>
      </c>
      <c r="R5473">
        <v>6.1781999999999997E-2</v>
      </c>
      <c r="S5473">
        <v>2.9523619999999999</v>
      </c>
      <c r="T5473">
        <v>3.3223629999999997E-2</v>
      </c>
      <c r="U5473">
        <v>0.85635380000000005</v>
      </c>
      <c r="V5473">
        <v>5.3591740000000004E-3</v>
      </c>
      <c r="W5473">
        <v>1.0582070000000001E-2</v>
      </c>
      <c r="X5473">
        <v>0.99992969999999903</v>
      </c>
      <c r="Y5473">
        <v>-0.21346370000000001</v>
      </c>
      <c r="Z5473">
        <v>-4.3879079999999999E-4</v>
      </c>
      <c r="AA5473">
        <v>0.97695089999999996</v>
      </c>
      <c r="AB5473">
        <v>26</v>
      </c>
      <c r="AC5473">
        <v>63.677500000000002</v>
      </c>
      <c r="AD5473">
        <v>0.718337</v>
      </c>
      <c r="AE5473">
        <v>18.504380000000001</v>
      </c>
      <c r="AF5473">
        <v>-14.186178035290901</v>
      </c>
      <c r="AG5473">
        <v>0.718337</v>
      </c>
      <c r="AH5473">
        <v>64.768484648969704</v>
      </c>
      <c r="AI5473">
        <v>89.379281131720504</v>
      </c>
      <c r="AJ5473">
        <v>102.35434327138</v>
      </c>
      <c r="AK5473">
        <v>66.307769220645298</v>
      </c>
    </row>
    <row r="5474" spans="1:37" x14ac:dyDescent="0.2">
      <c r="A5474" t="str">
        <f>"20200111155704977"</f>
        <v>20200111155704977</v>
      </c>
      <c r="B5474" t="str">
        <f>"1578729424968391"</f>
        <v>1578729424968391</v>
      </c>
      <c r="C5474" t="s">
        <v>37</v>
      </c>
      <c r="D5474">
        <v>4.9843359999999999</v>
      </c>
      <c r="E5474">
        <v>0.4145779</v>
      </c>
      <c r="F5474" t="s">
        <v>87</v>
      </c>
      <c r="G5474">
        <v>-280.86259999999999</v>
      </c>
      <c r="H5474">
        <v>1.7718590000000001</v>
      </c>
      <c r="I5474">
        <v>36.447600000000001</v>
      </c>
      <c r="J5474">
        <v>-344.40140000000002</v>
      </c>
      <c r="K5474">
        <v>1.1048559999999901</v>
      </c>
      <c r="L5474">
        <v>17.918240000000001</v>
      </c>
      <c r="M5474">
        <v>0.99767969999999895</v>
      </c>
      <c r="N5474">
        <v>0</v>
      </c>
      <c r="O5474">
        <v>6.7144830000000003E-2</v>
      </c>
      <c r="P5474">
        <v>0.99814499999999995</v>
      </c>
      <c r="Q5474">
        <v>-6.0851589999999999E-4</v>
      </c>
      <c r="R5474">
        <v>6.0879570000000001E-2</v>
      </c>
      <c r="S5474">
        <v>2.9525450000000002</v>
      </c>
      <c r="T5474">
        <v>3.0925749999999998E-2</v>
      </c>
      <c r="U5474">
        <v>0.85958860000000004</v>
      </c>
      <c r="V5474">
        <v>6.2815169999999899E-3</v>
      </c>
      <c r="W5474">
        <v>1.065693E-2</v>
      </c>
      <c r="X5474">
        <v>0.99992349999999997</v>
      </c>
      <c r="Y5474">
        <v>-0.21441869999999999</v>
      </c>
      <c r="Z5474">
        <v>-4.1308879999999999E-4</v>
      </c>
      <c r="AA5474">
        <v>0.97674169999999905</v>
      </c>
      <c r="AB5474">
        <v>26</v>
      </c>
      <c r="AC5474">
        <v>63.538800000000002</v>
      </c>
      <c r="AD5474">
        <v>0.66700300000000001</v>
      </c>
      <c r="AE5474">
        <v>18.52936</v>
      </c>
      <c r="AF5474">
        <v>-14.2195217943191</v>
      </c>
      <c r="AG5474">
        <v>0.66700300000000001</v>
      </c>
      <c r="AH5474">
        <v>64.633055296191003</v>
      </c>
      <c r="AI5474">
        <v>89.422546297201805</v>
      </c>
      <c r="AJ5474">
        <v>102.40762960196</v>
      </c>
      <c r="AK5474">
        <v>66.182108836010997</v>
      </c>
    </row>
    <row r="5475" spans="1:37" x14ac:dyDescent="0.2">
      <c r="A5475" t="str">
        <f>"20200111155704990"</f>
        <v>20200111155704990</v>
      </c>
      <c r="B5475" t="str">
        <f>"1578729424978151"</f>
        <v>1578729424978151</v>
      </c>
      <c r="C5475" t="s">
        <v>37</v>
      </c>
      <c r="D5475">
        <v>5.0147399999999998</v>
      </c>
      <c r="E5475">
        <v>0.41400769999999998</v>
      </c>
      <c r="F5475" t="s">
        <v>87</v>
      </c>
      <c r="G5475">
        <v>-280.86259999999999</v>
      </c>
      <c r="H5475">
        <v>1.7244349999999999</v>
      </c>
      <c r="I5475">
        <v>36.470390000000002</v>
      </c>
      <c r="J5475">
        <v>-344.2516</v>
      </c>
      <c r="K5475">
        <v>1.104827</v>
      </c>
      <c r="L5475">
        <v>17.928339999999999</v>
      </c>
      <c r="M5475">
        <v>0.99767830000000002</v>
      </c>
      <c r="N5475">
        <v>0</v>
      </c>
      <c r="O5475">
        <v>6.713044E-2</v>
      </c>
      <c r="P5475">
        <v>0.99819329999999995</v>
      </c>
      <c r="Q5475">
        <v>-1.1006270000000001E-3</v>
      </c>
      <c r="R5475">
        <v>6.0075209999999997E-2</v>
      </c>
      <c r="S5475">
        <v>2.9529719999999999</v>
      </c>
      <c r="T5475">
        <v>2.879512E-2</v>
      </c>
      <c r="U5475">
        <v>0.86221309999999995</v>
      </c>
      <c r="V5475">
        <v>7.0739059999999996E-3</v>
      </c>
      <c r="W5475">
        <v>1.036226E-2</v>
      </c>
      <c r="X5475">
        <v>0.99992130000000001</v>
      </c>
      <c r="Y5475">
        <v>-0.21519569999999999</v>
      </c>
      <c r="Z5475">
        <v>-3.8838050000000003E-4</v>
      </c>
      <c r="AA5475">
        <v>0.97657079999999996</v>
      </c>
      <c r="AB5475">
        <v>26</v>
      </c>
      <c r="AC5475">
        <v>63.389000000000003</v>
      </c>
      <c r="AD5475">
        <v>0.61960799999999905</v>
      </c>
      <c r="AE5475">
        <v>18.54205</v>
      </c>
      <c r="AF5475">
        <v>-14.2433525603989</v>
      </c>
      <c r="AG5475">
        <v>0.61960799999999905</v>
      </c>
      <c r="AH5475">
        <v>64.485131001283705</v>
      </c>
      <c r="AI5475">
        <v>89.462444085508295</v>
      </c>
      <c r="AJ5475">
        <v>102.455397889305</v>
      </c>
      <c r="AK5475">
        <v>66.042328293952593</v>
      </c>
    </row>
    <row r="5476" spans="1:37" x14ac:dyDescent="0.2">
      <c r="A5476" t="str">
        <f>"20200111155705003"</f>
        <v>20200111155705003</v>
      </c>
      <c r="B5476" t="str">
        <f>"1578729424998647"</f>
        <v>1578729424998647</v>
      </c>
      <c r="C5476" t="s">
        <v>37</v>
      </c>
      <c r="D5476">
        <v>5.0499890000000001</v>
      </c>
      <c r="E5476">
        <v>0.41322419999999999</v>
      </c>
      <c r="F5476" t="s">
        <v>87</v>
      </c>
      <c r="G5476">
        <v>-280.86259999999999</v>
      </c>
      <c r="H5476">
        <v>1.6378440000000001</v>
      </c>
      <c r="I5476">
        <v>36.479770000000002</v>
      </c>
      <c r="J5476">
        <v>-344.09370000000001</v>
      </c>
      <c r="K5476">
        <v>1.1047979999999999</v>
      </c>
      <c r="L5476">
        <v>17.939</v>
      </c>
      <c r="M5476">
        <v>0.99767830000000002</v>
      </c>
      <c r="N5476">
        <v>0</v>
      </c>
      <c r="O5476">
        <v>6.7097420000000005E-2</v>
      </c>
      <c r="P5476">
        <v>0.99825849999999905</v>
      </c>
      <c r="Q5476">
        <v>-1.583847E-3</v>
      </c>
      <c r="R5476">
        <v>5.8971160000000002E-2</v>
      </c>
      <c r="S5476">
        <v>2.95343</v>
      </c>
      <c r="T5476">
        <v>2.4834510000000001E-2</v>
      </c>
      <c r="U5476">
        <v>0.86434940000000005</v>
      </c>
      <c r="V5476">
        <v>8.1478039999999998E-3</v>
      </c>
      <c r="W5476">
        <v>1.007713E-2</v>
      </c>
      <c r="X5476">
        <v>0.99991600000000003</v>
      </c>
      <c r="Y5476">
        <v>-0.21583949999999999</v>
      </c>
      <c r="Z5476">
        <v>-3.378023E-4</v>
      </c>
      <c r="AA5476">
        <v>0.97642879999999999</v>
      </c>
      <c r="AB5476">
        <v>26</v>
      </c>
      <c r="AC5476">
        <v>63.231099999999998</v>
      </c>
      <c r="AD5476">
        <v>0.53304600000000002</v>
      </c>
      <c r="AE5476">
        <v>18.540769999999998</v>
      </c>
      <c r="AF5476">
        <v>-14.2551164180871</v>
      </c>
      <c r="AG5476">
        <v>0.53304600000000002</v>
      </c>
      <c r="AH5476">
        <v>64.328497534226202</v>
      </c>
      <c r="AI5476">
        <v>89.536483979313005</v>
      </c>
      <c r="AJ5476">
        <v>102.494763448873</v>
      </c>
      <c r="AK5476">
        <v>65.891183607082695</v>
      </c>
    </row>
    <row r="5477" spans="1:37" x14ac:dyDescent="0.2">
      <c r="A5477" t="str">
        <f>"20200111155705018"</f>
        <v>20200111155705018</v>
      </c>
      <c r="B5477" t="str">
        <f>"1578729425008408"</f>
        <v>1578729425008408</v>
      </c>
      <c r="C5477" t="s">
        <v>37</v>
      </c>
      <c r="D5477">
        <v>5.1252639999999996</v>
      </c>
      <c r="E5477">
        <v>0.41271449999999998</v>
      </c>
      <c r="F5477" t="s">
        <v>87</v>
      </c>
      <c r="G5477">
        <v>-280.86259999999999</v>
      </c>
      <c r="H5477">
        <v>1.5631919999999999</v>
      </c>
      <c r="I5477">
        <v>36.507379999999998</v>
      </c>
      <c r="J5477">
        <v>-343.91590000000002</v>
      </c>
      <c r="K5477">
        <v>1.104768</v>
      </c>
      <c r="L5477">
        <v>17.950959999999998</v>
      </c>
      <c r="M5477">
        <v>0.99768020000000002</v>
      </c>
      <c r="N5477">
        <v>0</v>
      </c>
      <c r="O5477">
        <v>6.7033410000000002E-2</v>
      </c>
      <c r="P5477">
        <v>0.99834979999999995</v>
      </c>
      <c r="Q5477">
        <v>-2.6999229999999999E-3</v>
      </c>
      <c r="R5477">
        <v>5.7364760000000001E-2</v>
      </c>
      <c r="S5477">
        <v>2.9539789999999999</v>
      </c>
      <c r="T5477">
        <v>2.1415E-2</v>
      </c>
      <c r="U5477">
        <v>0.86746219999999996</v>
      </c>
      <c r="V5477">
        <v>9.6934859999999994E-3</v>
      </c>
      <c r="W5477">
        <v>9.1687980000000006E-3</v>
      </c>
      <c r="X5477">
        <v>0.99991099999999999</v>
      </c>
      <c r="Y5477">
        <v>-0.21680160000000001</v>
      </c>
      <c r="Z5477">
        <v>-2.950661E-4</v>
      </c>
      <c r="AA5477">
        <v>0.97621569999999902</v>
      </c>
      <c r="AB5477">
        <v>26</v>
      </c>
      <c r="AC5477">
        <v>63.0533</v>
      </c>
      <c r="AD5477">
        <v>0.458424</v>
      </c>
      <c r="AE5477">
        <v>18.556419999999999</v>
      </c>
      <c r="AF5477">
        <v>-14.287005568148601</v>
      </c>
      <c r="AG5477">
        <v>0.458424</v>
      </c>
      <c r="AH5477">
        <v>64.152323118821201</v>
      </c>
      <c r="AI5477">
        <v>89.600368967862494</v>
      </c>
      <c r="AJ5477">
        <v>102.555132487938</v>
      </c>
      <c r="AK5477">
        <v>65.725560037246794</v>
      </c>
    </row>
    <row r="5478" spans="1:37" x14ac:dyDescent="0.2">
      <c r="A5478" t="str">
        <f>"20200111155705031"</f>
        <v>20200111155705031</v>
      </c>
      <c r="B5478" t="str">
        <f>"1578729425008408"</f>
        <v>1578729425008408</v>
      </c>
      <c r="C5478" t="s">
        <v>37</v>
      </c>
      <c r="D5478">
        <v>5.1252639999999996</v>
      </c>
      <c r="E5478">
        <v>0.41271449999999998</v>
      </c>
      <c r="F5478" t="s">
        <v>87</v>
      </c>
      <c r="G5478">
        <v>-280.86259999999999</v>
      </c>
      <c r="H5478">
        <v>1.509954</v>
      </c>
      <c r="I5478">
        <v>36.443840000000002</v>
      </c>
      <c r="J5478">
        <v>-343.77280000000002</v>
      </c>
      <c r="K5478">
        <v>1.104741</v>
      </c>
      <c r="L5478">
        <v>17.96048</v>
      </c>
      <c r="M5478">
        <v>0.99768389999999996</v>
      </c>
      <c r="N5478">
        <v>0</v>
      </c>
      <c r="O5478">
        <v>6.6952269999999994E-2</v>
      </c>
      <c r="P5478">
        <v>0.99838329999999997</v>
      </c>
      <c r="Q5478">
        <v>-3.3168999999999998E-3</v>
      </c>
      <c r="R5478">
        <v>5.6745610000000002E-2</v>
      </c>
      <c r="S5478">
        <v>2.9552</v>
      </c>
      <c r="T5478">
        <v>1.899052E-2</v>
      </c>
      <c r="U5478">
        <v>0.86672969999999905</v>
      </c>
      <c r="V5478">
        <v>1.0232689999999999E-2</v>
      </c>
      <c r="W5478">
        <v>8.7015169999999902E-3</v>
      </c>
      <c r="X5478">
        <v>0.99990979999999996</v>
      </c>
      <c r="Y5478">
        <v>-0.21654989999999999</v>
      </c>
      <c r="Z5478">
        <v>-2.6127970000000003E-4</v>
      </c>
      <c r="AA5478">
        <v>0.97627149999999996</v>
      </c>
      <c r="AB5478">
        <v>26</v>
      </c>
      <c r="AC5478">
        <v>62.910200000000003</v>
      </c>
      <c r="AD5478">
        <v>0.40521299999999999</v>
      </c>
      <c r="AE5478">
        <v>18.483360000000001</v>
      </c>
      <c r="AF5478">
        <v>-14.2290527643605</v>
      </c>
      <c r="AG5478">
        <v>0.40521299999999999</v>
      </c>
      <c r="AH5478">
        <v>64.004168161298495</v>
      </c>
      <c r="AI5478">
        <v>89.645907460399002</v>
      </c>
      <c r="AJ5478">
        <v>102.533844329636</v>
      </c>
      <c r="AK5478">
        <v>65.568008069226096</v>
      </c>
    </row>
    <row r="5479" spans="1:37" x14ac:dyDescent="0.2">
      <c r="A5479" t="str">
        <f>"20200111155705044"</f>
        <v>20200111155705044</v>
      </c>
      <c r="B5479" t="str">
        <f>"1578729425008408"</f>
        <v>1578729425008408</v>
      </c>
      <c r="C5479" t="s">
        <v>37</v>
      </c>
      <c r="D5479">
        <v>5.1252639999999996</v>
      </c>
      <c r="E5479">
        <v>0.41271449999999998</v>
      </c>
      <c r="F5479" t="s">
        <v>87</v>
      </c>
      <c r="G5479">
        <v>-280.86259999999999</v>
      </c>
      <c r="H5479">
        <v>1.4736089999999999</v>
      </c>
      <c r="I5479">
        <v>36.367049999999999</v>
      </c>
      <c r="J5479">
        <v>-343.60610000000003</v>
      </c>
      <c r="K5479">
        <v>1.104711</v>
      </c>
      <c r="L5479">
        <v>17.971589999999999</v>
      </c>
      <c r="M5479">
        <v>0.99768899999999905</v>
      </c>
      <c r="N5479">
        <v>0</v>
      </c>
      <c r="O5479">
        <v>6.6843570000000005E-2</v>
      </c>
      <c r="P5479">
        <v>0.99840810000000002</v>
      </c>
      <c r="Q5479">
        <v>-3.8803059999999901E-3</v>
      </c>
      <c r="R5479">
        <v>5.6269909999999999E-2</v>
      </c>
      <c r="S5479">
        <v>2.9557500000000001</v>
      </c>
      <c r="T5479">
        <v>1.733088E-2</v>
      </c>
      <c r="U5479">
        <v>0.86480709999999905</v>
      </c>
      <c r="V5479">
        <v>1.060057E-2</v>
      </c>
      <c r="W5479">
        <v>8.3043259999999904E-3</v>
      </c>
      <c r="X5479">
        <v>0.9999093</v>
      </c>
      <c r="Y5479">
        <v>-0.21602270000000001</v>
      </c>
      <c r="Z5479">
        <v>-2.3752840000000001E-4</v>
      </c>
      <c r="AA5479">
        <v>0.97638829999999999</v>
      </c>
      <c r="AB5479">
        <v>26</v>
      </c>
      <c r="AC5479">
        <v>62.743499999999997</v>
      </c>
      <c r="AD5479">
        <v>0.368898</v>
      </c>
      <c r="AE5479">
        <v>18.39546</v>
      </c>
      <c r="AF5479">
        <v>-14.1595499344032</v>
      </c>
      <c r="AG5479">
        <v>0.368898</v>
      </c>
      <c r="AH5479">
        <v>63.830828978190297</v>
      </c>
      <c r="AI5479">
        <v>89.676731795245999</v>
      </c>
      <c r="AJ5479">
        <v>102.50735412535801</v>
      </c>
      <c r="AK5479">
        <v>65.383512203935993</v>
      </c>
    </row>
    <row r="5480" spans="1:37" x14ac:dyDescent="0.2">
      <c r="A5480" t="str">
        <f>"20200111155705056"</f>
        <v>20200111155705056</v>
      </c>
      <c r="B5480" t="str">
        <f>"1578729425008408"</f>
        <v>1578729425008408</v>
      </c>
      <c r="C5480" t="s">
        <v>37</v>
      </c>
      <c r="D5480">
        <v>5.1252639999999996</v>
      </c>
      <c r="E5480">
        <v>0.41271449999999998</v>
      </c>
      <c r="F5480" t="s">
        <v>87</v>
      </c>
      <c r="G5480">
        <v>-280.86259999999999</v>
      </c>
      <c r="H5480">
        <v>1.442224</v>
      </c>
      <c r="I5480">
        <v>36.297959999999897</v>
      </c>
      <c r="J5480">
        <v>-343.4701</v>
      </c>
      <c r="K5480">
        <v>1.1046899999999999</v>
      </c>
      <c r="L5480">
        <v>17.980650000000001</v>
      </c>
      <c r="M5480">
        <v>0.99769439999999998</v>
      </c>
      <c r="N5480">
        <v>0</v>
      </c>
      <c r="O5480">
        <v>6.6740079999999993E-2</v>
      </c>
      <c r="P5480">
        <v>0.99844639999999996</v>
      </c>
      <c r="Q5480">
        <v>-4.739432E-3</v>
      </c>
      <c r="R5480">
        <v>5.552108E-2</v>
      </c>
      <c r="S5480">
        <v>2.9561160000000002</v>
      </c>
      <c r="T5480">
        <v>1.5901800000000001E-2</v>
      </c>
      <c r="U5480">
        <v>0.86343380000000003</v>
      </c>
      <c r="V5480">
        <v>1.1246859999999999E-2</v>
      </c>
      <c r="W5480">
        <v>7.5714509999999999E-3</v>
      </c>
      <c r="X5480">
        <v>0.99990809999999997</v>
      </c>
      <c r="Y5480">
        <v>-0.2156737</v>
      </c>
      <c r="Z5480">
        <v>-2.175511E-4</v>
      </c>
      <c r="AA5480">
        <v>0.97646549999999999</v>
      </c>
      <c r="AB5480">
        <v>26</v>
      </c>
      <c r="AC5480">
        <v>62.607500000000002</v>
      </c>
      <c r="AD5480">
        <v>0.337534</v>
      </c>
      <c r="AE5480">
        <v>18.317309999999999</v>
      </c>
      <c r="AF5480">
        <v>-14.0973395809811</v>
      </c>
      <c r="AG5480">
        <v>0.337534</v>
      </c>
      <c r="AH5480">
        <v>63.688775065728599</v>
      </c>
      <c r="AI5480">
        <v>89.703525904545401</v>
      </c>
      <c r="AJ5480">
        <v>102.481029557212</v>
      </c>
      <c r="AK5480">
        <v>65.231196385131696</v>
      </c>
    </row>
    <row r="5481" spans="1:37" x14ac:dyDescent="0.2">
      <c r="A5481" t="str">
        <f>"20200111155705067"</f>
        <v>20200111155705067</v>
      </c>
      <c r="B5481" t="str">
        <f>"1578729425058183"</f>
        <v>1578729425058183</v>
      </c>
      <c r="C5481" t="s">
        <v>37</v>
      </c>
      <c r="D5481">
        <v>4.9697649999999998</v>
      </c>
      <c r="E5481">
        <v>0.41271449999999998</v>
      </c>
      <c r="F5481" t="s">
        <v>87</v>
      </c>
      <c r="G5481">
        <v>-280.86259999999999</v>
      </c>
      <c r="H5481">
        <v>1.3904860000000001</v>
      </c>
      <c r="I5481">
        <v>36.214970000000001</v>
      </c>
      <c r="J5481">
        <v>-343.33420000000001</v>
      </c>
      <c r="K5481">
        <v>1.1046689999999999</v>
      </c>
      <c r="L5481">
        <v>17.989619999999999</v>
      </c>
      <c r="M5481">
        <v>0.99770119999999896</v>
      </c>
      <c r="N5481">
        <v>0</v>
      </c>
      <c r="O5481">
        <v>6.6617969999999999E-2</v>
      </c>
      <c r="P5481">
        <v>0.99847779999999997</v>
      </c>
      <c r="Q5481">
        <v>-4.6811459999999997E-3</v>
      </c>
      <c r="R5481">
        <v>5.4957939999999997E-2</v>
      </c>
      <c r="S5481">
        <v>2.9568479999999999</v>
      </c>
      <c r="T5481">
        <v>1.3497830000000001E-2</v>
      </c>
      <c r="U5481">
        <v>0.86117549999999898</v>
      </c>
      <c r="V5481">
        <v>1.168922E-2</v>
      </c>
      <c r="W5481">
        <v>7.7440590000000002E-3</v>
      </c>
      <c r="X5481">
        <v>0.9999017</v>
      </c>
      <c r="Y5481">
        <v>-0.21504129999999999</v>
      </c>
      <c r="Z5481">
        <v>-1.837644E-4</v>
      </c>
      <c r="AA5481">
        <v>0.9766049</v>
      </c>
      <c r="AB5481">
        <v>26</v>
      </c>
      <c r="AC5481">
        <v>62.471600000000002</v>
      </c>
      <c r="AD5481">
        <v>0.28581699999999999</v>
      </c>
      <c r="AE5481">
        <v>18.225349999999999</v>
      </c>
      <c r="AF5481">
        <v>-14.0225342263409</v>
      </c>
      <c r="AG5481">
        <v>0.28581699999999999</v>
      </c>
      <c r="AH5481">
        <v>63.545805094168202</v>
      </c>
      <c r="AI5481">
        <v>89.748350234412001</v>
      </c>
      <c r="AJ5481">
        <v>102.443927379131</v>
      </c>
      <c r="AK5481">
        <v>65.075206511792302</v>
      </c>
    </row>
    <row r="5482" spans="1:37" x14ac:dyDescent="0.2">
      <c r="A5482" t="str">
        <f>"20200111155705080"</f>
        <v>20200111155705080</v>
      </c>
      <c r="B5482" t="str">
        <f>"1578729425078679"</f>
        <v>1578729425078679</v>
      </c>
      <c r="C5482" t="s">
        <v>37</v>
      </c>
      <c r="D5482">
        <v>4.9894499999999997</v>
      </c>
      <c r="E5482">
        <v>0.40236359999999999</v>
      </c>
      <c r="F5482" t="s">
        <v>87</v>
      </c>
      <c r="G5482">
        <v>-280.86259999999999</v>
      </c>
      <c r="H5482">
        <v>1.3956770000000001</v>
      </c>
      <c r="I5482">
        <v>36.146090000000001</v>
      </c>
      <c r="J5482">
        <v>-343.1918</v>
      </c>
      <c r="K5482">
        <v>1.104652</v>
      </c>
      <c r="L5482">
        <v>17.999020000000002</v>
      </c>
      <c r="M5482">
        <v>0.9977087</v>
      </c>
      <c r="N5482">
        <v>0</v>
      </c>
      <c r="O5482">
        <v>6.6482100000000002E-2</v>
      </c>
      <c r="P5482">
        <v>0.99850430000000001</v>
      </c>
      <c r="Q5482">
        <v>-4.585151E-3</v>
      </c>
      <c r="R5482">
        <v>5.4482610000000001E-2</v>
      </c>
      <c r="S5482">
        <v>2.957306</v>
      </c>
      <c r="T5482">
        <v>1.377594E-2</v>
      </c>
      <c r="U5482">
        <v>0.85949709999999901</v>
      </c>
      <c r="V5482">
        <v>1.202954E-2</v>
      </c>
      <c r="W5482">
        <v>7.9552939999999999E-3</v>
      </c>
      <c r="X5482">
        <v>0.99989599999999901</v>
      </c>
      <c r="Y5482">
        <v>-0.21462249999999999</v>
      </c>
      <c r="Z5482">
        <v>-1.871962E-4</v>
      </c>
      <c r="AA5482">
        <v>0.97669699999999904</v>
      </c>
      <c r="AB5482">
        <v>26</v>
      </c>
      <c r="AC5482">
        <v>62.3292</v>
      </c>
      <c r="AD5482">
        <v>0.29102499999999998</v>
      </c>
      <c r="AE5482">
        <v>18.147069999999999</v>
      </c>
      <c r="AF5482">
        <v>-13.9625323774496</v>
      </c>
      <c r="AG5482">
        <v>0.29102499999999998</v>
      </c>
      <c r="AH5482">
        <v>63.396558469988499</v>
      </c>
      <c r="AI5482">
        <v>89.743138601820604</v>
      </c>
      <c r="AJ5482">
        <v>102.420598109322</v>
      </c>
      <c r="AK5482">
        <v>64.916566697420393</v>
      </c>
    </row>
    <row r="5483" spans="1:37" x14ac:dyDescent="0.2">
      <c r="A5483" t="str">
        <f>"20200111155705256"</f>
        <v>20200111155705256</v>
      </c>
      <c r="B5483" t="str">
        <f>"1578729425248871"</f>
        <v>1578729425248871</v>
      </c>
      <c r="C5483" t="s">
        <v>37</v>
      </c>
      <c r="D5483">
        <v>5.1876610000000003</v>
      </c>
      <c r="E5483">
        <v>0.40236359999999999</v>
      </c>
      <c r="F5483" t="s">
        <v>39</v>
      </c>
      <c r="G5483">
        <v>-272.4572</v>
      </c>
      <c r="H5483">
        <v>-0.05</v>
      </c>
      <c r="I5483">
        <v>40.555489999999999</v>
      </c>
      <c r="J5483">
        <v>-341.12639999999999</v>
      </c>
      <c r="K5483">
        <v>1.104422</v>
      </c>
      <c r="L5483">
        <v>18.129639999999998</v>
      </c>
      <c r="M5483">
        <v>0.99794499999999997</v>
      </c>
      <c r="N5483">
        <v>0</v>
      </c>
      <c r="O5483">
        <v>6.2638170000000007E-2</v>
      </c>
      <c r="P5483">
        <v>0.99931029999999998</v>
      </c>
      <c r="Q5483">
        <v>7.5124279999999998E-3</v>
      </c>
      <c r="R5483">
        <v>3.6367570000000002E-2</v>
      </c>
      <c r="S5483">
        <v>2.9529109999999998</v>
      </c>
      <c r="T5483">
        <v>-4.8202509999999997E-2</v>
      </c>
      <c r="U5483">
        <v>0.9416504</v>
      </c>
      <c r="V5483">
        <v>2.6330550000000001E-2</v>
      </c>
      <c r="W5483">
        <v>2.098007E-2</v>
      </c>
      <c r="X5483">
        <v>0.99943309999999996</v>
      </c>
      <c r="Y5483">
        <v>-0.24351399999999901</v>
      </c>
      <c r="Z5483">
        <v>9.4443990000000002E-4</v>
      </c>
      <c r="AA5483">
        <v>0.96989689999999995</v>
      </c>
      <c r="AB5483">
        <v>26</v>
      </c>
      <c r="AC5483">
        <v>68.669199999999904</v>
      </c>
      <c r="AD5483">
        <v>-1.1544219999999901</v>
      </c>
      <c r="AE5483">
        <v>22.425850000000001</v>
      </c>
      <c r="AF5483">
        <v>-18.0754831691047</v>
      </c>
      <c r="AG5483">
        <v>-1.1544219999999901</v>
      </c>
      <c r="AH5483">
        <v>69.921315244018203</v>
      </c>
      <c r="AI5483">
        <v>90.915784695294207</v>
      </c>
      <c r="AJ5483">
        <v>104.49431736799301</v>
      </c>
      <c r="AK5483">
        <v>72.229122294293703</v>
      </c>
    </row>
    <row r="5484" spans="1:37" x14ac:dyDescent="0.2">
      <c r="A5484" t="str">
        <f>"20200111155705269"</f>
        <v>20200111155705269</v>
      </c>
      <c r="B5484" t="str">
        <f>"1578729425258631"</f>
        <v>1578729425258631</v>
      </c>
      <c r="C5484" t="s">
        <v>37</v>
      </c>
      <c r="D5484">
        <v>5.1525619999999996</v>
      </c>
      <c r="E5484">
        <v>0.56339869999999903</v>
      </c>
      <c r="F5484" t="s">
        <v>87</v>
      </c>
      <c r="G5484">
        <v>-280.86259999999999</v>
      </c>
      <c r="H5484">
        <v>0.84491349999999998</v>
      </c>
      <c r="I5484">
        <v>36.148859999999999</v>
      </c>
      <c r="J5484">
        <v>-340.99180000000001</v>
      </c>
      <c r="K5484">
        <v>1.104384</v>
      </c>
      <c r="L5484">
        <v>18.137629999999898</v>
      </c>
      <c r="M5484">
        <v>0.99797019999999903</v>
      </c>
      <c r="N5484">
        <v>0</v>
      </c>
      <c r="O5484">
        <v>6.2227810000000001E-2</v>
      </c>
      <c r="P5484">
        <v>0.99935200000000002</v>
      </c>
      <c r="Q5484">
        <v>7.1648349999999996E-3</v>
      </c>
      <c r="R5484">
        <v>3.5274630000000001E-2</v>
      </c>
      <c r="S5484">
        <v>2.969849</v>
      </c>
      <c r="T5484">
        <v>-1.278865E-2</v>
      </c>
      <c r="U5484">
        <v>0.88800049999999997</v>
      </c>
      <c r="V5484">
        <v>2.7014219999999999E-2</v>
      </c>
      <c r="W5484">
        <v>2.0659710000000001E-2</v>
      </c>
      <c r="X5484">
        <v>0.99942149999999996</v>
      </c>
      <c r="Y5484">
        <v>-0.22629160000000001</v>
      </c>
      <c r="Z5484">
        <v>2.15264399999999E-4</v>
      </c>
      <c r="AA5484">
        <v>0.97405959999999903</v>
      </c>
      <c r="AB5484">
        <v>26</v>
      </c>
      <c r="AC5484">
        <v>60.129199999999997</v>
      </c>
      <c r="AD5484">
        <v>-0.25947049999999999</v>
      </c>
      <c r="AE5484">
        <v>18.011229999999902</v>
      </c>
      <c r="AF5484">
        <v>-14.234022916233</v>
      </c>
      <c r="AG5484">
        <v>-0.25947049999999999</v>
      </c>
      <c r="AH5484">
        <v>61.1325039888237</v>
      </c>
      <c r="AI5484">
        <v>90.236849016472107</v>
      </c>
      <c r="AJ5484">
        <v>103.107151304665</v>
      </c>
      <c r="AK5484">
        <v>62.768286397381999</v>
      </c>
    </row>
    <row r="5485" spans="1:37" x14ac:dyDescent="0.2">
      <c r="A5485" t="str">
        <f>"20200111155705282"</f>
        <v>20200111155705282</v>
      </c>
      <c r="B5485" t="str">
        <f>"1578729425278152"</f>
        <v>1578729425278152</v>
      </c>
      <c r="C5485" t="s">
        <v>37</v>
      </c>
      <c r="D5485">
        <v>5.1422919999999896</v>
      </c>
      <c r="E5485">
        <v>0.55920080000000005</v>
      </c>
      <c r="F5485" t="s">
        <v>39</v>
      </c>
      <c r="G5485">
        <v>-305.36599999999999</v>
      </c>
      <c r="H5485">
        <v>-0.05</v>
      </c>
      <c r="I5485">
        <v>13.444839999999999</v>
      </c>
      <c r="J5485">
        <v>-340.84710000000001</v>
      </c>
      <c r="K5485">
        <v>1.104344</v>
      </c>
      <c r="L5485">
        <v>18.14621</v>
      </c>
      <c r="M5485">
        <v>0.99799839999999995</v>
      </c>
      <c r="N5485">
        <v>0</v>
      </c>
      <c r="O5485">
        <v>6.1767280000000001E-2</v>
      </c>
      <c r="P5485">
        <v>0.99939999999999996</v>
      </c>
      <c r="Q5485">
        <v>6.1824499999999999E-3</v>
      </c>
      <c r="R5485">
        <v>3.4082109999999999E-2</v>
      </c>
      <c r="S5485">
        <v>3.0166629999999999</v>
      </c>
      <c r="T5485">
        <v>-9.774911E-2</v>
      </c>
      <c r="U5485">
        <v>-0.39736939999999998</v>
      </c>
      <c r="V5485">
        <v>2.7746699999999999E-2</v>
      </c>
      <c r="W5485">
        <v>1.9705750000000001E-2</v>
      </c>
      <c r="X5485">
        <v>0.9994208</v>
      </c>
      <c r="Y5485">
        <v>0.191460299999999</v>
      </c>
      <c r="Z5485">
        <v>-5.0813880000000001E-3</v>
      </c>
      <c r="AA5485">
        <v>0.981487199999999</v>
      </c>
      <c r="AB5485">
        <v>26</v>
      </c>
      <c r="AC5485">
        <v>35.481099999999998</v>
      </c>
      <c r="AD5485">
        <v>-1.154344</v>
      </c>
      <c r="AE5485">
        <v>-4.7013699999999998</v>
      </c>
      <c r="AF5485">
        <v>6.8770106595171097</v>
      </c>
      <c r="AG5485">
        <v>-1.154344</v>
      </c>
      <c r="AH5485">
        <v>35.086424637070202</v>
      </c>
      <c r="AI5485">
        <v>91.849192335774106</v>
      </c>
      <c r="AJ5485">
        <v>78.910492134013097</v>
      </c>
      <c r="AK5485">
        <v>35.772656869377897</v>
      </c>
    </row>
    <row r="5486" spans="1:37" x14ac:dyDescent="0.2">
      <c r="A5486" t="str">
        <f>"20200111155705297"</f>
        <v>20200111155705297</v>
      </c>
      <c r="B5486" t="str">
        <f>"1578729425288887"</f>
        <v>1578729425288887</v>
      </c>
      <c r="C5486" t="s">
        <v>37</v>
      </c>
      <c r="D5486">
        <v>5.1860339999999896</v>
      </c>
      <c r="E5486">
        <v>0.55873169999999905</v>
      </c>
      <c r="F5486" t="s">
        <v>39</v>
      </c>
      <c r="G5486">
        <v>-315.06459999999998</v>
      </c>
      <c r="H5486">
        <v>-0.05</v>
      </c>
      <c r="I5486">
        <v>15.008419999999999</v>
      </c>
      <c r="J5486">
        <v>-340.6574</v>
      </c>
      <c r="K5486">
        <v>1.1042730000000001</v>
      </c>
      <c r="L5486">
        <v>18.157260000000001</v>
      </c>
      <c r="M5486">
        <v>0.9980388</v>
      </c>
      <c r="N5486">
        <v>0</v>
      </c>
      <c r="O5486">
        <v>6.1103289999999998E-2</v>
      </c>
      <c r="P5486">
        <v>0.99946119999999905</v>
      </c>
      <c r="Q5486">
        <v>4.831302E-3</v>
      </c>
      <c r="R5486">
        <v>3.2465330000000001E-2</v>
      </c>
      <c r="S5486">
        <v>3.0151059999999998</v>
      </c>
      <c r="T5486">
        <v>-0.13499339999999899</v>
      </c>
      <c r="U5486">
        <v>-0.36694339999999998</v>
      </c>
      <c r="V5486">
        <v>2.8700119999999999E-2</v>
      </c>
      <c r="W5486">
        <v>1.838706E-2</v>
      </c>
      <c r="X5486">
        <v>0.9994189</v>
      </c>
      <c r="Y5486">
        <v>0.18100649999999999</v>
      </c>
      <c r="Z5486">
        <v>-6.7609890000000002E-3</v>
      </c>
      <c r="AA5486">
        <v>0.98345869999999902</v>
      </c>
      <c r="AB5486">
        <v>26</v>
      </c>
      <c r="AC5486">
        <v>25.5928</v>
      </c>
      <c r="AD5486">
        <v>-1.1542730000000001</v>
      </c>
      <c r="AE5486">
        <v>-3.1488399999999999</v>
      </c>
      <c r="AF5486">
        <v>4.6974911693846204</v>
      </c>
      <c r="AG5486">
        <v>-1.1542730000000001</v>
      </c>
      <c r="AH5486">
        <v>25.301847314777799</v>
      </c>
      <c r="AI5486">
        <v>92.568202280318005</v>
      </c>
      <c r="AJ5486">
        <v>79.482331379914598</v>
      </c>
      <c r="AK5486">
        <v>25.760090197538201</v>
      </c>
    </row>
    <row r="5487" spans="1:37" x14ac:dyDescent="0.2">
      <c r="A5487" t="str">
        <f>"20200111155705311"</f>
        <v>20200111155705311</v>
      </c>
      <c r="B5487" t="str">
        <f>"1578729425298648"</f>
        <v>1578729425298648</v>
      </c>
      <c r="C5487" t="s">
        <v>37</v>
      </c>
      <c r="D5487">
        <v>5.1718950000000001</v>
      </c>
      <c r="E5487">
        <v>0.55792430000000004</v>
      </c>
      <c r="F5487" t="s">
        <v>39</v>
      </c>
      <c r="G5487">
        <v>-316.90809999999999</v>
      </c>
      <c r="H5487">
        <v>-0.05</v>
      </c>
      <c r="I5487">
        <v>15.2579799999999</v>
      </c>
      <c r="J5487">
        <v>-340.5147</v>
      </c>
      <c r="K5487">
        <v>1.10422</v>
      </c>
      <c r="L5487">
        <v>18.165410000000001</v>
      </c>
      <c r="M5487">
        <v>0.99807259999999998</v>
      </c>
      <c r="N5487">
        <v>0</v>
      </c>
      <c r="O5487">
        <v>6.0542800000000001E-2</v>
      </c>
      <c r="P5487">
        <v>0.99949669999999902</v>
      </c>
      <c r="Q5487">
        <v>3.8822090000000002E-3</v>
      </c>
      <c r="R5487">
        <v>3.1492399999999997E-2</v>
      </c>
      <c r="S5487">
        <v>3.014313</v>
      </c>
      <c r="T5487">
        <v>-0.14650260000000001</v>
      </c>
      <c r="U5487">
        <v>-0.367981</v>
      </c>
      <c r="V5487">
        <v>2.9112639999999999E-2</v>
      </c>
      <c r="W5487">
        <v>1.7458810000000002E-2</v>
      </c>
      <c r="X5487">
        <v>0.99942369999999903</v>
      </c>
      <c r="Y5487">
        <v>0.18077699999999999</v>
      </c>
      <c r="Z5487">
        <v>-7.30584599999999E-3</v>
      </c>
      <c r="AA5487">
        <v>0.98349699999999995</v>
      </c>
      <c r="AB5487">
        <v>26</v>
      </c>
      <c r="AC5487">
        <v>23.6066</v>
      </c>
      <c r="AD5487">
        <v>-1.15422</v>
      </c>
      <c r="AE5487">
        <v>-2.9074300000000002</v>
      </c>
      <c r="AF5487">
        <v>4.3212618465743597</v>
      </c>
      <c r="AG5487">
        <v>-1.15422</v>
      </c>
      <c r="AH5487">
        <v>23.332302575802402</v>
      </c>
      <c r="AI5487">
        <v>92.784761499702498</v>
      </c>
      <c r="AJ5487">
        <v>79.507418804681095</v>
      </c>
      <c r="AK5487">
        <v>23.757143583433098</v>
      </c>
    </row>
    <row r="5488" spans="1:37" x14ac:dyDescent="0.2">
      <c r="A5488" t="str">
        <f>"20200111155705323"</f>
        <v>20200111155705323</v>
      </c>
      <c r="B5488" t="str">
        <f>"1578729425318167"</f>
        <v>1578729425318167</v>
      </c>
      <c r="C5488" t="s">
        <v>37</v>
      </c>
      <c r="D5488">
        <v>4.8846949999999998</v>
      </c>
      <c r="E5488">
        <v>0.55685059999999997</v>
      </c>
      <c r="F5488" t="s">
        <v>39</v>
      </c>
      <c r="G5488">
        <v>-317.67009999999999</v>
      </c>
      <c r="H5488">
        <v>-0.05</v>
      </c>
      <c r="I5488">
        <v>15.40207</v>
      </c>
      <c r="J5488">
        <v>-340.36810000000003</v>
      </c>
      <c r="K5488">
        <v>1.1041639999999999</v>
      </c>
      <c r="L5488">
        <v>18.173679999999901</v>
      </c>
      <c r="M5488">
        <v>0.99810859999999901</v>
      </c>
      <c r="N5488">
        <v>0</v>
      </c>
      <c r="O5488">
        <v>5.9939729999999997E-2</v>
      </c>
      <c r="P5488">
        <v>0.99951369999999895</v>
      </c>
      <c r="Q5488">
        <v>3.0587800000000001E-3</v>
      </c>
      <c r="R5488">
        <v>3.102767E-2</v>
      </c>
      <c r="S5488">
        <v>3.0135800000000001</v>
      </c>
      <c r="T5488">
        <v>-0.15226110000000001</v>
      </c>
      <c r="U5488">
        <v>-0.36453249999999998</v>
      </c>
      <c r="V5488">
        <v>2.8974570000000002E-2</v>
      </c>
      <c r="W5488">
        <v>1.665641E-2</v>
      </c>
      <c r="X5488">
        <v>0.99944140000000004</v>
      </c>
      <c r="Y5488">
        <v>0.179082399999999</v>
      </c>
      <c r="Z5488">
        <v>-7.5220039999999997E-3</v>
      </c>
      <c r="AA5488">
        <v>0.98380529999999999</v>
      </c>
      <c r="AB5488">
        <v>26</v>
      </c>
      <c r="AC5488">
        <v>22.698</v>
      </c>
      <c r="AD5488">
        <v>-1.154164</v>
      </c>
      <c r="AE5488">
        <v>-2.7716099999999901</v>
      </c>
      <c r="AF5488">
        <v>4.1167766309133196</v>
      </c>
      <c r="AG5488">
        <v>-1.154164</v>
      </c>
      <c r="AH5488">
        <v>22.4338836041902</v>
      </c>
      <c r="AI5488">
        <v>92.896832901820304</v>
      </c>
      <c r="AJ5488">
        <v>79.601510857688993</v>
      </c>
      <c r="AK5488">
        <v>22.8376679618144</v>
      </c>
    </row>
    <row r="5489" spans="1:37" x14ac:dyDescent="0.2">
      <c r="A5489" t="str">
        <f>"20200111155705334"</f>
        <v>20200111155705334</v>
      </c>
      <c r="B5489" t="str">
        <f>"1578729425327928"</f>
        <v>1578729425327928</v>
      </c>
      <c r="C5489" t="s">
        <v>37</v>
      </c>
      <c r="D5489">
        <v>5.1239850000000002</v>
      </c>
      <c r="E5489">
        <v>0.54488859999999995</v>
      </c>
      <c r="F5489" t="s">
        <v>39</v>
      </c>
      <c r="G5489">
        <v>-317.77370000000002</v>
      </c>
      <c r="H5489">
        <v>-0.05</v>
      </c>
      <c r="I5489">
        <v>15.493639999999999</v>
      </c>
      <c r="J5489">
        <v>-340.22449999999998</v>
      </c>
      <c r="K5489">
        <v>1.1041069999999999</v>
      </c>
      <c r="L5489">
        <v>18.18167</v>
      </c>
      <c r="M5489">
        <v>0.99814619999999998</v>
      </c>
      <c r="N5489">
        <v>0</v>
      </c>
      <c r="O5489">
        <v>5.9304700000000002E-2</v>
      </c>
      <c r="P5489">
        <v>0.99954200000000004</v>
      </c>
      <c r="Q5489">
        <v>1.933541E-3</v>
      </c>
      <c r="R5489">
        <v>3.0198989999999998E-2</v>
      </c>
      <c r="S5489">
        <v>3.0130309999999998</v>
      </c>
      <c r="T5489">
        <v>-0.1539111</v>
      </c>
      <c r="U5489">
        <v>-0.35739140000000003</v>
      </c>
      <c r="V5489">
        <v>2.916769E-2</v>
      </c>
      <c r="W5489">
        <v>1.5548859999999999E-2</v>
      </c>
      <c r="X5489">
        <v>0.99945360000000005</v>
      </c>
      <c r="Y5489">
        <v>0.17617629999999901</v>
      </c>
      <c r="Z5489">
        <v>-7.4995599999999997E-3</v>
      </c>
      <c r="AA5489">
        <v>0.98433009999999999</v>
      </c>
      <c r="AB5489">
        <v>26</v>
      </c>
      <c r="AC5489">
        <v>22.450799999999902</v>
      </c>
      <c r="AD5489">
        <v>-1.154107</v>
      </c>
      <c r="AE5489">
        <v>-2.6880299999999999</v>
      </c>
      <c r="AF5489">
        <v>4.0044280501976202</v>
      </c>
      <c r="AG5489">
        <v>-1.154107</v>
      </c>
      <c r="AH5489">
        <v>22.194029155712698</v>
      </c>
      <c r="AI5489">
        <v>92.9295263981777</v>
      </c>
      <c r="AJ5489">
        <v>79.772265660501702</v>
      </c>
      <c r="AK5489">
        <v>22.5819028680332</v>
      </c>
    </row>
    <row r="5490" spans="1:37" x14ac:dyDescent="0.2">
      <c r="A5490" t="str">
        <f>"20200111155705347"</f>
        <v>20200111155705347</v>
      </c>
      <c r="B5490" t="str">
        <f>"1578729425338664"</f>
        <v>1578729425338664</v>
      </c>
      <c r="C5490" t="s">
        <v>37</v>
      </c>
      <c r="D5490">
        <v>5.1185669999999996</v>
      </c>
      <c r="E5490">
        <v>0.54744079999999995</v>
      </c>
      <c r="F5490" t="s">
        <v>39</v>
      </c>
      <c r="G5490">
        <v>-318.94929999999999</v>
      </c>
      <c r="H5490">
        <v>-0.05</v>
      </c>
      <c r="I5490">
        <v>16.311969999999999</v>
      </c>
      <c r="J5490">
        <v>-340.0874</v>
      </c>
      <c r="K5490">
        <v>1.104053</v>
      </c>
      <c r="L5490">
        <v>18.189119999999999</v>
      </c>
      <c r="M5490">
        <v>0.99818469999999904</v>
      </c>
      <c r="N5490">
        <v>0</v>
      </c>
      <c r="O5490">
        <v>5.8649119999999999E-2</v>
      </c>
      <c r="P5490">
        <v>0.99955339999999904</v>
      </c>
      <c r="Q5490">
        <v>6.5355649999999997E-4</v>
      </c>
      <c r="R5490">
        <v>2.9881789999999998E-2</v>
      </c>
      <c r="S5490">
        <v>3.009674</v>
      </c>
      <c r="T5490">
        <v>-0.16326450000000001</v>
      </c>
      <c r="U5490">
        <v>-0.2644958</v>
      </c>
      <c r="V5490">
        <v>2.8827620000000002E-2</v>
      </c>
      <c r="W5490">
        <v>1.4285859999999999E-2</v>
      </c>
      <c r="X5490">
        <v>0.99948230000000005</v>
      </c>
      <c r="Y5490">
        <v>0.14552499999999999</v>
      </c>
      <c r="Z5490">
        <v>-7.1106930000000004E-3</v>
      </c>
      <c r="AA5490">
        <v>0.98932900000000001</v>
      </c>
      <c r="AB5490">
        <v>26</v>
      </c>
      <c r="AC5490">
        <v>21.138100000000001</v>
      </c>
      <c r="AD5490">
        <v>-1.154053</v>
      </c>
      <c r="AE5490">
        <v>-1.8771500000000001</v>
      </c>
      <c r="AF5490">
        <v>3.1045839796411898</v>
      </c>
      <c r="AG5490">
        <v>-1.154053</v>
      </c>
      <c r="AH5490">
        <v>20.929706525732499</v>
      </c>
      <c r="AI5490">
        <v>93.121972474977795</v>
      </c>
      <c r="AJ5490">
        <v>81.562619751298399</v>
      </c>
      <c r="AK5490">
        <v>21.190160340751099</v>
      </c>
    </row>
    <row r="5491" spans="1:37" x14ac:dyDescent="0.2">
      <c r="A5491" t="str">
        <f>"20200111155705360"</f>
        <v>20200111155705360</v>
      </c>
      <c r="B5491" t="str">
        <f>"1578729425348424"</f>
        <v>1578729425348424</v>
      </c>
      <c r="C5491" t="s">
        <v>37</v>
      </c>
      <c r="D5491">
        <v>5.0619629999999898</v>
      </c>
      <c r="E5491">
        <v>0.54891690000000004</v>
      </c>
      <c r="F5491" t="s">
        <v>38</v>
      </c>
      <c r="G5491">
        <v>-320.3039</v>
      </c>
      <c r="H5491" s="1">
        <v>-5.1502779999999901E-6</v>
      </c>
      <c r="I5491">
        <v>16.310479999999998</v>
      </c>
      <c r="J5491">
        <v>-339.93970000000002</v>
      </c>
      <c r="K5491">
        <v>1.103996</v>
      </c>
      <c r="L5491">
        <v>18.197050000000001</v>
      </c>
      <c r="M5491">
        <v>0.99822719999999898</v>
      </c>
      <c r="N5491">
        <v>0</v>
      </c>
      <c r="O5491">
        <v>5.7916999999999899E-2</v>
      </c>
      <c r="P5491">
        <v>0.99955119999999897</v>
      </c>
      <c r="Q5491">
        <v>-7.7855679999999997E-4</v>
      </c>
      <c r="R5491">
        <v>2.9951189999999999E-2</v>
      </c>
      <c r="S5491">
        <v>3.009979</v>
      </c>
      <c r="T5491">
        <v>-0.16797799999999999</v>
      </c>
      <c r="U5491">
        <v>-0.28582759999999902</v>
      </c>
      <c r="V5491">
        <v>2.8023869999999999E-2</v>
      </c>
      <c r="W5491">
        <v>1.287169E-2</v>
      </c>
      <c r="X5491">
        <v>0.99952439999999998</v>
      </c>
      <c r="Y5491">
        <v>0.1517154</v>
      </c>
      <c r="Z5491">
        <v>-7.444226E-3</v>
      </c>
      <c r="AA5491">
        <v>0.98839619999999995</v>
      </c>
      <c r="AB5491">
        <v>26</v>
      </c>
      <c r="AC5491">
        <v>19.6358</v>
      </c>
      <c r="AD5491">
        <v>-1.1040011502779901</v>
      </c>
      <c r="AE5491">
        <v>-1.8865700000000001</v>
      </c>
      <c r="AF5491">
        <v>3.0113240918945099</v>
      </c>
      <c r="AG5491">
        <v>-1.1040011502779901</v>
      </c>
      <c r="AH5491">
        <v>19.4326910975463</v>
      </c>
      <c r="AI5491">
        <v>93.213296399515301</v>
      </c>
      <c r="AJ5491">
        <v>81.1914063891832</v>
      </c>
      <c r="AK5491">
        <v>19.695592771452599</v>
      </c>
    </row>
    <row r="5492" spans="1:37" x14ac:dyDescent="0.2">
      <c r="A5492" t="str">
        <f>"20200111155705376"</f>
        <v>20200111155705376</v>
      </c>
      <c r="B5492" t="str">
        <f>"1578729425367943"</f>
        <v>1578729425367943</v>
      </c>
      <c r="C5492" t="s">
        <v>37</v>
      </c>
      <c r="D5492">
        <v>5.1035629999999896</v>
      </c>
      <c r="E5492">
        <v>0.55008179999999995</v>
      </c>
      <c r="F5492" t="s">
        <v>38</v>
      </c>
      <c r="G5492">
        <v>-320.9674</v>
      </c>
      <c r="H5492" s="1">
        <v>-4.8345829999999996E-6</v>
      </c>
      <c r="I5492">
        <v>16.32206</v>
      </c>
      <c r="J5492">
        <v>-339.75</v>
      </c>
      <c r="K5492">
        <v>1.1039270000000001</v>
      </c>
      <c r="L5492">
        <v>18.207000000000001</v>
      </c>
      <c r="M5492">
        <v>0.99828510000000004</v>
      </c>
      <c r="N5492">
        <v>0</v>
      </c>
      <c r="O5492">
        <v>5.6904099999999902E-2</v>
      </c>
      <c r="P5492">
        <v>0.99952059999999998</v>
      </c>
      <c r="Q5492">
        <v>-4.0261279999999899E-3</v>
      </c>
      <c r="R5492">
        <v>3.0699009999999999E-2</v>
      </c>
      <c r="S5492">
        <v>3.010132</v>
      </c>
      <c r="T5492">
        <v>-0.17516039999999999</v>
      </c>
      <c r="U5492">
        <v>-0.29748540000000001</v>
      </c>
      <c r="V5492">
        <v>2.6255859999999999E-2</v>
      </c>
      <c r="W5492">
        <v>9.6470449999999999E-3</v>
      </c>
      <c r="X5492">
        <v>0.99960869999999902</v>
      </c>
      <c r="Y5492">
        <v>0.15446849999999901</v>
      </c>
      <c r="Z5492">
        <v>-7.7813379999999996E-3</v>
      </c>
      <c r="AA5492">
        <v>0.98796709999999999</v>
      </c>
      <c r="AB5492">
        <v>26</v>
      </c>
      <c r="AC5492">
        <v>18.782599999999999</v>
      </c>
      <c r="AD5492">
        <v>-1.103931834583</v>
      </c>
      <c r="AE5492">
        <v>-1.8849400000000001</v>
      </c>
      <c r="AF5492">
        <v>2.94073580713393</v>
      </c>
      <c r="AG5492">
        <v>-1.103931834583</v>
      </c>
      <c r="AH5492">
        <v>18.581341449875399</v>
      </c>
      <c r="AI5492">
        <v>93.358289796547894</v>
      </c>
      <c r="AJ5492">
        <v>81.006796999593007</v>
      </c>
      <c r="AK5492">
        <v>18.844968629839201</v>
      </c>
    </row>
    <row r="5493" spans="1:37" x14ac:dyDescent="0.2">
      <c r="A5493" t="str">
        <f>"20200111155705388"</f>
        <v>20200111155705388</v>
      </c>
      <c r="B5493" t="str">
        <f>"1578729425378679"</f>
        <v>1578729425378679</v>
      </c>
      <c r="C5493" t="s">
        <v>37</v>
      </c>
      <c r="D5493">
        <v>5.0637319999999999</v>
      </c>
      <c r="E5493">
        <v>0.55057889999999998</v>
      </c>
      <c r="F5493" t="s">
        <v>38</v>
      </c>
      <c r="G5493">
        <v>-321.45650000000001</v>
      </c>
      <c r="H5493" s="1">
        <v>-4.5975179999999997E-6</v>
      </c>
      <c r="I5493">
        <v>16.3553</v>
      </c>
      <c r="J5493">
        <v>-339.61540000000002</v>
      </c>
      <c r="K5493">
        <v>1.103888</v>
      </c>
      <c r="L5493">
        <v>18.213840000000001</v>
      </c>
      <c r="M5493">
        <v>0.99832809999999905</v>
      </c>
      <c r="N5493">
        <v>0</v>
      </c>
      <c r="O5493">
        <v>5.6141490000000002E-2</v>
      </c>
      <c r="P5493">
        <v>0.99950819999999996</v>
      </c>
      <c r="Q5493">
        <v>-5.2006439999999999E-3</v>
      </c>
      <c r="R5493">
        <v>3.09264E-2</v>
      </c>
      <c r="S5493">
        <v>3.0101009999999899</v>
      </c>
      <c r="T5493">
        <v>-0.181646</v>
      </c>
      <c r="U5493">
        <v>-0.3046875</v>
      </c>
      <c r="V5493">
        <v>2.5262639999999999E-2</v>
      </c>
      <c r="W5493">
        <v>8.4869490000000006E-3</v>
      </c>
      <c r="X5493">
        <v>0.9996448</v>
      </c>
      <c r="Y5493">
        <v>0.156027</v>
      </c>
      <c r="Z5493">
        <v>-8.0691159999999994E-3</v>
      </c>
      <c r="AA5493">
        <v>0.98771980000000004</v>
      </c>
      <c r="AB5493">
        <v>26</v>
      </c>
      <c r="AC5493">
        <v>18.158899999999999</v>
      </c>
      <c r="AD5493">
        <v>-1.1038925975180001</v>
      </c>
      <c r="AE5493">
        <v>-1.8585400000000001</v>
      </c>
      <c r="AF5493">
        <v>2.8646955557969598</v>
      </c>
      <c r="AG5493">
        <v>-1.1038925975180001</v>
      </c>
      <c r="AH5493">
        <v>17.960219560124202</v>
      </c>
      <c r="AI5493">
        <v>93.473361732506504</v>
      </c>
      <c r="AJ5493">
        <v>80.937531958307105</v>
      </c>
      <c r="AK5493">
        <v>18.220717498005499</v>
      </c>
    </row>
    <row r="5494" spans="1:37" x14ac:dyDescent="0.2">
      <c r="A5494" t="str">
        <f>"20200111155705401"</f>
        <v>20200111155705401</v>
      </c>
      <c r="B5494" t="str">
        <f>"1578729425398709"</f>
        <v>1578729425398709</v>
      </c>
      <c r="C5494" t="s">
        <v>37</v>
      </c>
      <c r="D5494">
        <v>5.0625339999999897</v>
      </c>
      <c r="E5494">
        <v>0.55088169999999903</v>
      </c>
      <c r="F5494" t="s">
        <v>38</v>
      </c>
      <c r="G5494">
        <v>-321.63</v>
      </c>
      <c r="H5494" s="1">
        <v>-4.5121810000000003E-6</v>
      </c>
      <c r="I5494">
        <v>16.373760000000001</v>
      </c>
      <c r="J5494">
        <v>-339.46969999999999</v>
      </c>
      <c r="K5494">
        <v>1.1038520000000001</v>
      </c>
      <c r="L5494">
        <v>18.221160000000001</v>
      </c>
      <c r="M5494">
        <v>0.99837509999999996</v>
      </c>
      <c r="N5494">
        <v>0</v>
      </c>
      <c r="O5494">
        <v>5.529763E-2</v>
      </c>
      <c r="P5494">
        <v>0.99949779999999999</v>
      </c>
      <c r="Q5494">
        <v>-6.0289710000000002E-3</v>
      </c>
      <c r="R5494">
        <v>3.111299E-2</v>
      </c>
      <c r="S5494">
        <v>3.0100099999999999</v>
      </c>
      <c r="T5494">
        <v>-0.18474579999999999</v>
      </c>
      <c r="U5494">
        <v>-0.30795289999999997</v>
      </c>
      <c r="V5494">
        <v>2.422931E-2</v>
      </c>
      <c r="W5494">
        <v>7.6739690000000001E-3</v>
      </c>
      <c r="X5494">
        <v>0.99967700000000004</v>
      </c>
      <c r="Y5494">
        <v>0.15624379999999999</v>
      </c>
      <c r="Z5494">
        <v>-8.1613859999999996E-3</v>
      </c>
      <c r="AA5494">
        <v>0.98768480000000003</v>
      </c>
      <c r="AB5494">
        <v>26</v>
      </c>
      <c r="AC5494">
        <v>17.839699999999901</v>
      </c>
      <c r="AD5494">
        <v>-1.103856512181</v>
      </c>
      <c r="AE5494">
        <v>-1.8473999999999999</v>
      </c>
      <c r="AF5494">
        <v>2.8204751669450401</v>
      </c>
      <c r="AG5494">
        <v>-1.103856512181</v>
      </c>
      <c r="AH5494">
        <v>17.643397687094001</v>
      </c>
      <c r="AI5494">
        <v>93.535264178263503</v>
      </c>
      <c r="AJ5494">
        <v>80.917539330112703</v>
      </c>
      <c r="AK5494">
        <v>17.901482098189302</v>
      </c>
    </row>
    <row r="5495" spans="1:37" x14ac:dyDescent="0.2">
      <c r="A5495" t="str">
        <f>"20200111155705413"</f>
        <v>20200111155705413</v>
      </c>
      <c r="B5495" t="str">
        <f>"1578729425408469"</f>
        <v>1578729425408469</v>
      </c>
      <c r="C5495" t="s">
        <v>37</v>
      </c>
      <c r="D5495">
        <v>5.0785910000000003</v>
      </c>
      <c r="E5495">
        <v>0.55108419999999902</v>
      </c>
      <c r="F5495" t="s">
        <v>38</v>
      </c>
      <c r="G5495">
        <v>-321.61959999999999</v>
      </c>
      <c r="H5495" s="1">
        <v>-4.5152849999999996E-6</v>
      </c>
      <c r="I5495">
        <v>16.384060000000002</v>
      </c>
      <c r="J5495">
        <v>-339.3184</v>
      </c>
      <c r="K5495">
        <v>1.1038269999999999</v>
      </c>
      <c r="L5495">
        <v>18.228579999999901</v>
      </c>
      <c r="M5495">
        <v>0.99842509999999995</v>
      </c>
      <c r="N5495">
        <v>0</v>
      </c>
      <c r="O5495">
        <v>5.4383130000000002E-2</v>
      </c>
      <c r="P5495">
        <v>0.99950149999999904</v>
      </c>
      <c r="Q5495">
        <v>-5.6291119999999899E-3</v>
      </c>
      <c r="R5495">
        <v>3.1071439999999999E-2</v>
      </c>
      <c r="S5495">
        <v>3.0100099999999999</v>
      </c>
      <c r="T5495">
        <v>-0.18614</v>
      </c>
      <c r="U5495">
        <v>-0.3097839</v>
      </c>
      <c r="V5495">
        <v>2.3357070000000001E-2</v>
      </c>
      <c r="W5495">
        <v>8.0878510000000001E-3</v>
      </c>
      <c r="X5495">
        <v>0.99969449999999904</v>
      </c>
      <c r="Y5495">
        <v>0.15593009999999999</v>
      </c>
      <c r="Z5495">
        <v>-8.1565830000000002E-3</v>
      </c>
      <c r="AA5495">
        <v>0.98773440000000001</v>
      </c>
      <c r="AB5495">
        <v>26</v>
      </c>
      <c r="AC5495">
        <v>17.698799999999999</v>
      </c>
      <c r="AD5495">
        <v>-1.103831515285</v>
      </c>
      <c r="AE5495">
        <v>-1.8445199999999899</v>
      </c>
      <c r="AF5495">
        <v>2.7936476080123098</v>
      </c>
      <c r="AG5495">
        <v>-1.103831515285</v>
      </c>
      <c r="AH5495">
        <v>17.504925424096601</v>
      </c>
      <c r="AI5495">
        <v>93.563225898523697</v>
      </c>
      <c r="AJ5495">
        <v>80.932512755210197</v>
      </c>
      <c r="AK5495">
        <v>17.760780531133001</v>
      </c>
    </row>
    <row r="5496" spans="1:37" x14ac:dyDescent="0.2">
      <c r="A5496" t="str">
        <f>"20200111155705425"</f>
        <v>20200111155705425</v>
      </c>
      <c r="B5496" t="str">
        <f>"1578729425418228"</f>
        <v>1578729425418228</v>
      </c>
      <c r="C5496" t="s">
        <v>37</v>
      </c>
      <c r="D5496">
        <v>5.2695559999999997</v>
      </c>
      <c r="E5496">
        <v>0.55062259999999996</v>
      </c>
      <c r="F5496" t="s">
        <v>38</v>
      </c>
      <c r="G5496">
        <v>-321.38560000000001</v>
      </c>
      <c r="H5496" s="1">
        <v>-4.6278110000000001E-6</v>
      </c>
      <c r="I5496">
        <v>16.37323</v>
      </c>
      <c r="J5496">
        <v>-339.18970000000002</v>
      </c>
      <c r="K5496">
        <v>1.103812</v>
      </c>
      <c r="L5496">
        <v>18.234739999999999</v>
      </c>
      <c r="M5496">
        <v>0.99846819999999903</v>
      </c>
      <c r="N5496">
        <v>0</v>
      </c>
      <c r="O5496">
        <v>5.3586219999999997E-2</v>
      </c>
      <c r="P5496">
        <v>0.99951429999999997</v>
      </c>
      <c r="Q5496">
        <v>-4.3565749999999997E-3</v>
      </c>
      <c r="R5496">
        <v>3.086216E-2</v>
      </c>
      <c r="S5496">
        <v>3.010132</v>
      </c>
      <c r="T5496">
        <v>-0.1852857</v>
      </c>
      <c r="U5496">
        <v>-0.31143189999999998</v>
      </c>
      <c r="V5496">
        <v>2.2773020000000001E-2</v>
      </c>
      <c r="W5496">
        <v>9.3709680000000004E-3</v>
      </c>
      <c r="X5496">
        <v>0.99969669999999899</v>
      </c>
      <c r="Y5496">
        <v>0.15567839999999999</v>
      </c>
      <c r="Z5496">
        <v>-8.0620629999999995E-3</v>
      </c>
      <c r="AA5496">
        <v>0.98777490000000001</v>
      </c>
      <c r="AB5496">
        <v>26</v>
      </c>
      <c r="AC5496">
        <v>17.804099999999998</v>
      </c>
      <c r="AD5496">
        <v>-1.103816627811</v>
      </c>
      <c r="AE5496">
        <v>-1.86150999999999</v>
      </c>
      <c r="AF5496">
        <v>2.8023249550411</v>
      </c>
      <c r="AG5496">
        <v>-1.103816627811</v>
      </c>
      <c r="AH5496">
        <v>17.611790838839902</v>
      </c>
      <c r="AI5496">
        <v>93.5418735453366</v>
      </c>
      <c r="AJ5496">
        <v>80.959092101862694</v>
      </c>
      <c r="AK5496">
        <v>17.867473600163098</v>
      </c>
    </row>
    <row r="5497" spans="1:37" x14ac:dyDescent="0.2">
      <c r="A5497" t="str">
        <f>"20200111155705436"</f>
        <v>20200111155705436</v>
      </c>
      <c r="B5497" t="str">
        <f>"1578729425427988"</f>
        <v>1578729425427988</v>
      </c>
      <c r="C5497" t="s">
        <v>37</v>
      </c>
      <c r="D5497">
        <v>5.0701559999999999</v>
      </c>
      <c r="E5497">
        <v>0.55083199999999999</v>
      </c>
      <c r="F5497" t="s">
        <v>38</v>
      </c>
      <c r="G5497">
        <v>-320.84840000000003</v>
      </c>
      <c r="H5497" s="1">
        <v>-4.8847789999999901E-6</v>
      </c>
      <c r="I5497">
        <v>16.356339999999999</v>
      </c>
      <c r="J5497">
        <v>-339.05160000000001</v>
      </c>
      <c r="K5497">
        <v>1.1037980000000001</v>
      </c>
      <c r="L5497">
        <v>18.24127</v>
      </c>
      <c r="M5497">
        <v>0.99851409999999996</v>
      </c>
      <c r="N5497">
        <v>0</v>
      </c>
      <c r="O5497">
        <v>5.2719889999999998E-2</v>
      </c>
      <c r="P5497">
        <v>0.99954120000000002</v>
      </c>
      <c r="Q5497">
        <v>-3.148718E-3</v>
      </c>
      <c r="R5497">
        <v>3.0132140000000002E-2</v>
      </c>
      <c r="S5497">
        <v>3.0102229999999999</v>
      </c>
      <c r="T5497">
        <v>-0.181161299999999</v>
      </c>
      <c r="U5497">
        <v>-0.30828860000000002</v>
      </c>
      <c r="V5497">
        <v>2.2639679999999999E-2</v>
      </c>
      <c r="W5497">
        <v>1.0588749999999999E-2</v>
      </c>
      <c r="X5497">
        <v>0.99968760000000001</v>
      </c>
      <c r="Y5497">
        <v>0.1538195</v>
      </c>
      <c r="Z5497">
        <v>-7.7753750000000002E-3</v>
      </c>
      <c r="AA5497">
        <v>0.98806830000000001</v>
      </c>
      <c r="AB5497">
        <v>26</v>
      </c>
      <c r="AC5497">
        <v>18.203199999999899</v>
      </c>
      <c r="AD5497">
        <v>-1.103802884779</v>
      </c>
      <c r="AE5497">
        <v>-1.88493</v>
      </c>
      <c r="AF5497">
        <v>2.83176837926522</v>
      </c>
      <c r="AG5497">
        <v>-1.103802884779</v>
      </c>
      <c r="AH5497">
        <v>18.0129678442878</v>
      </c>
      <c r="AI5497">
        <v>93.464159514959803</v>
      </c>
      <c r="AJ5497">
        <v>81.065811765909999</v>
      </c>
      <c r="AK5497">
        <v>18.267575195454899</v>
      </c>
    </row>
    <row r="5498" spans="1:37" x14ac:dyDescent="0.2">
      <c r="A5498" t="str">
        <f>"20200111155705450"</f>
        <v>20200111155705450</v>
      </c>
      <c r="B5498" t="str">
        <f>"1578729425438725"</f>
        <v>1578729425438725</v>
      </c>
      <c r="C5498" t="s">
        <v>37</v>
      </c>
      <c r="D5498">
        <v>5.1398919999999997</v>
      </c>
      <c r="E5498">
        <v>0.55132749999999997</v>
      </c>
      <c r="F5498" t="s">
        <v>38</v>
      </c>
      <c r="G5498">
        <v>-320.26659999999998</v>
      </c>
      <c r="H5498" s="1">
        <v>-5.1710209999999899E-6</v>
      </c>
      <c r="I5498">
        <v>16.293050000000001</v>
      </c>
      <c r="J5498">
        <v>-338.90629999999999</v>
      </c>
      <c r="K5498">
        <v>1.103791</v>
      </c>
      <c r="L5498">
        <v>18.247889999999899</v>
      </c>
      <c r="M5498">
        <v>0.99856279999999997</v>
      </c>
      <c r="N5498">
        <v>0</v>
      </c>
      <c r="O5498">
        <v>5.1785669999999999E-2</v>
      </c>
      <c r="P5498">
        <v>0.99958029999999998</v>
      </c>
      <c r="Q5498">
        <v>-1.1819089999999899E-3</v>
      </c>
      <c r="R5498">
        <v>2.8947609999999999E-2</v>
      </c>
      <c r="S5498">
        <v>3.0102229999999999</v>
      </c>
      <c r="T5498">
        <v>-0.1768797</v>
      </c>
      <c r="U5498">
        <v>-0.31219479999999999</v>
      </c>
      <c r="V5498">
        <v>2.2895539999999999E-2</v>
      </c>
      <c r="W5498">
        <v>1.2562719999999999E-2</v>
      </c>
      <c r="X5498">
        <v>0.99965890000000002</v>
      </c>
      <c r="Y5498">
        <v>0.15418219999999999</v>
      </c>
      <c r="Z5498">
        <v>-7.5473479999999997E-3</v>
      </c>
      <c r="AA5498">
        <v>0.98801360000000005</v>
      </c>
      <c r="AB5498">
        <v>26</v>
      </c>
      <c r="AC5498">
        <v>18.639700000000001</v>
      </c>
      <c r="AD5498">
        <v>-1.103796171021</v>
      </c>
      <c r="AE5498">
        <v>-1.9548399999999899</v>
      </c>
      <c r="AF5498">
        <v>2.90749306844477</v>
      </c>
      <c r="AG5498">
        <v>-1.103796171021</v>
      </c>
      <c r="AH5498">
        <v>18.449449508000399</v>
      </c>
      <c r="AI5498">
        <v>93.382175974246394</v>
      </c>
      <c r="AJ5498">
        <v>81.044275309074195</v>
      </c>
      <c r="AK5498">
        <v>18.709731934971</v>
      </c>
    </row>
    <row r="5499" spans="1:37" x14ac:dyDescent="0.2">
      <c r="A5499" t="str">
        <f>"20200111155705467"</f>
        <v>20200111155705467</v>
      </c>
      <c r="B5499" t="str">
        <f>"1578729425458243"</f>
        <v>1578729425458243</v>
      </c>
      <c r="C5499" t="s">
        <v>37</v>
      </c>
      <c r="D5499">
        <v>5.064794</v>
      </c>
      <c r="E5499">
        <v>0.55183059999999995</v>
      </c>
      <c r="F5499" t="s">
        <v>39</v>
      </c>
      <c r="G5499">
        <v>-318.5034</v>
      </c>
      <c r="H5499">
        <v>-0.05</v>
      </c>
      <c r="I5499">
        <v>16.081479999999999</v>
      </c>
      <c r="J5499">
        <v>-338.71809999999999</v>
      </c>
      <c r="K5499">
        <v>1.1037889999999999</v>
      </c>
      <c r="L5499">
        <v>18.256350000000001</v>
      </c>
      <c r="M5499">
        <v>0.99862530000000005</v>
      </c>
      <c r="N5499">
        <v>0</v>
      </c>
      <c r="O5499">
        <v>5.0563709999999998E-2</v>
      </c>
      <c r="P5499">
        <v>0.9996507</v>
      </c>
      <c r="Q5499">
        <v>1.504617E-3</v>
      </c>
      <c r="R5499">
        <v>2.6391049999999999E-2</v>
      </c>
      <c r="S5499">
        <v>3.0103149999999999</v>
      </c>
      <c r="T5499">
        <v>-0.17023429999999901</v>
      </c>
      <c r="U5499">
        <v>-0.31964109999999901</v>
      </c>
      <c r="V5499">
        <v>2.4237129999999999E-2</v>
      </c>
      <c r="W5499">
        <v>1.5255640000000001E-2</v>
      </c>
      <c r="X5499">
        <v>0.99958979999999997</v>
      </c>
      <c r="Y5499">
        <v>0.15541329999999901</v>
      </c>
      <c r="Z5499">
        <v>-7.2289429999999998E-3</v>
      </c>
      <c r="AA5499">
        <v>0.98782309999999995</v>
      </c>
      <c r="AB5499">
        <v>26</v>
      </c>
      <c r="AC5499">
        <v>20.214700000000001</v>
      </c>
      <c r="AD5499">
        <v>-1.153789</v>
      </c>
      <c r="AE5499">
        <v>-2.1748699999999999</v>
      </c>
      <c r="AF5499">
        <v>3.1840610312576501</v>
      </c>
      <c r="AG5499">
        <v>-1.153789</v>
      </c>
      <c r="AH5499">
        <v>20.014401300271398</v>
      </c>
      <c r="AI5499">
        <v>93.258445377261694</v>
      </c>
      <c r="AJ5499">
        <v>80.960651959733497</v>
      </c>
      <c r="AK5499">
        <v>20.298909653368099</v>
      </c>
    </row>
    <row r="5500" spans="1:37" x14ac:dyDescent="0.2">
      <c r="A5500" t="str">
        <f>"20200111155705481"</f>
        <v>20200111155705481</v>
      </c>
      <c r="B5500" t="str">
        <f>"1578729425478741"</f>
        <v>1578729425478741</v>
      </c>
      <c r="C5500" t="s">
        <v>37</v>
      </c>
      <c r="D5500">
        <v>5.3012550000000003</v>
      </c>
      <c r="E5500">
        <v>0.55234550000000004</v>
      </c>
      <c r="F5500" t="s">
        <v>39</v>
      </c>
      <c r="G5500">
        <v>-317.21690000000001</v>
      </c>
      <c r="H5500">
        <v>-0.05</v>
      </c>
      <c r="I5500">
        <v>15.89001</v>
      </c>
      <c r="J5500">
        <v>-338.5582</v>
      </c>
      <c r="K5500">
        <v>1.103782</v>
      </c>
      <c r="L5500">
        <v>18.263339999999999</v>
      </c>
      <c r="M5500">
        <v>0.9986777</v>
      </c>
      <c r="N5500">
        <v>0</v>
      </c>
      <c r="O5500">
        <v>4.9515770000000001E-2</v>
      </c>
      <c r="P5500">
        <v>0.99969319999999895</v>
      </c>
      <c r="Q5500">
        <v>2.1759359999999998E-3</v>
      </c>
      <c r="R5500">
        <v>2.4680029999999999E-2</v>
      </c>
      <c r="S5500">
        <v>3.0100099999999999</v>
      </c>
      <c r="T5500">
        <v>-0.16152149999999901</v>
      </c>
      <c r="U5500">
        <v>-0.33126830000000002</v>
      </c>
      <c r="V5500">
        <v>2.490154E-2</v>
      </c>
      <c r="W5500">
        <v>1.5932669999999999E-2</v>
      </c>
      <c r="X5500">
        <v>0.99956290000000003</v>
      </c>
      <c r="Y5500">
        <v>0.15818850000000001</v>
      </c>
      <c r="Z5500">
        <v>-6.876966E-3</v>
      </c>
      <c r="AA5500">
        <v>0.98738499999999996</v>
      </c>
      <c r="AB5500">
        <v>26</v>
      </c>
      <c r="AC5500">
        <v>21.341299999999901</v>
      </c>
      <c r="AD5500">
        <v>-1.1537820000000001</v>
      </c>
      <c r="AE5500">
        <v>-2.3733300000000002</v>
      </c>
      <c r="AF5500">
        <v>3.4173835737492499</v>
      </c>
      <c r="AG5500">
        <v>-1.1537820000000001</v>
      </c>
      <c r="AH5500">
        <v>21.136563832496599</v>
      </c>
      <c r="AI5500">
        <v>93.084527778226601</v>
      </c>
      <c r="AJ5500">
        <v>80.815830289583502</v>
      </c>
      <c r="AK5500">
        <v>21.4421093654252</v>
      </c>
    </row>
    <row r="5501" spans="1:37" x14ac:dyDescent="0.2">
      <c r="A5501" t="str">
        <f>"20200111155705494"</f>
        <v>20200111155705494</v>
      </c>
      <c r="B5501" t="str">
        <f>"1578729425488500"</f>
        <v>1578729425488500</v>
      </c>
      <c r="C5501" t="s">
        <v>37</v>
      </c>
      <c r="D5501">
        <v>5.1271889999999898</v>
      </c>
      <c r="E5501">
        <v>0.55250690000000002</v>
      </c>
      <c r="F5501" t="s">
        <v>39</v>
      </c>
      <c r="G5501">
        <v>-317.0675</v>
      </c>
      <c r="H5501">
        <v>-0.05</v>
      </c>
      <c r="I5501">
        <v>15.83189</v>
      </c>
      <c r="J5501">
        <v>-338.39530000000002</v>
      </c>
      <c r="K5501">
        <v>1.103777</v>
      </c>
      <c r="L5501">
        <v>18.270229999999898</v>
      </c>
      <c r="M5501">
        <v>0.99873009999999995</v>
      </c>
      <c r="N5501">
        <v>0</v>
      </c>
      <c r="O5501">
        <v>4.8442399999999997E-2</v>
      </c>
      <c r="P5501">
        <v>0.99974540000000001</v>
      </c>
      <c r="Q5501">
        <v>2.0575540000000001E-3</v>
      </c>
      <c r="R5501">
        <v>2.2478479999999999E-2</v>
      </c>
      <c r="S5501">
        <v>3.009674</v>
      </c>
      <c r="T5501">
        <v>-0.16158210000000001</v>
      </c>
      <c r="U5501">
        <v>-0.34051509999999902</v>
      </c>
      <c r="V5501">
        <v>2.6028510000000001E-2</v>
      </c>
      <c r="W5501">
        <v>1.5818240000000001E-2</v>
      </c>
      <c r="X5501">
        <v>0.99953599999999998</v>
      </c>
      <c r="Y5501">
        <v>0.1601339</v>
      </c>
      <c r="Z5501">
        <v>-6.8737719999999898E-3</v>
      </c>
      <c r="AA5501">
        <v>0.98707140000000004</v>
      </c>
      <c r="AB5501">
        <v>26</v>
      </c>
      <c r="AC5501">
        <v>21.3278</v>
      </c>
      <c r="AD5501">
        <v>-1.1537770000000001</v>
      </c>
      <c r="AE5501">
        <v>-2.43833999999999</v>
      </c>
      <c r="AF5501">
        <v>3.45875403521491</v>
      </c>
      <c r="AG5501">
        <v>-1.1537770000000001</v>
      </c>
      <c r="AH5501">
        <v>21.1236044483041</v>
      </c>
      <c r="AI5501">
        <v>93.085398552292901</v>
      </c>
      <c r="AJ5501">
        <v>80.700974348832602</v>
      </c>
      <c r="AK5501">
        <v>21.435970837129201</v>
      </c>
    </row>
    <row r="5502" spans="1:37" x14ac:dyDescent="0.2">
      <c r="A5502" t="str">
        <f>"20200111155705511"</f>
        <v>20200111155705511</v>
      </c>
      <c r="B5502" t="str">
        <f>"1578729425508529"</f>
        <v>1578729425508529</v>
      </c>
      <c r="C5502" t="s">
        <v>37</v>
      </c>
      <c r="D5502">
        <v>5.1836060000000002</v>
      </c>
      <c r="E5502">
        <v>0.55292089999999905</v>
      </c>
      <c r="F5502" t="s">
        <v>39</v>
      </c>
      <c r="G5502">
        <v>-316.9298</v>
      </c>
      <c r="H5502">
        <v>-0.05</v>
      </c>
      <c r="I5502">
        <v>15.78464</v>
      </c>
      <c r="J5502">
        <v>-338.20650000000001</v>
      </c>
      <c r="K5502">
        <v>1.103769</v>
      </c>
      <c r="L5502">
        <v>18.278020000000001</v>
      </c>
      <c r="M5502">
        <v>0.998789699999999</v>
      </c>
      <c r="N5502">
        <v>0</v>
      </c>
      <c r="O5502">
        <v>4.7196549999999997E-2</v>
      </c>
      <c r="P5502">
        <v>0.99982150000000003</v>
      </c>
      <c r="Q5502">
        <v>5.3848790000000002E-4</v>
      </c>
      <c r="R5502">
        <v>1.8878120000000002E-2</v>
      </c>
      <c r="S5502">
        <v>3.0089419999999998</v>
      </c>
      <c r="T5502">
        <v>-0.1617316</v>
      </c>
      <c r="U5502">
        <v>-0.34841919999999998</v>
      </c>
      <c r="V5502">
        <v>2.8377409999999999E-2</v>
      </c>
      <c r="W5502">
        <v>1.429921E-2</v>
      </c>
      <c r="X5502">
        <v>0.99949500000000002</v>
      </c>
      <c r="Y5502">
        <v>0.16148799999999999</v>
      </c>
      <c r="Z5502">
        <v>-6.85031099999999E-3</v>
      </c>
      <c r="AA5502">
        <v>0.98685089999999998</v>
      </c>
      <c r="AB5502">
        <v>26</v>
      </c>
      <c r="AC5502">
        <v>21.276700000000002</v>
      </c>
      <c r="AD5502">
        <v>-1.153769</v>
      </c>
      <c r="AE5502">
        <v>-2.4933800000000002</v>
      </c>
      <c r="AF5502">
        <v>3.4847756072582801</v>
      </c>
      <c r="AG5502">
        <v>-1.153769</v>
      </c>
      <c r="AH5502">
        <v>21.074164737649902</v>
      </c>
      <c r="AI5502">
        <v>93.0918009740098</v>
      </c>
      <c r="AJ5502">
        <v>80.610664009533707</v>
      </c>
      <c r="AK5502">
        <v>21.391476417674198</v>
      </c>
    </row>
    <row r="5503" spans="1:37" x14ac:dyDescent="0.2">
      <c r="A5503" t="str">
        <f>"20200111155705525"</f>
        <v>20200111155705525</v>
      </c>
      <c r="B5503" t="str">
        <f>"1578729425518289"</f>
        <v>1578729425518289</v>
      </c>
      <c r="C5503" t="s">
        <v>37</v>
      </c>
      <c r="D5503">
        <v>5.1020729999999999</v>
      </c>
      <c r="E5503">
        <v>0.55297879999999999</v>
      </c>
      <c r="F5503" t="s">
        <v>39</v>
      </c>
      <c r="G5503">
        <v>-317.51990000000001</v>
      </c>
      <c r="H5503">
        <v>-0.05</v>
      </c>
      <c r="I5503">
        <v>15.78491</v>
      </c>
      <c r="J5503">
        <v>-338.05169999999998</v>
      </c>
      <c r="K5503">
        <v>1.1037649999999899</v>
      </c>
      <c r="L5503">
        <v>18.284210000000002</v>
      </c>
      <c r="M5503">
        <v>0.99883739999999999</v>
      </c>
      <c r="N5503">
        <v>0</v>
      </c>
      <c r="O5503">
        <v>4.6174470000000002E-2</v>
      </c>
      <c r="P5503">
        <v>0.99985979999999997</v>
      </c>
      <c r="Q5503">
        <v>-3.3255199999999898E-4</v>
      </c>
      <c r="R5503">
        <v>1.6745159999999999E-2</v>
      </c>
      <c r="S5503">
        <v>3.0075069999999999</v>
      </c>
      <c r="T5503">
        <v>-0.16773979999999999</v>
      </c>
      <c r="U5503">
        <v>-0.36245729999999998</v>
      </c>
      <c r="V5503">
        <v>2.948431E-2</v>
      </c>
      <c r="W5503">
        <v>1.3430020000000001E-2</v>
      </c>
      <c r="X5503">
        <v>0.999475</v>
      </c>
      <c r="Y5503">
        <v>0.16504720000000001</v>
      </c>
      <c r="Z5503">
        <v>-7.1479380000000004E-3</v>
      </c>
      <c r="AA5503">
        <v>0.98625980000000002</v>
      </c>
      <c r="AB5503">
        <v>26</v>
      </c>
      <c r="AC5503">
        <v>20.531799999999901</v>
      </c>
      <c r="AD5503">
        <v>-1.1537649999999999</v>
      </c>
      <c r="AE5503">
        <v>-2.4992999999999999</v>
      </c>
      <c r="AF5503">
        <v>3.43408389572165</v>
      </c>
      <c r="AG5503">
        <v>-1.1537649999999999</v>
      </c>
      <c r="AH5503">
        <v>20.331217556101301</v>
      </c>
      <c r="AI5503">
        <v>93.2026948653874</v>
      </c>
      <c r="AJ5503">
        <v>80.412833861439694</v>
      </c>
      <c r="AK5503">
        <v>20.651453052790298</v>
      </c>
    </row>
    <row r="5504" spans="1:37" x14ac:dyDescent="0.2">
      <c r="A5504" t="str">
        <f>"20200111155705537"</f>
        <v>20200111155705537</v>
      </c>
      <c r="B5504" t="str">
        <f>"1578729425528049"</f>
        <v>1578729425528049</v>
      </c>
      <c r="C5504" t="s">
        <v>37</v>
      </c>
      <c r="D5504">
        <v>5.1460179999999998</v>
      </c>
      <c r="E5504">
        <v>0.55312539999999999</v>
      </c>
      <c r="F5504" t="s">
        <v>39</v>
      </c>
      <c r="G5504">
        <v>-317.69670000000002</v>
      </c>
      <c r="H5504">
        <v>-0.05</v>
      </c>
      <c r="I5504">
        <v>15.78342</v>
      </c>
      <c r="J5504">
        <v>-337.90210000000002</v>
      </c>
      <c r="K5504">
        <v>1.103764</v>
      </c>
      <c r="L5504">
        <v>18.29007</v>
      </c>
      <c r="M5504">
        <v>0.99888239999999995</v>
      </c>
      <c r="N5504">
        <v>0</v>
      </c>
      <c r="O5504">
        <v>4.5188020000000002E-2</v>
      </c>
      <c r="P5504">
        <v>0.99989059999999896</v>
      </c>
      <c r="Q5504">
        <v>-1.287109E-3</v>
      </c>
      <c r="R5504">
        <v>1.473008E-2</v>
      </c>
      <c r="S5504">
        <v>3.006561</v>
      </c>
      <c r="T5504">
        <v>-0.17041889999999901</v>
      </c>
      <c r="U5504">
        <v>-0.36938480000000001</v>
      </c>
      <c r="V5504">
        <v>3.050895E-2</v>
      </c>
      <c r="W5504">
        <v>1.247738E-2</v>
      </c>
      <c r="X5504">
        <v>0.99945659999999903</v>
      </c>
      <c r="Y5504">
        <v>0.16633829999999999</v>
      </c>
      <c r="Z5504">
        <v>-7.2439389999999996E-3</v>
      </c>
      <c r="AA5504">
        <v>0.98604210000000003</v>
      </c>
      <c r="AB5504">
        <v>26</v>
      </c>
      <c r="AC5504">
        <v>20.205400000000001</v>
      </c>
      <c r="AD5504">
        <v>-1.153764</v>
      </c>
      <c r="AE5504">
        <v>-2.5066499999999898</v>
      </c>
      <c r="AF5504">
        <v>3.40628043258923</v>
      </c>
      <c r="AG5504">
        <v>-1.153764</v>
      </c>
      <c r="AH5504">
        <v>20.007227781630601</v>
      </c>
      <c r="AI5504">
        <v>93.253724530621497</v>
      </c>
      <c r="AJ5504">
        <v>80.337894765222202</v>
      </c>
      <c r="AK5504">
        <v>20.327889247513799</v>
      </c>
    </row>
    <row r="5505" spans="1:37" x14ac:dyDescent="0.2">
      <c r="A5505" t="str">
        <f>"20200111155705550"</f>
        <v>20200111155705550</v>
      </c>
      <c r="B5505" t="str">
        <f>"1578729425538784"</f>
        <v>1578729425538784</v>
      </c>
      <c r="C5505" t="s">
        <v>37</v>
      </c>
      <c r="D5505">
        <v>5.4810759999999998</v>
      </c>
      <c r="E5505">
        <v>0.55296469999999998</v>
      </c>
      <c r="F5505" t="s">
        <v>39</v>
      </c>
      <c r="G5505">
        <v>-317.897999999999</v>
      </c>
      <c r="H5505">
        <v>-0.05</v>
      </c>
      <c r="I5505">
        <v>15.78369</v>
      </c>
      <c r="J5505">
        <v>-337.76589999999999</v>
      </c>
      <c r="K5505">
        <v>1.1037629999999901</v>
      </c>
      <c r="L5505">
        <v>18.29523</v>
      </c>
      <c r="M5505">
        <v>0.99892239999999999</v>
      </c>
      <c r="N5505">
        <v>0</v>
      </c>
      <c r="O5505">
        <v>4.4291740000000003E-2</v>
      </c>
      <c r="P5505">
        <v>0.99991549999999996</v>
      </c>
      <c r="Q5505">
        <v>-2.208036E-3</v>
      </c>
      <c r="R5505">
        <v>1.281651E-2</v>
      </c>
      <c r="S5505">
        <v>3.005646</v>
      </c>
      <c r="T5505">
        <v>-0.17335449999999999</v>
      </c>
      <c r="U5505">
        <v>-0.3765869</v>
      </c>
      <c r="V5505">
        <v>3.1522090000000003E-2</v>
      </c>
      <c r="W5505">
        <v>1.155715E-2</v>
      </c>
      <c r="X5505">
        <v>0.99943630000000006</v>
      </c>
      <c r="Y5505">
        <v>0.16780400000000001</v>
      </c>
      <c r="Z5505">
        <v>-7.3602809999999998E-3</v>
      </c>
      <c r="AA5505">
        <v>0.98579289999999997</v>
      </c>
      <c r="AB5505">
        <v>26</v>
      </c>
      <c r="AC5505">
        <v>19.867899999999999</v>
      </c>
      <c r="AD5505">
        <v>-1.1537629999999901</v>
      </c>
      <c r="AE5505">
        <v>-2.5115400000000001</v>
      </c>
      <c r="AF5505">
        <v>3.3779309694539998</v>
      </c>
      <c r="AG5505">
        <v>-1.1537629999999901</v>
      </c>
      <c r="AH5505">
        <v>19.671851081684</v>
      </c>
      <c r="AI5505">
        <v>93.308269234137001</v>
      </c>
      <c r="AJ5505">
        <v>80.256538819096903</v>
      </c>
      <c r="AK5505">
        <v>19.9930815952548</v>
      </c>
    </row>
    <row r="5506" spans="1:37" x14ac:dyDescent="0.2">
      <c r="A5506" t="str">
        <f>"20200111155705566"</f>
        <v>20200111155705566</v>
      </c>
      <c r="B5506" t="str">
        <f>"1578729425558304"</f>
        <v>1578729425558304</v>
      </c>
      <c r="C5506" t="s">
        <v>37</v>
      </c>
      <c r="D5506">
        <v>5.078811</v>
      </c>
      <c r="E5506">
        <v>0.55318369999999994</v>
      </c>
      <c r="F5506" t="s">
        <v>39</v>
      </c>
      <c r="G5506">
        <v>-318.09030000000001</v>
      </c>
      <c r="H5506">
        <v>-0.05</v>
      </c>
      <c r="I5506">
        <v>15.799329999999999</v>
      </c>
      <c r="J5506">
        <v>-337.577</v>
      </c>
      <c r="K5506">
        <v>1.1037680000000001</v>
      </c>
      <c r="L5506">
        <v>18.302219999999998</v>
      </c>
      <c r="M5506">
        <v>0.99897669999999905</v>
      </c>
      <c r="N5506">
        <v>0</v>
      </c>
      <c r="O5506">
        <v>4.3050280000000003E-2</v>
      </c>
      <c r="P5506">
        <v>0.9999458</v>
      </c>
      <c r="Q5506">
        <v>-3.2663309999999999E-3</v>
      </c>
      <c r="R5506">
        <v>9.889307E-3</v>
      </c>
      <c r="S5506">
        <v>3.004791</v>
      </c>
      <c r="T5506">
        <v>-0.17619840000000001</v>
      </c>
      <c r="U5506">
        <v>-0.38116459999999902</v>
      </c>
      <c r="V5506">
        <v>3.3202549999999997E-2</v>
      </c>
      <c r="W5506">
        <v>1.049863E-2</v>
      </c>
      <c r="X5506">
        <v>0.99939349999999905</v>
      </c>
      <c r="Y5506">
        <v>0.1680818</v>
      </c>
      <c r="Z5506">
        <v>-7.4178489999999998E-3</v>
      </c>
      <c r="AA5506">
        <v>0.98574509999999904</v>
      </c>
      <c r="AB5506">
        <v>25</v>
      </c>
      <c r="AC5506">
        <v>19.4866999999999</v>
      </c>
      <c r="AD5506">
        <v>-1.1537679999999999</v>
      </c>
      <c r="AE5506">
        <v>-2.5028899999999998</v>
      </c>
      <c r="AF5506">
        <v>3.32808015555745</v>
      </c>
      <c r="AG5506">
        <v>-1.1537679999999999</v>
      </c>
      <c r="AH5506">
        <v>19.294329891385299</v>
      </c>
      <c r="AI5506">
        <v>93.372430304447803</v>
      </c>
      <c r="AJ5506">
        <v>80.2133492984957</v>
      </c>
      <c r="AK5506">
        <v>19.6132216649188</v>
      </c>
    </row>
    <row r="5507" spans="1:37" x14ac:dyDescent="0.2">
      <c r="A5507" t="str">
        <f>"20200111155705578"</f>
        <v>20200111155705578</v>
      </c>
      <c r="B5507" t="str">
        <f>"1578729425568065"</f>
        <v>1578729425568065</v>
      </c>
      <c r="C5507" t="s">
        <v>37</v>
      </c>
      <c r="D5507">
        <v>5.0900800000000004</v>
      </c>
      <c r="E5507">
        <v>0.5533013</v>
      </c>
      <c r="F5507" t="s">
        <v>39</v>
      </c>
      <c r="G5507">
        <v>-318.33150000000001</v>
      </c>
      <c r="H5507">
        <v>-0.05</v>
      </c>
      <c r="I5507">
        <v>15.791499999999999</v>
      </c>
      <c r="J5507">
        <v>-337.43770000000001</v>
      </c>
      <c r="K5507">
        <v>1.1037709999999901</v>
      </c>
      <c r="L5507">
        <v>18.30725</v>
      </c>
      <c r="M5507">
        <v>0.999015599999999</v>
      </c>
      <c r="N5507">
        <v>0</v>
      </c>
      <c r="O5507">
        <v>4.2136220000000002E-2</v>
      </c>
      <c r="P5507">
        <v>0.99995889999999998</v>
      </c>
      <c r="Q5507">
        <v>-3.8136759999999998E-3</v>
      </c>
      <c r="R5507">
        <v>8.2329589999999998E-3</v>
      </c>
      <c r="S5507">
        <v>3.0034179999999999</v>
      </c>
      <c r="T5507">
        <v>-0.18005479999999999</v>
      </c>
      <c r="U5507">
        <v>-0.39181519999999997</v>
      </c>
      <c r="V5507">
        <v>3.3941859999999997E-2</v>
      </c>
      <c r="W5507">
        <v>9.9526830000000004E-3</v>
      </c>
      <c r="X5507">
        <v>0.99937430000000005</v>
      </c>
      <c r="Y5507">
        <v>0.17065539999999901</v>
      </c>
      <c r="Z5507">
        <v>-7.603884E-3</v>
      </c>
      <c r="AA5507">
        <v>0.98530139999999999</v>
      </c>
      <c r="AB5507">
        <v>25</v>
      </c>
      <c r="AC5507">
        <v>19.106200000000001</v>
      </c>
      <c r="AD5507">
        <v>-1.1537709999999901</v>
      </c>
      <c r="AE5507">
        <v>-2.5157500000000002</v>
      </c>
      <c r="AF5507">
        <v>3.3068026113176501</v>
      </c>
      <c r="AG5507">
        <v>-1.1537709999999901</v>
      </c>
      <c r="AH5507">
        <v>18.915411829158799</v>
      </c>
      <c r="AI5507">
        <v>93.438488085660296</v>
      </c>
      <c r="AJ5507">
        <v>80.083731262593602</v>
      </c>
      <c r="AK5507">
        <v>19.2369159611758</v>
      </c>
    </row>
    <row r="5508" spans="1:37" x14ac:dyDescent="0.2">
      <c r="A5508" t="str">
        <f>"20200111155705590"</f>
        <v>20200111155705590</v>
      </c>
      <c r="B5508" t="str">
        <f>"1578729425578801"</f>
        <v>1578729425578801</v>
      </c>
      <c r="C5508" t="s">
        <v>37</v>
      </c>
      <c r="D5508">
        <v>5.1160730000000001</v>
      </c>
      <c r="E5508">
        <v>0.55338080000000001</v>
      </c>
      <c r="F5508" t="s">
        <v>39</v>
      </c>
      <c r="G5508">
        <v>-318.36619999999999</v>
      </c>
      <c r="H5508">
        <v>-0.05</v>
      </c>
      <c r="I5508">
        <v>15.78012</v>
      </c>
      <c r="J5508">
        <v>-337.29910000000001</v>
      </c>
      <c r="K5508">
        <v>1.1037649999999899</v>
      </c>
      <c r="L5508">
        <v>18.312069999999999</v>
      </c>
      <c r="M5508">
        <v>0.99905339999999998</v>
      </c>
      <c r="N5508">
        <v>0</v>
      </c>
      <c r="O5508">
        <v>4.1229679999999998E-2</v>
      </c>
      <c r="P5508">
        <v>0.99996700000000005</v>
      </c>
      <c r="Q5508">
        <v>-4.1886750000000002E-3</v>
      </c>
      <c r="R5508">
        <v>6.96647699999999E-3</v>
      </c>
      <c r="S5508">
        <v>3.0027159999999999</v>
      </c>
      <c r="T5508">
        <v>-0.1816564</v>
      </c>
      <c r="U5508">
        <v>-0.39788820000000003</v>
      </c>
      <c r="V5508">
        <v>3.4299299999999998E-2</v>
      </c>
      <c r="W5508">
        <v>9.5793379999999997E-3</v>
      </c>
      <c r="X5508">
        <v>0.99936569999999902</v>
      </c>
      <c r="Y5508">
        <v>0.1717426</v>
      </c>
      <c r="Z5508">
        <v>-7.6503129999999997E-3</v>
      </c>
      <c r="AA5508">
        <v>0.98511209999999905</v>
      </c>
      <c r="AB5508">
        <v>25</v>
      </c>
      <c r="AC5508">
        <v>18.9329</v>
      </c>
      <c r="AD5508">
        <v>-1.1537649999999999</v>
      </c>
      <c r="AE5508">
        <v>-2.5319500000000001</v>
      </c>
      <c r="AF5508">
        <v>3.2984351787291599</v>
      </c>
      <c r="AG5508">
        <v>-1.1537649999999999</v>
      </c>
      <c r="AH5508">
        <v>18.744011060207701</v>
      </c>
      <c r="AI5508">
        <v>93.469157587854696</v>
      </c>
      <c r="AJ5508">
        <v>80.019685100174101</v>
      </c>
      <c r="AK5508">
        <v>19.066955680671501</v>
      </c>
    </row>
    <row r="5509" spans="1:37" x14ac:dyDescent="0.2">
      <c r="A5509" t="str">
        <f>"20200111155705602"</f>
        <v>20200111155705602</v>
      </c>
      <c r="B5509" t="str">
        <f>"1578729425598321"</f>
        <v>1578729425598321</v>
      </c>
      <c r="C5509" t="s">
        <v>37</v>
      </c>
      <c r="D5509">
        <v>5.1056410000000003</v>
      </c>
      <c r="E5509">
        <v>0.55354579999999998</v>
      </c>
      <c r="F5509" t="s">
        <v>39</v>
      </c>
      <c r="G5509">
        <v>-318.31459999999998</v>
      </c>
      <c r="H5509">
        <v>-0.05</v>
      </c>
      <c r="I5509">
        <v>15.7671799999999</v>
      </c>
      <c r="J5509">
        <v>-337.16980000000001</v>
      </c>
      <c r="K5509">
        <v>1.103766</v>
      </c>
      <c r="L5509">
        <v>18.316500000000001</v>
      </c>
      <c r="M5509">
        <v>0.99908790000000003</v>
      </c>
      <c r="N5509">
        <v>0</v>
      </c>
      <c r="O5509">
        <v>4.0384950000000003E-2</v>
      </c>
      <c r="P5509">
        <v>0.99997469999999999</v>
      </c>
      <c r="Q5509">
        <v>-4.7834259999999899E-3</v>
      </c>
      <c r="R5509">
        <v>5.2945400000000004E-3</v>
      </c>
      <c r="S5509">
        <v>3.0021059999999999</v>
      </c>
      <c r="T5509">
        <v>-0.18245020000000001</v>
      </c>
      <c r="U5509">
        <v>-0.4024353</v>
      </c>
      <c r="V5509">
        <v>3.5123469999999997E-2</v>
      </c>
      <c r="W5509">
        <v>8.9847480000000007E-3</v>
      </c>
      <c r="X5509">
        <v>0.99934259999999997</v>
      </c>
      <c r="Y5509">
        <v>0.17239879999999999</v>
      </c>
      <c r="Z5509">
        <v>-7.6532099999999997E-3</v>
      </c>
      <c r="AA5509">
        <v>0.98499749999999997</v>
      </c>
      <c r="AB5509">
        <v>25</v>
      </c>
      <c r="AC5509">
        <v>18.8552</v>
      </c>
      <c r="AD5509">
        <v>-1.1537660000000001</v>
      </c>
      <c r="AE5509">
        <v>-2.5493199999999998</v>
      </c>
      <c r="AF5509">
        <v>3.2966572856565599</v>
      </c>
      <c r="AG5509">
        <v>-1.1537660000000001</v>
      </c>
      <c r="AH5509">
        <v>18.668205891967698</v>
      </c>
      <c r="AI5509">
        <v>93.482845145618498</v>
      </c>
      <c r="AJ5509">
        <v>79.985269671570506</v>
      </c>
      <c r="AK5509">
        <v>18.992130909056101</v>
      </c>
    </row>
    <row r="5510" spans="1:37" x14ac:dyDescent="0.2">
      <c r="A5510" t="str">
        <f>"20200111155705613"</f>
        <v>20200111155705613</v>
      </c>
      <c r="B5510" t="str">
        <f>"1578729425609057"</f>
        <v>1578729425609057</v>
      </c>
      <c r="C5510" t="s">
        <v>37</v>
      </c>
      <c r="D5510">
        <v>5.110468</v>
      </c>
      <c r="E5510">
        <v>0.5535852</v>
      </c>
      <c r="F5510" t="s">
        <v>39</v>
      </c>
      <c r="G5510">
        <v>-318.3381</v>
      </c>
      <c r="H5510">
        <v>-0.05</v>
      </c>
      <c r="I5510">
        <v>15.75102</v>
      </c>
      <c r="J5510">
        <v>-337.03370000000001</v>
      </c>
      <c r="K5510">
        <v>1.1037649999999899</v>
      </c>
      <c r="L5510">
        <v>18.321010000000001</v>
      </c>
      <c r="M5510">
        <v>0.99912350000000005</v>
      </c>
      <c r="N5510">
        <v>0</v>
      </c>
      <c r="O5510">
        <v>3.9496900000000001E-2</v>
      </c>
      <c r="P5510">
        <v>0.99997769999999997</v>
      </c>
      <c r="Q5510">
        <v>-5.43252199999999E-3</v>
      </c>
      <c r="R5510">
        <v>3.9103530000000001E-3</v>
      </c>
      <c r="S5510">
        <v>3.0013429999999999</v>
      </c>
      <c r="T5510">
        <v>-0.183883299999999</v>
      </c>
      <c r="U5510">
        <v>-0.40887449999999997</v>
      </c>
      <c r="V5510">
        <v>3.5616549999999997E-2</v>
      </c>
      <c r="W5510">
        <v>8.3367509999999999E-3</v>
      </c>
      <c r="X5510">
        <v>0.99933079999999996</v>
      </c>
      <c r="Y5510">
        <v>0.17362469999999999</v>
      </c>
      <c r="Z5510">
        <v>-7.6972730000000001E-3</v>
      </c>
      <c r="AA5510">
        <v>0.98478180000000004</v>
      </c>
      <c r="AB5510">
        <v>25</v>
      </c>
      <c r="AC5510">
        <v>18.695599999999999</v>
      </c>
      <c r="AD5510">
        <v>-1.1537649999999999</v>
      </c>
      <c r="AE5510">
        <v>-2.5699900000000002</v>
      </c>
      <c r="AF5510">
        <v>3.2941602708170201</v>
      </c>
      <c r="AG5510">
        <v>-1.1537649999999999</v>
      </c>
      <c r="AH5510">
        <v>18.510303130624401</v>
      </c>
      <c r="AI5510">
        <v>93.511652730086993</v>
      </c>
      <c r="AJ5510">
        <v>79.909081431525706</v>
      </c>
      <c r="AK5510">
        <v>18.836506776806001</v>
      </c>
    </row>
    <row r="5511" spans="1:37" x14ac:dyDescent="0.2">
      <c r="A5511" t="str">
        <f>"20200111155705625"</f>
        <v>20200111155705625</v>
      </c>
      <c r="B5511" t="str">
        <f>"1578729425618817"</f>
        <v>1578729425618817</v>
      </c>
      <c r="C5511" t="s">
        <v>37</v>
      </c>
      <c r="D5511">
        <v>5.0948000000000002</v>
      </c>
      <c r="E5511">
        <v>0.55364690000000005</v>
      </c>
      <c r="F5511" t="s">
        <v>39</v>
      </c>
      <c r="G5511">
        <v>-318.38690000000003</v>
      </c>
      <c r="H5511">
        <v>-0.05</v>
      </c>
      <c r="I5511">
        <v>15.751709999999999</v>
      </c>
      <c r="J5511">
        <v>-336.90550000000002</v>
      </c>
      <c r="K5511">
        <v>1.1037669999999999</v>
      </c>
      <c r="L5511">
        <v>18.32516</v>
      </c>
      <c r="M5511">
        <v>0.99915609999999999</v>
      </c>
      <c r="N5511">
        <v>0</v>
      </c>
      <c r="O5511">
        <v>3.8661290000000001E-2</v>
      </c>
      <c r="P5511">
        <v>0.99997689999999995</v>
      </c>
      <c r="Q5511">
        <v>-6.2372540000000002E-3</v>
      </c>
      <c r="R5511">
        <v>2.7231149999999999E-3</v>
      </c>
      <c r="S5511">
        <v>3.0006409999999999</v>
      </c>
      <c r="T5511">
        <v>-0.18566350000000001</v>
      </c>
      <c r="U5511">
        <v>-0.41345209999999999</v>
      </c>
      <c r="V5511">
        <v>3.5964639999999999E-2</v>
      </c>
      <c r="W5511">
        <v>7.5328280000000001E-3</v>
      </c>
      <c r="X5511">
        <v>0.99932469999999995</v>
      </c>
      <c r="Y5511">
        <v>0.17429919999999999</v>
      </c>
      <c r="Z5511">
        <v>-7.7419630000000001E-3</v>
      </c>
      <c r="AA5511">
        <v>0.98466229999999999</v>
      </c>
      <c r="AB5511">
        <v>25</v>
      </c>
      <c r="AC5511">
        <v>18.5185999999999</v>
      </c>
      <c r="AD5511">
        <v>-1.153767</v>
      </c>
      <c r="AE5511">
        <v>-2.5734499999999998</v>
      </c>
      <c r="AF5511">
        <v>3.2750755461262</v>
      </c>
      <c r="AG5511">
        <v>-1.153767</v>
      </c>
      <c r="AH5511">
        <v>18.335425971055699</v>
      </c>
      <c r="AI5511">
        <v>93.544665708378105</v>
      </c>
      <c r="AJ5511">
        <v>79.872626101499606</v>
      </c>
      <c r="AK5511">
        <v>18.661327489307499</v>
      </c>
    </row>
    <row r="5512" spans="1:37" x14ac:dyDescent="0.2">
      <c r="A5512" t="str">
        <f>"20200111155705636"</f>
        <v>20200111155705636</v>
      </c>
      <c r="B5512" t="str">
        <f>"1578729425628576"</f>
        <v>1578729425628576</v>
      </c>
      <c r="C5512" t="s">
        <v>37</v>
      </c>
      <c r="D5512">
        <v>5.1048929999999997</v>
      </c>
      <c r="E5512">
        <v>0.55354389999999998</v>
      </c>
      <c r="F5512" t="s">
        <v>39</v>
      </c>
      <c r="G5512">
        <v>-318.51909999999998</v>
      </c>
      <c r="H5512">
        <v>-0.05</v>
      </c>
      <c r="I5512">
        <v>15.76694</v>
      </c>
      <c r="J5512">
        <v>-336.77330000000001</v>
      </c>
      <c r="K5512">
        <v>1.1037669999999999</v>
      </c>
      <c r="L5512">
        <v>18.32938</v>
      </c>
      <c r="M5512">
        <v>0.99918879999999999</v>
      </c>
      <c r="N5512">
        <v>0</v>
      </c>
      <c r="O5512">
        <v>3.7801179999999997E-2</v>
      </c>
      <c r="P5512">
        <v>0.99997400000000003</v>
      </c>
      <c r="Q5512">
        <v>-7.0653640000000002E-3</v>
      </c>
      <c r="R5512">
        <v>1.4687379999999901E-3</v>
      </c>
      <c r="S5512">
        <v>3.0000610000000001</v>
      </c>
      <c r="T5512">
        <v>-0.1882577</v>
      </c>
      <c r="U5512">
        <v>-0.4174194</v>
      </c>
      <c r="V5512">
        <v>3.6355329999999998E-2</v>
      </c>
      <c r="W5512">
        <v>6.7055359999999998E-3</v>
      </c>
      <c r="X5512">
        <v>0.99931650000000005</v>
      </c>
      <c r="Y5512">
        <v>0.17474439999999999</v>
      </c>
      <c r="Z5512">
        <v>-7.8109190000000004E-3</v>
      </c>
      <c r="AA5512">
        <v>0.98458279999999998</v>
      </c>
      <c r="AB5512">
        <v>25</v>
      </c>
      <c r="AC5512">
        <v>18.254200000000001</v>
      </c>
      <c r="AD5512">
        <v>-1.153767</v>
      </c>
      <c r="AE5512">
        <v>-2.5624400000000001</v>
      </c>
      <c r="AF5512">
        <v>3.23801932424962</v>
      </c>
      <c r="AG5512">
        <v>-1.153767</v>
      </c>
      <c r="AH5512">
        <v>18.073471027551399</v>
      </c>
      <c r="AI5512">
        <v>93.595573048732206</v>
      </c>
      <c r="AJ5512">
        <v>79.842724061532493</v>
      </c>
      <c r="AK5512">
        <v>18.397453693874098</v>
      </c>
    </row>
    <row r="5513" spans="1:37" x14ac:dyDescent="0.2">
      <c r="A5513" t="str">
        <f>"20200111155705649"</f>
        <v>20200111155705649</v>
      </c>
      <c r="B5513" t="str">
        <f>"1578729425638337"</f>
        <v>1578729425638337</v>
      </c>
      <c r="C5513" t="s">
        <v>37</v>
      </c>
      <c r="D5513">
        <v>5.0890379999999897</v>
      </c>
      <c r="E5513">
        <v>0.55340959999999995</v>
      </c>
      <c r="F5513" t="s">
        <v>39</v>
      </c>
      <c r="G5513">
        <v>-318.70670000000001</v>
      </c>
      <c r="H5513">
        <v>-0.05</v>
      </c>
      <c r="I5513">
        <v>15.79701</v>
      </c>
      <c r="J5513">
        <v>-336.64170000000001</v>
      </c>
      <c r="K5513">
        <v>1.1037680000000001</v>
      </c>
      <c r="L5513">
        <v>18.333369999999999</v>
      </c>
      <c r="M5513">
        <v>0.99922099999999903</v>
      </c>
      <c r="N5513">
        <v>0</v>
      </c>
      <c r="O5513">
        <v>3.6944869999999998E-2</v>
      </c>
      <c r="P5513">
        <v>0.99996929999999995</v>
      </c>
      <c r="Q5513">
        <v>-7.8400919999999999E-3</v>
      </c>
      <c r="R5513">
        <v>1.6953340000000001E-4</v>
      </c>
      <c r="S5513">
        <v>2.9993289999999999</v>
      </c>
      <c r="T5513">
        <v>-0.1915425</v>
      </c>
      <c r="U5513">
        <v>-0.42041020000000001</v>
      </c>
      <c r="V5513">
        <v>3.6794920000000002E-2</v>
      </c>
      <c r="W5513">
        <v>5.9306910000000001E-3</v>
      </c>
      <c r="X5513">
        <v>0.9993052</v>
      </c>
      <c r="Y5513">
        <v>0.17488329999999999</v>
      </c>
      <c r="Z5513">
        <v>-7.8983179999999997E-3</v>
      </c>
      <c r="AA5513">
        <v>0.98455749999999997</v>
      </c>
      <c r="AB5513">
        <v>25</v>
      </c>
      <c r="AC5513">
        <v>17.934999999999999</v>
      </c>
      <c r="AD5513">
        <v>-1.1537679999999999</v>
      </c>
      <c r="AE5513">
        <v>-2.5363600000000002</v>
      </c>
      <c r="AF5513">
        <v>3.1843782326843302</v>
      </c>
      <c r="AG5513">
        <v>-1.1537679999999999</v>
      </c>
      <c r="AH5513">
        <v>17.7569940250368</v>
      </c>
      <c r="AI5513">
        <v>93.659377131481307</v>
      </c>
      <c r="AJ5513">
        <v>79.833162483452796</v>
      </c>
      <c r="AK5513">
        <v>18.077120404860199</v>
      </c>
    </row>
    <row r="5514" spans="1:37" x14ac:dyDescent="0.2">
      <c r="A5514" t="str">
        <f>"20200111155705661"</f>
        <v>20200111155705661</v>
      </c>
      <c r="B5514" t="str">
        <f>"1578729425658834"</f>
        <v>1578729425658834</v>
      </c>
      <c r="C5514" t="s">
        <v>37</v>
      </c>
      <c r="D5514">
        <v>5.0871579999999996</v>
      </c>
      <c r="E5514">
        <v>0.55321399999999998</v>
      </c>
      <c r="F5514" t="s">
        <v>39</v>
      </c>
      <c r="G5514">
        <v>-318.8535</v>
      </c>
      <c r="H5514">
        <v>-0.05</v>
      </c>
      <c r="I5514">
        <v>15.822429999999899</v>
      </c>
      <c r="J5514">
        <v>-336.50650000000002</v>
      </c>
      <c r="K5514">
        <v>1.1037649999999899</v>
      </c>
      <c r="L5514">
        <v>18.337429999999902</v>
      </c>
      <c r="M5514">
        <v>0.99925319999999995</v>
      </c>
      <c r="N5514">
        <v>0</v>
      </c>
      <c r="O5514">
        <v>3.606442E-2</v>
      </c>
      <c r="P5514">
        <v>0.99996659999999904</v>
      </c>
      <c r="Q5514">
        <v>-8.165762E-3</v>
      </c>
      <c r="R5514">
        <v>-6.4956720000000005E-4</v>
      </c>
      <c r="S5514">
        <v>2.9986269999999999</v>
      </c>
      <c r="T5514">
        <v>-0.1944951</v>
      </c>
      <c r="U5514">
        <v>-0.42327879999999901</v>
      </c>
      <c r="V5514">
        <v>3.6731850000000003E-2</v>
      </c>
      <c r="W5514">
        <v>5.6069240000000001E-3</v>
      </c>
      <c r="X5514">
        <v>0.99930940000000001</v>
      </c>
      <c r="Y5514">
        <v>0.17495949999999999</v>
      </c>
      <c r="Z5514">
        <v>-7.9667950000000005E-3</v>
      </c>
      <c r="AA5514">
        <v>0.98454339999999996</v>
      </c>
      <c r="AB5514">
        <v>25</v>
      </c>
      <c r="AC5514">
        <v>17.652999999999999</v>
      </c>
      <c r="AD5514">
        <v>-1.1537649999999999</v>
      </c>
      <c r="AE5514">
        <v>-2.5149999999999899</v>
      </c>
      <c r="AF5514">
        <v>3.1369366703280499</v>
      </c>
      <c r="AG5514">
        <v>-1.1537649999999999</v>
      </c>
      <c r="AH5514">
        <v>17.477629752568699</v>
      </c>
      <c r="AI5514">
        <v>93.717598646892895</v>
      </c>
      <c r="AJ5514">
        <v>79.824723533989101</v>
      </c>
      <c r="AK5514">
        <v>17.794355484724601</v>
      </c>
    </row>
    <row r="5515" spans="1:37" x14ac:dyDescent="0.2">
      <c r="A5515" t="str">
        <f>"20200111155705673"</f>
        <v>20200111155705673</v>
      </c>
      <c r="B5515" t="str">
        <f>"1578729425668593"</f>
        <v>1578729425668593</v>
      </c>
      <c r="C5515" t="s">
        <v>37</v>
      </c>
      <c r="D5515">
        <v>5.0752480000000002</v>
      </c>
      <c r="E5515">
        <v>0.55311440000000001</v>
      </c>
      <c r="F5515" t="s">
        <v>39</v>
      </c>
      <c r="G5515">
        <v>-318.89440000000002</v>
      </c>
      <c r="H5515">
        <v>-0.05</v>
      </c>
      <c r="I5515">
        <v>15.846159999999999</v>
      </c>
      <c r="J5515">
        <v>-336.35629999999998</v>
      </c>
      <c r="K5515">
        <v>1.1037669999999999</v>
      </c>
      <c r="L5515">
        <v>18.34177</v>
      </c>
      <c r="M5515">
        <v>0.99928790000000001</v>
      </c>
      <c r="N5515">
        <v>0</v>
      </c>
      <c r="O5515">
        <v>3.5083749999999997E-2</v>
      </c>
      <c r="P5515">
        <v>0.99996099999999999</v>
      </c>
      <c r="Q5515">
        <v>-8.6552980000000005E-3</v>
      </c>
      <c r="R5515">
        <v>-1.7861159999999999E-3</v>
      </c>
      <c r="S5515">
        <v>2.9981990000000001</v>
      </c>
      <c r="T5515">
        <v>-0.1964118</v>
      </c>
      <c r="U5515">
        <v>-0.4241028</v>
      </c>
      <c r="V5515">
        <v>3.6885429999999997E-2</v>
      </c>
      <c r="W5515">
        <v>5.1181739999999996E-3</v>
      </c>
      <c r="X5515">
        <v>0.99930640000000004</v>
      </c>
      <c r="Y5515">
        <v>0.17427279999999901</v>
      </c>
      <c r="Z5515">
        <v>-7.9598519999999999E-3</v>
      </c>
      <c r="AA5515">
        <v>0.98466520000000002</v>
      </c>
      <c r="AB5515">
        <v>25</v>
      </c>
      <c r="AC5515">
        <v>17.461899999999901</v>
      </c>
      <c r="AD5515">
        <v>-1.153767</v>
      </c>
      <c r="AE5515">
        <v>-2.4956099999999899</v>
      </c>
      <c r="AF5515">
        <v>3.0935262967112598</v>
      </c>
      <c r="AG5515">
        <v>-1.153767</v>
      </c>
      <c r="AH5515">
        <v>17.289613875905602</v>
      </c>
      <c r="AI5515">
        <v>93.758280645287599</v>
      </c>
      <c r="AJ5515">
        <v>79.855754789691304</v>
      </c>
      <c r="AK5515">
        <v>17.602040541273599</v>
      </c>
    </row>
    <row r="5516" spans="1:37" x14ac:dyDescent="0.2">
      <c r="A5516" t="str">
        <f>"20200111155705688"</f>
        <v>20200111155705688</v>
      </c>
      <c r="B5516" t="str">
        <f>"1578729425678353"</f>
        <v>1578729425678353</v>
      </c>
      <c r="C5516" t="s">
        <v>37</v>
      </c>
      <c r="D5516">
        <v>5.071294</v>
      </c>
      <c r="E5516">
        <v>0.55297430000000003</v>
      </c>
      <c r="F5516" t="s">
        <v>39</v>
      </c>
      <c r="G5516">
        <v>-318.89170000000001</v>
      </c>
      <c r="H5516">
        <v>-0.05</v>
      </c>
      <c r="I5516">
        <v>15.855219999999999</v>
      </c>
      <c r="J5516">
        <v>-336.19439999999997</v>
      </c>
      <c r="K5516">
        <v>1.1037680000000001</v>
      </c>
      <c r="L5516">
        <v>18.346250000000001</v>
      </c>
      <c r="M5516">
        <v>0.99932469999999995</v>
      </c>
      <c r="N5516">
        <v>0</v>
      </c>
      <c r="O5516">
        <v>3.4021679999999999E-2</v>
      </c>
      <c r="P5516">
        <v>0.99995970000000001</v>
      </c>
      <c r="Q5516">
        <v>-8.4304959999999905E-3</v>
      </c>
      <c r="R5516">
        <v>-3.0770070000000001E-3</v>
      </c>
      <c r="S5516">
        <v>2.99762</v>
      </c>
      <c r="T5516">
        <v>-0.19803199999999899</v>
      </c>
      <c r="U5516">
        <v>-0.42678829999999901</v>
      </c>
      <c r="V5516">
        <v>3.7114019999999998E-2</v>
      </c>
      <c r="W5516">
        <v>5.3427609999999997E-3</v>
      </c>
      <c r="X5516">
        <v>0.99929679999999999</v>
      </c>
      <c r="Y5516">
        <v>0.17411270000000001</v>
      </c>
      <c r="Z5516">
        <v>-7.9513589999999999E-3</v>
      </c>
      <c r="AA5516">
        <v>0.98469359999999995</v>
      </c>
      <c r="AB5516">
        <v>25</v>
      </c>
      <c r="AC5516">
        <v>17.302699999999898</v>
      </c>
      <c r="AD5516">
        <v>-1.1537679999999999</v>
      </c>
      <c r="AE5516">
        <v>-2.4910299999999999</v>
      </c>
      <c r="AF5516">
        <v>3.0649599615215699</v>
      </c>
      <c r="AG5516">
        <v>-1.1537679999999999</v>
      </c>
      <c r="AH5516">
        <v>17.1332896094099</v>
      </c>
      <c r="AI5516">
        <v>93.792497695346896</v>
      </c>
      <c r="AJ5516">
        <v>79.857686644417299</v>
      </c>
      <c r="AK5516">
        <v>17.443473650723</v>
      </c>
    </row>
    <row r="5517" spans="1:37" x14ac:dyDescent="0.2">
      <c r="A5517" t="str">
        <f>"20200111155705702"</f>
        <v>20200111155705702</v>
      </c>
      <c r="B5517" t="str">
        <f>"1578729425698848"</f>
        <v>1578729425698848</v>
      </c>
      <c r="C5517" t="s">
        <v>37</v>
      </c>
      <c r="D5517">
        <v>5.09971</v>
      </c>
      <c r="E5517">
        <v>0.55282019999999998</v>
      </c>
      <c r="F5517" t="s">
        <v>39</v>
      </c>
      <c r="G5517">
        <v>-318.78309999999999</v>
      </c>
      <c r="H5517">
        <v>-0.05</v>
      </c>
      <c r="I5517">
        <v>15.851470000000001</v>
      </c>
      <c r="J5517">
        <v>-336.0403</v>
      </c>
      <c r="K5517">
        <v>1.1037680000000001</v>
      </c>
      <c r="L5517">
        <v>18.3504</v>
      </c>
      <c r="M5517">
        <v>0.99935869999999905</v>
      </c>
      <c r="N5517">
        <v>0</v>
      </c>
      <c r="O5517">
        <v>3.3005230000000003E-2</v>
      </c>
      <c r="P5517">
        <v>0.99995959999999995</v>
      </c>
      <c r="Q5517">
        <v>-8.080617E-3</v>
      </c>
      <c r="R5517">
        <v>-3.9264779999999997E-3</v>
      </c>
      <c r="S5517">
        <v>2.997131</v>
      </c>
      <c r="T5517">
        <v>-0.19860649999999999</v>
      </c>
      <c r="U5517">
        <v>-0.42944339999999998</v>
      </c>
      <c r="V5517">
        <v>3.694762E-2</v>
      </c>
      <c r="W5517">
        <v>5.6941830000000002E-3</v>
      </c>
      <c r="X5517">
        <v>0.99930099999999999</v>
      </c>
      <c r="Y5517">
        <v>0.17398829999999901</v>
      </c>
      <c r="Z5517">
        <v>-7.9040780000000001E-3</v>
      </c>
      <c r="AA5517">
        <v>0.98471600000000004</v>
      </c>
      <c r="AB5517">
        <v>25</v>
      </c>
      <c r="AC5517">
        <v>17.257200000000001</v>
      </c>
      <c r="AD5517">
        <v>-1.1537679999999999</v>
      </c>
      <c r="AE5517">
        <v>-2.4989300000000001</v>
      </c>
      <c r="AF5517">
        <v>3.0538311250966599</v>
      </c>
      <c r="AG5517">
        <v>-1.1537679999999999</v>
      </c>
      <c r="AH5517">
        <v>17.0904868215802</v>
      </c>
      <c r="AI5517">
        <v>93.802101529102202</v>
      </c>
      <c r="AJ5517">
        <v>79.868965579235095</v>
      </c>
      <c r="AK5517">
        <v>17.3994771455075</v>
      </c>
    </row>
    <row r="5518" spans="1:37" x14ac:dyDescent="0.2">
      <c r="A5518" t="str">
        <f>"20200111155705714"</f>
        <v>20200111155705714</v>
      </c>
      <c r="B5518" t="str">
        <f>"1578729425708609"</f>
        <v>1578729425708609</v>
      </c>
      <c r="C5518" t="s">
        <v>37</v>
      </c>
      <c r="D5518">
        <v>5.342352</v>
      </c>
      <c r="E5518">
        <v>0.55282019999999998</v>
      </c>
      <c r="F5518" t="s">
        <v>39</v>
      </c>
      <c r="G5518">
        <v>-318.55799999999999</v>
      </c>
      <c r="H5518">
        <v>-0.05</v>
      </c>
      <c r="I5518">
        <v>15.837339999999999</v>
      </c>
      <c r="J5518">
        <v>-335.89120000000003</v>
      </c>
      <c r="K5518">
        <v>1.1037669999999999</v>
      </c>
      <c r="L5518">
        <v>18.354220000000002</v>
      </c>
      <c r="M5518">
        <v>0.99939109999999998</v>
      </c>
      <c r="N5518">
        <v>0</v>
      </c>
      <c r="O5518">
        <v>3.2012199999999998E-2</v>
      </c>
      <c r="P5518">
        <v>0.9999574</v>
      </c>
      <c r="Q5518">
        <v>-7.6136340000000002E-3</v>
      </c>
      <c r="R5518">
        <v>-5.2538430000000002E-3</v>
      </c>
      <c r="S5518">
        <v>2.9967959999999998</v>
      </c>
      <c r="T5518">
        <v>-0.19777800000000001</v>
      </c>
      <c r="U5518">
        <v>-0.43078610000000001</v>
      </c>
      <c r="V5518">
        <v>3.7282549999999998E-2</v>
      </c>
      <c r="W5518">
        <v>6.1605230000000002E-3</v>
      </c>
      <c r="X5518">
        <v>0.9992858</v>
      </c>
      <c r="Y5518">
        <v>0.1734646</v>
      </c>
      <c r="Z5518">
        <v>-7.7894390000000004E-3</v>
      </c>
      <c r="AA5518">
        <v>0.9848093</v>
      </c>
      <c r="AB5518">
        <v>25</v>
      </c>
      <c r="AC5518">
        <v>17.333200000000001</v>
      </c>
      <c r="AD5518">
        <v>-1.153767</v>
      </c>
      <c r="AE5518">
        <v>-2.51688</v>
      </c>
      <c r="AF5518">
        <v>3.0572508702934802</v>
      </c>
      <c r="AG5518">
        <v>-1.153767</v>
      </c>
      <c r="AH5518">
        <v>17.169234025657602</v>
      </c>
      <c r="AI5518">
        <v>93.785115344410201</v>
      </c>
      <c r="AJ5518">
        <v>79.903414086573406</v>
      </c>
      <c r="AK5518">
        <v>17.477429965587</v>
      </c>
    </row>
    <row r="5519" spans="1:37" x14ac:dyDescent="0.2">
      <c r="A5519" t="str">
        <f>"20200111155705728"</f>
        <v>20200111155705728</v>
      </c>
      <c r="B5519" t="str">
        <f>"1578729425718369"</f>
        <v>1578729425718369</v>
      </c>
      <c r="C5519" t="s">
        <v>37</v>
      </c>
      <c r="D5519">
        <v>5.0731529999999996</v>
      </c>
      <c r="E5519">
        <v>0.55272209999999999</v>
      </c>
      <c r="F5519" t="s">
        <v>39</v>
      </c>
      <c r="G5519">
        <v>-318.28309999999999</v>
      </c>
      <c r="H5519">
        <v>-0.05</v>
      </c>
      <c r="I5519">
        <v>15.799010000000001</v>
      </c>
      <c r="J5519">
        <v>-335.7475</v>
      </c>
      <c r="K5519">
        <v>1.103764</v>
      </c>
      <c r="L5519">
        <v>18.357759999999999</v>
      </c>
      <c r="M5519">
        <v>0.99942169999999897</v>
      </c>
      <c r="N5519">
        <v>0</v>
      </c>
      <c r="O5519">
        <v>3.1043250000000001E-2</v>
      </c>
      <c r="P5519">
        <v>0.9999574</v>
      </c>
      <c r="Q5519">
        <v>-6.6483840000000002E-3</v>
      </c>
      <c r="R5519">
        <v>-6.437356E-3</v>
      </c>
      <c r="S5519">
        <v>2.9963380000000002</v>
      </c>
      <c r="T5519">
        <v>-0.1963345</v>
      </c>
      <c r="U5519">
        <v>-0.43481449999999999</v>
      </c>
      <c r="V5519">
        <v>3.749951E-2</v>
      </c>
      <c r="W5519">
        <v>7.124666E-3</v>
      </c>
      <c r="X5519">
        <v>0.99927129999999997</v>
      </c>
      <c r="Y5519">
        <v>0.1738355</v>
      </c>
      <c r="Z5519">
        <v>-7.6820769999999998E-3</v>
      </c>
      <c r="AA5519">
        <v>0.98474470000000003</v>
      </c>
      <c r="AB5519">
        <v>25</v>
      </c>
      <c r="AC5519">
        <v>17.464400000000001</v>
      </c>
      <c r="AD5519">
        <v>-1.153764</v>
      </c>
      <c r="AE5519">
        <v>-2.5587499999999901</v>
      </c>
      <c r="AF5519">
        <v>3.08653266070981</v>
      </c>
      <c r="AG5519">
        <v>-1.153764</v>
      </c>
      <c r="AH5519">
        <v>17.3026127718563</v>
      </c>
      <c r="AI5519">
        <v>93.755804725447305</v>
      </c>
      <c r="AJ5519">
        <v>79.885660646303194</v>
      </c>
      <c r="AK5519">
        <v>17.613581803997999</v>
      </c>
    </row>
    <row r="5520" spans="1:37" x14ac:dyDescent="0.2">
      <c r="A5520" t="str">
        <f>"20200111155705740"</f>
        <v>20200111155705740</v>
      </c>
      <c r="B5520" t="str">
        <f>"1578729425738864"</f>
        <v>1578729425738864</v>
      </c>
      <c r="C5520" t="s">
        <v>37</v>
      </c>
      <c r="D5520">
        <v>5.0772779999999997</v>
      </c>
      <c r="E5520">
        <v>0.55264119999999906</v>
      </c>
      <c r="F5520" t="s">
        <v>39</v>
      </c>
      <c r="G5520">
        <v>-317.88819999999998</v>
      </c>
      <c r="H5520">
        <v>-0.05</v>
      </c>
      <c r="I5520">
        <v>15.7494</v>
      </c>
      <c r="J5520">
        <v>-335.6037</v>
      </c>
      <c r="K5520">
        <v>1.1037569999999901</v>
      </c>
      <c r="L5520">
        <v>18.36121</v>
      </c>
      <c r="M5520">
        <v>0.99945149999999905</v>
      </c>
      <c r="N5520">
        <v>0</v>
      </c>
      <c r="O5520">
        <v>3.0065740000000001E-2</v>
      </c>
      <c r="P5520">
        <v>0.99995369999999995</v>
      </c>
      <c r="Q5520">
        <v>-5.7532959999999998E-3</v>
      </c>
      <c r="R5520">
        <v>-7.737224E-3</v>
      </c>
      <c r="S5520">
        <v>2.9959720000000001</v>
      </c>
      <c r="T5520">
        <v>-0.19354839999999901</v>
      </c>
      <c r="U5520">
        <v>-0.43756099999999998</v>
      </c>
      <c r="V5520">
        <v>3.7824179999999999E-2</v>
      </c>
      <c r="W5520">
        <v>8.0182329999999996E-3</v>
      </c>
      <c r="X5520">
        <v>0.99925229999999998</v>
      </c>
      <c r="Y5520">
        <v>0.17378769999999999</v>
      </c>
      <c r="Z5520">
        <v>-7.5093790000000001E-3</v>
      </c>
      <c r="AA5520">
        <v>0.98475449999999998</v>
      </c>
      <c r="AB5520">
        <v>25</v>
      </c>
      <c r="AC5520">
        <v>17.715499999999999</v>
      </c>
      <c r="AD5520">
        <v>-1.1537569999999999</v>
      </c>
      <c r="AE5520">
        <v>-2.6118100000000002</v>
      </c>
      <c r="AF5520">
        <v>3.1303151399177001</v>
      </c>
      <c r="AG5520">
        <v>-1.1537569999999999</v>
      </c>
      <c r="AH5520">
        <v>17.556075733908401</v>
      </c>
      <c r="AI5520">
        <v>93.701762409089099</v>
      </c>
      <c r="AJ5520">
        <v>79.890188773370099</v>
      </c>
      <c r="AK5520">
        <v>17.870249669911502</v>
      </c>
    </row>
    <row r="5521" spans="1:37" x14ac:dyDescent="0.2">
      <c r="A5521" t="str">
        <f>"20200111155705756"</f>
        <v>20200111155705756</v>
      </c>
      <c r="B5521" t="str">
        <f>"1578729425748624"</f>
        <v>1578729425748624</v>
      </c>
      <c r="C5521" t="s">
        <v>37</v>
      </c>
      <c r="D5521">
        <v>5.373202</v>
      </c>
      <c r="E5521">
        <v>0.55254519999999996</v>
      </c>
      <c r="F5521" t="s">
        <v>39</v>
      </c>
      <c r="G5521">
        <v>-317.47129999999999</v>
      </c>
      <c r="H5521">
        <v>-0.05</v>
      </c>
      <c r="I5521">
        <v>15.693439999999899</v>
      </c>
      <c r="J5521">
        <v>-335.4239</v>
      </c>
      <c r="K5521">
        <v>1.103745</v>
      </c>
      <c r="L5521">
        <v>18.36523</v>
      </c>
      <c r="M5521">
        <v>0.99948819999999905</v>
      </c>
      <c r="N5521">
        <v>0</v>
      </c>
      <c r="O5521">
        <v>2.881999E-2</v>
      </c>
      <c r="P5521">
        <v>0.99994269999999996</v>
      </c>
      <c r="Q5521">
        <v>-5.1873359999999999E-3</v>
      </c>
      <c r="R5521">
        <v>-9.3730730000000009E-3</v>
      </c>
      <c r="S5521">
        <v>2.9956049999999999</v>
      </c>
      <c r="T5521">
        <v>-0.19060849999999999</v>
      </c>
      <c r="U5521">
        <v>-0.44073489999999999</v>
      </c>
      <c r="V5521">
        <v>3.8215550000000001E-2</v>
      </c>
      <c r="W5521">
        <v>8.5818349999999995E-3</v>
      </c>
      <c r="X5521">
        <v>0.99923259999999903</v>
      </c>
      <c r="Y5521">
        <v>0.173614299999999</v>
      </c>
      <c r="Z5521">
        <v>-7.3115669999999997E-3</v>
      </c>
      <c r="AA5521">
        <v>0.98478659999999996</v>
      </c>
      <c r="AB5521">
        <v>25</v>
      </c>
      <c r="AC5521">
        <v>17.9526</v>
      </c>
      <c r="AD5521">
        <v>-1.153745</v>
      </c>
      <c r="AE5521">
        <v>-2.6717900000000001</v>
      </c>
      <c r="AF5521">
        <v>3.1752933571683801</v>
      </c>
      <c r="AG5521">
        <v>-1.153745</v>
      </c>
      <c r="AH5521">
        <v>17.7962247390054</v>
      </c>
      <c r="AI5521">
        <v>93.651831277132004</v>
      </c>
      <c r="AJ5521">
        <v>79.883452917352898</v>
      </c>
      <c r="AK5521">
        <v>18.114061675678599</v>
      </c>
    </row>
    <row r="5522" spans="1:37" x14ac:dyDescent="0.2">
      <c r="A5522" t="str">
        <f>"20200111155705769"</f>
        <v>20200111155705769</v>
      </c>
      <c r="B5522" t="str">
        <f>"1578729425758385"</f>
        <v>1578729425758385</v>
      </c>
      <c r="C5522" t="s">
        <v>37</v>
      </c>
      <c r="D5522">
        <v>5.019304</v>
      </c>
      <c r="E5522">
        <v>0.55251839999999997</v>
      </c>
      <c r="F5522" t="s">
        <v>39</v>
      </c>
      <c r="G5522">
        <v>-317.1574</v>
      </c>
      <c r="H5522">
        <v>-0.05</v>
      </c>
      <c r="I5522">
        <v>15.65213</v>
      </c>
      <c r="J5522">
        <v>-335.28879999999998</v>
      </c>
      <c r="K5522">
        <v>1.1037299999999901</v>
      </c>
      <c r="L5522">
        <v>18.368069999999999</v>
      </c>
      <c r="M5522">
        <v>0.99951520000000005</v>
      </c>
      <c r="N5522">
        <v>0</v>
      </c>
      <c r="O5522">
        <v>2.7864170000000001E-2</v>
      </c>
      <c r="P5522">
        <v>0.9999304</v>
      </c>
      <c r="Q5522">
        <v>-4.88138299999999E-3</v>
      </c>
      <c r="R5522">
        <v>-1.0756699999999999E-2</v>
      </c>
      <c r="S5522">
        <v>2.9950559999999999</v>
      </c>
      <c r="T5522">
        <v>-0.18917300000000001</v>
      </c>
      <c r="U5522">
        <v>-0.44485469999999999</v>
      </c>
      <c r="V5522">
        <v>3.8643799999999999E-2</v>
      </c>
      <c r="W5522">
        <v>8.8846180000000004E-3</v>
      </c>
      <c r="X5522">
        <v>0.99921360000000004</v>
      </c>
      <c r="Y5522">
        <v>0.1740313</v>
      </c>
      <c r="Z5522">
        <v>-7.2102619999999899E-3</v>
      </c>
      <c r="AA5522">
        <v>0.98471369999999903</v>
      </c>
      <c r="AB5522">
        <v>25</v>
      </c>
      <c r="AC5522">
        <v>18.1313999999999</v>
      </c>
      <c r="AD5522">
        <v>-1.1537299999999999</v>
      </c>
      <c r="AE5522">
        <v>-2.7159399999999998</v>
      </c>
      <c r="AF5522">
        <v>3.2074485122248402</v>
      </c>
      <c r="AG5522">
        <v>-1.1537299999999999</v>
      </c>
      <c r="AH5522">
        <v>17.977480776019299</v>
      </c>
      <c r="AI5522">
        <v>93.615069769757596</v>
      </c>
      <c r="AJ5522">
        <v>79.884025799751299</v>
      </c>
      <c r="AK5522">
        <v>18.297776748108401</v>
      </c>
    </row>
    <row r="5523" spans="1:37" x14ac:dyDescent="0.2">
      <c r="A5523" t="str">
        <f>"20200111155705781"</f>
        <v>20200111155705781</v>
      </c>
      <c r="B5523" t="str">
        <f>"1578729425778881"</f>
        <v>1578729425778881</v>
      </c>
      <c r="C5523" t="s">
        <v>37</v>
      </c>
      <c r="D5523">
        <v>5.05091</v>
      </c>
      <c r="E5523">
        <v>0.55231819999999998</v>
      </c>
      <c r="F5523" t="s">
        <v>39</v>
      </c>
      <c r="G5523">
        <v>-316.94290000000001</v>
      </c>
      <c r="H5523">
        <v>-0.05</v>
      </c>
      <c r="I5523">
        <v>15.618320000000001</v>
      </c>
      <c r="J5523">
        <v>-335.15159999999997</v>
      </c>
      <c r="K5523">
        <v>1.103715</v>
      </c>
      <c r="L5523">
        <v>18.37088</v>
      </c>
      <c r="M5523">
        <v>0.99954209999999999</v>
      </c>
      <c r="N5523">
        <v>0</v>
      </c>
      <c r="O5523">
        <v>2.6882759999999999E-2</v>
      </c>
      <c r="P5523">
        <v>0.99991749999999902</v>
      </c>
      <c r="Q5523">
        <v>-4.70339E-3</v>
      </c>
      <c r="R5523">
        <v>-1.196145E-2</v>
      </c>
      <c r="S5523">
        <v>2.9944759999999899</v>
      </c>
      <c r="T5523">
        <v>-0.18831519999999999</v>
      </c>
      <c r="U5523">
        <v>-0.448822</v>
      </c>
      <c r="V5523">
        <v>3.8867699999999998E-2</v>
      </c>
      <c r="W5523">
        <v>9.0605619999999994E-3</v>
      </c>
      <c r="X5523">
        <v>0.99920330000000002</v>
      </c>
      <c r="Y5523">
        <v>0.1743731</v>
      </c>
      <c r="Z5523">
        <v>-7.1276209999999998E-3</v>
      </c>
      <c r="AA5523">
        <v>0.98465380000000002</v>
      </c>
      <c r="AB5523">
        <v>25</v>
      </c>
      <c r="AC5523">
        <v>18.208699999999901</v>
      </c>
      <c r="AD5523">
        <v>-1.153715</v>
      </c>
      <c r="AE5523">
        <v>-2.7525599999999901</v>
      </c>
      <c r="AF5523">
        <v>3.2284410974929099</v>
      </c>
      <c r="AG5523">
        <v>-1.153715</v>
      </c>
      <c r="AH5523">
        <v>18.0572418946856</v>
      </c>
      <c r="AI5523">
        <v>93.598864291302803</v>
      </c>
      <c r="AJ5523">
        <v>79.863233107836393</v>
      </c>
      <c r="AK5523">
        <v>18.379822498174299</v>
      </c>
    </row>
    <row r="5524" spans="1:37" x14ac:dyDescent="0.2">
      <c r="A5524" t="str">
        <f>"20200111155705793"</f>
        <v>20200111155705793</v>
      </c>
      <c r="B5524" t="str">
        <f>"1578729425788641"</f>
        <v>1578729425788641</v>
      </c>
      <c r="C5524" t="s">
        <v>37</v>
      </c>
      <c r="D5524">
        <v>5.0681750000000001</v>
      </c>
      <c r="E5524">
        <v>0.55217649999999996</v>
      </c>
      <c r="F5524" t="s">
        <v>39</v>
      </c>
      <c r="G5524">
        <v>-316.81799999999998</v>
      </c>
      <c r="H5524">
        <v>-0.05</v>
      </c>
      <c r="I5524">
        <v>15.6098</v>
      </c>
      <c r="J5524">
        <v>-335.00659999999999</v>
      </c>
      <c r="K5524">
        <v>1.103694</v>
      </c>
      <c r="L5524">
        <v>18.3736</v>
      </c>
      <c r="M5524">
        <v>0.99957009999999902</v>
      </c>
      <c r="N5524">
        <v>0</v>
      </c>
      <c r="O5524">
        <v>2.5820070000000001E-2</v>
      </c>
      <c r="P5524">
        <v>0.99990290000000004</v>
      </c>
      <c r="Q5524">
        <v>-4.3124629999999999E-3</v>
      </c>
      <c r="R5524">
        <v>-1.3259959999999999E-2</v>
      </c>
      <c r="S5524">
        <v>2.9939580000000001</v>
      </c>
      <c r="T5524">
        <v>-0.1884072</v>
      </c>
      <c r="U5524">
        <v>-0.4508972</v>
      </c>
      <c r="V5524">
        <v>3.9104710000000001E-2</v>
      </c>
      <c r="W5524">
        <v>9.4491650000000007E-3</v>
      </c>
      <c r="X5524">
        <v>0.99919040000000003</v>
      </c>
      <c r="Y5524">
        <v>0.17402100000000001</v>
      </c>
      <c r="Z5524">
        <v>-7.0544639999999999E-3</v>
      </c>
      <c r="AA5524">
        <v>0.9847167</v>
      </c>
      <c r="AB5524">
        <v>25</v>
      </c>
      <c r="AC5524">
        <v>18.188600000000001</v>
      </c>
      <c r="AD5524">
        <v>-1.153694</v>
      </c>
      <c r="AE5524">
        <v>-2.7637999999999998</v>
      </c>
      <c r="AF5524">
        <v>3.21989238847324</v>
      </c>
      <c r="AG5524">
        <v>-1.153694</v>
      </c>
      <c r="AH5524">
        <v>18.040223235477999</v>
      </c>
      <c r="AI5524">
        <v>93.602374855665104</v>
      </c>
      <c r="AJ5524">
        <v>79.880179261554204</v>
      </c>
      <c r="AK5524">
        <v>18.361600453796601</v>
      </c>
    </row>
    <row r="5525" spans="1:37" x14ac:dyDescent="0.2">
      <c r="A5525" t="str">
        <f>"20200111155705804"</f>
        <v>20200111155705804</v>
      </c>
      <c r="B5525" t="str">
        <f>"1578729425798401"</f>
        <v>1578729425798401</v>
      </c>
      <c r="C5525" t="s">
        <v>37</v>
      </c>
      <c r="D5525">
        <v>4.9558540000000004</v>
      </c>
      <c r="E5525">
        <v>0.55217640000000001</v>
      </c>
      <c r="F5525" t="s">
        <v>39</v>
      </c>
      <c r="G5525">
        <v>-316.60840000000002</v>
      </c>
      <c r="H5525">
        <v>-0.05</v>
      </c>
      <c r="I5525">
        <v>15.58545</v>
      </c>
      <c r="J5525">
        <v>-334.88040000000001</v>
      </c>
      <c r="K5525">
        <v>1.103675</v>
      </c>
      <c r="L5525">
        <v>18.375820000000001</v>
      </c>
      <c r="M5525">
        <v>0.99959399999999998</v>
      </c>
      <c r="N5525">
        <v>0</v>
      </c>
      <c r="O5525">
        <v>2.4878839999999999E-2</v>
      </c>
      <c r="P5525">
        <v>0.99988650000000001</v>
      </c>
      <c r="Q5525">
        <v>-3.7998959999999901E-3</v>
      </c>
      <c r="R5525">
        <v>-1.459455E-2</v>
      </c>
      <c r="S5525">
        <v>2.9934689999999899</v>
      </c>
      <c r="T5525">
        <v>-0.18771089999999899</v>
      </c>
      <c r="U5525">
        <v>-0.45364379999999999</v>
      </c>
      <c r="V5525">
        <v>3.9499609999999998E-2</v>
      </c>
      <c r="W5525">
        <v>9.9584040000000006E-3</v>
      </c>
      <c r="X5525">
        <v>0.99916990000000006</v>
      </c>
      <c r="Y5525">
        <v>0.17400550000000001</v>
      </c>
      <c r="Z5525">
        <v>-6.9699419999999998E-3</v>
      </c>
      <c r="AA5525">
        <v>0.98472000000000004</v>
      </c>
      <c r="AB5525">
        <v>25</v>
      </c>
      <c r="AC5525">
        <v>18.271999999999899</v>
      </c>
      <c r="AD5525">
        <v>-1.153675</v>
      </c>
      <c r="AE5525">
        <v>-2.7903699999999998</v>
      </c>
      <c r="AF5525">
        <v>3.2315470915990998</v>
      </c>
      <c r="AG5525">
        <v>-1.153675</v>
      </c>
      <c r="AH5525">
        <v>18.126301187823401</v>
      </c>
      <c r="AI5525">
        <v>93.585380272720698</v>
      </c>
      <c r="AJ5525">
        <v>79.891541072196802</v>
      </c>
      <c r="AK5525">
        <v>18.448215560387801</v>
      </c>
    </row>
    <row r="5526" spans="1:37" x14ac:dyDescent="0.2">
      <c r="A5526" t="str">
        <f>"20200111155705814"</f>
        <v>20200111155705814</v>
      </c>
      <c r="B5526" t="str">
        <f>"1578729425809137"</f>
        <v>1578729425809137</v>
      </c>
      <c r="C5526" t="s">
        <v>37</v>
      </c>
      <c r="D5526">
        <v>4.9893960000000002</v>
      </c>
      <c r="E5526">
        <v>0.55212689999999998</v>
      </c>
      <c r="F5526" t="s">
        <v>39</v>
      </c>
      <c r="G5526">
        <v>-316.3021</v>
      </c>
      <c r="H5526">
        <v>-0.05</v>
      </c>
      <c r="I5526">
        <v>15.53505</v>
      </c>
      <c r="J5526">
        <v>-334.75450000000001</v>
      </c>
      <c r="K5526">
        <v>1.103656</v>
      </c>
      <c r="L5526">
        <v>18.377960000000002</v>
      </c>
      <c r="M5526">
        <v>0.99961730000000004</v>
      </c>
      <c r="N5526">
        <v>0</v>
      </c>
      <c r="O5526">
        <v>2.3927339999999998E-2</v>
      </c>
      <c r="P5526">
        <v>0.99986430000000004</v>
      </c>
      <c r="Q5526">
        <v>-3.5876419999999998E-3</v>
      </c>
      <c r="R5526">
        <v>-1.607944E-2</v>
      </c>
      <c r="S5526">
        <v>2.9929199999999998</v>
      </c>
      <c r="T5526">
        <v>-0.18585360000000001</v>
      </c>
      <c r="U5526">
        <v>-0.45764159999999998</v>
      </c>
      <c r="V5526">
        <v>4.003375E-2</v>
      </c>
      <c r="W5526">
        <v>1.0167249999999999E-2</v>
      </c>
      <c r="X5526">
        <v>0.9991466</v>
      </c>
      <c r="Y5526">
        <v>0.17438909999999999</v>
      </c>
      <c r="Z5526">
        <v>-6.8547699999999996E-3</v>
      </c>
      <c r="AA5526">
        <v>0.98465290000000005</v>
      </c>
      <c r="AB5526">
        <v>25</v>
      </c>
      <c r="AC5526">
        <v>18.452400000000001</v>
      </c>
      <c r="AD5526">
        <v>-1.153656</v>
      </c>
      <c r="AE5526">
        <v>-2.8429099999999998</v>
      </c>
      <c r="AF5526">
        <v>3.2711653581882598</v>
      </c>
      <c r="AG5526">
        <v>-1.153656</v>
      </c>
      <c r="AH5526">
        <v>18.309178130980399</v>
      </c>
      <c r="AI5526">
        <v>93.549367634179404</v>
      </c>
      <c r="AJ5526">
        <v>79.870266144201196</v>
      </c>
      <c r="AK5526">
        <v>18.6348450167668</v>
      </c>
    </row>
    <row r="5527" spans="1:37" x14ac:dyDescent="0.2">
      <c r="A5527" t="str">
        <f>"20200111155705826"</f>
        <v>20200111155705826</v>
      </c>
      <c r="B5527" t="str">
        <f>"1578729425818897"</f>
        <v>1578729425818897</v>
      </c>
      <c r="C5527" t="s">
        <v>37</v>
      </c>
      <c r="D5527">
        <v>5.0137749999999999</v>
      </c>
      <c r="E5527">
        <v>0.55210419999999905</v>
      </c>
      <c r="F5527" t="s">
        <v>39</v>
      </c>
      <c r="G5527">
        <v>-316.11579999999998</v>
      </c>
      <c r="H5527">
        <v>-0.05</v>
      </c>
      <c r="I5527">
        <v>15.5020899999999</v>
      </c>
      <c r="J5527">
        <v>-334.6311</v>
      </c>
      <c r="K5527">
        <v>1.1036379999999999</v>
      </c>
      <c r="L5527">
        <v>18.379850000000001</v>
      </c>
      <c r="M5527">
        <v>0.99963959999999996</v>
      </c>
      <c r="N5527">
        <v>0</v>
      </c>
      <c r="O5527">
        <v>2.2970709999999998E-2</v>
      </c>
      <c r="P5527">
        <v>0.99984229999999996</v>
      </c>
      <c r="Q5527">
        <v>-3.2604800000000001E-3</v>
      </c>
      <c r="R5527">
        <v>-1.745998E-2</v>
      </c>
      <c r="S5527">
        <v>2.9923099999999998</v>
      </c>
      <c r="T5527">
        <v>-0.18521109999999999</v>
      </c>
      <c r="U5527">
        <v>-0.46170040000000001</v>
      </c>
      <c r="V5527">
        <v>4.0458590000000003E-2</v>
      </c>
      <c r="W5527">
        <v>1.049053E-2</v>
      </c>
      <c r="X5527">
        <v>0.99912610000000002</v>
      </c>
      <c r="Y5527">
        <v>0.1747852</v>
      </c>
      <c r="Z5527">
        <v>-6.7851200000000004E-3</v>
      </c>
      <c r="AA5527">
        <v>0.98458319999999999</v>
      </c>
      <c r="AB5527">
        <v>25</v>
      </c>
      <c r="AC5527">
        <v>18.5153</v>
      </c>
      <c r="AD5527">
        <v>-1.1536379999999999</v>
      </c>
      <c r="AE5527">
        <v>-2.8777599999999999</v>
      </c>
      <c r="AF5527">
        <v>3.28988045499892</v>
      </c>
      <c r="AG5527">
        <v>-1.1536379999999999</v>
      </c>
      <c r="AH5527">
        <v>18.374651575199898</v>
      </c>
      <c r="AI5527">
        <v>93.536463986885096</v>
      </c>
      <c r="AJ5527">
        <v>79.849062652109893</v>
      </c>
      <c r="AK5527">
        <v>18.702460120348501</v>
      </c>
    </row>
    <row r="5528" spans="1:37" x14ac:dyDescent="0.2">
      <c r="A5528" t="str">
        <f>"20200111155705837"</f>
        <v>20200111155705837</v>
      </c>
      <c r="B5528" t="str">
        <f>"1578729425828657"</f>
        <v>1578729425828657</v>
      </c>
      <c r="C5528" t="s">
        <v>37</v>
      </c>
      <c r="D5528">
        <v>5.0259710000000002</v>
      </c>
      <c r="E5528">
        <v>0.55203559999999996</v>
      </c>
      <c r="F5528" t="s">
        <v>39</v>
      </c>
      <c r="G5528">
        <v>-315.89670000000001</v>
      </c>
      <c r="H5528">
        <v>-0.05</v>
      </c>
      <c r="I5528">
        <v>15.463620000000001</v>
      </c>
      <c r="J5528">
        <v>-334.50420000000003</v>
      </c>
      <c r="K5528">
        <v>1.1036159999999999</v>
      </c>
      <c r="L5528">
        <v>18.381769999999999</v>
      </c>
      <c r="M5528">
        <v>0.99966200000000005</v>
      </c>
      <c r="N5528">
        <v>0</v>
      </c>
      <c r="O5528">
        <v>2.197961E-2</v>
      </c>
      <c r="P5528">
        <v>0.99981790000000004</v>
      </c>
      <c r="Q5528">
        <v>-3.0372720000000001E-3</v>
      </c>
      <c r="R5528">
        <v>-1.88497E-2</v>
      </c>
      <c r="S5528">
        <v>2.99173</v>
      </c>
      <c r="T5528">
        <v>-0.18422649999999999</v>
      </c>
      <c r="U5528">
        <v>-0.46569820000000001</v>
      </c>
      <c r="V5528">
        <v>4.0858029999999997E-2</v>
      </c>
      <c r="W5528">
        <v>1.071034E-2</v>
      </c>
      <c r="X5528">
        <v>0.99910750000000004</v>
      </c>
      <c r="Y5528">
        <v>0.1751277</v>
      </c>
      <c r="Z5528">
        <v>-6.6995459999999998E-3</v>
      </c>
      <c r="AA5528">
        <v>0.98452289999999998</v>
      </c>
      <c r="AB5528">
        <v>25</v>
      </c>
      <c r="AC5528">
        <v>18.607500000000002</v>
      </c>
      <c r="AD5528">
        <v>-1.153616</v>
      </c>
      <c r="AE5528">
        <v>-2.91814999999999</v>
      </c>
      <c r="AF5528">
        <v>3.3140376052955598</v>
      </c>
      <c r="AG5528">
        <v>-1.153616</v>
      </c>
      <c r="AH5528">
        <v>18.469571017455198</v>
      </c>
      <c r="AI5528">
        <v>93.518031786794594</v>
      </c>
      <c r="AJ5528">
        <v>79.827535420002903</v>
      </c>
      <c r="AK5528">
        <v>18.7999661886289</v>
      </c>
    </row>
    <row r="5529" spans="1:37" x14ac:dyDescent="0.2">
      <c r="A5529" t="str">
        <f>"20200111155705849"</f>
        <v>20200111155705849</v>
      </c>
      <c r="B5529" t="str">
        <f>"1578729425838416"</f>
        <v>1578729425838416</v>
      </c>
      <c r="C5529" t="s">
        <v>37</v>
      </c>
      <c r="D5529">
        <v>5.0262630000000001</v>
      </c>
      <c r="E5529">
        <v>0.55196859999999903</v>
      </c>
      <c r="F5529" t="s">
        <v>39</v>
      </c>
      <c r="G5529">
        <v>-315.76569999999998</v>
      </c>
      <c r="H5529">
        <v>-0.05</v>
      </c>
      <c r="I5529">
        <v>15.442179999999899</v>
      </c>
      <c r="J5529">
        <v>-334.37569999999999</v>
      </c>
      <c r="K5529">
        <v>1.103593</v>
      </c>
      <c r="L5529">
        <v>18.38345</v>
      </c>
      <c r="M5529">
        <v>0.99968419999999902</v>
      </c>
      <c r="N5529">
        <v>0</v>
      </c>
      <c r="O5529">
        <v>2.0945099999999901E-2</v>
      </c>
      <c r="P5529">
        <v>0.99979229999999997</v>
      </c>
      <c r="Q5529">
        <v>-2.7947850000000002E-3</v>
      </c>
      <c r="R5529">
        <v>-2.0198029999999999E-2</v>
      </c>
      <c r="S5529">
        <v>2.9911500000000002</v>
      </c>
      <c r="T5529">
        <v>-0.18414739999999999</v>
      </c>
      <c r="U5529">
        <v>-0.4692383</v>
      </c>
      <c r="V5529">
        <v>4.1172840000000002E-2</v>
      </c>
      <c r="W5529">
        <v>1.09497E-2</v>
      </c>
      <c r="X5529">
        <v>0.99909199999999998</v>
      </c>
      <c r="Y5529">
        <v>0.17527719999999999</v>
      </c>
      <c r="Z5529">
        <v>-6.6386319999999898E-3</v>
      </c>
      <c r="AA5529">
        <v>0.984496699999999</v>
      </c>
      <c r="AB5529">
        <v>25</v>
      </c>
      <c r="AC5529">
        <v>18.61</v>
      </c>
      <c r="AD5529">
        <v>-1.1535930000000001</v>
      </c>
      <c r="AE5529">
        <v>-2.9412699999999998</v>
      </c>
      <c r="AF5529">
        <v>3.3180118225490398</v>
      </c>
      <c r="AG5529">
        <v>-1.1535930000000001</v>
      </c>
      <c r="AH5529">
        <v>18.475045475048798</v>
      </c>
      <c r="AI5529">
        <v>93.516823211206002</v>
      </c>
      <c r="AJ5529">
        <v>79.818546384199607</v>
      </c>
      <c r="AK5529">
        <v>18.806043830889799</v>
      </c>
    </row>
    <row r="5530" spans="1:37" x14ac:dyDescent="0.2">
      <c r="A5530" t="str">
        <f>"20200111155705861"</f>
        <v>20200111155705861</v>
      </c>
      <c r="B5530" t="str">
        <f>"1578729425849153"</f>
        <v>1578729425849153</v>
      </c>
      <c r="C5530" t="s">
        <v>37</v>
      </c>
      <c r="D5530">
        <v>5.034484</v>
      </c>
      <c r="E5530">
        <v>0.5519155</v>
      </c>
      <c r="F5530" t="s">
        <v>39</v>
      </c>
      <c r="G5530">
        <v>-315.58019999999999</v>
      </c>
      <c r="H5530">
        <v>-0.05</v>
      </c>
      <c r="I5530">
        <v>15.412459999999999</v>
      </c>
      <c r="J5530">
        <v>-334.2473</v>
      </c>
      <c r="K5530">
        <v>1.1035740000000001</v>
      </c>
      <c r="L5530">
        <v>18.38504</v>
      </c>
      <c r="M5530">
        <v>0.99970559999999997</v>
      </c>
      <c r="N5530">
        <v>0</v>
      </c>
      <c r="O5530">
        <v>1.9902489999999998E-2</v>
      </c>
      <c r="P5530">
        <v>0.99976769999999904</v>
      </c>
      <c r="Q5530">
        <v>-2.7940700000000001E-3</v>
      </c>
      <c r="R5530">
        <v>-2.1376249999999999E-2</v>
      </c>
      <c r="S5530">
        <v>2.99057</v>
      </c>
      <c r="T5530">
        <v>-0.18354889999999999</v>
      </c>
      <c r="U5530">
        <v>-0.47271729999999901</v>
      </c>
      <c r="V5530">
        <v>4.1309110000000003E-2</v>
      </c>
      <c r="W5530">
        <v>1.0947790000000001E-2</v>
      </c>
      <c r="X5530">
        <v>0.99908639999999904</v>
      </c>
      <c r="Y5530">
        <v>0.17540129999999901</v>
      </c>
      <c r="Z5530">
        <v>-6.5579690000000003E-3</v>
      </c>
      <c r="AA5530">
        <v>0.98447519999999999</v>
      </c>
      <c r="AB5530">
        <v>25</v>
      </c>
      <c r="AC5530">
        <v>18.667100000000001</v>
      </c>
      <c r="AD5530">
        <v>-1.1535740000000001</v>
      </c>
      <c r="AE5530">
        <v>-2.97257999999999</v>
      </c>
      <c r="AF5530">
        <v>3.3311419901154098</v>
      </c>
      <c r="AG5530">
        <v>-1.1535740000000001</v>
      </c>
      <c r="AH5530">
        <v>18.5352010131291</v>
      </c>
      <c r="AI5530">
        <v>93.505303977645696</v>
      </c>
      <c r="AJ5530">
        <v>79.811579363968903</v>
      </c>
      <c r="AK5530">
        <v>18.867456546362799</v>
      </c>
    </row>
    <row r="5531" spans="1:37" x14ac:dyDescent="0.2">
      <c r="A5531" t="str">
        <f>"20200111155705873"</f>
        <v>20200111155705873</v>
      </c>
      <c r="B5531" t="str">
        <f>"1578729425868673"</f>
        <v>1578729425868673</v>
      </c>
      <c r="C5531" t="s">
        <v>37</v>
      </c>
      <c r="D5531">
        <v>5.0018909999999996</v>
      </c>
      <c r="E5531">
        <v>0.55185660000000003</v>
      </c>
      <c r="F5531" t="s">
        <v>39</v>
      </c>
      <c r="G5531">
        <v>-315.4572</v>
      </c>
      <c r="H5531">
        <v>-0.05</v>
      </c>
      <c r="I5531">
        <v>15.394410000000001</v>
      </c>
      <c r="J5531">
        <v>-334.11180000000002</v>
      </c>
      <c r="K5531">
        <v>1.1035489999999999</v>
      </c>
      <c r="L5531">
        <v>18.38654</v>
      </c>
      <c r="M5531">
        <v>0.99972719999999904</v>
      </c>
      <c r="N5531">
        <v>0</v>
      </c>
      <c r="O5531">
        <v>1.87767E-2</v>
      </c>
      <c r="P5531">
        <v>0.99974039999999997</v>
      </c>
      <c r="Q5531">
        <v>-2.5215339999999902E-3</v>
      </c>
      <c r="R5531">
        <v>-2.264441E-2</v>
      </c>
      <c r="S5531">
        <v>2.990021</v>
      </c>
      <c r="T5531">
        <v>-0.183564899999999</v>
      </c>
      <c r="U5531">
        <v>-0.47589110000000001</v>
      </c>
      <c r="V5531">
        <v>4.1452900000000001E-2</v>
      </c>
      <c r="W5531">
        <v>1.1217660000000001E-2</v>
      </c>
      <c r="X5531">
        <v>0.99907749999999995</v>
      </c>
      <c r="Y5531">
        <v>0.1753421</v>
      </c>
      <c r="Z5531">
        <v>-6.4887159999999899E-3</v>
      </c>
      <c r="AA5531">
        <v>0.98448619999999898</v>
      </c>
      <c r="AB5531">
        <v>25</v>
      </c>
      <c r="AC5531">
        <v>18.654599999999999</v>
      </c>
      <c r="AD5531">
        <v>-1.1535489999999999</v>
      </c>
      <c r="AE5531">
        <v>-2.9921299999999902</v>
      </c>
      <c r="AF5531">
        <v>3.3294958725347898</v>
      </c>
      <c r="AG5531">
        <v>-1.1535489999999999</v>
      </c>
      <c r="AH5531">
        <v>18.5260588935713</v>
      </c>
      <c r="AI5531">
        <v>93.506953724133993</v>
      </c>
      <c r="AJ5531">
        <v>79.811588645387403</v>
      </c>
      <c r="AK5531">
        <v>18.858183268509698</v>
      </c>
    </row>
    <row r="5532" spans="1:37" x14ac:dyDescent="0.2">
      <c r="A5532" t="str">
        <f>"20200111155705884"</f>
        <v>20200111155705884</v>
      </c>
      <c r="B5532" t="str">
        <f>"1578729425878432"</f>
        <v>1578729425878432</v>
      </c>
      <c r="C5532" t="s">
        <v>37</v>
      </c>
      <c r="D5532">
        <v>5.1035760000000003</v>
      </c>
      <c r="E5532">
        <v>0.55188740000000003</v>
      </c>
      <c r="F5532" t="s">
        <v>39</v>
      </c>
      <c r="G5532">
        <v>-315.27760000000001</v>
      </c>
      <c r="H5532">
        <v>-0.05</v>
      </c>
      <c r="I5532">
        <v>15.36679</v>
      </c>
      <c r="J5532">
        <v>-333.98379999999997</v>
      </c>
      <c r="K5532">
        <v>1.1035280000000001</v>
      </c>
      <c r="L5532">
        <v>18.38776</v>
      </c>
      <c r="M5532">
        <v>0.99974689999999999</v>
      </c>
      <c r="N5532">
        <v>0</v>
      </c>
      <c r="O5532">
        <v>1.7697930000000001E-2</v>
      </c>
      <c r="P5532">
        <v>0.99971339999999997</v>
      </c>
      <c r="Q5532">
        <v>-2.208387E-3</v>
      </c>
      <c r="R5532">
        <v>-2.3844310000000001E-2</v>
      </c>
      <c r="S5532">
        <v>2.989471</v>
      </c>
      <c r="T5532">
        <v>-0.18309829999999999</v>
      </c>
      <c r="U5532">
        <v>-0.47930909999999899</v>
      </c>
      <c r="V5532">
        <v>4.1575639999999997E-2</v>
      </c>
      <c r="W5532">
        <v>1.152806E-2</v>
      </c>
      <c r="X5532">
        <v>0.99906890000000004</v>
      </c>
      <c r="Y5532">
        <v>0.17540910000000001</v>
      </c>
      <c r="Z5532">
        <v>-6.4092439999999997E-3</v>
      </c>
      <c r="AA5532">
        <v>0.98447479999999998</v>
      </c>
      <c r="AB5532">
        <v>25</v>
      </c>
      <c r="AC5532">
        <v>18.7061999999999</v>
      </c>
      <c r="AD5532">
        <v>-1.1535280000000001</v>
      </c>
      <c r="AE5532">
        <v>-3.0209700000000002</v>
      </c>
      <c r="AF5532">
        <v>3.3392146428393299</v>
      </c>
      <c r="AG5532">
        <v>-1.1535280000000001</v>
      </c>
      <c r="AH5532">
        <v>18.5809389197209</v>
      </c>
      <c r="AI5532">
        <v>93.496562659159906</v>
      </c>
      <c r="AJ5532">
        <v>79.812019522790195</v>
      </c>
      <c r="AK5532">
        <v>18.913811683955601</v>
      </c>
    </row>
    <row r="5533" spans="1:37" x14ac:dyDescent="0.2">
      <c r="A5533" t="str">
        <f>"20200111155705896"</f>
        <v>20200111155705896</v>
      </c>
      <c r="B5533" t="str">
        <f>"1578729425889169"</f>
        <v>1578729425889169</v>
      </c>
      <c r="C5533" t="s">
        <v>37</v>
      </c>
      <c r="D5533">
        <v>4.9980549999999999</v>
      </c>
      <c r="E5533">
        <v>0.55182509999999996</v>
      </c>
      <c r="F5533" t="s">
        <v>39</v>
      </c>
      <c r="G5533">
        <v>-315.01710000000003</v>
      </c>
      <c r="H5533">
        <v>-0.05</v>
      </c>
      <c r="I5533">
        <v>15.321619999999999</v>
      </c>
      <c r="J5533">
        <v>-333.85379999999998</v>
      </c>
      <c r="K5533">
        <v>1.10351</v>
      </c>
      <c r="L5533">
        <v>18.388919999999999</v>
      </c>
      <c r="M5533">
        <v>0.99976599999999904</v>
      </c>
      <c r="N5533">
        <v>0</v>
      </c>
      <c r="O5533">
        <v>1.6588769999999999E-2</v>
      </c>
      <c r="P5533">
        <v>0.99969149999999996</v>
      </c>
      <c r="Q5533">
        <v>-2.055823E-3</v>
      </c>
      <c r="R5533">
        <v>-2.475511E-2</v>
      </c>
      <c r="S5533">
        <v>2.9889220000000001</v>
      </c>
      <c r="T5533">
        <v>-0.18178150000000001</v>
      </c>
      <c r="U5533">
        <v>-0.48318479999999903</v>
      </c>
      <c r="V5533">
        <v>4.137855E-2</v>
      </c>
      <c r="W5533">
        <v>1.1679210000000001E-2</v>
      </c>
      <c r="X5533">
        <v>0.9990753</v>
      </c>
      <c r="Y5533">
        <v>0.17559620000000001</v>
      </c>
      <c r="Z5533">
        <v>-6.3023860000000001E-3</v>
      </c>
      <c r="AA5533">
        <v>0.98444209999999999</v>
      </c>
      <c r="AB5533">
        <v>25</v>
      </c>
      <c r="AC5533">
        <v>18.836699999999901</v>
      </c>
      <c r="AD5533">
        <v>-1.15351</v>
      </c>
      <c r="AE5533">
        <v>-3.0672999999999999</v>
      </c>
      <c r="AF5533">
        <v>3.36708518611001</v>
      </c>
      <c r="AG5533">
        <v>-1.15351</v>
      </c>
      <c r="AH5533">
        <v>18.714851713701801</v>
      </c>
      <c r="AI5533">
        <v>93.471427991471501</v>
      </c>
      <c r="AJ5533">
        <v>79.800735819789793</v>
      </c>
      <c r="AK5533">
        <v>19.050289305846999</v>
      </c>
    </row>
    <row r="5534" spans="1:37" x14ac:dyDescent="0.2">
      <c r="A5534" t="str">
        <f>"20200111155705913"</f>
        <v>20200111155705913</v>
      </c>
      <c r="B5534" t="str">
        <f>"1578729425908688"</f>
        <v>1578729425908688</v>
      </c>
      <c r="C5534" t="s">
        <v>37</v>
      </c>
      <c r="D5534">
        <v>5.0326360000000001</v>
      </c>
      <c r="E5534">
        <v>0.55168549999999905</v>
      </c>
      <c r="F5534" t="s">
        <v>39</v>
      </c>
      <c r="G5534">
        <v>-314.85590000000002</v>
      </c>
      <c r="H5534">
        <v>-0.05</v>
      </c>
      <c r="I5534">
        <v>15.3024</v>
      </c>
      <c r="J5534">
        <v>-333.66820000000001</v>
      </c>
      <c r="K5534">
        <v>1.103485</v>
      </c>
      <c r="L5534">
        <v>18.3902</v>
      </c>
      <c r="M5534">
        <v>0.9997914</v>
      </c>
      <c r="N5534">
        <v>0</v>
      </c>
      <c r="O5534">
        <v>1.497268E-2</v>
      </c>
      <c r="P5534">
        <v>0.99964549999999996</v>
      </c>
      <c r="Q5534">
        <v>-1.6033600000000001E-3</v>
      </c>
      <c r="R5534">
        <v>-2.6582120000000001E-2</v>
      </c>
      <c r="S5534">
        <v>2.9885250000000001</v>
      </c>
      <c r="T5534">
        <v>-0.18145639999999999</v>
      </c>
      <c r="U5534">
        <v>-0.48553469999999999</v>
      </c>
      <c r="V5534">
        <v>4.1591870000000003E-2</v>
      </c>
      <c r="W5534">
        <v>1.2128359999999999E-2</v>
      </c>
      <c r="X5534">
        <v>0.99906099999999998</v>
      </c>
      <c r="Y5534">
        <v>0.17478529999999901</v>
      </c>
      <c r="Z5534">
        <v>-6.1696709999999998E-3</v>
      </c>
      <c r="AA5534">
        <v>0.98458729999999905</v>
      </c>
      <c r="AB5534">
        <v>25</v>
      </c>
      <c r="AC5534">
        <v>18.8123</v>
      </c>
      <c r="AD5534">
        <v>-1.1534850000000001</v>
      </c>
      <c r="AE5534">
        <v>-3.0878000000000001</v>
      </c>
      <c r="AF5534">
        <v>3.3568622028654</v>
      </c>
      <c r="AG5534">
        <v>-1.1534850000000001</v>
      </c>
      <c r="AH5534">
        <v>18.6955102363588</v>
      </c>
      <c r="AI5534">
        <v>93.475153132097802</v>
      </c>
      <c r="AJ5534">
        <v>79.820754747900693</v>
      </c>
      <c r="AK5534">
        <v>19.029481193454799</v>
      </c>
    </row>
    <row r="5535" spans="1:37" x14ac:dyDescent="0.2">
      <c r="A5535" t="str">
        <f>"20200111155705925"</f>
        <v>20200111155705925</v>
      </c>
      <c r="B5535" t="str">
        <f>"1578729425918449"</f>
        <v>1578729425918449</v>
      </c>
      <c r="C5535" t="s">
        <v>37</v>
      </c>
      <c r="D5535">
        <v>4.9015510000000004</v>
      </c>
      <c r="E5535">
        <v>0.55168549999999905</v>
      </c>
      <c r="F5535" t="s">
        <v>39</v>
      </c>
      <c r="G5535">
        <v>-314.52120000000002</v>
      </c>
      <c r="H5535">
        <v>-0.05</v>
      </c>
      <c r="I5535">
        <v>15.24968</v>
      </c>
      <c r="J5535">
        <v>-333.5342</v>
      </c>
      <c r="K5535">
        <v>1.103464</v>
      </c>
      <c r="L5535">
        <v>18.390929999999901</v>
      </c>
      <c r="M5535">
        <v>0.99980840000000004</v>
      </c>
      <c r="N5535">
        <v>0</v>
      </c>
      <c r="O5535">
        <v>1.378943E-2</v>
      </c>
      <c r="P5535">
        <v>0.99962229999999996</v>
      </c>
      <c r="Q5535">
        <v>-1.4271749999999999E-3</v>
      </c>
      <c r="R5535">
        <v>-2.7447590000000001E-2</v>
      </c>
      <c r="S5535">
        <v>2.9877319999999998</v>
      </c>
      <c r="T5535">
        <v>-0.1799916</v>
      </c>
      <c r="U5535">
        <v>-0.49005129999999902</v>
      </c>
      <c r="V5535">
        <v>4.127571E-2</v>
      </c>
      <c r="W5535">
        <v>1.2303339999999999E-2</v>
      </c>
      <c r="X5535">
        <v>0.99907199999999996</v>
      </c>
      <c r="Y5535">
        <v>0.1751182</v>
      </c>
      <c r="Z5535">
        <v>-6.0599800000000004E-3</v>
      </c>
      <c r="AA5535">
        <v>0.98452879999999998</v>
      </c>
      <c r="AB5535">
        <v>25</v>
      </c>
      <c r="AC5535">
        <v>19.012999999999899</v>
      </c>
      <c r="AD5535">
        <v>-1.153464</v>
      </c>
      <c r="AE5535">
        <v>-3.1412499999999901</v>
      </c>
      <c r="AF5535">
        <v>3.3910060398853599</v>
      </c>
      <c r="AG5535">
        <v>-1.153464</v>
      </c>
      <c r="AH5535">
        <v>18.900157997730499</v>
      </c>
      <c r="AI5535">
        <v>93.437635128255494</v>
      </c>
      <c r="AJ5535">
        <v>79.828395292437094</v>
      </c>
      <c r="AK5535">
        <v>19.236563453512499</v>
      </c>
    </row>
    <row r="5536" spans="1:37" x14ac:dyDescent="0.2">
      <c r="A5536" t="str">
        <f>"20200111155705936"</f>
        <v>20200111155705936</v>
      </c>
      <c r="B5536" t="str">
        <f>"1578729425929184"</f>
        <v>1578729425929184</v>
      </c>
      <c r="C5536" t="s">
        <v>37</v>
      </c>
      <c r="D5536">
        <v>5.0102229999999999</v>
      </c>
      <c r="E5536">
        <v>0.55162979999999995</v>
      </c>
      <c r="F5536" t="s">
        <v>39</v>
      </c>
      <c r="G5536">
        <v>-314.30959999999999</v>
      </c>
      <c r="H5536">
        <v>-0.05</v>
      </c>
      <c r="I5536">
        <v>15.220379999999899</v>
      </c>
      <c r="J5536">
        <v>-333.40120000000002</v>
      </c>
      <c r="K5536">
        <v>1.1034489999999999</v>
      </c>
      <c r="L5536">
        <v>18.391539999999999</v>
      </c>
      <c r="M5536">
        <v>0.99982409999999999</v>
      </c>
      <c r="N5536">
        <v>0</v>
      </c>
      <c r="O5536">
        <v>1.2602449999999999E-2</v>
      </c>
      <c r="P5536">
        <v>0.99959039999999999</v>
      </c>
      <c r="Q5536">
        <v>-1.1612689999999999E-3</v>
      </c>
      <c r="R5536">
        <v>-2.8604170000000002E-2</v>
      </c>
      <c r="S5536">
        <v>2.9873349999999999</v>
      </c>
      <c r="T5536">
        <v>-0.1792376</v>
      </c>
      <c r="U5536">
        <v>-0.4926758</v>
      </c>
      <c r="V5536">
        <v>4.1246869999999998E-2</v>
      </c>
      <c r="W5536">
        <v>1.2567490000000001E-2</v>
      </c>
      <c r="X5536">
        <v>0.99906989999999996</v>
      </c>
      <c r="Y5536">
        <v>0.1748178</v>
      </c>
      <c r="Z5536">
        <v>-5.9553439999999996E-3</v>
      </c>
      <c r="AA5536">
        <v>0.98458279999999998</v>
      </c>
      <c r="AB5536">
        <v>25</v>
      </c>
      <c r="AC5536">
        <v>19.0916</v>
      </c>
      <c r="AD5536">
        <v>-1.1534489999999999</v>
      </c>
      <c r="AE5536">
        <v>-3.17116</v>
      </c>
      <c r="AF5536">
        <v>3.39945685844163</v>
      </c>
      <c r="AG5536">
        <v>-1.1534489999999999</v>
      </c>
      <c r="AH5536">
        <v>18.9826858262408</v>
      </c>
      <c r="AI5536">
        <v>93.422879667093298</v>
      </c>
      <c r="AJ5536">
        <v>79.846982685624297</v>
      </c>
      <c r="AK5536">
        <v>19.319138508374799</v>
      </c>
    </row>
    <row r="5537" spans="1:37" x14ac:dyDescent="0.2">
      <c r="A5537" t="str">
        <f>"20200111155705948"</f>
        <v>20200111155705948</v>
      </c>
      <c r="B5537" t="str">
        <f>"1578729425938945"</f>
        <v>1578729425938945</v>
      </c>
      <c r="C5537" t="s">
        <v>37</v>
      </c>
      <c r="D5537">
        <v>4.9974280000000002</v>
      </c>
      <c r="E5537">
        <v>0.55158660000000004</v>
      </c>
      <c r="F5537" t="s">
        <v>39</v>
      </c>
      <c r="G5537">
        <v>-314.10270000000003</v>
      </c>
      <c r="H5537">
        <v>-0.05</v>
      </c>
      <c r="I5537">
        <v>15.18802</v>
      </c>
      <c r="J5537">
        <v>-333.27170000000001</v>
      </c>
      <c r="K5537">
        <v>1.103437</v>
      </c>
      <c r="L5537">
        <v>18.39188</v>
      </c>
      <c r="M5537">
        <v>0.99983809999999995</v>
      </c>
      <c r="N5537">
        <v>0</v>
      </c>
      <c r="O5537">
        <v>1.143043E-2</v>
      </c>
      <c r="P5537">
        <v>0.99955400000000005</v>
      </c>
      <c r="Q5537">
        <v>-1.128998E-3</v>
      </c>
      <c r="R5537">
        <v>-2.9839790000000001E-2</v>
      </c>
      <c r="S5537">
        <v>2.9868769999999998</v>
      </c>
      <c r="T5537">
        <v>-0.17852279999999901</v>
      </c>
      <c r="U5537">
        <v>-0.49581909999999901</v>
      </c>
      <c r="V5537">
        <v>4.1311550000000002E-2</v>
      </c>
      <c r="W5537">
        <v>1.259848E-2</v>
      </c>
      <c r="X5537">
        <v>0.99906689999999998</v>
      </c>
      <c r="Y5537">
        <v>0.1747013</v>
      </c>
      <c r="Z5537">
        <v>-5.8590219999999898E-3</v>
      </c>
      <c r="AA5537">
        <v>0.98460409999999898</v>
      </c>
      <c r="AB5537">
        <v>25</v>
      </c>
      <c r="AC5537">
        <v>19.168999999999901</v>
      </c>
      <c r="AD5537">
        <v>-1.153437</v>
      </c>
      <c r="AE5537">
        <v>-3.2038599999999899</v>
      </c>
      <c r="AF5537">
        <v>3.4107680643782499</v>
      </c>
      <c r="AG5537">
        <v>-1.153437</v>
      </c>
      <c r="AH5537">
        <v>19.063973873045502</v>
      </c>
      <c r="AI5537">
        <v>93.408384161626202</v>
      </c>
      <c r="AJ5537">
        <v>79.856435554734503</v>
      </c>
      <c r="AK5537">
        <v>19.4010014054459</v>
      </c>
    </row>
    <row r="5538" spans="1:37" x14ac:dyDescent="0.2">
      <c r="A5538" t="str">
        <f>"20200111155705961"</f>
        <v>20200111155705961</v>
      </c>
      <c r="B5538" t="str">
        <f>"1578729425958465"</f>
        <v>1578729425958465</v>
      </c>
      <c r="C5538" t="s">
        <v>37</v>
      </c>
      <c r="D5538">
        <v>5.0053869999999998</v>
      </c>
      <c r="E5538">
        <v>0.55161470000000001</v>
      </c>
      <c r="F5538" t="s">
        <v>39</v>
      </c>
      <c r="G5538">
        <v>-314.0213</v>
      </c>
      <c r="H5538">
        <v>-0.05</v>
      </c>
      <c r="I5538">
        <v>15.173779999999899</v>
      </c>
      <c r="J5538">
        <v>-333.12779999999998</v>
      </c>
      <c r="K5538">
        <v>1.103424</v>
      </c>
      <c r="L5538">
        <v>18.392119999999998</v>
      </c>
      <c r="M5538">
        <v>0.99985239999999997</v>
      </c>
      <c r="N5538">
        <v>0</v>
      </c>
      <c r="O5538">
        <v>1.012067E-2</v>
      </c>
      <c r="P5538">
        <v>0.999517199999999</v>
      </c>
      <c r="Q5538">
        <v>-1.155211E-3</v>
      </c>
      <c r="R5538">
        <v>-3.1054180000000001E-2</v>
      </c>
      <c r="S5538">
        <v>2.9862060000000001</v>
      </c>
      <c r="T5538">
        <v>-0.17892669999999999</v>
      </c>
      <c r="U5538">
        <v>-0.499206499999999</v>
      </c>
      <c r="V5538">
        <v>4.1216940000000001E-2</v>
      </c>
      <c r="W5538">
        <v>1.257083E-2</v>
      </c>
      <c r="X5538">
        <v>0.99907109999999899</v>
      </c>
      <c r="Y5538">
        <v>0.1745351</v>
      </c>
      <c r="Z5538">
        <v>-5.7901649999999999E-3</v>
      </c>
      <c r="AA5538">
        <v>0.98463389999999995</v>
      </c>
      <c r="AB5538">
        <v>25</v>
      </c>
      <c r="AC5538">
        <v>19.106499999999901</v>
      </c>
      <c r="AD5538">
        <v>-1.153424</v>
      </c>
      <c r="AE5538">
        <v>-3.21834</v>
      </c>
      <c r="AF5538">
        <v>3.3995172639887001</v>
      </c>
      <c r="AG5538">
        <v>-1.153424</v>
      </c>
      <c r="AH5538">
        <v>19.005594974583701</v>
      </c>
      <c r="AI5538">
        <v>93.418815430453407</v>
      </c>
      <c r="AJ5538">
        <v>79.858790424768998</v>
      </c>
      <c r="AK5538">
        <v>19.341658276627999</v>
      </c>
    </row>
    <row r="5539" spans="1:37" x14ac:dyDescent="0.2">
      <c r="A5539" t="str">
        <f>"20200111155705973"</f>
        <v>20200111155705973</v>
      </c>
      <c r="B5539" t="str">
        <f>"1578729425969200"</f>
        <v>1578729425969200</v>
      </c>
      <c r="C5539" t="s">
        <v>37</v>
      </c>
      <c r="D5539">
        <v>5.0933820000000001</v>
      </c>
      <c r="E5539">
        <v>0.55159190000000002</v>
      </c>
      <c r="F5539" t="s">
        <v>39</v>
      </c>
      <c r="G5539">
        <v>-313.88720000000001</v>
      </c>
      <c r="H5539">
        <v>-0.05</v>
      </c>
      <c r="I5539">
        <v>15.149839999999999</v>
      </c>
      <c r="J5539">
        <v>-332.99650000000003</v>
      </c>
      <c r="K5539">
        <v>1.1034109999999999</v>
      </c>
      <c r="L5539">
        <v>18.392119999999998</v>
      </c>
      <c r="M5539">
        <v>0.99986390000000003</v>
      </c>
      <c r="N5539">
        <v>0</v>
      </c>
      <c r="O5539">
        <v>8.9133140000000003E-3</v>
      </c>
      <c r="P5539">
        <v>0.99946990000000002</v>
      </c>
      <c r="Q5539">
        <v>-1.0463289999999999E-3</v>
      </c>
      <c r="R5539">
        <v>-3.2542429999999997E-2</v>
      </c>
      <c r="S5539">
        <v>2.9856259999999999</v>
      </c>
      <c r="T5539">
        <v>-0.1789801</v>
      </c>
      <c r="U5539">
        <v>-0.50311279999999903</v>
      </c>
      <c r="V5539">
        <v>4.1498899999999998E-2</v>
      </c>
      <c r="W5539">
        <v>1.2676679999999999E-2</v>
      </c>
      <c r="X5539">
        <v>0.99905809999999995</v>
      </c>
      <c r="Y5539">
        <v>0.17463199999999901</v>
      </c>
      <c r="Z5539">
        <v>-5.7234139999999996E-3</v>
      </c>
      <c r="AA5539">
        <v>0.98461710000000002</v>
      </c>
      <c r="AB5539">
        <v>25</v>
      </c>
      <c r="AC5539">
        <v>19.109300000000001</v>
      </c>
      <c r="AD5539">
        <v>-1.153411</v>
      </c>
      <c r="AE5539">
        <v>-3.2422800000000001</v>
      </c>
      <c r="AF5539">
        <v>3.4004530377752902</v>
      </c>
      <c r="AG5539">
        <v>-1.153411</v>
      </c>
      <c r="AH5539">
        <v>19.0123117524581</v>
      </c>
      <c r="AI5539">
        <v>93.417580304069602</v>
      </c>
      <c r="AJ5539">
        <v>79.859566178297499</v>
      </c>
      <c r="AK5539">
        <v>19.348422053741</v>
      </c>
    </row>
    <row r="5540" spans="1:37" x14ac:dyDescent="0.2">
      <c r="A5540" t="str">
        <f>"20200111155705984"</f>
        <v>20200111155705984</v>
      </c>
      <c r="B5540" t="str">
        <f>"1578729425978960"</f>
        <v>1578729425978960</v>
      </c>
      <c r="C5540" t="s">
        <v>37</v>
      </c>
      <c r="D5540">
        <v>5.0113479999999999</v>
      </c>
      <c r="E5540">
        <v>0.55161329999999997</v>
      </c>
      <c r="F5540" t="s">
        <v>39</v>
      </c>
      <c r="G5540">
        <v>-313.72460000000001</v>
      </c>
      <c r="H5540">
        <v>-0.05</v>
      </c>
      <c r="I5540">
        <v>15.116</v>
      </c>
      <c r="J5540">
        <v>-332.86329999999998</v>
      </c>
      <c r="K5540">
        <v>1.1034029999999999</v>
      </c>
      <c r="L5540">
        <v>18.391999999999999</v>
      </c>
      <c r="M5540">
        <v>0.99987409999999999</v>
      </c>
      <c r="N5540">
        <v>0</v>
      </c>
      <c r="O5540">
        <v>7.6814419999999897E-3</v>
      </c>
      <c r="P5540">
        <v>0.99942160000000002</v>
      </c>
      <c r="Q5540">
        <v>-1.365502E-3</v>
      </c>
      <c r="R5540">
        <v>-3.3983010000000001E-2</v>
      </c>
      <c r="S5540">
        <v>2.9848939999999899</v>
      </c>
      <c r="T5540">
        <v>-0.17864379999999999</v>
      </c>
      <c r="U5540">
        <v>-0.50741579999999997</v>
      </c>
      <c r="V5540">
        <v>4.1707109999999999E-2</v>
      </c>
      <c r="W5540">
        <v>1.235579E-2</v>
      </c>
      <c r="X5540">
        <v>0.99905350000000004</v>
      </c>
      <c r="Y5540">
        <v>0.17484140000000001</v>
      </c>
      <c r="Z5540">
        <v>-5.6464289999999997E-3</v>
      </c>
      <c r="AA5540">
        <v>0.98458040000000002</v>
      </c>
      <c r="AB5540">
        <v>25</v>
      </c>
      <c r="AC5540">
        <v>19.138699999999901</v>
      </c>
      <c r="AD5540">
        <v>-1.153403</v>
      </c>
      <c r="AE5540">
        <v>-3.2759999999999998</v>
      </c>
      <c r="AF5540">
        <v>3.4108948271644599</v>
      </c>
      <c r="AG5540">
        <v>-1.153403</v>
      </c>
      <c r="AH5540">
        <v>19.045764613547</v>
      </c>
      <c r="AI5540">
        <v>93.411429923752095</v>
      </c>
      <c r="AJ5540">
        <v>79.846569667877205</v>
      </c>
      <c r="AK5540">
        <v>19.3831290486604</v>
      </c>
    </row>
    <row r="5541" spans="1:37" x14ac:dyDescent="0.2">
      <c r="A5541" t="str">
        <f>"20200111155705996"</f>
        <v>20200111155705996</v>
      </c>
      <c r="B5541" t="str">
        <f>"1578729425988721"</f>
        <v>1578729425988721</v>
      </c>
      <c r="C5541" t="s">
        <v>37</v>
      </c>
      <c r="D5541">
        <v>5.037477</v>
      </c>
      <c r="E5541">
        <v>0.55166709999999997</v>
      </c>
      <c r="F5541" t="s">
        <v>39</v>
      </c>
      <c r="G5541">
        <v>-313.70940000000002</v>
      </c>
      <c r="H5541">
        <v>-0.05</v>
      </c>
      <c r="I5541">
        <v>15.106479999999999</v>
      </c>
      <c r="J5541">
        <v>-332.72859999999997</v>
      </c>
      <c r="K5541">
        <v>1.10338799999999</v>
      </c>
      <c r="L5541">
        <v>18.391690000000001</v>
      </c>
      <c r="M5541">
        <v>0.99988279999999996</v>
      </c>
      <c r="N5541">
        <v>0</v>
      </c>
      <c r="O5541">
        <v>6.4313629999999998E-3</v>
      </c>
      <c r="P5541">
        <v>0.99937209999999999</v>
      </c>
      <c r="Q5541">
        <v>-1.8633499999999999E-3</v>
      </c>
      <c r="R5541">
        <v>-3.5382469999999999E-2</v>
      </c>
      <c r="S5541">
        <v>2.98407</v>
      </c>
      <c r="T5541">
        <v>-0.17969450000000001</v>
      </c>
      <c r="U5541">
        <v>-0.51187130000000003</v>
      </c>
      <c r="V5541">
        <v>4.1855419999999997E-2</v>
      </c>
      <c r="W5541">
        <v>1.185611E-2</v>
      </c>
      <c r="X5541">
        <v>0.99905339999999998</v>
      </c>
      <c r="Y5541">
        <v>0.17508180000000001</v>
      </c>
      <c r="Z5541">
        <v>-5.6129029999999998E-3</v>
      </c>
      <c r="AA5541">
        <v>0.98453789999999997</v>
      </c>
      <c r="AB5541">
        <v>25</v>
      </c>
      <c r="AC5541">
        <v>19.019199999999898</v>
      </c>
      <c r="AD5541">
        <v>-1.1533879999999901</v>
      </c>
      <c r="AE5541">
        <v>-3.2852100000000002</v>
      </c>
      <c r="AF5541">
        <v>3.3953482068848202</v>
      </c>
      <c r="AG5541">
        <v>-1.1533879999999901</v>
      </c>
      <c r="AH5541">
        <v>18.930075553075898</v>
      </c>
      <c r="AI5541">
        <v>93.432021837416599</v>
      </c>
      <c r="AJ5541">
        <v>79.831402541640102</v>
      </c>
      <c r="AK5541">
        <v>19.2667188117153</v>
      </c>
    </row>
    <row r="5542" spans="1:37" x14ac:dyDescent="0.2">
      <c r="A5542" t="str">
        <f>"20200111155706014"</f>
        <v>20200111155706014</v>
      </c>
      <c r="B5542" t="str">
        <f>"1578729426008241"</f>
        <v>1578729426008241</v>
      </c>
      <c r="C5542" t="s">
        <v>37</v>
      </c>
      <c r="D5542">
        <v>4.9884279999999999</v>
      </c>
      <c r="E5542">
        <v>0.55170889999999995</v>
      </c>
      <c r="F5542" t="s">
        <v>39</v>
      </c>
      <c r="G5542">
        <v>-313.73970000000003</v>
      </c>
      <c r="H5542">
        <v>-0.05</v>
      </c>
      <c r="I5542">
        <v>15.10487</v>
      </c>
      <c r="J5542">
        <v>-332.55610000000001</v>
      </c>
      <c r="K5542">
        <v>1.1033839999999999</v>
      </c>
      <c r="L5542">
        <v>18.390989999999999</v>
      </c>
      <c r="M5542">
        <v>0.99989189999999994</v>
      </c>
      <c r="N5542">
        <v>0</v>
      </c>
      <c r="O5542">
        <v>4.8191700000000002E-3</v>
      </c>
      <c r="P5542">
        <v>0.9992875</v>
      </c>
      <c r="Q5542">
        <v>-1.924023E-3</v>
      </c>
      <c r="R5542">
        <v>-3.769463E-2</v>
      </c>
      <c r="S5542">
        <v>2.9833069999999999</v>
      </c>
      <c r="T5542">
        <v>-0.18120710000000001</v>
      </c>
      <c r="U5542">
        <v>-0.51638790000000001</v>
      </c>
      <c r="V5542">
        <v>4.2555999999999997E-2</v>
      </c>
      <c r="W5542">
        <v>1.179126E-2</v>
      </c>
      <c r="X5542">
        <v>0.99902449999999998</v>
      </c>
      <c r="Y5542">
        <v>0.17498159999999999</v>
      </c>
      <c r="Z5542">
        <v>-5.5606029999999999E-3</v>
      </c>
      <c r="AA5542">
        <v>0.98455599999999999</v>
      </c>
      <c r="AB5542">
        <v>25</v>
      </c>
      <c r="AC5542">
        <v>18.816399999999899</v>
      </c>
      <c r="AD5542">
        <v>-1.153384</v>
      </c>
      <c r="AE5542">
        <v>-3.2861199999999902</v>
      </c>
      <c r="AF5542">
        <v>3.36450274622571</v>
      </c>
      <c r="AG5542">
        <v>-1.153384</v>
      </c>
      <c r="AH5542">
        <v>18.732044903623098</v>
      </c>
      <c r="AI5542">
        <v>93.468054140026595</v>
      </c>
      <c r="AJ5542">
        <v>79.817552832849302</v>
      </c>
      <c r="AK5542">
        <v>19.0667165409299</v>
      </c>
    </row>
    <row r="5543" spans="1:37" x14ac:dyDescent="0.2">
      <c r="A5543" t="str">
        <f>"20200111155706025"</f>
        <v>20200111155706025</v>
      </c>
      <c r="B5543" t="str">
        <f>"1578729426018976"</f>
        <v>1578729426018976</v>
      </c>
      <c r="C5543" t="s">
        <v>37</v>
      </c>
      <c r="D5543">
        <v>5.0191619999999997</v>
      </c>
      <c r="E5543">
        <v>0.55172730000000003</v>
      </c>
      <c r="F5543" t="s">
        <v>39</v>
      </c>
      <c r="G5543">
        <v>-313.58780000000002</v>
      </c>
      <c r="H5543">
        <v>-0.05</v>
      </c>
      <c r="I5543">
        <v>15.05992</v>
      </c>
      <c r="J5543">
        <v>-332.42250000000001</v>
      </c>
      <c r="K5543">
        <v>1.1033839999999999</v>
      </c>
      <c r="L5543">
        <v>18.390260000000001</v>
      </c>
      <c r="M5543">
        <v>0.99989729999999999</v>
      </c>
      <c r="N5543">
        <v>0</v>
      </c>
      <c r="O5543">
        <v>3.5658389999999999E-3</v>
      </c>
      <c r="P5543">
        <v>0.99922659999999996</v>
      </c>
      <c r="Q5543">
        <v>-1.5709889999999901E-3</v>
      </c>
      <c r="R5543">
        <v>-3.929647E-2</v>
      </c>
      <c r="S5543">
        <v>2.9820250000000001</v>
      </c>
      <c r="T5543">
        <v>-0.18132499999999999</v>
      </c>
      <c r="U5543">
        <v>-0.52368159999999997</v>
      </c>
      <c r="V5543">
        <v>4.2906850000000003E-2</v>
      </c>
      <c r="W5543">
        <v>1.214171E-2</v>
      </c>
      <c r="X5543">
        <v>0.99900529999999998</v>
      </c>
      <c r="Y5543">
        <v>0.17615520000000001</v>
      </c>
      <c r="Z5543">
        <v>-5.525205E-3</v>
      </c>
      <c r="AA5543">
        <v>0.98434690000000002</v>
      </c>
      <c r="AB5543">
        <v>25</v>
      </c>
      <c r="AC5543">
        <v>18.834700000000002</v>
      </c>
      <c r="AD5543">
        <v>-1.153384</v>
      </c>
      <c r="AE5543">
        <v>-3.3303400000000001</v>
      </c>
      <c r="AF5543">
        <v>3.3851772701263201</v>
      </c>
      <c r="AG5543">
        <v>-1.153384</v>
      </c>
      <c r="AH5543">
        <v>18.754506556438301</v>
      </c>
      <c r="AI5543">
        <v>93.463376027302701</v>
      </c>
      <c r="AJ5543">
        <v>79.768312899808095</v>
      </c>
      <c r="AK5543">
        <v>19.0924392359154</v>
      </c>
    </row>
    <row r="5544" spans="1:37" x14ac:dyDescent="0.2">
      <c r="A5544" t="str">
        <f>"20200111155706037"</f>
        <v>20200111155706037</v>
      </c>
      <c r="B5544" t="str">
        <f>"1578729426028736"</f>
        <v>1578729426028736</v>
      </c>
      <c r="C5544" t="s">
        <v>37</v>
      </c>
      <c r="D5544">
        <v>5.0114679999999998</v>
      </c>
      <c r="E5544">
        <v>0.55173459999999996</v>
      </c>
      <c r="F5544" t="s">
        <v>39</v>
      </c>
      <c r="G5544">
        <v>-313.35980000000001</v>
      </c>
      <c r="H5544">
        <v>-0.05</v>
      </c>
      <c r="I5544">
        <v>15.010539999999899</v>
      </c>
      <c r="J5544">
        <v>-332.2824</v>
      </c>
      <c r="K5544">
        <v>1.103383</v>
      </c>
      <c r="L5544">
        <v>18.38937</v>
      </c>
      <c r="M5544">
        <v>0.99990109999999999</v>
      </c>
      <c r="N5544">
        <v>0</v>
      </c>
      <c r="O5544">
        <v>2.2489279999999999E-3</v>
      </c>
      <c r="P5544">
        <v>0.99916640000000001</v>
      </c>
      <c r="Q5544">
        <v>-1.1757289999999999E-3</v>
      </c>
      <c r="R5544">
        <v>-4.0812460000000002E-2</v>
      </c>
      <c r="S5544">
        <v>2.9812620000000001</v>
      </c>
      <c r="T5544">
        <v>-0.18038129999999999</v>
      </c>
      <c r="U5544">
        <v>-0.52856449999999999</v>
      </c>
      <c r="V5544">
        <v>4.3108309999999997E-2</v>
      </c>
      <c r="W5544">
        <v>1.2535070000000001E-2</v>
      </c>
      <c r="X5544">
        <v>0.99899179999999999</v>
      </c>
      <c r="Y5544">
        <v>0.1764703</v>
      </c>
      <c r="Z5544">
        <v>-5.4275510000000001E-3</v>
      </c>
      <c r="AA5544">
        <v>0.98429100000000003</v>
      </c>
      <c r="AB5544">
        <v>25</v>
      </c>
      <c r="AC5544">
        <v>18.9225999999999</v>
      </c>
      <c r="AD5544">
        <v>-1.153383</v>
      </c>
      <c r="AE5544">
        <v>-3.3788299999999998</v>
      </c>
      <c r="AF5544">
        <v>3.4091068618592799</v>
      </c>
      <c r="AG5544">
        <v>-1.153383</v>
      </c>
      <c r="AH5544">
        <v>18.847094971286801</v>
      </c>
      <c r="AI5544">
        <v>93.446169574535006</v>
      </c>
      <c r="AJ5544">
        <v>79.747065369448407</v>
      </c>
      <c r="AK5544">
        <v>19.187633798802999</v>
      </c>
    </row>
    <row r="5545" spans="1:37" x14ac:dyDescent="0.2">
      <c r="A5545" t="str">
        <f>"20200111155706050"</f>
        <v>20200111155706050</v>
      </c>
      <c r="B5545" t="str">
        <f>"1578729426038496"</f>
        <v>1578729426038496</v>
      </c>
      <c r="C5545" t="s">
        <v>37</v>
      </c>
      <c r="D5545">
        <v>5.0204750000000002</v>
      </c>
      <c r="E5545">
        <v>0.55173729999999999</v>
      </c>
      <c r="F5545" t="s">
        <v>39</v>
      </c>
      <c r="G5545">
        <v>-313.07580000000002</v>
      </c>
      <c r="H5545">
        <v>-0.05</v>
      </c>
      <c r="I5545">
        <v>14.9534299999999</v>
      </c>
      <c r="J5545">
        <v>-332.14359999999999</v>
      </c>
      <c r="K5545">
        <v>1.1033839999999999</v>
      </c>
      <c r="L5545">
        <v>18.388210000000001</v>
      </c>
      <c r="M5545">
        <v>0.99990309999999905</v>
      </c>
      <c r="N5545">
        <v>0</v>
      </c>
      <c r="O5545">
        <v>9.3608690000000002E-4</v>
      </c>
      <c r="P5545">
        <v>0.99909729999999997</v>
      </c>
      <c r="Q5545">
        <v>-9.3641899999999997E-4</v>
      </c>
      <c r="R5545">
        <v>-4.2472370000000002E-2</v>
      </c>
      <c r="S5545">
        <v>2.9805599999999899</v>
      </c>
      <c r="T5545">
        <v>-0.17898629999999999</v>
      </c>
      <c r="U5545">
        <v>-0.53320310000000004</v>
      </c>
      <c r="V5545">
        <v>4.3457339999999997E-2</v>
      </c>
      <c r="W5545">
        <v>1.277156E-2</v>
      </c>
      <c r="X5545">
        <v>0.99897369999999996</v>
      </c>
      <c r="Y5545">
        <v>0.17670929999999899</v>
      </c>
      <c r="Z5545">
        <v>-5.3151199999999996E-3</v>
      </c>
      <c r="AA5545">
        <v>0.98424880000000003</v>
      </c>
      <c r="AB5545">
        <v>25</v>
      </c>
      <c r="AC5545">
        <v>19.067799999999899</v>
      </c>
      <c r="AD5545">
        <v>-1.153384</v>
      </c>
      <c r="AE5545">
        <v>-3.4347799999999999</v>
      </c>
      <c r="AF5545">
        <v>3.4404368616455798</v>
      </c>
      <c r="AG5545">
        <v>-1.153384</v>
      </c>
      <c r="AH5545">
        <v>18.997252223417998</v>
      </c>
      <c r="AI5545">
        <v>93.418867157105794</v>
      </c>
      <c r="AJ5545">
        <v>79.734889885065101</v>
      </c>
      <c r="AK5545">
        <v>19.340695243206401</v>
      </c>
    </row>
    <row r="5546" spans="1:37" x14ac:dyDescent="0.2">
      <c r="A5546" t="str">
        <f>"20200111155706063"</f>
        <v>20200111155706063</v>
      </c>
      <c r="B5546" t="str">
        <f>"1578729426058994"</f>
        <v>1578729426058994</v>
      </c>
      <c r="C5546" t="s">
        <v>37</v>
      </c>
      <c r="D5546">
        <v>5.0570139999999997</v>
      </c>
      <c r="E5546">
        <v>0.55179100000000003</v>
      </c>
      <c r="F5546" t="s">
        <v>39</v>
      </c>
      <c r="G5546">
        <v>-312.84010000000001</v>
      </c>
      <c r="H5546">
        <v>-0.05</v>
      </c>
      <c r="I5546">
        <v>14.901579999999999</v>
      </c>
      <c r="J5546">
        <v>-331.9948</v>
      </c>
      <c r="K5546">
        <v>1.1033850000000001</v>
      </c>
      <c r="L5546">
        <v>18.386839999999999</v>
      </c>
      <c r="M5546">
        <v>0.9999034</v>
      </c>
      <c r="N5546">
        <v>0</v>
      </c>
      <c r="O5546">
        <v>-4.7421609999999999E-4</v>
      </c>
      <c r="P5546">
        <v>0.99902029999999997</v>
      </c>
      <c r="Q5546">
        <v>-7.0734420000000001E-4</v>
      </c>
      <c r="R5546">
        <v>-4.4251550000000001E-2</v>
      </c>
      <c r="S5546">
        <v>2.9797359999999999</v>
      </c>
      <c r="T5546">
        <v>-0.1780397</v>
      </c>
      <c r="U5546">
        <v>-0.53820800000000002</v>
      </c>
      <c r="V5546">
        <v>4.3828279999999997E-2</v>
      </c>
      <c r="W5546">
        <v>1.2998040000000001E-2</v>
      </c>
      <c r="X5546">
        <v>0.99895449999999997</v>
      </c>
      <c r="Y5546">
        <v>0.17697499999999999</v>
      </c>
      <c r="Z5546">
        <v>-5.2120589999999998E-3</v>
      </c>
      <c r="AA5546">
        <v>0.98420160000000001</v>
      </c>
      <c r="AB5546">
        <v>25</v>
      </c>
      <c r="AC5546">
        <v>19.154699999999899</v>
      </c>
      <c r="AD5546">
        <v>-1.1533850000000001</v>
      </c>
      <c r="AE5546">
        <v>-3.4852599999999998</v>
      </c>
      <c r="AF5546">
        <v>3.4640180873349502</v>
      </c>
      <c r="AG5546">
        <v>-1.1533850000000001</v>
      </c>
      <c r="AH5546">
        <v>19.089355545574101</v>
      </c>
      <c r="AI5546">
        <v>93.402198041763</v>
      </c>
      <c r="AJ5546">
        <v>79.714835481295694</v>
      </c>
      <c r="AK5546">
        <v>19.435359873512699</v>
      </c>
    </row>
    <row r="5547" spans="1:37" x14ac:dyDescent="0.2">
      <c r="A5547" t="str">
        <f>"20200111155706074"</f>
        <v>20200111155706074</v>
      </c>
      <c r="B5547" t="str">
        <f>"1578729426068752"</f>
        <v>1578729426068752</v>
      </c>
      <c r="C5547" t="s">
        <v>37</v>
      </c>
      <c r="D5547">
        <v>5.0466389999999999</v>
      </c>
      <c r="E5547">
        <v>0.55181199999999997</v>
      </c>
      <c r="F5547" t="s">
        <v>39</v>
      </c>
      <c r="G5547">
        <v>-312.63990000000001</v>
      </c>
      <c r="H5547">
        <v>-0.05</v>
      </c>
      <c r="I5547">
        <v>14.852650000000001</v>
      </c>
      <c r="J5547">
        <v>-331.86489999999998</v>
      </c>
      <c r="K5547">
        <v>1.103383</v>
      </c>
      <c r="L5547">
        <v>18.385439999999999</v>
      </c>
      <c r="M5547">
        <v>0.99990210000000002</v>
      </c>
      <c r="N5547">
        <v>0</v>
      </c>
      <c r="O5547">
        <v>-1.711979E-3</v>
      </c>
      <c r="P5547">
        <v>0.99892669999999995</v>
      </c>
      <c r="Q5547">
        <v>-2.2949139999999999E-4</v>
      </c>
      <c r="R5547">
        <v>-4.6319800000000001E-2</v>
      </c>
      <c r="S5547">
        <v>2.978729</v>
      </c>
      <c r="T5547">
        <v>-0.17750639999999901</v>
      </c>
      <c r="U5547">
        <v>-0.54391480000000003</v>
      </c>
      <c r="V5547">
        <v>4.466212E-2</v>
      </c>
      <c r="W5547">
        <v>1.347102E-2</v>
      </c>
      <c r="X5547">
        <v>0.99891129999999995</v>
      </c>
      <c r="Y5547">
        <v>0.177643</v>
      </c>
      <c r="Z5547">
        <v>-5.1439500000000004E-3</v>
      </c>
      <c r="AA5547">
        <v>0.984081599999999</v>
      </c>
      <c r="AB5547">
        <v>25</v>
      </c>
      <c r="AC5547">
        <v>19.224999999999898</v>
      </c>
      <c r="AD5547">
        <v>-1.153383</v>
      </c>
      <c r="AE5547">
        <v>-3.5327899999999901</v>
      </c>
      <c r="AF5547">
        <v>3.4877256359194702</v>
      </c>
      <c r="AG5547">
        <v>-1.153383</v>
      </c>
      <c r="AH5547">
        <v>19.164296130988902</v>
      </c>
      <c r="AI5547">
        <v>93.388605485229206</v>
      </c>
      <c r="AJ5547">
        <v>79.685579868938902</v>
      </c>
      <c r="AK5547">
        <v>19.513194732087701</v>
      </c>
    </row>
    <row r="5548" spans="1:37" x14ac:dyDescent="0.2">
      <c r="A5548" t="str">
        <f>"20200111155706091"</f>
        <v>20200111155706091</v>
      </c>
      <c r="B5548" t="str">
        <f>"1578729426078512"</f>
        <v>1578729426078512</v>
      </c>
      <c r="C5548" t="s">
        <v>37</v>
      </c>
      <c r="D5548">
        <v>5.038049</v>
      </c>
      <c r="E5548">
        <v>0.55181089999999999</v>
      </c>
      <c r="F5548" t="s">
        <v>39</v>
      </c>
      <c r="G5548">
        <v>-312.3587</v>
      </c>
      <c r="H5548">
        <v>-0.05</v>
      </c>
      <c r="I5548">
        <v>14.780810000000001</v>
      </c>
      <c r="J5548">
        <v>-331.695999999999</v>
      </c>
      <c r="K5548">
        <v>1.1033709999999901</v>
      </c>
      <c r="L5548">
        <v>18.383299999999998</v>
      </c>
      <c r="M5548">
        <v>0.99989810000000001</v>
      </c>
      <c r="N5548">
        <v>0</v>
      </c>
      <c r="O5548">
        <v>-3.329584E-3</v>
      </c>
      <c r="P5548">
        <v>0.99874640000000003</v>
      </c>
      <c r="Q5548" s="1">
        <v>-2.97906799999999E-5</v>
      </c>
      <c r="R5548">
        <v>-5.0057539999999998E-2</v>
      </c>
      <c r="S5548">
        <v>2.9776919999999998</v>
      </c>
      <c r="T5548">
        <v>-0.17606869999999999</v>
      </c>
      <c r="U5548">
        <v>-0.55026249999999999</v>
      </c>
      <c r="V5548">
        <v>4.6785159999999999E-2</v>
      </c>
      <c r="W5548">
        <v>1.3659360000000001E-2</v>
      </c>
      <c r="X5548">
        <v>0.99881160000000002</v>
      </c>
      <c r="Y5548">
        <v>0.17814759999999999</v>
      </c>
      <c r="Z5548">
        <v>-5.0231479999999998E-3</v>
      </c>
      <c r="AA5548">
        <v>0.98399099999999995</v>
      </c>
      <c r="AB5548">
        <v>25</v>
      </c>
      <c r="AC5548">
        <v>19.3372999999999</v>
      </c>
      <c r="AD5548">
        <v>-1.1533709999999999</v>
      </c>
      <c r="AE5548">
        <v>-3.6024899999999902</v>
      </c>
      <c r="AF5548">
        <v>3.5259557736263298</v>
      </c>
      <c r="AG5548">
        <v>-1.1533709999999999</v>
      </c>
      <c r="AH5548">
        <v>19.282890615708201</v>
      </c>
      <c r="AI5548">
        <v>93.367265816459295</v>
      </c>
      <c r="AJ5548">
        <v>79.637709130163003</v>
      </c>
      <c r="AK5548">
        <v>19.636509345567902</v>
      </c>
    </row>
    <row r="5549" spans="1:37" x14ac:dyDescent="0.2">
      <c r="A5549" t="str">
        <f>"20200111155706102"</f>
        <v>20200111155706102</v>
      </c>
      <c r="B5549" t="str">
        <f>"1578729426099008"</f>
        <v>1578729426099008</v>
      </c>
      <c r="C5549" t="s">
        <v>37</v>
      </c>
      <c r="D5549">
        <v>5.0425789999999999</v>
      </c>
      <c r="E5549">
        <v>0.55183660000000001</v>
      </c>
      <c r="F5549" t="s">
        <v>39</v>
      </c>
      <c r="G5549">
        <v>-312.14249999999998</v>
      </c>
      <c r="H5549">
        <v>-0.05</v>
      </c>
      <c r="I5549">
        <v>14.694000000000001</v>
      </c>
      <c r="J5549">
        <v>-331.56290000000001</v>
      </c>
      <c r="K5549">
        <v>1.103362</v>
      </c>
      <c r="L5549">
        <v>18.38147</v>
      </c>
      <c r="M5549">
        <v>0.99989300000000003</v>
      </c>
      <c r="N5549">
        <v>0</v>
      </c>
      <c r="O5549">
        <v>-4.6121089999999997E-3</v>
      </c>
      <c r="P5549">
        <v>0.99861109999999897</v>
      </c>
      <c r="Q5549">
        <v>3.2365280000000001E-4</v>
      </c>
      <c r="R5549">
        <v>-5.2684799999999997E-2</v>
      </c>
      <c r="S5549">
        <v>2.975616</v>
      </c>
      <c r="T5549">
        <v>-0.1755177</v>
      </c>
      <c r="U5549">
        <v>-0.56143189999999998</v>
      </c>
      <c r="V5549">
        <v>4.8133380000000003E-2</v>
      </c>
      <c r="W5549">
        <v>1.400503E-2</v>
      </c>
      <c r="X5549">
        <v>0.99874269999999998</v>
      </c>
      <c r="Y5549">
        <v>0.1805764</v>
      </c>
      <c r="Z5549">
        <v>-5.0052059999999999E-3</v>
      </c>
      <c r="AA5549">
        <v>0.98354819999999998</v>
      </c>
      <c r="AB5549">
        <v>25</v>
      </c>
      <c r="AC5549">
        <v>19.420400000000001</v>
      </c>
      <c r="AD5549">
        <v>-1.153362</v>
      </c>
      <c r="AE5549">
        <v>-3.6874699999999998</v>
      </c>
      <c r="AF5549">
        <v>3.58564637840096</v>
      </c>
      <c r="AG5549">
        <v>-1.153362</v>
      </c>
      <c r="AH5549">
        <v>19.371255710642799</v>
      </c>
      <c r="AI5549">
        <v>93.350577346400101</v>
      </c>
      <c r="AJ5549">
        <v>79.513164921646606</v>
      </c>
      <c r="AK5549">
        <v>19.734048030272401</v>
      </c>
    </row>
    <row r="5550" spans="1:37" x14ac:dyDescent="0.2">
      <c r="A5550" t="str">
        <f>"20200111155706114"</f>
        <v>20200111155706114</v>
      </c>
      <c r="B5550" t="str">
        <f>"1578729426108769"</f>
        <v>1578729426108769</v>
      </c>
      <c r="C5550" t="s">
        <v>37</v>
      </c>
      <c r="D5550">
        <v>5.3926790000000002</v>
      </c>
      <c r="E5550">
        <v>0.55183660000000001</v>
      </c>
      <c r="F5550" t="s">
        <v>39</v>
      </c>
      <c r="G5550">
        <v>-311.91359999999997</v>
      </c>
      <c r="H5550">
        <v>-0.05</v>
      </c>
      <c r="I5550">
        <v>14.6196299999999</v>
      </c>
      <c r="J5550">
        <v>-331.4289</v>
      </c>
      <c r="K5550">
        <v>1.103356</v>
      </c>
      <c r="L5550">
        <v>18.379460000000002</v>
      </c>
      <c r="M5550">
        <v>0.99988619999999995</v>
      </c>
      <c r="N5550">
        <v>0</v>
      </c>
      <c r="O5550">
        <v>-5.91243699999999E-3</v>
      </c>
      <c r="P5550">
        <v>0.99845329999999999</v>
      </c>
      <c r="Q5550" s="1">
        <v>-8.8830479999999995E-5</v>
      </c>
      <c r="R5550">
        <v>-5.5601009999999999E-2</v>
      </c>
      <c r="S5550">
        <v>2.9741520000000001</v>
      </c>
      <c r="T5550">
        <v>-0.17457429999999999</v>
      </c>
      <c r="U5550">
        <v>-0.56939700000000004</v>
      </c>
      <c r="V5550">
        <v>4.9749960000000003E-2</v>
      </c>
      <c r="W5550">
        <v>1.358355E-2</v>
      </c>
      <c r="X5550">
        <v>0.99866929999999998</v>
      </c>
      <c r="Y5550">
        <v>0.1819306</v>
      </c>
      <c r="Z5550">
        <v>-4.94331299999999E-3</v>
      </c>
      <c r="AA5550">
        <v>0.98329899999999903</v>
      </c>
      <c r="AB5550">
        <v>25</v>
      </c>
      <c r="AC5550">
        <v>19.5153</v>
      </c>
      <c r="AD5550">
        <v>-1.153356</v>
      </c>
      <c r="AE5550">
        <v>-3.75983</v>
      </c>
      <c r="AF5550">
        <v>3.6321378103584001</v>
      </c>
      <c r="AG5550">
        <v>-1.153356</v>
      </c>
      <c r="AH5550">
        <v>19.4716139629917</v>
      </c>
      <c r="AI5550">
        <v>93.332473647839606</v>
      </c>
      <c r="AJ5550">
        <v>79.433765832831497</v>
      </c>
      <c r="AK5550">
        <v>19.841028336755699</v>
      </c>
    </row>
    <row r="5551" spans="1:37" x14ac:dyDescent="0.2">
      <c r="A5551" t="str">
        <f>"20200111155706128"</f>
        <v>20200111155706128</v>
      </c>
      <c r="B5551" t="str">
        <f>"1578729426118529"</f>
        <v>1578729426118529</v>
      </c>
      <c r="C5551" t="s">
        <v>37</v>
      </c>
      <c r="D5551">
        <v>5.10975</v>
      </c>
      <c r="E5551">
        <v>0.55261769999999999</v>
      </c>
      <c r="F5551" t="s">
        <v>39</v>
      </c>
      <c r="G5551">
        <v>-311.91849999999999</v>
      </c>
      <c r="H5551">
        <v>-0.05</v>
      </c>
      <c r="I5551">
        <v>14.584779999999901</v>
      </c>
      <c r="J5551">
        <v>-331.27620000000002</v>
      </c>
      <c r="K5551">
        <v>1.1033469999999901</v>
      </c>
      <c r="L5551">
        <v>18.376860000000001</v>
      </c>
      <c r="M5551">
        <v>0.99987610000000005</v>
      </c>
      <c r="N5551">
        <v>0</v>
      </c>
      <c r="O5551">
        <v>-7.409049E-3</v>
      </c>
      <c r="P5551">
        <v>0.99825269999999999</v>
      </c>
      <c r="Q5551" s="1">
        <v>-1.161965E-5</v>
      </c>
      <c r="R5551">
        <v>-5.9089199999999897E-2</v>
      </c>
      <c r="S5551">
        <v>2.9724430000000002</v>
      </c>
      <c r="T5551">
        <v>-0.1757156</v>
      </c>
      <c r="U5551">
        <v>-0.578125</v>
      </c>
      <c r="V5551">
        <v>5.1745260000000001E-2</v>
      </c>
      <c r="W5551">
        <v>1.3649339999999999E-2</v>
      </c>
      <c r="X5551">
        <v>0.99856699999999998</v>
      </c>
      <c r="Y5551">
        <v>0.1833428</v>
      </c>
      <c r="Z5551">
        <v>-4.93077599999999E-3</v>
      </c>
      <c r="AA5551">
        <v>0.98303669999999999</v>
      </c>
      <c r="AB5551">
        <v>25</v>
      </c>
      <c r="AC5551">
        <v>19.357700000000001</v>
      </c>
      <c r="AD5551">
        <v>-1.1533469999999999</v>
      </c>
      <c r="AE5551">
        <v>-3.7920799999999999</v>
      </c>
      <c r="AF5551">
        <v>3.63610922601839</v>
      </c>
      <c r="AG5551">
        <v>-1.1533469999999999</v>
      </c>
      <c r="AH5551">
        <v>19.319220788132501</v>
      </c>
      <c r="AI5551">
        <v>93.357657562900101</v>
      </c>
      <c r="AJ5551">
        <v>79.340940570352799</v>
      </c>
      <c r="AK5551">
        <v>19.6922266761927</v>
      </c>
    </row>
    <row r="5552" spans="1:37" x14ac:dyDescent="0.2">
      <c r="A5552" t="str">
        <f>"20200111155706141"</f>
        <v>20200111155706141</v>
      </c>
      <c r="B5552" t="str">
        <f>"1578729426139024"</f>
        <v>1578729426139024</v>
      </c>
      <c r="C5552" t="s">
        <v>37</v>
      </c>
      <c r="D5552">
        <v>5.2043460000000001</v>
      </c>
      <c r="E5552">
        <v>0.63691229999999999</v>
      </c>
      <c r="F5552" t="s">
        <v>39</v>
      </c>
      <c r="G5552">
        <v>-311.70429999999999</v>
      </c>
      <c r="H5552">
        <v>-0.05</v>
      </c>
      <c r="I5552">
        <v>14.457599999999999</v>
      </c>
      <c r="J5552">
        <v>-331.13510000000002</v>
      </c>
      <c r="K5552">
        <v>1.103332</v>
      </c>
      <c r="L5552">
        <v>18.37433</v>
      </c>
      <c r="M5552">
        <v>0.99986489999999995</v>
      </c>
      <c r="N5552">
        <v>0</v>
      </c>
      <c r="O5552">
        <v>-8.8017319999999996E-3</v>
      </c>
      <c r="P5552">
        <v>0.99802739999999901</v>
      </c>
      <c r="Q5552">
        <v>-4.6695370000000001E-4</v>
      </c>
      <c r="R5552">
        <v>-6.2777979999999997E-2</v>
      </c>
      <c r="S5552">
        <v>2.970062</v>
      </c>
      <c r="T5552">
        <v>-0.17502219999999999</v>
      </c>
      <c r="U5552">
        <v>-0.59475710000000004</v>
      </c>
      <c r="V5552">
        <v>5.4043399999999998E-2</v>
      </c>
      <c r="W5552">
        <v>1.318065E-2</v>
      </c>
      <c r="X5552">
        <v>0.99845159999999999</v>
      </c>
      <c r="Y5552">
        <v>0.1874159</v>
      </c>
      <c r="Z5552">
        <v>-4.9501409999999999E-3</v>
      </c>
      <c r="AA5552">
        <v>0.98226819999999904</v>
      </c>
      <c r="AB5552">
        <v>25</v>
      </c>
      <c r="AC5552">
        <v>19.430800000000001</v>
      </c>
      <c r="AD5552">
        <v>-1.153332</v>
      </c>
      <c r="AE5552">
        <v>-3.9167299999999998</v>
      </c>
      <c r="AF5552">
        <v>3.73289913080901</v>
      </c>
      <c r="AG5552">
        <v>-1.153332</v>
      </c>
      <c r="AH5552">
        <v>19.398848590287301</v>
      </c>
      <c r="AI5552">
        <v>93.341280132964599</v>
      </c>
      <c r="AJ5552">
        <v>79.107775976912293</v>
      </c>
      <c r="AK5552">
        <v>19.788381370185601</v>
      </c>
    </row>
    <row r="5553" spans="1:37" x14ac:dyDescent="0.2">
      <c r="A5553" t="str">
        <f>"20200111155706153"</f>
        <v>20200111155706153</v>
      </c>
      <c r="B5553" t="str">
        <f>"1578729426148785"</f>
        <v>1578729426148785</v>
      </c>
      <c r="C5553" t="s">
        <v>37</v>
      </c>
      <c r="D5553">
        <v>5.3970820000000002</v>
      </c>
      <c r="E5553">
        <v>0.63714930000000003</v>
      </c>
      <c r="F5553" t="s">
        <v>39</v>
      </c>
      <c r="G5553">
        <v>-309.48829999999998</v>
      </c>
      <c r="H5553">
        <v>-0.05</v>
      </c>
      <c r="I5553">
        <v>8.9264679999999998</v>
      </c>
      <c r="J5553">
        <v>-330.99720000000002</v>
      </c>
      <c r="K5553">
        <v>1.103316</v>
      </c>
      <c r="L5553">
        <v>18.371579999999899</v>
      </c>
      <c r="M5553">
        <v>0.99985179999999996</v>
      </c>
      <c r="N5553">
        <v>0</v>
      </c>
      <c r="O5553">
        <v>-1.018207E-2</v>
      </c>
      <c r="P5553">
        <v>0.99777009999999899</v>
      </c>
      <c r="Q5553">
        <v>-8.5547679999999895E-4</v>
      </c>
      <c r="R5553">
        <v>-6.6739859999999998E-2</v>
      </c>
      <c r="S5553">
        <v>2.9255070000000001</v>
      </c>
      <c r="T5553">
        <v>-0.15587010000000001</v>
      </c>
      <c r="U5553">
        <v>-1.2768549999999901</v>
      </c>
      <c r="V5553">
        <v>5.6627990000000003E-2</v>
      </c>
      <c r="W5553">
        <v>1.2777760000000001E-2</v>
      </c>
      <c r="X5553">
        <v>0.99831360000000002</v>
      </c>
      <c r="Y5553">
        <v>0.3902099</v>
      </c>
      <c r="Z5553">
        <v>-9.4177830000000008E-3</v>
      </c>
      <c r="AA5553">
        <v>0.92067779999999999</v>
      </c>
      <c r="AB5553">
        <v>25</v>
      </c>
      <c r="AC5553">
        <v>21.508900000000001</v>
      </c>
      <c r="AD5553">
        <v>-1.153316</v>
      </c>
      <c r="AE5553">
        <v>-9.4451119999999893</v>
      </c>
      <c r="AF5553">
        <v>9.2034125550206696</v>
      </c>
      <c r="AG5553">
        <v>-1.153316</v>
      </c>
      <c r="AH5553">
        <v>21.552016823270002</v>
      </c>
      <c r="AI5553">
        <v>92.817464840972306</v>
      </c>
      <c r="AJ5553">
        <v>66.875940803343696</v>
      </c>
      <c r="AK5553">
        <v>23.463213113388399</v>
      </c>
    </row>
    <row r="5554" spans="1:37" x14ac:dyDescent="0.2">
      <c r="A5554" t="str">
        <f>"20200111155706168"</f>
        <v>20200111155706168</v>
      </c>
      <c r="B5554" t="str">
        <f>"1578729426158545"</f>
        <v>1578729426158545</v>
      </c>
      <c r="C5554" t="s">
        <v>37</v>
      </c>
      <c r="D5554">
        <v>5.260624</v>
      </c>
      <c r="E5554">
        <v>0.63659699999999997</v>
      </c>
      <c r="F5554" t="s">
        <v>39</v>
      </c>
      <c r="G5554">
        <v>-312.44880000000001</v>
      </c>
      <c r="H5554">
        <v>-0.05</v>
      </c>
      <c r="I5554">
        <v>10.1758899999999</v>
      </c>
      <c r="J5554">
        <v>-330.83789999999999</v>
      </c>
      <c r="K5554">
        <v>1.103294</v>
      </c>
      <c r="L5554">
        <v>18.368129999999901</v>
      </c>
      <c r="M5554">
        <v>0.99983419999999901</v>
      </c>
      <c r="N5554">
        <v>0</v>
      </c>
      <c r="O5554">
        <v>-1.1798660000000001E-2</v>
      </c>
      <c r="P5554">
        <v>0.99724919999999995</v>
      </c>
      <c r="Q5554">
        <v>-2.0272829999999999E-3</v>
      </c>
      <c r="R5554">
        <v>-7.4096720000000005E-2</v>
      </c>
      <c r="S5554">
        <v>2.9202270000000001</v>
      </c>
      <c r="T5554">
        <v>-0.18157579999999901</v>
      </c>
      <c r="U5554">
        <v>-1.290314</v>
      </c>
      <c r="V5554">
        <v>6.2371919999999997E-2</v>
      </c>
      <c r="W5554">
        <v>1.1574310000000001E-2</v>
      </c>
      <c r="X5554">
        <v>0.99798580000000003</v>
      </c>
      <c r="Y5554">
        <v>0.39272279999999998</v>
      </c>
      <c r="Z5554">
        <v>-1.0955680000000001E-2</v>
      </c>
      <c r="AA5554">
        <v>0.91959159999999995</v>
      </c>
      <c r="AB5554">
        <v>25</v>
      </c>
      <c r="AC5554">
        <v>18.3890999999999</v>
      </c>
      <c r="AD5554">
        <v>-1.153294</v>
      </c>
      <c r="AE5554">
        <v>-8.1922399999999893</v>
      </c>
      <c r="AF5554">
        <v>7.9485950511509502</v>
      </c>
      <c r="AG5554">
        <v>-1.153294</v>
      </c>
      <c r="AH5554">
        <v>18.424019552105101</v>
      </c>
      <c r="AI5554">
        <v>93.289538141544199</v>
      </c>
      <c r="AJ5554">
        <v>66.663392482744996</v>
      </c>
      <c r="AK5554">
        <v>20.098625495141899</v>
      </c>
    </row>
    <row r="5555" spans="1:37" x14ac:dyDescent="0.2">
      <c r="A5555" t="str">
        <f>"20200111155706180"</f>
        <v>20200111155706180</v>
      </c>
      <c r="B5555" t="str">
        <f>"1578729426168305"</f>
        <v>1578729426168305</v>
      </c>
      <c r="C5555" t="s">
        <v>37</v>
      </c>
      <c r="D5555">
        <v>5.1252430000000002</v>
      </c>
      <c r="E5555">
        <v>0.63790179999999996</v>
      </c>
      <c r="F5555" t="s">
        <v>39</v>
      </c>
      <c r="G5555">
        <v>-313.92230000000001</v>
      </c>
      <c r="H5555">
        <v>-0.05</v>
      </c>
      <c r="I5555">
        <v>10.77228</v>
      </c>
      <c r="J5555">
        <v>-330.70240000000001</v>
      </c>
      <c r="K5555">
        <v>1.10327</v>
      </c>
      <c r="L5555">
        <v>18.36505</v>
      </c>
      <c r="M5555">
        <v>0.999816699999999</v>
      </c>
      <c r="N5555">
        <v>0</v>
      </c>
      <c r="O5555">
        <v>-1.3188139999999999E-2</v>
      </c>
      <c r="P5555">
        <v>0.99690419999999902</v>
      </c>
      <c r="Q5555">
        <v>-2.8724039999999998E-3</v>
      </c>
      <c r="R5555">
        <v>-7.8573509999999999E-2</v>
      </c>
      <c r="S5555">
        <v>2.9107669999999999</v>
      </c>
      <c r="T5555">
        <v>-0.19845450000000001</v>
      </c>
      <c r="U5555">
        <v>-1.3070679999999999</v>
      </c>
      <c r="V5555">
        <v>6.5462790000000007E-2</v>
      </c>
      <c r="W5555">
        <v>1.071034E-2</v>
      </c>
      <c r="X5555">
        <v>0.9977975</v>
      </c>
      <c r="Y5555">
        <v>0.39683299999999999</v>
      </c>
      <c r="Z5555">
        <v>-1.2037610000000001E-2</v>
      </c>
      <c r="AA5555">
        <v>0.91781190000000001</v>
      </c>
      <c r="AB5555">
        <v>25</v>
      </c>
      <c r="AC5555">
        <v>16.780100000000001</v>
      </c>
      <c r="AD5555">
        <v>-1.15327</v>
      </c>
      <c r="AE5555">
        <v>-7.5927699999999998</v>
      </c>
      <c r="AF5555">
        <v>7.34200317203568</v>
      </c>
      <c r="AG5555">
        <v>-1.15327</v>
      </c>
      <c r="AH5555">
        <v>16.812864164661701</v>
      </c>
      <c r="AI5555">
        <v>93.596996896504805</v>
      </c>
      <c r="AJ5555">
        <v>66.409606015377904</v>
      </c>
      <c r="AK5555">
        <v>18.3822589387281</v>
      </c>
    </row>
    <row r="5556" spans="1:37" x14ac:dyDescent="0.2">
      <c r="A5556" t="str">
        <f>"20200111155706191"</f>
        <v>20200111155706191</v>
      </c>
      <c r="B5556" t="str">
        <f>"1578729426179041"</f>
        <v>1578729426179041</v>
      </c>
      <c r="C5556" t="s">
        <v>37</v>
      </c>
      <c r="D5556">
        <v>5.203068</v>
      </c>
      <c r="E5556">
        <v>0.63760909999999904</v>
      </c>
      <c r="F5556" t="s">
        <v>39</v>
      </c>
      <c r="G5556">
        <v>-314.23579999999998</v>
      </c>
      <c r="H5556">
        <v>-0.05</v>
      </c>
      <c r="I5556">
        <v>10.820789999999899</v>
      </c>
      <c r="J5556">
        <v>-330.58240000000001</v>
      </c>
      <c r="K5556">
        <v>1.103243</v>
      </c>
      <c r="L5556">
        <v>18.36206</v>
      </c>
      <c r="M5556">
        <v>0.99979929999999995</v>
      </c>
      <c r="N5556">
        <v>0</v>
      </c>
      <c r="O5556">
        <v>-1.444462E-2</v>
      </c>
      <c r="P5556">
        <v>0.99654100000000001</v>
      </c>
      <c r="Q5556">
        <v>-3.8155009999999998E-3</v>
      </c>
      <c r="R5556">
        <v>-8.3015119999999998E-2</v>
      </c>
      <c r="S5556">
        <v>2.9039000000000001</v>
      </c>
      <c r="T5556">
        <v>-0.20338110000000001</v>
      </c>
      <c r="U5556">
        <v>-1.330444</v>
      </c>
      <c r="V5556">
        <v>6.8651619999999997E-2</v>
      </c>
      <c r="W5556">
        <v>9.7481319999999996E-3</v>
      </c>
      <c r="X5556">
        <v>0.99759299999999995</v>
      </c>
      <c r="Y5556">
        <v>0.40256149999999902</v>
      </c>
      <c r="Z5556">
        <v>-1.245009E-2</v>
      </c>
      <c r="AA5556">
        <v>0.91530829999999996</v>
      </c>
      <c r="AB5556">
        <v>24</v>
      </c>
      <c r="AC5556">
        <v>16.346599999999999</v>
      </c>
      <c r="AD5556">
        <v>-1.153243</v>
      </c>
      <c r="AE5556">
        <v>-7.5412699999999999</v>
      </c>
      <c r="AF5556">
        <v>7.2744868256548001</v>
      </c>
      <c r="AG5556">
        <v>-1.153243</v>
      </c>
      <c r="AH5556">
        <v>16.3865881753505</v>
      </c>
      <c r="AI5556">
        <v>93.680413870426094</v>
      </c>
      <c r="AJ5556">
        <v>66.062162180203202</v>
      </c>
      <c r="AK5556">
        <v>17.9657563164542</v>
      </c>
    </row>
    <row r="5557" spans="1:37" x14ac:dyDescent="0.2">
      <c r="A5557" t="str">
        <f>"20200111155706202"</f>
        <v>20200111155706202</v>
      </c>
      <c r="B5557" t="str">
        <f>"1578729426198560"</f>
        <v>1578729426198560</v>
      </c>
      <c r="C5557" t="s">
        <v>37</v>
      </c>
      <c r="D5557">
        <v>5.3069160000000002</v>
      </c>
      <c r="E5557">
        <v>0.63596919999999901</v>
      </c>
      <c r="F5557" t="s">
        <v>39</v>
      </c>
      <c r="G5557">
        <v>-314.91800000000001</v>
      </c>
      <c r="H5557">
        <v>-0.05</v>
      </c>
      <c r="I5557">
        <v>11.11284</v>
      </c>
      <c r="J5557">
        <v>-330.46260000000001</v>
      </c>
      <c r="K5557">
        <v>1.1032169999999999</v>
      </c>
      <c r="L5557">
        <v>18.358979999999999</v>
      </c>
      <c r="M5557">
        <v>0.99978040000000001</v>
      </c>
      <c r="N5557">
        <v>0</v>
      </c>
      <c r="O5557">
        <v>-1.5713299999999999E-2</v>
      </c>
      <c r="P5557">
        <v>0.99617929999999999</v>
      </c>
      <c r="Q5557">
        <v>-4.9139259999999999E-3</v>
      </c>
      <c r="R5557">
        <v>-8.7194690000000005E-2</v>
      </c>
      <c r="S5557">
        <v>2.897888</v>
      </c>
      <c r="T5557">
        <v>-0.2133485</v>
      </c>
      <c r="U5557">
        <v>-1.3410949999999999</v>
      </c>
      <c r="V5557">
        <v>7.1566249999999998E-2</v>
      </c>
      <c r="W5557">
        <v>8.6309469999999999E-3</v>
      </c>
      <c r="X5557">
        <v>0.99739849999999997</v>
      </c>
      <c r="Y5557">
        <v>0.40481</v>
      </c>
      <c r="Z5557">
        <v>-1.306394E-2</v>
      </c>
      <c r="AA5557">
        <v>0.91430750000000005</v>
      </c>
      <c r="AB5557">
        <v>24</v>
      </c>
      <c r="AC5557">
        <v>15.544600000000001</v>
      </c>
      <c r="AD5557">
        <v>-1.1532169999999999</v>
      </c>
      <c r="AE5557">
        <v>-7.2461399999999898</v>
      </c>
      <c r="AF5557">
        <v>6.9694535565601097</v>
      </c>
      <c r="AG5557">
        <v>-1.1532169999999999</v>
      </c>
      <c r="AH5557">
        <v>15.586082350355101</v>
      </c>
      <c r="AI5557">
        <v>93.864166141082407</v>
      </c>
      <c r="AJ5557">
        <v>65.907774786076004</v>
      </c>
      <c r="AK5557">
        <v>17.1122516156755</v>
      </c>
    </row>
    <row r="5558" spans="1:37" x14ac:dyDescent="0.2">
      <c r="A5558" t="str">
        <f>"20200111155706214"</f>
        <v>20200111155706214</v>
      </c>
      <c r="B5558" t="str">
        <f>"1578729426209297"</f>
        <v>1578729426209297</v>
      </c>
      <c r="C5558" t="s">
        <v>37</v>
      </c>
      <c r="D5558">
        <v>5.1509010000000002</v>
      </c>
      <c r="E5558">
        <v>0.63580040000000004</v>
      </c>
      <c r="F5558" t="s">
        <v>39</v>
      </c>
      <c r="G5558">
        <v>-315.90620000000001</v>
      </c>
      <c r="H5558">
        <v>-0.05</v>
      </c>
      <c r="I5558">
        <v>11.616910000000001</v>
      </c>
      <c r="J5558">
        <v>-330.33580000000001</v>
      </c>
      <c r="K5558">
        <v>1.1031879999999901</v>
      </c>
      <c r="L5558">
        <v>18.355499999999999</v>
      </c>
      <c r="M5558">
        <v>0.99975780000000003</v>
      </c>
      <c r="N5558">
        <v>0</v>
      </c>
      <c r="O5558">
        <v>-1.707958E-2</v>
      </c>
      <c r="P5558">
        <v>0.99577640000000001</v>
      </c>
      <c r="Q5558">
        <v>-5.8772440000000002E-3</v>
      </c>
      <c r="R5558">
        <v>-9.1624280000000002E-2</v>
      </c>
      <c r="S5558">
        <v>2.893097</v>
      </c>
      <c r="T5558">
        <v>-0.2292033</v>
      </c>
      <c r="U5558">
        <v>-1.339996</v>
      </c>
      <c r="V5558">
        <v>7.4635359999999998E-2</v>
      </c>
      <c r="W5558">
        <v>7.6463119999999997E-3</v>
      </c>
      <c r="X5558">
        <v>0.997181599999999</v>
      </c>
      <c r="Y5558">
        <v>0.40372190000000002</v>
      </c>
      <c r="Z5558">
        <v>-1.391073E-2</v>
      </c>
      <c r="AA5558">
        <v>0.91477600000000003</v>
      </c>
      <c r="AB5558">
        <v>24</v>
      </c>
      <c r="AC5558">
        <v>14.429599999999899</v>
      </c>
      <c r="AD5558">
        <v>-1.1531879999999901</v>
      </c>
      <c r="AE5558">
        <v>-6.7385899999999896</v>
      </c>
      <c r="AF5558">
        <v>6.4572735278998596</v>
      </c>
      <c r="AG5558">
        <v>-1.1531879999999901</v>
      </c>
      <c r="AH5558">
        <v>14.466743179498501</v>
      </c>
      <c r="AI5558">
        <v>94.1632766757143</v>
      </c>
      <c r="AJ5558">
        <v>65.946263312538804</v>
      </c>
      <c r="AK5558">
        <v>15.884359672301199</v>
      </c>
    </row>
    <row r="5559" spans="1:37" x14ac:dyDescent="0.2">
      <c r="A5559" t="str">
        <f>"20200111155706225"</f>
        <v>20200111155706225</v>
      </c>
      <c r="B5559" t="str">
        <f>"1578729426219057"</f>
        <v>1578729426219057</v>
      </c>
      <c r="C5559" t="s">
        <v>37</v>
      </c>
      <c r="D5559">
        <v>5.3228400000000002</v>
      </c>
      <c r="E5559">
        <v>0.63528819999999997</v>
      </c>
      <c r="F5559" t="s">
        <v>39</v>
      </c>
      <c r="G5559">
        <v>-316.06810000000002</v>
      </c>
      <c r="H5559">
        <v>-0.05</v>
      </c>
      <c r="I5559">
        <v>11.6769</v>
      </c>
      <c r="J5559">
        <v>-330.21190000000001</v>
      </c>
      <c r="K5559">
        <v>1.1031500000000001</v>
      </c>
      <c r="L5559">
        <v>18.351870000000002</v>
      </c>
      <c r="M5559">
        <v>0.999733599999999</v>
      </c>
      <c r="N5559">
        <v>0</v>
      </c>
      <c r="O5559">
        <v>-1.8444260000000001E-2</v>
      </c>
      <c r="P5559">
        <v>0.99534509999999898</v>
      </c>
      <c r="Q5559">
        <v>-7.0820750000000002E-3</v>
      </c>
      <c r="R5559">
        <v>-9.6117220000000003E-2</v>
      </c>
      <c r="S5559">
        <v>2.8869929999999999</v>
      </c>
      <c r="T5559">
        <v>-0.2333411</v>
      </c>
      <c r="U5559">
        <v>-1.3513790000000001</v>
      </c>
      <c r="V5559">
        <v>7.7769450000000004E-2</v>
      </c>
      <c r="W5559">
        <v>6.4194400000000002E-3</v>
      </c>
      <c r="X5559">
        <v>0.99695069999999997</v>
      </c>
      <c r="Y5559">
        <v>0.40613199999999999</v>
      </c>
      <c r="Z5559">
        <v>-1.416504E-2</v>
      </c>
      <c r="AA5559">
        <v>0.91370459999999998</v>
      </c>
      <c r="AB5559">
        <v>24</v>
      </c>
      <c r="AC5559">
        <v>14.143800000000001</v>
      </c>
      <c r="AD5559">
        <v>-1.1531499999999999</v>
      </c>
      <c r="AE5559">
        <v>-6.6749700000000001</v>
      </c>
      <c r="AF5559">
        <v>6.3782625019366197</v>
      </c>
      <c r="AG5559">
        <v>-1.1531499999999999</v>
      </c>
      <c r="AH5559">
        <v>14.187391995544999</v>
      </c>
      <c r="AI5559">
        <v>94.239738553834698</v>
      </c>
      <c r="AJ5559">
        <v>65.792623047511796</v>
      </c>
      <c r="AK5559">
        <v>15.5978870075842</v>
      </c>
    </row>
    <row r="5560" spans="1:37" x14ac:dyDescent="0.2">
      <c r="A5560" t="str">
        <f>"20200111155706236"</f>
        <v>20200111155706236</v>
      </c>
      <c r="B5560" t="str">
        <f>"1578729426228817"</f>
        <v>1578729426228817</v>
      </c>
      <c r="C5560" t="s">
        <v>37</v>
      </c>
      <c r="D5560">
        <v>5.467206</v>
      </c>
      <c r="E5560">
        <v>0.63468040000000003</v>
      </c>
      <c r="F5560" t="s">
        <v>39</v>
      </c>
      <c r="G5560">
        <v>-316.05220000000003</v>
      </c>
      <c r="H5560">
        <v>-0.05</v>
      </c>
      <c r="I5560">
        <v>11.66635</v>
      </c>
      <c r="J5560">
        <v>-330.07979999999998</v>
      </c>
      <c r="K5560">
        <v>1.103111</v>
      </c>
      <c r="L5560">
        <v>18.347899999999999</v>
      </c>
      <c r="M5560">
        <v>0.99970530000000002</v>
      </c>
      <c r="N5560">
        <v>0</v>
      </c>
      <c r="O5560">
        <v>-1.9917170000000001E-2</v>
      </c>
      <c r="P5560">
        <v>0.99491779999999996</v>
      </c>
      <c r="Q5560">
        <v>-8.2727489999999994E-3</v>
      </c>
      <c r="R5560">
        <v>-0.10035089999999899</v>
      </c>
      <c r="S5560">
        <v>2.8810419999999999</v>
      </c>
      <c r="T5560">
        <v>-0.23462939999999999</v>
      </c>
      <c r="U5560">
        <v>-1.3602909999999999</v>
      </c>
      <c r="V5560">
        <v>8.0536969999999999E-2</v>
      </c>
      <c r="W5560">
        <v>5.2073400000000004E-3</v>
      </c>
      <c r="X5560">
        <v>0.99673799999999901</v>
      </c>
      <c r="Y5560">
        <v>0.407809599999999</v>
      </c>
      <c r="Z5560">
        <v>-1.4211990000000001E-2</v>
      </c>
      <c r="AA5560">
        <v>0.9129564</v>
      </c>
      <c r="AB5560">
        <v>24</v>
      </c>
      <c r="AC5560">
        <v>14.0275999999999</v>
      </c>
      <c r="AD5560">
        <v>-1.153111</v>
      </c>
      <c r="AE5560">
        <v>-6.6815499999999997</v>
      </c>
      <c r="AF5560">
        <v>6.3657463430116596</v>
      </c>
      <c r="AG5560">
        <v>-1.153111</v>
      </c>
      <c r="AH5560">
        <v>14.0803560284154</v>
      </c>
      <c r="AI5560">
        <v>94.267675070381202</v>
      </c>
      <c r="AJ5560">
        <v>65.672215467799703</v>
      </c>
      <c r="AK5560">
        <v>15.4954450522991</v>
      </c>
    </row>
    <row r="5561" spans="1:37" x14ac:dyDescent="0.2">
      <c r="A5561" t="str">
        <f>"20200111155706248"</f>
        <v>20200111155706248</v>
      </c>
      <c r="B5561" t="str">
        <f>"1578729426238577"</f>
        <v>1578729426238577</v>
      </c>
      <c r="C5561" t="s">
        <v>37</v>
      </c>
      <c r="D5561">
        <v>5.2774710000000002</v>
      </c>
      <c r="E5561">
        <v>0.63441459999999905</v>
      </c>
      <c r="F5561" t="s">
        <v>39</v>
      </c>
      <c r="G5561">
        <v>-316.04849999999999</v>
      </c>
      <c r="H5561">
        <v>-0.05</v>
      </c>
      <c r="I5561">
        <v>11.673159999999999</v>
      </c>
      <c r="J5561">
        <v>-329.96230000000003</v>
      </c>
      <c r="K5561">
        <v>1.1030690000000001</v>
      </c>
      <c r="L5561">
        <v>18.34402</v>
      </c>
      <c r="M5561">
        <v>0.99967719999999904</v>
      </c>
      <c r="N5561">
        <v>0</v>
      </c>
      <c r="O5561">
        <v>-2.1277020000000001E-2</v>
      </c>
      <c r="P5561">
        <v>0.99446540000000005</v>
      </c>
      <c r="Q5561">
        <v>-9.3022809999999904E-3</v>
      </c>
      <c r="R5561">
        <v>-0.104653</v>
      </c>
      <c r="S5561">
        <v>2.875397</v>
      </c>
      <c r="T5561">
        <v>-0.2363034</v>
      </c>
      <c r="U5561">
        <v>-1.367828</v>
      </c>
      <c r="V5561">
        <v>8.3487480000000003E-2</v>
      </c>
      <c r="W5561">
        <v>4.1544950000000002E-3</v>
      </c>
      <c r="X5561">
        <v>0.99650019999999995</v>
      </c>
      <c r="Y5561">
        <v>0.40919609999999901</v>
      </c>
      <c r="Z5561">
        <v>-1.4279160000000001E-2</v>
      </c>
      <c r="AA5561">
        <v>0.91233469999999905</v>
      </c>
      <c r="AB5561">
        <v>24</v>
      </c>
      <c r="AC5561">
        <v>13.9138</v>
      </c>
      <c r="AD5561">
        <v>-1.1530689999999999</v>
      </c>
      <c r="AE5561">
        <v>-6.6708599999999896</v>
      </c>
      <c r="AF5561">
        <v>6.3378847271602003</v>
      </c>
      <c r="AG5561">
        <v>-1.1530689999999999</v>
      </c>
      <c r="AH5561">
        <v>13.974562375959099</v>
      </c>
      <c r="AI5561">
        <v>94.297407182155098</v>
      </c>
      <c r="AJ5561">
        <v>65.604277435533405</v>
      </c>
      <c r="AK5561">
        <v>15.387876543990799</v>
      </c>
    </row>
    <row r="5562" spans="1:37" x14ac:dyDescent="0.2">
      <c r="A5562" t="str">
        <f>"20200111155706261"</f>
        <v>20200111155706261</v>
      </c>
      <c r="B5562" t="str">
        <f>"1578729426248337"</f>
        <v>1578729426248337</v>
      </c>
      <c r="C5562" t="s">
        <v>37</v>
      </c>
      <c r="D5562">
        <v>5.3315729999999997</v>
      </c>
      <c r="E5562">
        <v>0.63374659999999905</v>
      </c>
      <c r="F5562" t="s">
        <v>39</v>
      </c>
      <c r="G5562">
        <v>-316.20850000000002</v>
      </c>
      <c r="H5562">
        <v>-0.05</v>
      </c>
      <c r="I5562">
        <v>11.739319999999999</v>
      </c>
      <c r="J5562">
        <v>-329.82889999999998</v>
      </c>
      <c r="K5562">
        <v>1.1030169999999999</v>
      </c>
      <c r="L5562">
        <v>18.33954</v>
      </c>
      <c r="M5562">
        <v>0.99964279999999905</v>
      </c>
      <c r="N5562">
        <v>0</v>
      </c>
      <c r="O5562">
        <v>-2.2836099999999901E-2</v>
      </c>
      <c r="P5562">
        <v>0.99402230000000003</v>
      </c>
      <c r="Q5562">
        <v>-1.056464E-2</v>
      </c>
      <c r="R5562">
        <v>-0.108665</v>
      </c>
      <c r="S5562">
        <v>2.8694459999999999</v>
      </c>
      <c r="T5562">
        <v>-0.24056340000000001</v>
      </c>
      <c r="U5562">
        <v>-1.3779299999999901</v>
      </c>
      <c r="V5562">
        <v>8.5948990000000003E-2</v>
      </c>
      <c r="W5562">
        <v>2.8699039999999999E-3</v>
      </c>
      <c r="X5562">
        <v>0.99629539999999905</v>
      </c>
      <c r="Y5562">
        <v>0.41107860000000002</v>
      </c>
      <c r="Z5562">
        <v>-1.4503810000000001E-2</v>
      </c>
      <c r="AA5562">
        <v>0.91148449999999903</v>
      </c>
      <c r="AB5562">
        <v>24</v>
      </c>
      <c r="AC5562">
        <v>13.620399999999901</v>
      </c>
      <c r="AD5562">
        <v>-1.153017</v>
      </c>
      <c r="AE5562">
        <v>-6.6002199999999904</v>
      </c>
      <c r="AF5562">
        <v>6.2511533017238596</v>
      </c>
      <c r="AG5562">
        <v>-1.153017</v>
      </c>
      <c r="AH5562">
        <v>13.6881465005899</v>
      </c>
      <c r="AI5562">
        <v>94.381590915948806</v>
      </c>
      <c r="AJ5562">
        <v>65.454593069291903</v>
      </c>
      <c r="AK5562">
        <v>15.092107885433199</v>
      </c>
    </row>
    <row r="5563" spans="1:37" x14ac:dyDescent="0.2">
      <c r="A5563" t="str">
        <f>"20200111155706272"</f>
        <v>20200111155706272</v>
      </c>
      <c r="B5563" t="str">
        <f>"1578729426268833"</f>
        <v>1578729426268833</v>
      </c>
      <c r="C5563" t="s">
        <v>37</v>
      </c>
      <c r="D5563">
        <v>5.3247220000000004</v>
      </c>
      <c r="E5563">
        <v>0.63277609999999995</v>
      </c>
      <c r="F5563" t="s">
        <v>39</v>
      </c>
      <c r="G5563">
        <v>-316.41809999999998</v>
      </c>
      <c r="H5563">
        <v>-0.05</v>
      </c>
      <c r="I5563">
        <v>11.85852</v>
      </c>
      <c r="J5563">
        <v>-329.6927</v>
      </c>
      <c r="K5563">
        <v>1.102962</v>
      </c>
      <c r="L5563">
        <v>18.334629999999901</v>
      </c>
      <c r="M5563">
        <v>0.99960360000000004</v>
      </c>
      <c r="N5563">
        <v>0</v>
      </c>
      <c r="O5563">
        <v>-2.4490870000000001E-2</v>
      </c>
      <c r="P5563">
        <v>0.99357090000000003</v>
      </c>
      <c r="Q5563">
        <v>-1.159839E-2</v>
      </c>
      <c r="R5563">
        <v>-0.1126163</v>
      </c>
      <c r="S5563">
        <v>2.8641049999999999</v>
      </c>
      <c r="T5563">
        <v>-0.24624560000000001</v>
      </c>
      <c r="U5563">
        <v>-1.384125</v>
      </c>
      <c r="V5563">
        <v>8.8256459999999995E-2</v>
      </c>
      <c r="W5563">
        <v>1.8127589999999999E-3</v>
      </c>
      <c r="X5563">
        <v>0.99609609999999904</v>
      </c>
      <c r="Y5563">
        <v>0.4117807</v>
      </c>
      <c r="Z5563">
        <v>-1.4757960000000001E-2</v>
      </c>
      <c r="AA5563">
        <v>0.91116339999999996</v>
      </c>
      <c r="AB5563">
        <v>24</v>
      </c>
      <c r="AC5563">
        <v>13.2746</v>
      </c>
      <c r="AD5563">
        <v>-1.152962</v>
      </c>
      <c r="AE5563">
        <v>-6.4761099999999896</v>
      </c>
      <c r="AF5563">
        <v>6.1117872821883097</v>
      </c>
      <c r="AG5563">
        <v>-1.152962</v>
      </c>
      <c r="AH5563">
        <v>13.347903354808601</v>
      </c>
      <c r="AI5563">
        <v>94.490584156767099</v>
      </c>
      <c r="AJ5563">
        <v>65.397728933335102</v>
      </c>
      <c r="AK5563">
        <v>14.725820490739199</v>
      </c>
    </row>
    <row r="5564" spans="1:37" x14ac:dyDescent="0.2">
      <c r="A5564" t="str">
        <f>"20200111155706284"</f>
        <v>20200111155706284</v>
      </c>
      <c r="B5564" t="str">
        <f>"1578729426278593"</f>
        <v>1578729426278593</v>
      </c>
      <c r="C5564" t="s">
        <v>37</v>
      </c>
      <c r="D5564">
        <v>5.3067010000000003</v>
      </c>
      <c r="E5564">
        <v>0.63224609999999903</v>
      </c>
      <c r="F5564" t="s">
        <v>39</v>
      </c>
      <c r="G5564">
        <v>-316.589</v>
      </c>
      <c r="H5564">
        <v>-0.05</v>
      </c>
      <c r="I5564">
        <v>11.974030000000001</v>
      </c>
      <c r="J5564">
        <v>-329.56639999999999</v>
      </c>
      <c r="K5564">
        <v>1.1029100000000001</v>
      </c>
      <c r="L5564">
        <v>18.329799999999999</v>
      </c>
      <c r="M5564">
        <v>0.99956409999999996</v>
      </c>
      <c r="N5564">
        <v>0</v>
      </c>
      <c r="O5564">
        <v>-2.605847E-2</v>
      </c>
      <c r="P5564">
        <v>0.99310919999999903</v>
      </c>
      <c r="Q5564">
        <v>-1.2394519999999999E-2</v>
      </c>
      <c r="R5564">
        <v>-0.1165354</v>
      </c>
      <c r="S5564">
        <v>2.8591609999999998</v>
      </c>
      <c r="T5564">
        <v>-0.25157049999999997</v>
      </c>
      <c r="U5564">
        <v>-1.387848</v>
      </c>
      <c r="V5564">
        <v>9.0620359999999997E-2</v>
      </c>
      <c r="W5564">
        <v>9.9307689999999994E-4</v>
      </c>
      <c r="X5564">
        <v>0.99588500000000002</v>
      </c>
      <c r="Y5564">
        <v>0.41188170000000002</v>
      </c>
      <c r="Z5564">
        <v>-1.496959E-2</v>
      </c>
      <c r="AA5564">
        <v>0.91111430000000004</v>
      </c>
      <c r="AB5564">
        <v>24</v>
      </c>
      <c r="AC5564">
        <v>12.9773999999999</v>
      </c>
      <c r="AD5564">
        <v>-1.1529100000000001</v>
      </c>
      <c r="AE5564">
        <v>-6.3557699999999899</v>
      </c>
      <c r="AF5564">
        <v>5.97735782416225</v>
      </c>
      <c r="AG5564">
        <v>-1.1529100000000001</v>
      </c>
      <c r="AH5564">
        <v>13.0555231023327</v>
      </c>
      <c r="AI5564">
        <v>94.590593394166604</v>
      </c>
      <c r="AJ5564">
        <v>65.399736361708193</v>
      </c>
      <c r="AK5564">
        <v>14.405023134369401</v>
      </c>
    </row>
    <row r="5565" spans="1:37" x14ac:dyDescent="0.2">
      <c r="A5565" t="str">
        <f>"20200111155706295"</f>
        <v>20200111155706295</v>
      </c>
      <c r="B5565" t="str">
        <f>"1578729426288353"</f>
        <v>1578729426288353</v>
      </c>
      <c r="C5565" t="s">
        <v>37</v>
      </c>
      <c r="D5565">
        <v>5.2648269999999897</v>
      </c>
      <c r="E5565">
        <v>0.63190679999999999</v>
      </c>
      <c r="F5565" t="s">
        <v>39</v>
      </c>
      <c r="G5565">
        <v>-316.67500000000001</v>
      </c>
      <c r="H5565">
        <v>-0.05</v>
      </c>
      <c r="I5565">
        <v>12.03058</v>
      </c>
      <c r="J5565">
        <v>-329.43810000000002</v>
      </c>
      <c r="K5565">
        <v>1.102851</v>
      </c>
      <c r="L5565">
        <v>18.324770000000001</v>
      </c>
      <c r="M5565">
        <v>0.99952039999999998</v>
      </c>
      <c r="N5565">
        <v>0</v>
      </c>
      <c r="O5565">
        <v>-2.7683949999999999E-2</v>
      </c>
      <c r="P5565">
        <v>0.99264839999999999</v>
      </c>
      <c r="Q5565">
        <v>-1.3060509999999999E-2</v>
      </c>
      <c r="R5565">
        <v>-0.1203287</v>
      </c>
      <c r="S5565">
        <v>2.8539729999999999</v>
      </c>
      <c r="T5565">
        <v>-0.25523879999999999</v>
      </c>
      <c r="U5565">
        <v>-1.3945620000000001</v>
      </c>
      <c r="V5565">
        <v>9.2802079999999995E-2</v>
      </c>
      <c r="W5565">
        <v>3.0309359999999998E-4</v>
      </c>
      <c r="X5565">
        <v>0.99568449999999997</v>
      </c>
      <c r="Y5565">
        <v>0.4127477</v>
      </c>
      <c r="Z5565">
        <v>-1.51042E-2</v>
      </c>
      <c r="AA5565">
        <v>0.91072019999999998</v>
      </c>
      <c r="AB5565">
        <v>24</v>
      </c>
      <c r="AC5565">
        <v>12.7631</v>
      </c>
      <c r="AD5565">
        <v>-1.1528510000000001</v>
      </c>
      <c r="AE5565">
        <v>-6.2941900000000004</v>
      </c>
      <c r="AF5565">
        <v>5.8996913171777301</v>
      </c>
      <c r="AG5565">
        <v>-1.1528510000000001</v>
      </c>
      <c r="AH5565">
        <v>12.8481516615389</v>
      </c>
      <c r="AI5565">
        <v>94.661759324181403</v>
      </c>
      <c r="AJ5565">
        <v>65.336075389652805</v>
      </c>
      <c r="AK5565">
        <v>14.1848660263003</v>
      </c>
    </row>
    <row r="5566" spans="1:37" x14ac:dyDescent="0.2">
      <c r="A5566" t="str">
        <f>"20200111155706306"</f>
        <v>20200111155706306</v>
      </c>
      <c r="B5566" t="str">
        <f>"1578729426299088"</f>
        <v>1578729426299088</v>
      </c>
      <c r="C5566" t="s">
        <v>37</v>
      </c>
      <c r="D5566">
        <v>5.2945589999999996</v>
      </c>
      <c r="E5566">
        <v>0.63154339999999998</v>
      </c>
      <c r="F5566" t="s">
        <v>39</v>
      </c>
      <c r="G5566">
        <v>-316.72289999999998</v>
      </c>
      <c r="H5566">
        <v>-0.05</v>
      </c>
      <c r="I5566">
        <v>12.065379999999999</v>
      </c>
      <c r="J5566">
        <v>-329.32150000000001</v>
      </c>
      <c r="K5566">
        <v>1.1027990000000001</v>
      </c>
      <c r="L5566">
        <v>18.319849999999999</v>
      </c>
      <c r="M5566">
        <v>0.9994767</v>
      </c>
      <c r="N5566">
        <v>0</v>
      </c>
      <c r="O5566">
        <v>-2.9213659999999999E-2</v>
      </c>
      <c r="P5566">
        <v>0.99218799999999996</v>
      </c>
      <c r="Q5566">
        <v>-1.3251809999999999E-2</v>
      </c>
      <c r="R5566">
        <v>-0.124045899999999</v>
      </c>
      <c r="S5566">
        <v>2.8488159999999998</v>
      </c>
      <c r="T5566">
        <v>-0.25829449999999998</v>
      </c>
      <c r="U5566">
        <v>-1.4024049999999999</v>
      </c>
      <c r="V5566">
        <v>9.5006480000000004E-2</v>
      </c>
      <c r="W5566" s="1">
        <v>8.8202419999999996E-5</v>
      </c>
      <c r="X5566">
        <v>0.99547669999999999</v>
      </c>
      <c r="Y5566">
        <v>0.41399399999999997</v>
      </c>
      <c r="Z5566">
        <v>-1.522331E-2</v>
      </c>
      <c r="AA5566">
        <v>0.91015230000000003</v>
      </c>
      <c r="AB5566">
        <v>24</v>
      </c>
      <c r="AC5566">
        <v>12.598599999999999</v>
      </c>
      <c r="AD5566">
        <v>-1.1527989999999999</v>
      </c>
      <c r="AE5566">
        <v>-6.2544699999999898</v>
      </c>
      <c r="AF5566">
        <v>5.8444551066596997</v>
      </c>
      <c r="AG5566">
        <v>-1.1527989999999999</v>
      </c>
      <c r="AH5566">
        <v>12.6907097035206</v>
      </c>
      <c r="AI5566">
        <v>94.716725515567006</v>
      </c>
      <c r="AJ5566">
        <v>65.272501898092202</v>
      </c>
      <c r="AK5566">
        <v>14.0192979070706</v>
      </c>
    </row>
    <row r="5567" spans="1:37" x14ac:dyDescent="0.2">
      <c r="A5567" t="str">
        <f>"20200111155706318"</f>
        <v>20200111155706318</v>
      </c>
      <c r="B5567" t="str">
        <f>"1578729426308849"</f>
        <v>1578729426308849</v>
      </c>
      <c r="C5567" t="s">
        <v>37</v>
      </c>
      <c r="D5567">
        <v>5.0963070000000004</v>
      </c>
      <c r="E5567">
        <v>0.63207209999999903</v>
      </c>
      <c r="F5567" t="s">
        <v>39</v>
      </c>
      <c r="G5567">
        <v>-316.68959999999998</v>
      </c>
      <c r="H5567">
        <v>-0.05</v>
      </c>
      <c r="I5567">
        <v>12.056609999999999</v>
      </c>
      <c r="J5567">
        <v>-329.18950000000001</v>
      </c>
      <c r="K5567">
        <v>1.102741</v>
      </c>
      <c r="L5567">
        <v>18.314150000000001</v>
      </c>
      <c r="M5567">
        <v>0.99942399999999998</v>
      </c>
      <c r="N5567">
        <v>0</v>
      </c>
      <c r="O5567">
        <v>-3.0965860000000001E-2</v>
      </c>
      <c r="P5567">
        <v>0.99164399999999997</v>
      </c>
      <c r="Q5567">
        <v>-1.3732609999999999E-2</v>
      </c>
      <c r="R5567">
        <v>-0.12827339999999901</v>
      </c>
      <c r="S5567">
        <v>2.8438720000000002</v>
      </c>
      <c r="T5567">
        <v>-0.25953379999999998</v>
      </c>
      <c r="U5567">
        <v>-1.4100649999999999</v>
      </c>
      <c r="V5567">
        <v>9.7500779999999995E-2</v>
      </c>
      <c r="W5567">
        <v>-4.2025720000000001E-4</v>
      </c>
      <c r="X5567">
        <v>0.99523539999999899</v>
      </c>
      <c r="Y5567">
        <v>0.41498400000000002</v>
      </c>
      <c r="Z5567">
        <v>-1.5203619999999999E-2</v>
      </c>
      <c r="AA5567">
        <v>0.9097016</v>
      </c>
      <c r="AB5567">
        <v>24</v>
      </c>
      <c r="AC5567">
        <v>12.4999</v>
      </c>
      <c r="AD5567">
        <v>-1.152741</v>
      </c>
      <c r="AE5567">
        <v>-6.2575399999999997</v>
      </c>
      <c r="AF5567">
        <v>5.8278001973089699</v>
      </c>
      <c r="AG5567">
        <v>-1.152741</v>
      </c>
      <c r="AH5567">
        <v>12.601995611988899</v>
      </c>
      <c r="AI5567">
        <v>94.746087470514397</v>
      </c>
      <c r="AJ5567">
        <v>65.181791243063401</v>
      </c>
      <c r="AK5567">
        <v>13.932062315300801</v>
      </c>
    </row>
    <row r="5568" spans="1:37" x14ac:dyDescent="0.2">
      <c r="A5568" t="str">
        <f>"20200111155706330"</f>
        <v>20200111155706330</v>
      </c>
      <c r="B5568" t="str">
        <f>"1578729426318610"</f>
        <v>1578729426318610</v>
      </c>
      <c r="C5568" t="s">
        <v>37</v>
      </c>
      <c r="D5568">
        <v>5.0796789999999996</v>
      </c>
      <c r="E5568">
        <v>0.63248740000000003</v>
      </c>
      <c r="F5568" t="s">
        <v>39</v>
      </c>
      <c r="G5568">
        <v>-316.33049999999997</v>
      </c>
      <c r="H5568">
        <v>-0.05</v>
      </c>
      <c r="I5568">
        <v>11.84947</v>
      </c>
      <c r="J5568">
        <v>-329.05799999999999</v>
      </c>
      <c r="K5568">
        <v>1.102681</v>
      </c>
      <c r="L5568">
        <v>18.308039999999998</v>
      </c>
      <c r="M5568">
        <v>0.99936559999999897</v>
      </c>
      <c r="N5568">
        <v>0</v>
      </c>
      <c r="O5568">
        <v>-3.2792769999999999E-2</v>
      </c>
      <c r="P5568">
        <v>0.99108280000000004</v>
      </c>
      <c r="Q5568">
        <v>-1.3980370000000001E-2</v>
      </c>
      <c r="R5568">
        <v>-0.132511299999999</v>
      </c>
      <c r="S5568">
        <v>2.8372799999999998</v>
      </c>
      <c r="T5568">
        <v>-0.2543454</v>
      </c>
      <c r="U5568">
        <v>-1.4263920000000001</v>
      </c>
      <c r="V5568">
        <v>9.9934259999999997E-2</v>
      </c>
      <c r="W5568">
        <v>-6.9630080000000001E-4</v>
      </c>
      <c r="X5568">
        <v>0.99499380000000004</v>
      </c>
      <c r="Y5568">
        <v>0.4183924</v>
      </c>
      <c r="Z5568">
        <v>-1.4903909999999999E-2</v>
      </c>
      <c r="AA5568">
        <v>0.90814409999999901</v>
      </c>
      <c r="AB5568">
        <v>24</v>
      </c>
      <c r="AC5568">
        <v>12.727499999999999</v>
      </c>
      <c r="AD5568">
        <v>-1.1526809999999901</v>
      </c>
      <c r="AE5568">
        <v>-6.4585699999999902</v>
      </c>
      <c r="AF5568">
        <v>5.99855913449134</v>
      </c>
      <c r="AG5568">
        <v>-1.1526809999999901</v>
      </c>
      <c r="AH5568">
        <v>12.8486613718662</v>
      </c>
      <c r="AI5568">
        <v>94.647328547237706</v>
      </c>
      <c r="AJ5568">
        <v>64.973889829706593</v>
      </c>
      <c r="AK5568">
        <v>14.2267172681064</v>
      </c>
    </row>
    <row r="5569" spans="1:37" x14ac:dyDescent="0.2">
      <c r="A5569" t="str">
        <f>"20200111155706342"</f>
        <v>20200111155706342</v>
      </c>
      <c r="B5569" t="str">
        <f>"1578729426339105"</f>
        <v>1578729426339105</v>
      </c>
      <c r="C5569" t="s">
        <v>37</v>
      </c>
      <c r="D5569">
        <v>5.0698099999999897</v>
      </c>
      <c r="E5569">
        <v>0.63293159999999904</v>
      </c>
      <c r="F5569" t="s">
        <v>39</v>
      </c>
      <c r="G5569">
        <v>-316.04640000000001</v>
      </c>
      <c r="H5569">
        <v>-0.05</v>
      </c>
      <c r="I5569">
        <v>11.68178</v>
      </c>
      <c r="J5569">
        <v>-328.94110000000001</v>
      </c>
      <c r="K5569">
        <v>1.102627</v>
      </c>
      <c r="L5569">
        <v>18.302489999999999</v>
      </c>
      <c r="M5569">
        <v>0.99931009999999998</v>
      </c>
      <c r="N5569">
        <v>0</v>
      </c>
      <c r="O5569">
        <v>-3.444084E-2</v>
      </c>
      <c r="P5569">
        <v>0.99052479999999998</v>
      </c>
      <c r="Q5569">
        <v>-1.437454E-2</v>
      </c>
      <c r="R5569">
        <v>-0.1365796</v>
      </c>
      <c r="S5569">
        <v>2.83071899999999</v>
      </c>
      <c r="T5569">
        <v>-0.2507682</v>
      </c>
      <c r="U5569">
        <v>-1.441559</v>
      </c>
      <c r="V5569">
        <v>0.1023761</v>
      </c>
      <c r="W5569">
        <v>-1.1181989999999901E-3</v>
      </c>
      <c r="X5569">
        <v>0.99474509999999905</v>
      </c>
      <c r="Y5569">
        <v>0.4216375</v>
      </c>
      <c r="Z5569">
        <v>-1.4707120000000001E-2</v>
      </c>
      <c r="AA5569">
        <v>0.90664519999999904</v>
      </c>
      <c r="AB5569">
        <v>24</v>
      </c>
      <c r="AC5569">
        <v>12.8947</v>
      </c>
      <c r="AD5569">
        <v>-1.1526270000000001</v>
      </c>
      <c r="AE5569">
        <v>-6.6207099999999901</v>
      </c>
      <c r="AF5569">
        <v>6.1338486837264297</v>
      </c>
      <c r="AG5569">
        <v>-1.1526270000000001</v>
      </c>
      <c r="AH5569">
        <v>13.0326851626</v>
      </c>
      <c r="AI5569">
        <v>94.575137233630102</v>
      </c>
      <c r="AJ5569">
        <v>64.795923703522902</v>
      </c>
      <c r="AK5569">
        <v>14.450035682427799</v>
      </c>
    </row>
    <row r="5570" spans="1:37" x14ac:dyDescent="0.2">
      <c r="A5570" t="str">
        <f>"20200111155706353"</f>
        <v>20200111155706353</v>
      </c>
      <c r="B5570" t="str">
        <f>"1578729426348866"</f>
        <v>1578729426348866</v>
      </c>
      <c r="C5570" t="s">
        <v>37</v>
      </c>
      <c r="D5570">
        <v>5.1097269999999897</v>
      </c>
      <c r="E5570">
        <v>0.63306249999999997</v>
      </c>
      <c r="F5570" t="s">
        <v>39</v>
      </c>
      <c r="G5570">
        <v>-315.61360000000002</v>
      </c>
      <c r="H5570">
        <v>-0.05</v>
      </c>
      <c r="I5570">
        <v>11.428649999999999</v>
      </c>
      <c r="J5570">
        <v>-328.81180000000001</v>
      </c>
      <c r="K5570">
        <v>1.102568</v>
      </c>
      <c r="L5570">
        <v>18.29599</v>
      </c>
      <c r="M5570">
        <v>0.99924369999999996</v>
      </c>
      <c r="N5570">
        <v>0</v>
      </c>
      <c r="O5570">
        <v>-3.6317199999999897E-2</v>
      </c>
      <c r="P5570">
        <v>0.98992169999999902</v>
      </c>
      <c r="Q5570">
        <v>-1.4849040000000001E-2</v>
      </c>
      <c r="R5570">
        <v>-0.14083579999999901</v>
      </c>
      <c r="S5570">
        <v>2.8242799999999999</v>
      </c>
      <c r="T5570">
        <v>-0.244257899999999</v>
      </c>
      <c r="U5570">
        <v>-1.4566649999999901</v>
      </c>
      <c r="V5570">
        <v>0.1047806</v>
      </c>
      <c r="W5570">
        <v>-1.6216360000000001E-3</v>
      </c>
      <c r="X5570">
        <v>0.99449399999999999</v>
      </c>
      <c r="Y5570">
        <v>0.42466480000000001</v>
      </c>
      <c r="Z5570">
        <v>-1.4310389999999999E-2</v>
      </c>
      <c r="AA5570">
        <v>0.90523759999999998</v>
      </c>
      <c r="AB5570">
        <v>24</v>
      </c>
      <c r="AC5570">
        <v>13.1981999999999</v>
      </c>
      <c r="AD5570">
        <v>-1.152568</v>
      </c>
      <c r="AE5570">
        <v>-6.8673400000000004</v>
      </c>
      <c r="AF5570">
        <v>6.3453602325795098</v>
      </c>
      <c r="AG5570">
        <v>-1.152568</v>
      </c>
      <c r="AH5570">
        <v>13.358747929947</v>
      </c>
      <c r="AI5570">
        <v>94.456236800498402</v>
      </c>
      <c r="AJ5570">
        <v>64.592439485806196</v>
      </c>
      <c r="AK5570">
        <v>14.8340202147526</v>
      </c>
    </row>
    <row r="5571" spans="1:37" x14ac:dyDescent="0.2">
      <c r="A5571" t="str">
        <f>"20200111155706365"</f>
        <v>20200111155706365</v>
      </c>
      <c r="B5571" t="str">
        <f>"1578729426358625"</f>
        <v>1578729426358625</v>
      </c>
      <c r="C5571" t="s">
        <v>37</v>
      </c>
      <c r="D5571">
        <v>5.0606799999999996</v>
      </c>
      <c r="E5571">
        <v>0.63313790000000003</v>
      </c>
      <c r="F5571" t="s">
        <v>39</v>
      </c>
      <c r="G5571">
        <v>-315.44540000000001</v>
      </c>
      <c r="H5571">
        <v>-0.05</v>
      </c>
      <c r="I5571">
        <v>11.32367</v>
      </c>
      <c r="J5571">
        <v>-328.67849999999999</v>
      </c>
      <c r="K5571">
        <v>1.102509</v>
      </c>
      <c r="L5571">
        <v>18.288969999999999</v>
      </c>
      <c r="M5571">
        <v>0.99916939999999999</v>
      </c>
      <c r="N5571">
        <v>0</v>
      </c>
      <c r="O5571">
        <v>-3.8305449999999998E-2</v>
      </c>
      <c r="P5571">
        <v>0.98931080000000005</v>
      </c>
      <c r="Q5571">
        <v>-1.51042E-2</v>
      </c>
      <c r="R5571">
        <v>-0.14503920000000001</v>
      </c>
      <c r="S5571">
        <v>2.8177490000000001</v>
      </c>
      <c r="T5571">
        <v>-0.24296999999999999</v>
      </c>
      <c r="U5571">
        <v>-1.4698180000000001</v>
      </c>
      <c r="V5571">
        <v>0.1070237</v>
      </c>
      <c r="W5571">
        <v>-1.9054720000000001E-3</v>
      </c>
      <c r="X5571">
        <v>0.99425459999999999</v>
      </c>
      <c r="Y5571">
        <v>0.42705459999999901</v>
      </c>
      <c r="Z5571">
        <v>-1.418671E-2</v>
      </c>
      <c r="AA5571">
        <v>0.90411450000000004</v>
      </c>
      <c r="AB5571">
        <v>24</v>
      </c>
      <c r="AC5571">
        <v>13.233099999999901</v>
      </c>
      <c r="AD5571">
        <v>-1.152509</v>
      </c>
      <c r="AE5571">
        <v>-6.9653</v>
      </c>
      <c r="AF5571">
        <v>6.4151347941726904</v>
      </c>
      <c r="AG5571">
        <v>-1.152509</v>
      </c>
      <c r="AH5571">
        <v>13.410567235024899</v>
      </c>
      <c r="AI5571">
        <v>94.433081054826303</v>
      </c>
      <c r="AJ5571">
        <v>64.435218372673802</v>
      </c>
      <c r="AK5571">
        <v>14.9105849981686</v>
      </c>
    </row>
    <row r="5572" spans="1:37" x14ac:dyDescent="0.2">
      <c r="A5572" t="str">
        <f>"20200111155706381"</f>
        <v>20200111155706381</v>
      </c>
      <c r="B5572" t="str">
        <f>"1578729426368384"</f>
        <v>1578729426368384</v>
      </c>
      <c r="C5572" t="s">
        <v>37</v>
      </c>
      <c r="D5572">
        <v>5.2419279999999997</v>
      </c>
      <c r="E5572">
        <v>0.63313790000000003</v>
      </c>
      <c r="F5572" t="s">
        <v>39</v>
      </c>
      <c r="G5572">
        <v>-315.23590000000002</v>
      </c>
      <c r="H5572">
        <v>-0.05</v>
      </c>
      <c r="I5572">
        <v>11.20082</v>
      </c>
      <c r="J5572">
        <v>-328.51510000000002</v>
      </c>
      <c r="K5572">
        <v>1.102428</v>
      </c>
      <c r="L5572">
        <v>18.28003</v>
      </c>
      <c r="M5572">
        <v>0.99907060000000003</v>
      </c>
      <c r="N5572">
        <v>0</v>
      </c>
      <c r="O5572">
        <v>-4.0799479999999999E-2</v>
      </c>
      <c r="P5572">
        <v>0.98821569999999903</v>
      </c>
      <c r="Q5572">
        <v>-1.6153919999999999E-2</v>
      </c>
      <c r="R5572">
        <v>-0.15221289999999901</v>
      </c>
      <c r="S5572">
        <v>2.811401</v>
      </c>
      <c r="T5572">
        <v>-0.2410368</v>
      </c>
      <c r="U5572">
        <v>-1.4824219999999999</v>
      </c>
      <c r="V5572">
        <v>0.1117476</v>
      </c>
      <c r="W5572">
        <v>-3.0062929999999902E-3</v>
      </c>
      <c r="X5572">
        <v>0.99373210000000001</v>
      </c>
      <c r="Y5572">
        <v>0.42883069999999901</v>
      </c>
      <c r="Z5572">
        <v>-1.396061E-2</v>
      </c>
      <c r="AA5572">
        <v>0.903277</v>
      </c>
      <c r="AB5572">
        <v>24</v>
      </c>
      <c r="AC5572">
        <v>13.279199999999999</v>
      </c>
      <c r="AD5572">
        <v>-1.152428</v>
      </c>
      <c r="AE5572">
        <v>-7.0792099999999998</v>
      </c>
      <c r="AF5572">
        <v>6.4933953030527096</v>
      </c>
      <c r="AG5572">
        <v>-1.152428</v>
      </c>
      <c r="AH5572">
        <v>13.4779519638575</v>
      </c>
      <c r="AI5572">
        <v>94.404846705125806</v>
      </c>
      <c r="AJ5572">
        <v>64.276205626947004</v>
      </c>
      <c r="AK5572">
        <v>15.0049145947899</v>
      </c>
    </row>
    <row r="5573" spans="1:37" x14ac:dyDescent="0.2">
      <c r="A5573" t="str">
        <f>"20200111155706392"</f>
        <v>20200111155706392</v>
      </c>
      <c r="B5573" t="str">
        <f>"1578729426388880"</f>
        <v>1578729426388880</v>
      </c>
      <c r="C5573" t="s">
        <v>37</v>
      </c>
      <c r="D5573">
        <v>5.0845649999999996</v>
      </c>
      <c r="E5573">
        <v>0.6331909</v>
      </c>
      <c r="F5573" t="s">
        <v>39</v>
      </c>
      <c r="G5573">
        <v>-315.37259999999998</v>
      </c>
      <c r="H5573">
        <v>-0.05</v>
      </c>
      <c r="I5573">
        <v>11.229480000000001</v>
      </c>
      <c r="J5573">
        <v>-328.38240000000002</v>
      </c>
      <c r="K5573">
        <v>1.1023639999999999</v>
      </c>
      <c r="L5573">
        <v>18.272310000000001</v>
      </c>
      <c r="M5573">
        <v>0.9989825</v>
      </c>
      <c r="N5573">
        <v>0</v>
      </c>
      <c r="O5573">
        <v>-4.2901050000000003E-2</v>
      </c>
      <c r="P5573">
        <v>0.9874908</v>
      </c>
      <c r="Q5573">
        <v>-1.6464590000000001E-2</v>
      </c>
      <c r="R5573">
        <v>-0.15681400000000001</v>
      </c>
      <c r="S5573">
        <v>2.8003849999999999</v>
      </c>
      <c r="T5573">
        <v>-0.24555740000000001</v>
      </c>
      <c r="U5573">
        <v>-1.502319</v>
      </c>
      <c r="V5573">
        <v>0.1142828</v>
      </c>
      <c r="W5573">
        <v>-3.35007599999999E-3</v>
      </c>
      <c r="X5573">
        <v>0.99344259999999995</v>
      </c>
      <c r="Y5573">
        <v>0.43333729999999998</v>
      </c>
      <c r="Z5573">
        <v>-1.4262260000000001E-2</v>
      </c>
      <c r="AA5573">
        <v>0.90111889999999994</v>
      </c>
      <c r="AB5573">
        <v>24</v>
      </c>
      <c r="AC5573">
        <v>13.0098</v>
      </c>
      <c r="AD5573">
        <v>-1.1523639999999999</v>
      </c>
      <c r="AE5573">
        <v>-7.0428300000000004</v>
      </c>
      <c r="AF5573">
        <v>6.4390864225943902</v>
      </c>
      <c r="AG5573">
        <v>-1.1523639999999999</v>
      </c>
      <c r="AH5573">
        <v>13.2197809847912</v>
      </c>
      <c r="AI5573">
        <v>94.480982056680006</v>
      </c>
      <c r="AJ5573">
        <v>64.030228779629297</v>
      </c>
      <c r="AK5573">
        <v>14.7496571496419</v>
      </c>
    </row>
    <row r="5574" spans="1:37" x14ac:dyDescent="0.2">
      <c r="A5574" t="str">
        <f>"20200111155706404"</f>
        <v>20200111155706404</v>
      </c>
      <c r="B5574" t="str">
        <f>"1578729426398642"</f>
        <v>1578729426398642</v>
      </c>
      <c r="C5574" t="s">
        <v>37</v>
      </c>
      <c r="D5574">
        <v>5.0706489999999897</v>
      </c>
      <c r="E5574">
        <v>0.63327009999999995</v>
      </c>
      <c r="F5574" t="s">
        <v>39</v>
      </c>
      <c r="G5574">
        <v>-314.96859999999998</v>
      </c>
      <c r="H5574">
        <v>-0.05</v>
      </c>
      <c r="I5574">
        <v>10.994400000000001</v>
      </c>
      <c r="J5574">
        <v>-328.26339999999999</v>
      </c>
      <c r="K5574">
        <v>1.1023069999999999</v>
      </c>
      <c r="L5574">
        <v>18.265170000000001</v>
      </c>
      <c r="M5574">
        <v>0.99889810000000001</v>
      </c>
      <c r="N5574">
        <v>0</v>
      </c>
      <c r="O5574">
        <v>-4.4824969999999999E-2</v>
      </c>
      <c r="P5574">
        <v>0.9867302</v>
      </c>
      <c r="Q5574">
        <v>-1.6857110000000002E-2</v>
      </c>
      <c r="R5574">
        <v>-0.16149160000000001</v>
      </c>
      <c r="S5574">
        <v>2.7933650000000001</v>
      </c>
      <c r="T5574">
        <v>-0.2399752</v>
      </c>
      <c r="U5574">
        <v>-1.5155940000000001</v>
      </c>
      <c r="V5574">
        <v>0.11707329999999901</v>
      </c>
      <c r="W5574">
        <v>-3.7768099999999998E-3</v>
      </c>
      <c r="X5574">
        <v>0.99311609999999995</v>
      </c>
      <c r="Y5574">
        <v>0.43590709999999999</v>
      </c>
      <c r="Z5574">
        <v>-1.390485E-2</v>
      </c>
      <c r="AA5574">
        <v>0.89988419999999902</v>
      </c>
      <c r="AB5574">
        <v>24</v>
      </c>
      <c r="AC5574">
        <v>13.2948</v>
      </c>
      <c r="AD5574">
        <v>-1.152307</v>
      </c>
      <c r="AE5574">
        <v>-7.2707699999999997</v>
      </c>
      <c r="AF5574">
        <v>6.6291291800788796</v>
      </c>
      <c r="AG5574">
        <v>-1.152307</v>
      </c>
      <c r="AH5574">
        <v>13.529142093401999</v>
      </c>
      <c r="AI5574">
        <v>94.373704311717503</v>
      </c>
      <c r="AJ5574">
        <v>63.895659771049402</v>
      </c>
      <c r="AK5574">
        <v>15.109958666121001</v>
      </c>
    </row>
    <row r="5575" spans="1:37" x14ac:dyDescent="0.2">
      <c r="A5575" t="str">
        <f>"20200111155706415"</f>
        <v>20200111155706415</v>
      </c>
      <c r="B5575" t="str">
        <f>"1578729426408401"</f>
        <v>1578729426408401</v>
      </c>
      <c r="C5575" t="s">
        <v>37</v>
      </c>
      <c r="D5575">
        <v>5.0785780000000003</v>
      </c>
      <c r="E5575">
        <v>0.63330390000000003</v>
      </c>
      <c r="F5575" t="s">
        <v>39</v>
      </c>
      <c r="G5575">
        <v>-314.83789999999999</v>
      </c>
      <c r="H5575">
        <v>-0.05</v>
      </c>
      <c r="I5575">
        <v>10.8945899999999</v>
      </c>
      <c r="J5575">
        <v>-328.14580000000001</v>
      </c>
      <c r="K5575">
        <v>1.1022510000000001</v>
      </c>
      <c r="L5575">
        <v>18.257809999999999</v>
      </c>
      <c r="M5575">
        <v>0.99880919999999895</v>
      </c>
      <c r="N5575">
        <v>0</v>
      </c>
      <c r="O5575">
        <v>-4.676247E-2</v>
      </c>
      <c r="P5575">
        <v>0.98593940000000002</v>
      </c>
      <c r="Q5575">
        <v>-1.708432E-2</v>
      </c>
      <c r="R5575">
        <v>-0.1662284</v>
      </c>
      <c r="S5575">
        <v>2.7859500000000001</v>
      </c>
      <c r="T5575">
        <v>-0.23911679999999899</v>
      </c>
      <c r="U5575">
        <v>-1.52948</v>
      </c>
      <c r="V5575">
        <v>0.1199137</v>
      </c>
      <c r="W5575">
        <v>-4.0390629999999999E-3</v>
      </c>
      <c r="X5575">
        <v>0.99277610000000005</v>
      </c>
      <c r="Y5575">
        <v>0.438621599999999</v>
      </c>
      <c r="Z5575">
        <v>-1.382679E-2</v>
      </c>
      <c r="AA5575">
        <v>0.89856550000000002</v>
      </c>
      <c r="AB5575">
        <v>24</v>
      </c>
      <c r="AC5575">
        <v>13.3079</v>
      </c>
      <c r="AD5575">
        <v>-1.1522509999999999</v>
      </c>
      <c r="AE5575">
        <v>-7.3632200000000001</v>
      </c>
      <c r="AF5575">
        <v>6.6943694643451597</v>
      </c>
      <c r="AG5575">
        <v>-1.1522509999999999</v>
      </c>
      <c r="AH5575">
        <v>13.5598654694919</v>
      </c>
      <c r="AI5575">
        <v>94.357254924033995</v>
      </c>
      <c r="AJ5575">
        <v>63.724909068165999</v>
      </c>
      <c r="AK5575">
        <v>15.1661536469494</v>
      </c>
    </row>
    <row r="5576" spans="1:37" x14ac:dyDescent="0.2">
      <c r="A5576" t="str">
        <f>"20200111155706425"</f>
        <v>20200111155706425</v>
      </c>
      <c r="B5576" t="str">
        <f>"1578729426419136"</f>
        <v>1578729426419136</v>
      </c>
      <c r="C5576" t="s">
        <v>37</v>
      </c>
      <c r="D5576">
        <v>5.0596370000000004</v>
      </c>
      <c r="E5576">
        <v>0.63325750000000003</v>
      </c>
      <c r="F5576" t="s">
        <v>39</v>
      </c>
      <c r="G5576">
        <v>-314.72390000000001</v>
      </c>
      <c r="H5576">
        <v>-0.05</v>
      </c>
      <c r="I5576">
        <v>10.805619999999999</v>
      </c>
      <c r="J5576">
        <v>-328.02870000000001</v>
      </c>
      <c r="K5576">
        <v>1.102195</v>
      </c>
      <c r="L5576">
        <v>18.25018</v>
      </c>
      <c r="M5576">
        <v>0.99871430000000005</v>
      </c>
      <c r="N5576">
        <v>0</v>
      </c>
      <c r="O5576">
        <v>-4.8745190000000001E-2</v>
      </c>
      <c r="P5576">
        <v>0.98515039999999998</v>
      </c>
      <c r="Q5576">
        <v>-1.7190799999999999E-2</v>
      </c>
      <c r="R5576">
        <v>-0.1708316</v>
      </c>
      <c r="S5576">
        <v>2.7785340000000001</v>
      </c>
      <c r="T5576">
        <v>-0.23853449999999901</v>
      </c>
      <c r="U5576">
        <v>-1.5427249999999999</v>
      </c>
      <c r="V5576">
        <v>0.1225778</v>
      </c>
      <c r="W5576">
        <v>-4.1801290000000003E-3</v>
      </c>
      <c r="X5576">
        <v>0.9924501</v>
      </c>
      <c r="Y5576">
        <v>0.44113069999999999</v>
      </c>
      <c r="Z5576">
        <v>-1.375354E-2</v>
      </c>
      <c r="AA5576">
        <v>0.89733750000000001</v>
      </c>
      <c r="AB5576">
        <v>24</v>
      </c>
      <c r="AC5576">
        <v>13.3048</v>
      </c>
      <c r="AD5576">
        <v>-1.1521950000000001</v>
      </c>
      <c r="AE5576">
        <v>-7.4445600000000001</v>
      </c>
      <c r="AF5576">
        <v>6.7485570152966901</v>
      </c>
      <c r="AG5576">
        <v>-1.1521950000000001</v>
      </c>
      <c r="AH5576">
        <v>13.5743737529566</v>
      </c>
      <c r="AI5576">
        <v>94.3464344323462</v>
      </c>
      <c r="AJ5576">
        <v>63.565538803895201</v>
      </c>
      <c r="AK5576">
        <v>15.203098299086699</v>
      </c>
    </row>
    <row r="5577" spans="1:37" x14ac:dyDescent="0.2">
      <c r="A5577" t="str">
        <f>"20200111155706461"</f>
        <v>20200111155706461</v>
      </c>
      <c r="B5577" t="str">
        <f>"1578729426448417"</f>
        <v>1578729426448417</v>
      </c>
      <c r="C5577" t="s">
        <v>37</v>
      </c>
      <c r="D5577">
        <v>5.0323089999999997</v>
      </c>
      <c r="E5577">
        <v>0.63308240000000005</v>
      </c>
      <c r="F5577" t="s">
        <v>39</v>
      </c>
      <c r="G5577">
        <v>-314.58960000000002</v>
      </c>
      <c r="H5577">
        <v>-0.05</v>
      </c>
      <c r="I5577">
        <v>10.708209999999999</v>
      </c>
      <c r="J5577">
        <v>-327.64999999999998</v>
      </c>
      <c r="K5577">
        <v>1.102007</v>
      </c>
      <c r="L5577">
        <v>18.223749999999999</v>
      </c>
      <c r="M5577">
        <v>0.99836559999999896</v>
      </c>
      <c r="N5577">
        <v>0</v>
      </c>
      <c r="O5577">
        <v>-5.5426820000000002E-2</v>
      </c>
      <c r="P5577">
        <v>0.98271790000000003</v>
      </c>
      <c r="Q5577">
        <v>-1.720843E-2</v>
      </c>
      <c r="R5577">
        <v>-0.18430750000000001</v>
      </c>
      <c r="S5577">
        <v>2.7713930000000002</v>
      </c>
      <c r="T5577">
        <v>-0.2376047</v>
      </c>
      <c r="U5577">
        <v>-1.5552979999999901</v>
      </c>
      <c r="V5577">
        <v>0.1295231</v>
      </c>
      <c r="W5577">
        <v>-4.3018800000000001E-3</v>
      </c>
      <c r="X5577">
        <v>0.99156710000000003</v>
      </c>
      <c r="Y5577">
        <v>0.43924209999999902</v>
      </c>
      <c r="Z5577">
        <v>-1.311273E-2</v>
      </c>
      <c r="AA5577">
        <v>0.89827309999999905</v>
      </c>
      <c r="AB5577">
        <v>24</v>
      </c>
      <c r="AC5577">
        <v>13.0603999999999</v>
      </c>
      <c r="AD5577">
        <v>-1.152007</v>
      </c>
      <c r="AE5577">
        <v>-7.5155399999999899</v>
      </c>
      <c r="AF5577">
        <v>6.7406198198840004</v>
      </c>
      <c r="AG5577">
        <v>-1.152007</v>
      </c>
      <c r="AH5577">
        <v>13.3787250634781</v>
      </c>
      <c r="AI5577">
        <v>94.3973098485516</v>
      </c>
      <c r="AJ5577">
        <v>63.259606355943703</v>
      </c>
      <c r="AK5577">
        <v>15.0250910149789</v>
      </c>
    </row>
    <row r="5578" spans="1:37" x14ac:dyDescent="0.2">
      <c r="A5578" t="str">
        <f>"20200111155706473"</f>
        <v>20200111155706473</v>
      </c>
      <c r="B5578" t="str">
        <f>"1578729426468912"</f>
        <v>1578729426468912</v>
      </c>
      <c r="C5578" t="s">
        <v>37</v>
      </c>
      <c r="D5578">
        <v>5.0381859999999996</v>
      </c>
      <c r="E5578">
        <v>0.6327218</v>
      </c>
      <c r="F5578" t="s">
        <v>39</v>
      </c>
      <c r="G5578">
        <v>-314.23579999999998</v>
      </c>
      <c r="H5578">
        <v>-0.05</v>
      </c>
      <c r="I5578">
        <v>10.46111</v>
      </c>
      <c r="J5578">
        <v>-327.50389999999999</v>
      </c>
      <c r="K5578">
        <v>1.1019319999999999</v>
      </c>
      <c r="L5578">
        <v>18.212679999999999</v>
      </c>
      <c r="M5578">
        <v>0.99821099999999996</v>
      </c>
      <c r="N5578">
        <v>0</v>
      </c>
      <c r="O5578">
        <v>-5.8143499999999897E-2</v>
      </c>
      <c r="P5578">
        <v>0.98185219999999995</v>
      </c>
      <c r="Q5578">
        <v>-1.7256609999999999E-2</v>
      </c>
      <c r="R5578">
        <v>-0.188861</v>
      </c>
      <c r="S5578">
        <v>2.7501220000000002</v>
      </c>
      <c r="T5578">
        <v>-0.236179</v>
      </c>
      <c r="U5578">
        <v>-1.591461</v>
      </c>
      <c r="V5578">
        <v>0.1314196</v>
      </c>
      <c r="W5578">
        <v>-4.3858109999999999E-3</v>
      </c>
      <c r="X5578">
        <v>0.99131719999999901</v>
      </c>
      <c r="Y5578">
        <v>0.44862229999999997</v>
      </c>
      <c r="Z5578">
        <v>-1.3241559999999999E-2</v>
      </c>
      <c r="AA5578">
        <v>0.89362339999999996</v>
      </c>
      <c r="AB5578">
        <v>24</v>
      </c>
      <c r="AC5578">
        <v>13.2681</v>
      </c>
      <c r="AD5578">
        <v>-1.151932</v>
      </c>
      <c r="AE5578">
        <v>-7.7515699999999903</v>
      </c>
      <c r="AF5578">
        <v>6.9279925551204604</v>
      </c>
      <c r="AG5578">
        <v>-1.151932</v>
      </c>
      <c r="AH5578">
        <v>13.6198584344012</v>
      </c>
      <c r="AI5578">
        <v>94.3110948147811</v>
      </c>
      <c r="AJ5578">
        <v>63.038994665894101</v>
      </c>
      <c r="AK5578">
        <v>15.323986816411599</v>
      </c>
    </row>
    <row r="5579" spans="1:37" x14ac:dyDescent="0.2">
      <c r="A5579" t="str">
        <f>"20200111155706486"</f>
        <v>20200111155706486</v>
      </c>
      <c r="B5579" t="str">
        <f>"1578729426478672"</f>
        <v>1578729426478672</v>
      </c>
      <c r="C5579" t="s">
        <v>37</v>
      </c>
      <c r="D5579">
        <v>5.0318740000000002</v>
      </c>
      <c r="E5579">
        <v>0.63250569999999995</v>
      </c>
      <c r="F5579" t="s">
        <v>39</v>
      </c>
      <c r="G5579">
        <v>-313.8759</v>
      </c>
      <c r="H5579">
        <v>-0.05</v>
      </c>
      <c r="I5579">
        <v>10.25812</v>
      </c>
      <c r="J5579">
        <v>-327.37549999999999</v>
      </c>
      <c r="K5579">
        <v>1.1018699999999999</v>
      </c>
      <c r="L5579">
        <v>18.20251</v>
      </c>
      <c r="M5579">
        <v>0.99806550000000005</v>
      </c>
      <c r="N5579">
        <v>0</v>
      </c>
      <c r="O5579">
        <v>-6.0589339999999998E-2</v>
      </c>
      <c r="P5579">
        <v>0.98101689999999997</v>
      </c>
      <c r="Q5579">
        <v>-1.716964E-2</v>
      </c>
      <c r="R5579">
        <v>-0.1931602</v>
      </c>
      <c r="S5579">
        <v>2.7433779999999999</v>
      </c>
      <c r="T5579">
        <v>-0.23188890000000001</v>
      </c>
      <c r="U5579">
        <v>-1.6012879999999901</v>
      </c>
      <c r="V5579">
        <v>0.13333200000000001</v>
      </c>
      <c r="W5579">
        <v>-4.3323900000000002E-3</v>
      </c>
      <c r="X5579">
        <v>0.991062</v>
      </c>
      <c r="Y5579">
        <v>0.4498162</v>
      </c>
      <c r="Z5579">
        <v>-1.287571E-2</v>
      </c>
      <c r="AA5579">
        <v>0.8930283</v>
      </c>
      <c r="AB5579">
        <v>24</v>
      </c>
      <c r="AC5579">
        <v>13.4995999999999</v>
      </c>
      <c r="AD5579">
        <v>-1.1518699999999999</v>
      </c>
      <c r="AE5579">
        <v>-7.9443899999999896</v>
      </c>
      <c r="AF5579">
        <v>7.0735284194074399</v>
      </c>
      <c r="AG5579">
        <v>-1.1518699999999999</v>
      </c>
      <c r="AH5579">
        <v>13.8811199205237</v>
      </c>
      <c r="AI5579">
        <v>94.228473190352105</v>
      </c>
      <c r="AJ5579">
        <v>62.997560247628101</v>
      </c>
      <c r="AK5579">
        <v>15.622006882760701</v>
      </c>
    </row>
    <row r="5580" spans="1:37" x14ac:dyDescent="0.2">
      <c r="A5580" t="str">
        <f>"20200111155706500"</f>
        <v>20200111155706500</v>
      </c>
      <c r="B5580" t="str">
        <f>"1578729426488433"</f>
        <v>1578729426488433</v>
      </c>
      <c r="C5580" t="s">
        <v>37</v>
      </c>
      <c r="D5580">
        <v>5.0524969999999998</v>
      </c>
      <c r="E5580">
        <v>0.63232250000000001</v>
      </c>
      <c r="F5580" t="s">
        <v>39</v>
      </c>
      <c r="G5580">
        <v>-313.64420000000001</v>
      </c>
      <c r="H5580">
        <v>-0.05</v>
      </c>
      <c r="I5580">
        <v>10.11557</v>
      </c>
      <c r="J5580">
        <v>-327.23570000000001</v>
      </c>
      <c r="K5580">
        <v>1.101799</v>
      </c>
      <c r="L5580">
        <v>18.191189999999999</v>
      </c>
      <c r="M5580">
        <v>0.99789789999999901</v>
      </c>
      <c r="N5580">
        <v>0</v>
      </c>
      <c r="O5580">
        <v>-6.3288300000000006E-2</v>
      </c>
      <c r="P5580">
        <v>0.98019880000000004</v>
      </c>
      <c r="Q5580">
        <v>-1.6777460000000001E-2</v>
      </c>
      <c r="R5580">
        <v>-0.19730500000000001</v>
      </c>
      <c r="S5580">
        <v>2.736694</v>
      </c>
      <c r="T5580">
        <v>-0.22957179999999999</v>
      </c>
      <c r="U5580">
        <v>-1.6117549999999901</v>
      </c>
      <c r="V5580">
        <v>0.13484199999999999</v>
      </c>
      <c r="W5580">
        <v>-3.9717490000000001E-3</v>
      </c>
      <c r="X5580">
        <v>0.99085919999999905</v>
      </c>
      <c r="Y5580">
        <v>0.45091419999999999</v>
      </c>
      <c r="Z5580">
        <v>-1.259827E-2</v>
      </c>
      <c r="AA5580">
        <v>0.89247840000000001</v>
      </c>
      <c r="AB5580">
        <v>24</v>
      </c>
      <c r="AC5580">
        <v>13.5914999999999</v>
      </c>
      <c r="AD5580">
        <v>-1.151799</v>
      </c>
      <c r="AE5580">
        <v>-8.07561999999999</v>
      </c>
      <c r="AF5580">
        <v>7.1611514591306804</v>
      </c>
      <c r="AG5580">
        <v>-1.151799</v>
      </c>
      <c r="AH5580">
        <v>14.0010754741275</v>
      </c>
      <c r="AI5580">
        <v>94.188917447100593</v>
      </c>
      <c r="AJ5580">
        <v>62.911549039909403</v>
      </c>
      <c r="AK5580">
        <v>15.768286070122601</v>
      </c>
    </row>
    <row r="5581" spans="1:37" x14ac:dyDescent="0.2">
      <c r="A5581" t="str">
        <f>"20200111155706515"</f>
        <v>20200111155706515</v>
      </c>
      <c r="B5581" t="str">
        <f>"1578729426508929"</f>
        <v>1578729426508929</v>
      </c>
      <c r="C5581" t="s">
        <v>37</v>
      </c>
      <c r="D5581">
        <v>4.9928129999999999</v>
      </c>
      <c r="E5581">
        <v>0.63198259999999995</v>
      </c>
      <c r="F5581" t="s">
        <v>39</v>
      </c>
      <c r="G5581">
        <v>-313.33099999999899</v>
      </c>
      <c r="H5581">
        <v>-0.05</v>
      </c>
      <c r="I5581">
        <v>9.93011499999999</v>
      </c>
      <c r="J5581">
        <v>-327.05239999999998</v>
      </c>
      <c r="K5581">
        <v>1.10171</v>
      </c>
      <c r="L5581">
        <v>18.175509999999999</v>
      </c>
      <c r="M5581">
        <v>0.99765859999999995</v>
      </c>
      <c r="N5581">
        <v>0</v>
      </c>
      <c r="O5581">
        <v>-6.6952949999999997E-2</v>
      </c>
      <c r="P5581">
        <v>0.97887230000000003</v>
      </c>
      <c r="Q5581">
        <v>-1.5602690000000001E-2</v>
      </c>
      <c r="R5581">
        <v>-0.2038769</v>
      </c>
      <c r="S5581">
        <v>2.7302550000000001</v>
      </c>
      <c r="T5581">
        <v>-0.226160799999999</v>
      </c>
      <c r="U5581">
        <v>-1.622101</v>
      </c>
      <c r="V5581">
        <v>0.1378566</v>
      </c>
      <c r="W5581">
        <v>-2.8484840000000001E-3</v>
      </c>
      <c r="X5581">
        <v>0.99044809999999905</v>
      </c>
      <c r="Y5581">
        <v>0.45109840000000001</v>
      </c>
      <c r="Z5581">
        <v>-1.215549E-2</v>
      </c>
      <c r="AA5581">
        <v>0.89239139999999995</v>
      </c>
      <c r="AB5581">
        <v>24</v>
      </c>
      <c r="AC5581">
        <v>13.721399999999999</v>
      </c>
      <c r="AD5581">
        <v>-1.15171</v>
      </c>
      <c r="AE5581">
        <v>-8.2453950000000003</v>
      </c>
      <c r="AF5581">
        <v>7.2704797327873498</v>
      </c>
      <c r="AG5581">
        <v>-1.15171</v>
      </c>
      <c r="AH5581">
        <v>14.1693706703964</v>
      </c>
      <c r="AI5581">
        <v>94.136273759504704</v>
      </c>
      <c r="AJ5581">
        <v>62.837078487886103</v>
      </c>
      <c r="AK5581">
        <v>15.9673847784809</v>
      </c>
    </row>
    <row r="5582" spans="1:37" x14ac:dyDescent="0.2">
      <c r="A5582" t="str">
        <f>"20200111155706530"</f>
        <v>20200111155706530</v>
      </c>
      <c r="B5582" t="str">
        <f>"1578729426518689"</f>
        <v>1578729426518689</v>
      </c>
      <c r="C5582" t="s">
        <v>37</v>
      </c>
      <c r="D5582">
        <v>4.9902749999999996</v>
      </c>
      <c r="E5582">
        <v>0.63184030000000002</v>
      </c>
      <c r="F5582" t="s">
        <v>39</v>
      </c>
      <c r="G5582">
        <v>-312.76069999999999</v>
      </c>
      <c r="H5582">
        <v>-0.05</v>
      </c>
      <c r="I5582">
        <v>9.5706939999999996</v>
      </c>
      <c r="J5582">
        <v>-326.9067</v>
      </c>
      <c r="K5582">
        <v>1.1016379999999999</v>
      </c>
      <c r="L5582">
        <v>18.162379999999999</v>
      </c>
      <c r="M5582">
        <v>0.99745300000000003</v>
      </c>
      <c r="N5582">
        <v>0</v>
      </c>
      <c r="O5582">
        <v>-6.9948869999999996E-2</v>
      </c>
      <c r="P5582">
        <v>0.97795580000000004</v>
      </c>
      <c r="Q5582">
        <v>-1.504309E-2</v>
      </c>
      <c r="R5582">
        <v>-0.20827089999999901</v>
      </c>
      <c r="S5582">
        <v>2.720154</v>
      </c>
      <c r="T5582">
        <v>-0.21920509999999899</v>
      </c>
      <c r="U5582">
        <v>-1.637756</v>
      </c>
      <c r="V5582">
        <v>0.13933289999999901</v>
      </c>
      <c r="W5582">
        <v>-2.3205929999999902E-3</v>
      </c>
      <c r="X5582">
        <v>0.99024290000000004</v>
      </c>
      <c r="Y5582">
        <v>0.45370749999999999</v>
      </c>
      <c r="Z5582">
        <v>-1.168113E-2</v>
      </c>
      <c r="AA5582">
        <v>0.89107409999999998</v>
      </c>
      <c r="AB5582">
        <v>24</v>
      </c>
      <c r="AC5582">
        <v>14.146000000000001</v>
      </c>
      <c r="AD5582">
        <v>-1.1516379999999999</v>
      </c>
      <c r="AE5582">
        <v>-8.5916859999999993</v>
      </c>
      <c r="AF5582">
        <v>7.5445158893527804</v>
      </c>
      <c r="AG5582">
        <v>-1.1516379999999999</v>
      </c>
      <c r="AH5582">
        <v>14.6414912066308</v>
      </c>
      <c r="AI5582">
        <v>93.999568323486102</v>
      </c>
      <c r="AJ5582">
        <v>62.738704848750402</v>
      </c>
      <c r="AK5582">
        <v>16.511185749109199</v>
      </c>
    </row>
    <row r="5583" spans="1:37" x14ac:dyDescent="0.2">
      <c r="A5583" t="str">
        <f>"20200111155706544"</f>
        <v>20200111155706544</v>
      </c>
      <c r="B5583" t="str">
        <f>"1578729426539184"</f>
        <v>1578729426539184</v>
      </c>
      <c r="C5583" t="s">
        <v>37</v>
      </c>
      <c r="D5583">
        <v>4.9403829999999997</v>
      </c>
      <c r="E5583">
        <v>0.631683199999999</v>
      </c>
      <c r="F5583" t="s">
        <v>39</v>
      </c>
      <c r="G5583">
        <v>-312.37610000000001</v>
      </c>
      <c r="H5583">
        <v>-0.05</v>
      </c>
      <c r="I5583">
        <v>9.3309940000000005</v>
      </c>
      <c r="J5583">
        <v>-326.7593</v>
      </c>
      <c r="K5583">
        <v>1.1015709999999901</v>
      </c>
      <c r="L5583">
        <v>18.148710000000001</v>
      </c>
      <c r="M5583">
        <v>0.997231599999999</v>
      </c>
      <c r="N5583">
        <v>0</v>
      </c>
      <c r="O5583">
        <v>-7.3036019999999993E-2</v>
      </c>
      <c r="P5583">
        <v>0.97702869999999997</v>
      </c>
      <c r="Q5583">
        <v>-1.429629E-2</v>
      </c>
      <c r="R5583">
        <v>-0.21262809999999999</v>
      </c>
      <c r="S5583">
        <v>2.7131349999999999</v>
      </c>
      <c r="T5583">
        <v>-0.2150321</v>
      </c>
      <c r="U5583">
        <v>-1.648987</v>
      </c>
      <c r="V5583">
        <v>0.14068649999999999</v>
      </c>
      <c r="W5583">
        <v>-1.6047779999999901E-3</v>
      </c>
      <c r="X5583">
        <v>0.99005290000000001</v>
      </c>
      <c r="Y5583">
        <v>0.4547041</v>
      </c>
      <c r="Z5583">
        <v>-1.1287299999999899E-2</v>
      </c>
      <c r="AA5583">
        <v>0.890570999999999</v>
      </c>
      <c r="AB5583">
        <v>24</v>
      </c>
      <c r="AC5583">
        <v>14.383199999999899</v>
      </c>
      <c r="AD5583">
        <v>-1.1515709999999999</v>
      </c>
      <c r="AE5583">
        <v>-8.8177160000000008</v>
      </c>
      <c r="AF5583">
        <v>7.7076570832769402</v>
      </c>
      <c r="AG5583">
        <v>-1.1515709999999999</v>
      </c>
      <c r="AH5583">
        <v>14.919342127797499</v>
      </c>
      <c r="AI5583">
        <v>93.922956126042095</v>
      </c>
      <c r="AJ5583">
        <v>62.6781386818868</v>
      </c>
      <c r="AK5583">
        <v>16.832137802658998</v>
      </c>
    </row>
    <row r="5584" spans="1:37" x14ac:dyDescent="0.2">
      <c r="A5584" t="str">
        <f>"20200111155706554"</f>
        <v>20200111155706554</v>
      </c>
      <c r="B5584" t="str">
        <f>"1578729426548946"</f>
        <v>1578729426548946</v>
      </c>
      <c r="C5584" t="s">
        <v>37</v>
      </c>
      <c r="D5584">
        <v>5.0785229999999997</v>
      </c>
      <c r="E5584">
        <v>0.63634690000000005</v>
      </c>
      <c r="F5584" t="s">
        <v>39</v>
      </c>
      <c r="G5584">
        <v>-311.85449999999997</v>
      </c>
      <c r="H5584">
        <v>-0.05</v>
      </c>
      <c r="I5584">
        <v>9.0069579999999991</v>
      </c>
      <c r="J5584">
        <v>-326.6284</v>
      </c>
      <c r="K5584">
        <v>1.10151</v>
      </c>
      <c r="L5584">
        <v>18.136109999999999</v>
      </c>
      <c r="M5584">
        <v>0.99702239999999998</v>
      </c>
      <c r="N5584">
        <v>0</v>
      </c>
      <c r="O5584">
        <v>-7.5837810000000005E-2</v>
      </c>
      <c r="P5584">
        <v>0.97611460000000005</v>
      </c>
      <c r="Q5584">
        <v>-1.35716E-2</v>
      </c>
      <c r="R5584">
        <v>-0.21683240000000001</v>
      </c>
      <c r="S5584">
        <v>2.7062379999999999</v>
      </c>
      <c r="T5584">
        <v>-0.20908859999999899</v>
      </c>
      <c r="U5584">
        <v>-1.65985099999999</v>
      </c>
      <c r="V5584">
        <v>0.14217179999999999</v>
      </c>
      <c r="W5584">
        <v>-9.108203E-4</v>
      </c>
      <c r="X5584">
        <v>0.98984159999999899</v>
      </c>
      <c r="Y5584">
        <v>0.45586120000000002</v>
      </c>
      <c r="Z5584">
        <v>-1.0834079999999999E-2</v>
      </c>
      <c r="AA5584">
        <v>0.88998500000000003</v>
      </c>
      <c r="AB5584">
        <v>24</v>
      </c>
      <c r="AC5584">
        <v>14.773899999999999</v>
      </c>
      <c r="AD5584">
        <v>-1.15151</v>
      </c>
      <c r="AE5584">
        <v>-9.1291519999999995</v>
      </c>
      <c r="AF5584">
        <v>7.9473876283842504</v>
      </c>
      <c r="AG5584">
        <v>-1.15151</v>
      </c>
      <c r="AH5584">
        <v>15.3562366190029</v>
      </c>
      <c r="AI5584">
        <v>93.810062647528696</v>
      </c>
      <c r="AJ5584">
        <v>62.6368601924028</v>
      </c>
      <c r="AK5584">
        <v>17.329193532726801</v>
      </c>
    </row>
    <row r="5585" spans="1:37" x14ac:dyDescent="0.2">
      <c r="A5585" t="str">
        <f>"20200111155706582"</f>
        <v>20200111155706582</v>
      </c>
      <c r="B5585" t="str">
        <f>"1578729426578225"</f>
        <v>1578729426578225</v>
      </c>
      <c r="C5585" t="s">
        <v>37</v>
      </c>
      <c r="D5585">
        <v>5.2057760000000002</v>
      </c>
      <c r="E5585">
        <v>0.6390091</v>
      </c>
      <c r="F5585" t="s">
        <v>39</v>
      </c>
      <c r="G5585">
        <v>-273.08350000000002</v>
      </c>
      <c r="H5585">
        <v>-0.05</v>
      </c>
      <c r="I5585">
        <v>-15.90437</v>
      </c>
      <c r="J5585">
        <v>-326.34500000000003</v>
      </c>
      <c r="K5585">
        <v>1.1013740000000001</v>
      </c>
      <c r="L5585">
        <v>18.10727</v>
      </c>
      <c r="M5585">
        <v>0.99652499999999999</v>
      </c>
      <c r="N5585">
        <v>0</v>
      </c>
      <c r="O5585">
        <v>-8.2110080000000002E-2</v>
      </c>
      <c r="P5585">
        <v>0.97369699999999904</v>
      </c>
      <c r="Q5585">
        <v>-1.317521E-2</v>
      </c>
      <c r="R5585">
        <v>-0.2274659</v>
      </c>
      <c r="S5585">
        <v>2.6924130000000002</v>
      </c>
      <c r="T5585">
        <v>-5.790174E-2</v>
      </c>
      <c r="U5585">
        <v>-1.71167</v>
      </c>
      <c r="V5585">
        <v>0.1467397</v>
      </c>
      <c r="W5585">
        <v>-5.9523789999999996E-4</v>
      </c>
      <c r="X5585">
        <v>0.98917500000000003</v>
      </c>
      <c r="Y5585">
        <v>0.46532590000000001</v>
      </c>
      <c r="Z5585">
        <v>-2.9741049999999999E-3</v>
      </c>
      <c r="AA5585">
        <v>0.88513449999999905</v>
      </c>
      <c r="AB5585">
        <v>24</v>
      </c>
      <c r="AC5585">
        <v>53.261499999999998</v>
      </c>
      <c r="AD5585">
        <v>-1.1513739999999999</v>
      </c>
      <c r="AE5585">
        <v>-34.01164</v>
      </c>
      <c r="AF5585">
        <v>29.513237973225198</v>
      </c>
      <c r="AG5585">
        <v>-1.1513739999999999</v>
      </c>
      <c r="AH5585">
        <v>55.856045487213898</v>
      </c>
      <c r="AI5585">
        <v>91.044128543939493</v>
      </c>
      <c r="AJ5585">
        <v>62.148906305609501</v>
      </c>
      <c r="AK5585">
        <v>63.184291522670499</v>
      </c>
    </row>
    <row r="5586" spans="1:37" x14ac:dyDescent="0.2">
      <c r="A5586" t="str">
        <f>"20200111155706592"</f>
        <v>20200111155706592</v>
      </c>
      <c r="B5586" t="str">
        <f>"1578729426588961"</f>
        <v>1578729426588961</v>
      </c>
      <c r="C5586" t="s">
        <v>37</v>
      </c>
      <c r="D5586">
        <v>5.1247389999999999</v>
      </c>
      <c r="E5586">
        <v>0.63849</v>
      </c>
      <c r="F5586" t="s">
        <v>82</v>
      </c>
      <c r="G5586">
        <v>-279.02</v>
      </c>
      <c r="H5586">
        <v>0.1744976</v>
      </c>
      <c r="I5586">
        <v>-13.136609999999999</v>
      </c>
      <c r="J5586">
        <v>-326.22739999999999</v>
      </c>
      <c r="K5586">
        <v>1.1013219999999999</v>
      </c>
      <c r="L5586">
        <v>18.094670000000001</v>
      </c>
      <c r="M5586">
        <v>0.99630049999999903</v>
      </c>
      <c r="N5586">
        <v>0</v>
      </c>
      <c r="O5586">
        <v>-8.4792259999999994E-2</v>
      </c>
      <c r="P5586">
        <v>0.97269699999999903</v>
      </c>
      <c r="Q5586">
        <v>-1.3331519999999999E-2</v>
      </c>
      <c r="R5586">
        <v>-0.2316965</v>
      </c>
      <c r="S5586">
        <v>2.668701</v>
      </c>
      <c r="T5586">
        <v>-5.2267429999999997E-2</v>
      </c>
      <c r="U5586">
        <v>-1.761871</v>
      </c>
      <c r="V5586">
        <v>0.14837539999999999</v>
      </c>
      <c r="W5586">
        <v>-7.8278919999999995E-4</v>
      </c>
      <c r="X5586">
        <v>0.9889308</v>
      </c>
      <c r="Y5586">
        <v>0.47815200000000002</v>
      </c>
      <c r="Z5586">
        <v>-2.7596700000000001E-3</v>
      </c>
      <c r="AA5586">
        <v>0.87827279999999996</v>
      </c>
      <c r="AB5586">
        <v>24</v>
      </c>
      <c r="AC5586">
        <v>47.2074</v>
      </c>
      <c r="AD5586">
        <v>-0.92682439999999999</v>
      </c>
      <c r="AE5586">
        <v>-31.231280000000002</v>
      </c>
      <c r="AF5586">
        <v>27.108301607373999</v>
      </c>
      <c r="AG5586">
        <v>-0.92682439999999999</v>
      </c>
      <c r="AH5586">
        <v>49.672468560546001</v>
      </c>
      <c r="AI5586">
        <v>90.938331024752003</v>
      </c>
      <c r="AJ5586">
        <v>61.376893567612598</v>
      </c>
      <c r="AK5586">
        <v>56.595699062766499</v>
      </c>
    </row>
    <row r="5587" spans="1:37" x14ac:dyDescent="0.2">
      <c r="A5587" t="str">
        <f>"20200111155706604"</f>
        <v>20200111155706604</v>
      </c>
      <c r="B5587" t="str">
        <f>"1578729426598720"</f>
        <v>1578729426598720</v>
      </c>
      <c r="C5587" t="s">
        <v>37</v>
      </c>
      <c r="D5587">
        <v>5.077591</v>
      </c>
      <c r="E5587">
        <v>0.63786069999999995</v>
      </c>
      <c r="F5587" t="s">
        <v>39</v>
      </c>
      <c r="G5587">
        <v>-276.03680000000003</v>
      </c>
      <c r="H5587">
        <v>-0.05</v>
      </c>
      <c r="I5587">
        <v>-15.264679999999901</v>
      </c>
      <c r="J5587">
        <v>-326.10340000000002</v>
      </c>
      <c r="K5587">
        <v>1.1012660000000001</v>
      </c>
      <c r="L5587">
        <v>18.080960000000001</v>
      </c>
      <c r="M5587">
        <v>0.99605180000000004</v>
      </c>
      <c r="N5587">
        <v>0</v>
      </c>
      <c r="O5587">
        <v>-8.7662729999999994E-2</v>
      </c>
      <c r="P5587">
        <v>0.97168140000000003</v>
      </c>
      <c r="Q5587">
        <v>-1.383912E-2</v>
      </c>
      <c r="R5587">
        <v>-0.2358895</v>
      </c>
      <c r="S5587">
        <v>2.6619259999999998</v>
      </c>
      <c r="T5587">
        <v>-6.1061860000000003E-2</v>
      </c>
      <c r="U5587">
        <v>-1.7692570000000001</v>
      </c>
      <c r="V5587">
        <v>0.1497868</v>
      </c>
      <c r="W5587">
        <v>-1.3199329999999999E-3</v>
      </c>
      <c r="X5587">
        <v>0.98871739999999997</v>
      </c>
      <c r="Y5587">
        <v>0.47832200000000002</v>
      </c>
      <c r="Z5587">
        <v>-3.1714379999999999E-3</v>
      </c>
      <c r="AA5587">
        <v>0.87817880000000004</v>
      </c>
      <c r="AB5587">
        <v>24</v>
      </c>
      <c r="AC5587">
        <v>50.066600000000001</v>
      </c>
      <c r="AD5587">
        <v>-1.1512659999999999</v>
      </c>
      <c r="AE5587">
        <v>-33.345640000000003</v>
      </c>
      <c r="AF5587">
        <v>28.817280855471701</v>
      </c>
      <c r="AG5587">
        <v>-1.1512659999999999</v>
      </c>
      <c r="AH5587">
        <v>52.777941372894396</v>
      </c>
      <c r="AI5587">
        <v>91.096817174713294</v>
      </c>
      <c r="AJ5587">
        <v>61.365020795226997</v>
      </c>
      <c r="AK5587">
        <v>60.143762643075299</v>
      </c>
    </row>
    <row r="5588" spans="1:37" x14ac:dyDescent="0.2">
      <c r="A5588" t="str">
        <f>"20200111155706617"</f>
        <v>20200111155706617</v>
      </c>
      <c r="B5588" t="str">
        <f>"1578729426608481"</f>
        <v>1578729426608481</v>
      </c>
      <c r="C5588" t="s">
        <v>37</v>
      </c>
      <c r="D5588">
        <v>5.1087049999999996</v>
      </c>
      <c r="E5588">
        <v>0.63735039999999998</v>
      </c>
      <c r="F5588" t="s">
        <v>39</v>
      </c>
      <c r="G5588">
        <v>-277.59449999999998</v>
      </c>
      <c r="H5588">
        <v>-0.05</v>
      </c>
      <c r="I5588">
        <v>-14.35924</v>
      </c>
      <c r="J5588">
        <v>-325.97320000000002</v>
      </c>
      <c r="K5588">
        <v>1.1012059999999999</v>
      </c>
      <c r="L5588">
        <v>18.06625</v>
      </c>
      <c r="M5588">
        <v>0.99577859999999996</v>
      </c>
      <c r="N5588">
        <v>0</v>
      </c>
      <c r="O5588">
        <v>-9.0714820000000002E-2</v>
      </c>
      <c r="P5588">
        <v>0.97066749999999902</v>
      </c>
      <c r="Q5588">
        <v>-1.405124E-2</v>
      </c>
      <c r="R5588">
        <v>-0.24001520000000001</v>
      </c>
      <c r="S5588">
        <v>2.6553960000000001</v>
      </c>
      <c r="T5588">
        <v>-6.3020709999999994E-2</v>
      </c>
      <c r="U5588">
        <v>-1.775787</v>
      </c>
      <c r="V5588">
        <v>0.15095500000000001</v>
      </c>
      <c r="W5588">
        <v>-1.5596309999999999E-3</v>
      </c>
      <c r="X5588">
        <v>0.98853939999999996</v>
      </c>
      <c r="Y5588">
        <v>0.47811579999999898</v>
      </c>
      <c r="Z5588">
        <v>-3.2109740000000001E-3</v>
      </c>
      <c r="AA5588">
        <v>0.87829099999999904</v>
      </c>
      <c r="AB5588">
        <v>24</v>
      </c>
      <c r="AC5588">
        <v>48.378700000000002</v>
      </c>
      <c r="AD5588">
        <v>-1.151206</v>
      </c>
      <c r="AE5588">
        <v>-32.425490000000003</v>
      </c>
      <c r="AF5588">
        <v>27.891778021769401</v>
      </c>
      <c r="AG5588">
        <v>-1.151206</v>
      </c>
      <c r="AH5588">
        <v>51.100985668742403</v>
      </c>
      <c r="AI5588">
        <v>91.132834607268705</v>
      </c>
      <c r="AJ5588">
        <v>61.373545035778399</v>
      </c>
      <c r="AK5588">
        <v>58.228749709976697</v>
      </c>
    </row>
    <row r="5589" spans="1:37" x14ac:dyDescent="0.2">
      <c r="A5589" t="str">
        <f>"20200111155706628"</f>
        <v>20200111155706628</v>
      </c>
      <c r="B5589" t="str">
        <f>"1578729426618241"</f>
        <v>1578729426618241</v>
      </c>
      <c r="C5589" t="s">
        <v>37</v>
      </c>
      <c r="D5589">
        <v>4.9923209999999996</v>
      </c>
      <c r="E5589">
        <v>0.63686339999999997</v>
      </c>
      <c r="F5589" t="s">
        <v>38</v>
      </c>
      <c r="G5589">
        <v>-285.61169999999998</v>
      </c>
      <c r="H5589">
        <v>7.9986299999999996E-2</v>
      </c>
      <c r="I5589">
        <v>-9.1022890000000007</v>
      </c>
      <c r="J5589">
        <v>-325.85660000000001</v>
      </c>
      <c r="K5589">
        <v>1.1011549999999899</v>
      </c>
      <c r="L5589">
        <v>18.05255</v>
      </c>
      <c r="M5589">
        <v>0.99552009999999902</v>
      </c>
      <c r="N5589">
        <v>0</v>
      </c>
      <c r="O5589">
        <v>-9.3507969999999996E-2</v>
      </c>
      <c r="P5589">
        <v>0.96972780000000003</v>
      </c>
      <c r="Q5589">
        <v>-1.442685E-2</v>
      </c>
      <c r="R5589">
        <v>-0.2437626</v>
      </c>
      <c r="S5589">
        <v>2.6488040000000002</v>
      </c>
      <c r="T5589">
        <v>-6.7019579999999995E-2</v>
      </c>
      <c r="U5589">
        <v>-1.7829900000000001</v>
      </c>
      <c r="V5589">
        <v>0.15199670000000001</v>
      </c>
      <c r="W5589">
        <v>-1.958914E-3</v>
      </c>
      <c r="X5589">
        <v>0.98837909999999995</v>
      </c>
      <c r="Y5589">
        <v>0.47829739999999998</v>
      </c>
      <c r="Z5589">
        <v>-3.3585400000000001E-3</v>
      </c>
      <c r="AA5589">
        <v>0.87819150000000001</v>
      </c>
      <c r="AB5589">
        <v>24</v>
      </c>
      <c r="AC5589">
        <v>40.244900000000001</v>
      </c>
      <c r="AD5589">
        <v>-1.02116869999999</v>
      </c>
      <c r="AE5589">
        <v>-27.154838999999999</v>
      </c>
      <c r="AF5589">
        <v>23.261958402785201</v>
      </c>
      <c r="AG5589">
        <v>-1.02116869999999</v>
      </c>
      <c r="AH5589">
        <v>42.589134301803298</v>
      </c>
      <c r="AI5589">
        <v>91.205493598333504</v>
      </c>
      <c r="AJ5589">
        <v>61.356867905814603</v>
      </c>
      <c r="AK5589">
        <v>48.538601698275301</v>
      </c>
    </row>
    <row r="5590" spans="1:37" x14ac:dyDescent="0.2">
      <c r="A5590" t="str">
        <f>"20200111155706640"</f>
        <v>20200111155706640</v>
      </c>
      <c r="B5590" t="str">
        <f>"1578729426628977"</f>
        <v>1578729426628977</v>
      </c>
      <c r="C5590" t="s">
        <v>37</v>
      </c>
      <c r="D5590">
        <v>5.0759099999999897</v>
      </c>
      <c r="E5590">
        <v>0.63625909999999997</v>
      </c>
      <c r="F5590" t="s">
        <v>38</v>
      </c>
      <c r="G5590">
        <v>-288.1397</v>
      </c>
      <c r="H5590">
        <v>7.9986600000000005E-2</v>
      </c>
      <c r="I5590">
        <v>-7.4843270000000004</v>
      </c>
      <c r="J5590">
        <v>-325.72500000000002</v>
      </c>
      <c r="K5590">
        <v>1.1011</v>
      </c>
      <c r="L5590">
        <v>18.036770000000001</v>
      </c>
      <c r="M5590">
        <v>0.99521659999999901</v>
      </c>
      <c r="N5590">
        <v>0</v>
      </c>
      <c r="O5590">
        <v>-9.6682379999999998E-2</v>
      </c>
      <c r="P5590">
        <v>0.96875460000000002</v>
      </c>
      <c r="Q5590">
        <v>-1.477356E-2</v>
      </c>
      <c r="R5590">
        <v>-0.2475813</v>
      </c>
      <c r="S5590">
        <v>2.6428219999999998</v>
      </c>
      <c r="T5590">
        <v>-7.1553229999999995E-2</v>
      </c>
      <c r="U5590">
        <v>-1.7893680000000001</v>
      </c>
      <c r="V5590">
        <v>0.1527355</v>
      </c>
      <c r="W5590">
        <v>-2.3274720000000001E-3</v>
      </c>
      <c r="X5590">
        <v>0.98826440000000004</v>
      </c>
      <c r="Y5590">
        <v>0.47786069999999897</v>
      </c>
      <c r="Z5590">
        <v>-3.5084409999999902E-3</v>
      </c>
      <c r="AA5590">
        <v>0.8784286</v>
      </c>
      <c r="AB5590">
        <v>24</v>
      </c>
      <c r="AC5590">
        <v>37.585299999999997</v>
      </c>
      <c r="AD5590">
        <v>-1.0211133999999999</v>
      </c>
      <c r="AE5590">
        <v>-25.521097000000001</v>
      </c>
      <c r="AF5590">
        <v>21.756330417007</v>
      </c>
      <c r="AG5590">
        <v>-1.0211133999999999</v>
      </c>
      <c r="AH5590">
        <v>39.8567370583959</v>
      </c>
      <c r="AI5590">
        <v>91.2882195704955</v>
      </c>
      <c r="AJ5590">
        <v>61.371493253854197</v>
      </c>
      <c r="AK5590">
        <v>45.419600116378703</v>
      </c>
    </row>
    <row r="5591" spans="1:37" x14ac:dyDescent="0.2">
      <c r="A5591" t="str">
        <f>"20200111155706653"</f>
        <v>20200111155706653</v>
      </c>
      <c r="B5591" t="str">
        <f>"1578729426648497"</f>
        <v>1578729426648497</v>
      </c>
      <c r="C5591" t="s">
        <v>37</v>
      </c>
      <c r="D5591">
        <v>5.0518689999999999</v>
      </c>
      <c r="E5591">
        <v>0.635024699999999</v>
      </c>
      <c r="F5591" t="s">
        <v>38</v>
      </c>
      <c r="G5591">
        <v>-289.93759999999997</v>
      </c>
      <c r="H5591">
        <v>7.0139660000000006E-2</v>
      </c>
      <c r="I5591">
        <v>-6.3257149999999998</v>
      </c>
      <c r="J5591">
        <v>-325.58730000000003</v>
      </c>
      <c r="K5591">
        <v>1.1010439999999999</v>
      </c>
      <c r="L5591">
        <v>18.019649999999999</v>
      </c>
      <c r="M5591">
        <v>0.99488109999999996</v>
      </c>
      <c r="N5591">
        <v>0</v>
      </c>
      <c r="O5591">
        <v>-0.10007480000000001</v>
      </c>
      <c r="P5591">
        <v>0.96770140000000004</v>
      </c>
      <c r="Q5591">
        <v>-1.52263E-2</v>
      </c>
      <c r="R5591">
        <v>-0.2516391</v>
      </c>
      <c r="S5591">
        <v>2.636841</v>
      </c>
      <c r="T5591">
        <v>-7.5961829999999994E-2</v>
      </c>
      <c r="U5591">
        <v>-1.7950439999999901</v>
      </c>
      <c r="V5591">
        <v>0.1535041</v>
      </c>
      <c r="W5591">
        <v>-2.8018179999999902E-3</v>
      </c>
      <c r="X5591">
        <v>0.98814400000000002</v>
      </c>
      <c r="Y5591">
        <v>0.47707269999999902</v>
      </c>
      <c r="Z5591">
        <v>-3.632485E-3</v>
      </c>
      <c r="AA5591">
        <v>0.87885630000000003</v>
      </c>
      <c r="AB5591">
        <v>24</v>
      </c>
      <c r="AC5591">
        <v>35.649700000000003</v>
      </c>
      <c r="AD5591">
        <v>-1.03090434</v>
      </c>
      <c r="AE5591">
        <v>-24.345365000000001</v>
      </c>
      <c r="AF5591">
        <v>20.643365336054298</v>
      </c>
      <c r="AG5591">
        <v>-1.03090434</v>
      </c>
      <c r="AH5591">
        <v>37.885692074726997</v>
      </c>
      <c r="AI5591">
        <v>91.368768054189502</v>
      </c>
      <c r="AJ5591">
        <v>61.414672949261998</v>
      </c>
      <c r="AK5591">
        <v>43.157119460606602</v>
      </c>
    </row>
    <row r="5592" spans="1:37" x14ac:dyDescent="0.2">
      <c r="A5592" t="str">
        <f>"20200111155706664"</f>
        <v>20200111155706664</v>
      </c>
      <c r="B5592" t="str">
        <f>"1578729426658257"</f>
        <v>1578729426658257</v>
      </c>
      <c r="C5592" t="s">
        <v>37</v>
      </c>
      <c r="D5592">
        <v>4.9568310000000002</v>
      </c>
      <c r="E5592">
        <v>0.63508469999999995</v>
      </c>
      <c r="F5592" t="s">
        <v>38</v>
      </c>
      <c r="G5592">
        <v>-291.32310000000001</v>
      </c>
      <c r="H5592" s="1">
        <v>-3.77674599999999E-6</v>
      </c>
      <c r="I5592">
        <v>-5.3685429999999998</v>
      </c>
      <c r="J5592">
        <v>-325.46660000000003</v>
      </c>
      <c r="K5592">
        <v>1.1009990000000001</v>
      </c>
      <c r="L5592">
        <v>18.00421</v>
      </c>
      <c r="M5592">
        <v>0.99457399999999996</v>
      </c>
      <c r="N5592">
        <v>0</v>
      </c>
      <c r="O5592">
        <v>-0.1030817</v>
      </c>
      <c r="P5592">
        <v>0.96676669999999998</v>
      </c>
      <c r="Q5592">
        <v>-1.5965389999999999E-2</v>
      </c>
      <c r="R5592">
        <v>-0.25516129999999998</v>
      </c>
      <c r="S5592">
        <v>2.631653</v>
      </c>
      <c r="T5592">
        <v>-8.4565760000000004E-2</v>
      </c>
      <c r="U5592">
        <v>-1.7963259999999901</v>
      </c>
      <c r="V5592">
        <v>0.15410929999999901</v>
      </c>
      <c r="W5592">
        <v>-3.558294E-3</v>
      </c>
      <c r="X5592">
        <v>0.98804740000000002</v>
      </c>
      <c r="Y5592">
        <v>0.475489099999999</v>
      </c>
      <c r="Z5592">
        <v>-3.9411649999999999E-3</v>
      </c>
      <c r="AA5592">
        <v>0.87971279999999996</v>
      </c>
      <c r="AB5592">
        <v>24</v>
      </c>
      <c r="AC5592">
        <v>34.143500000000003</v>
      </c>
      <c r="AD5592">
        <v>-1.101002776746</v>
      </c>
      <c r="AE5592">
        <v>-23.372752999999999</v>
      </c>
      <c r="AF5592">
        <v>19.714344493679999</v>
      </c>
      <c r="AG5592">
        <v>-1.101002776746</v>
      </c>
      <c r="AH5592">
        <v>36.345384224733003</v>
      </c>
      <c r="AI5592">
        <v>91.525301869032802</v>
      </c>
      <c r="AJ5592">
        <v>61.523855107413297</v>
      </c>
      <c r="AK5592">
        <v>41.362477444821501</v>
      </c>
    </row>
    <row r="5593" spans="1:37" x14ac:dyDescent="0.2">
      <c r="A5593" t="str">
        <f>"20200111155706675"</f>
        <v>20200111155706675</v>
      </c>
      <c r="B5593" t="str">
        <f>"1578729426668992"</f>
        <v>1578729426668992</v>
      </c>
      <c r="C5593" t="s">
        <v>37</v>
      </c>
      <c r="D5593">
        <v>4.9368169999999996</v>
      </c>
      <c r="E5593">
        <v>0.63523379999999996</v>
      </c>
      <c r="F5593" t="s">
        <v>38</v>
      </c>
      <c r="G5593">
        <v>-292.53070000000002</v>
      </c>
      <c r="H5593" s="1">
        <v>-3.7275159999999999E-6</v>
      </c>
      <c r="I5593">
        <v>-4.6600710000000003</v>
      </c>
      <c r="J5593">
        <v>-325.34440000000001</v>
      </c>
      <c r="K5593">
        <v>1.100956</v>
      </c>
      <c r="L5593">
        <v>17.988250000000001</v>
      </c>
      <c r="M5593">
        <v>0.99425059999999998</v>
      </c>
      <c r="N5593">
        <v>0</v>
      </c>
      <c r="O5593">
        <v>-0.10615519999999901</v>
      </c>
      <c r="P5593">
        <v>0.96579329999999997</v>
      </c>
      <c r="Q5593">
        <v>-1.6689389999999998E-2</v>
      </c>
      <c r="R5593">
        <v>-0.25877660000000002</v>
      </c>
      <c r="S5593">
        <v>2.6249389999999999</v>
      </c>
      <c r="T5593">
        <v>-8.7748049999999994E-2</v>
      </c>
      <c r="U5593">
        <v>-1.8063049999999901</v>
      </c>
      <c r="V5593">
        <v>0.15474599999999999</v>
      </c>
      <c r="W5593">
        <v>-4.2994979999999997E-3</v>
      </c>
      <c r="X5593">
        <v>0.98794499999999996</v>
      </c>
      <c r="Y5593">
        <v>0.47608159999999999</v>
      </c>
      <c r="Z5593">
        <v>-4.0122200000000004E-3</v>
      </c>
      <c r="AA5593">
        <v>0.87939199999999995</v>
      </c>
      <c r="AB5593">
        <v>24</v>
      </c>
      <c r="AC5593">
        <v>32.813699999999898</v>
      </c>
      <c r="AD5593">
        <v>-1.1009597275159999</v>
      </c>
      <c r="AE5593">
        <v>-22.648320999999999</v>
      </c>
      <c r="AF5593">
        <v>19.0221312218824</v>
      </c>
      <c r="AG5593">
        <v>-1.1009597275159999</v>
      </c>
      <c r="AH5593">
        <v>35.006034062459001</v>
      </c>
      <c r="AI5593">
        <v>91.5829200620623</v>
      </c>
      <c r="AJ5593">
        <v>61.480529704522198</v>
      </c>
      <c r="AK5593">
        <v>39.8556897986495</v>
      </c>
    </row>
    <row r="5594" spans="1:37" x14ac:dyDescent="0.2">
      <c r="A5594" t="str">
        <f>"20200111155706687"</f>
        <v>20200111155706687</v>
      </c>
      <c r="B5594" t="str">
        <f>"1578729426678752"</f>
        <v>1578729426678752</v>
      </c>
      <c r="C5594" t="s">
        <v>37</v>
      </c>
      <c r="D5594">
        <v>5.1672769999999897</v>
      </c>
      <c r="E5594">
        <v>0.63474209999999998</v>
      </c>
      <c r="F5594" t="s">
        <v>38</v>
      </c>
      <c r="G5594">
        <v>-292.88690000000003</v>
      </c>
      <c r="H5594" s="1">
        <v>-3.6780179999999998E-6</v>
      </c>
      <c r="I5594">
        <v>-4.5421569999999996</v>
      </c>
      <c r="J5594">
        <v>-325.22469999999998</v>
      </c>
      <c r="K5594">
        <v>1.1009169999999999</v>
      </c>
      <c r="L5594">
        <v>17.972049999999999</v>
      </c>
      <c r="M5594">
        <v>0.99391939999999901</v>
      </c>
      <c r="N5594">
        <v>0</v>
      </c>
      <c r="O5594">
        <v>-0.1092118</v>
      </c>
      <c r="P5594">
        <v>0.96479889999999902</v>
      </c>
      <c r="Q5594">
        <v>-1.747284E-2</v>
      </c>
      <c r="R5594">
        <v>-0.2624088</v>
      </c>
      <c r="S5594">
        <v>2.6178279999999998</v>
      </c>
      <c r="T5594">
        <v>-8.8796849999999997E-2</v>
      </c>
      <c r="U5594">
        <v>-1.81716899999999</v>
      </c>
      <c r="V5594">
        <v>0.1554191</v>
      </c>
      <c r="W5594">
        <v>-5.0993649999999998E-3</v>
      </c>
      <c r="X5594">
        <v>0.98783549999999998</v>
      </c>
      <c r="Y5594">
        <v>0.47695709999999902</v>
      </c>
      <c r="Z5594">
        <v>-3.9869140000000003E-3</v>
      </c>
      <c r="AA5594">
        <v>0.87891759999999997</v>
      </c>
      <c r="AB5594">
        <v>24</v>
      </c>
      <c r="AC5594">
        <v>32.337799999999902</v>
      </c>
      <c r="AD5594">
        <v>-1.1009206780180001</v>
      </c>
      <c r="AE5594">
        <v>-22.514206999999999</v>
      </c>
      <c r="AF5594">
        <v>18.832792949693602</v>
      </c>
      <c r="AG5594">
        <v>-1.1009206780180001</v>
      </c>
      <c r="AH5594">
        <v>34.576401174799798</v>
      </c>
      <c r="AI5594">
        <v>91.601664034553494</v>
      </c>
      <c r="AJ5594">
        <v>61.424113178482699</v>
      </c>
      <c r="AK5594">
        <v>39.387988458742299</v>
      </c>
    </row>
    <row r="5595" spans="1:37" x14ac:dyDescent="0.2">
      <c r="A5595" t="str">
        <f>"20200111155706699"</f>
        <v>20200111155706699</v>
      </c>
      <c r="B5595" t="str">
        <f>"1578729426688513"</f>
        <v>1578729426688513</v>
      </c>
      <c r="C5595" t="s">
        <v>37</v>
      </c>
      <c r="D5595">
        <v>5.0625900000000001</v>
      </c>
      <c r="E5595">
        <v>0.63435509999999995</v>
      </c>
      <c r="F5595" t="s">
        <v>38</v>
      </c>
      <c r="G5595">
        <v>-293.95249999999999</v>
      </c>
      <c r="H5595" s="1">
        <v>-3.703407E-6</v>
      </c>
      <c r="I5595">
        <v>-3.8579119999999998</v>
      </c>
      <c r="J5595">
        <v>-325.10250000000002</v>
      </c>
      <c r="K5595">
        <v>1.1008770000000001</v>
      </c>
      <c r="L5595">
        <v>17.95532</v>
      </c>
      <c r="M5595">
        <v>0.99356949999999999</v>
      </c>
      <c r="N5595">
        <v>0</v>
      </c>
      <c r="O5595">
        <v>-0.112349399999999</v>
      </c>
      <c r="P5595">
        <v>0.96376759999999995</v>
      </c>
      <c r="Q5595">
        <v>-1.8071920000000002E-2</v>
      </c>
      <c r="R5595">
        <v>-0.26613009999999998</v>
      </c>
      <c r="S5595">
        <v>2.6119080000000001</v>
      </c>
      <c r="T5595">
        <v>-9.1950649999999995E-2</v>
      </c>
      <c r="U5595">
        <v>-1.8232729999999999</v>
      </c>
      <c r="V5595">
        <v>0.15610739999999901</v>
      </c>
      <c r="W5595">
        <v>-5.715169E-3</v>
      </c>
      <c r="X5595">
        <v>0.98772349999999998</v>
      </c>
      <c r="Y5595">
        <v>0.47648829999999998</v>
      </c>
      <c r="Z5595">
        <v>-4.0289779999999999E-3</v>
      </c>
      <c r="AA5595">
        <v>0.87917160000000005</v>
      </c>
      <c r="AB5595">
        <v>24</v>
      </c>
      <c r="AC5595">
        <v>31.15</v>
      </c>
      <c r="AD5595">
        <v>-1.1008807034070001</v>
      </c>
      <c r="AE5595">
        <v>-21.813231999999999</v>
      </c>
      <c r="AF5595">
        <v>18.159852029224101</v>
      </c>
      <c r="AG5595">
        <v>-1.1008807034070001</v>
      </c>
      <c r="AH5595">
        <v>33.375717692844198</v>
      </c>
      <c r="AI5595">
        <v>91.659587338223304</v>
      </c>
      <c r="AJ5595">
        <v>61.449223977142402</v>
      </c>
      <c r="AK5595">
        <v>38.012244021615999</v>
      </c>
    </row>
    <row r="5596" spans="1:37" x14ac:dyDescent="0.2">
      <c r="A5596" t="str">
        <f>"20200111155706711"</f>
        <v>20200111155706711</v>
      </c>
      <c r="B5596" t="str">
        <f>"1578729426709009"</f>
        <v>1578729426709009</v>
      </c>
      <c r="C5596" t="s">
        <v>37</v>
      </c>
      <c r="D5596">
        <v>5.0052219999999998</v>
      </c>
      <c r="E5596">
        <v>0.63394830000000002</v>
      </c>
      <c r="F5596" t="s">
        <v>38</v>
      </c>
      <c r="G5596">
        <v>-294.89940000000001</v>
      </c>
      <c r="H5596" s="1">
        <v>-3.8178859999999902E-6</v>
      </c>
      <c r="I5596">
        <v>-3.2603930000000001</v>
      </c>
      <c r="J5596">
        <v>-324.96620000000001</v>
      </c>
      <c r="K5596">
        <v>1.1008340000000001</v>
      </c>
      <c r="L5596">
        <v>17.935849999999999</v>
      </c>
      <c r="M5596">
        <v>0.9931605</v>
      </c>
      <c r="N5596">
        <v>0</v>
      </c>
      <c r="O5596">
        <v>-0.11590830000000001</v>
      </c>
      <c r="P5596">
        <v>0.96262329999999996</v>
      </c>
      <c r="Q5596">
        <v>-1.8746639999999998E-2</v>
      </c>
      <c r="R5596">
        <v>-0.27019490000000002</v>
      </c>
      <c r="S5596">
        <v>2.605591</v>
      </c>
      <c r="T5596">
        <v>-9.4972009999999996E-2</v>
      </c>
      <c r="U5596">
        <v>-1.8302609999999999</v>
      </c>
      <c r="V5596">
        <v>0.15673099999999901</v>
      </c>
      <c r="W5596">
        <v>-6.4058989999999996E-3</v>
      </c>
      <c r="X5596">
        <v>0.98762050000000001</v>
      </c>
      <c r="Y5596">
        <v>0.47591090000000003</v>
      </c>
      <c r="Z5596">
        <v>-4.0432559999999899E-3</v>
      </c>
      <c r="AA5596">
        <v>0.87948419999999905</v>
      </c>
      <c r="AB5596">
        <v>24</v>
      </c>
      <c r="AC5596">
        <v>30.066800000000001</v>
      </c>
      <c r="AD5596">
        <v>-1.1008378178860001</v>
      </c>
      <c r="AE5596">
        <v>-21.196242999999999</v>
      </c>
      <c r="AF5596">
        <v>17.552296745673001</v>
      </c>
      <c r="AG5596">
        <v>-1.1008378178860001</v>
      </c>
      <c r="AH5596">
        <v>32.2922532871168</v>
      </c>
      <c r="AI5596">
        <v>91.715571955482901</v>
      </c>
      <c r="AJ5596">
        <v>61.473924134438697</v>
      </c>
      <c r="AK5596">
        <v>36.770702839472001</v>
      </c>
    </row>
    <row r="5597" spans="1:37" x14ac:dyDescent="0.2">
      <c r="A5597" t="str">
        <f>"20200111155706727"</f>
        <v>20200111155706727</v>
      </c>
      <c r="B5597" t="str">
        <f>"1578729426718768"</f>
        <v>1578729426718768</v>
      </c>
      <c r="C5597" t="s">
        <v>37</v>
      </c>
      <c r="D5597">
        <v>4.9691400000000003</v>
      </c>
      <c r="E5597">
        <v>0.63393730000000004</v>
      </c>
      <c r="F5597" t="s">
        <v>38</v>
      </c>
      <c r="G5597">
        <v>-295.22340000000003</v>
      </c>
      <c r="H5597" s="1">
        <v>-3.834035E-6</v>
      </c>
      <c r="I5597">
        <v>-3.10467</v>
      </c>
      <c r="J5597">
        <v>-324.80029999999999</v>
      </c>
      <c r="K5597">
        <v>1.1007769999999999</v>
      </c>
      <c r="L5597">
        <v>17.911560000000001</v>
      </c>
      <c r="M5597">
        <v>0.99264030000000003</v>
      </c>
      <c r="N5597">
        <v>0</v>
      </c>
      <c r="O5597">
        <v>-0.12028179999999999</v>
      </c>
      <c r="P5597">
        <v>0.96101309999999995</v>
      </c>
      <c r="Q5597">
        <v>-2.0464139999999999E-2</v>
      </c>
      <c r="R5597">
        <v>-0.2757445</v>
      </c>
      <c r="S5597">
        <v>2.5986020000000001</v>
      </c>
      <c r="T5597">
        <v>-9.6179009999999995E-2</v>
      </c>
      <c r="U5597">
        <v>-1.838287</v>
      </c>
      <c r="V5597">
        <v>0.15806519999999999</v>
      </c>
      <c r="W5597">
        <v>-8.1493609999999904E-3</v>
      </c>
      <c r="X5597">
        <v>0.98739500000000002</v>
      </c>
      <c r="Y5597">
        <v>0.47495979999999999</v>
      </c>
      <c r="Z5597">
        <v>-3.9426519999999996E-3</v>
      </c>
      <c r="AA5597">
        <v>0.87999869999999902</v>
      </c>
      <c r="AB5597">
        <v>24</v>
      </c>
      <c r="AC5597">
        <v>29.576899999999899</v>
      </c>
      <c r="AD5597">
        <v>-1.100780834035</v>
      </c>
      <c r="AE5597">
        <v>-21.01623</v>
      </c>
      <c r="AF5597">
        <v>17.289789326158701</v>
      </c>
      <c r="AG5597">
        <v>-1.100780834035</v>
      </c>
      <c r="AH5597">
        <v>31.8609169199927</v>
      </c>
      <c r="AI5597">
        <v>91.739335291060797</v>
      </c>
      <c r="AJ5597">
        <v>61.512886268043701</v>
      </c>
      <c r="AK5597">
        <v>36.266603926618302</v>
      </c>
    </row>
    <row r="5598" spans="1:37" x14ac:dyDescent="0.2">
      <c r="A5598" t="str">
        <f>"20200111155706741"</f>
        <v>20200111155706741</v>
      </c>
      <c r="B5598" t="str">
        <f>"1578729426738289"</f>
        <v>1578729426738289</v>
      </c>
      <c r="C5598" t="s">
        <v>37</v>
      </c>
      <c r="D5598">
        <v>5.0143589999999998</v>
      </c>
      <c r="E5598">
        <v>0.63328419999999996</v>
      </c>
      <c r="F5598" t="s">
        <v>38</v>
      </c>
      <c r="G5598">
        <v>-295.82510000000002</v>
      </c>
      <c r="H5598" s="1">
        <v>-3.8537580000000004E-6</v>
      </c>
      <c r="I5598">
        <v>-2.837161</v>
      </c>
      <c r="J5598">
        <v>-324.6583</v>
      </c>
      <c r="K5598">
        <v>1.1007400000000001</v>
      </c>
      <c r="L5598">
        <v>17.890260000000001</v>
      </c>
      <c r="M5598">
        <v>0.99217529999999998</v>
      </c>
      <c r="N5598">
        <v>0</v>
      </c>
      <c r="O5598">
        <v>-0.1240579</v>
      </c>
      <c r="P5598">
        <v>0.95985779999999998</v>
      </c>
      <c r="Q5598">
        <v>-2.1270600000000001E-2</v>
      </c>
      <c r="R5598">
        <v>-0.27967999999999998</v>
      </c>
      <c r="S5598">
        <v>2.5878909999999999</v>
      </c>
      <c r="T5598">
        <v>-9.8315E-2</v>
      </c>
      <c r="U5598">
        <v>-1.8531489999999999</v>
      </c>
      <c r="V5598">
        <v>0.1583475</v>
      </c>
      <c r="W5598">
        <v>-8.9668219999999993E-3</v>
      </c>
      <c r="X5598">
        <v>0.98734270000000002</v>
      </c>
      <c r="Y5598">
        <v>0.47666899999999901</v>
      </c>
      <c r="Z5598">
        <v>-3.9417480000000001E-3</v>
      </c>
      <c r="AA5598">
        <v>0.87907400000000002</v>
      </c>
      <c r="AB5598">
        <v>24</v>
      </c>
      <c r="AC5598">
        <v>28.833199999999898</v>
      </c>
      <c r="AD5598">
        <v>-1.1007438537580001</v>
      </c>
      <c r="AE5598">
        <v>-20.727421</v>
      </c>
      <c r="AF5598">
        <v>16.973619952720799</v>
      </c>
      <c r="AG5598">
        <v>-1.1007438537580001</v>
      </c>
      <c r="AH5598">
        <v>31.152140269902201</v>
      </c>
      <c r="AI5598">
        <v>91.777185231930105</v>
      </c>
      <c r="AJ5598">
        <v>61.415708863909501</v>
      </c>
      <c r="AK5598">
        <v>35.493256468330003</v>
      </c>
    </row>
    <row r="5599" spans="1:37" x14ac:dyDescent="0.2">
      <c r="A5599" t="str">
        <f>"20200111155706753"</f>
        <v>20200111155706753</v>
      </c>
      <c r="B5599" t="str">
        <f>"1578729426749024"</f>
        <v>1578729426749024</v>
      </c>
      <c r="C5599" t="s">
        <v>37</v>
      </c>
      <c r="D5599">
        <v>5.0447439999999997</v>
      </c>
      <c r="E5599">
        <v>0.63306059999999997</v>
      </c>
      <c r="F5599" t="s">
        <v>38</v>
      </c>
      <c r="G5599">
        <v>-296.44069999999999</v>
      </c>
      <c r="H5599" s="1">
        <v>-3.9381940000000001E-6</v>
      </c>
      <c r="I5599">
        <v>-2.427505</v>
      </c>
      <c r="J5599">
        <v>-324.517</v>
      </c>
      <c r="K5599">
        <v>1.100706</v>
      </c>
      <c r="L5599">
        <v>17.86835</v>
      </c>
      <c r="M5599">
        <v>0.99169240000000003</v>
      </c>
      <c r="N5599">
        <v>0</v>
      </c>
      <c r="O5599">
        <v>-0.12786120000000001</v>
      </c>
      <c r="P5599">
        <v>0.95867849999999999</v>
      </c>
      <c r="Q5599">
        <v>-2.1406999999999999E-2</v>
      </c>
      <c r="R5599">
        <v>-0.2836862</v>
      </c>
      <c r="S5599">
        <v>2.581604</v>
      </c>
      <c r="T5599">
        <v>-0.1007062</v>
      </c>
      <c r="U5599">
        <v>-1.8588560000000001</v>
      </c>
      <c r="V5599">
        <v>0.1586833</v>
      </c>
      <c r="W5599">
        <v>-9.1138720000000003E-3</v>
      </c>
      <c r="X5599">
        <v>0.98728749999999998</v>
      </c>
      <c r="Y5599">
        <v>0.47558590000000001</v>
      </c>
      <c r="Z5599">
        <v>-3.8949940000000001E-3</v>
      </c>
      <c r="AA5599">
        <v>0.87966069999999996</v>
      </c>
      <c r="AB5599">
        <v>24</v>
      </c>
      <c r="AC5599">
        <v>28.0763</v>
      </c>
      <c r="AD5599">
        <v>-1.100709938194</v>
      </c>
      <c r="AE5599">
        <v>-20.295855</v>
      </c>
      <c r="AF5599">
        <v>16.5223319402748</v>
      </c>
      <c r="AG5599">
        <v>-1.100709938194</v>
      </c>
      <c r="AH5599">
        <v>30.410416612633501</v>
      </c>
      <c r="AI5599">
        <v>91.821631231725803</v>
      </c>
      <c r="AJ5599">
        <v>61.484253770291701</v>
      </c>
      <c r="AK5599">
        <v>34.626470418837101</v>
      </c>
    </row>
    <row r="5600" spans="1:37" x14ac:dyDescent="0.2">
      <c r="A5600" t="str">
        <f>"20200111155706766"</f>
        <v>20200111155706766</v>
      </c>
      <c r="B5600" t="str">
        <f>"1578729426758785"</f>
        <v>1578729426758785</v>
      </c>
      <c r="C5600" t="s">
        <v>37</v>
      </c>
      <c r="D5600">
        <v>4.966075</v>
      </c>
      <c r="E5600">
        <v>0.63298520000000003</v>
      </c>
      <c r="F5600" t="s">
        <v>38</v>
      </c>
      <c r="G5600">
        <v>-296.32339999999999</v>
      </c>
      <c r="H5600" s="1">
        <v>-3.8831259999999996E-6</v>
      </c>
      <c r="I5600">
        <v>-2.5880329999999998</v>
      </c>
      <c r="J5600">
        <v>-324.3845</v>
      </c>
      <c r="K5600">
        <v>1.1006799999999901</v>
      </c>
      <c r="L5600">
        <v>17.847200000000001</v>
      </c>
      <c r="M5600">
        <v>0.99122169999999898</v>
      </c>
      <c r="N5600">
        <v>0</v>
      </c>
      <c r="O5600">
        <v>-0.13145989999999999</v>
      </c>
      <c r="P5600">
        <v>0.95768240000000004</v>
      </c>
      <c r="Q5600">
        <v>-2.1684990000000001E-2</v>
      </c>
      <c r="R5600">
        <v>-0.28700969999999998</v>
      </c>
      <c r="S5600">
        <v>2.574341</v>
      </c>
      <c r="T5600">
        <v>-0.1005051</v>
      </c>
      <c r="U5600">
        <v>-1.8678589999999999</v>
      </c>
      <c r="V5600">
        <v>0.15852189999999999</v>
      </c>
      <c r="W5600">
        <v>-9.3955589999999995E-3</v>
      </c>
      <c r="X5600">
        <v>0.98731080000000004</v>
      </c>
      <c r="Y5600">
        <v>0.47558999999999901</v>
      </c>
      <c r="Z5600">
        <v>-3.7705759999999999E-3</v>
      </c>
      <c r="AA5600">
        <v>0.87965899999999997</v>
      </c>
      <c r="AB5600">
        <v>24</v>
      </c>
      <c r="AC5600">
        <v>28.0611</v>
      </c>
      <c r="AD5600">
        <v>-1.100683883126</v>
      </c>
      <c r="AE5600">
        <v>-20.435233</v>
      </c>
      <c r="AF5600">
        <v>16.551935051287099</v>
      </c>
      <c r="AG5600">
        <v>-1.100683883126</v>
      </c>
      <c r="AH5600">
        <v>30.473565038921301</v>
      </c>
      <c r="AI5600">
        <v>91.817933593842</v>
      </c>
      <c r="AJ5600">
        <v>61.491085987375698</v>
      </c>
      <c r="AK5600">
        <v>34.696054892940801</v>
      </c>
    </row>
    <row r="5601" spans="1:37" x14ac:dyDescent="0.2">
      <c r="A5601" t="str">
        <f>"20200111155706778"</f>
        <v>20200111155706778</v>
      </c>
      <c r="B5601" t="str">
        <f>"1578729426768544"</f>
        <v>1578729426768544</v>
      </c>
      <c r="C5601" t="s">
        <v>37</v>
      </c>
      <c r="D5601">
        <v>5.036232</v>
      </c>
      <c r="E5601">
        <v>0.63280550000000002</v>
      </c>
      <c r="F5601" t="s">
        <v>38</v>
      </c>
      <c r="G5601">
        <v>-296.16039999999998</v>
      </c>
      <c r="H5601" s="1">
        <v>-3.825206E-6</v>
      </c>
      <c r="I5601">
        <v>-2.771744</v>
      </c>
      <c r="J5601">
        <v>-324.26170000000002</v>
      </c>
      <c r="K5601">
        <v>1.1006559999999901</v>
      </c>
      <c r="L5601">
        <v>17.827390000000001</v>
      </c>
      <c r="M5601">
        <v>0.99077179999999998</v>
      </c>
      <c r="N5601">
        <v>0</v>
      </c>
      <c r="O5601">
        <v>-0.1348076</v>
      </c>
      <c r="P5601">
        <v>0.95673960000000002</v>
      </c>
      <c r="Q5601">
        <v>-2.1480809999999999E-2</v>
      </c>
      <c r="R5601">
        <v>-0.29015229999999997</v>
      </c>
      <c r="S5601">
        <v>2.568085</v>
      </c>
      <c r="T5601">
        <v>-0.10015019999999999</v>
      </c>
      <c r="U5601">
        <v>-1.876099</v>
      </c>
      <c r="V5601">
        <v>0.15842890000000001</v>
      </c>
      <c r="W5601">
        <v>-9.1952400000000004E-3</v>
      </c>
      <c r="X5601">
        <v>0.98732759999999997</v>
      </c>
      <c r="Y5601">
        <v>0.47548199999999902</v>
      </c>
      <c r="Z5601">
        <v>-3.6464840000000002E-3</v>
      </c>
      <c r="AA5601">
        <v>0.87971790000000005</v>
      </c>
      <c r="AB5601">
        <v>24</v>
      </c>
      <c r="AC5601">
        <v>28.101299999999998</v>
      </c>
      <c r="AD5601">
        <v>-1.10065982520599</v>
      </c>
      <c r="AE5601">
        <v>-20.599133999999999</v>
      </c>
      <c r="AF5601">
        <v>16.6058483252699</v>
      </c>
      <c r="AG5601">
        <v>-1.10065982520599</v>
      </c>
      <c r="AH5601">
        <v>30.591402426553</v>
      </c>
      <c r="AI5601">
        <v>91.811146418955701</v>
      </c>
      <c r="AJ5601">
        <v>61.505682155899102</v>
      </c>
      <c r="AK5601">
        <v>34.825271758824897</v>
      </c>
    </row>
    <row r="5602" spans="1:37" x14ac:dyDescent="0.2">
      <c r="A5602" t="str">
        <f>"20200111155706793"</f>
        <v>20200111155706793</v>
      </c>
      <c r="B5602" t="str">
        <f>"1578729426789040"</f>
        <v>1578729426789040</v>
      </c>
      <c r="C5602" t="s">
        <v>37</v>
      </c>
      <c r="D5602">
        <v>5.0624979999999997</v>
      </c>
      <c r="E5602">
        <v>0.63223019999999996</v>
      </c>
      <c r="F5602" t="s">
        <v>38</v>
      </c>
      <c r="G5602">
        <v>-295.69459999999998</v>
      </c>
      <c r="H5602" s="1">
        <v>-3.7198529999999999E-6</v>
      </c>
      <c r="I5602">
        <v>-3.1693720000000001</v>
      </c>
      <c r="J5602">
        <v>-324.09690000000001</v>
      </c>
      <c r="K5602">
        <v>1.1006199999999999</v>
      </c>
      <c r="L5602">
        <v>17.799710000000001</v>
      </c>
      <c r="M5602">
        <v>0.9901413</v>
      </c>
      <c r="N5602">
        <v>0</v>
      </c>
      <c r="O5602">
        <v>-0.13936199999999899</v>
      </c>
      <c r="P5602">
        <v>0.95547499999999996</v>
      </c>
      <c r="Q5602">
        <v>-2.0741550000000001E-2</v>
      </c>
      <c r="R5602">
        <v>-0.2943423</v>
      </c>
      <c r="S5602">
        <v>2.56231699999999</v>
      </c>
      <c r="T5602">
        <v>-9.8723409999999998E-2</v>
      </c>
      <c r="U5602">
        <v>-1.8833009999999999</v>
      </c>
      <c r="V5602">
        <v>0.15822049999999999</v>
      </c>
      <c r="W5602">
        <v>-8.4597790000000006E-3</v>
      </c>
      <c r="X5602">
        <v>0.98736759999999901</v>
      </c>
      <c r="Y5602">
        <v>0.47399399999999903</v>
      </c>
      <c r="Z5602">
        <v>-3.4210299999999998E-3</v>
      </c>
      <c r="AA5602">
        <v>0.88052149999999996</v>
      </c>
      <c r="AB5602">
        <v>24</v>
      </c>
      <c r="AC5602">
        <v>28.4023</v>
      </c>
      <c r="AD5602">
        <v>-1.100623719853</v>
      </c>
      <c r="AE5602">
        <v>-20.969082</v>
      </c>
      <c r="AF5602">
        <v>16.7895025661525</v>
      </c>
      <c r="AG5602">
        <v>-1.100623719853</v>
      </c>
      <c r="AH5602">
        <v>31.017518132263</v>
      </c>
      <c r="AI5602">
        <v>91.787372071248498</v>
      </c>
      <c r="AJ5602">
        <v>61.573716658472499</v>
      </c>
      <c r="AK5602">
        <v>35.287181809784798</v>
      </c>
    </row>
    <row r="5603" spans="1:37" x14ac:dyDescent="0.2">
      <c r="A5603" t="str">
        <f>"20200111155706805"</f>
        <v>20200111155706805</v>
      </c>
      <c r="B5603" t="str">
        <f>"1578729426798801"</f>
        <v>1578729426798801</v>
      </c>
      <c r="C5603" t="s">
        <v>37</v>
      </c>
      <c r="D5603">
        <v>5.0673180000000002</v>
      </c>
      <c r="E5603">
        <v>0.63204209999999905</v>
      </c>
      <c r="F5603" t="s">
        <v>38</v>
      </c>
      <c r="G5603">
        <v>-295.07229999999998</v>
      </c>
      <c r="H5603" s="1">
        <v>-3.594116E-6</v>
      </c>
      <c r="I5603">
        <v>-3.6689080000000001</v>
      </c>
      <c r="J5603">
        <v>-323.97809999999998</v>
      </c>
      <c r="K5603">
        <v>1.100598</v>
      </c>
      <c r="L5603">
        <v>17.779299999999999</v>
      </c>
      <c r="M5603">
        <v>0.98967000000000005</v>
      </c>
      <c r="N5603">
        <v>0</v>
      </c>
      <c r="O5603">
        <v>-0.14267050000000001</v>
      </c>
      <c r="P5603">
        <v>0.95448480000000002</v>
      </c>
      <c r="Q5603">
        <v>-2.029338E-2</v>
      </c>
      <c r="R5603">
        <v>-0.29756929999999998</v>
      </c>
      <c r="S5603">
        <v>2.5554199999999998</v>
      </c>
      <c r="T5603">
        <v>-9.6902489999999994E-2</v>
      </c>
      <c r="U5603">
        <v>-1.8901669999999999</v>
      </c>
      <c r="V5603">
        <v>0.1582597</v>
      </c>
      <c r="W5603">
        <v>-8.0163649999999993E-3</v>
      </c>
      <c r="X5603">
        <v>0.98736489999999999</v>
      </c>
      <c r="Y5603">
        <v>0.4737227</v>
      </c>
      <c r="Z5603">
        <v>-3.2500959999999901E-3</v>
      </c>
      <c r="AA5603">
        <v>0.88066809999999995</v>
      </c>
      <c r="AB5603">
        <v>24</v>
      </c>
      <c r="AC5603">
        <v>28.905799999999999</v>
      </c>
      <c r="AD5603">
        <v>-1.1006015941159999</v>
      </c>
      <c r="AE5603">
        <v>-21.448208000000001</v>
      </c>
      <c r="AF5603">
        <v>17.088362915497701</v>
      </c>
      <c r="AG5603">
        <v>-1.1006015941159999</v>
      </c>
      <c r="AH5603">
        <v>31.6407885270953</v>
      </c>
      <c r="AI5603">
        <v>91.753042689731103</v>
      </c>
      <c r="AJ5603">
        <v>61.6276771838738</v>
      </c>
      <c r="AK5603">
        <v>35.977256282505699</v>
      </c>
    </row>
    <row r="5604" spans="1:37" x14ac:dyDescent="0.2">
      <c r="A5604" t="str">
        <f>"20200111155706816"</f>
        <v>20200111155706816</v>
      </c>
      <c r="B5604" t="str">
        <f>"1578729426808562"</f>
        <v>1578729426808562</v>
      </c>
      <c r="C5604" t="s">
        <v>37</v>
      </c>
      <c r="D5604">
        <v>4.9031830000000003</v>
      </c>
      <c r="E5604">
        <v>0.63204209999999905</v>
      </c>
      <c r="F5604" t="s">
        <v>38</v>
      </c>
      <c r="G5604">
        <v>-294.54700000000003</v>
      </c>
      <c r="H5604" s="1">
        <v>-3.4741779999999999E-6</v>
      </c>
      <c r="I5604">
        <v>-4.1197410000000003</v>
      </c>
      <c r="J5604">
        <v>-323.85969999999998</v>
      </c>
      <c r="K5604">
        <v>1.100579</v>
      </c>
      <c r="L5604">
        <v>17.758669999999999</v>
      </c>
      <c r="M5604">
        <v>0.98918689999999998</v>
      </c>
      <c r="N5604">
        <v>0</v>
      </c>
      <c r="O5604">
        <v>-0.14598139999999901</v>
      </c>
      <c r="P5604">
        <v>0.95344019999999996</v>
      </c>
      <c r="Q5604">
        <v>-2.008774E-2</v>
      </c>
      <c r="R5604">
        <v>-0.30091240000000002</v>
      </c>
      <c r="S5604">
        <v>2.5495909999999999</v>
      </c>
      <c r="T5604">
        <v>-9.5344189999999995E-2</v>
      </c>
      <c r="U5604">
        <v>-1.897095</v>
      </c>
      <c r="V5604">
        <v>0.15841720000000001</v>
      </c>
      <c r="W5604">
        <v>-7.8168939999999996E-3</v>
      </c>
      <c r="X5604">
        <v>0.98734129999999998</v>
      </c>
      <c r="Y5604">
        <v>0.47328609999999999</v>
      </c>
      <c r="Z5604">
        <v>-3.0876100000000002E-3</v>
      </c>
      <c r="AA5604">
        <v>0.8809034</v>
      </c>
      <c r="AB5604">
        <v>24</v>
      </c>
      <c r="AC5604">
        <v>29.3126999999999</v>
      </c>
      <c r="AD5604">
        <v>-1.1005824741779999</v>
      </c>
      <c r="AE5604">
        <v>-21.878411</v>
      </c>
      <c r="AF5604">
        <v>17.348747002809102</v>
      </c>
      <c r="AG5604">
        <v>-1.1005824741779999</v>
      </c>
      <c r="AH5604">
        <v>32.1636588250987</v>
      </c>
      <c r="AI5604">
        <v>91.725024570234794</v>
      </c>
      <c r="AJ5604">
        <v>61.658032721948103</v>
      </c>
      <c r="AK5604">
        <v>36.560788467527502</v>
      </c>
    </row>
    <row r="5605" spans="1:37" x14ac:dyDescent="0.2">
      <c r="A5605" t="str">
        <f>"20200111155706828"</f>
        <v>20200111155706828</v>
      </c>
      <c r="B5605" t="str">
        <f>"1578729426818321"</f>
        <v>1578729426818321</v>
      </c>
      <c r="C5605" t="s">
        <v>37</v>
      </c>
      <c r="D5605">
        <v>5.1362259999999997</v>
      </c>
      <c r="E5605">
        <v>0.63195900000000005</v>
      </c>
      <c r="F5605" t="s">
        <v>38</v>
      </c>
      <c r="G5605">
        <v>-294.322</v>
      </c>
      <c r="H5605" s="1">
        <v>-3.3884850000000001E-6</v>
      </c>
      <c r="I5605">
        <v>-4.385453</v>
      </c>
      <c r="J5605">
        <v>-323.74419999999998</v>
      </c>
      <c r="K5605">
        <v>1.1005590000000001</v>
      </c>
      <c r="L5605">
        <v>17.737850000000002</v>
      </c>
      <c r="M5605">
        <v>0.98869959999999901</v>
      </c>
      <c r="N5605">
        <v>0</v>
      </c>
      <c r="O5605">
        <v>-0.1492455</v>
      </c>
      <c r="P5605">
        <v>0.95248619999999995</v>
      </c>
      <c r="Q5605">
        <v>-1.9609910000000001E-2</v>
      </c>
      <c r="R5605">
        <v>-0.30394979999999999</v>
      </c>
      <c r="S5605">
        <v>2.5428769999999998</v>
      </c>
      <c r="T5605">
        <v>-9.4748379999999993E-2</v>
      </c>
      <c r="U5605">
        <v>-1.906372</v>
      </c>
      <c r="V5605">
        <v>0.15830849999999999</v>
      </c>
      <c r="W5605">
        <v>-7.3415919999999897E-3</v>
      </c>
      <c r="X5605">
        <v>0.98736239999999997</v>
      </c>
      <c r="Y5605">
        <v>0.47355569999999902</v>
      </c>
      <c r="Z5605">
        <v>-2.9719959999999902E-3</v>
      </c>
      <c r="AA5605">
        <v>0.88075890000000001</v>
      </c>
      <c r="AB5605">
        <v>24</v>
      </c>
      <c r="AC5605">
        <v>29.422199999999901</v>
      </c>
      <c r="AD5605">
        <v>-1.100562388485</v>
      </c>
      <c r="AE5605">
        <v>-22.123303</v>
      </c>
      <c r="AF5605">
        <v>17.468294855329098</v>
      </c>
      <c r="AG5605">
        <v>-1.100562388485</v>
      </c>
      <c r="AH5605">
        <v>32.365812707820602</v>
      </c>
      <c r="AI5605">
        <v>91.713992981428106</v>
      </c>
      <c r="AJ5605">
        <v>61.643624978182899</v>
      </c>
      <c r="AK5605">
        <v>36.795358334461</v>
      </c>
    </row>
    <row r="5606" spans="1:37" x14ac:dyDescent="0.2">
      <c r="A5606" t="str">
        <f>"20200111155706839"</f>
        <v>20200111155706839</v>
      </c>
      <c r="B5606" t="str">
        <f>"1578729426829059"</f>
        <v>1578729426829059</v>
      </c>
      <c r="C5606" t="s">
        <v>37</v>
      </c>
      <c r="D5606">
        <v>4.871391</v>
      </c>
      <c r="E5606">
        <v>0.63210649999999902</v>
      </c>
      <c r="F5606" t="s">
        <v>38</v>
      </c>
      <c r="G5606">
        <v>-292.76459999999997</v>
      </c>
      <c r="H5606" s="1">
        <v>-3.292743E-6</v>
      </c>
      <c r="I5606">
        <v>-5.6301360000000003</v>
      </c>
      <c r="J5606">
        <v>-323.6266</v>
      </c>
      <c r="K5606">
        <v>1.100538</v>
      </c>
      <c r="L5606">
        <v>17.716550000000002</v>
      </c>
      <c r="M5606">
        <v>0.98819120000000005</v>
      </c>
      <c r="N5606">
        <v>0</v>
      </c>
      <c r="O5606">
        <v>-0.15257499999999999</v>
      </c>
      <c r="P5606">
        <v>0.95151359999999996</v>
      </c>
      <c r="Q5606">
        <v>-1.922598E-2</v>
      </c>
      <c r="R5606">
        <v>-0.30700459999999902</v>
      </c>
      <c r="S5606">
        <v>2.5370789999999999</v>
      </c>
      <c r="T5606">
        <v>-9.0130810000000006E-2</v>
      </c>
      <c r="U5606">
        <v>-1.913727</v>
      </c>
      <c r="V5606">
        <v>0.15815379999999901</v>
      </c>
      <c r="W5606">
        <v>-6.9598100000000003E-3</v>
      </c>
      <c r="X5606">
        <v>0.98738999999999999</v>
      </c>
      <c r="Y5606">
        <v>0.47319870000000003</v>
      </c>
      <c r="Z5606">
        <v>-2.7233019999999999E-3</v>
      </c>
      <c r="AA5606">
        <v>0.880951499999999</v>
      </c>
      <c r="AB5606">
        <v>23</v>
      </c>
      <c r="AC5606">
        <v>30.861999999999998</v>
      </c>
      <c r="AD5606">
        <v>-1.1005412927429901</v>
      </c>
      <c r="AE5606">
        <v>-23.346685999999998</v>
      </c>
      <c r="AF5606">
        <v>18.349206822218498</v>
      </c>
      <c r="AG5606">
        <v>-1.1005412927429901</v>
      </c>
      <c r="AH5606">
        <v>34.035539565924701</v>
      </c>
      <c r="AI5606">
        <v>91.630327946430498</v>
      </c>
      <c r="AJ5606">
        <v>61.670048535831803</v>
      </c>
      <c r="AK5606">
        <v>38.682328467728098</v>
      </c>
    </row>
    <row r="5607" spans="1:37" x14ac:dyDescent="0.2">
      <c r="A5607" t="str">
        <f>"20200111155706851"</f>
        <v>20200111155706851</v>
      </c>
      <c r="B5607" t="str">
        <f>"1578729426838817"</f>
        <v>1578729426838817</v>
      </c>
      <c r="C5607" t="s">
        <v>37</v>
      </c>
      <c r="D5607">
        <v>4.9871850000000002</v>
      </c>
      <c r="E5607">
        <v>0.63215209999999999</v>
      </c>
      <c r="F5607" t="s">
        <v>38</v>
      </c>
      <c r="G5607">
        <v>-291.07249999999999</v>
      </c>
      <c r="H5607" s="1">
        <v>-3.2075880000000001E-6</v>
      </c>
      <c r="I5607">
        <v>-7.0242929999999904</v>
      </c>
      <c r="J5607">
        <v>-323.4984</v>
      </c>
      <c r="K5607">
        <v>1.100516</v>
      </c>
      <c r="L5607">
        <v>17.692499999999999</v>
      </c>
      <c r="M5607">
        <v>0.98761699999999997</v>
      </c>
      <c r="N5607">
        <v>0</v>
      </c>
      <c r="O5607">
        <v>-0.1562492</v>
      </c>
      <c r="P5607">
        <v>0.95038419999999901</v>
      </c>
      <c r="Q5607">
        <v>-1.899025E-2</v>
      </c>
      <c r="R5607">
        <v>-0.31049890000000002</v>
      </c>
      <c r="S5607">
        <v>2.5305789999999999</v>
      </c>
      <c r="T5607">
        <v>-8.5550070000000006E-2</v>
      </c>
      <c r="U5607">
        <v>-1.9232180000000001</v>
      </c>
      <c r="V5607">
        <v>0.1581108</v>
      </c>
      <c r="W5607">
        <v>-6.7279239999999997E-3</v>
      </c>
      <c r="X5607">
        <v>0.98739840000000001</v>
      </c>
      <c r="Y5607">
        <v>0.47312120000000002</v>
      </c>
      <c r="Z5607">
        <v>-2.4804760000000001E-3</v>
      </c>
      <c r="AA5607">
        <v>0.8809939</v>
      </c>
      <c r="AB5607">
        <v>23</v>
      </c>
      <c r="AC5607">
        <v>32.425899999999999</v>
      </c>
      <c r="AD5607">
        <v>-1.1005192075879999</v>
      </c>
      <c r="AE5607">
        <v>-24.716792999999999</v>
      </c>
      <c r="AF5607">
        <v>19.332042870654099</v>
      </c>
      <c r="AG5607">
        <v>-1.1005192075879999</v>
      </c>
      <c r="AH5607">
        <v>35.8637884925961</v>
      </c>
      <c r="AI5607">
        <v>91.547278804364893</v>
      </c>
      <c r="AJ5607">
        <v>61.673524114435502</v>
      </c>
      <c r="AK5607">
        <v>40.757212234410098</v>
      </c>
    </row>
    <row r="5608" spans="1:37" x14ac:dyDescent="0.2">
      <c r="A5608" t="str">
        <f>"20200111155706863"</f>
        <v>20200111155706863</v>
      </c>
      <c r="B5608" t="str">
        <f>"1578729426858336"</f>
        <v>1578729426858336</v>
      </c>
      <c r="C5608" t="s">
        <v>37</v>
      </c>
      <c r="D5608">
        <v>4.9760289999999996</v>
      </c>
      <c r="E5608">
        <v>0.63224769999999997</v>
      </c>
      <c r="F5608" t="s">
        <v>38</v>
      </c>
      <c r="G5608">
        <v>-289.95780000000002</v>
      </c>
      <c r="H5608">
        <v>3.389661E-3</v>
      </c>
      <c r="I5608">
        <v>-7.9980560000000001</v>
      </c>
      <c r="J5608">
        <v>-323.38170000000002</v>
      </c>
      <c r="K5608">
        <v>1.1005</v>
      </c>
      <c r="L5608">
        <v>17.67032</v>
      </c>
      <c r="M5608">
        <v>0.98707999999999996</v>
      </c>
      <c r="N5608">
        <v>0</v>
      </c>
      <c r="O5608">
        <v>-0.1596062</v>
      </c>
      <c r="P5608">
        <v>0.94947090000000001</v>
      </c>
      <c r="Q5608">
        <v>-1.8993039999999999E-2</v>
      </c>
      <c r="R5608">
        <v>-0.31328059999999902</v>
      </c>
      <c r="S5608">
        <v>2.5234679999999998</v>
      </c>
      <c r="T5608">
        <v>-8.2543610000000003E-2</v>
      </c>
      <c r="U5608">
        <v>-1.9328609999999999</v>
      </c>
      <c r="V5608">
        <v>0.1576447</v>
      </c>
      <c r="W5608">
        <v>-6.7286550000000001E-3</v>
      </c>
      <c r="X5608">
        <v>0.98747299999999905</v>
      </c>
      <c r="Y5608">
        <v>0.47345490000000001</v>
      </c>
      <c r="Z5608">
        <v>-2.3076659999999999E-3</v>
      </c>
      <c r="AA5608">
        <v>0.88081500000000001</v>
      </c>
      <c r="AB5608">
        <v>23</v>
      </c>
      <c r="AC5608">
        <v>33.423900000000003</v>
      </c>
      <c r="AD5608">
        <v>-1.0971103390000001</v>
      </c>
      <c r="AE5608">
        <v>-25.668375999999999</v>
      </c>
      <c r="AF5608">
        <v>19.990520730268901</v>
      </c>
      <c r="AG5608">
        <v>-1.0971103390000001</v>
      </c>
      <c r="AH5608">
        <v>37.067463380223202</v>
      </c>
      <c r="AI5608">
        <v>91.4922607326654</v>
      </c>
      <c r="AJ5608">
        <v>61.6619698339914</v>
      </c>
      <c r="AK5608">
        <v>42.128629358281302</v>
      </c>
    </row>
    <row r="5609" spans="1:37" x14ac:dyDescent="0.2">
      <c r="A5609" t="str">
        <f>"20200111155706874"</f>
        <v>20200111155706874</v>
      </c>
      <c r="B5609" t="str">
        <f>"1578729426869072"</f>
        <v>1578729426869072</v>
      </c>
      <c r="C5609" t="s">
        <v>37</v>
      </c>
      <c r="D5609">
        <v>4.9559850000000001</v>
      </c>
      <c r="E5609">
        <v>0.63224019999999903</v>
      </c>
      <c r="F5609" t="s">
        <v>38</v>
      </c>
      <c r="G5609">
        <v>-289.95060000000001</v>
      </c>
      <c r="H5609">
        <v>5.7196780000000003E-2</v>
      </c>
      <c r="I5609">
        <v>-8.1045750000000005</v>
      </c>
      <c r="J5609">
        <v>-323.25869999999998</v>
      </c>
      <c r="K5609">
        <v>1.100482</v>
      </c>
      <c r="L5609">
        <v>17.64648</v>
      </c>
      <c r="M5609">
        <v>0.98649789999999904</v>
      </c>
      <c r="N5609">
        <v>0</v>
      </c>
      <c r="O5609">
        <v>-0.16316459999999999</v>
      </c>
      <c r="P5609">
        <v>0.94848659999999996</v>
      </c>
      <c r="Q5609">
        <v>-1.9142369999999999E-2</v>
      </c>
      <c r="R5609">
        <v>-0.31623879999999999</v>
      </c>
      <c r="S5609">
        <v>2.5176090000000002</v>
      </c>
      <c r="T5609">
        <v>-7.8568460000000007E-2</v>
      </c>
      <c r="U5609">
        <v>-1.9410400000000001</v>
      </c>
      <c r="V5609">
        <v>0.15716079999999999</v>
      </c>
      <c r="W5609">
        <v>-6.875613E-3</v>
      </c>
      <c r="X5609">
        <v>0.98754909999999996</v>
      </c>
      <c r="Y5609">
        <v>0.47307569999999999</v>
      </c>
      <c r="Z5609">
        <v>-2.099189E-3</v>
      </c>
      <c r="AA5609">
        <v>0.881019199999999</v>
      </c>
      <c r="AB5609">
        <v>23</v>
      </c>
      <c r="AC5609">
        <v>33.308099999999897</v>
      </c>
      <c r="AD5609">
        <v>-1.04328522</v>
      </c>
      <c r="AE5609">
        <v>-25.751055000000001</v>
      </c>
      <c r="AF5609">
        <v>19.958392522998899</v>
      </c>
      <c r="AG5609">
        <v>-1.04328522</v>
      </c>
      <c r="AH5609">
        <v>37.0409778823294</v>
      </c>
      <c r="AI5609">
        <v>91.420379862001795</v>
      </c>
      <c r="AJ5609">
        <v>61.683357279968398</v>
      </c>
      <c r="AK5609">
        <v>42.088714860774601</v>
      </c>
    </row>
    <row r="5610" spans="1:37" x14ac:dyDescent="0.2">
      <c r="A5610" t="str">
        <f>"20200111155706885"</f>
        <v>20200111155706885</v>
      </c>
      <c r="B5610" t="str">
        <f>"1578729426878832"</f>
        <v>1578729426878832</v>
      </c>
      <c r="C5610" t="s">
        <v>37</v>
      </c>
      <c r="D5610">
        <v>4.9604589999999904</v>
      </c>
      <c r="E5610">
        <v>0.63224069999999899</v>
      </c>
      <c r="F5610" t="s">
        <v>38</v>
      </c>
      <c r="G5610">
        <v>-289.92759999999998</v>
      </c>
      <c r="H5610">
        <v>7.9986329999999994E-2</v>
      </c>
      <c r="I5610">
        <v>-8.2214700000000001</v>
      </c>
      <c r="J5610">
        <v>-323.14830000000001</v>
      </c>
      <c r="K5610">
        <v>1.1004639999999899</v>
      </c>
      <c r="L5610">
        <v>17.624600000000001</v>
      </c>
      <c r="M5610">
        <v>0.9859599</v>
      </c>
      <c r="N5610">
        <v>0</v>
      </c>
      <c r="O5610">
        <v>-0.1663837</v>
      </c>
      <c r="P5610">
        <v>0.94761289999999998</v>
      </c>
      <c r="Q5610">
        <v>-1.899872E-2</v>
      </c>
      <c r="R5610">
        <v>-0.31885570000000002</v>
      </c>
      <c r="S5610">
        <v>2.5115050000000001</v>
      </c>
      <c r="T5610">
        <v>-7.689464E-2</v>
      </c>
      <c r="U5610">
        <v>-1.9491579999999999</v>
      </c>
      <c r="V5610">
        <v>0.1566641</v>
      </c>
      <c r="W5610">
        <v>-6.7287780000000004E-3</v>
      </c>
      <c r="X5610">
        <v>0.98762899999999998</v>
      </c>
      <c r="Y5610">
        <v>0.47301929999999998</v>
      </c>
      <c r="Z5610">
        <v>-1.9724429999999999E-3</v>
      </c>
      <c r="AA5610">
        <v>0.88104989999999905</v>
      </c>
      <c r="AB5610">
        <v>23</v>
      </c>
      <c r="AC5610">
        <v>33.220700000000001</v>
      </c>
      <c r="AD5610">
        <v>-1.02047767</v>
      </c>
      <c r="AE5610">
        <v>-25.846070000000001</v>
      </c>
      <c r="AF5610">
        <v>19.946072506161901</v>
      </c>
      <c r="AG5610">
        <v>-1.02047767</v>
      </c>
      <c r="AH5610">
        <v>37.0365700369248</v>
      </c>
      <c r="AI5610">
        <v>91.389661862148301</v>
      </c>
      <c r="AJ5610">
        <v>61.695281917144001</v>
      </c>
      <c r="AK5610">
        <v>42.078435132453201</v>
      </c>
    </row>
    <row r="5611" spans="1:37" x14ac:dyDescent="0.2">
      <c r="A5611" t="str">
        <f>"20200111155706896"</f>
        <v>20200111155706896</v>
      </c>
      <c r="B5611" t="str">
        <f>"1578729426888592"</f>
        <v>1578729426888592</v>
      </c>
      <c r="C5611" t="s">
        <v>37</v>
      </c>
      <c r="D5611">
        <v>4.9599929999999999</v>
      </c>
      <c r="E5611">
        <v>0.63222</v>
      </c>
      <c r="F5611" t="s">
        <v>38</v>
      </c>
      <c r="G5611">
        <v>-289.0145</v>
      </c>
      <c r="H5611">
        <v>7.9986180000000004E-2</v>
      </c>
      <c r="I5611">
        <v>-9.0143199999999997</v>
      </c>
      <c r="J5611">
        <v>-323.02949999999998</v>
      </c>
      <c r="K5611">
        <v>1.10044599999999</v>
      </c>
      <c r="L5611">
        <v>17.600739999999998</v>
      </c>
      <c r="M5611">
        <v>0.98536769999999996</v>
      </c>
      <c r="N5611">
        <v>0</v>
      </c>
      <c r="O5611">
        <v>-0.1698566</v>
      </c>
      <c r="P5611">
        <v>0.94654629999999995</v>
      </c>
      <c r="Q5611">
        <v>-1.9015049999999999E-2</v>
      </c>
      <c r="R5611">
        <v>-0.32200770000000001</v>
      </c>
      <c r="S5611">
        <v>2.506195</v>
      </c>
      <c r="T5611">
        <v>-7.4926259999999995E-2</v>
      </c>
      <c r="U5611">
        <v>-1.955902</v>
      </c>
      <c r="V5611">
        <v>0.1564711</v>
      </c>
      <c r="W5611">
        <v>-6.7460640000000004E-3</v>
      </c>
      <c r="X5611">
        <v>0.98765949999999902</v>
      </c>
      <c r="Y5611">
        <v>0.47229939999999998</v>
      </c>
      <c r="Z5611">
        <v>-1.826549E-3</v>
      </c>
      <c r="AA5611">
        <v>0.88143629999999995</v>
      </c>
      <c r="AB5611">
        <v>23</v>
      </c>
      <c r="AC5611">
        <v>34.014999999999901</v>
      </c>
      <c r="AD5611">
        <v>-1.0204598199999999</v>
      </c>
      <c r="AE5611">
        <v>-26.61506</v>
      </c>
      <c r="AF5611">
        <v>20.438575734207799</v>
      </c>
      <c r="AG5611">
        <v>-1.0204598199999999</v>
      </c>
      <c r="AH5611">
        <v>38.020590894115699</v>
      </c>
      <c r="AI5611">
        <v>91.354241699033395</v>
      </c>
      <c r="AJ5611">
        <v>61.739038004966901</v>
      </c>
      <c r="AK5611">
        <v>43.178027377647702</v>
      </c>
    </row>
    <row r="5612" spans="1:37" x14ac:dyDescent="0.2">
      <c r="A5612" t="str">
        <f>"20200111155706907"</f>
        <v>20200111155706907</v>
      </c>
      <c r="B5612" t="str">
        <f>"1578729426898209"</f>
        <v>1578729426898209</v>
      </c>
      <c r="C5612" t="s">
        <v>37</v>
      </c>
      <c r="D5612">
        <v>4.9982899999999999</v>
      </c>
      <c r="E5612">
        <v>0.63216249999999996</v>
      </c>
      <c r="F5612" t="s">
        <v>38</v>
      </c>
      <c r="G5612">
        <v>-288.2724</v>
      </c>
      <c r="H5612">
        <v>7.9986039999999994E-2</v>
      </c>
      <c r="I5612">
        <v>-9.7086649999999999</v>
      </c>
      <c r="J5612">
        <v>-322.91460000000001</v>
      </c>
      <c r="K5612">
        <v>1.100425</v>
      </c>
      <c r="L5612">
        <v>17.577030000000001</v>
      </c>
      <c r="M5612">
        <v>0.98477630000000005</v>
      </c>
      <c r="N5612">
        <v>0</v>
      </c>
      <c r="O5612">
        <v>-0.1732515</v>
      </c>
      <c r="P5612">
        <v>0.94557519999999995</v>
      </c>
      <c r="Q5612">
        <v>-1.864799E-2</v>
      </c>
      <c r="R5612">
        <v>-0.32486859999999901</v>
      </c>
      <c r="S5612">
        <v>2.4997560000000001</v>
      </c>
      <c r="T5612">
        <v>-7.3392150000000003E-2</v>
      </c>
      <c r="U5612">
        <v>-1.9641109999999999</v>
      </c>
      <c r="V5612">
        <v>0.15605659999999999</v>
      </c>
      <c r="W5612">
        <v>-6.3768150000000001E-3</v>
      </c>
      <c r="X5612">
        <v>0.98772749999999998</v>
      </c>
      <c r="Y5612">
        <v>0.47215869999999999</v>
      </c>
      <c r="Z5612">
        <v>-1.7054349999999999E-3</v>
      </c>
      <c r="AA5612">
        <v>0.88151190000000001</v>
      </c>
      <c r="AB5612">
        <v>23</v>
      </c>
      <c r="AC5612">
        <v>34.642200000000003</v>
      </c>
      <c r="AD5612">
        <v>-1.0204389599999999</v>
      </c>
      <c r="AE5612">
        <v>-27.285695</v>
      </c>
      <c r="AF5612">
        <v>20.859405328628601</v>
      </c>
      <c r="AG5612">
        <v>-1.0204389599999999</v>
      </c>
      <c r="AH5612">
        <v>38.825191075665501</v>
      </c>
      <c r="AI5612">
        <v>91.326326417423203</v>
      </c>
      <c r="AJ5612">
        <v>61.752430414502101</v>
      </c>
      <c r="AK5612">
        <v>44.085729532321899</v>
      </c>
    </row>
    <row r="5613" spans="1:37" x14ac:dyDescent="0.2">
      <c r="A5613" t="str">
        <f>"20200111155706920"</f>
        <v>20200111155706920</v>
      </c>
      <c r="B5613" t="str">
        <f>"1578729426908933"</f>
        <v>1578729426908933</v>
      </c>
      <c r="C5613" t="s">
        <v>37</v>
      </c>
      <c r="D5613">
        <v>4.9946140000000003</v>
      </c>
      <c r="E5613">
        <v>0.63205140000000004</v>
      </c>
      <c r="F5613" t="s">
        <v>38</v>
      </c>
      <c r="G5613">
        <v>-286.93939999999998</v>
      </c>
      <c r="H5613">
        <v>7.9986810000000005E-2</v>
      </c>
      <c r="I5613">
        <v>-10.85708</v>
      </c>
      <c r="J5613">
        <v>-322.78980000000001</v>
      </c>
      <c r="K5613">
        <v>1.1004049999999901</v>
      </c>
      <c r="L5613">
        <v>17.551029999999901</v>
      </c>
      <c r="M5613">
        <v>0.98411899999999997</v>
      </c>
      <c r="N5613">
        <v>0</v>
      </c>
      <c r="O5613">
        <v>-0.1769471</v>
      </c>
      <c r="P5613">
        <v>0.94445159999999995</v>
      </c>
      <c r="Q5613">
        <v>-1.8343120000000001E-2</v>
      </c>
      <c r="R5613">
        <v>-0.32813870000000001</v>
      </c>
      <c r="S5613">
        <v>2.49401899999999</v>
      </c>
      <c r="T5613">
        <v>-7.0742849999999996E-2</v>
      </c>
      <c r="U5613">
        <v>-1.971222</v>
      </c>
      <c r="V5613">
        <v>0.1557685</v>
      </c>
      <c r="W5613">
        <v>-6.0718300000000003E-3</v>
      </c>
      <c r="X5613">
        <v>0.98777490000000001</v>
      </c>
      <c r="Y5613">
        <v>0.47138920000000001</v>
      </c>
      <c r="Z5613">
        <v>-1.547873E-3</v>
      </c>
      <c r="AA5613">
        <v>0.88192389999999998</v>
      </c>
      <c r="AB5613">
        <v>23</v>
      </c>
      <c r="AC5613">
        <v>35.8504</v>
      </c>
      <c r="AD5613">
        <v>-1.02041818999999</v>
      </c>
      <c r="AE5613">
        <v>-28.408109999999901</v>
      </c>
      <c r="AF5613">
        <v>21.6047409826581</v>
      </c>
      <c r="AG5613">
        <v>-1.02041818999999</v>
      </c>
      <c r="AH5613">
        <v>40.291762284598299</v>
      </c>
      <c r="AI5613">
        <v>91.2786030699489</v>
      </c>
      <c r="AJ5613">
        <v>61.799461459048203</v>
      </c>
      <c r="AK5613">
        <v>45.729992283060902</v>
      </c>
    </row>
    <row r="5614" spans="1:37" x14ac:dyDescent="0.2">
      <c r="A5614" t="str">
        <f>"20200111155706932"</f>
        <v>20200111155706932</v>
      </c>
      <c r="B5614" t="str">
        <f>"1578729426928453"</f>
        <v>1578729426928453</v>
      </c>
      <c r="C5614" t="s">
        <v>37</v>
      </c>
      <c r="D5614">
        <v>5.0137489999999998</v>
      </c>
      <c r="E5614">
        <v>0.63181750000000003</v>
      </c>
      <c r="F5614" t="s">
        <v>38</v>
      </c>
      <c r="G5614">
        <v>-285.54160000000002</v>
      </c>
      <c r="H5614">
        <v>7.9986509999999997E-2</v>
      </c>
      <c r="I5614">
        <v>-12.08615</v>
      </c>
      <c r="J5614">
        <v>-322.66379999999998</v>
      </c>
      <c r="K5614">
        <v>1.1003889999999901</v>
      </c>
      <c r="L5614">
        <v>17.52402</v>
      </c>
      <c r="M5614">
        <v>0.98343359999999902</v>
      </c>
      <c r="N5614">
        <v>0</v>
      </c>
      <c r="O5614">
        <v>-0.1807175</v>
      </c>
      <c r="P5614">
        <v>0.943260399999999</v>
      </c>
      <c r="Q5614">
        <v>-1.7992279999999999E-2</v>
      </c>
      <c r="R5614">
        <v>-0.33156649999999999</v>
      </c>
      <c r="S5614">
        <v>2.487457</v>
      </c>
      <c r="T5614">
        <v>-6.8144079999999996E-2</v>
      </c>
      <c r="U5614">
        <v>-1.97918699999999</v>
      </c>
      <c r="V5614">
        <v>0.1555725</v>
      </c>
      <c r="W5614">
        <v>-5.7223650000000001E-3</v>
      </c>
      <c r="X5614">
        <v>0.98780789999999996</v>
      </c>
      <c r="Y5614">
        <v>0.47087770000000001</v>
      </c>
      <c r="Z5614">
        <v>-1.4001110000000001E-3</v>
      </c>
      <c r="AA5614">
        <v>0.88219740000000002</v>
      </c>
      <c r="AB5614">
        <v>23</v>
      </c>
      <c r="AC5614">
        <v>37.1221999999999</v>
      </c>
      <c r="AD5614">
        <v>-1.0204024899999999</v>
      </c>
      <c r="AE5614">
        <v>-29.61017</v>
      </c>
      <c r="AF5614">
        <v>22.4028960621573</v>
      </c>
      <c r="AG5614">
        <v>-1.0204024899999999</v>
      </c>
      <c r="AH5614">
        <v>41.843149347994398</v>
      </c>
      <c r="AI5614">
        <v>91.231606055942507</v>
      </c>
      <c r="AJ5614">
        <v>61.8353248266314</v>
      </c>
      <c r="AK5614">
        <v>47.473994150186897</v>
      </c>
    </row>
    <row r="5615" spans="1:37" x14ac:dyDescent="0.2">
      <c r="A5615" t="str">
        <f>"20200111155706944"</f>
        <v>20200111155706944</v>
      </c>
      <c r="B5615" t="str">
        <f>"1578729426939189"</f>
        <v>1578729426939189</v>
      </c>
      <c r="C5615" t="s">
        <v>37</v>
      </c>
      <c r="D5615">
        <v>5.0438299999999998</v>
      </c>
      <c r="E5615">
        <v>0.63166560000000005</v>
      </c>
      <c r="F5615" t="s">
        <v>39</v>
      </c>
      <c r="G5615">
        <v>-279.12849999999997</v>
      </c>
      <c r="H5615">
        <v>-0.05</v>
      </c>
      <c r="I5615">
        <v>-17.33229</v>
      </c>
      <c r="J5615">
        <v>-322.54309999999998</v>
      </c>
      <c r="K5615">
        <v>1.100368</v>
      </c>
      <c r="L5615">
        <v>17.49774</v>
      </c>
      <c r="M5615">
        <v>0.98275949999999901</v>
      </c>
      <c r="N5615">
        <v>0</v>
      </c>
      <c r="O5615">
        <v>-0.18434679999999901</v>
      </c>
      <c r="P5615">
        <v>0.94219909999999996</v>
      </c>
      <c r="Q5615">
        <v>-1.763172E-2</v>
      </c>
      <c r="R5615">
        <v>-0.33458909999999997</v>
      </c>
      <c r="S5615">
        <v>2.480988</v>
      </c>
      <c r="T5615">
        <v>-6.5558309999999995E-2</v>
      </c>
      <c r="U5615">
        <v>-1.986389</v>
      </c>
      <c r="V5615">
        <v>0.1550955</v>
      </c>
      <c r="W5615">
        <v>-5.3593019999999998E-3</v>
      </c>
      <c r="X5615">
        <v>0.98788489999999995</v>
      </c>
      <c r="Y5615">
        <v>0.47030899999999998</v>
      </c>
      <c r="Z5615">
        <v>-1.2619489999999901E-3</v>
      </c>
      <c r="AA5615">
        <v>0.88250090000000003</v>
      </c>
      <c r="AB5615">
        <v>23</v>
      </c>
      <c r="AC5615">
        <v>43.4146</v>
      </c>
      <c r="AD5615">
        <v>-1.1503680000000001</v>
      </c>
      <c r="AE5615">
        <v>-34.830030000000001</v>
      </c>
      <c r="AF5615">
        <v>26.217624281424701</v>
      </c>
      <c r="AG5615">
        <v>-1.1503680000000001</v>
      </c>
      <c r="AH5615">
        <v>49.070863675237902</v>
      </c>
      <c r="AI5615">
        <v>91.1845277099155</v>
      </c>
      <c r="AJ5615">
        <v>61.885262013768902</v>
      </c>
      <c r="AK5615">
        <v>55.647433286101901</v>
      </c>
    </row>
    <row r="5616" spans="1:37" x14ac:dyDescent="0.2">
      <c r="A5616" t="str">
        <f>"20200111155706954"</f>
        <v>20200111155706954</v>
      </c>
      <c r="B5616" t="str">
        <f>"1578729426948948"</f>
        <v>1578729426948948</v>
      </c>
      <c r="C5616" t="s">
        <v>37</v>
      </c>
      <c r="D5616">
        <v>5.0834910000000004</v>
      </c>
      <c r="E5616">
        <v>0.63148269999999995</v>
      </c>
      <c r="F5616" t="s">
        <v>39</v>
      </c>
      <c r="G5616">
        <v>-277.95979999999997</v>
      </c>
      <c r="H5616">
        <v>-0.05</v>
      </c>
      <c r="I5616">
        <v>-18.411159999999999</v>
      </c>
      <c r="J5616">
        <v>-322.42189999999999</v>
      </c>
      <c r="K5616">
        <v>1.100347</v>
      </c>
      <c r="L5616">
        <v>17.470949999999998</v>
      </c>
      <c r="M5616">
        <v>0.98206539999999998</v>
      </c>
      <c r="N5616">
        <v>0</v>
      </c>
      <c r="O5616">
        <v>-0.18800919999999999</v>
      </c>
      <c r="P5616">
        <v>0.94099719999999998</v>
      </c>
      <c r="Q5616">
        <v>-1.722628E-2</v>
      </c>
      <c r="R5616">
        <v>-0.33797569999999999</v>
      </c>
      <c r="S5616">
        <v>2.474945</v>
      </c>
      <c r="T5616">
        <v>-6.3860299999999995E-2</v>
      </c>
      <c r="U5616">
        <v>-1.9934080000000001</v>
      </c>
      <c r="V5616">
        <v>0.15496860000000001</v>
      </c>
      <c r="W5616">
        <v>-4.955938E-3</v>
      </c>
      <c r="X5616">
        <v>0.98790689999999903</v>
      </c>
      <c r="Y5616">
        <v>0.46959319999999999</v>
      </c>
      <c r="Z5616">
        <v>-1.1438080000000001E-3</v>
      </c>
      <c r="AA5616">
        <v>0.88288219999999995</v>
      </c>
      <c r="AB5616">
        <v>23</v>
      </c>
      <c r="AC5616">
        <v>44.4621</v>
      </c>
      <c r="AD5616">
        <v>-1.150347</v>
      </c>
      <c r="AE5616">
        <v>-35.882109999999997</v>
      </c>
      <c r="AF5616">
        <v>26.871091622985201</v>
      </c>
      <c r="AG5616">
        <v>-1.150347</v>
      </c>
      <c r="AH5616">
        <v>50.395472032965401</v>
      </c>
      <c r="AI5616">
        <v>91.153896430737902</v>
      </c>
      <c r="AJ5616">
        <v>61.9332610445542</v>
      </c>
      <c r="AK5616">
        <v>57.123396823514199</v>
      </c>
    </row>
    <row r="5617" spans="1:37" x14ac:dyDescent="0.2">
      <c r="A5617" t="str">
        <f>"20200111155706966"</f>
        <v>20200111155706966</v>
      </c>
      <c r="B5617" t="str">
        <f>"1578729426958711"</f>
        <v>1578729426958711</v>
      </c>
      <c r="C5617" t="s">
        <v>37</v>
      </c>
      <c r="D5617">
        <v>5.0813559999999898</v>
      </c>
      <c r="E5617">
        <v>0.63134369999999995</v>
      </c>
      <c r="F5617" t="s">
        <v>39</v>
      </c>
      <c r="G5617">
        <v>-276.4633</v>
      </c>
      <c r="H5617">
        <v>-0.05</v>
      </c>
      <c r="I5617">
        <v>-19.78473</v>
      </c>
      <c r="J5617">
        <v>-322.31079999999997</v>
      </c>
      <c r="K5617">
        <v>1.1003350000000001</v>
      </c>
      <c r="L5617">
        <v>17.445740000000001</v>
      </c>
      <c r="M5617">
        <v>0.98141060000000002</v>
      </c>
      <c r="N5617">
        <v>0</v>
      </c>
      <c r="O5617">
        <v>-0.19139729999999999</v>
      </c>
      <c r="P5617">
        <v>0.93984789999999996</v>
      </c>
      <c r="Q5617">
        <v>-1.7007379999999999E-2</v>
      </c>
      <c r="R5617">
        <v>-0.3411691</v>
      </c>
      <c r="S5617">
        <v>2.4682919999999999</v>
      </c>
      <c r="T5617">
        <v>-6.1781530000000001E-2</v>
      </c>
      <c r="U5617">
        <v>-2.0008849999999998</v>
      </c>
      <c r="V5617">
        <v>0.15491549999999901</v>
      </c>
      <c r="W5617">
        <v>-4.7398350000000004E-3</v>
      </c>
      <c r="X5617">
        <v>0.98791640000000003</v>
      </c>
      <c r="Y5617">
        <v>0.46932799999999902</v>
      </c>
      <c r="Z5617">
        <v>-1.034648E-3</v>
      </c>
      <c r="AA5617">
        <v>0.88302329999999996</v>
      </c>
      <c r="AB5617">
        <v>23</v>
      </c>
      <c r="AC5617">
        <v>45.847499999999897</v>
      </c>
      <c r="AD5617">
        <v>-1.1503350000000001</v>
      </c>
      <c r="AE5617">
        <v>-37.230469999999997</v>
      </c>
      <c r="AF5617">
        <v>27.755541670563801</v>
      </c>
      <c r="AG5617">
        <v>-1.1503350000000001</v>
      </c>
      <c r="AH5617">
        <v>52.106487343462199</v>
      </c>
      <c r="AI5617">
        <v>91.116251884235595</v>
      </c>
      <c r="AJ5617">
        <v>61.957128754628499</v>
      </c>
      <c r="AK5617">
        <v>59.048957546370097</v>
      </c>
    </row>
    <row r="5618" spans="1:37" x14ac:dyDescent="0.2">
      <c r="A5618" t="str">
        <f>"20200111155706980"</f>
        <v>20200111155706980</v>
      </c>
      <c r="B5618" t="str">
        <f>"1578729426968470"</f>
        <v>1578729426968470</v>
      </c>
      <c r="C5618" t="s">
        <v>37</v>
      </c>
      <c r="D5618">
        <v>5.0844319999999996</v>
      </c>
      <c r="E5618">
        <v>0.63118619999999903</v>
      </c>
      <c r="F5618" t="s">
        <v>39</v>
      </c>
      <c r="G5618">
        <v>-275.03339999999997</v>
      </c>
      <c r="H5618">
        <v>-0.05</v>
      </c>
      <c r="I5618">
        <v>-21.115539999999999</v>
      </c>
      <c r="J5618">
        <v>-322.17680000000001</v>
      </c>
      <c r="K5618">
        <v>1.100311</v>
      </c>
      <c r="L5618">
        <v>17.41507</v>
      </c>
      <c r="M5618">
        <v>0.98060360000000002</v>
      </c>
      <c r="N5618">
        <v>0</v>
      </c>
      <c r="O5618">
        <v>-0.19549049999999901</v>
      </c>
      <c r="P5618">
        <v>0.93851430000000002</v>
      </c>
      <c r="Q5618">
        <v>-1.6935530000000001E-2</v>
      </c>
      <c r="R5618">
        <v>-0.3448252</v>
      </c>
      <c r="S5618">
        <v>2.4619450000000001</v>
      </c>
      <c r="T5618">
        <v>-5.9903030000000003E-2</v>
      </c>
      <c r="U5618">
        <v>-2.008057</v>
      </c>
      <c r="V5618">
        <v>0.15463940000000001</v>
      </c>
      <c r="W5618">
        <v>-4.668747E-3</v>
      </c>
      <c r="X5618">
        <v>0.9879599</v>
      </c>
      <c r="Y5618">
        <v>0.46830680000000002</v>
      </c>
      <c r="Z5618">
        <v>-9.1099619999999895E-4</v>
      </c>
      <c r="AA5618">
        <v>0.8835655</v>
      </c>
      <c r="AB5618">
        <v>23</v>
      </c>
      <c r="AC5618">
        <v>47.1434</v>
      </c>
      <c r="AD5618">
        <v>-1.1503110000000001</v>
      </c>
      <c r="AE5618">
        <v>-38.530609999999903</v>
      </c>
      <c r="AF5618">
        <v>28.559831665463001</v>
      </c>
      <c r="AG5618">
        <v>-1.1503110000000001</v>
      </c>
      <c r="AH5618">
        <v>53.747549443958803</v>
      </c>
      <c r="AI5618">
        <v>91.082738475748698</v>
      </c>
      <c r="AJ5618">
        <v>62.015166787573897</v>
      </c>
      <c r="AK5618">
        <v>60.8751695799454</v>
      </c>
    </row>
    <row r="5619" spans="1:37" x14ac:dyDescent="0.2">
      <c r="A5619" t="str">
        <f>"20200111155706992"</f>
        <v>20200111155706992</v>
      </c>
      <c r="B5619" t="str">
        <f>"1578729426988965"</f>
        <v>1578729426988965</v>
      </c>
      <c r="C5619" t="s">
        <v>37</v>
      </c>
      <c r="D5619">
        <v>5.1014280000000003</v>
      </c>
      <c r="E5619">
        <v>0.63082119999999997</v>
      </c>
      <c r="F5619" t="s">
        <v>39</v>
      </c>
      <c r="G5619">
        <v>-274.21460000000002</v>
      </c>
      <c r="H5619">
        <v>-0.05</v>
      </c>
      <c r="I5619">
        <v>-21.99126</v>
      </c>
      <c r="J5619">
        <v>-322.03829999999999</v>
      </c>
      <c r="K5619">
        <v>1.100287</v>
      </c>
      <c r="L5619">
        <v>17.382449999999999</v>
      </c>
      <c r="M5619">
        <v>0.9797399</v>
      </c>
      <c r="N5619">
        <v>0</v>
      </c>
      <c r="O5619">
        <v>-0.19977320000000001</v>
      </c>
      <c r="P5619">
        <v>0.93707649999999998</v>
      </c>
      <c r="Q5619">
        <v>-1.6796140000000001E-2</v>
      </c>
      <c r="R5619">
        <v>-0.34871999999999997</v>
      </c>
      <c r="S5619">
        <v>2.4545590000000002</v>
      </c>
      <c r="T5619">
        <v>-5.8869360000000003E-2</v>
      </c>
      <c r="U5619">
        <v>-2.0166930000000001</v>
      </c>
      <c r="V5619">
        <v>0.1544266</v>
      </c>
      <c r="W5619">
        <v>-4.5315080000000001E-3</v>
      </c>
      <c r="X5619">
        <v>0.98799389999999998</v>
      </c>
      <c r="Y5619">
        <v>0.46760810000000003</v>
      </c>
      <c r="Z5619">
        <v>-8.0438419999999996E-4</v>
      </c>
      <c r="AA5619">
        <v>0.88393549999999999</v>
      </c>
      <c r="AB5619">
        <v>23</v>
      </c>
      <c r="AC5619">
        <v>47.823699999999903</v>
      </c>
      <c r="AD5619">
        <v>-1.1502870000000001</v>
      </c>
      <c r="AE5619">
        <v>-39.373710000000003</v>
      </c>
      <c r="AF5619">
        <v>29.015004947631901</v>
      </c>
      <c r="AG5619">
        <v>-1.1502870000000001</v>
      </c>
      <c r="AH5619">
        <v>54.707219418037901</v>
      </c>
      <c r="AI5619">
        <v>91.064168384417599</v>
      </c>
      <c r="AJ5619">
        <v>62.059913902480602</v>
      </c>
      <c r="AK5619">
        <v>61.936043857731299</v>
      </c>
    </row>
    <row r="5620" spans="1:37" x14ac:dyDescent="0.2">
      <c r="A5620" t="str">
        <f>"20200111155707006"</f>
        <v>20200111155707006</v>
      </c>
      <c r="B5620" t="str">
        <f>"1578729426998669"</f>
        <v>1578729426998669</v>
      </c>
      <c r="C5620" t="s">
        <v>37</v>
      </c>
      <c r="D5620">
        <v>5.106649</v>
      </c>
      <c r="E5620">
        <v>0.63064699999999996</v>
      </c>
      <c r="F5620" t="s">
        <v>39</v>
      </c>
      <c r="G5620">
        <v>-273.04939999999999</v>
      </c>
      <c r="H5620">
        <v>-0.05</v>
      </c>
      <c r="I5620">
        <v>-23.135089999999899</v>
      </c>
      <c r="J5620">
        <v>-321.9049</v>
      </c>
      <c r="K5620">
        <v>1.100268</v>
      </c>
      <c r="L5620">
        <v>17.350460000000002</v>
      </c>
      <c r="M5620">
        <v>0.97888539999999902</v>
      </c>
      <c r="N5620">
        <v>0</v>
      </c>
      <c r="O5620">
        <v>-0.20391919999999999</v>
      </c>
      <c r="P5620">
        <v>0.93570259999999905</v>
      </c>
      <c r="Q5620">
        <v>-1.6036979999999999E-2</v>
      </c>
      <c r="R5620">
        <v>-0.3524254</v>
      </c>
      <c r="S5620">
        <v>2.447235</v>
      </c>
      <c r="T5620">
        <v>-5.7462449999999998E-2</v>
      </c>
      <c r="U5620">
        <v>-2.0240480000000001</v>
      </c>
      <c r="V5620">
        <v>0.15415909999999999</v>
      </c>
      <c r="W5620">
        <v>-3.7733429999999902E-3</v>
      </c>
      <c r="X5620">
        <v>0.98803879999999999</v>
      </c>
      <c r="Y5620">
        <v>0.46674449999999901</v>
      </c>
      <c r="Z5620">
        <v>-6.9736479999999996E-4</v>
      </c>
      <c r="AA5620">
        <v>0.88439199999999996</v>
      </c>
      <c r="AB5620">
        <v>23</v>
      </c>
      <c r="AC5620">
        <v>48.855499999999999</v>
      </c>
      <c r="AD5620">
        <v>-1.1502680000000001</v>
      </c>
      <c r="AE5620">
        <v>-40.485550000000003</v>
      </c>
      <c r="AF5620">
        <v>29.661363394825798</v>
      </c>
      <c r="AG5620">
        <v>-1.1502680000000001</v>
      </c>
      <c r="AH5620">
        <v>56.066908525579898</v>
      </c>
      <c r="AI5620">
        <v>91.038922486384905</v>
      </c>
      <c r="AJ5620">
        <v>62.119587670290699</v>
      </c>
      <c r="AK5620">
        <v>63.439875681841301</v>
      </c>
    </row>
    <row r="5621" spans="1:37" x14ac:dyDescent="0.2">
      <c r="A5621" t="str">
        <f>"20200111155707019"</f>
        <v>20200111155707019</v>
      </c>
      <c r="B5621" t="str">
        <f>"1578729427008420"</f>
        <v>1578729427008420</v>
      </c>
      <c r="C5621" t="s">
        <v>37</v>
      </c>
      <c r="D5621">
        <v>5.110309</v>
      </c>
      <c r="E5621">
        <v>0.63047359999999997</v>
      </c>
      <c r="F5621" t="s">
        <v>39</v>
      </c>
      <c r="G5621">
        <v>-270.1223</v>
      </c>
      <c r="H5621">
        <v>-0.05</v>
      </c>
      <c r="I5621">
        <v>-25.786899999999999</v>
      </c>
      <c r="J5621">
        <v>-321.77960000000002</v>
      </c>
      <c r="K5621">
        <v>1.1002510000000001</v>
      </c>
      <c r="L5621">
        <v>17.320070000000001</v>
      </c>
      <c r="M5621">
        <v>0.97806219999999999</v>
      </c>
      <c r="N5621">
        <v>0</v>
      </c>
      <c r="O5621">
        <v>-0.20783179999999901</v>
      </c>
      <c r="P5621">
        <v>0.93427979999999999</v>
      </c>
      <c r="Q5621">
        <v>-1.561746E-2</v>
      </c>
      <c r="R5621">
        <v>-0.3561993</v>
      </c>
      <c r="S5621">
        <v>2.4397279999999899</v>
      </c>
      <c r="T5621">
        <v>-5.4194689999999997E-2</v>
      </c>
      <c r="U5621">
        <v>-2.03241</v>
      </c>
      <c r="V5621">
        <v>0.15419959999999999</v>
      </c>
      <c r="W5621">
        <v>-3.3587409999999902E-3</v>
      </c>
      <c r="X5621">
        <v>0.98803399999999997</v>
      </c>
      <c r="Y5621">
        <v>0.46634049999999999</v>
      </c>
      <c r="Z5621">
        <v>-5.8349710000000002E-4</v>
      </c>
      <c r="AA5621">
        <v>0.88460509999999903</v>
      </c>
      <c r="AB5621">
        <v>23</v>
      </c>
      <c r="AC5621">
        <v>51.657299999999999</v>
      </c>
      <c r="AD5621">
        <v>-1.1502509999999999</v>
      </c>
      <c r="AE5621">
        <v>-43.106969999999997</v>
      </c>
      <c r="AF5621">
        <v>31.4192322729848</v>
      </c>
      <c r="AG5621">
        <v>-1.1502509999999999</v>
      </c>
      <c r="AH5621">
        <v>59.471626463477101</v>
      </c>
      <c r="AI5621">
        <v>90.979737162292693</v>
      </c>
      <c r="AJ5621">
        <v>62.152226059253501</v>
      </c>
      <c r="AK5621">
        <v>67.270837576160105</v>
      </c>
    </row>
    <row r="5622" spans="1:37" x14ac:dyDescent="0.2">
      <c r="A5622" t="str">
        <f>"20200111155707030"</f>
        <v>20200111155707030</v>
      </c>
      <c r="B5622" t="str">
        <f>"1578729427019156"</f>
        <v>1578729427019156</v>
      </c>
      <c r="C5622" t="s">
        <v>37</v>
      </c>
      <c r="D5622">
        <v>5.1133220000000001</v>
      </c>
      <c r="E5622">
        <v>0.63026949999999904</v>
      </c>
      <c r="F5622" t="s">
        <v>82</v>
      </c>
      <c r="G5622">
        <v>-279.02</v>
      </c>
      <c r="H5622">
        <v>0.17101749999999999</v>
      </c>
      <c r="I5622">
        <v>-18.564080000000001</v>
      </c>
      <c r="J5622">
        <v>-321.65800000000002</v>
      </c>
      <c r="K5622">
        <v>1.100233</v>
      </c>
      <c r="L5622">
        <v>17.289639999999999</v>
      </c>
      <c r="M5622">
        <v>0.97723869999999902</v>
      </c>
      <c r="N5622">
        <v>0</v>
      </c>
      <c r="O5622">
        <v>-0.21166879999999999</v>
      </c>
      <c r="P5622">
        <v>0.93281510000000001</v>
      </c>
      <c r="Q5622">
        <v>-1.4756429999999999E-2</v>
      </c>
      <c r="R5622">
        <v>-0.36005280000000001</v>
      </c>
      <c r="S5622">
        <v>2.4320369999999998</v>
      </c>
      <c r="T5622">
        <v>-5.2852030000000001E-2</v>
      </c>
      <c r="U5622">
        <v>-2.040985</v>
      </c>
      <c r="V5622">
        <v>0.15440670000000001</v>
      </c>
      <c r="W5622">
        <v>-2.504385E-3</v>
      </c>
      <c r="X5622">
        <v>0.9880042</v>
      </c>
      <c r="Y5622">
        <v>0.4660782</v>
      </c>
      <c r="Z5622">
        <v>-4.9928859999999995E-4</v>
      </c>
      <c r="AA5622">
        <v>0.88474339999999996</v>
      </c>
      <c r="AB5622">
        <v>23</v>
      </c>
      <c r="AC5622">
        <v>42.637999999999998</v>
      </c>
      <c r="AD5622">
        <v>-0.92921549999999997</v>
      </c>
      <c r="AE5622">
        <v>-35.853720000000003</v>
      </c>
      <c r="AF5622">
        <v>26.007885207396299</v>
      </c>
      <c r="AG5622">
        <v>-0.92921549999999997</v>
      </c>
      <c r="AH5622">
        <v>49.247863165725001</v>
      </c>
      <c r="AI5622">
        <v>90.955860555815093</v>
      </c>
      <c r="AJ5622">
        <v>62.161385091812498</v>
      </c>
      <c r="AK5622">
        <v>55.701216869979802</v>
      </c>
    </row>
    <row r="5623" spans="1:37" x14ac:dyDescent="0.2">
      <c r="A5623" t="str">
        <f>"20200111155707042"</f>
        <v>20200111155707042</v>
      </c>
      <c r="B5623" t="str">
        <f>"1578729427038676"</f>
        <v>1578729427038676</v>
      </c>
      <c r="C5623" t="s">
        <v>37</v>
      </c>
      <c r="D5623">
        <v>5.172085</v>
      </c>
      <c r="E5623">
        <v>0.62979019999999997</v>
      </c>
      <c r="F5623" t="s">
        <v>82</v>
      </c>
      <c r="G5623">
        <v>-279.02</v>
      </c>
      <c r="H5623">
        <v>0.22383620000000001</v>
      </c>
      <c r="I5623">
        <v>-18.755489999999899</v>
      </c>
      <c r="J5623">
        <v>-321.53899999999999</v>
      </c>
      <c r="K5623">
        <v>1.1002190000000001</v>
      </c>
      <c r="L5623">
        <v>17.259640000000001</v>
      </c>
      <c r="M5623">
        <v>0.97641529999999999</v>
      </c>
      <c r="N5623">
        <v>0</v>
      </c>
      <c r="O5623">
        <v>-0.21543599999999999</v>
      </c>
      <c r="P5623">
        <v>0.93138709999999902</v>
      </c>
      <c r="Q5623">
        <v>-1.3647370000000001E-2</v>
      </c>
      <c r="R5623">
        <v>-0.36377529999999902</v>
      </c>
      <c r="S5623">
        <v>2.424255</v>
      </c>
      <c r="T5623">
        <v>-4.982901E-2</v>
      </c>
      <c r="U5623">
        <v>-2.0494080000000001</v>
      </c>
      <c r="V5623">
        <v>0.15455099999999999</v>
      </c>
      <c r="W5623">
        <v>-1.4010089999999999E-3</v>
      </c>
      <c r="X5623">
        <v>0.98798379999999997</v>
      </c>
      <c r="Y5623">
        <v>0.46586279999999902</v>
      </c>
      <c r="Z5623">
        <v>-4.0649829999999998E-4</v>
      </c>
      <c r="AA5623">
        <v>0.88485689999999995</v>
      </c>
      <c r="AB5623">
        <v>23</v>
      </c>
      <c r="AC5623">
        <v>42.518999999999998</v>
      </c>
      <c r="AD5623">
        <v>-0.87638280000000002</v>
      </c>
      <c r="AE5623">
        <v>-36.015129999999999</v>
      </c>
      <c r="AF5623">
        <v>26.001776184261001</v>
      </c>
      <c r="AG5623">
        <v>-0.87638280000000002</v>
      </c>
      <c r="AH5623">
        <v>49.267911071246999</v>
      </c>
      <c r="AI5623">
        <v>90.901281418819096</v>
      </c>
      <c r="AJ5623">
        <v>62.176569829699702</v>
      </c>
      <c r="AK5623">
        <v>55.715235554315299</v>
      </c>
    </row>
    <row r="5624" spans="1:37" x14ac:dyDescent="0.2">
      <c r="A5624" t="str">
        <f>"20200111155707054"</f>
        <v>20200111155707054</v>
      </c>
      <c r="B5624" t="str">
        <f>"1578729427048436"</f>
        <v>1578729427048436</v>
      </c>
      <c r="C5624" t="s">
        <v>37</v>
      </c>
      <c r="D5624">
        <v>5.1744510000000004</v>
      </c>
      <c r="E5624">
        <v>0.62953840000000005</v>
      </c>
      <c r="F5624" t="s">
        <v>82</v>
      </c>
      <c r="G5624">
        <v>-279.02</v>
      </c>
      <c r="H5624">
        <v>0.27038879999999998</v>
      </c>
      <c r="I5624">
        <v>-18.89142</v>
      </c>
      <c r="J5624">
        <v>-321.41500000000002</v>
      </c>
      <c r="K5624">
        <v>1.100203</v>
      </c>
      <c r="L5624">
        <v>17.227720000000001</v>
      </c>
      <c r="M5624">
        <v>0.97553570000000001</v>
      </c>
      <c r="N5624">
        <v>0</v>
      </c>
      <c r="O5624">
        <v>-0.219384</v>
      </c>
      <c r="P5624">
        <v>0.92990859999999997</v>
      </c>
      <c r="Q5624">
        <v>-1.264303E-2</v>
      </c>
      <c r="R5624">
        <v>-0.36757339999999999</v>
      </c>
      <c r="S5624">
        <v>2.4175110000000002</v>
      </c>
      <c r="T5624">
        <v>-4.7181840000000003E-2</v>
      </c>
      <c r="U5624">
        <v>-2.05545</v>
      </c>
      <c r="V5624">
        <v>0.15459500000000001</v>
      </c>
      <c r="W5624">
        <v>-4.0089390000000002E-4</v>
      </c>
      <c r="X5624">
        <v>0.98797789999999996</v>
      </c>
      <c r="Y5624">
        <v>0.46478760000000002</v>
      </c>
      <c r="Z5624">
        <v>-3.1377139999999999E-4</v>
      </c>
      <c r="AA5624">
        <v>0.88542219999999905</v>
      </c>
      <c r="AB5624">
        <v>23</v>
      </c>
      <c r="AC5624">
        <v>42.395000000000003</v>
      </c>
      <c r="AD5624">
        <v>-0.82981419999999995</v>
      </c>
      <c r="AE5624">
        <v>-36.119140000000002</v>
      </c>
      <c r="AF5624">
        <v>25.9315730402889</v>
      </c>
      <c r="AG5624">
        <v>-0.82981419999999995</v>
      </c>
      <c r="AH5624">
        <v>49.275806378229298</v>
      </c>
      <c r="AI5624">
        <v>90.853791580079601</v>
      </c>
      <c r="AJ5624">
        <v>62.244247423997102</v>
      </c>
      <c r="AK5624">
        <v>55.688779535693698</v>
      </c>
    </row>
    <row r="5625" spans="1:37" x14ac:dyDescent="0.2">
      <c r="A5625" t="str">
        <f>"20200111155707066"</f>
        <v>20200111155707066</v>
      </c>
      <c r="B5625" t="str">
        <f>"1578729427059172"</f>
        <v>1578729427059172</v>
      </c>
      <c r="C5625" t="s">
        <v>37</v>
      </c>
      <c r="D5625">
        <v>5.1270910000000001</v>
      </c>
      <c r="E5625">
        <v>0.6293107</v>
      </c>
      <c r="F5625" t="s">
        <v>82</v>
      </c>
      <c r="G5625">
        <v>-279.02</v>
      </c>
      <c r="H5625">
        <v>0.31937749999999998</v>
      </c>
      <c r="I5625">
        <v>-19.072179999999999</v>
      </c>
      <c r="J5625">
        <v>-321.29719999999998</v>
      </c>
      <c r="K5625">
        <v>1.1001650000000001</v>
      </c>
      <c r="L5625">
        <v>17.196929999999998</v>
      </c>
      <c r="M5625">
        <v>0.97460089999999999</v>
      </c>
      <c r="N5625">
        <v>0</v>
      </c>
      <c r="O5625">
        <v>-0.22350980000000001</v>
      </c>
      <c r="P5625">
        <v>0.92824969999999996</v>
      </c>
      <c r="Q5625">
        <v>-1.1657280000000001E-2</v>
      </c>
      <c r="R5625">
        <v>-0.37177539999999998</v>
      </c>
      <c r="S5625">
        <v>2.4098820000000001</v>
      </c>
      <c r="T5625">
        <v>-4.4384840000000002E-2</v>
      </c>
      <c r="U5625">
        <v>-2.0634160000000001</v>
      </c>
      <c r="V5625">
        <v>0.15489</v>
      </c>
      <c r="W5625">
        <v>4.3183959999999998E-4</v>
      </c>
      <c r="X5625">
        <v>0.98793159999999902</v>
      </c>
      <c r="Y5625">
        <v>0.46411779999999903</v>
      </c>
      <c r="Z5625">
        <v>-2.2881320000000001E-4</v>
      </c>
      <c r="AA5625">
        <v>0.88577349999999999</v>
      </c>
      <c r="AB5625">
        <v>23</v>
      </c>
      <c r="AC5625">
        <v>42.277199999999901</v>
      </c>
      <c r="AD5625">
        <v>-0.78078749999999997</v>
      </c>
      <c r="AE5625">
        <v>-36.269109999999998</v>
      </c>
      <c r="AF5625">
        <v>25.895995102102599</v>
      </c>
      <c r="AG5625">
        <v>-0.78078749999999997</v>
      </c>
      <c r="AH5625">
        <v>49.305055711385798</v>
      </c>
      <c r="AI5625">
        <v>90.803220461110996</v>
      </c>
      <c r="AJ5625">
        <v>62.290652300399998</v>
      </c>
      <c r="AK5625">
        <v>55.6974030826496</v>
      </c>
    </row>
    <row r="5626" spans="1:37" x14ac:dyDescent="0.2">
      <c r="A5626" t="str">
        <f>"20200111155707077"</f>
        <v>20200111155707077</v>
      </c>
      <c r="B5626" t="str">
        <f>"1578729427068933"</f>
        <v>1578729427068933</v>
      </c>
      <c r="C5626" t="s">
        <v>37</v>
      </c>
      <c r="D5626">
        <v>5.1689739999999897</v>
      </c>
      <c r="E5626">
        <v>0.6293107</v>
      </c>
      <c r="F5626" t="s">
        <v>82</v>
      </c>
      <c r="G5626">
        <v>-279.02</v>
      </c>
      <c r="H5626">
        <v>0.36397839999999998</v>
      </c>
      <c r="I5626">
        <v>-19.293060000000001</v>
      </c>
      <c r="J5626">
        <v>-321.17610000000002</v>
      </c>
      <c r="K5626">
        <v>1.1001129999999999</v>
      </c>
      <c r="L5626">
        <v>17.165009999999999</v>
      </c>
      <c r="M5626">
        <v>0.97357510000000003</v>
      </c>
      <c r="N5626">
        <v>0</v>
      </c>
      <c r="O5626">
        <v>-0.227950599999999</v>
      </c>
      <c r="P5626">
        <v>0.92652459999999903</v>
      </c>
      <c r="Q5626">
        <v>-1.0974009999999999E-2</v>
      </c>
      <c r="R5626">
        <v>-0.37607390000000002</v>
      </c>
      <c r="S5626">
        <v>2.40127599999999</v>
      </c>
      <c r="T5626">
        <v>-4.1814209999999997E-2</v>
      </c>
      <c r="U5626">
        <v>-2.0725709999999999</v>
      </c>
      <c r="V5626">
        <v>0.1549691</v>
      </c>
      <c r="W5626">
        <v>8.8388099999999999E-4</v>
      </c>
      <c r="X5626">
        <v>0.98791890000000004</v>
      </c>
      <c r="Y5626">
        <v>0.463588099999999</v>
      </c>
      <c r="Z5626">
        <v>-1.4965860000000001E-4</v>
      </c>
      <c r="AA5626">
        <v>0.88605080000000003</v>
      </c>
      <c r="AB5626">
        <v>23</v>
      </c>
      <c r="AC5626">
        <v>42.156100000000002</v>
      </c>
      <c r="AD5626">
        <v>-0.73613459999999897</v>
      </c>
      <c r="AE5626">
        <v>-36.458069999999999</v>
      </c>
      <c r="AF5626">
        <v>25.883105659032701</v>
      </c>
      <c r="AG5626">
        <v>-0.73613459999999897</v>
      </c>
      <c r="AH5626">
        <v>49.348849753682202</v>
      </c>
      <c r="AI5626">
        <v>90.756844619390407</v>
      </c>
      <c r="AJ5626">
        <v>62.323323031384497</v>
      </c>
      <c r="AK5626">
        <v>55.729579441419297</v>
      </c>
    </row>
    <row r="5627" spans="1:37" x14ac:dyDescent="0.2">
      <c r="A5627" t="str">
        <f>"20200111155707089"</f>
        <v>20200111155707089</v>
      </c>
      <c r="B5627" t="str">
        <f>"1578729427078692"</f>
        <v>1578729427078692</v>
      </c>
      <c r="C5627" t="s">
        <v>37</v>
      </c>
      <c r="D5627">
        <v>5.1431239999999896</v>
      </c>
      <c r="E5627">
        <v>0.61640790000000001</v>
      </c>
      <c r="F5627" t="s">
        <v>82</v>
      </c>
      <c r="G5627">
        <v>-279.02</v>
      </c>
      <c r="H5627">
        <v>0.38991500000000001</v>
      </c>
      <c r="I5627">
        <v>-19.565639999999998</v>
      </c>
      <c r="J5627">
        <v>-321.0566</v>
      </c>
      <c r="K5627">
        <v>1.09998</v>
      </c>
      <c r="L5627">
        <v>17.132719999999999</v>
      </c>
      <c r="M5627">
        <v>0.97248840000000003</v>
      </c>
      <c r="N5627">
        <v>0</v>
      </c>
      <c r="O5627">
        <v>-0.23255339999999999</v>
      </c>
      <c r="P5627">
        <v>0.92472339999999997</v>
      </c>
      <c r="Q5627">
        <v>-1.0382219999999999E-2</v>
      </c>
      <c r="R5627">
        <v>-0.38049899999999998</v>
      </c>
      <c r="S5627">
        <v>2.391632</v>
      </c>
      <c r="T5627">
        <v>-4.0291550000000002E-2</v>
      </c>
      <c r="U5627">
        <v>-2.0838320000000001</v>
      </c>
      <c r="V5627">
        <v>0.15502260000000001</v>
      </c>
      <c r="W5627">
        <v>1.285378E-3</v>
      </c>
      <c r="X5627">
        <v>0.98791010000000001</v>
      </c>
      <c r="Y5627">
        <v>0.46354030000000002</v>
      </c>
      <c r="Z5627" s="1">
        <v>-8.1992009999999998E-5</v>
      </c>
      <c r="AA5627">
        <v>0.88607590000000003</v>
      </c>
      <c r="AB5627">
        <v>23</v>
      </c>
      <c r="AC5627">
        <v>42.0366</v>
      </c>
      <c r="AD5627">
        <v>-0.71006499999999995</v>
      </c>
      <c r="AE5627">
        <v>-36.698360000000001</v>
      </c>
      <c r="AF5627">
        <v>25.911179857043798</v>
      </c>
      <c r="AG5627">
        <v>-0.71006499999999995</v>
      </c>
      <c r="AH5627">
        <v>49.411010766021697</v>
      </c>
      <c r="AI5627">
        <v>90.7291537046586</v>
      </c>
      <c r="AJ5627">
        <v>62.32744169147</v>
      </c>
      <c r="AK5627">
        <v>55.797324477148699</v>
      </c>
    </row>
    <row r="5628" spans="1:37" x14ac:dyDescent="0.2">
      <c r="A5628" t="str">
        <f>"20200111155707101"</f>
        <v>20200111155707101</v>
      </c>
      <c r="B5628" t="str">
        <f>"1578729427098212"</f>
        <v>1578729427098212</v>
      </c>
      <c r="C5628" t="s">
        <v>37</v>
      </c>
      <c r="D5628">
        <v>5.1748269999999996</v>
      </c>
      <c r="E5628">
        <v>0.6166623</v>
      </c>
      <c r="F5628" t="s">
        <v>39</v>
      </c>
      <c r="G5628">
        <v>-271.375</v>
      </c>
      <c r="H5628">
        <v>-0.05</v>
      </c>
      <c r="I5628">
        <v>-23.904070000000001</v>
      </c>
      <c r="J5628">
        <v>-320.94069999999999</v>
      </c>
      <c r="K5628">
        <v>1.099801</v>
      </c>
      <c r="L5628">
        <v>17.101199999999999</v>
      </c>
      <c r="M5628">
        <v>0.97143239999999997</v>
      </c>
      <c r="N5628">
        <v>0</v>
      </c>
      <c r="O5628">
        <v>-0.23693339999999999</v>
      </c>
      <c r="P5628">
        <v>0.92310369999999997</v>
      </c>
      <c r="Q5628">
        <v>-9.8213859999999997E-3</v>
      </c>
      <c r="R5628">
        <v>-0.38442579999999998</v>
      </c>
      <c r="S5628">
        <v>2.4208069999999999</v>
      </c>
      <c r="T5628">
        <v>-5.603433E-2</v>
      </c>
      <c r="U5628">
        <v>-1.999573</v>
      </c>
      <c r="V5628">
        <v>0.15477389999999999</v>
      </c>
      <c r="W5628">
        <v>1.6735229999999999E-3</v>
      </c>
      <c r="X5628">
        <v>0.98794850000000001</v>
      </c>
      <c r="Y5628">
        <v>0.43597989999999998</v>
      </c>
      <c r="Z5628">
        <v>2.5021469999999998E-4</v>
      </c>
      <c r="AA5628">
        <v>0.89995639999999999</v>
      </c>
      <c r="AB5628">
        <v>23</v>
      </c>
      <c r="AC5628">
        <v>49.5656999999999</v>
      </c>
      <c r="AD5628">
        <v>-1.1498010000000001</v>
      </c>
      <c r="AE5628">
        <v>-41.005270000000003</v>
      </c>
      <c r="AF5628">
        <v>28.083657755616802</v>
      </c>
      <c r="AG5628">
        <v>-1.1498010000000001</v>
      </c>
      <c r="AH5628">
        <v>57.852019266245897</v>
      </c>
      <c r="AI5628">
        <v>91.024312591995297</v>
      </c>
      <c r="AJ5628">
        <v>64.106230168515197</v>
      </c>
      <c r="AK5628">
        <v>64.318504401581905</v>
      </c>
    </row>
    <row r="5629" spans="1:37" x14ac:dyDescent="0.2">
      <c r="A5629" t="str">
        <f>"20200111155707112"</f>
        <v>20200111155707112</v>
      </c>
      <c r="B5629" t="str">
        <f>"1578729427108948"</f>
        <v>1578729427108948</v>
      </c>
      <c r="C5629" t="s">
        <v>37</v>
      </c>
      <c r="D5629">
        <v>5.1971999999999996</v>
      </c>
      <c r="E5629">
        <v>0.61608719999999995</v>
      </c>
      <c r="F5629" t="s">
        <v>82</v>
      </c>
      <c r="G5629">
        <v>-279.02</v>
      </c>
      <c r="H5629">
        <v>0.20605619999999999</v>
      </c>
      <c r="I5629">
        <v>-17.87096</v>
      </c>
      <c r="J5629">
        <v>-320.82150000000001</v>
      </c>
      <c r="K5629">
        <v>1.0994740000000001</v>
      </c>
      <c r="L5629">
        <v>17.068079999999998</v>
      </c>
      <c r="M5629">
        <v>0.97041049999999995</v>
      </c>
      <c r="N5629">
        <v>0</v>
      </c>
      <c r="O5629">
        <v>-0.24108930000000001</v>
      </c>
      <c r="P5629">
        <v>0.92147659999999998</v>
      </c>
      <c r="Q5629">
        <v>-9.2856339999999992E-3</v>
      </c>
      <c r="R5629">
        <v>-0.38832329999999998</v>
      </c>
      <c r="S5629">
        <v>2.41153</v>
      </c>
      <c r="T5629">
        <v>-5.1413540000000001E-2</v>
      </c>
      <c r="U5629">
        <v>-2.0118099999999899</v>
      </c>
      <c r="V5629">
        <v>0.15472559999999999</v>
      </c>
      <c r="W5629">
        <v>2.0511769999999999E-3</v>
      </c>
      <c r="X5629">
        <v>0.98795529999999998</v>
      </c>
      <c r="Y5629">
        <v>0.43653009999999898</v>
      </c>
      <c r="Z5629">
        <v>2.9629770000000002E-4</v>
      </c>
      <c r="AA5629">
        <v>0.89968959999999998</v>
      </c>
      <c r="AB5629">
        <v>23</v>
      </c>
      <c r="AC5629">
        <v>41.801499999999997</v>
      </c>
      <c r="AD5629">
        <v>-0.89341780000000004</v>
      </c>
      <c r="AE5629">
        <v>-34.939039999999999</v>
      </c>
      <c r="AF5629">
        <v>23.823048028381201</v>
      </c>
      <c r="AG5629">
        <v>-0.89341780000000004</v>
      </c>
      <c r="AH5629">
        <v>48.979266572810197</v>
      </c>
      <c r="AI5629">
        <v>90.939757191847505</v>
      </c>
      <c r="AJ5629">
        <v>64.062153627220994</v>
      </c>
      <c r="AK5629">
        <v>54.472969138264503</v>
      </c>
    </row>
    <row r="5630" spans="1:37" x14ac:dyDescent="0.2">
      <c r="A5630" t="str">
        <f>"20200111155707126"</f>
        <v>20200111155707126</v>
      </c>
      <c r="B5630" t="str">
        <f>"1578729427118708"</f>
        <v>1578729427118708</v>
      </c>
      <c r="C5630" t="s">
        <v>37</v>
      </c>
      <c r="D5630">
        <v>5.2020330000000001</v>
      </c>
      <c r="E5630">
        <v>0.61574329999999999</v>
      </c>
      <c r="F5630" t="s">
        <v>82</v>
      </c>
      <c r="G5630">
        <v>-279.02</v>
      </c>
      <c r="H5630">
        <v>0.20290759999999999</v>
      </c>
      <c r="I5630">
        <v>-18.006979999999999</v>
      </c>
      <c r="J5630">
        <v>-320.6841</v>
      </c>
      <c r="K5630">
        <v>1.0990120000000001</v>
      </c>
      <c r="L5630">
        <v>17.029239999999898</v>
      </c>
      <c r="M5630">
        <v>0.96928859999999994</v>
      </c>
      <c r="N5630">
        <v>0</v>
      </c>
      <c r="O5630">
        <v>-0.245559</v>
      </c>
      <c r="P5630">
        <v>0.9198096</v>
      </c>
      <c r="Q5630">
        <v>-8.5298249999999996E-3</v>
      </c>
      <c r="R5630">
        <v>-0.39227240000000002</v>
      </c>
      <c r="S5630">
        <v>2.404785</v>
      </c>
      <c r="T5630">
        <v>-5.1578279999999997E-2</v>
      </c>
      <c r="U5630">
        <v>-2.0178219999999998</v>
      </c>
      <c r="V5630">
        <v>0.15442020000000001</v>
      </c>
      <c r="W5630">
        <v>2.7282840000000001E-3</v>
      </c>
      <c r="X5630">
        <v>0.98800149999999998</v>
      </c>
      <c r="Y5630">
        <v>0.43494499999999903</v>
      </c>
      <c r="Z5630">
        <v>3.8980930000000002E-4</v>
      </c>
      <c r="AA5630">
        <v>0.90045699999999995</v>
      </c>
      <c r="AB5630">
        <v>23</v>
      </c>
      <c r="AC5630">
        <v>41.664099999999998</v>
      </c>
      <c r="AD5630">
        <v>-0.89610440000000002</v>
      </c>
      <c r="AE5630">
        <v>-35.03622</v>
      </c>
      <c r="AF5630">
        <v>23.724925662411</v>
      </c>
      <c r="AG5630">
        <v>-0.89610440000000002</v>
      </c>
      <c r="AH5630">
        <v>48.979143411810398</v>
      </c>
      <c r="AI5630">
        <v>90.943326507443501</v>
      </c>
      <c r="AJ5630">
        <v>64.154993663765595</v>
      </c>
      <c r="AK5630">
        <v>54.430061456306703</v>
      </c>
    </row>
    <row r="5631" spans="1:37" x14ac:dyDescent="0.2">
      <c r="A5631" t="str">
        <f>"20200111155707142"</f>
        <v>20200111155707142</v>
      </c>
      <c r="B5631" t="str">
        <f>"1578729427138229"</f>
        <v>1578729427138229</v>
      </c>
      <c r="C5631" t="s">
        <v>37</v>
      </c>
      <c r="D5631">
        <v>5.2095010000000004</v>
      </c>
      <c r="E5631">
        <v>0.61510330000000002</v>
      </c>
      <c r="F5631" t="s">
        <v>82</v>
      </c>
      <c r="G5631">
        <v>-279.02</v>
      </c>
      <c r="H5631">
        <v>0.214550299999999</v>
      </c>
      <c r="I5631">
        <v>-18.171510000000001</v>
      </c>
      <c r="J5631">
        <v>-320.54160000000002</v>
      </c>
      <c r="K5631">
        <v>1.0984659999999999</v>
      </c>
      <c r="L5631">
        <v>16.988340000000001</v>
      </c>
      <c r="M5631">
        <v>0.96817369999999903</v>
      </c>
      <c r="N5631">
        <v>0</v>
      </c>
      <c r="O5631">
        <v>-0.2499102</v>
      </c>
      <c r="P5631">
        <v>0.91829130000000003</v>
      </c>
      <c r="Q5631">
        <v>-7.708243E-3</v>
      </c>
      <c r="R5631">
        <v>-0.39583040000000003</v>
      </c>
      <c r="S5631">
        <v>2.397278</v>
      </c>
      <c r="T5631">
        <v>-5.0890329999999998E-2</v>
      </c>
      <c r="U5631">
        <v>-2.0253909999999999</v>
      </c>
      <c r="V5631">
        <v>0.1538205</v>
      </c>
      <c r="W5631">
        <v>3.5818180000000001E-3</v>
      </c>
      <c r="X5631">
        <v>0.98809230000000003</v>
      </c>
      <c r="Y5631">
        <v>0.43394899999999997</v>
      </c>
      <c r="Z5631">
        <v>4.6854980000000002E-4</v>
      </c>
      <c r="AA5631">
        <v>0.90093729999999905</v>
      </c>
      <c r="AB5631">
        <v>23</v>
      </c>
      <c r="AC5631">
        <v>41.521599999999999</v>
      </c>
      <c r="AD5631">
        <v>-0.88391569999999997</v>
      </c>
      <c r="AE5631">
        <v>-35.159849999999999</v>
      </c>
      <c r="AF5631">
        <v>23.660110296571201</v>
      </c>
      <c r="AG5631">
        <v>-0.88391569999999997</v>
      </c>
      <c r="AH5631">
        <v>48.978520841541503</v>
      </c>
      <c r="AI5631">
        <v>90.930990094859496</v>
      </c>
      <c r="AJ5631">
        <v>64.216152099400503</v>
      </c>
      <c r="AK5631">
        <v>54.4010811476752</v>
      </c>
    </row>
    <row r="5632" spans="1:37" x14ac:dyDescent="0.2">
      <c r="A5632" t="str">
        <f>"20200111155707153"</f>
        <v>20200111155707153</v>
      </c>
      <c r="B5632" t="str">
        <f>"1578729427148963"</f>
        <v>1578729427148963</v>
      </c>
      <c r="C5632" t="s">
        <v>37</v>
      </c>
      <c r="D5632">
        <v>5.2385409999999997</v>
      </c>
      <c r="E5632">
        <v>0.61469309999999999</v>
      </c>
      <c r="F5632" t="s">
        <v>82</v>
      </c>
      <c r="G5632">
        <v>-279.02</v>
      </c>
      <c r="H5632">
        <v>0.2360333</v>
      </c>
      <c r="I5632">
        <v>-18.257110000000001</v>
      </c>
      <c r="J5632">
        <v>-320.3963</v>
      </c>
      <c r="K5632">
        <v>1.0978520000000001</v>
      </c>
      <c r="L5632">
        <v>16.945620000000002</v>
      </c>
      <c r="M5632">
        <v>0.967064699999999</v>
      </c>
      <c r="N5632">
        <v>0</v>
      </c>
      <c r="O5632">
        <v>-0.25414929999999902</v>
      </c>
      <c r="P5632">
        <v>0.91657690000000003</v>
      </c>
      <c r="Q5632">
        <v>-7.3947090000000002E-3</v>
      </c>
      <c r="R5632">
        <v>-0.3997908</v>
      </c>
      <c r="S5632">
        <v>2.3914789999999999</v>
      </c>
      <c r="T5632">
        <v>-4.9672719999999997E-2</v>
      </c>
      <c r="U5632">
        <v>-2.0299990000000001</v>
      </c>
      <c r="V5632">
        <v>0.15376770000000001</v>
      </c>
      <c r="W5632">
        <v>4.147342E-3</v>
      </c>
      <c r="X5632">
        <v>0.98809829999999998</v>
      </c>
      <c r="Y5632">
        <v>0.43208760000000002</v>
      </c>
      <c r="Z5632">
        <v>5.4532289999999998E-4</v>
      </c>
      <c r="AA5632">
        <v>0.90183139999999995</v>
      </c>
      <c r="AB5632">
        <v>23</v>
      </c>
      <c r="AC5632">
        <v>41.376300000000001</v>
      </c>
      <c r="AD5632">
        <v>-0.86181869999999905</v>
      </c>
      <c r="AE5632">
        <v>-35.202729999999903</v>
      </c>
      <c r="AF5632">
        <v>23.5239221143466</v>
      </c>
      <c r="AG5632">
        <v>-0.86181869999999905</v>
      </c>
      <c r="AH5632">
        <v>48.952738300689099</v>
      </c>
      <c r="AI5632">
        <v>90.909096163678001</v>
      </c>
      <c r="AJ5632">
        <v>64.333688669041393</v>
      </c>
      <c r="AK5632">
        <v>54.318396793805199</v>
      </c>
    </row>
    <row r="5633" spans="1:37" x14ac:dyDescent="0.2">
      <c r="A5633" t="str">
        <f>"20200111155707165"</f>
        <v>20200111155707165</v>
      </c>
      <c r="B5633" t="str">
        <f>"1578729427158724"</f>
        <v>1578729427158724</v>
      </c>
      <c r="C5633" t="s">
        <v>37</v>
      </c>
      <c r="D5633">
        <v>5.2431760000000001</v>
      </c>
      <c r="E5633">
        <v>0.61422489999999996</v>
      </c>
      <c r="F5633" t="s">
        <v>82</v>
      </c>
      <c r="G5633">
        <v>-279.02</v>
      </c>
      <c r="H5633">
        <v>0.23974009999999901</v>
      </c>
      <c r="I5633">
        <v>-18.413779999999999</v>
      </c>
      <c r="J5633">
        <v>-320.2885</v>
      </c>
      <c r="K5633">
        <v>1.0973869999999999</v>
      </c>
      <c r="L5633">
        <v>16.91339</v>
      </c>
      <c r="M5633">
        <v>0.96623760000000003</v>
      </c>
      <c r="N5633">
        <v>0</v>
      </c>
      <c r="O5633">
        <v>-0.25725310000000001</v>
      </c>
      <c r="P5633">
        <v>0.91521719999999895</v>
      </c>
      <c r="Q5633">
        <v>-7.2058469999999996E-3</v>
      </c>
      <c r="R5633">
        <v>-0.40289659999999999</v>
      </c>
      <c r="S5633">
        <v>2.3840029999999999</v>
      </c>
      <c r="T5633">
        <v>-4.9442409999999999E-2</v>
      </c>
      <c r="U5633">
        <v>-2.03732299999999</v>
      </c>
      <c r="V5633">
        <v>0.15395449999999999</v>
      </c>
      <c r="W5633">
        <v>4.6642289999999998E-3</v>
      </c>
      <c r="X5633">
        <v>0.98806689999999997</v>
      </c>
      <c r="Y5633">
        <v>0.43218829999999903</v>
      </c>
      <c r="Z5633">
        <v>5.9396630000000002E-4</v>
      </c>
      <c r="AA5633">
        <v>0.90178320000000001</v>
      </c>
      <c r="AB5633">
        <v>23</v>
      </c>
      <c r="AC5633">
        <v>41.268500000000003</v>
      </c>
      <c r="AD5633">
        <v>-0.85764689999999999</v>
      </c>
      <c r="AE5633">
        <v>-35.327169999999903</v>
      </c>
      <c r="AF5633">
        <v>23.5145491236139</v>
      </c>
      <c r="AG5633">
        <v>-0.85764689999999999</v>
      </c>
      <c r="AH5633">
        <v>48.956035842279697</v>
      </c>
      <c r="AI5633">
        <v>90.904714339237501</v>
      </c>
      <c r="AJ5633">
        <v>64.344107987938401</v>
      </c>
      <c r="AK5633">
        <v>54.317244260754897</v>
      </c>
    </row>
    <row r="5634" spans="1:37" x14ac:dyDescent="0.2">
      <c r="A5634" t="str">
        <f>"20200111155707176"</f>
        <v>20200111155707176</v>
      </c>
      <c r="B5634" t="str">
        <f>"1578729427168483"</f>
        <v>1578729427168483</v>
      </c>
      <c r="C5634" t="s">
        <v>37</v>
      </c>
      <c r="D5634">
        <v>5.2663260000000003</v>
      </c>
      <c r="E5634">
        <v>0.61388129999999996</v>
      </c>
      <c r="F5634" t="s">
        <v>82</v>
      </c>
      <c r="G5634">
        <v>-279.02</v>
      </c>
      <c r="H5634">
        <v>0.22180540000000001</v>
      </c>
      <c r="I5634">
        <v>-18.51585</v>
      </c>
      <c r="J5634">
        <v>-320.17290000000003</v>
      </c>
      <c r="K5634">
        <v>1.0968819999999999</v>
      </c>
      <c r="L5634">
        <v>16.87857</v>
      </c>
      <c r="M5634">
        <v>0.96534500000000001</v>
      </c>
      <c r="N5634">
        <v>0</v>
      </c>
      <c r="O5634">
        <v>-0.26055469999999997</v>
      </c>
      <c r="P5634">
        <v>0.91386279999999998</v>
      </c>
      <c r="Q5634">
        <v>-7.4209469999999998E-3</v>
      </c>
      <c r="R5634">
        <v>-0.40595579999999998</v>
      </c>
      <c r="S5634">
        <v>2.3785400000000001</v>
      </c>
      <c r="T5634">
        <v>-5.0464870000000002E-2</v>
      </c>
      <c r="U5634">
        <v>-2.041992</v>
      </c>
      <c r="V5634">
        <v>0.15388660000000001</v>
      </c>
      <c r="W5634">
        <v>4.8902470000000003E-3</v>
      </c>
      <c r="X5634">
        <v>0.98807639999999997</v>
      </c>
      <c r="Y5634">
        <v>0.4311451</v>
      </c>
      <c r="Z5634">
        <v>6.7233569999999995E-4</v>
      </c>
      <c r="AA5634">
        <v>0.90228240000000004</v>
      </c>
      <c r="AB5634">
        <v>23</v>
      </c>
      <c r="AC5634">
        <v>41.152900000000002</v>
      </c>
      <c r="AD5634">
        <v>-0.87507659999999898</v>
      </c>
      <c r="AE5634">
        <v>-35.394419999999997</v>
      </c>
      <c r="AF5634">
        <v>23.441734961170798</v>
      </c>
      <c r="AG5634">
        <v>-0.87507659999999898</v>
      </c>
      <c r="AH5634">
        <v>48.941600773854098</v>
      </c>
      <c r="AI5634">
        <v>90.923854360442903</v>
      </c>
      <c r="AJ5634">
        <v>64.406809227908596</v>
      </c>
      <c r="AK5634">
        <v>54.273022611173602</v>
      </c>
    </row>
    <row r="5635" spans="1:37" x14ac:dyDescent="0.2">
      <c r="A5635" t="str">
        <f>"20200111155707188"</f>
        <v>20200111155707188</v>
      </c>
      <c r="B5635" t="str">
        <f>"1578729427178244"</f>
        <v>1578729427178244</v>
      </c>
      <c r="C5635" t="s">
        <v>37</v>
      </c>
      <c r="D5635">
        <v>5.2625140000000004</v>
      </c>
      <c r="E5635">
        <v>0.61346259999999997</v>
      </c>
      <c r="F5635" t="s">
        <v>82</v>
      </c>
      <c r="G5635">
        <v>-279.02</v>
      </c>
      <c r="H5635">
        <v>0.1759434</v>
      </c>
      <c r="I5635">
        <v>-18.63064</v>
      </c>
      <c r="J5635">
        <v>-320.06270000000001</v>
      </c>
      <c r="K5635">
        <v>1.0963639999999999</v>
      </c>
      <c r="L5635">
        <v>16.8447</v>
      </c>
      <c r="M5635">
        <v>0.96448089999999997</v>
      </c>
      <c r="N5635">
        <v>0</v>
      </c>
      <c r="O5635">
        <v>-0.26369999999999999</v>
      </c>
      <c r="P5635">
        <v>0.91248069999999903</v>
      </c>
      <c r="Q5635">
        <v>-7.695716E-3</v>
      </c>
      <c r="R5635">
        <v>-0.40904800000000002</v>
      </c>
      <c r="S5635">
        <v>2.372833</v>
      </c>
      <c r="T5635">
        <v>-5.3100349999999998E-2</v>
      </c>
      <c r="U5635">
        <v>-2.0474239999999999</v>
      </c>
      <c r="V5635">
        <v>0.15401579999999901</v>
      </c>
      <c r="W5635">
        <v>5.176824E-3</v>
      </c>
      <c r="X5635">
        <v>0.98805480000000001</v>
      </c>
      <c r="Y5635">
        <v>0.43045659999999902</v>
      </c>
      <c r="Z5635">
        <v>7.7079119999999904E-4</v>
      </c>
      <c r="AA5635">
        <v>0.90261100000000005</v>
      </c>
      <c r="AB5635">
        <v>23</v>
      </c>
      <c r="AC5635">
        <v>41.042700000000004</v>
      </c>
      <c r="AD5635">
        <v>-0.92042060000000003</v>
      </c>
      <c r="AE5635">
        <v>-35.475340000000003</v>
      </c>
      <c r="AF5635">
        <v>23.388390024833701</v>
      </c>
      <c r="AG5635">
        <v>-0.92042060000000003</v>
      </c>
      <c r="AH5635">
        <v>48.931508934560902</v>
      </c>
      <c r="AI5635">
        <v>90.972292463753405</v>
      </c>
      <c r="AJ5635">
        <v>64.453030838010903</v>
      </c>
      <c r="AK5635">
        <v>54.241649390921602</v>
      </c>
    </row>
    <row r="5636" spans="1:37" x14ac:dyDescent="0.2">
      <c r="A5636" t="str">
        <f>"20200111155707201"</f>
        <v>20200111155707201</v>
      </c>
      <c r="B5636" t="str">
        <f>"1578729427198741"</f>
        <v>1578729427198741</v>
      </c>
      <c r="C5636" t="s">
        <v>37</v>
      </c>
      <c r="D5636">
        <v>5.2753930000000002</v>
      </c>
      <c r="E5636">
        <v>0.61298819999999998</v>
      </c>
      <c r="F5636" t="s">
        <v>39</v>
      </c>
      <c r="G5636">
        <v>-271.17160000000001</v>
      </c>
      <c r="H5636">
        <v>-0.05</v>
      </c>
      <c r="I5636">
        <v>-25.542529999999999</v>
      </c>
      <c r="J5636">
        <v>-319.93360000000001</v>
      </c>
      <c r="K5636">
        <v>1.095734</v>
      </c>
      <c r="L5636">
        <v>16.804690000000001</v>
      </c>
      <c r="M5636">
        <v>0.96345069999999999</v>
      </c>
      <c r="N5636">
        <v>0</v>
      </c>
      <c r="O5636">
        <v>-0.26739489999999999</v>
      </c>
      <c r="P5636">
        <v>0.91083630000000004</v>
      </c>
      <c r="Q5636">
        <v>-8.2189740000000004E-3</v>
      </c>
      <c r="R5636">
        <v>-0.41268589999999999</v>
      </c>
      <c r="S5636">
        <v>2.3672490000000002</v>
      </c>
      <c r="T5636">
        <v>-5.5505510000000001E-2</v>
      </c>
      <c r="U5636">
        <v>-2.0523380000000002</v>
      </c>
      <c r="V5636">
        <v>0.1541739</v>
      </c>
      <c r="W5636">
        <v>5.3575419999999999E-3</v>
      </c>
      <c r="X5636">
        <v>0.98802919999999905</v>
      </c>
      <c r="Y5636">
        <v>0.42911470000000002</v>
      </c>
      <c r="Z5636">
        <v>8.8889079999999998E-4</v>
      </c>
      <c r="AA5636">
        <v>0.90324959999999899</v>
      </c>
      <c r="AB5636">
        <v>23</v>
      </c>
      <c r="AC5636">
        <v>48.762</v>
      </c>
      <c r="AD5636">
        <v>-1.145734</v>
      </c>
      <c r="AE5636">
        <v>-42.34722</v>
      </c>
      <c r="AF5636">
        <v>27.7556606730159</v>
      </c>
      <c r="AG5636">
        <v>-1.145734</v>
      </c>
      <c r="AH5636">
        <v>58.2925279295998</v>
      </c>
      <c r="AI5636">
        <v>91.016661530898801</v>
      </c>
      <c r="AJ5636">
        <v>64.538807018052395</v>
      </c>
      <c r="AK5636">
        <v>64.573277895872195</v>
      </c>
    </row>
    <row r="5637" spans="1:37" x14ac:dyDescent="0.2">
      <c r="A5637" t="str">
        <f>"20200111155707213"</f>
        <v>20200111155707213</v>
      </c>
      <c r="B5637" t="str">
        <f>"1578729427208500"</f>
        <v>1578729427208500</v>
      </c>
      <c r="C5637" t="s">
        <v>37</v>
      </c>
      <c r="D5637">
        <v>5.2781359999999999</v>
      </c>
      <c r="E5637">
        <v>0.60747329999999999</v>
      </c>
      <c r="F5637" t="s">
        <v>39</v>
      </c>
      <c r="G5637">
        <v>-274.10250000000002</v>
      </c>
      <c r="H5637">
        <v>-0.05</v>
      </c>
      <c r="I5637">
        <v>-23.155929999999898</v>
      </c>
      <c r="J5637">
        <v>-319.80349999999999</v>
      </c>
      <c r="K5637">
        <v>1.095054</v>
      </c>
      <c r="L5637">
        <v>16.76361</v>
      </c>
      <c r="M5637">
        <v>0.96238429999999997</v>
      </c>
      <c r="N5637">
        <v>0</v>
      </c>
      <c r="O5637">
        <v>-0.2711577</v>
      </c>
      <c r="P5637">
        <v>0.90915879999999905</v>
      </c>
      <c r="Q5637">
        <v>-8.6958950000000004E-3</v>
      </c>
      <c r="R5637">
        <v>-0.41635889999999998</v>
      </c>
      <c r="S5637">
        <v>2.3605959999999899</v>
      </c>
      <c r="T5637">
        <v>-5.901265E-2</v>
      </c>
      <c r="U5637">
        <v>-2.05822799999999</v>
      </c>
      <c r="V5637">
        <v>0.15430439999999901</v>
      </c>
      <c r="W5637">
        <v>5.6779730000000002E-3</v>
      </c>
      <c r="X5637">
        <v>0.98800710000000003</v>
      </c>
      <c r="Y5637">
        <v>0.42811939999999998</v>
      </c>
      <c r="Z5637">
        <v>1.031339E-3</v>
      </c>
      <c r="AA5637">
        <v>0.90372160000000001</v>
      </c>
      <c r="AB5637">
        <v>23</v>
      </c>
      <c r="AC5637">
        <v>45.700999999999901</v>
      </c>
      <c r="AD5637">
        <v>-1.145054</v>
      </c>
      <c r="AE5637">
        <v>-39.919539999999998</v>
      </c>
      <c r="AF5637">
        <v>26.0202692018627</v>
      </c>
      <c r="AG5637">
        <v>-1.145054</v>
      </c>
      <c r="AH5637">
        <v>54.794851657012302</v>
      </c>
      <c r="AI5637">
        <v>91.081436040771905</v>
      </c>
      <c r="AJ5637">
        <v>64.598497693208401</v>
      </c>
      <c r="AK5637">
        <v>60.669937581262701</v>
      </c>
    </row>
    <row r="5638" spans="1:37" x14ac:dyDescent="0.2">
      <c r="A5638" t="str">
        <f>"20200111155707225"</f>
        <v>20200111155707225</v>
      </c>
      <c r="B5638" t="str">
        <f>"1578729427218260"</f>
        <v>1578729427218260</v>
      </c>
      <c r="C5638" t="s">
        <v>37</v>
      </c>
      <c r="D5638">
        <v>5.27529</v>
      </c>
      <c r="E5638">
        <v>0.60747329999999999</v>
      </c>
      <c r="F5638" t="s">
        <v>38</v>
      </c>
      <c r="G5638">
        <v>-290.16890000000001</v>
      </c>
      <c r="H5638" s="1">
        <v>-2.8508139999999998E-6</v>
      </c>
      <c r="I5638">
        <v>-8.5794920000000001</v>
      </c>
      <c r="J5638">
        <v>-319.6893</v>
      </c>
      <c r="K5638">
        <v>1.0944479999999901</v>
      </c>
      <c r="L5638">
        <v>16.727049999999998</v>
      </c>
      <c r="M5638">
        <v>0.96140119999999896</v>
      </c>
      <c r="N5638">
        <v>0</v>
      </c>
      <c r="O5638">
        <v>-0.27457329999999902</v>
      </c>
      <c r="P5638">
        <v>0.90756789999999998</v>
      </c>
      <c r="Q5638">
        <v>-9.2939049999999999E-3</v>
      </c>
      <c r="R5638">
        <v>-0.41980289999999998</v>
      </c>
      <c r="S5638">
        <v>2.37054399999999</v>
      </c>
      <c r="T5638">
        <v>-8.7596060000000003E-2</v>
      </c>
      <c r="U5638">
        <v>-2.0272519999999998</v>
      </c>
      <c r="V5638">
        <v>0.15454200000000001</v>
      </c>
      <c r="W5638">
        <v>5.8486769999999896E-3</v>
      </c>
      <c r="X5638">
        <v>0.98796890000000004</v>
      </c>
      <c r="Y5638">
        <v>0.41618379999999999</v>
      </c>
      <c r="Z5638">
        <v>1.825545E-3</v>
      </c>
      <c r="AA5638">
        <v>0.9092787</v>
      </c>
      <c r="AB5638">
        <v>23</v>
      </c>
      <c r="AC5638">
        <v>29.520399999999899</v>
      </c>
      <c r="AD5638">
        <v>-1.0944508508139901</v>
      </c>
      <c r="AE5638">
        <v>-25.306542</v>
      </c>
      <c r="AF5638">
        <v>16.213954334250001</v>
      </c>
      <c r="AG5638">
        <v>-1.0944508508139901</v>
      </c>
      <c r="AH5638">
        <v>35.307080985116897</v>
      </c>
      <c r="AI5638">
        <v>91.613578318152506</v>
      </c>
      <c r="AJ5638">
        <v>65.3341493003484</v>
      </c>
      <c r="AK5638">
        <v>38.867468473102299</v>
      </c>
    </row>
    <row r="5639" spans="1:37" x14ac:dyDescent="0.2">
      <c r="A5639" t="str">
        <f>"20200111155707236"</f>
        <v>20200111155707236</v>
      </c>
      <c r="B5639" t="str">
        <f>"1578729427228996"</f>
        <v>1578729427228996</v>
      </c>
      <c r="C5639" t="s">
        <v>37</v>
      </c>
      <c r="D5639">
        <v>5.2475709999999998</v>
      </c>
      <c r="E5639">
        <v>0.62095559999999905</v>
      </c>
      <c r="F5639" t="s">
        <v>38</v>
      </c>
      <c r="G5639">
        <v>-290.52339999999998</v>
      </c>
      <c r="H5639" s="1">
        <v>-2.822298E-6</v>
      </c>
      <c r="I5639">
        <v>-8.4080969999999997</v>
      </c>
      <c r="J5639">
        <v>-319.57060000000001</v>
      </c>
      <c r="K5639">
        <v>1.093812</v>
      </c>
      <c r="L5639">
        <v>16.688690000000001</v>
      </c>
      <c r="M5639">
        <v>0.96034219999999904</v>
      </c>
      <c r="N5639">
        <v>0</v>
      </c>
      <c r="O5639">
        <v>-0.27819959999999999</v>
      </c>
      <c r="P5639">
        <v>0.90586329999999904</v>
      </c>
      <c r="Q5639">
        <v>-1.0204960000000001E-2</v>
      </c>
      <c r="R5639">
        <v>-0.42344789999999999</v>
      </c>
      <c r="S5639">
        <v>2.362762</v>
      </c>
      <c r="T5639">
        <v>-8.8662619999999998E-2</v>
      </c>
      <c r="U5639">
        <v>-2.0362239999999998</v>
      </c>
      <c r="V5639">
        <v>0.15478139999999899</v>
      </c>
      <c r="W5639">
        <v>5.7862119999999998E-3</v>
      </c>
      <c r="X5639">
        <v>0.98793180000000003</v>
      </c>
      <c r="Y5639">
        <v>0.41621039999999998</v>
      </c>
      <c r="Z5639">
        <v>1.9570489999999898E-3</v>
      </c>
      <c r="AA5639">
        <v>0.90926620000000002</v>
      </c>
      <c r="AB5639">
        <v>23</v>
      </c>
      <c r="AC5639">
        <v>29.0472</v>
      </c>
      <c r="AD5639">
        <v>-1.093814822298</v>
      </c>
      <c r="AE5639">
        <v>-25.096786999999999</v>
      </c>
      <c r="AF5639">
        <v>16.0103721727336</v>
      </c>
      <c r="AG5639">
        <v>-1.093814822298</v>
      </c>
      <c r="AH5639">
        <v>34.854936203890603</v>
      </c>
      <c r="AI5639">
        <v>91.633477284553194</v>
      </c>
      <c r="AJ5639">
        <v>65.328644980320405</v>
      </c>
      <c r="AK5639">
        <v>38.371799876370297</v>
      </c>
    </row>
    <row r="5640" spans="1:37" x14ac:dyDescent="0.2">
      <c r="A5640" t="str">
        <f>"20200111155707252"</f>
        <v>20200111155707252</v>
      </c>
      <c r="B5640" t="str">
        <f>"1578729427248516"</f>
        <v>1578729427248516</v>
      </c>
      <c r="C5640" t="s">
        <v>37</v>
      </c>
      <c r="D5640">
        <v>5.3435280000000001</v>
      </c>
      <c r="E5640">
        <v>0.62254030000000005</v>
      </c>
      <c r="F5640" t="s">
        <v>81</v>
      </c>
      <c r="G5640">
        <v>-283.09359999999998</v>
      </c>
      <c r="H5640">
        <v>1.071485</v>
      </c>
      <c r="I5640">
        <v>-17.194089999999999</v>
      </c>
      <c r="J5640">
        <v>-319.42290000000003</v>
      </c>
      <c r="K5640">
        <v>1.093011</v>
      </c>
      <c r="L5640">
        <v>16.639979999999898</v>
      </c>
      <c r="M5640">
        <v>0.95890750000000002</v>
      </c>
      <c r="N5640">
        <v>0</v>
      </c>
      <c r="O5640">
        <v>-0.28302769999999999</v>
      </c>
      <c r="P5640">
        <v>0.90351909999999902</v>
      </c>
      <c r="Q5640">
        <v>-1.0807310000000001E-2</v>
      </c>
      <c r="R5640">
        <v>-0.4284114</v>
      </c>
      <c r="S5640">
        <v>2.3090820000000001</v>
      </c>
      <c r="T5640">
        <v>-1.4133450000000001E-3</v>
      </c>
      <c r="U5640">
        <v>-2.1448669999999899</v>
      </c>
      <c r="V5640">
        <v>0.15523329999999999</v>
      </c>
      <c r="W5640">
        <v>6.34410099999999E-3</v>
      </c>
      <c r="X5640">
        <v>0.98785750000000005</v>
      </c>
      <c r="Y5640">
        <v>0.44532579999999999</v>
      </c>
      <c r="Z5640" s="1">
        <v>2.5893679999999899E-5</v>
      </c>
      <c r="AA5640">
        <v>0.89536859999999996</v>
      </c>
      <c r="AB5640">
        <v>23</v>
      </c>
      <c r="AC5640">
        <v>36.329300000000003</v>
      </c>
      <c r="AD5640">
        <v>-2.1525999999999899E-2</v>
      </c>
      <c r="AE5640">
        <v>-33.834069999999997</v>
      </c>
      <c r="AF5640">
        <v>22.165883008227802</v>
      </c>
      <c r="AG5640">
        <v>-2.1525999999999899E-2</v>
      </c>
      <c r="AH5640">
        <v>44.421110240327899</v>
      </c>
      <c r="AI5640">
        <v>90.024843691036693</v>
      </c>
      <c r="AJ5640">
        <v>63.481062986532898</v>
      </c>
      <c r="AK5640">
        <v>49.644353836931799</v>
      </c>
    </row>
    <row r="5641" spans="1:37" x14ac:dyDescent="0.2">
      <c r="A5641" t="str">
        <f>"20200111155707264"</f>
        <v>20200111155707264</v>
      </c>
      <c r="B5641" t="str">
        <f>"1578729427258276"</f>
        <v>1578729427258276</v>
      </c>
      <c r="C5641" t="s">
        <v>37</v>
      </c>
      <c r="D5641">
        <v>5.422199</v>
      </c>
      <c r="E5641">
        <v>0.62278089999999997</v>
      </c>
      <c r="F5641" t="s">
        <v>81</v>
      </c>
      <c r="G5641">
        <v>-283.64510000000001</v>
      </c>
      <c r="H5641">
        <v>1.4087179999999999</v>
      </c>
      <c r="I5641">
        <v>-17.223220000000001</v>
      </c>
      <c r="J5641">
        <v>-319.30900000000003</v>
      </c>
      <c r="K5641">
        <v>1.092368</v>
      </c>
      <c r="L5641">
        <v>16.601959999999998</v>
      </c>
      <c r="M5641">
        <v>0.95774869999999901</v>
      </c>
      <c r="N5641">
        <v>0</v>
      </c>
      <c r="O5641">
        <v>-0.28686269999999903</v>
      </c>
      <c r="P5641">
        <v>0.90172339999999995</v>
      </c>
      <c r="Q5641">
        <v>-1.148862E-2</v>
      </c>
      <c r="R5641">
        <v>-0.43216070000000001</v>
      </c>
      <c r="S5641">
        <v>2.291992</v>
      </c>
      <c r="T5641">
        <v>2.022469E-2</v>
      </c>
      <c r="U5641">
        <v>-2.1693419999999999</v>
      </c>
      <c r="V5641">
        <v>0.15538179999999999</v>
      </c>
      <c r="W5641">
        <v>6.5682099999999997E-3</v>
      </c>
      <c r="X5641">
        <v>0.98783269999999901</v>
      </c>
      <c r="Y5641">
        <v>0.45011610000000002</v>
      </c>
      <c r="Z5641">
        <v>-3.7899869999999999E-4</v>
      </c>
      <c r="AA5641">
        <v>0.89297000000000004</v>
      </c>
      <c r="AB5641">
        <v>23</v>
      </c>
      <c r="AC5641">
        <v>35.663899999999998</v>
      </c>
      <c r="AD5641">
        <v>0.31635000000000002</v>
      </c>
      <c r="AE5641">
        <v>-33.825180000000003</v>
      </c>
      <c r="AF5641">
        <v>22.169197491712801</v>
      </c>
      <c r="AG5641">
        <v>0.31635000000000002</v>
      </c>
      <c r="AH5641">
        <v>43.867791209568303</v>
      </c>
      <c r="AI5641">
        <v>89.631235662735506</v>
      </c>
      <c r="AJ5641">
        <v>63.1896142223952</v>
      </c>
      <c r="AK5641">
        <v>49.152380413926501</v>
      </c>
    </row>
    <row r="5642" spans="1:37" x14ac:dyDescent="0.2">
      <c r="A5642" t="str">
        <f>"20200111155707274"</f>
        <v>20200111155707274</v>
      </c>
      <c r="B5642" t="str">
        <f>"1578729427269012"</f>
        <v>1578729427269012</v>
      </c>
      <c r="C5642" t="s">
        <v>37</v>
      </c>
      <c r="D5642">
        <v>5.29115</v>
      </c>
      <c r="E5642">
        <v>0.62400649999999902</v>
      </c>
      <c r="F5642" t="s">
        <v>81</v>
      </c>
      <c r="G5642">
        <v>-283.91129999999998</v>
      </c>
      <c r="H5642">
        <v>1.4662629999999901</v>
      </c>
      <c r="I5642">
        <v>-17.223220000000001</v>
      </c>
      <c r="J5642">
        <v>-319.19740000000002</v>
      </c>
      <c r="K5642">
        <v>1.0917110000000001</v>
      </c>
      <c r="L5642">
        <v>16.564239999999899</v>
      </c>
      <c r="M5642">
        <v>0.956563099999999</v>
      </c>
      <c r="N5642">
        <v>0</v>
      </c>
      <c r="O5642">
        <v>-0.29072870000000001</v>
      </c>
      <c r="P5642">
        <v>0.89991270000000001</v>
      </c>
      <c r="Q5642">
        <v>-1.2600159999999999E-2</v>
      </c>
      <c r="R5642">
        <v>-0.43588840000000001</v>
      </c>
      <c r="S5642">
        <v>2.2821349999999998</v>
      </c>
      <c r="T5642">
        <v>2.4105430000000001E-2</v>
      </c>
      <c r="U5642">
        <v>-2.1807560000000001</v>
      </c>
      <c r="V5642">
        <v>0.155473</v>
      </c>
      <c r="W5642">
        <v>6.3474400000000002E-3</v>
      </c>
      <c r="X5642">
        <v>0.98781969999999997</v>
      </c>
      <c r="Y5642">
        <v>0.45076480000000002</v>
      </c>
      <c r="Z5642">
        <v>-4.8050179999999999E-4</v>
      </c>
      <c r="AA5642">
        <v>0.89264259999999995</v>
      </c>
      <c r="AB5642">
        <v>23</v>
      </c>
      <c r="AC5642">
        <v>35.286099999999998</v>
      </c>
      <c r="AD5642">
        <v>0.374551999999999</v>
      </c>
      <c r="AE5642">
        <v>-33.787459999999903</v>
      </c>
      <c r="AF5642">
        <v>22.064976938850499</v>
      </c>
      <c r="AG5642">
        <v>0.374551999999999</v>
      </c>
      <c r="AH5642">
        <v>43.583913838532801</v>
      </c>
      <c r="AI5642">
        <v>89.560708566496601</v>
      </c>
      <c r="AJ5642">
        <v>63.148537344182998</v>
      </c>
      <c r="AK5642">
        <v>48.852441515213499</v>
      </c>
    </row>
    <row r="5643" spans="1:37" x14ac:dyDescent="0.2">
      <c r="A5643" t="str">
        <f>"20200111155707287"</f>
        <v>20200111155707287</v>
      </c>
      <c r="B5643" t="str">
        <f>"1578729427278772"</f>
        <v>1578729427278772</v>
      </c>
      <c r="C5643" t="s">
        <v>37</v>
      </c>
      <c r="D5643">
        <v>5.317348</v>
      </c>
      <c r="E5643">
        <v>0.62469849999999905</v>
      </c>
      <c r="F5643" t="s">
        <v>81</v>
      </c>
      <c r="G5643">
        <v>-284.33510000000001</v>
      </c>
      <c r="H5643">
        <v>1.5569489999999999</v>
      </c>
      <c r="I5643">
        <v>-17.223220000000001</v>
      </c>
      <c r="J5643">
        <v>-319.08229999999998</v>
      </c>
      <c r="K5643">
        <v>1.0909739999999899</v>
      </c>
      <c r="L5643">
        <v>16.524660000000001</v>
      </c>
      <c r="M5643">
        <v>0.9553123</v>
      </c>
      <c r="N5643">
        <v>0</v>
      </c>
      <c r="O5643">
        <v>-0.294749599999999</v>
      </c>
      <c r="P5643">
        <v>0.89802579999999999</v>
      </c>
      <c r="Q5643">
        <v>-1.391006E-2</v>
      </c>
      <c r="R5643">
        <v>-0.43972349999999999</v>
      </c>
      <c r="S5643">
        <v>2.2689509999999999</v>
      </c>
      <c r="T5643">
        <v>3.0279400000000001E-2</v>
      </c>
      <c r="U5643">
        <v>-2.1990050000000001</v>
      </c>
      <c r="V5643">
        <v>0.155524</v>
      </c>
      <c r="W5643">
        <v>5.9044659999999997E-3</v>
      </c>
      <c r="X5643">
        <v>0.98781450000000004</v>
      </c>
      <c r="Y5643">
        <v>0.45330140000000002</v>
      </c>
      <c r="Z5643">
        <v>-6.3060809999999998E-4</v>
      </c>
      <c r="AA5643">
        <v>0.89135710000000001</v>
      </c>
      <c r="AB5643">
        <v>23</v>
      </c>
      <c r="AC5643">
        <v>34.7471999999999</v>
      </c>
      <c r="AD5643">
        <v>0.46597499999999997</v>
      </c>
      <c r="AE5643">
        <v>-33.747880000000002</v>
      </c>
      <c r="AF5643">
        <v>22.0015189649489</v>
      </c>
      <c r="AG5643">
        <v>0.46597499999999997</v>
      </c>
      <c r="AH5643">
        <v>43.1484214131073</v>
      </c>
      <c r="AI5643">
        <v>89.448784471796699</v>
      </c>
      <c r="AJ5643">
        <v>62.982819147767998</v>
      </c>
      <c r="AK5643">
        <v>48.436249234522002</v>
      </c>
    </row>
    <row r="5644" spans="1:37" x14ac:dyDescent="0.2">
      <c r="A5644" t="str">
        <f>"20200111155707299"</f>
        <v>20200111155707299</v>
      </c>
      <c r="B5644" t="str">
        <f>"1578729427288532"</f>
        <v>1578729427288532</v>
      </c>
      <c r="C5644" t="s">
        <v>37</v>
      </c>
      <c r="D5644">
        <v>5.3850089999999904</v>
      </c>
      <c r="E5644">
        <v>0.62506260000000002</v>
      </c>
      <c r="F5644" t="s">
        <v>81</v>
      </c>
      <c r="G5644">
        <v>-284.67140000000001</v>
      </c>
      <c r="H5644">
        <v>1.596768</v>
      </c>
      <c r="I5644">
        <v>-17.223220000000001</v>
      </c>
      <c r="J5644">
        <v>-318.96140000000003</v>
      </c>
      <c r="K5644">
        <v>1.090174</v>
      </c>
      <c r="L5644">
        <v>16.48273</v>
      </c>
      <c r="M5644">
        <v>0.95396859999999895</v>
      </c>
      <c r="N5644">
        <v>0</v>
      </c>
      <c r="O5644">
        <v>-0.29900359999999998</v>
      </c>
      <c r="P5644">
        <v>0.89613180000000003</v>
      </c>
      <c r="Q5644">
        <v>-1.533194E-2</v>
      </c>
      <c r="R5644">
        <v>-0.44352370000000002</v>
      </c>
      <c r="S5644">
        <v>2.2572329999999998</v>
      </c>
      <c r="T5644">
        <v>3.3177970000000001E-2</v>
      </c>
      <c r="U5644">
        <v>-2.2137449999999999</v>
      </c>
      <c r="V5644">
        <v>0.15529849999999901</v>
      </c>
      <c r="W5644">
        <v>5.363741E-3</v>
      </c>
      <c r="X5644">
        <v>0.98785309999999904</v>
      </c>
      <c r="Y5644">
        <v>0.4546055</v>
      </c>
      <c r="Z5644">
        <v>-7.3085169999999896E-4</v>
      </c>
      <c r="AA5644">
        <v>0.89069259999999995</v>
      </c>
      <c r="AB5644">
        <v>23</v>
      </c>
      <c r="AC5644">
        <v>34.29</v>
      </c>
      <c r="AD5644">
        <v>0.50659399999999999</v>
      </c>
      <c r="AE5644">
        <v>-33.705950000000001</v>
      </c>
      <c r="AF5644">
        <v>21.9050769881351</v>
      </c>
      <c r="AG5644">
        <v>0.50659399999999999</v>
      </c>
      <c r="AH5644">
        <v>42.796607085585997</v>
      </c>
      <c r="AI5644">
        <v>89.396286704645505</v>
      </c>
      <c r="AJ5644">
        <v>62.894751971021101</v>
      </c>
      <c r="AK5644">
        <v>48.079503048336498</v>
      </c>
    </row>
    <row r="5645" spans="1:37" x14ac:dyDescent="0.2">
      <c r="A5645" t="str">
        <f>"20200111155707310"</f>
        <v>20200111155707310</v>
      </c>
      <c r="B5645" t="str">
        <f>"1578729427298294"</f>
        <v>1578729427298294</v>
      </c>
      <c r="C5645" t="s">
        <v>37</v>
      </c>
      <c r="D5645">
        <v>5.2153289999999997</v>
      </c>
      <c r="E5645">
        <v>0.62586509999999995</v>
      </c>
      <c r="F5645" t="s">
        <v>81</v>
      </c>
      <c r="G5645">
        <v>-284.94490000000002</v>
      </c>
      <c r="H5645">
        <v>1.595499</v>
      </c>
      <c r="I5645">
        <v>-17.223220000000001</v>
      </c>
      <c r="J5645">
        <v>-318.84410000000003</v>
      </c>
      <c r="K5645">
        <v>1.089369</v>
      </c>
      <c r="L5645">
        <v>16.441129999999902</v>
      </c>
      <c r="M5645">
        <v>0.95258029999999905</v>
      </c>
      <c r="N5645">
        <v>0</v>
      </c>
      <c r="O5645">
        <v>-0.30334640000000002</v>
      </c>
      <c r="P5645">
        <v>0.89406989999999997</v>
      </c>
      <c r="Q5645">
        <v>-1.685182E-2</v>
      </c>
      <c r="R5645">
        <v>-0.44761089999999998</v>
      </c>
      <c r="S5645">
        <v>2.2465820000000001</v>
      </c>
      <c r="T5645">
        <v>3.3373590000000002E-2</v>
      </c>
      <c r="U5645">
        <v>-2.2260740000000001</v>
      </c>
      <c r="V5645">
        <v>0.15529860000000001</v>
      </c>
      <c r="W5645">
        <v>4.5168880000000002E-3</v>
      </c>
      <c r="X5645">
        <v>0.98785719999999999</v>
      </c>
      <c r="Y5645">
        <v>0.45512279999999999</v>
      </c>
      <c r="Z5645">
        <v>-7.8119639999999998E-4</v>
      </c>
      <c r="AA5645">
        <v>0.89042829999999995</v>
      </c>
      <c r="AB5645">
        <v>23</v>
      </c>
      <c r="AC5645">
        <v>33.8992</v>
      </c>
      <c r="AD5645">
        <v>0.50612999999999997</v>
      </c>
      <c r="AE5645">
        <v>-33.664349999999999</v>
      </c>
      <c r="AF5645">
        <v>21.7885811446743</v>
      </c>
      <c r="AG5645">
        <v>0.50612999999999997</v>
      </c>
      <c r="AH5645">
        <v>42.511053907775299</v>
      </c>
      <c r="AI5645">
        <v>89.392960270786205</v>
      </c>
      <c r="AJ5645">
        <v>62.863082065214101</v>
      </c>
      <c r="AK5645">
        <v>47.772252827606302</v>
      </c>
    </row>
    <row r="5646" spans="1:37" x14ac:dyDescent="0.2">
      <c r="A5646" t="str">
        <f>"20200111155707323"</f>
        <v>20200111155707323</v>
      </c>
      <c r="B5646" t="str">
        <f>"1578729427318788"</f>
        <v>1578729427318788</v>
      </c>
      <c r="C5646" t="s">
        <v>37</v>
      </c>
      <c r="D5646">
        <v>5.222702</v>
      </c>
      <c r="E5646">
        <v>0.6270654</v>
      </c>
      <c r="F5646" t="s">
        <v>81</v>
      </c>
      <c r="G5646">
        <v>-285.3066</v>
      </c>
      <c r="H5646">
        <v>1.65711699999999</v>
      </c>
      <c r="I5646">
        <v>-17.223220000000001</v>
      </c>
      <c r="J5646">
        <v>-318.72669999999999</v>
      </c>
      <c r="K5646">
        <v>1.0885320000000001</v>
      </c>
      <c r="L5646">
        <v>16.399139999999999</v>
      </c>
      <c r="M5646">
        <v>0.95116849999999997</v>
      </c>
      <c r="N5646">
        <v>0</v>
      </c>
      <c r="O5646">
        <v>-0.30769600000000003</v>
      </c>
      <c r="P5646">
        <v>0.89212539999999996</v>
      </c>
      <c r="Q5646">
        <v>-1.782309E-2</v>
      </c>
      <c r="R5646">
        <v>-0.4514359</v>
      </c>
      <c r="S5646">
        <v>2.233673</v>
      </c>
      <c r="T5646">
        <v>3.7812709999999999E-2</v>
      </c>
      <c r="U5646">
        <v>-2.2421259999999998</v>
      </c>
      <c r="V5646">
        <v>0.15501119999999999</v>
      </c>
      <c r="W5646">
        <v>4.1692769999999999E-3</v>
      </c>
      <c r="X5646">
        <v>0.98790389999999995</v>
      </c>
      <c r="Y5646">
        <v>0.45681119999999997</v>
      </c>
      <c r="Z5646">
        <v>-9.2913049999999997E-4</v>
      </c>
      <c r="AA5646">
        <v>0.8895632</v>
      </c>
      <c r="AB5646">
        <v>23</v>
      </c>
      <c r="AC5646">
        <v>33.420099999999898</v>
      </c>
      <c r="AD5646">
        <v>0.56858499999999901</v>
      </c>
      <c r="AE5646">
        <v>-33.62236</v>
      </c>
      <c r="AF5646">
        <v>21.7007070442295</v>
      </c>
      <c r="AG5646">
        <v>0.56858499999999901</v>
      </c>
      <c r="AH5646">
        <v>42.140230794889099</v>
      </c>
      <c r="AI5646">
        <v>89.312737336505805</v>
      </c>
      <c r="AJ5646">
        <v>62.753157235231399</v>
      </c>
      <c r="AK5646">
        <v>47.402985418306898</v>
      </c>
    </row>
    <row r="5647" spans="1:37" x14ac:dyDescent="0.2">
      <c r="A5647" t="str">
        <f>"20200111155707334"</f>
        <v>20200111155707334</v>
      </c>
      <c r="B5647" t="str">
        <f>"1578729427328548"</f>
        <v>1578729427328548</v>
      </c>
      <c r="C5647" t="s">
        <v>37</v>
      </c>
      <c r="D5647">
        <v>5.2476779999999996</v>
      </c>
      <c r="E5647">
        <v>0.62744949999999999</v>
      </c>
      <c r="F5647" t="s">
        <v>81</v>
      </c>
      <c r="G5647">
        <v>-285.7398</v>
      </c>
      <c r="H5647">
        <v>1.7707269999999999</v>
      </c>
      <c r="I5647">
        <v>-17.19408</v>
      </c>
      <c r="J5647">
        <v>-318.61329999999998</v>
      </c>
      <c r="K5647">
        <v>1.0876790000000001</v>
      </c>
      <c r="L5647">
        <v>16.358000000000001</v>
      </c>
      <c r="M5647">
        <v>0.94978079999999998</v>
      </c>
      <c r="N5647">
        <v>0</v>
      </c>
      <c r="O5647">
        <v>-0.31191209999999903</v>
      </c>
      <c r="P5647">
        <v>0.89011099999999999</v>
      </c>
      <c r="Q5647">
        <v>-1.883727E-2</v>
      </c>
      <c r="R5647">
        <v>-0.4553548</v>
      </c>
      <c r="S5647">
        <v>2.219757</v>
      </c>
      <c r="T5647">
        <v>4.5900339999999998E-2</v>
      </c>
      <c r="U5647">
        <v>-2.2605590000000002</v>
      </c>
      <c r="V5647">
        <v>0.15496860000000001</v>
      </c>
      <c r="W5647">
        <v>3.6748009999999901E-3</v>
      </c>
      <c r="X5647">
        <v>0.98791260000000003</v>
      </c>
      <c r="Y5647">
        <v>0.45927579999999901</v>
      </c>
      <c r="Z5647">
        <v>-1.1724299999999999E-3</v>
      </c>
      <c r="AA5647">
        <v>0.88829290000000005</v>
      </c>
      <c r="AB5647">
        <v>23</v>
      </c>
      <c r="AC5647">
        <v>32.8734999999999</v>
      </c>
      <c r="AD5647">
        <v>0.68304799999999899</v>
      </c>
      <c r="AE5647">
        <v>-33.552079999999997</v>
      </c>
      <c r="AF5647">
        <v>21.615690210802601</v>
      </c>
      <c r="AG5647">
        <v>0.68304799999999899</v>
      </c>
      <c r="AH5647">
        <v>41.692183896119097</v>
      </c>
      <c r="AI5647">
        <v>89.166717921758504</v>
      </c>
      <c r="AJ5647">
        <v>62.595109775825897</v>
      </c>
      <c r="AK5647">
        <v>46.967465504192397</v>
      </c>
    </row>
    <row r="5648" spans="1:37" x14ac:dyDescent="0.2">
      <c r="A5648" t="str">
        <f>"20200111155707346"</f>
        <v>20200111155707346</v>
      </c>
      <c r="B5648" t="str">
        <f>"1578729427338308"</f>
        <v>1578729427338308</v>
      </c>
      <c r="C5648" t="s">
        <v>37</v>
      </c>
      <c r="D5648">
        <v>5.2520870000000004</v>
      </c>
      <c r="E5648">
        <v>0.62760019999999905</v>
      </c>
      <c r="F5648" t="s">
        <v>81</v>
      </c>
      <c r="G5648">
        <v>-285.86779999999999</v>
      </c>
      <c r="H5648">
        <v>1.7503629999999999</v>
      </c>
      <c r="I5648">
        <v>-17.34356</v>
      </c>
      <c r="J5648">
        <v>-318.50349999999997</v>
      </c>
      <c r="K5648">
        <v>1.0867799999999901</v>
      </c>
      <c r="L5648">
        <v>16.31757</v>
      </c>
      <c r="M5648">
        <v>0.94845939999999995</v>
      </c>
      <c r="N5648">
        <v>0</v>
      </c>
      <c r="O5648">
        <v>-0.315868599999999</v>
      </c>
      <c r="P5648">
        <v>0.88827809999999996</v>
      </c>
      <c r="Q5648">
        <v>-1.9270699999999901E-2</v>
      </c>
      <c r="R5648">
        <v>-0.45890150000000002</v>
      </c>
      <c r="S5648">
        <v>2.2084959999999998</v>
      </c>
      <c r="T5648">
        <v>4.4693950000000003E-2</v>
      </c>
      <c r="U5648">
        <v>-2.27298</v>
      </c>
      <c r="V5648">
        <v>0.15479109999999999</v>
      </c>
      <c r="W5648">
        <v>3.6933980000000001E-3</v>
      </c>
      <c r="X5648">
        <v>0.98794029999999999</v>
      </c>
      <c r="Y5648">
        <v>0.46026139999999999</v>
      </c>
      <c r="Z5648">
        <v>-1.193747E-3</v>
      </c>
      <c r="AA5648">
        <v>0.88778259999999898</v>
      </c>
      <c r="AB5648">
        <v>23</v>
      </c>
      <c r="AC5648">
        <v>32.6356999999999</v>
      </c>
      <c r="AD5648">
        <v>0.66358300000000003</v>
      </c>
      <c r="AE5648">
        <v>-33.66113</v>
      </c>
      <c r="AF5648">
        <v>21.620339805096702</v>
      </c>
      <c r="AG5648">
        <v>0.66358300000000003</v>
      </c>
      <c r="AH5648">
        <v>41.5913581630235</v>
      </c>
      <c r="AI5648">
        <v>89.188952747883107</v>
      </c>
      <c r="AJ5648">
        <v>62.533340021738397</v>
      </c>
      <c r="AK5648">
        <v>46.879851850561899</v>
      </c>
    </row>
    <row r="5649" spans="1:37" x14ac:dyDescent="0.2">
      <c r="A5649" t="str">
        <f>"20200111155707356"</f>
        <v>20200111155707356</v>
      </c>
      <c r="B5649" t="str">
        <f>"1578729427349044"</f>
        <v>1578729427349044</v>
      </c>
      <c r="C5649" t="s">
        <v>37</v>
      </c>
      <c r="D5649">
        <v>5.2749620000000004</v>
      </c>
      <c r="E5649">
        <v>0.62754080000000001</v>
      </c>
      <c r="F5649" t="s">
        <v>81</v>
      </c>
      <c r="G5649">
        <v>-285.86779999999999</v>
      </c>
      <c r="H5649">
        <v>1.761814</v>
      </c>
      <c r="I5649">
        <v>-17.56598</v>
      </c>
      <c r="J5649">
        <v>-318.39089999999999</v>
      </c>
      <c r="K5649">
        <v>1.085823</v>
      </c>
      <c r="L5649">
        <v>16.275759999999998</v>
      </c>
      <c r="M5649">
        <v>0.94710649999999996</v>
      </c>
      <c r="N5649">
        <v>0</v>
      </c>
      <c r="O5649">
        <v>-0.31986409999999998</v>
      </c>
      <c r="P5649">
        <v>0.88631610000000005</v>
      </c>
      <c r="Q5649">
        <v>-2.00054E-2</v>
      </c>
      <c r="R5649">
        <v>-0.46264880000000003</v>
      </c>
      <c r="S5649">
        <v>2.1988829999999999</v>
      </c>
      <c r="T5649">
        <v>4.5481800000000003E-2</v>
      </c>
      <c r="U5649">
        <v>-2.282959</v>
      </c>
      <c r="V5649">
        <v>0.15479660000000001</v>
      </c>
      <c r="W5649">
        <v>3.392515E-3</v>
      </c>
      <c r="X5649">
        <v>0.9879405</v>
      </c>
      <c r="Y5649">
        <v>0.46039390000000002</v>
      </c>
      <c r="Z5649">
        <v>-1.275623E-3</v>
      </c>
      <c r="AA5649">
        <v>0.8877138</v>
      </c>
      <c r="AB5649">
        <v>23</v>
      </c>
      <c r="AC5649">
        <v>32.523099999999999</v>
      </c>
      <c r="AD5649">
        <v>0.67599100000000001</v>
      </c>
      <c r="AE5649">
        <v>-33.841740000000001</v>
      </c>
      <c r="AF5649">
        <v>21.6515922411578</v>
      </c>
      <c r="AG5649">
        <v>0.67599100000000001</v>
      </c>
      <c r="AH5649">
        <v>41.633043485634097</v>
      </c>
      <c r="AI5649">
        <v>89.174694352803797</v>
      </c>
      <c r="AJ5649">
        <v>62.522958113455999</v>
      </c>
      <c r="AK5649">
        <v>46.931425721856698</v>
      </c>
    </row>
    <row r="5650" spans="1:37" x14ac:dyDescent="0.2">
      <c r="A5650" t="str">
        <f>"20200111155707369"</f>
        <v>20200111155707369</v>
      </c>
      <c r="B5650" t="str">
        <f>"1578729427358804"</f>
        <v>1578729427358804</v>
      </c>
      <c r="C5650" t="s">
        <v>37</v>
      </c>
      <c r="D5650">
        <v>5.285088</v>
      </c>
      <c r="E5650">
        <v>0.62759140000000002</v>
      </c>
      <c r="F5650" t="s">
        <v>81</v>
      </c>
      <c r="G5650">
        <v>-282.32900000000001</v>
      </c>
      <c r="H5650">
        <v>1.8220130000000001</v>
      </c>
      <c r="I5650">
        <v>-21.474989999999998</v>
      </c>
      <c r="J5650">
        <v>-318.28140000000002</v>
      </c>
      <c r="K5650">
        <v>1.0847770000000001</v>
      </c>
      <c r="L5650">
        <v>16.234220000000001</v>
      </c>
      <c r="M5650">
        <v>0.94588950000000005</v>
      </c>
      <c r="N5650">
        <v>0</v>
      </c>
      <c r="O5650">
        <v>-0.32341740000000002</v>
      </c>
      <c r="P5650">
        <v>0.88464909999999997</v>
      </c>
      <c r="Q5650">
        <v>-2.0117119999999999E-2</v>
      </c>
      <c r="R5650">
        <v>-0.46582390000000001</v>
      </c>
      <c r="S5650">
        <v>2.1894529999999999</v>
      </c>
      <c r="T5650">
        <v>4.4696569999999998E-2</v>
      </c>
      <c r="U5650">
        <v>-2.291992</v>
      </c>
      <c r="V5650">
        <v>0.1546331</v>
      </c>
      <c r="W5650">
        <v>3.562745E-3</v>
      </c>
      <c r="X5650">
        <v>0.98796550000000005</v>
      </c>
      <c r="Y5650">
        <v>0.46071649999999997</v>
      </c>
      <c r="Z5650">
        <v>-1.305355E-3</v>
      </c>
      <c r="AA5650">
        <v>0.88754639999999996</v>
      </c>
      <c r="AB5650">
        <v>23</v>
      </c>
      <c r="AC5650">
        <v>35.952399999999997</v>
      </c>
      <c r="AD5650">
        <v>0.737236</v>
      </c>
      <c r="AE5650">
        <v>-37.709209999999999</v>
      </c>
      <c r="AF5650">
        <v>24.0446492609309</v>
      </c>
      <c r="AG5650">
        <v>0.737236</v>
      </c>
      <c r="AH5650">
        <v>46.2096063503027</v>
      </c>
      <c r="AI5650">
        <v>89.189155771570398</v>
      </c>
      <c r="AJ5650">
        <v>62.510292226391499</v>
      </c>
      <c r="AK5650">
        <v>52.096222454711899</v>
      </c>
    </row>
    <row r="5651" spans="1:37" x14ac:dyDescent="0.2">
      <c r="A5651" t="str">
        <f>"20200111155707381"</f>
        <v>20200111155707381</v>
      </c>
      <c r="B5651" t="str">
        <f>"1578729427378323"</f>
        <v>1578729427378323</v>
      </c>
      <c r="C5651" t="s">
        <v>37</v>
      </c>
      <c r="D5651">
        <v>5.2785219999999997</v>
      </c>
      <c r="E5651">
        <v>0.62733509999999904</v>
      </c>
      <c r="F5651" t="s">
        <v>81</v>
      </c>
      <c r="G5651">
        <v>-282.32900000000001</v>
      </c>
      <c r="H5651">
        <v>1.842927</v>
      </c>
      <c r="I5651">
        <v>-21.678379999999901</v>
      </c>
      <c r="J5651">
        <v>-318.16849999999999</v>
      </c>
      <c r="K5651">
        <v>1.083677</v>
      </c>
      <c r="L5651">
        <v>16.19116</v>
      </c>
      <c r="M5651">
        <v>0.94464490000000001</v>
      </c>
      <c r="N5651">
        <v>0</v>
      </c>
      <c r="O5651">
        <v>-0.32700790000000002</v>
      </c>
      <c r="P5651">
        <v>0.88288999999999995</v>
      </c>
      <c r="Q5651">
        <v>-2.0230519999999998E-2</v>
      </c>
      <c r="R5651">
        <v>-0.46914399999999901</v>
      </c>
      <c r="S5651">
        <v>2.1811219999999998</v>
      </c>
      <c r="T5651">
        <v>4.5994279999999998E-2</v>
      </c>
      <c r="U5651">
        <v>-2.300049</v>
      </c>
      <c r="V5651">
        <v>0.15459479999999901</v>
      </c>
      <c r="W5651">
        <v>3.696735E-3</v>
      </c>
      <c r="X5651">
        <v>0.98797109999999899</v>
      </c>
      <c r="Y5651">
        <v>0.46058710000000003</v>
      </c>
      <c r="Z5651">
        <v>-1.4008060000000001E-3</v>
      </c>
      <c r="AA5651">
        <v>0.8876134</v>
      </c>
      <c r="AB5651">
        <v>23</v>
      </c>
      <c r="AC5651">
        <v>35.839499999999902</v>
      </c>
      <c r="AD5651">
        <v>0.75924999999999998</v>
      </c>
      <c r="AE5651">
        <v>-37.869540000000001</v>
      </c>
      <c r="AF5651">
        <v>24.056932791989201</v>
      </c>
      <c r="AG5651">
        <v>0.75924999999999998</v>
      </c>
      <c r="AH5651">
        <v>46.245899820222199</v>
      </c>
      <c r="AI5651">
        <v>89.165553685108307</v>
      </c>
      <c r="AJ5651">
        <v>62.516728696888798</v>
      </c>
      <c r="AK5651">
        <v>52.134400601741099</v>
      </c>
    </row>
    <row r="5652" spans="1:37" x14ac:dyDescent="0.2">
      <c r="A5652" t="str">
        <f>"20200111155707392"</f>
        <v>20200111155707392</v>
      </c>
      <c r="B5652" t="str">
        <f>"1578729427388084"</f>
        <v>1578729427388084</v>
      </c>
      <c r="C5652" t="s">
        <v>37</v>
      </c>
      <c r="D5652">
        <v>5.3066719999999998</v>
      </c>
      <c r="E5652">
        <v>0.62699450000000001</v>
      </c>
      <c r="F5652" t="s">
        <v>81</v>
      </c>
      <c r="G5652">
        <v>-282.32900000000001</v>
      </c>
      <c r="H5652">
        <v>1.8413389999999901</v>
      </c>
      <c r="I5652">
        <v>-21.843389999999999</v>
      </c>
      <c r="J5652">
        <v>-318.05020000000002</v>
      </c>
      <c r="K5652">
        <v>1.082462</v>
      </c>
      <c r="L5652">
        <v>16.145289999999999</v>
      </c>
      <c r="M5652">
        <v>0.94339499999999998</v>
      </c>
      <c r="N5652">
        <v>0</v>
      </c>
      <c r="O5652">
        <v>-0.33057940000000002</v>
      </c>
      <c r="P5652">
        <v>0.88106299999999904</v>
      </c>
      <c r="Q5652">
        <v>-2.0473870000000002E-2</v>
      </c>
      <c r="R5652">
        <v>-0.47255569999999902</v>
      </c>
      <c r="S5652">
        <v>2.1733699999999998</v>
      </c>
      <c r="T5652">
        <v>4.5946960000000002E-2</v>
      </c>
      <c r="U5652">
        <v>-2.3064879999999999</v>
      </c>
      <c r="V5652">
        <v>0.15468019999999999</v>
      </c>
      <c r="W5652">
        <v>3.5832490000000002E-3</v>
      </c>
      <c r="X5652">
        <v>0.98795809999999995</v>
      </c>
      <c r="Y5652">
        <v>0.46004399999999901</v>
      </c>
      <c r="Z5652">
        <v>-1.46031E-3</v>
      </c>
      <c r="AA5652">
        <v>0.88789490000000004</v>
      </c>
      <c r="AB5652">
        <v>23</v>
      </c>
      <c r="AC5652">
        <v>35.721200000000003</v>
      </c>
      <c r="AD5652">
        <v>0.75887699999999902</v>
      </c>
      <c r="AE5652">
        <v>-37.988680000000002</v>
      </c>
      <c r="AF5652">
        <v>24.033240887374198</v>
      </c>
      <c r="AG5652">
        <v>0.75887699999999902</v>
      </c>
      <c r="AH5652">
        <v>46.264412319152697</v>
      </c>
      <c r="AI5652">
        <v>89.166051514337099</v>
      </c>
      <c r="AJ5652">
        <v>62.549216842565201</v>
      </c>
      <c r="AK5652">
        <v>52.139892683896598</v>
      </c>
    </row>
    <row r="5653" spans="1:37" x14ac:dyDescent="0.2">
      <c r="A5653" t="str">
        <f>"20200111155707404"</f>
        <v>20200111155707404</v>
      </c>
      <c r="B5653" t="str">
        <f>"1578729427398820"</f>
        <v>1578729427398820</v>
      </c>
      <c r="C5653" t="s">
        <v>37</v>
      </c>
      <c r="D5653">
        <v>5.3091869999999997</v>
      </c>
      <c r="E5653">
        <v>0.62664169999999997</v>
      </c>
      <c r="F5653" t="s">
        <v>81</v>
      </c>
      <c r="G5653">
        <v>-282.32900000000001</v>
      </c>
      <c r="H5653">
        <v>1.8311109999999999</v>
      </c>
      <c r="I5653">
        <v>-21.995889999999999</v>
      </c>
      <c r="J5653">
        <v>-317.94049999999999</v>
      </c>
      <c r="K5653">
        <v>1.081331</v>
      </c>
      <c r="L5653">
        <v>16.10229</v>
      </c>
      <c r="M5653">
        <v>0.94222549999999905</v>
      </c>
      <c r="N5653">
        <v>0</v>
      </c>
      <c r="O5653">
        <v>-0.33388689999999999</v>
      </c>
      <c r="P5653">
        <v>0.87950349999999999</v>
      </c>
      <c r="Q5653">
        <v>-2.069907E-2</v>
      </c>
      <c r="R5653">
        <v>-0.47544179999999903</v>
      </c>
      <c r="S5653">
        <v>2.1657410000000001</v>
      </c>
      <c r="T5653">
        <v>4.5389890000000002E-2</v>
      </c>
      <c r="U5653">
        <v>-2.3124689999999899</v>
      </c>
      <c r="V5653">
        <v>0.15445400000000001</v>
      </c>
      <c r="W5653">
        <v>3.4320919999999999E-3</v>
      </c>
      <c r="X5653">
        <v>0.98799400000000004</v>
      </c>
      <c r="Y5653">
        <v>0.45963419999999999</v>
      </c>
      <c r="Z5653">
        <v>-1.497789E-3</v>
      </c>
      <c r="AA5653">
        <v>0.88810710000000004</v>
      </c>
      <c r="AB5653">
        <v>23</v>
      </c>
      <c r="AC5653">
        <v>35.6114999999999</v>
      </c>
      <c r="AD5653">
        <v>0.74978</v>
      </c>
      <c r="AE5653">
        <v>-38.098179999999999</v>
      </c>
      <c r="AF5653">
        <v>24.010675249858402</v>
      </c>
      <c r="AG5653">
        <v>0.74978</v>
      </c>
      <c r="AH5653">
        <v>46.281894235525698</v>
      </c>
      <c r="AI5653">
        <v>89.176127922165307</v>
      </c>
      <c r="AJ5653">
        <v>62.580078006939999</v>
      </c>
      <c r="AK5653">
        <v>52.144879231147499</v>
      </c>
    </row>
    <row r="5654" spans="1:37" x14ac:dyDescent="0.2">
      <c r="A5654" t="str">
        <f>"20200111155707418"</f>
        <v>20200111155707418</v>
      </c>
      <c r="B5654" t="str">
        <f>"1578729427408218"</f>
        <v>1578729427408218</v>
      </c>
      <c r="C5654" t="s">
        <v>37</v>
      </c>
      <c r="D5654">
        <v>5.3118840000000001</v>
      </c>
      <c r="E5654">
        <v>0.62629219999999997</v>
      </c>
      <c r="F5654" t="s">
        <v>81</v>
      </c>
      <c r="G5654">
        <v>-282.32900000000001</v>
      </c>
      <c r="H5654">
        <v>1.8217049999999999</v>
      </c>
      <c r="I5654">
        <v>-22.107959999999999</v>
      </c>
      <c r="J5654">
        <v>-317.80070000000001</v>
      </c>
      <c r="K5654">
        <v>1.079896</v>
      </c>
      <c r="L5654">
        <v>16.046939999999999</v>
      </c>
      <c r="M5654">
        <v>0.940716</v>
      </c>
      <c r="N5654">
        <v>0</v>
      </c>
      <c r="O5654">
        <v>-0.33810950000000001</v>
      </c>
      <c r="P5654">
        <v>0.87741329999999995</v>
      </c>
      <c r="Q5654">
        <v>-2.0905739999999999E-2</v>
      </c>
      <c r="R5654">
        <v>-0.47928009999999899</v>
      </c>
      <c r="S5654">
        <v>2.1594849999999899</v>
      </c>
      <c r="T5654">
        <v>4.4896249999999999E-2</v>
      </c>
      <c r="U5654">
        <v>-2.317078</v>
      </c>
      <c r="V5654">
        <v>0.15433959999999999</v>
      </c>
      <c r="W5654">
        <v>3.2551870000000001E-3</v>
      </c>
      <c r="X5654">
        <v>0.98801249999999996</v>
      </c>
      <c r="Y5654">
        <v>0.45781359999999899</v>
      </c>
      <c r="Z5654">
        <v>-1.5614820000000001E-3</v>
      </c>
      <c r="AA5654">
        <v>0.88904680000000003</v>
      </c>
      <c r="AB5654">
        <v>23</v>
      </c>
      <c r="AC5654">
        <v>35.471699999999998</v>
      </c>
      <c r="AD5654">
        <v>0.74180899999999905</v>
      </c>
      <c r="AE5654">
        <v>-38.154899999999998</v>
      </c>
      <c r="AF5654">
        <v>23.903552045546899</v>
      </c>
      <c r="AG5654">
        <v>0.74180899999999905</v>
      </c>
      <c r="AH5654">
        <v>46.276969087703797</v>
      </c>
      <c r="AI5654">
        <v>89.1840464020339</v>
      </c>
      <c r="AJ5654">
        <v>62.682182872030097</v>
      </c>
      <c r="AK5654">
        <v>52.091150389782598</v>
      </c>
    </row>
    <row r="5655" spans="1:37" x14ac:dyDescent="0.2">
      <c r="A5655" t="str">
        <f>"20200111155707431"</f>
        <v>20200111155707431</v>
      </c>
      <c r="B5655" t="str">
        <f>"1578729427428713"</f>
        <v>1578729427428713</v>
      </c>
      <c r="C5655" t="s">
        <v>37</v>
      </c>
      <c r="D5655">
        <v>5.3179499999999997</v>
      </c>
      <c r="E5655">
        <v>0.62545099999999998</v>
      </c>
      <c r="F5655" t="s">
        <v>81</v>
      </c>
      <c r="G5655">
        <v>-282.32900000000001</v>
      </c>
      <c r="H5655">
        <v>1.82150099999999</v>
      </c>
      <c r="I5655">
        <v>-22.284079999999999</v>
      </c>
      <c r="J5655">
        <v>-317.68020000000001</v>
      </c>
      <c r="K5655">
        <v>1.0786770000000001</v>
      </c>
      <c r="L5655">
        <v>15.998379999999999</v>
      </c>
      <c r="M5655">
        <v>0.93936469999999905</v>
      </c>
      <c r="N5655">
        <v>0</v>
      </c>
      <c r="O5655">
        <v>-0.34184530000000002</v>
      </c>
      <c r="P5655">
        <v>0.87545439999999997</v>
      </c>
      <c r="Q5655">
        <v>-2.086783E-2</v>
      </c>
      <c r="R5655">
        <v>-0.48285050000000002</v>
      </c>
      <c r="S5655">
        <v>2.1507259999999899</v>
      </c>
      <c r="T5655">
        <v>4.496551E-2</v>
      </c>
      <c r="U5655">
        <v>-2.3240970000000001</v>
      </c>
      <c r="V5655">
        <v>0.15443899999999999</v>
      </c>
      <c r="W5655">
        <v>3.2661539999999998E-3</v>
      </c>
      <c r="X5655">
        <v>0.98799689999999996</v>
      </c>
      <c r="Y5655">
        <v>0.45742319999999997</v>
      </c>
      <c r="Z5655">
        <v>-1.6251129999999901E-3</v>
      </c>
      <c r="AA5655">
        <v>0.88924769999999898</v>
      </c>
      <c r="AB5655">
        <v>23</v>
      </c>
      <c r="AC5655">
        <v>35.351199999999999</v>
      </c>
      <c r="AD5655">
        <v>0.74282399999999904</v>
      </c>
      <c r="AE5655">
        <v>-38.28246</v>
      </c>
      <c r="AF5655">
        <v>23.880485498952002</v>
      </c>
      <c r="AG5655">
        <v>0.74282399999999904</v>
      </c>
      <c r="AH5655">
        <v>46.301978993815098</v>
      </c>
      <c r="AI5655">
        <v>89.183112706612405</v>
      </c>
      <c r="AJ5655">
        <v>62.717344732197397</v>
      </c>
      <c r="AK5655">
        <v>52.1028083111106</v>
      </c>
    </row>
    <row r="5656" spans="1:37" x14ac:dyDescent="0.2">
      <c r="A5656" t="str">
        <f>"20200111155707443"</f>
        <v>20200111155707443</v>
      </c>
      <c r="B5656" t="str">
        <f>"1578729427438474"</f>
        <v>1578729427438474</v>
      </c>
      <c r="C5656" t="s">
        <v>37</v>
      </c>
      <c r="D5656">
        <v>5.3283490000000002</v>
      </c>
      <c r="E5656">
        <v>0.6249574</v>
      </c>
      <c r="F5656" t="s">
        <v>81</v>
      </c>
      <c r="G5656">
        <v>-282.32900000000001</v>
      </c>
      <c r="H5656">
        <v>1.8254699999999999</v>
      </c>
      <c r="I5656">
        <v>-22.360710000000001</v>
      </c>
      <c r="J5656">
        <v>-317.57499999999999</v>
      </c>
      <c r="K5656">
        <v>1.0776030000000001</v>
      </c>
      <c r="L5656">
        <v>15.95566</v>
      </c>
      <c r="M5656">
        <v>0.93816069999999996</v>
      </c>
      <c r="N5656">
        <v>0</v>
      </c>
      <c r="O5656">
        <v>-0.34513769999999999</v>
      </c>
      <c r="P5656">
        <v>0.87360640000000001</v>
      </c>
      <c r="Q5656">
        <v>-2.0772929999999998E-2</v>
      </c>
      <c r="R5656">
        <v>-0.48619030000000002</v>
      </c>
      <c r="S5656">
        <v>2.1444399999999999</v>
      </c>
      <c r="T5656">
        <v>4.5300840000000002E-2</v>
      </c>
      <c r="U5656">
        <v>-2.3269039999999999</v>
      </c>
      <c r="V5656">
        <v>0.1547481</v>
      </c>
      <c r="W5656">
        <v>3.3128839999999999E-3</v>
      </c>
      <c r="X5656">
        <v>0.98794839999999995</v>
      </c>
      <c r="Y5656">
        <v>0.45613700000000001</v>
      </c>
      <c r="Z5656">
        <v>-1.6999719999999999E-3</v>
      </c>
      <c r="AA5656">
        <v>0.88990800000000003</v>
      </c>
      <c r="AB5656">
        <v>23</v>
      </c>
      <c r="AC5656">
        <v>35.245999999999903</v>
      </c>
      <c r="AD5656">
        <v>0.74786699999999995</v>
      </c>
      <c r="AE5656">
        <v>-38.316369999999999</v>
      </c>
      <c r="AF5656">
        <v>23.786019257604799</v>
      </c>
      <c r="AG5656">
        <v>0.74786699999999995</v>
      </c>
      <c r="AH5656">
        <v>46.298291004122703</v>
      </c>
      <c r="AI5656">
        <v>89.176832806327596</v>
      </c>
      <c r="AJ5656">
        <v>62.8079011193838</v>
      </c>
      <c r="AK5656">
        <v>52.056371051728803</v>
      </c>
    </row>
    <row r="5657" spans="1:37" x14ac:dyDescent="0.2">
      <c r="A5657" t="str">
        <f>"20200111155707454"</f>
        <v>20200111155707454</v>
      </c>
      <c r="B5657" t="str">
        <f>"1578729427448233"</f>
        <v>1578729427448233</v>
      </c>
      <c r="C5657" t="s">
        <v>37</v>
      </c>
      <c r="D5657">
        <v>4.7684430000000004</v>
      </c>
      <c r="E5657">
        <v>0.6249574</v>
      </c>
      <c r="F5657" t="s">
        <v>81</v>
      </c>
      <c r="G5657">
        <v>-282.32900000000001</v>
      </c>
      <c r="H5657">
        <v>1.835853</v>
      </c>
      <c r="I5657">
        <v>-22.490110000000001</v>
      </c>
      <c r="J5657">
        <v>-317.46050000000002</v>
      </c>
      <c r="K5657">
        <v>1.0764290000000001</v>
      </c>
      <c r="L5657">
        <v>15.90875</v>
      </c>
      <c r="M5657">
        <v>0.93681919999999996</v>
      </c>
      <c r="N5657">
        <v>0</v>
      </c>
      <c r="O5657">
        <v>-0.3487671</v>
      </c>
      <c r="P5657">
        <v>0.8714634</v>
      </c>
      <c r="Q5657">
        <v>-2.097628E-2</v>
      </c>
      <c r="R5657">
        <v>-0.49001159999999999</v>
      </c>
      <c r="S5657">
        <v>2.137543</v>
      </c>
      <c r="T5657">
        <v>4.5984030000000002E-2</v>
      </c>
      <c r="U5657">
        <v>-2.331604</v>
      </c>
      <c r="V5657">
        <v>0.155248</v>
      </c>
      <c r="W5657">
        <v>3.0210609999999998E-3</v>
      </c>
      <c r="X5657">
        <v>0.9878709</v>
      </c>
      <c r="Y5657">
        <v>0.4550149</v>
      </c>
      <c r="Z5657">
        <v>-1.7928339999999899E-3</v>
      </c>
      <c r="AA5657">
        <v>0.890482</v>
      </c>
      <c r="AB5657">
        <v>23</v>
      </c>
      <c r="AC5657">
        <v>35.131500000000003</v>
      </c>
      <c r="AD5657">
        <v>0.75942399999999899</v>
      </c>
      <c r="AE5657">
        <v>-38.398859999999999</v>
      </c>
      <c r="AF5657">
        <v>23.723704737503301</v>
      </c>
      <c r="AG5657">
        <v>0.75942399999999899</v>
      </c>
      <c r="AH5657">
        <v>46.311202680683003</v>
      </c>
      <c r="AI5657">
        <v>89.163841626055799</v>
      </c>
      <c r="AJ5657">
        <v>62.875430464197599</v>
      </c>
      <c r="AK5657">
        <v>52.039584789036503</v>
      </c>
    </row>
    <row r="5658" spans="1:37" x14ac:dyDescent="0.2">
      <c r="A5658" t="str">
        <f>"20200111155707493"</f>
        <v>20200111155707493</v>
      </c>
      <c r="B5658" t="str">
        <f>"1578729427488250"</f>
        <v>1578729427488250</v>
      </c>
      <c r="C5658" t="s">
        <v>37</v>
      </c>
      <c r="D5658">
        <v>5.3142800000000001</v>
      </c>
      <c r="E5658">
        <v>0.62407760000000001</v>
      </c>
      <c r="F5658" t="s">
        <v>81</v>
      </c>
      <c r="G5658">
        <v>-282.32900000000001</v>
      </c>
      <c r="H5658">
        <v>1.8268139999999999</v>
      </c>
      <c r="I5658">
        <v>-22.7516</v>
      </c>
      <c r="J5658">
        <v>-317.09500000000003</v>
      </c>
      <c r="K5658">
        <v>1.07257</v>
      </c>
      <c r="L5658">
        <v>15.7554</v>
      </c>
      <c r="M5658">
        <v>0.9323882</v>
      </c>
      <c r="N5658">
        <v>0</v>
      </c>
      <c r="O5658">
        <v>-0.36049169999999903</v>
      </c>
      <c r="P5658">
        <v>0.8645545</v>
      </c>
      <c r="Q5658">
        <v>-2.0001910000000001E-2</v>
      </c>
      <c r="R5658">
        <v>-0.5021409</v>
      </c>
      <c r="S5658">
        <v>2.12728899999999</v>
      </c>
      <c r="T5658">
        <v>4.5436499999999998E-2</v>
      </c>
      <c r="U5658">
        <v>-2.340973</v>
      </c>
      <c r="V5658">
        <v>0.15666289999999999</v>
      </c>
      <c r="W5658">
        <v>3.3472150000000002E-3</v>
      </c>
      <c r="X5658">
        <v>0.98764649999999998</v>
      </c>
      <c r="Y5658">
        <v>0.4477468</v>
      </c>
      <c r="Z5658">
        <v>-2.0129079999999999E-3</v>
      </c>
      <c r="AA5658">
        <v>0.89415809999999996</v>
      </c>
      <c r="AB5658">
        <v>23</v>
      </c>
      <c r="AC5658">
        <v>34.765999999999998</v>
      </c>
      <c r="AD5658">
        <v>0.75424399999999903</v>
      </c>
      <c r="AE5658">
        <v>-38.506999999999998</v>
      </c>
      <c r="AF5658">
        <v>23.373837909163399</v>
      </c>
      <c r="AG5658">
        <v>0.75424399999999903</v>
      </c>
      <c r="AH5658">
        <v>46.303240696518202</v>
      </c>
      <c r="AI5658">
        <v>89.166891814621593</v>
      </c>
      <c r="AJ5658">
        <v>63.2153931926116</v>
      </c>
      <c r="AK5658">
        <v>51.873840050791401</v>
      </c>
    </row>
    <row r="5659" spans="1:37" x14ac:dyDescent="0.2">
      <c r="A5659" t="str">
        <f>"20200111155707508"</f>
        <v>20200111155707508</v>
      </c>
      <c r="B5659" t="str">
        <f>"1578729427498985"</f>
        <v>1578729427498985</v>
      </c>
      <c r="C5659" t="s">
        <v>37</v>
      </c>
      <c r="D5659">
        <v>5.2978009999999998</v>
      </c>
      <c r="E5659">
        <v>0.62365039999999905</v>
      </c>
      <c r="F5659" t="s">
        <v>81</v>
      </c>
      <c r="G5659">
        <v>-282.32900000000001</v>
      </c>
      <c r="H5659">
        <v>1.8527419999999899</v>
      </c>
      <c r="I5659">
        <v>-23.426659999999998</v>
      </c>
      <c r="J5659">
        <v>-316.95699999999999</v>
      </c>
      <c r="K5659">
        <v>1.071123</v>
      </c>
      <c r="L5659">
        <v>15.69595</v>
      </c>
      <c r="M5659">
        <v>0.93066079999999995</v>
      </c>
      <c r="N5659">
        <v>0</v>
      </c>
      <c r="O5659">
        <v>-0.36495659999999902</v>
      </c>
      <c r="P5659">
        <v>0.8616492</v>
      </c>
      <c r="Q5659">
        <v>-1.9759390000000002E-2</v>
      </c>
      <c r="R5659">
        <v>-0.50711969999999995</v>
      </c>
      <c r="S5659">
        <v>2.0978699999999999</v>
      </c>
      <c r="T5659">
        <v>4.7076460000000001E-2</v>
      </c>
      <c r="U5659">
        <v>-2.3643489999999998</v>
      </c>
      <c r="V5659">
        <v>0.1576246</v>
      </c>
      <c r="W5659">
        <v>3.194152E-3</v>
      </c>
      <c r="X5659">
        <v>0.98749390000000004</v>
      </c>
      <c r="Y5659">
        <v>0.45405899999999999</v>
      </c>
      <c r="Z5659">
        <v>-2.1078149999999999E-3</v>
      </c>
      <c r="AA5659">
        <v>0.89096919999999902</v>
      </c>
      <c r="AB5659">
        <v>23</v>
      </c>
      <c r="AC5659">
        <v>34.627999999999901</v>
      </c>
      <c r="AD5659">
        <v>0.78161899999999895</v>
      </c>
      <c r="AE5659">
        <v>-39.122610000000002</v>
      </c>
      <c r="AF5659">
        <v>23.774894138100699</v>
      </c>
      <c r="AG5659">
        <v>0.78161899999999895</v>
      </c>
      <c r="AH5659">
        <v>46.510320999586298</v>
      </c>
      <c r="AI5659">
        <v>89.1427117178267</v>
      </c>
      <c r="AJ5659">
        <v>62.9250362229198</v>
      </c>
      <c r="AK5659">
        <v>52.240467829295099</v>
      </c>
    </row>
    <row r="5660" spans="1:37" x14ac:dyDescent="0.2">
      <c r="A5660" t="str">
        <f>"20200111155707522"</f>
        <v>20200111155707522</v>
      </c>
      <c r="B5660" t="str">
        <f>"1578729427518507"</f>
        <v>1578729427518507</v>
      </c>
      <c r="C5660" t="s">
        <v>37</v>
      </c>
      <c r="D5660">
        <v>5.2903129999999896</v>
      </c>
      <c r="E5660">
        <v>0.62299850000000001</v>
      </c>
      <c r="F5660" t="s">
        <v>81</v>
      </c>
      <c r="G5660">
        <v>-282.32900000000001</v>
      </c>
      <c r="H5660">
        <v>1.8571340000000001</v>
      </c>
      <c r="I5660">
        <v>-23.70581</v>
      </c>
      <c r="J5660">
        <v>-316.82549999999998</v>
      </c>
      <c r="K5660">
        <v>1.0697719999999999</v>
      </c>
      <c r="L5660">
        <v>15.638639999999899</v>
      </c>
      <c r="M5660">
        <v>0.92897919999999901</v>
      </c>
      <c r="N5660">
        <v>0</v>
      </c>
      <c r="O5660">
        <v>-0.36924639999999997</v>
      </c>
      <c r="P5660">
        <v>0.85906489999999902</v>
      </c>
      <c r="Q5660">
        <v>-1.924211E-2</v>
      </c>
      <c r="R5660">
        <v>-0.51150499999999999</v>
      </c>
      <c r="S5660">
        <v>2.0859070000000002</v>
      </c>
      <c r="T5660">
        <v>4.7347069999999998E-2</v>
      </c>
      <c r="U5660">
        <v>-2.3734739999999999</v>
      </c>
      <c r="V5660">
        <v>0.15810289999999999</v>
      </c>
      <c r="W5660">
        <v>3.3071620000000002E-3</v>
      </c>
      <c r="X5660">
        <v>0.98741710000000005</v>
      </c>
      <c r="Y5660">
        <v>0.45418329999999901</v>
      </c>
      <c r="Z5660">
        <v>-2.18995E-3</v>
      </c>
      <c r="AA5660">
        <v>0.89090559999999996</v>
      </c>
      <c r="AB5660">
        <v>23</v>
      </c>
      <c r="AC5660">
        <v>34.496499999999898</v>
      </c>
      <c r="AD5660">
        <v>0.78736200000000001</v>
      </c>
      <c r="AE5660">
        <v>-39.344450000000002</v>
      </c>
      <c r="AF5660">
        <v>23.814874406317099</v>
      </c>
      <c r="AG5660">
        <v>0.78736200000000001</v>
      </c>
      <c r="AH5660">
        <v>46.579035608306697</v>
      </c>
      <c r="AI5660">
        <v>89.137723898493704</v>
      </c>
      <c r="AJ5660">
        <v>62.920301502472697</v>
      </c>
      <c r="AK5660">
        <v>52.319926797613199</v>
      </c>
    </row>
    <row r="5661" spans="1:37" x14ac:dyDescent="0.2">
      <c r="A5661" t="str">
        <f>"20200111155707535"</f>
        <v>20200111155707535</v>
      </c>
      <c r="B5661" t="str">
        <f>"1578729427528266"</f>
        <v>1578729427528266</v>
      </c>
      <c r="C5661" t="s">
        <v>37</v>
      </c>
      <c r="D5661">
        <v>5.2846209999999996</v>
      </c>
      <c r="E5661">
        <v>0.62267329999999999</v>
      </c>
      <c r="F5661" t="s">
        <v>81</v>
      </c>
      <c r="G5661">
        <v>-282.32900000000001</v>
      </c>
      <c r="H5661">
        <v>1.8906069999999999</v>
      </c>
      <c r="I5661">
        <v>-23.886800000000001</v>
      </c>
      <c r="J5661">
        <v>-316.70240000000001</v>
      </c>
      <c r="K5661">
        <v>1.0685579999999999</v>
      </c>
      <c r="L5661">
        <v>15.58426</v>
      </c>
      <c r="M5661">
        <v>0.92735460000000003</v>
      </c>
      <c r="N5661">
        <v>0</v>
      </c>
      <c r="O5661">
        <v>-0.373338</v>
      </c>
      <c r="P5661">
        <v>0.85659300000000005</v>
      </c>
      <c r="Q5661">
        <v>-1.8898129999999999E-2</v>
      </c>
      <c r="R5661">
        <v>-0.51564679999999996</v>
      </c>
      <c r="S5661">
        <v>2.0765989999999999</v>
      </c>
      <c r="T5661">
        <v>4.9411650000000001E-2</v>
      </c>
      <c r="U5661">
        <v>-2.3793329999999999</v>
      </c>
      <c r="V5661">
        <v>0.1585164</v>
      </c>
      <c r="W5661">
        <v>3.253279E-3</v>
      </c>
      <c r="X5661">
        <v>0.98735099999999998</v>
      </c>
      <c r="Y5661">
        <v>0.45332289999999997</v>
      </c>
      <c r="Z5661">
        <v>-2.364204E-3</v>
      </c>
      <c r="AA5661">
        <v>0.891343199999999</v>
      </c>
      <c r="AB5661">
        <v>22</v>
      </c>
      <c r="AC5661">
        <v>34.373399999999997</v>
      </c>
      <c r="AD5661">
        <v>0.82204900000000003</v>
      </c>
      <c r="AE5661">
        <v>-39.471060000000001</v>
      </c>
      <c r="AF5661">
        <v>23.7724259000918</v>
      </c>
      <c r="AG5661">
        <v>0.82204900000000003</v>
      </c>
      <c r="AH5661">
        <v>46.615619085338402</v>
      </c>
      <c r="AI5661">
        <v>89.099971093280203</v>
      </c>
      <c r="AJ5661">
        <v>62.979920394235897</v>
      </c>
      <c r="AK5661">
        <v>52.333736159795897</v>
      </c>
    </row>
    <row r="5662" spans="1:37" x14ac:dyDescent="0.2">
      <c r="A5662" t="str">
        <f>"20200111155707547"</f>
        <v>20200111155707547</v>
      </c>
      <c r="B5662" t="str">
        <f>"1578729427539001"</f>
        <v>1578729427539001</v>
      </c>
      <c r="C5662" t="s">
        <v>37</v>
      </c>
      <c r="D5662">
        <v>5.2691540000000003</v>
      </c>
      <c r="E5662">
        <v>0.62267329999999999</v>
      </c>
      <c r="F5662" t="s">
        <v>81</v>
      </c>
      <c r="G5662">
        <v>-282.32900000000001</v>
      </c>
      <c r="H5662">
        <v>1.909513</v>
      </c>
      <c r="I5662">
        <v>-24.13025</v>
      </c>
      <c r="J5662">
        <v>-316.5942</v>
      </c>
      <c r="K5662">
        <v>1.067545</v>
      </c>
      <c r="L5662">
        <v>15.535739999999899</v>
      </c>
      <c r="M5662">
        <v>0.92586650000000004</v>
      </c>
      <c r="N5662">
        <v>0</v>
      </c>
      <c r="O5662">
        <v>-0.37704019999999999</v>
      </c>
      <c r="P5662">
        <v>0.85429179999999905</v>
      </c>
      <c r="Q5662">
        <v>-1.8771299999999901E-2</v>
      </c>
      <c r="R5662">
        <v>-0.51945509999999995</v>
      </c>
      <c r="S5662">
        <v>2.066284</v>
      </c>
      <c r="T5662">
        <v>5.0551409999999998E-2</v>
      </c>
      <c r="U5662">
        <v>-2.3873599999999899</v>
      </c>
      <c r="V5662">
        <v>0.158964299999999</v>
      </c>
      <c r="W5662">
        <v>3.031551E-3</v>
      </c>
      <c r="X5662">
        <v>0.98727969999999898</v>
      </c>
      <c r="Y5662">
        <v>0.45344899999999999</v>
      </c>
      <c r="Z5662">
        <v>-2.4831379999999902E-3</v>
      </c>
      <c r="AA5662">
        <v>0.89127880000000004</v>
      </c>
      <c r="AB5662">
        <v>22</v>
      </c>
      <c r="AC5662">
        <v>34.265199999999901</v>
      </c>
      <c r="AD5662">
        <v>0.84196800000000005</v>
      </c>
      <c r="AE5662">
        <v>-39.665990000000001</v>
      </c>
      <c r="AF5662">
        <v>23.807197669331799</v>
      </c>
      <c r="AG5662">
        <v>0.84196800000000005</v>
      </c>
      <c r="AH5662">
        <v>46.682917230811903</v>
      </c>
      <c r="AI5662">
        <v>89.079498581218601</v>
      </c>
      <c r="AJ5662">
        <v>62.979480195816201</v>
      </c>
      <c r="AK5662">
        <v>52.409792330808699</v>
      </c>
    </row>
    <row r="5663" spans="1:37" x14ac:dyDescent="0.2">
      <c r="A5663" t="str">
        <f>"20200111155707564"</f>
        <v>20200111155707564</v>
      </c>
      <c r="B5663" t="str">
        <f>"1578729427558521"</f>
        <v>1578729427558521</v>
      </c>
      <c r="C5663" t="s">
        <v>37</v>
      </c>
      <c r="D5663">
        <v>5.312576</v>
      </c>
      <c r="E5663">
        <v>0.6117939</v>
      </c>
      <c r="F5663" t="s">
        <v>81</v>
      </c>
      <c r="G5663">
        <v>-282.32900000000001</v>
      </c>
      <c r="H5663">
        <v>1.9088419999999999</v>
      </c>
      <c r="I5663">
        <v>-24.410499999999999</v>
      </c>
      <c r="J5663">
        <v>-316.43579999999997</v>
      </c>
      <c r="K5663">
        <v>1.066114</v>
      </c>
      <c r="L5663">
        <v>15.46393</v>
      </c>
      <c r="M5663">
        <v>0.92361629999999995</v>
      </c>
      <c r="N5663">
        <v>0</v>
      </c>
      <c r="O5663">
        <v>-0.38255709999999998</v>
      </c>
      <c r="P5663">
        <v>0.85083129999999996</v>
      </c>
      <c r="Q5663">
        <v>-1.8605010000000002E-2</v>
      </c>
      <c r="R5663">
        <v>-0.52510959999999995</v>
      </c>
      <c r="S5663">
        <v>2.055634</v>
      </c>
      <c r="T5663">
        <v>5.0470950000000001E-2</v>
      </c>
      <c r="U5663">
        <v>-2.3964539999999999</v>
      </c>
      <c r="V5663">
        <v>0.15961800000000001</v>
      </c>
      <c r="W5663">
        <v>2.6887069999999998E-3</v>
      </c>
      <c r="X5663">
        <v>0.98717520000000003</v>
      </c>
      <c r="Y5663">
        <v>0.45209060000000001</v>
      </c>
      <c r="Z5663">
        <v>-2.5879269999999998E-3</v>
      </c>
      <c r="AA5663">
        <v>0.89196830000000005</v>
      </c>
      <c r="AB5663">
        <v>22</v>
      </c>
      <c r="AC5663">
        <v>34.1067999999999</v>
      </c>
      <c r="AD5663">
        <v>0.84272799999999903</v>
      </c>
      <c r="AE5663">
        <v>-39.874429999999997</v>
      </c>
      <c r="AF5663">
        <v>23.7816757011134</v>
      </c>
      <c r="AG5663">
        <v>0.84272799999999903</v>
      </c>
      <c r="AH5663">
        <v>46.757416987394997</v>
      </c>
      <c r="AI5663">
        <v>89.079630196927994</v>
      </c>
      <c r="AJ5663">
        <v>63.041280554156202</v>
      </c>
      <c r="AK5663">
        <v>52.464600760589498</v>
      </c>
    </row>
    <row r="5664" spans="1:37" x14ac:dyDescent="0.2">
      <c r="A5664" t="str">
        <f>"20200111155707576"</f>
        <v>20200111155707576</v>
      </c>
      <c r="B5664" t="str">
        <f>"1578729427568282"</f>
        <v>1578729427568282</v>
      </c>
      <c r="C5664" t="s">
        <v>37</v>
      </c>
      <c r="D5664">
        <v>5.2854929999999998</v>
      </c>
      <c r="E5664">
        <v>0.61143559999999997</v>
      </c>
      <c r="F5664" t="s">
        <v>81</v>
      </c>
      <c r="G5664">
        <v>-282.32900000000001</v>
      </c>
      <c r="H5664">
        <v>1.869564</v>
      </c>
      <c r="I5664">
        <v>-22.75422</v>
      </c>
      <c r="J5664">
        <v>-316.32580000000002</v>
      </c>
      <c r="K5664">
        <v>1.0651520000000001</v>
      </c>
      <c r="L5664">
        <v>15.4134799999999</v>
      </c>
      <c r="M5664">
        <v>0.92200569999999904</v>
      </c>
      <c r="N5664">
        <v>0</v>
      </c>
      <c r="O5664">
        <v>-0.38644820000000002</v>
      </c>
      <c r="P5664">
        <v>0.84841309999999903</v>
      </c>
      <c r="Q5664">
        <v>-1.8201120000000001E-2</v>
      </c>
      <c r="R5664">
        <v>-0.52902179999999999</v>
      </c>
      <c r="S5664">
        <v>2.0850520000000001</v>
      </c>
      <c r="T5664">
        <v>4.9117210000000001E-2</v>
      </c>
      <c r="U5664">
        <v>-2.336395</v>
      </c>
      <c r="V5664">
        <v>0.16000029999999901</v>
      </c>
      <c r="W5664">
        <v>2.7382970000000002E-3</v>
      </c>
      <c r="X5664">
        <v>0.98711319999999902</v>
      </c>
      <c r="Y5664">
        <v>0.4307106</v>
      </c>
      <c r="Z5664">
        <v>-2.7880100000000001E-3</v>
      </c>
      <c r="AA5664">
        <v>0.9024858</v>
      </c>
      <c r="AB5664">
        <v>22</v>
      </c>
      <c r="AC5664">
        <v>33.9968</v>
      </c>
      <c r="AD5664">
        <v>0.80441199999999902</v>
      </c>
      <c r="AE5664">
        <v>-38.167700000000004</v>
      </c>
      <c r="AF5664">
        <v>22.053586112804101</v>
      </c>
      <c r="AG5664">
        <v>0.80441199999999902</v>
      </c>
      <c r="AH5664">
        <v>46.096652767970902</v>
      </c>
      <c r="AI5664">
        <v>89.098138028353603</v>
      </c>
      <c r="AJ5664">
        <v>64.432589256292303</v>
      </c>
      <c r="AK5664">
        <v>51.106840398438798</v>
      </c>
    </row>
    <row r="5665" spans="1:37" x14ac:dyDescent="0.2">
      <c r="A5665" t="str">
        <f>"20200111155707588"</f>
        <v>20200111155707588</v>
      </c>
      <c r="B5665" t="str">
        <f>"1578729427579018"</f>
        <v>1578729427579018</v>
      </c>
      <c r="C5665" t="s">
        <v>37</v>
      </c>
      <c r="D5665">
        <v>5.4310279999999898</v>
      </c>
      <c r="E5665">
        <v>0.61143559999999997</v>
      </c>
      <c r="F5665" t="s">
        <v>81</v>
      </c>
      <c r="G5665">
        <v>-282.32900000000001</v>
      </c>
      <c r="H5665">
        <v>1.9158959999999901</v>
      </c>
      <c r="I5665">
        <v>-22.964879999999901</v>
      </c>
      <c r="J5665">
        <v>-316.2217</v>
      </c>
      <c r="K5665">
        <v>1.064263</v>
      </c>
      <c r="L5665">
        <v>15.36496</v>
      </c>
      <c r="M5665">
        <v>0.92046119999999898</v>
      </c>
      <c r="N5665">
        <v>0</v>
      </c>
      <c r="O5665">
        <v>-0.39013740000000002</v>
      </c>
      <c r="P5665">
        <v>0.84610079999999999</v>
      </c>
      <c r="Q5665">
        <v>-1.789255E-2</v>
      </c>
      <c r="R5665">
        <v>-0.5327229</v>
      </c>
      <c r="S5665">
        <v>2.0758969999999999</v>
      </c>
      <c r="T5665">
        <v>5.1947470000000003E-2</v>
      </c>
      <c r="U5665">
        <v>-2.343445</v>
      </c>
      <c r="V5665">
        <v>0.16035839999999901</v>
      </c>
      <c r="W5665">
        <v>2.695383E-3</v>
      </c>
      <c r="X5665">
        <v>0.98705520000000002</v>
      </c>
      <c r="Y5665">
        <v>0.43042209999999997</v>
      </c>
      <c r="Z5665">
        <v>-3.0189750000000001E-3</v>
      </c>
      <c r="AA5665">
        <v>0.902622699999999</v>
      </c>
      <c r="AB5665">
        <v>22</v>
      </c>
      <c r="AC5665">
        <v>33.892699999999898</v>
      </c>
      <c r="AD5665">
        <v>0.85163299999999897</v>
      </c>
      <c r="AE5665">
        <v>-38.329839999999997</v>
      </c>
      <c r="AF5665">
        <v>22.0582116906903</v>
      </c>
      <c r="AG5665">
        <v>0.85163299999999897</v>
      </c>
      <c r="AH5665">
        <v>46.150591434747497</v>
      </c>
      <c r="AI5665">
        <v>89.046151389950296</v>
      </c>
      <c r="AJ5665">
        <v>64.453990198432606</v>
      </c>
      <c r="AK5665">
        <v>51.158255165075602</v>
      </c>
    </row>
    <row r="5666" spans="1:37" x14ac:dyDescent="0.2">
      <c r="A5666" t="str">
        <f>"20200111155707603"</f>
        <v>20200111155707603</v>
      </c>
      <c r="B5666" t="str">
        <f>"1578729427598538"</f>
        <v>1578729427598538</v>
      </c>
      <c r="C5666" t="s">
        <v>37</v>
      </c>
      <c r="D5666">
        <v>5.2692649999999999</v>
      </c>
      <c r="E5666">
        <v>0.60659030000000003</v>
      </c>
      <c r="F5666" t="s">
        <v>81</v>
      </c>
      <c r="G5666">
        <v>-282.32900000000001</v>
      </c>
      <c r="H5666">
        <v>1.9279409999999999</v>
      </c>
      <c r="I5666">
        <v>-23.234570000000001</v>
      </c>
      <c r="J5666">
        <v>-316.08960000000002</v>
      </c>
      <c r="K5666">
        <v>1.0631520000000001</v>
      </c>
      <c r="L5666">
        <v>15.30289</v>
      </c>
      <c r="M5666">
        <v>0.918487099999999</v>
      </c>
      <c r="N5666">
        <v>0</v>
      </c>
      <c r="O5666">
        <v>-0.3947929</v>
      </c>
      <c r="P5666">
        <v>0.84334979999999904</v>
      </c>
      <c r="Q5666">
        <v>-1.7489210000000002E-2</v>
      </c>
      <c r="R5666">
        <v>-0.53708020000000001</v>
      </c>
      <c r="S5666">
        <v>2.0656129999999999</v>
      </c>
      <c r="T5666">
        <v>5.2636620000000002E-2</v>
      </c>
      <c r="U5666">
        <v>-2.3524780000000001</v>
      </c>
      <c r="V5666">
        <v>0.16045139999999999</v>
      </c>
      <c r="W5666">
        <v>2.6500829999999902E-3</v>
      </c>
      <c r="X5666">
        <v>0.98704020000000003</v>
      </c>
      <c r="Y5666">
        <v>0.4298035</v>
      </c>
      <c r="Z5666">
        <v>-3.15037E-3</v>
      </c>
      <c r="AA5666">
        <v>0.90291699999999997</v>
      </c>
      <c r="AB5666">
        <v>22</v>
      </c>
      <c r="AC5666">
        <v>33.760599999999997</v>
      </c>
      <c r="AD5666">
        <v>0.86478899999999903</v>
      </c>
      <c r="AE5666">
        <v>-38.537460000000003</v>
      </c>
      <c r="AF5666">
        <v>22.067167566443299</v>
      </c>
      <c r="AG5666">
        <v>0.86478899999999903</v>
      </c>
      <c r="AH5666">
        <v>46.221845161666998</v>
      </c>
      <c r="AI5666">
        <v>89.032707749657902</v>
      </c>
      <c r="AJ5666">
        <v>64.479323739505901</v>
      </c>
      <c r="AK5666">
        <v>51.2266211512054</v>
      </c>
    </row>
    <row r="5667" spans="1:37" x14ac:dyDescent="0.2">
      <c r="A5667" t="str">
        <f>"20200111155707615"</f>
        <v>20200111155707615</v>
      </c>
      <c r="B5667" t="str">
        <f>"1578729427608297"</f>
        <v>1578729427608297</v>
      </c>
      <c r="C5667" t="s">
        <v>37</v>
      </c>
      <c r="D5667">
        <v>5.2857760000000003</v>
      </c>
      <c r="E5667">
        <v>0.60677969999999903</v>
      </c>
      <c r="F5667" t="s">
        <v>81</v>
      </c>
      <c r="G5667">
        <v>-282.32900000000001</v>
      </c>
      <c r="H5667">
        <v>1.564047</v>
      </c>
      <c r="I5667">
        <v>-22.631250000000001</v>
      </c>
      <c r="J5667">
        <v>-315.96749999999997</v>
      </c>
      <c r="K5667">
        <v>1.062154</v>
      </c>
      <c r="L5667">
        <v>15.244719999999999</v>
      </c>
      <c r="M5667">
        <v>0.91666229999999904</v>
      </c>
      <c r="N5667">
        <v>0</v>
      </c>
      <c r="O5667">
        <v>-0.39903899999999998</v>
      </c>
      <c r="P5667">
        <v>0.84076030000000002</v>
      </c>
      <c r="Q5667">
        <v>-1.7017270000000001E-2</v>
      </c>
      <c r="R5667">
        <v>-0.54114019999999996</v>
      </c>
      <c r="S5667">
        <v>2.07385299999999</v>
      </c>
      <c r="T5667">
        <v>3.076947E-2</v>
      </c>
      <c r="U5667">
        <v>-2.3302309999999999</v>
      </c>
      <c r="V5667">
        <v>0.16064249999999999</v>
      </c>
      <c r="W5667">
        <v>2.690137E-3</v>
      </c>
      <c r="X5667">
        <v>0.98700900000000003</v>
      </c>
      <c r="Y5667">
        <v>0.419566299999999</v>
      </c>
      <c r="Z5667">
        <v>-1.9479179999999899E-3</v>
      </c>
      <c r="AA5667">
        <v>0.90772260000000005</v>
      </c>
      <c r="AB5667">
        <v>22</v>
      </c>
      <c r="AC5667">
        <v>33.638499999999901</v>
      </c>
      <c r="AD5667">
        <v>0.50189299999999903</v>
      </c>
      <c r="AE5667">
        <v>-37.875970000000002</v>
      </c>
      <c r="AF5667">
        <v>21.299615461725502</v>
      </c>
      <c r="AG5667">
        <v>0.50189299999999903</v>
      </c>
      <c r="AH5667">
        <v>45.956070848983003</v>
      </c>
      <c r="AI5667">
        <v>89.432295676643307</v>
      </c>
      <c r="AJ5667">
        <v>65.133327416112905</v>
      </c>
      <c r="AK5667">
        <v>50.654574949135302</v>
      </c>
    </row>
    <row r="5668" spans="1:37" x14ac:dyDescent="0.2">
      <c r="A5668" t="str">
        <f>"20200111155707627"</f>
        <v>20200111155707627</v>
      </c>
      <c r="B5668" t="str">
        <f>"1578729427619034"</f>
        <v>1578729427619034</v>
      </c>
      <c r="C5668" t="s">
        <v>37</v>
      </c>
      <c r="D5668">
        <v>5.2885410000000004</v>
      </c>
      <c r="E5668">
        <v>0.60646999999999995</v>
      </c>
      <c r="F5668" t="s">
        <v>81</v>
      </c>
      <c r="G5668">
        <v>-282.32900000000001</v>
      </c>
      <c r="H5668">
        <v>1.6178969999999999</v>
      </c>
      <c r="I5668">
        <v>-22.954740000000001</v>
      </c>
      <c r="J5668">
        <v>-315.85910000000001</v>
      </c>
      <c r="K5668">
        <v>1.0613139999999901</v>
      </c>
      <c r="L5668">
        <v>15.19232</v>
      </c>
      <c r="M5668">
        <v>0.91504819999999998</v>
      </c>
      <c r="N5668">
        <v>0</v>
      </c>
      <c r="O5668">
        <v>-0.40274979999999999</v>
      </c>
      <c r="P5668">
        <v>0.83854599999999901</v>
      </c>
      <c r="Q5668">
        <v>-1.664585E-2</v>
      </c>
      <c r="R5668">
        <v>-0.54457679999999997</v>
      </c>
      <c r="S5668">
        <v>2.06189</v>
      </c>
      <c r="T5668">
        <v>3.4064169999999998E-2</v>
      </c>
      <c r="U5668">
        <v>-2.3414609999999998</v>
      </c>
      <c r="V5668">
        <v>0.16068250000000001</v>
      </c>
      <c r="W5668">
        <v>2.6796469999999998E-3</v>
      </c>
      <c r="X5668">
        <v>0.9870025</v>
      </c>
      <c r="Y5668">
        <v>0.42066379999999998</v>
      </c>
      <c r="Z5668">
        <v>-2.194194E-3</v>
      </c>
      <c r="AA5668">
        <v>0.90721390000000002</v>
      </c>
      <c r="AB5668">
        <v>22</v>
      </c>
      <c r="AC5668">
        <v>33.530099999999997</v>
      </c>
      <c r="AD5668">
        <v>0.55658299999999905</v>
      </c>
      <c r="AE5668">
        <v>-38.147060000000003</v>
      </c>
      <c r="AF5668">
        <v>21.404718727280301</v>
      </c>
      <c r="AG5668">
        <v>0.55658299999999905</v>
      </c>
      <c r="AH5668">
        <v>46.050888712185099</v>
      </c>
      <c r="AI5668">
        <v>89.372053783083402</v>
      </c>
      <c r="AJ5668">
        <v>65.070723167792195</v>
      </c>
      <c r="AK5668">
        <v>50.7853927779625</v>
      </c>
    </row>
    <row r="5669" spans="1:37" x14ac:dyDescent="0.2">
      <c r="A5669" t="str">
        <f>"20200111155707643"</f>
        <v>20200111155707643</v>
      </c>
      <c r="B5669" t="str">
        <f>"1578729427638554"</f>
        <v>1578729427638554</v>
      </c>
      <c r="C5669" t="s">
        <v>37</v>
      </c>
      <c r="D5669">
        <v>5.2907739999999999</v>
      </c>
      <c r="E5669">
        <v>0.60682369999999997</v>
      </c>
      <c r="F5669" t="s">
        <v>81</v>
      </c>
      <c r="G5669">
        <v>-282.32900000000001</v>
      </c>
      <c r="H5669">
        <v>1.6480379999999999</v>
      </c>
      <c r="I5669">
        <v>-23.14049</v>
      </c>
      <c r="J5669">
        <v>-315.72469999999998</v>
      </c>
      <c r="K5669">
        <v>1.060314</v>
      </c>
      <c r="L5669">
        <v>15.12677</v>
      </c>
      <c r="M5669">
        <v>0.91303849999999998</v>
      </c>
      <c r="N5669">
        <v>0</v>
      </c>
      <c r="O5669">
        <v>-0.4073136</v>
      </c>
      <c r="P5669">
        <v>0.83581159999999999</v>
      </c>
      <c r="Q5669">
        <v>-1.632834E-2</v>
      </c>
      <c r="R5669">
        <v>-0.54877369999999903</v>
      </c>
      <c r="S5669">
        <v>2.0536189999999999</v>
      </c>
      <c r="T5669">
        <v>3.5935040000000001E-2</v>
      </c>
      <c r="U5669">
        <v>-2.3477779999999999</v>
      </c>
      <c r="V5669">
        <v>0.16070139999999999</v>
      </c>
      <c r="W5669">
        <v>2.528967E-3</v>
      </c>
      <c r="X5669">
        <v>0.98699979999999998</v>
      </c>
      <c r="Y5669">
        <v>0.41915770000000002</v>
      </c>
      <c r="Z5669">
        <v>-2.3820400000000002E-3</v>
      </c>
      <c r="AA5669">
        <v>0.90791029999999995</v>
      </c>
      <c r="AB5669">
        <v>22</v>
      </c>
      <c r="AC5669">
        <v>33.395699999999898</v>
      </c>
      <c r="AD5669">
        <v>0.58772400000000002</v>
      </c>
      <c r="AE5669">
        <v>-38.26726</v>
      </c>
      <c r="AF5669">
        <v>21.338971561132102</v>
      </c>
      <c r="AG5669">
        <v>0.58772400000000002</v>
      </c>
      <c r="AH5669">
        <v>46.082681767038203</v>
      </c>
      <c r="AI5669">
        <v>89.336938329692202</v>
      </c>
      <c r="AJ5669">
        <v>65.1531094235865</v>
      </c>
      <c r="AK5669">
        <v>50.786914511802102</v>
      </c>
    </row>
    <row r="5670" spans="1:37" x14ac:dyDescent="0.2">
      <c r="A5670" t="str">
        <f>"20200111155707654"</f>
        <v>20200111155707654</v>
      </c>
      <c r="B5670" t="str">
        <f>"1578729427648313"</f>
        <v>1578729427648313</v>
      </c>
      <c r="C5670" t="s">
        <v>37</v>
      </c>
      <c r="D5670">
        <v>5.2901870000000004</v>
      </c>
      <c r="E5670">
        <v>0.62774339999999995</v>
      </c>
      <c r="F5670" t="s">
        <v>81</v>
      </c>
      <c r="G5670">
        <v>-283.49869999999999</v>
      </c>
      <c r="H5670">
        <v>1.620115</v>
      </c>
      <c r="I5670">
        <v>-22.156169999999999</v>
      </c>
      <c r="J5670">
        <v>-315.61810000000003</v>
      </c>
      <c r="K5670">
        <v>1.05958</v>
      </c>
      <c r="L5670">
        <v>15.074159999999999</v>
      </c>
      <c r="M5670">
        <v>0.9114392</v>
      </c>
      <c r="N5670">
        <v>0</v>
      </c>
      <c r="O5670">
        <v>-0.41090100000000002</v>
      </c>
      <c r="P5670">
        <v>0.83355249999999903</v>
      </c>
      <c r="Q5670">
        <v>-1.619806E-2</v>
      </c>
      <c r="R5670">
        <v>-0.55220340000000001</v>
      </c>
      <c r="S5670">
        <v>2.040222</v>
      </c>
      <c r="T5670">
        <v>3.5440920000000001E-2</v>
      </c>
      <c r="U5670">
        <v>-2.360382</v>
      </c>
      <c r="V5670">
        <v>0.16087379999999901</v>
      </c>
      <c r="W5670">
        <v>2.2957939999999999E-3</v>
      </c>
      <c r="X5670">
        <v>0.98697230000000002</v>
      </c>
      <c r="Y5670">
        <v>0.42093940000000002</v>
      </c>
      <c r="Z5670">
        <v>-2.3828170000000002E-3</v>
      </c>
      <c r="AA5670">
        <v>0.90708559999999905</v>
      </c>
      <c r="AB5670">
        <v>22</v>
      </c>
      <c r="AC5670">
        <v>32.119399999999999</v>
      </c>
      <c r="AD5670">
        <v>0.56053500000000001</v>
      </c>
      <c r="AE5670">
        <v>-37.230330000000002</v>
      </c>
      <c r="AF5670">
        <v>20.737146119021499</v>
      </c>
      <c r="AG5670">
        <v>0.56053500000000001</v>
      </c>
      <c r="AH5670">
        <v>44.576852991312599</v>
      </c>
      <c r="AI5670">
        <v>89.3467837333814</v>
      </c>
      <c r="AJ5670">
        <v>65.052157386819204</v>
      </c>
      <c r="AK5670">
        <v>49.167461305796202</v>
      </c>
    </row>
    <row r="5671" spans="1:37" x14ac:dyDescent="0.2">
      <c r="A5671" t="str">
        <f>"20200111155707666"</f>
        <v>20200111155707666</v>
      </c>
      <c r="B5671" t="str">
        <f>"1578729427659050"</f>
        <v>1578729427659050</v>
      </c>
      <c r="C5671" t="s">
        <v>37</v>
      </c>
      <c r="D5671">
        <v>5.4275149999999996</v>
      </c>
      <c r="E5671">
        <v>0.63045359999999995</v>
      </c>
      <c r="F5671" t="s">
        <v>38</v>
      </c>
      <c r="G5671">
        <v>-297.24430000000001</v>
      </c>
      <c r="H5671" s="1">
        <v>-9.3124389999999998E-7</v>
      </c>
      <c r="I5671">
        <v>-8.6757729999999995</v>
      </c>
      <c r="J5671">
        <v>-315.5129</v>
      </c>
      <c r="K5671">
        <v>1.05891</v>
      </c>
      <c r="L5671">
        <v>15.021610000000001</v>
      </c>
      <c r="M5671">
        <v>0.90984240000000005</v>
      </c>
      <c r="N5671">
        <v>0</v>
      </c>
      <c r="O5671">
        <v>-0.41444399999999998</v>
      </c>
      <c r="P5671">
        <v>0.83140000000000003</v>
      </c>
      <c r="Q5671">
        <v>-1.572134E-2</v>
      </c>
      <c r="R5671">
        <v>-0.55545239999999996</v>
      </c>
      <c r="S5671">
        <v>1.9376529999999901</v>
      </c>
      <c r="T5671">
        <v>-0.1117407</v>
      </c>
      <c r="U5671">
        <v>-2.5046080000000002</v>
      </c>
      <c r="V5671">
        <v>0.16088629999999901</v>
      </c>
      <c r="W5671">
        <v>2.4321690000000001E-3</v>
      </c>
      <c r="X5671">
        <v>0.98696989999999996</v>
      </c>
      <c r="Y5671">
        <v>0.46608909999999998</v>
      </c>
      <c r="Z5671">
        <v>6.6839509999999996E-3</v>
      </c>
      <c r="AA5671">
        <v>0.88471250000000001</v>
      </c>
      <c r="AB5671">
        <v>22</v>
      </c>
      <c r="AC5671">
        <v>18.2685999999999</v>
      </c>
      <c r="AD5671">
        <v>-1.0589109312439</v>
      </c>
      <c r="AE5671">
        <v>-23.697382999999999</v>
      </c>
      <c r="AF5671">
        <v>13.975029276798599</v>
      </c>
      <c r="AG5671">
        <v>-1.0589109312439</v>
      </c>
      <c r="AH5671">
        <v>26.415296419498802</v>
      </c>
      <c r="AI5671">
        <v>92.029354021290004</v>
      </c>
      <c r="AJ5671">
        <v>62.118893008178702</v>
      </c>
      <c r="AK5671">
        <v>29.903020258456699</v>
      </c>
    </row>
    <row r="5672" spans="1:37" x14ac:dyDescent="0.2">
      <c r="A5672" t="str">
        <f>"20200111155707679"</f>
        <v>20200111155707679</v>
      </c>
      <c r="B5672" t="str">
        <f>"1578729427668809"</f>
        <v>1578729427668809</v>
      </c>
      <c r="C5672" t="s">
        <v>37</v>
      </c>
      <c r="D5672">
        <v>5.4263680000000001</v>
      </c>
      <c r="E5672">
        <v>0.63637900000000003</v>
      </c>
      <c r="F5672" t="s">
        <v>38</v>
      </c>
      <c r="G5672">
        <v>-302.95699999999999</v>
      </c>
      <c r="H5672" s="1">
        <v>-4.3632549999999996E-6</v>
      </c>
      <c r="I5672">
        <v>-1.5534790000000001</v>
      </c>
      <c r="J5672">
        <v>-315.39870000000002</v>
      </c>
      <c r="K5672">
        <v>1.0582180000000001</v>
      </c>
      <c r="L5672">
        <v>14.964229999999899</v>
      </c>
      <c r="M5672">
        <v>0.90809039999999996</v>
      </c>
      <c r="N5672">
        <v>0</v>
      </c>
      <c r="O5672">
        <v>-0.41828890000000002</v>
      </c>
      <c r="P5672">
        <v>0.82876899999999998</v>
      </c>
      <c r="Q5672">
        <v>-1.534813E-2</v>
      </c>
      <c r="R5672">
        <v>-0.55938089999999996</v>
      </c>
      <c r="S5672">
        <v>1.9157409999999999</v>
      </c>
      <c r="T5672">
        <v>-0.16156489999999901</v>
      </c>
      <c r="U5672">
        <v>-2.5289609999999998</v>
      </c>
      <c r="V5672">
        <v>0.16138189999999999</v>
      </c>
      <c r="W5672">
        <v>2.4378910000000002E-3</v>
      </c>
      <c r="X5672">
        <v>0.98688899999999902</v>
      </c>
      <c r="Y5672">
        <v>0.47128379999999997</v>
      </c>
      <c r="Z5672">
        <v>9.7156569999999904E-3</v>
      </c>
      <c r="AA5672">
        <v>0.88192809999999899</v>
      </c>
      <c r="AB5672">
        <v>22</v>
      </c>
      <c r="AC5672">
        <v>12.441700000000001</v>
      </c>
      <c r="AD5672">
        <v>-1.0582223632550001</v>
      </c>
      <c r="AE5672">
        <v>-16.517709</v>
      </c>
      <c r="AF5672">
        <v>9.7717488731354507</v>
      </c>
      <c r="AG5672">
        <v>-1.0582223632550001</v>
      </c>
      <c r="AH5672">
        <v>18.163497218891798</v>
      </c>
      <c r="AI5672">
        <v>92.937110765325599</v>
      </c>
      <c r="AJ5672">
        <v>61.7202686822366</v>
      </c>
      <c r="AK5672">
        <v>20.6523495474584</v>
      </c>
    </row>
    <row r="5673" spans="1:37" x14ac:dyDescent="0.2">
      <c r="A5673" t="str">
        <f>"20200111155707691"</f>
        <v>20200111155707691</v>
      </c>
      <c r="B5673" t="str">
        <f>"1578729427678569"</f>
        <v>1578729427678569</v>
      </c>
      <c r="C5673" t="s">
        <v>37</v>
      </c>
      <c r="D5673">
        <v>5.4394070000000001</v>
      </c>
      <c r="E5673">
        <v>0.63953199999999999</v>
      </c>
      <c r="F5673" t="s">
        <v>39</v>
      </c>
      <c r="G5673">
        <v>-304.40050000000002</v>
      </c>
      <c r="H5673">
        <v>-0.05</v>
      </c>
      <c r="I5673">
        <v>-0.13092039999999999</v>
      </c>
      <c r="J5673">
        <v>-315.28870000000001</v>
      </c>
      <c r="K5673">
        <v>1.057626</v>
      </c>
      <c r="L5673">
        <v>14.908079999999901</v>
      </c>
      <c r="M5673">
        <v>0.90637009999999996</v>
      </c>
      <c r="N5673">
        <v>0</v>
      </c>
      <c r="O5673">
        <v>-0.42202079999999997</v>
      </c>
      <c r="P5673">
        <v>0.82636549999999998</v>
      </c>
      <c r="Q5673">
        <v>-1.487249E-2</v>
      </c>
      <c r="R5673">
        <v>-0.56293769999999999</v>
      </c>
      <c r="S5673">
        <v>1.8772580000000001</v>
      </c>
      <c r="T5673">
        <v>-0.18915779999999999</v>
      </c>
      <c r="U5673">
        <v>-2.5765380000000002</v>
      </c>
      <c r="V5673">
        <v>0.1615646</v>
      </c>
      <c r="W5673">
        <v>2.5900010000000002E-3</v>
      </c>
      <c r="X5673">
        <v>0.98685869999999998</v>
      </c>
      <c r="Y5673">
        <v>0.48399779999999998</v>
      </c>
      <c r="Z5673">
        <v>1.115038E-2</v>
      </c>
      <c r="AA5673">
        <v>0.87499819999999995</v>
      </c>
      <c r="AB5673">
        <v>22</v>
      </c>
      <c r="AC5673">
        <v>10.8881999999999</v>
      </c>
      <c r="AD5673">
        <v>-1.107626</v>
      </c>
      <c r="AE5673">
        <v>-15.039000400000001</v>
      </c>
      <c r="AF5673">
        <v>9.0055737306997798</v>
      </c>
      <c r="AG5673">
        <v>-1.107626</v>
      </c>
      <c r="AH5673">
        <v>16.161170748639599</v>
      </c>
      <c r="AI5673">
        <v>93.426135474682098</v>
      </c>
      <c r="AJ5673">
        <v>60.871907703531299</v>
      </c>
      <c r="AK5673">
        <v>18.534039860258002</v>
      </c>
    </row>
    <row r="5674" spans="1:37" x14ac:dyDescent="0.2">
      <c r="A5674" t="str">
        <f>"20200111155707704"</f>
        <v>20200111155707704</v>
      </c>
      <c r="B5674" t="str">
        <f>"1578729427699066"</f>
        <v>1578729427699066</v>
      </c>
      <c r="C5674" t="s">
        <v>37</v>
      </c>
      <c r="D5674">
        <v>5.4927400000000004</v>
      </c>
      <c r="E5674">
        <v>0.64243280000000003</v>
      </c>
      <c r="F5674" t="s">
        <v>39</v>
      </c>
      <c r="G5674">
        <v>-305.68079999999998</v>
      </c>
      <c r="H5674">
        <v>-0.05</v>
      </c>
      <c r="I5674">
        <v>1.395859</v>
      </c>
      <c r="J5674">
        <v>-315.16849999999999</v>
      </c>
      <c r="K5674">
        <v>1.057015</v>
      </c>
      <c r="L5674">
        <v>14.84634</v>
      </c>
      <c r="M5674">
        <v>0.90446589999999905</v>
      </c>
      <c r="N5674">
        <v>0</v>
      </c>
      <c r="O5674">
        <v>-0.42610429999999999</v>
      </c>
      <c r="P5674">
        <v>0.82372730000000005</v>
      </c>
      <c r="Q5674">
        <v>-1.476383E-2</v>
      </c>
      <c r="R5674">
        <v>-0.56679429999999997</v>
      </c>
      <c r="S5674">
        <v>1.852112</v>
      </c>
      <c r="T5674">
        <v>-0.21351609999999999</v>
      </c>
      <c r="U5674">
        <v>-2.6047359999999999</v>
      </c>
      <c r="V5674">
        <v>0.16172510000000001</v>
      </c>
      <c r="W5674">
        <v>2.3592129999999898E-3</v>
      </c>
      <c r="X5674">
        <v>0.98683299999999996</v>
      </c>
      <c r="Y5674">
        <v>0.49011199999999999</v>
      </c>
      <c r="Z5674">
        <v>1.2630300000000001E-2</v>
      </c>
      <c r="AA5674">
        <v>0.87156800000000001</v>
      </c>
      <c r="AB5674">
        <v>22</v>
      </c>
      <c r="AC5674">
        <v>9.4877000000000091</v>
      </c>
      <c r="AD5674">
        <v>-1.1070150000000001</v>
      </c>
      <c r="AE5674">
        <v>-13.450481</v>
      </c>
      <c r="AF5674">
        <v>8.0876990524359993</v>
      </c>
      <c r="AG5674">
        <v>-1.1070150000000001</v>
      </c>
      <c r="AH5674">
        <v>14.250844875186701</v>
      </c>
      <c r="AI5674">
        <v>93.864974340546695</v>
      </c>
      <c r="AJ5674">
        <v>60.4240415906565</v>
      </c>
      <c r="AK5674">
        <v>16.423243827868902</v>
      </c>
    </row>
    <row r="5675" spans="1:37" x14ac:dyDescent="0.2">
      <c r="A5675" t="str">
        <f>"20200111155707727"</f>
        <v>20200111155707727</v>
      </c>
      <c r="B5675" t="str">
        <f>"1578729427718586"</f>
        <v>1578729427718586</v>
      </c>
      <c r="C5675" t="s">
        <v>37</v>
      </c>
      <c r="D5675">
        <v>5.4623410000000003</v>
      </c>
      <c r="E5675">
        <v>0.64334740000000001</v>
      </c>
      <c r="F5675" t="s">
        <v>39</v>
      </c>
      <c r="G5675">
        <v>-306.78730000000002</v>
      </c>
      <c r="H5675">
        <v>-0.05</v>
      </c>
      <c r="I5675">
        <v>2.7690730000000001</v>
      </c>
      <c r="J5675">
        <v>-314.96480000000003</v>
      </c>
      <c r="K5675">
        <v>1.056079</v>
      </c>
      <c r="L5675">
        <v>14.740079999999899</v>
      </c>
      <c r="M5675">
        <v>0.90116640000000003</v>
      </c>
      <c r="N5675">
        <v>0</v>
      </c>
      <c r="O5675">
        <v>-0.43306559999999999</v>
      </c>
      <c r="P5675">
        <v>0.81907619999999903</v>
      </c>
      <c r="Q5675">
        <v>-1.47306E-2</v>
      </c>
      <c r="R5675">
        <v>-0.57349569999999905</v>
      </c>
      <c r="S5675">
        <v>1.8265990000000001</v>
      </c>
      <c r="T5675">
        <v>-0.24126199999999901</v>
      </c>
      <c r="U5675">
        <v>-2.6321110000000001</v>
      </c>
      <c r="V5675">
        <v>0.16216439999999999</v>
      </c>
      <c r="W5675">
        <v>1.8523369999999999E-3</v>
      </c>
      <c r="X5675">
        <v>0.98676200000000003</v>
      </c>
      <c r="Y5675">
        <v>0.49332489999999901</v>
      </c>
      <c r="Z5675">
        <v>1.46868E-2</v>
      </c>
      <c r="AA5675">
        <v>0.86972109999999903</v>
      </c>
      <c r="AB5675">
        <v>22</v>
      </c>
      <c r="AC5675">
        <v>8.1775000000000002</v>
      </c>
      <c r="AD5675">
        <v>-1.106079</v>
      </c>
      <c r="AE5675">
        <v>-11.971006999999901</v>
      </c>
      <c r="AF5675">
        <v>7.2058116750172099</v>
      </c>
      <c r="AG5675">
        <v>-1.106079</v>
      </c>
      <c r="AH5675">
        <v>12.483075373630699</v>
      </c>
      <c r="AI5675">
        <v>94.388205944601197</v>
      </c>
      <c r="AJ5675">
        <v>60.004458986679303</v>
      </c>
      <c r="AK5675">
        <v>14.4559435331562</v>
      </c>
    </row>
    <row r="5676" spans="1:37" x14ac:dyDescent="0.2">
      <c r="A5676" t="str">
        <f>"20200111155707743"</f>
        <v>20200111155707743</v>
      </c>
      <c r="B5676" t="str">
        <f>"1578729427738105"</f>
        <v>1578729427738105</v>
      </c>
      <c r="C5676" t="s">
        <v>37</v>
      </c>
      <c r="D5676">
        <v>5.4595029999999998</v>
      </c>
      <c r="E5676">
        <v>0.64443050000000002</v>
      </c>
      <c r="F5676" t="s">
        <v>39</v>
      </c>
      <c r="G5676">
        <v>-307.05849999999998</v>
      </c>
      <c r="H5676">
        <v>-0.05</v>
      </c>
      <c r="I5676">
        <v>3.0941160000000001</v>
      </c>
      <c r="J5676">
        <v>-314.8261</v>
      </c>
      <c r="K5676">
        <v>1.055498</v>
      </c>
      <c r="L5676">
        <v>14.666689999999999</v>
      </c>
      <c r="M5676">
        <v>0.89887450000000002</v>
      </c>
      <c r="N5676">
        <v>0</v>
      </c>
      <c r="O5676">
        <v>-0.43781890000000001</v>
      </c>
      <c r="P5676">
        <v>0.81600430000000002</v>
      </c>
      <c r="Q5676">
        <v>-1.493975E-2</v>
      </c>
      <c r="R5676">
        <v>-0.577852699999999</v>
      </c>
      <c r="S5676">
        <v>1.8008119999999901</v>
      </c>
      <c r="T5676">
        <v>-0.25193009999999999</v>
      </c>
      <c r="U5676">
        <v>-2.6525880000000002</v>
      </c>
      <c r="V5676">
        <v>0.16220950000000001</v>
      </c>
      <c r="W5676">
        <v>1.3025439999999899E-3</v>
      </c>
      <c r="X5676">
        <v>0.98675550000000001</v>
      </c>
      <c r="Y5676">
        <v>0.49762289999999998</v>
      </c>
      <c r="Z5676">
        <v>1.5556520000000001E-2</v>
      </c>
      <c r="AA5676">
        <v>0.86725399999999997</v>
      </c>
      <c r="AB5676">
        <v>22</v>
      </c>
      <c r="AC5676">
        <v>7.7676000000000096</v>
      </c>
      <c r="AD5676">
        <v>-1.1054980000000001</v>
      </c>
      <c r="AE5676">
        <v>-11.572573999999999</v>
      </c>
      <c r="AF5676">
        <v>6.9588977855701</v>
      </c>
      <c r="AG5676">
        <v>-1.1054980000000001</v>
      </c>
      <c r="AH5676">
        <v>11.9754934170405</v>
      </c>
      <c r="AI5676">
        <v>94.563444569897797</v>
      </c>
      <c r="AJ5676">
        <v>59.839348561890702</v>
      </c>
      <c r="AK5676">
        <v>13.894633021407801</v>
      </c>
    </row>
    <row r="5677" spans="1:37" x14ac:dyDescent="0.2">
      <c r="A5677" t="str">
        <f>"20200111155707755"</f>
        <v>20200111155707755</v>
      </c>
      <c r="B5677" t="str">
        <f>"1578729427748841"</f>
        <v>1578729427748841</v>
      </c>
      <c r="C5677" t="s">
        <v>37</v>
      </c>
      <c r="D5677">
        <v>5.4538799999999998</v>
      </c>
      <c r="E5677">
        <v>0.64502590000000004</v>
      </c>
      <c r="F5677" t="s">
        <v>39</v>
      </c>
      <c r="G5677">
        <v>-307.17779999999999</v>
      </c>
      <c r="H5677">
        <v>-0.05</v>
      </c>
      <c r="I5677">
        <v>3.20932</v>
      </c>
      <c r="J5677">
        <v>-314.71629999999999</v>
      </c>
      <c r="K5677">
        <v>1.055064</v>
      </c>
      <c r="L5677">
        <v>14.60791</v>
      </c>
      <c r="M5677">
        <v>0.89703279999999996</v>
      </c>
      <c r="N5677">
        <v>0</v>
      </c>
      <c r="O5677">
        <v>-0.44159199999999998</v>
      </c>
      <c r="P5677">
        <v>0.81362769999999995</v>
      </c>
      <c r="Q5677">
        <v>-1.4689570000000001E-2</v>
      </c>
      <c r="R5677">
        <v>-0.58120119999999997</v>
      </c>
      <c r="S5677">
        <v>1.781677</v>
      </c>
      <c r="T5677">
        <v>-0.2575268</v>
      </c>
      <c r="U5677">
        <v>-2.669006</v>
      </c>
      <c r="V5677">
        <v>0.16211800000000001</v>
      </c>
      <c r="W5677">
        <v>1.295392E-3</v>
      </c>
      <c r="X5677">
        <v>0.98677049999999999</v>
      </c>
      <c r="Y5677">
        <v>0.50073869999999998</v>
      </c>
      <c r="Z5677">
        <v>1.608938E-2</v>
      </c>
      <c r="AA5677">
        <v>0.86544900000000002</v>
      </c>
      <c r="AB5677">
        <v>22</v>
      </c>
      <c r="AC5677">
        <v>7.5384999999999902</v>
      </c>
      <c r="AD5677">
        <v>-1.105064</v>
      </c>
      <c r="AE5677">
        <v>-11.39859</v>
      </c>
      <c r="AF5677">
        <v>6.8522954892114001</v>
      </c>
      <c r="AG5677">
        <v>-1.105064</v>
      </c>
      <c r="AH5677">
        <v>11.7211047956049</v>
      </c>
      <c r="AI5677">
        <v>94.653139420541294</v>
      </c>
      <c r="AJ5677">
        <v>59.688942331413102</v>
      </c>
      <c r="AK5677">
        <v>13.622019583935201</v>
      </c>
    </row>
    <row r="5678" spans="1:37" x14ac:dyDescent="0.2">
      <c r="A5678" t="str">
        <f>"20200111155707768"</f>
        <v>20200111155707768</v>
      </c>
      <c r="B5678" t="str">
        <f>"1578729427758602"</f>
        <v>1578729427758602</v>
      </c>
      <c r="C5678" t="s">
        <v>37</v>
      </c>
      <c r="D5678">
        <v>5.4196089999999897</v>
      </c>
      <c r="E5678">
        <v>0.64555669999999898</v>
      </c>
      <c r="F5678" t="s">
        <v>39</v>
      </c>
      <c r="G5678">
        <v>-307.23950000000002</v>
      </c>
      <c r="H5678">
        <v>-0.05</v>
      </c>
      <c r="I5678">
        <v>3.2730410000000001</v>
      </c>
      <c r="J5678">
        <v>-314.6096</v>
      </c>
      <c r="K5678">
        <v>1.0546719999999901</v>
      </c>
      <c r="L5678">
        <v>14.55011</v>
      </c>
      <c r="M5678">
        <v>0.89521830000000002</v>
      </c>
      <c r="N5678">
        <v>0</v>
      </c>
      <c r="O5678">
        <v>-0.44526949999999998</v>
      </c>
      <c r="P5678">
        <v>0.81128699999999998</v>
      </c>
      <c r="Q5678">
        <v>-1.406174E-2</v>
      </c>
      <c r="R5678">
        <v>-0.58447919999999998</v>
      </c>
      <c r="S5678">
        <v>1.767914</v>
      </c>
      <c r="T5678">
        <v>-0.2612969</v>
      </c>
      <c r="U5678">
        <v>-2.6801759999999999</v>
      </c>
      <c r="V5678">
        <v>0.16205169999999999</v>
      </c>
      <c r="W5678">
        <v>1.6868739999999899E-3</v>
      </c>
      <c r="X5678">
        <v>0.98678080000000001</v>
      </c>
      <c r="Y5678">
        <v>0.5019441</v>
      </c>
      <c r="Z5678">
        <v>1.6599269999999999E-2</v>
      </c>
      <c r="AA5678">
        <v>0.86474079999999998</v>
      </c>
      <c r="AB5678">
        <v>22</v>
      </c>
      <c r="AC5678">
        <v>7.3700999999999697</v>
      </c>
      <c r="AD5678">
        <v>-1.1046719999999901</v>
      </c>
      <c r="AE5678">
        <v>-11.277068999999999</v>
      </c>
      <c r="AF5678">
        <v>6.7693303891740602</v>
      </c>
      <c r="AG5678">
        <v>-1.1046719999999901</v>
      </c>
      <c r="AH5678">
        <v>11.5434232818087</v>
      </c>
      <c r="AI5678">
        <v>94.719060690399004</v>
      </c>
      <c r="AJ5678">
        <v>59.611654259883601</v>
      </c>
      <c r="AK5678">
        <v>13.4273882497074</v>
      </c>
    </row>
    <row r="5679" spans="1:37" x14ac:dyDescent="0.2">
      <c r="A5679" t="str">
        <f>"20200111155707783"</f>
        <v>20200111155707783</v>
      </c>
      <c r="B5679" t="str">
        <f>"1578729427778121"</f>
        <v>1578729427778121</v>
      </c>
      <c r="C5679" t="s">
        <v>37</v>
      </c>
      <c r="D5679">
        <v>5.4686199999999996</v>
      </c>
      <c r="E5679">
        <v>0.64603949999999999</v>
      </c>
      <c r="F5679" t="s">
        <v>39</v>
      </c>
      <c r="G5679">
        <v>-307.24160000000001</v>
      </c>
      <c r="H5679">
        <v>-0.05</v>
      </c>
      <c r="I5679">
        <v>3.2547759999999899</v>
      </c>
      <c r="J5679">
        <v>-314.48719999999997</v>
      </c>
      <c r="K5679">
        <v>1.054243</v>
      </c>
      <c r="L5679">
        <v>14.48334</v>
      </c>
      <c r="M5679">
        <v>0.89311059999999998</v>
      </c>
      <c r="N5679">
        <v>0</v>
      </c>
      <c r="O5679">
        <v>-0.44949269999999902</v>
      </c>
      <c r="P5679">
        <v>0.80851779999999995</v>
      </c>
      <c r="Q5679">
        <v>-1.3899409999999999E-2</v>
      </c>
      <c r="R5679">
        <v>-0.58830769999999899</v>
      </c>
      <c r="S5679">
        <v>1.754974</v>
      </c>
      <c r="T5679">
        <v>-0.26312089999999999</v>
      </c>
      <c r="U5679">
        <v>-2.6904300000000001</v>
      </c>
      <c r="V5679">
        <v>0.16205539999999999</v>
      </c>
      <c r="W5679">
        <v>1.5857849999999999E-3</v>
      </c>
      <c r="X5679">
        <v>0.9867804</v>
      </c>
      <c r="Y5679">
        <v>0.50229550000000001</v>
      </c>
      <c r="Z5679">
        <v>1.708262E-2</v>
      </c>
      <c r="AA5679">
        <v>0.8645273</v>
      </c>
      <c r="AB5679">
        <v>22</v>
      </c>
      <c r="AC5679">
        <v>7.2455999999999596</v>
      </c>
      <c r="AD5679">
        <v>-1.1042430000000001</v>
      </c>
      <c r="AE5679">
        <v>-11.228564</v>
      </c>
      <c r="AF5679">
        <v>6.7266243996184798</v>
      </c>
      <c r="AG5679">
        <v>-1.1042430000000001</v>
      </c>
      <c r="AH5679">
        <v>11.4419377663276</v>
      </c>
      <c r="AI5679">
        <v>94.755847764624605</v>
      </c>
      <c r="AJ5679">
        <v>59.549067512646303</v>
      </c>
      <c r="AK5679">
        <v>13.3185873224267</v>
      </c>
    </row>
    <row r="5680" spans="1:37" x14ac:dyDescent="0.2">
      <c r="A5680" t="str">
        <f>"20200111155707793"</f>
        <v>20200111155707793</v>
      </c>
      <c r="B5680" t="str">
        <f>"1578729427788857"</f>
        <v>1578729427788857</v>
      </c>
      <c r="C5680" t="s">
        <v>37</v>
      </c>
      <c r="D5680">
        <v>5.4805000000000001</v>
      </c>
      <c r="E5680">
        <v>0.64631240000000001</v>
      </c>
      <c r="F5680" t="s">
        <v>39</v>
      </c>
      <c r="G5680">
        <v>-307.43599999999998</v>
      </c>
      <c r="H5680">
        <v>-0.05</v>
      </c>
      <c r="I5680">
        <v>3.5349430000000002</v>
      </c>
      <c r="J5680">
        <v>-314.3775</v>
      </c>
      <c r="K5680">
        <v>1.053884</v>
      </c>
      <c r="L5680">
        <v>14.422700000000001</v>
      </c>
      <c r="M5680">
        <v>0.89118909999999996</v>
      </c>
      <c r="N5680">
        <v>0</v>
      </c>
      <c r="O5680">
        <v>-0.45329949999999902</v>
      </c>
      <c r="P5680">
        <v>0.80602259999999903</v>
      </c>
      <c r="Q5680">
        <v>-1.367999E-2</v>
      </c>
      <c r="R5680">
        <v>-0.59172650000000004</v>
      </c>
      <c r="S5680">
        <v>1.73996</v>
      </c>
      <c r="T5680">
        <v>-0.2724837</v>
      </c>
      <c r="U5680">
        <v>-2.70162999999999</v>
      </c>
      <c r="V5680">
        <v>0.1620241</v>
      </c>
      <c r="W5680">
        <v>1.58197E-3</v>
      </c>
      <c r="X5680">
        <v>0.98678549999999998</v>
      </c>
      <c r="Y5680">
        <v>0.50362580000000001</v>
      </c>
      <c r="Z5680">
        <v>1.798479E-2</v>
      </c>
      <c r="AA5680">
        <v>0.86373469999999997</v>
      </c>
      <c r="AB5680">
        <v>22</v>
      </c>
      <c r="AC5680">
        <v>6.9415000000000102</v>
      </c>
      <c r="AD5680">
        <v>-1.1038840000000001</v>
      </c>
      <c r="AE5680">
        <v>-10.887757000000001</v>
      </c>
      <c r="AF5680">
        <v>6.5098819924423497</v>
      </c>
      <c r="AG5680">
        <v>-1.1038840000000001</v>
      </c>
      <c r="AH5680">
        <v>11.042574501145999</v>
      </c>
      <c r="AI5680">
        <v>94.921921400421198</v>
      </c>
      <c r="AJ5680">
        <v>59.479555582750798</v>
      </c>
      <c r="AK5680">
        <v>12.866062919725699</v>
      </c>
    </row>
    <row r="5681" spans="1:37" x14ac:dyDescent="0.2">
      <c r="A5681" t="str">
        <f>"20200111155707806"</f>
        <v>20200111155707806</v>
      </c>
      <c r="B5681" t="str">
        <f>"1578729427798618"</f>
        <v>1578729427798618</v>
      </c>
      <c r="C5681" t="s">
        <v>37</v>
      </c>
      <c r="D5681">
        <v>5.4488000000000003</v>
      </c>
      <c r="E5681">
        <v>0.64658579999999999</v>
      </c>
      <c r="F5681" t="s">
        <v>39</v>
      </c>
      <c r="G5681">
        <v>-307.41309999999999</v>
      </c>
      <c r="H5681">
        <v>-0.05</v>
      </c>
      <c r="I5681">
        <v>3.494186</v>
      </c>
      <c r="J5681">
        <v>-314.2747</v>
      </c>
      <c r="K5681">
        <v>1.053572</v>
      </c>
      <c r="L5681">
        <v>14.3653</v>
      </c>
      <c r="M5681">
        <v>0.88936159999999997</v>
      </c>
      <c r="N5681">
        <v>0</v>
      </c>
      <c r="O5681">
        <v>-0.45688269999999997</v>
      </c>
      <c r="P5681">
        <v>0.80354720000000002</v>
      </c>
      <c r="Q5681">
        <v>-1.3638630000000001E-2</v>
      </c>
      <c r="R5681">
        <v>-0.59508509999999903</v>
      </c>
      <c r="S5681">
        <v>1.7273860000000001</v>
      </c>
      <c r="T5681">
        <v>-0.2737965</v>
      </c>
      <c r="U5681">
        <v>-2.7106020000000002</v>
      </c>
      <c r="V5681">
        <v>0.16217019999999999</v>
      </c>
      <c r="W5681">
        <v>1.4236609999999999E-3</v>
      </c>
      <c r="X5681">
        <v>0.98676169999999996</v>
      </c>
      <c r="Y5681">
        <v>0.50430180000000002</v>
      </c>
      <c r="Z5681">
        <v>1.8381399999999999E-2</v>
      </c>
      <c r="AA5681">
        <v>0.86333189999999904</v>
      </c>
      <c r="AB5681">
        <v>22</v>
      </c>
      <c r="AC5681">
        <v>6.8616000000000099</v>
      </c>
      <c r="AD5681">
        <v>-1.103572</v>
      </c>
      <c r="AE5681">
        <v>-10.871114</v>
      </c>
      <c r="AF5681">
        <v>6.4865646185113501</v>
      </c>
      <c r="AG5681">
        <v>-1.103572</v>
      </c>
      <c r="AH5681">
        <v>10.9899078134661</v>
      </c>
      <c r="AI5681">
        <v>94.942486889303197</v>
      </c>
      <c r="AJ5681">
        <v>59.449654396880398</v>
      </c>
      <c r="AK5681">
        <v>12.8090384283049</v>
      </c>
    </row>
    <row r="5682" spans="1:37" x14ac:dyDescent="0.2">
      <c r="A5682" t="str">
        <f>"20200111155707821"</f>
        <v>20200111155707821</v>
      </c>
      <c r="B5682" t="str">
        <f>"1578729427818137"</f>
        <v>1578729427818137</v>
      </c>
      <c r="C5682" t="s">
        <v>37</v>
      </c>
      <c r="D5682">
        <v>5.4298890000000002</v>
      </c>
      <c r="E5682">
        <v>0.64692539999999998</v>
      </c>
      <c r="F5682" t="s">
        <v>39</v>
      </c>
      <c r="G5682">
        <v>-307.44900000000001</v>
      </c>
      <c r="H5682">
        <v>-0.05</v>
      </c>
      <c r="I5682">
        <v>3.540222</v>
      </c>
      <c r="J5682">
        <v>-314.1481</v>
      </c>
      <c r="K5682">
        <v>1.0532059999999901</v>
      </c>
      <c r="L5682">
        <v>14.29391</v>
      </c>
      <c r="M5682">
        <v>0.8870749</v>
      </c>
      <c r="N5682">
        <v>0</v>
      </c>
      <c r="O5682">
        <v>-0.46131549999999999</v>
      </c>
      <c r="P5682">
        <v>0.79989809999999995</v>
      </c>
      <c r="Q5682">
        <v>-1.421064E-2</v>
      </c>
      <c r="R5682">
        <v>-0.59996780000000005</v>
      </c>
      <c r="S5682">
        <v>1.7147829999999999</v>
      </c>
      <c r="T5682">
        <v>-0.27724320000000002</v>
      </c>
      <c r="U5682">
        <v>-2.7195130000000001</v>
      </c>
      <c r="V5682">
        <v>0.16325209999999901</v>
      </c>
      <c r="W5682">
        <v>6.030241E-4</v>
      </c>
      <c r="X5682">
        <v>0.98658419999999902</v>
      </c>
      <c r="Y5682">
        <v>0.50414110000000001</v>
      </c>
      <c r="Z5682">
        <v>1.9049420000000001E-2</v>
      </c>
      <c r="AA5682">
        <v>0.86341119999999905</v>
      </c>
      <c r="AB5682">
        <v>22</v>
      </c>
      <c r="AC5682">
        <v>6.6990999999999801</v>
      </c>
      <c r="AD5682">
        <v>-1.1032059999999999</v>
      </c>
      <c r="AE5682">
        <v>-10.753688</v>
      </c>
      <c r="AF5682">
        <v>6.40131597133567</v>
      </c>
      <c r="AG5682">
        <v>-1.1032059999999999</v>
      </c>
      <c r="AH5682">
        <v>10.8229468928527</v>
      </c>
      <c r="AI5682">
        <v>95.014005495854903</v>
      </c>
      <c r="AJ5682">
        <v>59.397478044665299</v>
      </c>
      <c r="AK5682">
        <v>12.6226023104914</v>
      </c>
    </row>
    <row r="5683" spans="1:37" x14ac:dyDescent="0.2">
      <c r="A5683" t="str">
        <f>"20200111155707832"</f>
        <v>20200111155707832</v>
      </c>
      <c r="B5683" t="str">
        <f>"1578729427828873"</f>
        <v>1578729427828873</v>
      </c>
      <c r="C5683" t="s">
        <v>37</v>
      </c>
      <c r="D5683">
        <v>5.4778669999999998</v>
      </c>
      <c r="E5683">
        <v>0.64701090000000006</v>
      </c>
      <c r="F5683" t="s">
        <v>39</v>
      </c>
      <c r="G5683">
        <v>-307.54790000000003</v>
      </c>
      <c r="H5683">
        <v>-0.05</v>
      </c>
      <c r="I5683">
        <v>3.6648099999999899</v>
      </c>
      <c r="J5683">
        <v>-314.04309999999998</v>
      </c>
      <c r="K5683">
        <v>1.0529329999999999</v>
      </c>
      <c r="L5683">
        <v>14.233979999999899</v>
      </c>
      <c r="M5683">
        <v>0.88514340000000002</v>
      </c>
      <c r="N5683">
        <v>0</v>
      </c>
      <c r="O5683">
        <v>-0.46501700000000001</v>
      </c>
      <c r="P5683">
        <v>0.79709430000000003</v>
      </c>
      <c r="Q5683">
        <v>-1.4491189999999999E-2</v>
      </c>
      <c r="R5683">
        <v>-0.60368100000000002</v>
      </c>
      <c r="S5683">
        <v>1.6963809999999999</v>
      </c>
      <c r="T5683">
        <v>-0.28354750000000001</v>
      </c>
      <c r="U5683">
        <v>-2.731903</v>
      </c>
      <c r="V5683">
        <v>0.16371720000000001</v>
      </c>
      <c r="W5683">
        <v>1.371547E-4</v>
      </c>
      <c r="X5683">
        <v>0.98650729999999998</v>
      </c>
      <c r="Y5683">
        <v>0.50647889999999995</v>
      </c>
      <c r="Z5683">
        <v>1.9734399999999999E-2</v>
      </c>
      <c r="AA5683">
        <v>0.86202649999999903</v>
      </c>
      <c r="AB5683">
        <v>22</v>
      </c>
      <c r="AC5683">
        <v>6.4951999999999499</v>
      </c>
      <c r="AD5683">
        <v>-1.1029329999999999</v>
      </c>
      <c r="AE5683">
        <v>-10.56917</v>
      </c>
      <c r="AF5683">
        <v>6.2860527919344698</v>
      </c>
      <c r="AG5683">
        <v>-1.1029329999999999</v>
      </c>
      <c r="AH5683">
        <v>10.581877947116901</v>
      </c>
      <c r="AI5683">
        <v>95.120595749052796</v>
      </c>
      <c r="AJ5683">
        <v>59.288018084387097</v>
      </c>
      <c r="AK5683">
        <v>12.357469878302499</v>
      </c>
    </row>
    <row r="5684" spans="1:37" x14ac:dyDescent="0.2">
      <c r="A5684" t="str">
        <f>"20200111155707844"</f>
        <v>20200111155707844</v>
      </c>
      <c r="B5684" t="str">
        <f>"1578729427838633"</f>
        <v>1578729427838633</v>
      </c>
      <c r="C5684" t="s">
        <v>37</v>
      </c>
      <c r="D5684">
        <v>5.4727959999999998</v>
      </c>
      <c r="E5684">
        <v>0.64708719999999997</v>
      </c>
      <c r="F5684" t="s">
        <v>39</v>
      </c>
      <c r="G5684">
        <v>-307.57929999999999</v>
      </c>
      <c r="H5684">
        <v>-0.05</v>
      </c>
      <c r="I5684">
        <v>3.7110750000000001</v>
      </c>
      <c r="J5684">
        <v>-313.94810000000001</v>
      </c>
      <c r="K5684">
        <v>1.0527010000000001</v>
      </c>
      <c r="L5684">
        <v>14.179259999999999</v>
      </c>
      <c r="M5684">
        <v>0.88337080000000001</v>
      </c>
      <c r="N5684">
        <v>0</v>
      </c>
      <c r="O5684">
        <v>-0.46838180000000001</v>
      </c>
      <c r="P5684">
        <v>0.79442849999999998</v>
      </c>
      <c r="Q5684">
        <v>-1.468087E-2</v>
      </c>
      <c r="R5684">
        <v>-0.60718079999999996</v>
      </c>
      <c r="S5684">
        <v>1.6831669999999901</v>
      </c>
      <c r="T5684">
        <v>-0.28720119999999999</v>
      </c>
      <c r="U5684">
        <v>-2.7401430000000002</v>
      </c>
      <c r="V5684">
        <v>0.164300799999999</v>
      </c>
      <c r="W5684">
        <v>-2.150966E-4</v>
      </c>
      <c r="X5684">
        <v>0.98641029999999996</v>
      </c>
      <c r="Y5684">
        <v>0.50737390000000004</v>
      </c>
      <c r="Z5684">
        <v>2.02858E-2</v>
      </c>
      <c r="AA5684">
        <v>0.86148729999999996</v>
      </c>
      <c r="AB5684">
        <v>22</v>
      </c>
      <c r="AC5684">
        <v>6.3688000000000198</v>
      </c>
      <c r="AD5684">
        <v>-1.1027009999999999</v>
      </c>
      <c r="AE5684">
        <v>-10.468185</v>
      </c>
      <c r="AF5684">
        <v>6.2147883206368597</v>
      </c>
      <c r="AG5684">
        <v>-1.1027009999999999</v>
      </c>
      <c r="AH5684">
        <v>10.445967842947899</v>
      </c>
      <c r="AI5684">
        <v>95.183718769293193</v>
      </c>
      <c r="AJ5684">
        <v>59.249633297711199</v>
      </c>
      <c r="AK5684">
        <v>12.2048264035842</v>
      </c>
    </row>
    <row r="5685" spans="1:37" x14ac:dyDescent="0.2">
      <c r="A5685" t="str">
        <f>"20200111155707857"</f>
        <v>20200111155707857</v>
      </c>
      <c r="B5685" t="str">
        <f>"1578729427848393"</f>
        <v>1578729427848393</v>
      </c>
      <c r="C5685" t="s">
        <v>37</v>
      </c>
      <c r="D5685">
        <v>5.5016030000000002</v>
      </c>
      <c r="E5685">
        <v>0.64712700000000001</v>
      </c>
      <c r="F5685" t="s">
        <v>39</v>
      </c>
      <c r="G5685">
        <v>-307.58760000000001</v>
      </c>
      <c r="H5685">
        <v>-0.05</v>
      </c>
      <c r="I5685">
        <v>3.7174070000000001</v>
      </c>
      <c r="J5685">
        <v>-313.83699999999999</v>
      </c>
      <c r="K5685">
        <v>1.052441</v>
      </c>
      <c r="L5685">
        <v>14.11478</v>
      </c>
      <c r="M5685">
        <v>0.88127040000000001</v>
      </c>
      <c r="N5685">
        <v>0</v>
      </c>
      <c r="O5685">
        <v>-0.47232740000000001</v>
      </c>
      <c r="P5685">
        <v>0.79141619999999901</v>
      </c>
      <c r="Q5685">
        <v>-1.5104360000000001E-2</v>
      </c>
      <c r="R5685">
        <v>-0.61109069999999899</v>
      </c>
      <c r="S5685">
        <v>1.67068499999999</v>
      </c>
      <c r="T5685">
        <v>-0.28964050000000002</v>
      </c>
      <c r="U5685">
        <v>-2.7479550000000001</v>
      </c>
      <c r="V5685">
        <v>0.16475239999999999</v>
      </c>
      <c r="W5685">
        <v>-8.1655759999999997E-4</v>
      </c>
      <c r="X5685">
        <v>0.98633459999999995</v>
      </c>
      <c r="Y5685">
        <v>0.50747330000000002</v>
      </c>
      <c r="Z5685">
        <v>2.0857110000000002E-2</v>
      </c>
      <c r="AA5685">
        <v>0.86141499999999904</v>
      </c>
      <c r="AB5685">
        <v>22</v>
      </c>
      <c r="AC5685">
        <v>6.2493999999999801</v>
      </c>
      <c r="AD5685">
        <v>-1.102441</v>
      </c>
      <c r="AE5685">
        <v>-10.397373</v>
      </c>
      <c r="AF5685">
        <v>6.1610872087106996</v>
      </c>
      <c r="AG5685">
        <v>-1.102441</v>
      </c>
      <c r="AH5685">
        <v>10.3344280146956</v>
      </c>
      <c r="AI5685">
        <v>95.235324217382896</v>
      </c>
      <c r="AJ5685">
        <v>59.197825115085898</v>
      </c>
      <c r="AK5685">
        <v>12.082002075101</v>
      </c>
    </row>
    <row r="5686" spans="1:37" x14ac:dyDescent="0.2">
      <c r="A5686" t="str">
        <f>"20200111155707869"</f>
        <v>20200111155707869</v>
      </c>
      <c r="B5686" t="str">
        <f>"1578729427858153"</f>
        <v>1578729427858153</v>
      </c>
      <c r="C5686" t="s">
        <v>37</v>
      </c>
      <c r="D5686">
        <v>5.5149189999999999</v>
      </c>
      <c r="E5686">
        <v>0.64720919999999904</v>
      </c>
      <c r="F5686" t="s">
        <v>39</v>
      </c>
      <c r="G5686">
        <v>-307.59050000000002</v>
      </c>
      <c r="H5686">
        <v>-0.05</v>
      </c>
      <c r="I5686">
        <v>3.7237239999999998</v>
      </c>
      <c r="J5686">
        <v>-313.73169999999999</v>
      </c>
      <c r="K5686">
        <v>1.0522290000000001</v>
      </c>
      <c r="L5686">
        <v>14.052759999999999</v>
      </c>
      <c r="M5686">
        <v>0.87924269999999904</v>
      </c>
      <c r="N5686">
        <v>0</v>
      </c>
      <c r="O5686">
        <v>-0.476097099999999</v>
      </c>
      <c r="P5686">
        <v>0.78825690000000004</v>
      </c>
      <c r="Q5686">
        <v>-1.546174E-2</v>
      </c>
      <c r="R5686">
        <v>-0.61515240000000004</v>
      </c>
      <c r="S5686">
        <v>1.6568909999999999</v>
      </c>
      <c r="T5686">
        <v>-0.29242240000000003</v>
      </c>
      <c r="U5686">
        <v>-2.7562259999999998</v>
      </c>
      <c r="V5686">
        <v>0.16559889999999999</v>
      </c>
      <c r="W5686">
        <v>-1.334472E-3</v>
      </c>
      <c r="X5686">
        <v>0.98619230000000002</v>
      </c>
      <c r="Y5686">
        <v>0.50809689999999996</v>
      </c>
      <c r="Z5686">
        <v>2.1417700000000001E-2</v>
      </c>
      <c r="AA5686">
        <v>0.86103359999999995</v>
      </c>
      <c r="AB5686">
        <v>22</v>
      </c>
      <c r="AC5686">
        <v>6.1411999999999596</v>
      </c>
      <c r="AD5686">
        <v>-1.1022289999999999</v>
      </c>
      <c r="AE5686">
        <v>-10.329036</v>
      </c>
      <c r="AF5686">
        <v>6.1073514681159002</v>
      </c>
      <c r="AG5686">
        <v>-1.1022289999999999</v>
      </c>
      <c r="AH5686">
        <v>10.232501474191199</v>
      </c>
      <c r="AI5686">
        <v>95.284579996887103</v>
      </c>
      <c r="AJ5686">
        <v>59.1687925220102</v>
      </c>
      <c r="AK5686">
        <v>11.967403107728201</v>
      </c>
    </row>
    <row r="5687" spans="1:37" x14ac:dyDescent="0.2">
      <c r="A5687" t="str">
        <f>"20200111155707883"</f>
        <v>20200111155707883</v>
      </c>
      <c r="B5687" t="str">
        <f>"1578729427878649"</f>
        <v>1578729427878649</v>
      </c>
      <c r="C5687" t="s">
        <v>37</v>
      </c>
      <c r="D5687">
        <v>5.3752079999999998</v>
      </c>
      <c r="E5687">
        <v>0.64740949999999997</v>
      </c>
      <c r="F5687" t="s">
        <v>39</v>
      </c>
      <c r="G5687">
        <v>-307.58550000000002</v>
      </c>
      <c r="H5687">
        <v>-0.05</v>
      </c>
      <c r="I5687">
        <v>3.7029879999999999</v>
      </c>
      <c r="J5687">
        <v>-313.61919999999998</v>
      </c>
      <c r="K5687">
        <v>1.052014</v>
      </c>
      <c r="L5687">
        <v>13.986050000000001</v>
      </c>
      <c r="M5687">
        <v>0.87704649999999995</v>
      </c>
      <c r="N5687">
        <v>0</v>
      </c>
      <c r="O5687">
        <v>-0.48013529999999999</v>
      </c>
      <c r="P5687">
        <v>0.78492709999999999</v>
      </c>
      <c r="Q5687">
        <v>-1.5512450000000001E-2</v>
      </c>
      <c r="R5687">
        <v>-0.61939390000000005</v>
      </c>
      <c r="S5687">
        <v>1.64212</v>
      </c>
      <c r="T5687">
        <v>-0.29449059999999999</v>
      </c>
      <c r="U5687">
        <v>-2.765228</v>
      </c>
      <c r="V5687">
        <v>0.1663808</v>
      </c>
      <c r="W5687">
        <v>-1.548427E-3</v>
      </c>
      <c r="X5687">
        <v>0.98606039999999995</v>
      </c>
      <c r="Y5687">
        <v>0.50877490000000003</v>
      </c>
      <c r="Z5687">
        <v>2.1956920000000001E-2</v>
      </c>
      <c r="AA5687">
        <v>0.86061949999999998</v>
      </c>
      <c r="AB5687">
        <v>22</v>
      </c>
      <c r="AC5687">
        <v>6.0336999999999499</v>
      </c>
      <c r="AD5687">
        <v>-1.102014</v>
      </c>
      <c r="AE5687">
        <v>-10.283061999999999</v>
      </c>
      <c r="AF5687">
        <v>6.0706609076981302</v>
      </c>
      <c r="AG5687">
        <v>-1.102014</v>
      </c>
      <c r="AH5687">
        <v>10.1437607441915</v>
      </c>
      <c r="AI5687">
        <v>95.325769656882798</v>
      </c>
      <c r="AJ5687">
        <v>59.1010590763333</v>
      </c>
      <c r="AK5687">
        <v>11.8727941424018</v>
      </c>
    </row>
    <row r="5688" spans="1:37" x14ac:dyDescent="0.2">
      <c r="A5688" t="str">
        <f>"20200111155707895"</f>
        <v>20200111155707895</v>
      </c>
      <c r="B5688" t="str">
        <f>"1578729427888410"</f>
        <v>1578729427888410</v>
      </c>
      <c r="C5688" t="s">
        <v>37</v>
      </c>
      <c r="D5688">
        <v>5.4211539999999996</v>
      </c>
      <c r="E5688">
        <v>0.64719589999999905</v>
      </c>
      <c r="F5688" t="s">
        <v>39</v>
      </c>
      <c r="G5688">
        <v>-307.584</v>
      </c>
      <c r="H5688">
        <v>-0.05</v>
      </c>
      <c r="I5688">
        <v>3.6868589999999899</v>
      </c>
      <c r="J5688">
        <v>-313.51069999999999</v>
      </c>
      <c r="K5688">
        <v>1.0518289999999999</v>
      </c>
      <c r="L5688">
        <v>13.92099</v>
      </c>
      <c r="M5688">
        <v>0.87489530000000004</v>
      </c>
      <c r="N5688">
        <v>0</v>
      </c>
      <c r="O5688">
        <v>-0.4840488</v>
      </c>
      <c r="P5688">
        <v>0.78156789999999998</v>
      </c>
      <c r="Q5688">
        <v>-1.5451299999999999E-2</v>
      </c>
      <c r="R5688">
        <v>-0.62362879999999998</v>
      </c>
      <c r="S5688">
        <v>1.6262209999999999</v>
      </c>
      <c r="T5688">
        <v>-0.29694389999999998</v>
      </c>
      <c r="U5688">
        <v>-2.7751769999999998</v>
      </c>
      <c r="V5688">
        <v>0.1673065</v>
      </c>
      <c r="W5688">
        <v>-1.637517E-3</v>
      </c>
      <c r="X5688">
        <v>0.98590359999999999</v>
      </c>
      <c r="Y5688">
        <v>0.50995069999999998</v>
      </c>
      <c r="Z5688">
        <v>2.2490699999999999E-2</v>
      </c>
      <c r="AA5688">
        <v>0.85990949999999899</v>
      </c>
      <c r="AB5688">
        <v>22</v>
      </c>
      <c r="AC5688">
        <v>5.9266999999999799</v>
      </c>
      <c r="AD5688">
        <v>-1.1018289999999999</v>
      </c>
      <c r="AE5688">
        <v>-10.234131</v>
      </c>
      <c r="AF5688">
        <v>6.0333865705331897</v>
      </c>
      <c r="AG5688">
        <v>-1.1018289999999999</v>
      </c>
      <c r="AH5688">
        <v>10.0530917686267</v>
      </c>
      <c r="AI5688">
        <v>95.368647914209504</v>
      </c>
      <c r="AJ5688">
        <v>59.029825839889398</v>
      </c>
      <c r="AK5688">
        <v>11.776265739323399</v>
      </c>
    </row>
    <row r="5689" spans="1:37" x14ac:dyDescent="0.2">
      <c r="A5689" t="str">
        <f>"20200111155707910"</f>
        <v>20200111155707910</v>
      </c>
      <c r="B5689" t="str">
        <f>"1578729427898169"</f>
        <v>1578729427898169</v>
      </c>
      <c r="C5689" t="s">
        <v>37</v>
      </c>
      <c r="D5689">
        <v>5.4384319999999997</v>
      </c>
      <c r="E5689">
        <v>0.64680280000000001</v>
      </c>
      <c r="F5689" t="s">
        <v>39</v>
      </c>
      <c r="G5689">
        <v>-307.5059</v>
      </c>
      <c r="H5689">
        <v>-0.05</v>
      </c>
      <c r="I5689">
        <v>3.557175</v>
      </c>
      <c r="J5689">
        <v>-313.38839999999999</v>
      </c>
      <c r="K5689">
        <v>1.051644</v>
      </c>
      <c r="L5689">
        <v>13.84665</v>
      </c>
      <c r="M5689">
        <v>0.87242710000000001</v>
      </c>
      <c r="N5689">
        <v>0</v>
      </c>
      <c r="O5689">
        <v>-0.48848809999999898</v>
      </c>
      <c r="P5689">
        <v>0.7769684</v>
      </c>
      <c r="Q5689">
        <v>-1.537284E-2</v>
      </c>
      <c r="R5689">
        <v>-0.62935229999999998</v>
      </c>
      <c r="S5689">
        <v>1.612274</v>
      </c>
      <c r="T5689">
        <v>-0.29583799999999999</v>
      </c>
      <c r="U5689">
        <v>-2.782654</v>
      </c>
      <c r="V5689">
        <v>0.16953660000000001</v>
      </c>
      <c r="W5689">
        <v>-1.733257E-3</v>
      </c>
      <c r="X5689">
        <v>0.98552240000000002</v>
      </c>
      <c r="Y5689">
        <v>0.50982479999999997</v>
      </c>
      <c r="Z5689">
        <v>2.288668E-2</v>
      </c>
      <c r="AA5689">
        <v>0.85997380000000001</v>
      </c>
      <c r="AB5689">
        <v>22</v>
      </c>
      <c r="AC5689">
        <v>5.8824999999999896</v>
      </c>
      <c r="AD5689">
        <v>-1.1016440000000001</v>
      </c>
      <c r="AE5689">
        <v>-10.289474999999999</v>
      </c>
      <c r="AF5689">
        <v>6.0517668091377397</v>
      </c>
      <c r="AG5689">
        <v>-1.1016440000000001</v>
      </c>
      <c r="AH5689">
        <v>10.072590402366901</v>
      </c>
      <c r="AI5689">
        <v>95.355863048729105</v>
      </c>
      <c r="AJ5689">
        <v>59.001906236889504</v>
      </c>
      <c r="AK5689">
        <v>11.802312418707199</v>
      </c>
    </row>
    <row r="5690" spans="1:37" x14ac:dyDescent="0.2">
      <c r="A5690" t="str">
        <f>"20200111155707922"</f>
        <v>20200111155707922</v>
      </c>
      <c r="B5690" t="str">
        <f>"1578729427918666"</f>
        <v>1578729427918666</v>
      </c>
      <c r="C5690" t="s">
        <v>37</v>
      </c>
      <c r="D5690">
        <v>5.4551730000000003</v>
      </c>
      <c r="E5690">
        <v>0.63324049999999998</v>
      </c>
      <c r="F5690" t="s">
        <v>39</v>
      </c>
      <c r="G5690">
        <v>-307.3854</v>
      </c>
      <c r="H5690">
        <v>-0.05</v>
      </c>
      <c r="I5690">
        <v>3.330276</v>
      </c>
      <c r="J5690">
        <v>-313.28480000000002</v>
      </c>
      <c r="K5690">
        <v>1.0514969999999999</v>
      </c>
      <c r="L5690">
        <v>13.783200000000001</v>
      </c>
      <c r="M5690">
        <v>0.87030909999999995</v>
      </c>
      <c r="N5690">
        <v>0</v>
      </c>
      <c r="O5690">
        <v>-0.49225540000000001</v>
      </c>
      <c r="P5690">
        <v>0.77331939999999999</v>
      </c>
      <c r="Q5690">
        <v>-1.495755E-2</v>
      </c>
      <c r="R5690">
        <v>-0.63384030000000002</v>
      </c>
      <c r="S5690">
        <v>1.5937809999999999</v>
      </c>
      <c r="T5690">
        <v>-0.29248179999999901</v>
      </c>
      <c r="U5690">
        <v>-2.7920529999999899</v>
      </c>
      <c r="V5690">
        <v>0.1709821</v>
      </c>
      <c r="W5690">
        <v>-1.4528570000000001E-3</v>
      </c>
      <c r="X5690">
        <v>0.98527310000000001</v>
      </c>
      <c r="Y5690">
        <v>0.511656</v>
      </c>
      <c r="Z5690">
        <v>2.2939709999999999E-2</v>
      </c>
      <c r="AA5690">
        <v>0.85888410000000004</v>
      </c>
      <c r="AB5690">
        <v>22</v>
      </c>
      <c r="AC5690">
        <v>5.8994000000000097</v>
      </c>
      <c r="AD5690">
        <v>-1.1014969999999999</v>
      </c>
      <c r="AE5690">
        <v>-10.452923999999999</v>
      </c>
      <c r="AF5690">
        <v>6.14229838638001</v>
      </c>
      <c r="AG5690">
        <v>-1.1014969999999999</v>
      </c>
      <c r="AH5690">
        <v>10.195216203183801</v>
      </c>
      <c r="AI5690">
        <v>95.287268677706393</v>
      </c>
      <c r="AJ5690">
        <v>58.932353350443101</v>
      </c>
      <c r="AK5690">
        <v>11.9533910894773</v>
      </c>
    </row>
    <row r="5691" spans="1:37" x14ac:dyDescent="0.2">
      <c r="A5691" t="str">
        <f>"20200111155707934"</f>
        <v>20200111155707934</v>
      </c>
      <c r="B5691" t="str">
        <f>"1578729427928426"</f>
        <v>1578729427928426</v>
      </c>
      <c r="C5691" t="s">
        <v>37</v>
      </c>
      <c r="D5691">
        <v>5.3648559999999996</v>
      </c>
      <c r="E5691">
        <v>0.6331968</v>
      </c>
      <c r="F5691" t="s">
        <v>38</v>
      </c>
      <c r="G5691">
        <v>-301.74310000000003</v>
      </c>
      <c r="H5691" s="1">
        <v>-2.4338509999999998E-6</v>
      </c>
      <c r="I5691">
        <v>-5.2950589999999904</v>
      </c>
      <c r="J5691">
        <v>-313.18709999999999</v>
      </c>
      <c r="K5691">
        <v>1.0513699999999999</v>
      </c>
      <c r="L5691">
        <v>13.722629999999899</v>
      </c>
      <c r="M5691">
        <v>0.86827929999999998</v>
      </c>
      <c r="N5691">
        <v>0</v>
      </c>
      <c r="O5691">
        <v>-0.49582999999999999</v>
      </c>
      <c r="P5691">
        <v>0.77001109999999995</v>
      </c>
      <c r="Q5691">
        <v>-1.4672610000000001E-2</v>
      </c>
      <c r="R5691">
        <v>-0.63786180000000003</v>
      </c>
      <c r="S5691">
        <v>1.6461790000000001</v>
      </c>
      <c r="T5691">
        <v>-0.14997360000000001</v>
      </c>
      <c r="U5691">
        <v>-2.7210999999999999</v>
      </c>
      <c r="V5691">
        <v>0.17206529999999901</v>
      </c>
      <c r="W5691">
        <v>-1.2839850000000001E-3</v>
      </c>
      <c r="X5691">
        <v>0.98508469999999904</v>
      </c>
      <c r="Y5691">
        <v>0.48628900000000003</v>
      </c>
      <c r="Z5691">
        <v>1.274865E-2</v>
      </c>
      <c r="AA5691">
        <v>0.87370499999999995</v>
      </c>
      <c r="AB5691">
        <v>22</v>
      </c>
      <c r="AC5691">
        <v>11.4439999999999</v>
      </c>
      <c r="AD5691">
        <v>-1.051372433851</v>
      </c>
      <c r="AE5691">
        <v>-19.017689000000001</v>
      </c>
      <c r="AF5691">
        <v>10.8154401342192</v>
      </c>
      <c r="AG5691">
        <v>-1.051372433851</v>
      </c>
      <c r="AH5691">
        <v>19.325127068725401</v>
      </c>
      <c r="AI5691">
        <v>92.718083805078507</v>
      </c>
      <c r="AJ5691">
        <v>60.766142266613997</v>
      </c>
      <c r="AK5691">
        <v>22.170693843764202</v>
      </c>
    </row>
    <row r="5692" spans="1:37" x14ac:dyDescent="0.2">
      <c r="A5692" t="str">
        <f>"20200111155707946"</f>
        <v>20200111155707946</v>
      </c>
      <c r="B5692" t="str">
        <f>"1578729427938185"</f>
        <v>1578729427938185</v>
      </c>
      <c r="C5692" t="s">
        <v>37</v>
      </c>
      <c r="D5692">
        <v>5.3441219999999996</v>
      </c>
      <c r="E5692">
        <v>0.63306309999999999</v>
      </c>
      <c r="F5692" t="s">
        <v>38</v>
      </c>
      <c r="G5692">
        <v>-301.35340000000002</v>
      </c>
      <c r="H5692" s="1">
        <v>-1.9659449999999999E-6</v>
      </c>
      <c r="I5692">
        <v>-6.065563</v>
      </c>
      <c r="J5692">
        <v>-313.08359999999999</v>
      </c>
      <c r="K5692">
        <v>1.05125</v>
      </c>
      <c r="L5692">
        <v>13.65784</v>
      </c>
      <c r="M5692">
        <v>0.86610019999999999</v>
      </c>
      <c r="N5692">
        <v>0</v>
      </c>
      <c r="O5692">
        <v>-0.49962970000000001</v>
      </c>
      <c r="P5692">
        <v>0.76638490000000004</v>
      </c>
      <c r="Q5692">
        <v>-1.484888E-2</v>
      </c>
      <c r="R5692">
        <v>-0.64220980000000005</v>
      </c>
      <c r="S5692">
        <v>1.632263</v>
      </c>
      <c r="T5692">
        <v>-0.14501979999999901</v>
      </c>
      <c r="U5692">
        <v>-2.7294619999999998</v>
      </c>
      <c r="V5692">
        <v>0.1733237</v>
      </c>
      <c r="W5692">
        <v>-1.5780779999999999E-3</v>
      </c>
      <c r="X5692">
        <v>0.98486359999999995</v>
      </c>
      <c r="Y5692">
        <v>0.48692550000000001</v>
      </c>
      <c r="Z5692">
        <v>1.2511660000000001E-2</v>
      </c>
      <c r="AA5692">
        <v>0.87335390000000002</v>
      </c>
      <c r="AB5692">
        <v>22</v>
      </c>
      <c r="AC5692">
        <v>11.7301999999999</v>
      </c>
      <c r="AD5692">
        <v>-1.0512519659449999</v>
      </c>
      <c r="AE5692">
        <v>-19.723403000000001</v>
      </c>
      <c r="AF5692">
        <v>11.199534169627301</v>
      </c>
      <c r="AG5692">
        <v>-1.0512519659449999</v>
      </c>
      <c r="AH5692">
        <v>19.974416865371602</v>
      </c>
      <c r="AI5692">
        <v>92.628393950411507</v>
      </c>
      <c r="AJ5692">
        <v>60.7209154812356</v>
      </c>
      <c r="AK5692">
        <v>22.9240490625935</v>
      </c>
    </row>
    <row r="5693" spans="1:37" x14ac:dyDescent="0.2">
      <c r="A5693" t="str">
        <f>"20200111155707959"</f>
        <v>20200111155707959</v>
      </c>
      <c r="B5693" t="str">
        <f>"1578729427948921"</f>
        <v>1578729427948921</v>
      </c>
      <c r="C5693" t="s">
        <v>37</v>
      </c>
      <c r="D5693">
        <v>5.4078660000000003</v>
      </c>
      <c r="E5693">
        <v>0.63193369999999904</v>
      </c>
      <c r="F5693" t="s">
        <v>38</v>
      </c>
      <c r="G5693">
        <v>-300.85430000000002</v>
      </c>
      <c r="H5693" s="1">
        <v>-1.3728129999999999E-6</v>
      </c>
      <c r="I5693">
        <v>-7.0393910000000002</v>
      </c>
      <c r="J5693">
        <v>-312.97300000000001</v>
      </c>
      <c r="K5693">
        <v>1.051123</v>
      </c>
      <c r="L5693">
        <v>13.588100000000001</v>
      </c>
      <c r="M5693">
        <v>0.86374390000000001</v>
      </c>
      <c r="N5693">
        <v>0</v>
      </c>
      <c r="O5693">
        <v>-0.50369560000000002</v>
      </c>
      <c r="P5693">
        <v>0.76222400000000001</v>
      </c>
      <c r="Q5693">
        <v>-1.481875E-2</v>
      </c>
      <c r="R5693">
        <v>-0.64714399999999905</v>
      </c>
      <c r="S5693">
        <v>1.617645</v>
      </c>
      <c r="T5693">
        <v>-0.13905609999999999</v>
      </c>
      <c r="U5693">
        <v>-2.737762</v>
      </c>
      <c r="V5693">
        <v>0.17505090000000001</v>
      </c>
      <c r="W5693">
        <v>-1.6742910000000001E-3</v>
      </c>
      <c r="X5693">
        <v>0.98455800000000004</v>
      </c>
      <c r="Y5693">
        <v>0.4874406</v>
      </c>
      <c r="Z5693">
        <v>1.2191550000000001E-2</v>
      </c>
      <c r="AA5693">
        <v>0.87307109999999899</v>
      </c>
      <c r="AB5693">
        <v>22</v>
      </c>
      <c r="AC5693">
        <v>12.118699999999899</v>
      </c>
      <c r="AD5693">
        <v>-1.051124372813</v>
      </c>
      <c r="AE5693">
        <v>-20.627490999999999</v>
      </c>
      <c r="AF5693">
        <v>11.691554049424999</v>
      </c>
      <c r="AG5693">
        <v>-1.051124372813</v>
      </c>
      <c r="AH5693">
        <v>20.8197141101687</v>
      </c>
      <c r="AI5693">
        <v>92.520581606616304</v>
      </c>
      <c r="AJ5693">
        <v>60.683101765680803</v>
      </c>
      <c r="AK5693">
        <v>23.900999857054298</v>
      </c>
    </row>
    <row r="5694" spans="1:37" x14ac:dyDescent="0.2">
      <c r="A5694" t="str">
        <f>"20200111155707974"</f>
        <v>20200111155707974</v>
      </c>
      <c r="B5694" t="str">
        <f>"1578729427968443"</f>
        <v>1578729427968443</v>
      </c>
      <c r="C5694" t="s">
        <v>37</v>
      </c>
      <c r="D5694">
        <v>5.2869999999999999</v>
      </c>
      <c r="E5694">
        <v>0.6321464</v>
      </c>
      <c r="F5694" t="s">
        <v>38</v>
      </c>
      <c r="G5694">
        <v>-300.86110000000002</v>
      </c>
      <c r="H5694" s="1">
        <v>-1.3512639999999999E-6</v>
      </c>
      <c r="I5694">
        <v>-7.0888159999999996</v>
      </c>
      <c r="J5694">
        <v>-312.84859999999998</v>
      </c>
      <c r="K5694">
        <v>1.0509999999999999</v>
      </c>
      <c r="L5694">
        <v>13.508479999999899</v>
      </c>
      <c r="M5694">
        <v>0.8610428</v>
      </c>
      <c r="N5694">
        <v>0</v>
      </c>
      <c r="O5694">
        <v>-0.50830220000000004</v>
      </c>
      <c r="P5694">
        <v>0.75780930000000002</v>
      </c>
      <c r="Q5694">
        <v>-1.50636E-2</v>
      </c>
      <c r="R5694">
        <v>-0.65230259999999995</v>
      </c>
      <c r="S5694">
        <v>1.6057429999999999</v>
      </c>
      <c r="T5694">
        <v>-0.13935429999999999</v>
      </c>
      <c r="U5694">
        <v>-2.7412719999999999</v>
      </c>
      <c r="V5694">
        <v>0.17647309999999999</v>
      </c>
      <c r="W5694">
        <v>-2.0437799999999998E-3</v>
      </c>
      <c r="X5694">
        <v>0.98430339999999905</v>
      </c>
      <c r="Y5694">
        <v>0.486087299999999</v>
      </c>
      <c r="Z5694">
        <v>1.249318E-2</v>
      </c>
      <c r="AA5694">
        <v>0.87382099999999996</v>
      </c>
      <c r="AB5694">
        <v>22</v>
      </c>
      <c r="AC5694">
        <v>11.987499999999899</v>
      </c>
      <c r="AD5694">
        <v>-1.051001351264</v>
      </c>
      <c r="AE5694">
        <v>-20.597296</v>
      </c>
      <c r="AF5694">
        <v>11.620643132122501</v>
      </c>
      <c r="AG5694">
        <v>-1.051001351264</v>
      </c>
      <c r="AH5694">
        <v>20.753472785001399</v>
      </c>
      <c r="AI5694">
        <v>92.530071287658799</v>
      </c>
      <c r="AJ5694">
        <v>60.7539093543974</v>
      </c>
      <c r="AK5694">
        <v>23.8086241366926</v>
      </c>
    </row>
    <row r="5695" spans="1:37" x14ac:dyDescent="0.2">
      <c r="A5695" t="str">
        <f>"20200111155707988"</f>
        <v>20200111155707988</v>
      </c>
      <c r="B5695" t="str">
        <f>"1578729427978202"</f>
        <v>1578729427978202</v>
      </c>
      <c r="C5695" t="s">
        <v>37</v>
      </c>
      <c r="D5695">
        <v>5.2794589999999904</v>
      </c>
      <c r="E5695">
        <v>0.63216939999999999</v>
      </c>
      <c r="F5695" t="s">
        <v>38</v>
      </c>
      <c r="G5695">
        <v>-300.32240000000002</v>
      </c>
      <c r="H5695" s="1">
        <v>-6.6407639999999997E-7</v>
      </c>
      <c r="I5695">
        <v>-8.2393210000000003</v>
      </c>
      <c r="J5695">
        <v>-312.73450000000003</v>
      </c>
      <c r="K5695">
        <v>1.0508899999999901</v>
      </c>
      <c r="L5695">
        <v>13.434570000000001</v>
      </c>
      <c r="M5695">
        <v>0.85852469999999903</v>
      </c>
      <c r="N5695">
        <v>0</v>
      </c>
      <c r="O5695">
        <v>-0.51254630000000001</v>
      </c>
      <c r="P5695">
        <v>0.75224119999999906</v>
      </c>
      <c r="Q5695">
        <v>-1.5642719999999999E-2</v>
      </c>
      <c r="R5695">
        <v>-0.65870229999999996</v>
      </c>
      <c r="S5695">
        <v>1.585968</v>
      </c>
      <c r="T5695">
        <v>-0.13306960000000001</v>
      </c>
      <c r="U5695">
        <v>-2.7535400000000001</v>
      </c>
      <c r="V5695">
        <v>0.17995459999999999</v>
      </c>
      <c r="W5695">
        <v>-2.761912E-3</v>
      </c>
      <c r="X5695">
        <v>0.98367099999999996</v>
      </c>
      <c r="Y5695">
        <v>0.48817299999999902</v>
      </c>
      <c r="Z5695">
        <v>1.2086980000000001E-2</v>
      </c>
      <c r="AA5695">
        <v>0.87266309999999903</v>
      </c>
      <c r="AB5695">
        <v>22</v>
      </c>
      <c r="AC5695">
        <v>12.412100000000001</v>
      </c>
      <c r="AD5695">
        <v>-1.0508906640764</v>
      </c>
      <c r="AE5695">
        <v>-21.673891000000001</v>
      </c>
      <c r="AF5695">
        <v>12.225569883386401</v>
      </c>
      <c r="AG5695">
        <v>-1.0508906640764</v>
      </c>
      <c r="AH5695">
        <v>21.729020402963201</v>
      </c>
      <c r="AI5695">
        <v>92.413584283678304</v>
      </c>
      <c r="AJ5695">
        <v>60.6362458493115</v>
      </c>
      <c r="AK5695">
        <v>24.954343466294599</v>
      </c>
    </row>
    <row r="5696" spans="1:37" x14ac:dyDescent="0.2">
      <c r="A5696" t="str">
        <f>"20200111155708004"</f>
        <v>20200111155708004</v>
      </c>
      <c r="B5696" t="str">
        <f>"1578729427998698"</f>
        <v>1578729427998698</v>
      </c>
      <c r="C5696" t="s">
        <v>37</v>
      </c>
      <c r="D5696">
        <v>5.3291409999999999</v>
      </c>
      <c r="E5696">
        <v>0.6313164</v>
      </c>
      <c r="F5696" t="s">
        <v>38</v>
      </c>
      <c r="G5696">
        <v>-300.33609999999999</v>
      </c>
      <c r="H5696" s="1">
        <v>-5.3366949999999997E-7</v>
      </c>
      <c r="I5696">
        <v>-8.5228629999999992</v>
      </c>
      <c r="J5696">
        <v>-312.61090000000002</v>
      </c>
      <c r="K5696">
        <v>1.0507869999999999</v>
      </c>
      <c r="L5696">
        <v>13.353759999999999</v>
      </c>
      <c r="M5696">
        <v>0.85575400000000001</v>
      </c>
      <c r="N5696">
        <v>0</v>
      </c>
      <c r="O5696">
        <v>-0.51716149999999905</v>
      </c>
      <c r="P5696">
        <v>0.74755039999999995</v>
      </c>
      <c r="Q5696">
        <v>-1.595914E-2</v>
      </c>
      <c r="R5696">
        <v>-0.66401390000000005</v>
      </c>
      <c r="S5696">
        <v>1.562408</v>
      </c>
      <c r="T5696">
        <v>-0.13242950000000001</v>
      </c>
      <c r="U5696">
        <v>-2.7669980000000001</v>
      </c>
      <c r="V5696">
        <v>0.18162400000000001</v>
      </c>
      <c r="W5696">
        <v>-3.193151E-3</v>
      </c>
      <c r="X5696">
        <v>0.98336290000000004</v>
      </c>
      <c r="Y5696">
        <v>0.49092449999999999</v>
      </c>
      <c r="Z5696">
        <v>1.219104E-2</v>
      </c>
      <c r="AA5696">
        <v>0.87111679999999903</v>
      </c>
      <c r="AB5696">
        <v>22</v>
      </c>
      <c r="AC5696">
        <v>12.274800000000001</v>
      </c>
      <c r="AD5696">
        <v>-1.0507875336695001</v>
      </c>
      <c r="AE5696">
        <v>-21.876622999999999</v>
      </c>
      <c r="AF5696">
        <v>12.352695857440899</v>
      </c>
      <c r="AG5696">
        <v>-1.0507875336695001</v>
      </c>
      <c r="AH5696">
        <v>21.782234593548999</v>
      </c>
      <c r="AI5696">
        <v>92.402868844525997</v>
      </c>
      <c r="AJ5696">
        <v>60.442446502588197</v>
      </c>
      <c r="AK5696">
        <v>25.063100232727798</v>
      </c>
    </row>
    <row r="5697" spans="1:37" x14ac:dyDescent="0.2">
      <c r="A5697" t="str">
        <f>"20200111155708017"</f>
        <v>20200111155708017</v>
      </c>
      <c r="B5697" t="str">
        <f>"1578729428008457"</f>
        <v>1578729428008457</v>
      </c>
      <c r="C5697" t="s">
        <v>37</v>
      </c>
      <c r="D5697">
        <v>5.2431510000000001</v>
      </c>
      <c r="E5697">
        <v>0.63076940000000004</v>
      </c>
      <c r="F5697" t="s">
        <v>38</v>
      </c>
      <c r="G5697">
        <v>-300.25069999999999</v>
      </c>
      <c r="H5697" s="1">
        <v>-3.8088649999999997E-7</v>
      </c>
      <c r="I5697">
        <v>-8.7980389999999993</v>
      </c>
      <c r="J5697">
        <v>-312.49430000000001</v>
      </c>
      <c r="K5697">
        <v>1.0506959999999901</v>
      </c>
      <c r="L5697">
        <v>13.27661</v>
      </c>
      <c r="M5697">
        <v>0.85309489999999999</v>
      </c>
      <c r="N5697">
        <v>0</v>
      </c>
      <c r="O5697">
        <v>-0.52153850000000002</v>
      </c>
      <c r="P5697">
        <v>0.74306569999999905</v>
      </c>
      <c r="Q5697">
        <v>-1.60362E-2</v>
      </c>
      <c r="R5697">
        <v>-0.66902640000000002</v>
      </c>
      <c r="S5697">
        <v>1.5472410000000001</v>
      </c>
      <c r="T5697">
        <v>-0.13153699999999999</v>
      </c>
      <c r="U5697">
        <v>-2.7729490000000001</v>
      </c>
      <c r="V5697">
        <v>0.18319949999999999</v>
      </c>
      <c r="W5697">
        <v>-3.3735109999999901E-3</v>
      </c>
      <c r="X5697">
        <v>0.98307</v>
      </c>
      <c r="Y5697">
        <v>0.49089099999999902</v>
      </c>
      <c r="Z5697">
        <v>1.2328270000000001E-2</v>
      </c>
      <c r="AA5697">
        <v>0.87113379999999996</v>
      </c>
      <c r="AB5697">
        <v>22</v>
      </c>
      <c r="AC5697">
        <v>12.243600000000001</v>
      </c>
      <c r="AD5697">
        <v>-1.05069638088649</v>
      </c>
      <c r="AE5697">
        <v>-22.074649000000001</v>
      </c>
      <c r="AF5697">
        <v>12.426143925793699</v>
      </c>
      <c r="AG5697">
        <v>-1.05069638088649</v>
      </c>
      <c r="AH5697">
        <v>21.9222402032551</v>
      </c>
      <c r="AI5697">
        <v>92.387611604528402</v>
      </c>
      <c r="AJ5697">
        <v>60.454212680677898</v>
      </c>
      <c r="AK5697">
        <v>25.220976017564499</v>
      </c>
    </row>
    <row r="5698" spans="1:37" x14ac:dyDescent="0.2">
      <c r="A5698" t="str">
        <f>"20200111155708030"</f>
        <v>20200111155708030</v>
      </c>
      <c r="B5698" t="str">
        <f>"1578729428028954"</f>
        <v>1578729428028954</v>
      </c>
      <c r="C5698" t="s">
        <v>37</v>
      </c>
      <c r="D5698">
        <v>5.1553740000000001</v>
      </c>
      <c r="E5698">
        <v>0.63008169999999897</v>
      </c>
      <c r="F5698" t="s">
        <v>38</v>
      </c>
      <c r="G5698">
        <v>-300.06610000000001</v>
      </c>
      <c r="H5698" s="1">
        <v>-1.020759E-7</v>
      </c>
      <c r="I5698">
        <v>-9.2839510000000001</v>
      </c>
      <c r="J5698">
        <v>-312.38749999999999</v>
      </c>
      <c r="K5698">
        <v>1.0506219999999999</v>
      </c>
      <c r="L5698">
        <v>13.20496</v>
      </c>
      <c r="M5698">
        <v>0.85060979999999997</v>
      </c>
      <c r="N5698">
        <v>0</v>
      </c>
      <c r="O5698">
        <v>-0.52558389999999999</v>
      </c>
      <c r="P5698">
        <v>0.73882349999999997</v>
      </c>
      <c r="Q5698">
        <v>-1.6329860000000002E-2</v>
      </c>
      <c r="R5698">
        <v>-0.67370149999999995</v>
      </c>
      <c r="S5698">
        <v>1.5314939999999999</v>
      </c>
      <c r="T5698">
        <v>-0.12947510000000001</v>
      </c>
      <c r="U5698">
        <v>-2.78009</v>
      </c>
      <c r="V5698">
        <v>0.1847326</v>
      </c>
      <c r="W5698">
        <v>-3.7576129999999999E-3</v>
      </c>
      <c r="X5698">
        <v>0.98278159999999903</v>
      </c>
      <c r="Y5698">
        <v>0.49148549999999902</v>
      </c>
      <c r="Z5698">
        <v>1.231937E-2</v>
      </c>
      <c r="AA5698">
        <v>0.87079859999999898</v>
      </c>
      <c r="AB5698">
        <v>22</v>
      </c>
      <c r="AC5698">
        <v>12.321399999999899</v>
      </c>
      <c r="AD5698">
        <v>-1.0506221020758999</v>
      </c>
      <c r="AE5698">
        <v>-22.488911000000002</v>
      </c>
      <c r="AF5698">
        <v>12.6335724380329</v>
      </c>
      <c r="AG5698">
        <v>-1.0506221020758999</v>
      </c>
      <c r="AH5698">
        <v>22.265641602647399</v>
      </c>
      <c r="AI5698">
        <v>92.350085079057195</v>
      </c>
      <c r="AJ5698">
        <v>60.429331273072798</v>
      </c>
      <c r="AK5698">
        <v>25.621665740656599</v>
      </c>
    </row>
    <row r="5699" spans="1:37" x14ac:dyDescent="0.2">
      <c r="A5699" t="str">
        <f>"20200111155708044"</f>
        <v>20200111155708044</v>
      </c>
      <c r="B5699" t="str">
        <f>"1578729428038713"</f>
        <v>1578729428038713</v>
      </c>
      <c r="C5699" t="s">
        <v>37</v>
      </c>
      <c r="D5699">
        <v>5.2167699999999897</v>
      </c>
      <c r="E5699">
        <v>0.62963859999999905</v>
      </c>
      <c r="F5699" t="s">
        <v>38</v>
      </c>
      <c r="G5699">
        <v>-299.647999999999</v>
      </c>
      <c r="H5699" s="1">
        <v>2.85866E-7</v>
      </c>
      <c r="I5699">
        <v>-10.17972</v>
      </c>
      <c r="J5699">
        <v>-312.27780000000001</v>
      </c>
      <c r="K5699">
        <v>1.0505389999999999</v>
      </c>
      <c r="L5699">
        <v>13.130710000000001</v>
      </c>
      <c r="M5699">
        <v>0.84801599999999999</v>
      </c>
      <c r="N5699">
        <v>0</v>
      </c>
      <c r="O5699">
        <v>-0.52976029999999996</v>
      </c>
      <c r="P5699">
        <v>0.73366769999999903</v>
      </c>
      <c r="Q5699">
        <v>-1.6754660000000001E-2</v>
      </c>
      <c r="R5699">
        <v>-0.67930190000000001</v>
      </c>
      <c r="S5699">
        <v>1.5175780000000001</v>
      </c>
      <c r="T5699">
        <v>-0.1251543</v>
      </c>
      <c r="U5699">
        <v>-2.7856749999999999</v>
      </c>
      <c r="V5699">
        <v>0.18737419999999999</v>
      </c>
      <c r="W5699">
        <v>-4.289129E-3</v>
      </c>
      <c r="X5699">
        <v>0.98227919999999902</v>
      </c>
      <c r="Y5699">
        <v>0.49129220000000001</v>
      </c>
      <c r="Z5699">
        <v>1.2110879999999999E-2</v>
      </c>
      <c r="AA5699">
        <v>0.87091059999999998</v>
      </c>
      <c r="AB5699">
        <v>22</v>
      </c>
      <c r="AC5699">
        <v>12.629799999999999</v>
      </c>
      <c r="AD5699">
        <v>-1.0505387141339999</v>
      </c>
      <c r="AE5699">
        <v>-23.31043</v>
      </c>
      <c r="AF5699">
        <v>13.0578059865245</v>
      </c>
      <c r="AG5699">
        <v>-1.0505387141339999</v>
      </c>
      <c r="AH5699">
        <v>23.0256296801019</v>
      </c>
      <c r="AI5699">
        <v>92.272715841472703</v>
      </c>
      <c r="AJ5699">
        <v>60.442481690813899</v>
      </c>
      <c r="AK5699">
        <v>26.491310857275401</v>
      </c>
    </row>
    <row r="5700" spans="1:37" x14ac:dyDescent="0.2">
      <c r="A5700" t="str">
        <f>"20200111155708056"</f>
        <v>20200111155708056</v>
      </c>
      <c r="B5700" t="str">
        <f>"1578729428048473"</f>
        <v>1578729428048473</v>
      </c>
      <c r="C5700" t="s">
        <v>37</v>
      </c>
      <c r="D5700">
        <v>5.2421129999999998</v>
      </c>
      <c r="E5700">
        <v>0.62926400000000005</v>
      </c>
      <c r="F5700" t="s">
        <v>38</v>
      </c>
      <c r="G5700">
        <v>-299.63130000000001</v>
      </c>
      <c r="H5700" s="1">
        <v>-4.3173049999999997E-6</v>
      </c>
      <c r="I5700">
        <v>-10.455909999999999</v>
      </c>
      <c r="J5700">
        <v>-312.17430000000002</v>
      </c>
      <c r="K5700">
        <v>1.050465</v>
      </c>
      <c r="L5700">
        <v>13.05997</v>
      </c>
      <c r="M5700">
        <v>0.84552739999999904</v>
      </c>
      <c r="N5700">
        <v>0</v>
      </c>
      <c r="O5700">
        <v>-0.533725</v>
      </c>
      <c r="P5700">
        <v>0.72968109999999997</v>
      </c>
      <c r="Q5700">
        <v>-1.6592510000000001E-2</v>
      </c>
      <c r="R5700">
        <v>-0.68358669999999899</v>
      </c>
      <c r="S5700">
        <v>1.498505</v>
      </c>
      <c r="T5700">
        <v>-0.124481199999999</v>
      </c>
      <c r="U5700">
        <v>-2.7948300000000001</v>
      </c>
      <c r="V5700">
        <v>0.18852650000000001</v>
      </c>
      <c r="W5700">
        <v>-4.2062219999999999E-3</v>
      </c>
      <c r="X5700">
        <v>0.98205909999999996</v>
      </c>
      <c r="Y5700">
        <v>0.493017599999999</v>
      </c>
      <c r="Z5700">
        <v>1.219568E-2</v>
      </c>
      <c r="AA5700">
        <v>0.86993379999999998</v>
      </c>
      <c r="AB5700">
        <v>22</v>
      </c>
      <c r="AC5700">
        <v>12.542999999999999</v>
      </c>
      <c r="AD5700">
        <v>-1.0504693173049999</v>
      </c>
      <c r="AE5700">
        <v>-23.515879999999999</v>
      </c>
      <c r="AF5700">
        <v>13.169806807199</v>
      </c>
      <c r="AG5700">
        <v>-1.0504693173049999</v>
      </c>
      <c r="AH5700">
        <v>23.123101228382598</v>
      </c>
      <c r="AI5700">
        <v>92.260615170131999</v>
      </c>
      <c r="AJ5700">
        <v>60.336240739174499</v>
      </c>
      <c r="AK5700">
        <v>26.6312806215468</v>
      </c>
    </row>
    <row r="5701" spans="1:37" x14ac:dyDescent="0.2">
      <c r="A5701" t="str">
        <f>"20200111155708069"</f>
        <v>20200111155708069</v>
      </c>
      <c r="B5701" t="str">
        <f>"1578729428058233"</f>
        <v>1578729428058233</v>
      </c>
      <c r="C5701" t="s">
        <v>37</v>
      </c>
      <c r="D5701">
        <v>4.9698229999999999</v>
      </c>
      <c r="E5701">
        <v>0.62960150000000004</v>
      </c>
      <c r="F5701" t="s">
        <v>38</v>
      </c>
      <c r="G5701">
        <v>-299.3503</v>
      </c>
      <c r="H5701" s="1">
        <v>-4.0733340000000001E-6</v>
      </c>
      <c r="I5701">
        <v>-11.14082</v>
      </c>
      <c r="J5701">
        <v>-312.07330000000002</v>
      </c>
      <c r="K5701">
        <v>1.0503929999999999</v>
      </c>
      <c r="L5701">
        <v>12.989929999999999</v>
      </c>
      <c r="M5701">
        <v>0.8430436</v>
      </c>
      <c r="N5701">
        <v>0</v>
      </c>
      <c r="O5701">
        <v>-0.53764089999999998</v>
      </c>
      <c r="P5701">
        <v>0.72563299999999997</v>
      </c>
      <c r="Q5701">
        <v>-1.6494709999999999E-2</v>
      </c>
      <c r="R5701">
        <v>-0.68788450000000001</v>
      </c>
      <c r="S5701">
        <v>1.484375</v>
      </c>
      <c r="T5701">
        <v>-0.1215917</v>
      </c>
      <c r="U5701">
        <v>-2.8012389999999998</v>
      </c>
      <c r="V5701">
        <v>0.189771</v>
      </c>
      <c r="W5701">
        <v>-4.1844489999999998E-3</v>
      </c>
      <c r="X5701">
        <v>0.98181949999999996</v>
      </c>
      <c r="Y5701">
        <v>0.49323309999999998</v>
      </c>
      <c r="Z5701">
        <v>1.2087509999999999E-2</v>
      </c>
      <c r="AA5701">
        <v>0.86981330000000001</v>
      </c>
      <c r="AB5701">
        <v>22</v>
      </c>
      <c r="AC5701">
        <v>12.723000000000001</v>
      </c>
      <c r="AD5701">
        <v>-1.050397073334</v>
      </c>
      <c r="AE5701">
        <v>-24.130749999999999</v>
      </c>
      <c r="AF5701">
        <v>13.4843605890417</v>
      </c>
      <c r="AG5701">
        <v>-1.050397073334</v>
      </c>
      <c r="AH5701">
        <v>23.667236296329399</v>
      </c>
      <c r="AI5701">
        <v>92.208355486750193</v>
      </c>
      <c r="AJ5701">
        <v>60.3277587536477</v>
      </c>
      <c r="AK5701">
        <v>27.2592991181589</v>
      </c>
    </row>
    <row r="5702" spans="1:37" x14ac:dyDescent="0.2">
      <c r="A5702" t="str">
        <f>"20200111155708084"</f>
        <v>20200111155708084</v>
      </c>
      <c r="B5702" t="str">
        <f>"1578729428078730"</f>
        <v>1578729428078730</v>
      </c>
      <c r="C5702" t="s">
        <v>37</v>
      </c>
      <c r="D5702">
        <v>4.9689269999999999</v>
      </c>
      <c r="E5702">
        <v>0.63013399999999997</v>
      </c>
      <c r="F5702" t="s">
        <v>38</v>
      </c>
      <c r="G5702">
        <v>-298.69720000000001</v>
      </c>
      <c r="H5702" s="1">
        <v>-3.530826E-6</v>
      </c>
      <c r="I5702">
        <v>-12.67545</v>
      </c>
      <c r="J5702">
        <v>-311.96129999999999</v>
      </c>
      <c r="K5702">
        <v>1.0503149999999899</v>
      </c>
      <c r="L5702">
        <v>12.91168</v>
      </c>
      <c r="M5702">
        <v>0.84024349999999903</v>
      </c>
      <c r="N5702">
        <v>0</v>
      </c>
      <c r="O5702">
        <v>-0.54200740000000003</v>
      </c>
      <c r="P5702">
        <v>0.72127819999999898</v>
      </c>
      <c r="Q5702">
        <v>-1.6246509999999999E-2</v>
      </c>
      <c r="R5702">
        <v>-0.69245489999999998</v>
      </c>
      <c r="S5702">
        <v>1.4656979999999999</v>
      </c>
      <c r="T5702">
        <v>-0.1150986</v>
      </c>
      <c r="U5702">
        <v>-2.81231699999999</v>
      </c>
      <c r="V5702">
        <v>0.1908791</v>
      </c>
      <c r="W5702">
        <v>-4.0153400000000001E-3</v>
      </c>
      <c r="X5702">
        <v>0.98160539999999996</v>
      </c>
      <c r="Y5702">
        <v>0.49467050000000001</v>
      </c>
      <c r="Z5702">
        <v>1.1596789999999999E-2</v>
      </c>
      <c r="AA5702">
        <v>0.86900319999999998</v>
      </c>
      <c r="AB5702">
        <v>22</v>
      </c>
      <c r="AC5702">
        <v>13.2640999999999</v>
      </c>
      <c r="AD5702">
        <v>-1.0503185308259999</v>
      </c>
      <c r="AE5702">
        <v>-25.587129999999998</v>
      </c>
      <c r="AF5702">
        <v>14.292763175880401</v>
      </c>
      <c r="AG5702">
        <v>-1.0503185308259999</v>
      </c>
      <c r="AH5702">
        <v>24.983045066518098</v>
      </c>
      <c r="AI5702">
        <v>92.089881282783494</v>
      </c>
      <c r="AJ5702">
        <v>60.226190381396002</v>
      </c>
      <c r="AK5702">
        <v>28.8017150359779</v>
      </c>
    </row>
    <row r="5703" spans="1:37" x14ac:dyDescent="0.2">
      <c r="A5703" t="str">
        <f>"20200111155708100"</f>
        <v>20200111155708100</v>
      </c>
      <c r="B5703" t="str">
        <f>"1578729428088489"</f>
        <v>1578729428088489</v>
      </c>
      <c r="C5703" t="s">
        <v>37</v>
      </c>
      <c r="D5703">
        <v>4.9487500000000004</v>
      </c>
      <c r="E5703">
        <v>0.63013299999999905</v>
      </c>
      <c r="F5703" t="s">
        <v>38</v>
      </c>
      <c r="G5703">
        <v>-297.21929999999998</v>
      </c>
      <c r="H5703" s="1">
        <v>-2.4077010000000001E-6</v>
      </c>
      <c r="I5703">
        <v>-15.904579999999999</v>
      </c>
      <c r="J5703">
        <v>-311.83099999999899</v>
      </c>
      <c r="K5703">
        <v>1.0502149999999999</v>
      </c>
      <c r="L5703">
        <v>12.8194</v>
      </c>
      <c r="M5703">
        <v>0.83690520000000002</v>
      </c>
      <c r="N5703">
        <v>0</v>
      </c>
      <c r="O5703">
        <v>-0.54714949999999996</v>
      </c>
      <c r="P5703">
        <v>0.7152596</v>
      </c>
      <c r="Q5703">
        <v>-1.5313729999999999E-2</v>
      </c>
      <c r="R5703">
        <v>-0.69869139999999996</v>
      </c>
      <c r="S5703">
        <v>1.4450989999999999</v>
      </c>
      <c r="T5703">
        <v>-0.102958199999999</v>
      </c>
      <c r="U5703">
        <v>-2.824738</v>
      </c>
      <c r="V5703">
        <v>0.1933811</v>
      </c>
      <c r="W5703">
        <v>-3.1907009999999898E-3</v>
      </c>
      <c r="X5703">
        <v>0.98111859999999995</v>
      </c>
      <c r="Y5703">
        <v>0.495918999999999</v>
      </c>
      <c r="Z5703">
        <v>1.0543840000000001E-2</v>
      </c>
      <c r="AA5703">
        <v>0.86830479999999999</v>
      </c>
      <c r="AB5703">
        <v>22</v>
      </c>
      <c r="AC5703">
        <v>14.6116999999999</v>
      </c>
      <c r="AD5703">
        <v>-1.05021740770099</v>
      </c>
      <c r="AE5703">
        <v>-28.723979999999901</v>
      </c>
      <c r="AF5703">
        <v>16.029182936124101</v>
      </c>
      <c r="AG5703">
        <v>-1.05021740770099</v>
      </c>
      <c r="AH5703">
        <v>27.9183039270522</v>
      </c>
      <c r="AI5703">
        <v>91.868491761981403</v>
      </c>
      <c r="AJ5703">
        <v>60.137883740774598</v>
      </c>
      <c r="AK5703">
        <v>32.209771131854197</v>
      </c>
    </row>
    <row r="5704" spans="1:37" x14ac:dyDescent="0.2">
      <c r="A5704" t="str">
        <f>"20200111155708111"</f>
        <v>20200111155708111</v>
      </c>
      <c r="B5704" t="str">
        <f>"1578729428108985"</f>
        <v>1578729428108985</v>
      </c>
      <c r="C5704" t="s">
        <v>37</v>
      </c>
      <c r="D5704">
        <v>4.9859809999999998</v>
      </c>
      <c r="E5704">
        <v>0.62997069999999999</v>
      </c>
      <c r="F5704" t="s">
        <v>38</v>
      </c>
      <c r="G5704">
        <v>-296.30270000000002</v>
      </c>
      <c r="H5704" s="1">
        <v>-1.7175000000000001E-6</v>
      </c>
      <c r="I5704">
        <v>-18.195799999999998</v>
      </c>
      <c r="J5704">
        <v>-311.73259999999999</v>
      </c>
      <c r="K5704">
        <v>1.050144</v>
      </c>
      <c r="L5704">
        <v>12.748659999999999</v>
      </c>
      <c r="M5704">
        <v>0.83431699999999998</v>
      </c>
      <c r="N5704">
        <v>0</v>
      </c>
      <c r="O5704">
        <v>-0.55108889999999999</v>
      </c>
      <c r="P5704">
        <v>0.71095830000000004</v>
      </c>
      <c r="Q5704">
        <v>-1.5044190000000001E-2</v>
      </c>
      <c r="R5704">
        <v>-0.70307359999999997</v>
      </c>
      <c r="S5704">
        <v>1.420563</v>
      </c>
      <c r="T5704">
        <v>-9.6076250000000002E-2</v>
      </c>
      <c r="U5704">
        <v>-2.8373409999999999</v>
      </c>
      <c r="V5704">
        <v>0.19478399999999901</v>
      </c>
      <c r="W5704">
        <v>-2.99315E-3</v>
      </c>
      <c r="X5704">
        <v>0.98084159999999998</v>
      </c>
      <c r="Y5704">
        <v>0.49937049999999999</v>
      </c>
      <c r="Z5704">
        <v>9.9252030000000005E-3</v>
      </c>
      <c r="AA5704">
        <v>0.86633169999999904</v>
      </c>
      <c r="AB5704">
        <v>22</v>
      </c>
      <c r="AC5704">
        <v>15.4298999999999</v>
      </c>
      <c r="AD5704">
        <v>-1.0501457175</v>
      </c>
      <c r="AE5704">
        <v>-30.944459999999999</v>
      </c>
      <c r="AF5704">
        <v>17.3001572208561</v>
      </c>
      <c r="AG5704">
        <v>-1.0501457175</v>
      </c>
      <c r="AH5704">
        <v>29.902230929602698</v>
      </c>
      <c r="AI5704">
        <v>91.741158847965195</v>
      </c>
      <c r="AJ5704">
        <v>59.948154143819899</v>
      </c>
      <c r="AK5704">
        <v>34.562142012057301</v>
      </c>
    </row>
    <row r="5705" spans="1:37" x14ac:dyDescent="0.2">
      <c r="A5705" t="str">
        <f>"20200111155708126"</f>
        <v>20200111155708126</v>
      </c>
      <c r="B5705" t="str">
        <f>"1578729428118746"</f>
        <v>1578729428118746</v>
      </c>
      <c r="C5705" t="s">
        <v>37</v>
      </c>
      <c r="D5705">
        <v>5.2007810000000001</v>
      </c>
      <c r="E5705">
        <v>0.62997069999999999</v>
      </c>
      <c r="F5705" t="s">
        <v>38</v>
      </c>
      <c r="G5705">
        <v>-295.0609</v>
      </c>
      <c r="H5705" s="1">
        <v>-4.8806000000000003E-6</v>
      </c>
      <c r="I5705">
        <v>-21.032629999999902</v>
      </c>
      <c r="J5705">
        <v>-311.62279999999998</v>
      </c>
      <c r="K5705">
        <v>1.0500689999999999</v>
      </c>
      <c r="L5705">
        <v>12.668950000000001</v>
      </c>
      <c r="M5705">
        <v>0.83137280000000002</v>
      </c>
      <c r="N5705">
        <v>0</v>
      </c>
      <c r="O5705">
        <v>-0.5555213</v>
      </c>
      <c r="P5705">
        <v>0.70639459999999998</v>
      </c>
      <c r="Q5705">
        <v>-1.457465E-2</v>
      </c>
      <c r="R5705">
        <v>-0.70766839999999998</v>
      </c>
      <c r="S5705">
        <v>1.4041440000000001</v>
      </c>
      <c r="T5705">
        <v>-8.8447390000000001E-2</v>
      </c>
      <c r="U5705">
        <v>-2.8451840000000002</v>
      </c>
      <c r="V5705">
        <v>0.19592290000000001</v>
      </c>
      <c r="W5705">
        <v>-2.5953840000000001E-3</v>
      </c>
      <c r="X5705">
        <v>0.98061589999999998</v>
      </c>
      <c r="Y5705">
        <v>0.49972860000000002</v>
      </c>
      <c r="Z5705">
        <v>9.2786850000000001E-3</v>
      </c>
      <c r="AA5705">
        <v>0.86613229999999997</v>
      </c>
      <c r="AB5705">
        <v>22</v>
      </c>
      <c r="AC5705">
        <v>16.561899999999898</v>
      </c>
      <c r="AD5705">
        <v>-1.0500738806000001</v>
      </c>
      <c r="AE5705">
        <v>-33.70158</v>
      </c>
      <c r="AF5705">
        <v>18.805409971410501</v>
      </c>
      <c r="AG5705">
        <v>-1.0500738806000001</v>
      </c>
      <c r="AH5705">
        <v>32.469167769601903</v>
      </c>
      <c r="AI5705">
        <v>91.603041402383596</v>
      </c>
      <c r="AJ5705">
        <v>59.921544574086298</v>
      </c>
      <c r="AK5705">
        <v>37.536554916482402</v>
      </c>
    </row>
    <row r="5706" spans="1:37" x14ac:dyDescent="0.2">
      <c r="A5706" t="str">
        <f>"20200111155708141"</f>
        <v>20200111155708141</v>
      </c>
      <c r="B5706" t="str">
        <f>"1578729428128506"</f>
        <v>1578729428128506</v>
      </c>
      <c r="C5706" t="s">
        <v>37</v>
      </c>
      <c r="D5706">
        <v>4.9217399999999998</v>
      </c>
      <c r="E5706">
        <v>0.6298878</v>
      </c>
      <c r="F5706" t="s">
        <v>38</v>
      </c>
      <c r="G5706">
        <v>-294.84809999999999</v>
      </c>
      <c r="H5706" s="1">
        <v>-4.5514430000000003E-6</v>
      </c>
      <c r="I5706">
        <v>-21.887899999999998</v>
      </c>
      <c r="J5706">
        <v>-311.51069999999999</v>
      </c>
      <c r="K5706">
        <v>1.0499909999999999</v>
      </c>
      <c r="L5706">
        <v>12.586789999999899</v>
      </c>
      <c r="M5706">
        <v>0.82830319999999902</v>
      </c>
      <c r="N5706">
        <v>0</v>
      </c>
      <c r="O5706">
        <v>-0.56008829999999998</v>
      </c>
      <c r="P5706">
        <v>0.70167429999999997</v>
      </c>
      <c r="Q5706">
        <v>-1.4213409999999999E-2</v>
      </c>
      <c r="R5706">
        <v>-0.71235569999999904</v>
      </c>
      <c r="S5706">
        <v>1.3855899999999901</v>
      </c>
      <c r="T5706">
        <v>-8.6736199999999999E-2</v>
      </c>
      <c r="U5706">
        <v>-2.85440099999999</v>
      </c>
      <c r="V5706">
        <v>0.197054799999999</v>
      </c>
      <c r="W5706">
        <v>-2.3050829999999999E-3</v>
      </c>
      <c r="X5706">
        <v>0.98038979999999998</v>
      </c>
      <c r="Y5706">
        <v>0.5006178</v>
      </c>
      <c r="Z5706">
        <v>9.2337349999999999E-3</v>
      </c>
      <c r="AA5706">
        <v>0.86561919999999903</v>
      </c>
      <c r="AB5706">
        <v>21</v>
      </c>
      <c r="AC5706">
        <v>16.662599999999902</v>
      </c>
      <c r="AD5706">
        <v>-1.0499955514429999</v>
      </c>
      <c r="AE5706">
        <v>-34.474689999999903</v>
      </c>
      <c r="AF5706">
        <v>19.2105889400958</v>
      </c>
      <c r="AG5706">
        <v>-1.0499955514429999</v>
      </c>
      <c r="AH5706">
        <v>33.089231862135001</v>
      </c>
      <c r="AI5706">
        <v>91.571950529292494</v>
      </c>
      <c r="AJ5706">
        <v>59.861869347394297</v>
      </c>
      <c r="AK5706">
        <v>38.275925636220897</v>
      </c>
    </row>
    <row r="5707" spans="1:37" x14ac:dyDescent="0.2">
      <c r="A5707" t="str">
        <f>"20200111155708214"</f>
        <v>20200111155708214</v>
      </c>
      <c r="B5707" t="str">
        <f>"1578729428208538"</f>
        <v>1578729428208538</v>
      </c>
      <c r="C5707" t="s">
        <v>37</v>
      </c>
      <c r="D5707">
        <v>4.836417</v>
      </c>
      <c r="E5707">
        <v>0.69829529999999995</v>
      </c>
      <c r="F5707" t="s">
        <v>38</v>
      </c>
      <c r="G5707">
        <v>-294.26139999999998</v>
      </c>
      <c r="H5707" s="1">
        <v>-3.9465019999999999E-6</v>
      </c>
      <c r="I5707">
        <v>-23.540620000000001</v>
      </c>
      <c r="J5707">
        <v>-310.93880000000001</v>
      </c>
      <c r="K5707">
        <v>1.049585</v>
      </c>
      <c r="L5707">
        <v>12.149319999999999</v>
      </c>
      <c r="M5707">
        <v>0.8112627</v>
      </c>
      <c r="N5707">
        <v>0</v>
      </c>
      <c r="O5707">
        <v>-0.58450069999999998</v>
      </c>
      <c r="P5707">
        <v>0.67364429999999997</v>
      </c>
      <c r="Q5707">
        <v>-1.1911130000000001E-2</v>
      </c>
      <c r="R5707">
        <v>-0.7389599</v>
      </c>
      <c r="S5707">
        <v>1.367035</v>
      </c>
      <c r="T5707">
        <v>-8.3213930000000005E-2</v>
      </c>
      <c r="U5707">
        <v>-2.863159</v>
      </c>
      <c r="V5707">
        <v>0.20577960000000001</v>
      </c>
      <c r="W5707">
        <v>-3.8799499999999997E-4</v>
      </c>
      <c r="X5707">
        <v>0.97859830000000003</v>
      </c>
      <c r="Y5707">
        <v>0.4803154</v>
      </c>
      <c r="Z5707">
        <v>9.8842569999999901E-3</v>
      </c>
      <c r="AA5707">
        <v>0.87704009999999999</v>
      </c>
      <c r="AB5707">
        <v>21</v>
      </c>
      <c r="AC5707">
        <v>16.677399999999999</v>
      </c>
      <c r="AD5707">
        <v>-1.0495889465020001</v>
      </c>
      <c r="AE5707">
        <v>-35.68994</v>
      </c>
      <c r="AF5707">
        <v>19.194373678301002</v>
      </c>
      <c r="AG5707">
        <v>-1.0495889465020001</v>
      </c>
      <c r="AH5707">
        <v>34.369791633837998</v>
      </c>
      <c r="AI5707">
        <v>91.527264539765497</v>
      </c>
      <c r="AJ5707">
        <v>60.818109153660103</v>
      </c>
      <c r="AK5707">
        <v>39.380302116823799</v>
      </c>
    </row>
    <row r="5708" spans="1:37" x14ac:dyDescent="0.2">
      <c r="A5708" t="str">
        <f>"20200111155708361"</f>
        <v>20200111155708361</v>
      </c>
      <c r="B5708" t="str">
        <f>"1578729428358842"</f>
        <v>1578729428358842</v>
      </c>
      <c r="C5708" t="s">
        <v>37</v>
      </c>
      <c r="D5708">
        <v>4.9927599999999996</v>
      </c>
      <c r="E5708">
        <v>0.69019039999999998</v>
      </c>
      <c r="F5708" t="s">
        <v>94</v>
      </c>
      <c r="G5708">
        <v>-286.9144</v>
      </c>
      <c r="H5708">
        <v>1.071758</v>
      </c>
      <c r="I5708">
        <v>-80.464519999999993</v>
      </c>
      <c r="J5708">
        <v>-309.85570000000001</v>
      </c>
      <c r="K5708">
        <v>1.048856</v>
      </c>
      <c r="L5708">
        <v>11.22897</v>
      </c>
      <c r="M5708">
        <v>0.7715611</v>
      </c>
      <c r="N5708">
        <v>0</v>
      </c>
      <c r="O5708">
        <v>-0.63598869999999996</v>
      </c>
      <c r="P5708">
        <v>0.62493969999999999</v>
      </c>
      <c r="Q5708">
        <v>-1.2202279999999999E-2</v>
      </c>
      <c r="R5708">
        <v>-0.78057759999999998</v>
      </c>
      <c r="S5708">
        <v>0.85171509999999995</v>
      </c>
      <c r="T5708">
        <v>7.8654289999999997E-4</v>
      </c>
      <c r="U5708">
        <v>-3.2833559999999999</v>
      </c>
      <c r="V5708">
        <v>0.2048382</v>
      </c>
      <c r="W5708">
        <v>-9.7759670000000009E-4</v>
      </c>
      <c r="X5708">
        <v>0.97879530000000003</v>
      </c>
      <c r="Y5708">
        <v>0.58721230000000002</v>
      </c>
      <c r="Z5708" s="1">
        <v>-8.9421290000000003E-5</v>
      </c>
      <c r="AA5708">
        <v>0.80943299999999996</v>
      </c>
      <c r="AB5708">
        <v>21</v>
      </c>
      <c r="AC5708">
        <v>22.941299999999998</v>
      </c>
      <c r="AD5708">
        <v>2.2901999999999902E-2</v>
      </c>
      <c r="AE5708">
        <v>-91.693489999999997</v>
      </c>
      <c r="AF5708">
        <v>56.1626682804567</v>
      </c>
      <c r="AG5708">
        <v>2.2901999999999902E-2</v>
      </c>
      <c r="AH5708">
        <v>76.024686758225798</v>
      </c>
      <c r="AI5708">
        <v>89.986117326769801</v>
      </c>
      <c r="AJ5708">
        <v>53.545141929305601</v>
      </c>
      <c r="AK5708">
        <v>94.519832995877493</v>
      </c>
    </row>
    <row r="5709" spans="1:37" x14ac:dyDescent="0.2">
      <c r="A5709" t="str">
        <f>"20200111155708375"</f>
        <v>20200111155708375</v>
      </c>
      <c r="B5709" t="str">
        <f>"1578729428368601"</f>
        <v>1578729428368601</v>
      </c>
      <c r="C5709" t="s">
        <v>37</v>
      </c>
      <c r="D5709">
        <v>5.0346630000000001</v>
      </c>
      <c r="E5709">
        <v>0.68561629999999996</v>
      </c>
      <c r="F5709" t="s">
        <v>75</v>
      </c>
      <c r="G5709">
        <v>-292.72019999999998</v>
      </c>
      <c r="H5709">
        <v>3.4612879999999999E-2</v>
      </c>
      <c r="I5709">
        <v>-70.38373</v>
      </c>
      <c r="J5709">
        <v>-309.75259999999997</v>
      </c>
      <c r="K5709">
        <v>1.048807</v>
      </c>
      <c r="L5709">
        <v>11.13406</v>
      </c>
      <c r="M5709">
        <v>0.76721569999999994</v>
      </c>
      <c r="N5709">
        <v>0</v>
      </c>
      <c r="O5709">
        <v>-0.64122369999999995</v>
      </c>
      <c r="P5709">
        <v>0.61948149999999902</v>
      </c>
      <c r="Q5709">
        <v>-1.269908E-2</v>
      </c>
      <c r="R5709">
        <v>-0.78490859999999996</v>
      </c>
      <c r="S5709">
        <v>0.69070430000000005</v>
      </c>
      <c r="T5709">
        <v>-4.0882469999999997E-2</v>
      </c>
      <c r="U5709">
        <v>-3.2896730000000001</v>
      </c>
      <c r="V5709">
        <v>0.20499009999999901</v>
      </c>
      <c r="W5709">
        <v>-1.490917E-3</v>
      </c>
      <c r="X5709">
        <v>0.97876289999999999</v>
      </c>
      <c r="Y5709">
        <v>0.61914559999999996</v>
      </c>
      <c r="Z5709">
        <v>4.562923E-3</v>
      </c>
      <c r="AA5709">
        <v>0.78526300000000004</v>
      </c>
      <c r="AB5709">
        <v>21</v>
      </c>
      <c r="AC5709">
        <v>17.0323999999999</v>
      </c>
      <c r="AD5709">
        <v>-1.01419412</v>
      </c>
      <c r="AE5709">
        <v>-81.517790000000005</v>
      </c>
      <c r="AF5709">
        <v>51.6179728464381</v>
      </c>
      <c r="AG5709">
        <v>-1.01419412</v>
      </c>
      <c r="AH5709">
        <v>65.335908148676396</v>
      </c>
      <c r="AI5709">
        <v>90.697839431786704</v>
      </c>
      <c r="AJ5709">
        <v>51.689857655043603</v>
      </c>
      <c r="AK5709">
        <v>83.271991714507095</v>
      </c>
    </row>
    <row r="5710" spans="1:37" x14ac:dyDescent="0.2">
      <c r="A5710" t="str">
        <f>"20200111155708390"</f>
        <v>20200111155708390</v>
      </c>
      <c r="B5710" t="str">
        <f>"1578729428378361"</f>
        <v>1578729428378361</v>
      </c>
      <c r="C5710" t="s">
        <v>37</v>
      </c>
      <c r="D5710">
        <v>5.0526049999999998</v>
      </c>
      <c r="E5710">
        <v>0.68280680000000005</v>
      </c>
      <c r="F5710" t="s">
        <v>38</v>
      </c>
      <c r="G5710">
        <v>-299.1232</v>
      </c>
      <c r="H5710" s="1">
        <v>-8.2702169999999897E-7</v>
      </c>
      <c r="I5710">
        <v>-38.801940000000002</v>
      </c>
      <c r="J5710">
        <v>-309.65809999999999</v>
      </c>
      <c r="K5710">
        <v>1.0487690000000001</v>
      </c>
      <c r="L5710">
        <v>11.04565</v>
      </c>
      <c r="M5710">
        <v>0.76313569999999997</v>
      </c>
      <c r="N5710">
        <v>0</v>
      </c>
      <c r="O5710">
        <v>-0.64607409999999998</v>
      </c>
      <c r="P5710">
        <v>0.61436369999999996</v>
      </c>
      <c r="Q5710">
        <v>-1.3699940000000001E-2</v>
      </c>
      <c r="R5710">
        <v>-0.7889043</v>
      </c>
      <c r="S5710">
        <v>0.69635009999999997</v>
      </c>
      <c r="T5710">
        <v>-6.8709190000000003E-2</v>
      </c>
      <c r="U5710">
        <v>-3.2713930000000002</v>
      </c>
      <c r="V5710">
        <v>0.20512369999999999</v>
      </c>
      <c r="W5710">
        <v>-2.5031440000000001E-3</v>
      </c>
      <c r="X5710">
        <v>0.97873290000000002</v>
      </c>
      <c r="Y5710">
        <v>0.61195519999999903</v>
      </c>
      <c r="Z5710">
        <v>7.9149549999999996E-3</v>
      </c>
      <c r="AA5710">
        <v>0.79085280000000002</v>
      </c>
      <c r="AB5710">
        <v>21</v>
      </c>
      <c r="AC5710">
        <v>10.534899999999899</v>
      </c>
      <c r="AD5710">
        <v>-1.0487698270217001</v>
      </c>
      <c r="AE5710">
        <v>-49.847589999999997</v>
      </c>
      <c r="AF5710">
        <v>31.224232495254601</v>
      </c>
      <c r="AG5710">
        <v>-1.0487698270217001</v>
      </c>
      <c r="AH5710">
        <v>40.232017262791203</v>
      </c>
      <c r="AI5710">
        <v>91.179757160928105</v>
      </c>
      <c r="AJ5710">
        <v>52.1848155231947</v>
      </c>
      <c r="AK5710">
        <v>50.937882033917703</v>
      </c>
    </row>
    <row r="5711" spans="1:37" x14ac:dyDescent="0.2">
      <c r="A5711" t="str">
        <f>"20200111155708415"</f>
        <v>20200111155708415</v>
      </c>
      <c r="B5711" t="str">
        <f>"1578729428408617"</f>
        <v>1578729428408617</v>
      </c>
      <c r="C5711" t="s">
        <v>37</v>
      </c>
      <c r="D5711">
        <v>5.0982659999999997</v>
      </c>
      <c r="E5711">
        <v>0.67886210000000002</v>
      </c>
      <c r="F5711" t="s">
        <v>38</v>
      </c>
      <c r="G5711">
        <v>-301.37670000000003</v>
      </c>
      <c r="H5711" s="1">
        <v>-1.4237240000000001E-6</v>
      </c>
      <c r="I5711">
        <v>-27.94604</v>
      </c>
      <c r="J5711">
        <v>-309.47519999999997</v>
      </c>
      <c r="K5711">
        <v>1.0487040000000001</v>
      </c>
      <c r="L5711">
        <v>10.87161</v>
      </c>
      <c r="M5711">
        <v>0.7550308</v>
      </c>
      <c r="N5711">
        <v>0</v>
      </c>
      <c r="O5711">
        <v>-0.65552759999999999</v>
      </c>
      <c r="P5711">
        <v>0.60396680000000003</v>
      </c>
      <c r="Q5711">
        <v>-1.6719709999999999E-2</v>
      </c>
      <c r="R5711">
        <v>-0.79683419999999905</v>
      </c>
      <c r="S5711">
        <v>0.69274899999999995</v>
      </c>
      <c r="T5711">
        <v>-8.7731359999999994E-2</v>
      </c>
      <c r="U5711">
        <v>-3.2617189999999998</v>
      </c>
      <c r="V5711">
        <v>0.20567919999999901</v>
      </c>
      <c r="W5711">
        <v>-5.5452269999999998E-3</v>
      </c>
      <c r="X5711">
        <v>0.97860380000000002</v>
      </c>
      <c r="Y5711">
        <v>0.60241460000000002</v>
      </c>
      <c r="Z5711">
        <v>1.059061E-2</v>
      </c>
      <c r="AA5711">
        <v>0.79811309999999902</v>
      </c>
      <c r="AB5711">
        <v>21</v>
      </c>
      <c r="AC5711">
        <v>8.0984999999999392</v>
      </c>
      <c r="AD5711">
        <v>-1.0487054237240001</v>
      </c>
      <c r="AE5711">
        <v>-38.81765</v>
      </c>
      <c r="AF5711">
        <v>23.9854999071521</v>
      </c>
      <c r="AG5711">
        <v>-1.0487054237240001</v>
      </c>
      <c r="AH5711">
        <v>31.541943303537899</v>
      </c>
      <c r="AI5711">
        <v>91.515994124827998</v>
      </c>
      <c r="AJ5711">
        <v>52.749483364146897</v>
      </c>
      <c r="AK5711">
        <v>39.639603633554898</v>
      </c>
    </row>
    <row r="5712" spans="1:37" x14ac:dyDescent="0.2">
      <c r="A5712" t="str">
        <f>"20200111155708536"</f>
        <v>20200111155708536</v>
      </c>
      <c r="B5712" t="str">
        <f>"1578729428528665"</f>
        <v>1578729428528665</v>
      </c>
      <c r="C5712" t="s">
        <v>37</v>
      </c>
      <c r="D5712">
        <v>6.0587970000000002</v>
      </c>
      <c r="E5712">
        <v>0.67886210000000002</v>
      </c>
      <c r="F5712" t="s">
        <v>38</v>
      </c>
      <c r="G5712">
        <v>-303.39359999999999</v>
      </c>
      <c r="H5712" s="1">
        <v>-1.761684E-6</v>
      </c>
      <c r="I5712">
        <v>-18.409189999999999</v>
      </c>
      <c r="J5712">
        <v>-308.67270000000002</v>
      </c>
      <c r="K5712">
        <v>1.0485709999999999</v>
      </c>
      <c r="L5712">
        <v>10.049289999999999</v>
      </c>
      <c r="M5712">
        <v>0.71576289999999998</v>
      </c>
      <c r="N5712">
        <v>0</v>
      </c>
      <c r="O5712">
        <v>-0.69819059999999999</v>
      </c>
      <c r="P5712">
        <v>0.55501199999999995</v>
      </c>
      <c r="Q5712">
        <v>-2.4153150000000002E-2</v>
      </c>
      <c r="R5712">
        <v>-0.83149209999999996</v>
      </c>
      <c r="S5712">
        <v>0.67517090000000002</v>
      </c>
      <c r="T5712">
        <v>-0.1164265</v>
      </c>
      <c r="U5712">
        <v>-3.2507320000000002</v>
      </c>
      <c r="V5712">
        <v>0.20749519999999999</v>
      </c>
      <c r="W5712">
        <v>-1.301886E-2</v>
      </c>
      <c r="X5712">
        <v>0.97814939999999995</v>
      </c>
      <c r="Y5712">
        <v>0.55887589999999998</v>
      </c>
      <c r="Z5712">
        <v>1.680891E-2</v>
      </c>
      <c r="AA5712">
        <v>0.82908090000000001</v>
      </c>
      <c r="AB5712">
        <v>21</v>
      </c>
      <c r="AC5712">
        <v>5.2791000000000201</v>
      </c>
      <c r="AD5712">
        <v>-1.0485727616839999</v>
      </c>
      <c r="AE5712">
        <v>-28.458479999999899</v>
      </c>
      <c r="AF5712">
        <v>16.663616199832099</v>
      </c>
      <c r="AG5712">
        <v>-1.0485727616839999</v>
      </c>
      <c r="AH5712">
        <v>23.619550964042201</v>
      </c>
      <c r="AI5712">
        <v>92.077505496636803</v>
      </c>
      <c r="AJ5712">
        <v>54.796994094081398</v>
      </c>
      <c r="AK5712">
        <v>28.925054838925401</v>
      </c>
    </row>
    <row r="5713" spans="1:37" x14ac:dyDescent="0.2">
      <c r="A5713" t="str">
        <f>"20200111155708557"</f>
        <v>20200111155708557</v>
      </c>
      <c r="B5713" t="str">
        <f>"1578729428549161"</f>
        <v>1578729428549161</v>
      </c>
      <c r="C5713" t="s">
        <v>37</v>
      </c>
      <c r="D5713">
        <v>5.1061209999999999</v>
      </c>
      <c r="E5713">
        <v>0.47032309999999999</v>
      </c>
      <c r="F5713" t="s">
        <v>38</v>
      </c>
      <c r="G5713">
        <v>-304.86180000000002</v>
      </c>
      <c r="H5713" s="1">
        <v>-3.1328060000000001E-6</v>
      </c>
      <c r="I5713">
        <v>-16.123619999999999</v>
      </c>
      <c r="J5713">
        <v>-308.53379999999999</v>
      </c>
      <c r="K5713">
        <v>1.048548</v>
      </c>
      <c r="L5713">
        <v>9.8965149999999902</v>
      </c>
      <c r="M5713">
        <v>0.70830740000000003</v>
      </c>
      <c r="N5713">
        <v>0</v>
      </c>
      <c r="O5713">
        <v>-0.70575279999999996</v>
      </c>
      <c r="P5713">
        <v>0.54613420000000001</v>
      </c>
      <c r="Q5713">
        <v>-2.5414050000000001E-2</v>
      </c>
      <c r="R5713">
        <v>-0.83731239999999996</v>
      </c>
      <c r="S5713">
        <v>0.478302</v>
      </c>
      <c r="T5713">
        <v>-0.13160339999999901</v>
      </c>
      <c r="U5713">
        <v>-3.2848820000000001</v>
      </c>
      <c r="V5713">
        <v>0.2074675</v>
      </c>
      <c r="W5713">
        <v>-1.4281469999999999E-2</v>
      </c>
      <c r="X5713">
        <v>0.9781377</v>
      </c>
      <c r="Y5713">
        <v>0.59925550000000005</v>
      </c>
      <c r="Z5713">
        <v>1.8624700000000001E-2</v>
      </c>
      <c r="AA5713">
        <v>0.80034119999999997</v>
      </c>
      <c r="AB5713">
        <v>21</v>
      </c>
      <c r="AC5713">
        <v>3.6719999999999602</v>
      </c>
      <c r="AD5713">
        <v>-1.048551132806</v>
      </c>
      <c r="AE5713">
        <v>-26.020135</v>
      </c>
      <c r="AF5713">
        <v>15.8152408984418</v>
      </c>
      <c r="AG5713">
        <v>-1.048551132806</v>
      </c>
      <c r="AH5713">
        <v>20.9335970707039</v>
      </c>
      <c r="AI5713">
        <v>92.288655977584298</v>
      </c>
      <c r="AJ5713">
        <v>52.929112836984302</v>
      </c>
      <c r="AK5713">
        <v>26.2571283744517</v>
      </c>
    </row>
    <row r="5714" spans="1:37" x14ac:dyDescent="0.2">
      <c r="A5714" t="str">
        <f>"20200111155708574"</f>
        <v>20200111155708574</v>
      </c>
      <c r="B5714" t="str">
        <f>"1578729428568682"</f>
        <v>1578729428568682</v>
      </c>
      <c r="C5714" t="s">
        <v>37</v>
      </c>
      <c r="D5714">
        <v>5.0902640000000003</v>
      </c>
      <c r="E5714">
        <v>0.47032309999999999</v>
      </c>
      <c r="F5714" t="s">
        <v>81</v>
      </c>
      <c r="G5714">
        <v>-282.32900000000001</v>
      </c>
      <c r="H5714">
        <v>5.8657250000000003</v>
      </c>
      <c r="I5714">
        <v>-24.211659999999998</v>
      </c>
      <c r="J5714">
        <v>-308.43200000000002</v>
      </c>
      <c r="K5714">
        <v>1.04853</v>
      </c>
      <c r="L5714">
        <v>9.7820739999999997</v>
      </c>
      <c r="M5714">
        <v>0.70268759999999997</v>
      </c>
      <c r="N5714">
        <v>0</v>
      </c>
      <c r="O5714">
        <v>-0.71134849999999905</v>
      </c>
      <c r="P5714">
        <v>0.53937599999999997</v>
      </c>
      <c r="Q5714">
        <v>-2.560925E-2</v>
      </c>
      <c r="R5714">
        <v>-0.84167569999999903</v>
      </c>
      <c r="S5714">
        <v>1.8390200000000001</v>
      </c>
      <c r="T5714">
        <v>0.33806439999999999</v>
      </c>
      <c r="U5714">
        <v>-2.3936769999999998</v>
      </c>
      <c r="V5714">
        <v>0.20757600000000001</v>
      </c>
      <c r="W5714">
        <v>-1.44812E-2</v>
      </c>
      <c r="X5714">
        <v>0.97811170000000003</v>
      </c>
      <c r="Y5714">
        <v>0.1262036</v>
      </c>
      <c r="Z5714">
        <v>-7.4333940000000001E-2</v>
      </c>
      <c r="AA5714">
        <v>0.98921539999999997</v>
      </c>
      <c r="AB5714">
        <v>21</v>
      </c>
      <c r="AC5714">
        <v>26.103000000000002</v>
      </c>
      <c r="AD5714">
        <v>4.8171949999999999</v>
      </c>
      <c r="AE5714">
        <v>-33.993734000000003</v>
      </c>
      <c r="AF5714">
        <v>5.2528558634662001</v>
      </c>
      <c r="AG5714">
        <v>4.8171949999999999</v>
      </c>
      <c r="AH5714">
        <v>41.997644951733697</v>
      </c>
      <c r="AI5714">
        <v>83.506835453049007</v>
      </c>
      <c r="AJ5714">
        <v>82.870752051533302</v>
      </c>
      <c r="AK5714">
        <v>42.598122539406198</v>
      </c>
    </row>
    <row r="5715" spans="1:37" x14ac:dyDescent="0.2">
      <c r="A5715" t="str">
        <f>"20200111155708614"</f>
        <v>20200111155708614</v>
      </c>
      <c r="B5715" t="str">
        <f>"1578729428608697"</f>
        <v>1578729428608697</v>
      </c>
      <c r="C5715" t="s">
        <v>37</v>
      </c>
      <c r="D5715">
        <v>5.0928649999999998</v>
      </c>
      <c r="E5715">
        <v>0.47032309999999999</v>
      </c>
      <c r="F5715" t="s">
        <v>81</v>
      </c>
      <c r="G5715">
        <v>-282.32900000000001</v>
      </c>
      <c r="H5715">
        <v>5.8904949999999996</v>
      </c>
      <c r="I5715">
        <v>-24.768179999999901</v>
      </c>
      <c r="J5715">
        <v>-308.1823</v>
      </c>
      <c r="K5715">
        <v>1.0484819999999999</v>
      </c>
      <c r="L5715">
        <v>9.4936830000000008</v>
      </c>
      <c r="M5715">
        <v>0.68836560000000002</v>
      </c>
      <c r="N5715">
        <v>0</v>
      </c>
      <c r="O5715">
        <v>-0.72521639999999998</v>
      </c>
      <c r="P5715">
        <v>0.52198409999999995</v>
      </c>
      <c r="Q5715">
        <v>-2.524972E-2</v>
      </c>
      <c r="R5715">
        <v>-0.852581699999999</v>
      </c>
      <c r="S5715">
        <v>1.8196410000000001</v>
      </c>
      <c r="T5715">
        <v>0.33753369999999999</v>
      </c>
      <c r="U5715">
        <v>-2.4085079999999999</v>
      </c>
      <c r="V5715">
        <v>0.20816579999999901</v>
      </c>
      <c r="W5715">
        <v>-1.4142180000000001E-2</v>
      </c>
      <c r="X5715">
        <v>0.97799130000000001</v>
      </c>
      <c r="Y5715">
        <v>0.1144918</v>
      </c>
      <c r="Z5715">
        <v>-7.6310840000000005E-2</v>
      </c>
      <c r="AA5715">
        <v>0.99048890000000001</v>
      </c>
      <c r="AB5715">
        <v>21</v>
      </c>
      <c r="AC5715">
        <v>25.853299999999901</v>
      </c>
      <c r="AD5715">
        <v>4.8420129999999997</v>
      </c>
      <c r="AE5715">
        <v>-34.261862999999998</v>
      </c>
      <c r="AF5715">
        <v>4.7751979791770998</v>
      </c>
      <c r="AG5715">
        <v>4.8420129999999997</v>
      </c>
      <c r="AH5715">
        <v>42.112418981732397</v>
      </c>
      <c r="AI5715">
        <v>83.482436230244801</v>
      </c>
      <c r="AJ5715">
        <v>83.530767243150706</v>
      </c>
      <c r="AK5715">
        <v>42.657982115021397</v>
      </c>
    </row>
    <row r="5716" spans="1:37" x14ac:dyDescent="0.2">
      <c r="A5716" t="str">
        <f>"20200111155708629"</f>
        <v>20200111155708629</v>
      </c>
      <c r="B5716" t="str">
        <f>"1578729428618457"</f>
        <v>1578729428618457</v>
      </c>
      <c r="C5716" t="s">
        <v>37</v>
      </c>
      <c r="D5716">
        <v>4.9541379999999897</v>
      </c>
      <c r="E5716">
        <v>0.65035750000000003</v>
      </c>
      <c r="F5716" t="s">
        <v>81</v>
      </c>
      <c r="G5716">
        <v>-282.32900000000001</v>
      </c>
      <c r="H5716">
        <v>5.9999830000000003</v>
      </c>
      <c r="I5716">
        <v>-26.24203</v>
      </c>
      <c r="J5716">
        <v>-308.09300000000002</v>
      </c>
      <c r="K5716">
        <v>1.048465</v>
      </c>
      <c r="L5716">
        <v>9.3873289999999994</v>
      </c>
      <c r="M5716">
        <v>0.68302640000000003</v>
      </c>
      <c r="N5716">
        <v>0</v>
      </c>
      <c r="O5716">
        <v>-0.73024699999999998</v>
      </c>
      <c r="P5716">
        <v>0.51569379999999998</v>
      </c>
      <c r="Q5716">
        <v>-2.4861729999999999E-2</v>
      </c>
      <c r="R5716">
        <v>-0.85641229999999902</v>
      </c>
      <c r="S5716">
        <v>1.7692570000000001</v>
      </c>
      <c r="T5716">
        <v>0.3388524</v>
      </c>
      <c r="U5716">
        <v>-2.445557</v>
      </c>
      <c r="V5716">
        <v>0.208203</v>
      </c>
      <c r="W5716">
        <v>-1.3758950000000001E-2</v>
      </c>
      <c r="X5716">
        <v>0.97798879999999999</v>
      </c>
      <c r="Y5716">
        <v>0.127715</v>
      </c>
      <c r="Z5716">
        <v>-7.6694040000000005E-2</v>
      </c>
      <c r="AA5716">
        <v>0.98884119999999998</v>
      </c>
      <c r="AB5716">
        <v>21</v>
      </c>
      <c r="AC5716">
        <v>25.763999999999999</v>
      </c>
      <c r="AD5716">
        <v>4.9515180000000001</v>
      </c>
      <c r="AE5716">
        <v>-35.629359000000001</v>
      </c>
      <c r="AF5716">
        <v>5.4531432736852601</v>
      </c>
      <c r="AG5716">
        <v>4.9515180000000001</v>
      </c>
      <c r="AH5716">
        <v>43.074126369946697</v>
      </c>
      <c r="AI5716">
        <v>83.493917539348999</v>
      </c>
      <c r="AJ5716">
        <v>82.784792447369796</v>
      </c>
      <c r="AK5716">
        <v>43.699366867287701</v>
      </c>
    </row>
    <row r="5717" spans="1:37" x14ac:dyDescent="0.2">
      <c r="A5717" t="str">
        <f>"20200111155708647"</f>
        <v>20200111155708647</v>
      </c>
      <c r="B5717" t="str">
        <f>"1578729428638952"</f>
        <v>1578729428638952</v>
      </c>
      <c r="C5717" t="s">
        <v>37</v>
      </c>
      <c r="D5717">
        <v>5.2767419999999996</v>
      </c>
      <c r="E5717">
        <v>0.64823039999999998</v>
      </c>
      <c r="F5717" t="s">
        <v>38</v>
      </c>
      <c r="G5717">
        <v>-304.12689999999998</v>
      </c>
      <c r="H5717" s="1">
        <v>-3.4448520000000002E-6</v>
      </c>
      <c r="I5717">
        <v>-14.94046</v>
      </c>
      <c r="J5717">
        <v>-307.98289999999997</v>
      </c>
      <c r="K5717">
        <v>1.0484450000000001</v>
      </c>
      <c r="L5717">
        <v>9.2541200000000003</v>
      </c>
      <c r="M5717">
        <v>0.67629300000000003</v>
      </c>
      <c r="N5717">
        <v>0</v>
      </c>
      <c r="O5717">
        <v>-0.73648729999999996</v>
      </c>
      <c r="P5717">
        <v>0.5079439</v>
      </c>
      <c r="Q5717">
        <v>-2.330467E-2</v>
      </c>
      <c r="R5717">
        <v>-0.86107509999999998</v>
      </c>
      <c r="S5717">
        <v>0.51943969999999995</v>
      </c>
      <c r="T5717">
        <v>-0.1373183</v>
      </c>
      <c r="U5717">
        <v>-3.1862180000000002</v>
      </c>
      <c r="V5717">
        <v>0.20810290000000001</v>
      </c>
      <c r="W5717">
        <v>-1.220487E-2</v>
      </c>
      <c r="X5717">
        <v>0.97803079999999998</v>
      </c>
      <c r="Y5717">
        <v>0.5490313</v>
      </c>
      <c r="Z5717">
        <v>2.2710009999999999E-2</v>
      </c>
      <c r="AA5717">
        <v>0.83549319999999905</v>
      </c>
      <c r="AB5717">
        <v>21</v>
      </c>
      <c r="AC5717">
        <v>3.8559999999999901</v>
      </c>
      <c r="AD5717">
        <v>-1.0484484448519999</v>
      </c>
      <c r="AE5717">
        <v>-24.194579999999998</v>
      </c>
      <c r="AF5717">
        <v>13.499456973227099</v>
      </c>
      <c r="AG5717">
        <v>-1.0484484448519999</v>
      </c>
      <c r="AH5717">
        <v>20.391631494725299</v>
      </c>
      <c r="AI5717">
        <v>92.454899124415604</v>
      </c>
      <c r="AJ5717">
        <v>56.495056114514398</v>
      </c>
      <c r="AK5717">
        <v>24.477606454271498</v>
      </c>
    </row>
    <row r="5718" spans="1:37" x14ac:dyDescent="0.2">
      <c r="A5718" t="str">
        <f>"20200111155708670"</f>
        <v>20200111155708670</v>
      </c>
      <c r="B5718" t="str">
        <f>"1578729428658473"</f>
        <v>1578729428658473</v>
      </c>
      <c r="C5718" t="s">
        <v>37</v>
      </c>
      <c r="D5718">
        <v>5.1081839999999996</v>
      </c>
      <c r="E5718">
        <v>0.64709059999999996</v>
      </c>
      <c r="F5718" t="s">
        <v>38</v>
      </c>
      <c r="G5718">
        <v>-304.2978</v>
      </c>
      <c r="H5718" s="1">
        <v>-3.8479909999999998E-6</v>
      </c>
      <c r="I5718">
        <v>-13.945929999999899</v>
      </c>
      <c r="J5718">
        <v>-307.84989999999999</v>
      </c>
      <c r="K5718">
        <v>1.048422</v>
      </c>
      <c r="L5718">
        <v>9.0895689999999991</v>
      </c>
      <c r="M5718">
        <v>0.66790629999999995</v>
      </c>
      <c r="N5718">
        <v>0</v>
      </c>
      <c r="O5718">
        <v>-0.74410100000000001</v>
      </c>
      <c r="P5718">
        <v>0.49814579999999897</v>
      </c>
      <c r="Q5718">
        <v>-2.134262E-2</v>
      </c>
      <c r="R5718">
        <v>-0.86683060000000001</v>
      </c>
      <c r="S5718">
        <v>0.50543209999999905</v>
      </c>
      <c r="T5718">
        <v>-0.14379879999999901</v>
      </c>
      <c r="U5718">
        <v>-3.1819759999999899</v>
      </c>
      <c r="V5718">
        <v>0.2081788</v>
      </c>
      <c r="W5718">
        <v>-1.02498E-2</v>
      </c>
      <c r="X5718">
        <v>0.97803709999999899</v>
      </c>
      <c r="Y5718">
        <v>0.54296109999999997</v>
      </c>
      <c r="Z5718">
        <v>2.43960999999999E-2</v>
      </c>
      <c r="AA5718">
        <v>0.83940349999999997</v>
      </c>
      <c r="AB5718">
        <v>21</v>
      </c>
      <c r="AC5718">
        <v>3.55209999999999</v>
      </c>
      <c r="AD5718">
        <v>-1.048425847991</v>
      </c>
      <c r="AE5718">
        <v>-23.035499000000002</v>
      </c>
      <c r="AF5718">
        <v>12.718069680243801</v>
      </c>
      <c r="AG5718">
        <v>-1.048425847991</v>
      </c>
      <c r="AH5718">
        <v>19.475897744552402</v>
      </c>
      <c r="AI5718">
        <v>92.580737557302001</v>
      </c>
      <c r="AJ5718">
        <v>56.854827193862597</v>
      </c>
      <c r="AK5718">
        <v>23.284309869664099</v>
      </c>
    </row>
    <row r="5719" spans="1:37" x14ac:dyDescent="0.2">
      <c r="A5719" t="str">
        <f>"20200111155708692"</f>
        <v>20200111155708692</v>
      </c>
      <c r="B5719" t="str">
        <f>"1578729428688729"</f>
        <v>1578729428688729</v>
      </c>
      <c r="C5719" t="s">
        <v>37</v>
      </c>
      <c r="D5719">
        <v>4.9783160000000004</v>
      </c>
      <c r="E5719">
        <v>0.64441969999999904</v>
      </c>
      <c r="F5719" t="s">
        <v>38</v>
      </c>
      <c r="G5719">
        <v>-304.38409999999999</v>
      </c>
      <c r="H5719" s="1">
        <v>-3.8344269999999998E-6</v>
      </c>
      <c r="I5719">
        <v>-14.030749999999999</v>
      </c>
      <c r="J5719">
        <v>-307.72000000000003</v>
      </c>
      <c r="K5719">
        <v>1.0484009999999999</v>
      </c>
      <c r="L5719">
        <v>8.9249880000000008</v>
      </c>
      <c r="M5719">
        <v>0.65944099999999894</v>
      </c>
      <c r="N5719">
        <v>0</v>
      </c>
      <c r="O5719">
        <v>-0.75161319999999998</v>
      </c>
      <c r="P5719">
        <v>0.48875649999999998</v>
      </c>
      <c r="Q5719">
        <v>-1.940979E-2</v>
      </c>
      <c r="R5719">
        <v>-0.87220419999999999</v>
      </c>
      <c r="S5719">
        <v>0.47717290000000001</v>
      </c>
      <c r="T5719">
        <v>-0.14434549999999999</v>
      </c>
      <c r="U5719">
        <v>-3.1831669999999899</v>
      </c>
      <c r="V5719">
        <v>0.2077292</v>
      </c>
      <c r="W5719">
        <v>-8.3129850000000002E-3</v>
      </c>
      <c r="X5719">
        <v>0.97815110000000005</v>
      </c>
      <c r="Y5719">
        <v>0.54078459999999995</v>
      </c>
      <c r="Z5719">
        <v>2.500254E-2</v>
      </c>
      <c r="AA5719">
        <v>0.84078940000000002</v>
      </c>
      <c r="AB5719">
        <v>21</v>
      </c>
      <c r="AC5719">
        <v>3.3359000000000298</v>
      </c>
      <c r="AD5719">
        <v>-1.0484048344269901</v>
      </c>
      <c r="AE5719">
        <v>-22.955738</v>
      </c>
      <c r="AF5719">
        <v>12.606256890027201</v>
      </c>
      <c r="AG5719">
        <v>-1.0484048344269901</v>
      </c>
      <c r="AH5719">
        <v>19.416097319189301</v>
      </c>
      <c r="AI5719">
        <v>92.593057115701598</v>
      </c>
      <c r="AJ5719">
        <v>57.005613066493403</v>
      </c>
      <c r="AK5719">
        <v>23.173297145258299</v>
      </c>
    </row>
    <row r="5720" spans="1:37" x14ac:dyDescent="0.2">
      <c r="A5720" t="str">
        <f>"20200111155708707"</f>
        <v>20200111155708707</v>
      </c>
      <c r="B5720" t="str">
        <f>"1578729428698612"</f>
        <v>1578729428698612</v>
      </c>
      <c r="C5720" t="s">
        <v>37</v>
      </c>
      <c r="D5720">
        <v>5.2323740000000001</v>
      </c>
      <c r="E5720">
        <v>0.64167019999999997</v>
      </c>
      <c r="F5720" t="s">
        <v>38</v>
      </c>
      <c r="G5720">
        <v>-304.67750000000001</v>
      </c>
      <c r="H5720" s="1">
        <v>-4.571223E-6</v>
      </c>
      <c r="I5720">
        <v>-12.018599999999999</v>
      </c>
      <c r="J5720">
        <v>-307.63260000000002</v>
      </c>
      <c r="K5720">
        <v>1.048384</v>
      </c>
      <c r="L5720">
        <v>8.8118289999999995</v>
      </c>
      <c r="M5720">
        <v>0.65357880000000002</v>
      </c>
      <c r="N5720">
        <v>0</v>
      </c>
      <c r="O5720">
        <v>-0.75671619999999995</v>
      </c>
      <c r="P5720">
        <v>0.48224459999999902</v>
      </c>
      <c r="Q5720">
        <v>-1.863766E-2</v>
      </c>
      <c r="R5720">
        <v>-0.87583849999999996</v>
      </c>
      <c r="S5720">
        <v>0.4615784</v>
      </c>
      <c r="T5720">
        <v>-0.159053</v>
      </c>
      <c r="U5720">
        <v>-3.1773380000000002</v>
      </c>
      <c r="V5720">
        <v>0.2074367</v>
      </c>
      <c r="W5720">
        <v>-7.5379890000000001E-3</v>
      </c>
      <c r="X5720">
        <v>0.97821939999999996</v>
      </c>
      <c r="Y5720">
        <v>0.53805819999999904</v>
      </c>
      <c r="Z5720">
        <v>2.8008620000000001E-2</v>
      </c>
      <c r="AA5720">
        <v>0.84244219999999903</v>
      </c>
      <c r="AB5720">
        <v>21</v>
      </c>
      <c r="AC5720">
        <v>2.9551000000000101</v>
      </c>
      <c r="AD5720">
        <v>-1.0483885712229899</v>
      </c>
      <c r="AE5720">
        <v>-20.830428999999999</v>
      </c>
      <c r="AF5720">
        <v>11.3511938897937</v>
      </c>
      <c r="AG5720">
        <v>-1.0483885712229899</v>
      </c>
      <c r="AH5720">
        <v>17.652187090090202</v>
      </c>
      <c r="AI5720">
        <v>92.859802749389303</v>
      </c>
      <c r="AJ5720">
        <v>57.257059086764301</v>
      </c>
      <c r="AK5720">
        <v>21.0130538090852</v>
      </c>
    </row>
    <row r="5721" spans="1:37" x14ac:dyDescent="0.2">
      <c r="A5721" t="str">
        <f>"20200111155708725"</f>
        <v>20200111155708725</v>
      </c>
      <c r="B5721" t="str">
        <f>"1578729428719102"</f>
        <v>1578729428719102</v>
      </c>
      <c r="C5721" t="s">
        <v>37</v>
      </c>
      <c r="D5721">
        <v>5.0794839999999999</v>
      </c>
      <c r="E5721">
        <v>0.58983869999999905</v>
      </c>
      <c r="F5721" t="s">
        <v>38</v>
      </c>
      <c r="G5721">
        <v>-304.58629999999999</v>
      </c>
      <c r="H5721" s="1">
        <v>-4.4578209999999999E-6</v>
      </c>
      <c r="I5721">
        <v>-12.304309999999999</v>
      </c>
      <c r="J5721">
        <v>-307.52760000000001</v>
      </c>
      <c r="K5721">
        <v>1.04836</v>
      </c>
      <c r="L5721">
        <v>8.6734919999999995</v>
      </c>
      <c r="M5721">
        <v>0.64636210000000005</v>
      </c>
      <c r="N5721">
        <v>0</v>
      </c>
      <c r="O5721">
        <v>-0.7628897</v>
      </c>
      <c r="P5721">
        <v>0.47434409999999999</v>
      </c>
      <c r="Q5721">
        <v>-1.78169E-2</v>
      </c>
      <c r="R5721">
        <v>-0.88015940000000004</v>
      </c>
      <c r="S5721">
        <v>0.45733639999999998</v>
      </c>
      <c r="T5721">
        <v>-0.15739310000000001</v>
      </c>
      <c r="U5721">
        <v>-3.1701349999999899</v>
      </c>
      <c r="V5721">
        <v>0.20697179999999901</v>
      </c>
      <c r="W5721">
        <v>-6.7112859999999899E-3</v>
      </c>
      <c r="X5721">
        <v>0.97832389999999902</v>
      </c>
      <c r="Y5721">
        <v>0.53087010000000001</v>
      </c>
      <c r="Z5721">
        <v>2.833633E-2</v>
      </c>
      <c r="AA5721">
        <v>0.84697929999999999</v>
      </c>
      <c r="AB5721">
        <v>21</v>
      </c>
      <c r="AC5721">
        <v>2.9413000000000098</v>
      </c>
      <c r="AD5721">
        <v>-1.0483644578210001</v>
      </c>
      <c r="AE5721">
        <v>-20.977802000000001</v>
      </c>
      <c r="AF5721">
        <v>11.2889367248093</v>
      </c>
      <c r="AG5721">
        <v>-1.0483644578210001</v>
      </c>
      <c r="AH5721">
        <v>17.863069268279599</v>
      </c>
      <c r="AI5721">
        <v>92.8402331016636</v>
      </c>
      <c r="AJ5721">
        <v>57.708312361287497</v>
      </c>
      <c r="AK5721">
        <v>21.157230539381199</v>
      </c>
    </row>
    <row r="5722" spans="1:37" x14ac:dyDescent="0.2">
      <c r="A5722" t="str">
        <f>"20200111155708747"</f>
        <v>20200111155708747</v>
      </c>
      <c r="B5722" t="str">
        <f>"1578729428738621"</f>
        <v>1578729428738621</v>
      </c>
      <c r="C5722" t="s">
        <v>37</v>
      </c>
      <c r="D5722">
        <v>5.0560919999999996</v>
      </c>
      <c r="E5722">
        <v>0.58576890000000004</v>
      </c>
      <c r="F5722" t="s">
        <v>38</v>
      </c>
      <c r="G5722">
        <v>-299.65039999999999</v>
      </c>
      <c r="H5722" s="1">
        <v>-4.1071899999999902E-6</v>
      </c>
      <c r="I5722">
        <v>-20.93779</v>
      </c>
      <c r="J5722">
        <v>-307.40600000000001</v>
      </c>
      <c r="K5722">
        <v>1.048335</v>
      </c>
      <c r="L5722">
        <v>8.5095519999999993</v>
      </c>
      <c r="M5722">
        <v>0.63774580000000003</v>
      </c>
      <c r="N5722">
        <v>0</v>
      </c>
      <c r="O5722">
        <v>-0.77010669999999903</v>
      </c>
      <c r="P5722">
        <v>0.46476669999999998</v>
      </c>
      <c r="Q5722">
        <v>-1.6983020000000001E-2</v>
      </c>
      <c r="R5722">
        <v>-0.88527049999999996</v>
      </c>
      <c r="S5722">
        <v>0.79254150000000001</v>
      </c>
      <c r="T5722">
        <v>-0.1054779</v>
      </c>
      <c r="U5722">
        <v>-2.9792480000000001</v>
      </c>
      <c r="V5722">
        <v>0.20661279999999899</v>
      </c>
      <c r="W5722">
        <v>-5.8731859999999999E-3</v>
      </c>
      <c r="X5722">
        <v>0.97840519999999997</v>
      </c>
      <c r="Y5722">
        <v>0.41843399999999997</v>
      </c>
      <c r="Z5722">
        <v>2.1555919999999999E-2</v>
      </c>
      <c r="AA5722">
        <v>0.90799129999999995</v>
      </c>
      <c r="AB5722">
        <v>21</v>
      </c>
      <c r="AC5722">
        <v>7.75560000000001</v>
      </c>
      <c r="AD5722">
        <v>-1.0483391071899999</v>
      </c>
      <c r="AE5722">
        <v>-29.447341999999999</v>
      </c>
      <c r="AF5722">
        <v>12.793499704262301</v>
      </c>
      <c r="AG5722">
        <v>-1.0483391071899999</v>
      </c>
      <c r="AH5722">
        <v>27.593976139931399</v>
      </c>
      <c r="AI5722">
        <v>91.974048946371695</v>
      </c>
      <c r="AJ5722">
        <v>65.125967514382197</v>
      </c>
      <c r="AK5722">
        <v>30.4335369087743</v>
      </c>
    </row>
    <row r="5723" spans="1:37" x14ac:dyDescent="0.2">
      <c r="A5723" t="str">
        <f>"20200111155708764"</f>
        <v>20200111155708764</v>
      </c>
      <c r="B5723" t="str">
        <f>"1578729428759118"</f>
        <v>1578729428759118</v>
      </c>
      <c r="C5723" t="s">
        <v>37</v>
      </c>
      <c r="D5723">
        <v>5.0536279999999998</v>
      </c>
      <c r="E5723">
        <v>0.58288479999999998</v>
      </c>
      <c r="F5723" t="s">
        <v>38</v>
      </c>
      <c r="G5723">
        <v>-300.51609999999999</v>
      </c>
      <c r="H5723" s="1">
        <v>-1.4078619999999999E-6</v>
      </c>
      <c r="I5723">
        <v>-17.449210000000001</v>
      </c>
      <c r="J5723">
        <v>-307.31</v>
      </c>
      <c r="K5723">
        <v>1.0483260000000001</v>
      </c>
      <c r="L5723">
        <v>8.3772579999999994</v>
      </c>
      <c r="M5723">
        <v>0.63074459999999999</v>
      </c>
      <c r="N5723">
        <v>0</v>
      </c>
      <c r="O5723">
        <v>-0.77585119999999996</v>
      </c>
      <c r="P5723">
        <v>0.45669589999999999</v>
      </c>
      <c r="Q5723">
        <v>-1.655297E-2</v>
      </c>
      <c r="R5723">
        <v>-0.88946899999999995</v>
      </c>
      <c r="S5723">
        <v>0.78890990000000005</v>
      </c>
      <c r="T5723">
        <v>-0.1200362</v>
      </c>
      <c r="U5723">
        <v>-2.972321</v>
      </c>
      <c r="V5723">
        <v>0.2066616</v>
      </c>
      <c r="W5723">
        <v>-5.4452619999999898E-3</v>
      </c>
      <c r="X5723">
        <v>0.97839730000000003</v>
      </c>
      <c r="Y5723">
        <v>0.41072389999999998</v>
      </c>
      <c r="Z5723">
        <v>2.498146E-2</v>
      </c>
      <c r="AA5723">
        <v>0.91141749999999899</v>
      </c>
      <c r="AB5723">
        <v>20</v>
      </c>
      <c r="AC5723">
        <v>6.7938999999999998</v>
      </c>
      <c r="AD5723">
        <v>-1.048327407862</v>
      </c>
      <c r="AE5723">
        <v>-25.826467999999998</v>
      </c>
      <c r="AF5723">
        <v>11.003085061727599</v>
      </c>
      <c r="AG5723">
        <v>-1.048327407862</v>
      </c>
      <c r="AH5723">
        <v>24.287913356634899</v>
      </c>
      <c r="AI5723">
        <v>92.251490530349898</v>
      </c>
      <c r="AJ5723">
        <v>65.628181167474807</v>
      </c>
      <c r="AK5723">
        <v>26.684632402360201</v>
      </c>
    </row>
    <row r="5724" spans="1:37" x14ac:dyDescent="0.2">
      <c r="A5724" t="str">
        <f>"20200111155708782"</f>
        <v>20200111155708782</v>
      </c>
      <c r="B5724" t="str">
        <f>"1578729428778638"</f>
        <v>1578729428778638</v>
      </c>
      <c r="C5724" t="s">
        <v>37</v>
      </c>
      <c r="D5724">
        <v>5.0312479999999997</v>
      </c>
      <c r="E5724">
        <v>0.58165809999999996</v>
      </c>
      <c r="F5724" t="s">
        <v>38</v>
      </c>
      <c r="G5724">
        <v>-300.75900000000001</v>
      </c>
      <c r="H5724" s="1">
        <v>-1.8884519999999999E-6</v>
      </c>
      <c r="I5724">
        <v>-16.479610000000001</v>
      </c>
      <c r="J5724">
        <v>-307.21890000000002</v>
      </c>
      <c r="K5724">
        <v>1.048316</v>
      </c>
      <c r="L5724">
        <v>8.2494809999999994</v>
      </c>
      <c r="M5724">
        <v>0.62394280000000002</v>
      </c>
      <c r="N5724">
        <v>0</v>
      </c>
      <c r="O5724">
        <v>-0.78133149999999996</v>
      </c>
      <c r="P5724">
        <v>0.44884299999999999</v>
      </c>
      <c r="Q5724">
        <v>-1.6234640000000002E-2</v>
      </c>
      <c r="R5724">
        <v>-0.89346320000000001</v>
      </c>
      <c r="S5724">
        <v>0.78240969999999999</v>
      </c>
      <c r="T5724">
        <v>-0.12520580000000001</v>
      </c>
      <c r="U5724">
        <v>-2.96875</v>
      </c>
      <c r="V5724">
        <v>0.2067417</v>
      </c>
      <c r="W5724">
        <v>-5.1289029999999998E-3</v>
      </c>
      <c r="X5724">
        <v>0.97838210000000003</v>
      </c>
      <c r="Y5724">
        <v>0.40435260000000001</v>
      </c>
      <c r="Z5724">
        <v>2.64748E-2</v>
      </c>
      <c r="AA5724">
        <v>0.91421989999999997</v>
      </c>
      <c r="AB5724">
        <v>20</v>
      </c>
      <c r="AC5724">
        <v>6.4599000000000002</v>
      </c>
      <c r="AD5724">
        <v>-1.0483178884519999</v>
      </c>
      <c r="AE5724">
        <v>-24.729091</v>
      </c>
      <c r="AF5724">
        <v>10.3659003620851</v>
      </c>
      <c r="AG5724">
        <v>-1.0483178884519999</v>
      </c>
      <c r="AH5724">
        <v>23.3155302864429</v>
      </c>
      <c r="AI5724">
        <v>92.352659060780496</v>
      </c>
      <c r="AJ5724">
        <v>66.030447275032998</v>
      </c>
      <c r="AK5724">
        <v>25.5375177581918</v>
      </c>
    </row>
    <row r="5725" spans="1:37" x14ac:dyDescent="0.2">
      <c r="A5725" t="str">
        <f>"20200111155708804"</f>
        <v>20200111155708804</v>
      </c>
      <c r="B5725" t="str">
        <f>"1578729428799134"</f>
        <v>1578729428799134</v>
      </c>
      <c r="C5725" t="s">
        <v>37</v>
      </c>
      <c r="D5725">
        <v>5.0829120000000003</v>
      </c>
      <c r="E5725">
        <v>0.58025709999999997</v>
      </c>
      <c r="F5725" t="s">
        <v>38</v>
      </c>
      <c r="G5725">
        <v>-301.12119999999999</v>
      </c>
      <c r="H5725" s="1">
        <v>-2.435745E-6</v>
      </c>
      <c r="I5725">
        <v>-15.428470000000001</v>
      </c>
      <c r="J5725">
        <v>-307.09840000000003</v>
      </c>
      <c r="K5725">
        <v>1.048303</v>
      </c>
      <c r="L5725">
        <v>8.0760500000000004</v>
      </c>
      <c r="M5725">
        <v>0.61465749999999997</v>
      </c>
      <c r="N5725">
        <v>0</v>
      </c>
      <c r="O5725">
        <v>-0.78865669999999899</v>
      </c>
      <c r="P5725">
        <v>0.43789430000000001</v>
      </c>
      <c r="Q5725">
        <v>-1.5837029999999998E-2</v>
      </c>
      <c r="R5725">
        <v>-0.898887199999999</v>
      </c>
      <c r="S5725">
        <v>0.76510619999999996</v>
      </c>
      <c r="T5725">
        <v>-0.13153580000000001</v>
      </c>
      <c r="U5725">
        <v>-2.9709469999999998</v>
      </c>
      <c r="V5725">
        <v>0.207132499999999</v>
      </c>
      <c r="W5725">
        <v>-4.7382309999999999E-3</v>
      </c>
      <c r="X5725">
        <v>0.97830139999999999</v>
      </c>
      <c r="Y5725">
        <v>0.39869280000000001</v>
      </c>
      <c r="Z5725">
        <v>2.8314189999999999E-2</v>
      </c>
      <c r="AA5725">
        <v>0.9166474</v>
      </c>
      <c r="AB5725">
        <v>20</v>
      </c>
      <c r="AC5725">
        <v>5.97720000000003</v>
      </c>
      <c r="AD5725">
        <v>-1.0483054357449999</v>
      </c>
      <c r="AE5725">
        <v>-23.504519999999999</v>
      </c>
      <c r="AF5725">
        <v>9.7161725514451902</v>
      </c>
      <c r="AG5725">
        <v>-1.0483054357449999</v>
      </c>
      <c r="AH5725">
        <v>22.171910765207802</v>
      </c>
      <c r="AI5725">
        <v>92.479655083894102</v>
      </c>
      <c r="AJ5725">
        <v>66.336010724320005</v>
      </c>
      <c r="AK5725">
        <v>24.230075945328899</v>
      </c>
    </row>
    <row r="5726" spans="1:37" x14ac:dyDescent="0.2">
      <c r="A5726" t="str">
        <f>"20200111155708826"</f>
        <v>20200111155708826</v>
      </c>
      <c r="B5726" t="str">
        <f>"1578729428818654"</f>
        <v>1578729428818654</v>
      </c>
      <c r="C5726" t="s">
        <v>37</v>
      </c>
      <c r="D5726">
        <v>5.097499</v>
      </c>
      <c r="E5726">
        <v>0.5784473</v>
      </c>
      <c r="F5726" t="s">
        <v>38</v>
      </c>
      <c r="G5726">
        <v>-301.36709999999999</v>
      </c>
      <c r="H5726" s="1">
        <v>-2.6814999999999899E-6</v>
      </c>
      <c r="I5726">
        <v>-15.00816</v>
      </c>
      <c r="J5726">
        <v>-306.98410000000001</v>
      </c>
      <c r="K5726">
        <v>1.0482940000000001</v>
      </c>
      <c r="L5726">
        <v>7.9074710000000001</v>
      </c>
      <c r="M5726">
        <v>0.60557159999999999</v>
      </c>
      <c r="N5726">
        <v>0</v>
      </c>
      <c r="O5726">
        <v>-0.79565450000000004</v>
      </c>
      <c r="P5726">
        <v>0.42769069999999998</v>
      </c>
      <c r="Q5726">
        <v>-1.5722730000000001E-2</v>
      </c>
      <c r="R5726">
        <v>-0.90378860000000005</v>
      </c>
      <c r="S5726">
        <v>0.73867799999999995</v>
      </c>
      <c r="T5726">
        <v>-0.1351115</v>
      </c>
      <c r="U5726">
        <v>-2.9752200000000002</v>
      </c>
      <c r="V5726">
        <v>0.2069897</v>
      </c>
      <c r="W5726">
        <v>-4.6195969999999996E-3</v>
      </c>
      <c r="X5726">
        <v>0.97833219999999999</v>
      </c>
      <c r="Y5726">
        <v>0.39615259999999902</v>
      </c>
      <c r="Z5726">
        <v>2.9534540000000001E-2</v>
      </c>
      <c r="AA5726">
        <v>0.91770959999999902</v>
      </c>
      <c r="AB5726">
        <v>20</v>
      </c>
      <c r="AC5726">
        <v>5.6170000000000098</v>
      </c>
      <c r="AD5726">
        <v>-1.0482966815000001</v>
      </c>
      <c r="AE5726">
        <v>-22.915631000000001</v>
      </c>
      <c r="AF5726">
        <v>9.3903473862762201</v>
      </c>
      <c r="AG5726">
        <v>-1.0482966815000001</v>
      </c>
      <c r="AH5726">
        <v>21.594139210707699</v>
      </c>
      <c r="AI5726">
        <v>92.549030878179096</v>
      </c>
      <c r="AJ5726">
        <v>66.497883681656802</v>
      </c>
      <c r="AK5726">
        <v>23.570837876893801</v>
      </c>
    </row>
    <row r="5727" spans="1:37" x14ac:dyDescent="0.2">
      <c r="A5727" t="str">
        <f>"20200111155708847"</f>
        <v>20200111155708847</v>
      </c>
      <c r="B5727" t="str">
        <f>"1578729428839150"</f>
        <v>1578729428839150</v>
      </c>
      <c r="C5727" t="s">
        <v>37</v>
      </c>
      <c r="D5727">
        <v>5.1031110000000002</v>
      </c>
      <c r="E5727">
        <v>0.56686040000000004</v>
      </c>
      <c r="F5727" t="s">
        <v>38</v>
      </c>
      <c r="G5727">
        <v>-301.62450000000001</v>
      </c>
      <c r="H5727" s="1">
        <v>-3.049048E-6</v>
      </c>
      <c r="I5727">
        <v>-14.311029999999899</v>
      </c>
      <c r="J5727">
        <v>-306.87220000000002</v>
      </c>
      <c r="K5727">
        <v>1.0482860000000001</v>
      </c>
      <c r="L5727">
        <v>7.7380679999999904</v>
      </c>
      <c r="M5727">
        <v>0.59638519999999995</v>
      </c>
      <c r="N5727">
        <v>0</v>
      </c>
      <c r="O5727">
        <v>-0.80256300000000003</v>
      </c>
      <c r="P5727">
        <v>0.41761670000000001</v>
      </c>
      <c r="Q5727">
        <v>-1.4981670000000001E-2</v>
      </c>
      <c r="R5727">
        <v>-0.90849979999999997</v>
      </c>
      <c r="S5727">
        <v>0.71813959999999999</v>
      </c>
      <c r="T5727">
        <v>-0.14046249999999999</v>
      </c>
      <c r="U5727">
        <v>-2.9770810000000001</v>
      </c>
      <c r="V5727">
        <v>0.20663909999999999</v>
      </c>
      <c r="W5727">
        <v>-3.8689559999999998E-3</v>
      </c>
      <c r="X5727">
        <v>0.97840959999999999</v>
      </c>
      <c r="Y5727">
        <v>0.39171279999999897</v>
      </c>
      <c r="Z5727">
        <v>3.1205159999999999E-2</v>
      </c>
      <c r="AA5727">
        <v>0.91955819999999999</v>
      </c>
      <c r="AB5727">
        <v>20</v>
      </c>
      <c r="AC5727">
        <v>5.2477</v>
      </c>
      <c r="AD5727">
        <v>-1.0482890490479999</v>
      </c>
      <c r="AE5727">
        <v>-22.049098000000001</v>
      </c>
      <c r="AF5727">
        <v>8.9200355115996199</v>
      </c>
      <c r="AG5727">
        <v>-1.0482890490479999</v>
      </c>
      <c r="AH5727">
        <v>20.783244617268501</v>
      </c>
      <c r="AI5727">
        <v>92.653785247749397</v>
      </c>
      <c r="AJ5727">
        <v>66.771300181737701</v>
      </c>
      <c r="AK5727">
        <v>22.640874547591402</v>
      </c>
    </row>
    <row r="5728" spans="1:37" x14ac:dyDescent="0.2">
      <c r="A5728" t="str">
        <f>"20200111155708893"</f>
        <v>20200111155708893</v>
      </c>
      <c r="B5728" t="str">
        <f>"1578729428888926"</f>
        <v>1578729428888926</v>
      </c>
      <c r="C5728" t="s">
        <v>37</v>
      </c>
      <c r="D5728">
        <v>5.1048070000000001</v>
      </c>
      <c r="E5728">
        <v>0.5572222</v>
      </c>
      <c r="F5728" t="s">
        <v>38</v>
      </c>
      <c r="G5728">
        <v>-302.29660000000001</v>
      </c>
      <c r="H5728" s="1">
        <v>-4.5517270000000002E-7</v>
      </c>
      <c r="I5728">
        <v>-9.7924449999999901</v>
      </c>
      <c r="J5728">
        <v>-306.64609999999999</v>
      </c>
      <c r="K5728">
        <v>1.0482799999999901</v>
      </c>
      <c r="L5728">
        <v>7.3820499999999996</v>
      </c>
      <c r="M5728">
        <v>0.57690520000000001</v>
      </c>
      <c r="N5728">
        <v>0</v>
      </c>
      <c r="O5728">
        <v>-0.81667780000000001</v>
      </c>
      <c r="P5728">
        <v>0.39804829999999902</v>
      </c>
      <c r="Q5728">
        <v>-1.340359E-2</v>
      </c>
      <c r="R5728">
        <v>-0.91726669999999999</v>
      </c>
      <c r="S5728">
        <v>0.76889039999999997</v>
      </c>
      <c r="T5728">
        <v>-0.17615429999999899</v>
      </c>
      <c r="U5728">
        <v>-2.9458310000000001</v>
      </c>
      <c r="V5728">
        <v>0.2041114</v>
      </c>
      <c r="W5728">
        <v>-2.2355349999999999E-3</v>
      </c>
      <c r="X5728">
        <v>0.97894509999999901</v>
      </c>
      <c r="Y5728">
        <v>0.352216799999999</v>
      </c>
      <c r="Z5728">
        <v>4.1124630000000002E-2</v>
      </c>
      <c r="AA5728">
        <v>0.93501449999999997</v>
      </c>
      <c r="AB5728">
        <v>20</v>
      </c>
      <c r="AC5728">
        <v>4.3494999999999697</v>
      </c>
      <c r="AD5728">
        <v>-1.0482804551727001</v>
      </c>
      <c r="AE5728">
        <v>-17.174495</v>
      </c>
      <c r="AF5728">
        <v>6.3344308290154796</v>
      </c>
      <c r="AG5728">
        <v>-1.0482804551727001</v>
      </c>
      <c r="AH5728">
        <v>16.4793846653812</v>
      </c>
      <c r="AI5728">
        <v>93.398016749456403</v>
      </c>
      <c r="AJ5728">
        <v>68.973981150858606</v>
      </c>
      <c r="AK5728">
        <v>17.685983851340499</v>
      </c>
    </row>
    <row r="5729" spans="1:37" x14ac:dyDescent="0.2">
      <c r="A5729" t="str">
        <f>"20200111155708914"</f>
        <v>20200111155708914</v>
      </c>
      <c r="B5729" t="str">
        <f>"1578729428909019"</f>
        <v>1578729428909019</v>
      </c>
      <c r="C5729" t="s">
        <v>37</v>
      </c>
      <c r="D5729">
        <v>5.0840930000000002</v>
      </c>
      <c r="E5729">
        <v>0.55602559999999901</v>
      </c>
      <c r="F5729" t="s">
        <v>38</v>
      </c>
      <c r="G5729">
        <v>-301.61840000000001</v>
      </c>
      <c r="H5729" s="1">
        <v>-4.1685680000000002E-6</v>
      </c>
      <c r="I5729">
        <v>-11.6072899999999</v>
      </c>
      <c r="J5729">
        <v>-306.53910000000002</v>
      </c>
      <c r="K5729">
        <v>1.0482750000000001</v>
      </c>
      <c r="L5729">
        <v>7.2065729999999997</v>
      </c>
      <c r="M5729">
        <v>0.56722119999999998</v>
      </c>
      <c r="N5729">
        <v>0</v>
      </c>
      <c r="O5729">
        <v>-0.82343319999999998</v>
      </c>
      <c r="P5729">
        <v>0.38910470000000003</v>
      </c>
      <c r="Q5729">
        <v>-1.2517479999999999E-2</v>
      </c>
      <c r="R5729">
        <v>-0.921108499999999</v>
      </c>
      <c r="S5729">
        <v>0.77612300000000001</v>
      </c>
      <c r="T5729">
        <v>-0.16182589999999999</v>
      </c>
      <c r="U5729">
        <v>-2.9314269999999998</v>
      </c>
      <c r="V5729">
        <v>0.20209779999999999</v>
      </c>
      <c r="W5729">
        <v>-1.307384E-3</v>
      </c>
      <c r="X5729">
        <v>0.97936449999999997</v>
      </c>
      <c r="Y5729">
        <v>0.33781909999999998</v>
      </c>
      <c r="Z5729">
        <v>3.863138E-2</v>
      </c>
      <c r="AA5729">
        <v>0.94041790000000003</v>
      </c>
      <c r="AB5729">
        <v>20</v>
      </c>
      <c r="AC5729">
        <v>4.9207000000000098</v>
      </c>
      <c r="AD5729">
        <v>-1.048279168568</v>
      </c>
      <c r="AE5729">
        <v>-18.813863000000001</v>
      </c>
      <c r="AF5729">
        <v>6.6012936104725402</v>
      </c>
      <c r="AG5729">
        <v>-1.048279168568</v>
      </c>
      <c r="AH5729">
        <v>18.232098510394501</v>
      </c>
      <c r="AI5729">
        <v>93.094502936918403</v>
      </c>
      <c r="AJ5729">
        <v>70.096204443175395</v>
      </c>
      <c r="AK5729">
        <v>19.418686429304302</v>
      </c>
    </row>
    <row r="5730" spans="1:37" x14ac:dyDescent="0.2">
      <c r="A5730" t="str">
        <f>"20200111155708937"</f>
        <v>20200111155708937</v>
      </c>
      <c r="B5730" t="str">
        <f>"1578729428928538"</f>
        <v>1578729428928538</v>
      </c>
      <c r="C5730" t="s">
        <v>37</v>
      </c>
      <c r="D5730">
        <v>5.2382669999999996</v>
      </c>
      <c r="E5730">
        <v>0.55521609999999999</v>
      </c>
      <c r="F5730" t="s">
        <v>38</v>
      </c>
      <c r="G5730">
        <v>-301.755</v>
      </c>
      <c r="H5730" s="1">
        <v>-4.278147E-6</v>
      </c>
      <c r="I5730">
        <v>-11.3564899999999</v>
      </c>
      <c r="J5730">
        <v>-306.4357</v>
      </c>
      <c r="K5730">
        <v>1.0482639999999901</v>
      </c>
      <c r="L5730">
        <v>7.032349</v>
      </c>
      <c r="M5730">
        <v>0.55755319999999997</v>
      </c>
      <c r="N5730">
        <v>0</v>
      </c>
      <c r="O5730">
        <v>-0.83000969999999996</v>
      </c>
      <c r="P5730">
        <v>0.379870599999999</v>
      </c>
      <c r="Q5730">
        <v>-1.26441E-2</v>
      </c>
      <c r="R5730">
        <v>-0.92495349999999998</v>
      </c>
      <c r="S5730">
        <v>0.75643919999999998</v>
      </c>
      <c r="T5730">
        <v>-0.1657516</v>
      </c>
      <c r="U5730">
        <v>-2.9351500000000001</v>
      </c>
      <c r="V5730">
        <v>0.200439899999999</v>
      </c>
      <c r="W5730">
        <v>-1.3991139999999999E-3</v>
      </c>
      <c r="X5730">
        <v>0.97970499999999905</v>
      </c>
      <c r="Y5730">
        <v>0.3330225</v>
      </c>
      <c r="Z5730">
        <v>4.0114629999999998E-2</v>
      </c>
      <c r="AA5730">
        <v>0.94206520000000005</v>
      </c>
      <c r="AB5730">
        <v>20</v>
      </c>
      <c r="AC5730">
        <v>4.6806999999999999</v>
      </c>
      <c r="AD5730">
        <v>-1.0482682781470001</v>
      </c>
      <c r="AE5730">
        <v>-18.388839000000001</v>
      </c>
      <c r="AF5730">
        <v>6.3490481279179001</v>
      </c>
      <c r="AG5730">
        <v>-1.0482682781470001</v>
      </c>
      <c r="AH5730">
        <v>17.820219625671498</v>
      </c>
      <c r="AI5730">
        <v>93.171670927699793</v>
      </c>
      <c r="AJ5730">
        <v>70.38986146901</v>
      </c>
      <c r="AK5730">
        <v>18.946490599072799</v>
      </c>
    </row>
    <row r="5731" spans="1:37" x14ac:dyDescent="0.2">
      <c r="A5731" t="str">
        <f>"20200111155708960"</f>
        <v>20200111155708960</v>
      </c>
      <c r="B5731" t="str">
        <f>"1578729428949034"</f>
        <v>1578729428949034</v>
      </c>
      <c r="C5731" t="s">
        <v>37</v>
      </c>
      <c r="D5731">
        <v>5.0784859999999998</v>
      </c>
      <c r="E5731">
        <v>0.59872000000000003</v>
      </c>
      <c r="F5731" t="s">
        <v>38</v>
      </c>
      <c r="G5731">
        <v>-301.8356</v>
      </c>
      <c r="H5731" s="1">
        <v>-4.2739260000000002E-6</v>
      </c>
      <c r="I5731">
        <v>-11.41089</v>
      </c>
      <c r="J5731">
        <v>-306.33150000000001</v>
      </c>
      <c r="K5731">
        <v>1.0482499999999999</v>
      </c>
      <c r="L5731">
        <v>6.8516539999999901</v>
      </c>
      <c r="M5731">
        <v>0.54747619999999997</v>
      </c>
      <c r="N5731">
        <v>0</v>
      </c>
      <c r="O5731">
        <v>-0.83669069999999901</v>
      </c>
      <c r="P5731">
        <v>0.36967689999999997</v>
      </c>
      <c r="Q5731">
        <v>-1.24937E-2</v>
      </c>
      <c r="R5731">
        <v>-0.92907640000000002</v>
      </c>
      <c r="S5731">
        <v>0.73327640000000005</v>
      </c>
      <c r="T5731">
        <v>-0.16710069999999999</v>
      </c>
      <c r="U5731">
        <v>-2.939972</v>
      </c>
      <c r="V5731">
        <v>0.19936999999999999</v>
      </c>
      <c r="W5731">
        <v>-1.2246799999999999E-3</v>
      </c>
      <c r="X5731">
        <v>0.97992349999999995</v>
      </c>
      <c r="Y5731">
        <v>0.32897389999999999</v>
      </c>
      <c r="Z5731">
        <v>4.0983209999999999E-2</v>
      </c>
      <c r="AA5731">
        <v>0.94344930000000005</v>
      </c>
      <c r="AB5731">
        <v>20</v>
      </c>
      <c r="AC5731">
        <v>4.4958999999999998</v>
      </c>
      <c r="AD5731">
        <v>-1.0482542739259999</v>
      </c>
      <c r="AE5731">
        <v>-18.262543999999998</v>
      </c>
      <c r="AF5731">
        <v>6.2179963197715002</v>
      </c>
      <c r="AG5731">
        <v>-1.0482542739259999</v>
      </c>
      <c r="AH5731">
        <v>17.688489927221301</v>
      </c>
      <c r="AI5731">
        <v>93.199972271752301</v>
      </c>
      <c r="AJ5731">
        <v>70.632006381151299</v>
      </c>
      <c r="AK5731">
        <v>18.778844244545699</v>
      </c>
    </row>
    <row r="5732" spans="1:37" x14ac:dyDescent="0.2">
      <c r="A5732" t="str">
        <f>"20200111155708982"</f>
        <v>20200111155708982</v>
      </c>
      <c r="B5732" t="str">
        <f>"1578729428979291"</f>
        <v>1578729428979291</v>
      </c>
      <c r="C5732" t="s">
        <v>37</v>
      </c>
      <c r="D5732">
        <v>5.1815069999999999</v>
      </c>
      <c r="E5732">
        <v>0.62095979999999995</v>
      </c>
      <c r="F5732" t="s">
        <v>38</v>
      </c>
      <c r="G5732">
        <v>-302.55270000000002</v>
      </c>
      <c r="H5732" s="1">
        <v>-3.4664409999999899E-6</v>
      </c>
      <c r="I5732">
        <v>-23.913789999999999</v>
      </c>
      <c r="J5732">
        <v>-306.23050000000001</v>
      </c>
      <c r="K5732">
        <v>1.0482479999999901</v>
      </c>
      <c r="L5732">
        <v>6.6711729999999996</v>
      </c>
      <c r="M5732">
        <v>0.53735900000000003</v>
      </c>
      <c r="N5732">
        <v>0</v>
      </c>
      <c r="O5732">
        <v>-0.84322410000000003</v>
      </c>
      <c r="P5732">
        <v>0.35942289999999999</v>
      </c>
      <c r="Q5732">
        <v>-1.241129E-2</v>
      </c>
      <c r="R5732">
        <v>-0.93309249999999899</v>
      </c>
      <c r="S5732">
        <v>0.37796020000000002</v>
      </c>
      <c r="T5732">
        <v>-0.104848</v>
      </c>
      <c r="U5732">
        <v>-3.0772089999999999</v>
      </c>
      <c r="V5732">
        <v>0.19836099999999901</v>
      </c>
      <c r="W5732">
        <v>-1.118719E-3</v>
      </c>
      <c r="X5732">
        <v>0.98012840000000001</v>
      </c>
      <c r="Y5732">
        <v>0.43062709999999998</v>
      </c>
      <c r="Z5732">
        <v>2.4393379999999999E-2</v>
      </c>
      <c r="AA5732">
        <v>0.90220020000000001</v>
      </c>
      <c r="AB5732">
        <v>20</v>
      </c>
      <c r="AC5732">
        <v>3.6777999999999902</v>
      </c>
      <c r="AD5732">
        <v>-1.0482514664409901</v>
      </c>
      <c r="AE5732">
        <v>-30.584962999999998</v>
      </c>
      <c r="AF5732">
        <v>13.3199285154689</v>
      </c>
      <c r="AG5732">
        <v>-1.0482514664409901</v>
      </c>
      <c r="AH5732">
        <v>27.737192140265599</v>
      </c>
      <c r="AI5732">
        <v>91.951180303868298</v>
      </c>
      <c r="AJ5732">
        <v>64.348793826095303</v>
      </c>
      <c r="AK5732">
        <v>30.787516213882999</v>
      </c>
    </row>
    <row r="5733" spans="1:37" x14ac:dyDescent="0.2">
      <c r="A5733" t="str">
        <f>"20200111155709004"</f>
        <v>20200111155709004</v>
      </c>
      <c r="B5733" t="str">
        <f>"1578729428998810"</f>
        <v>1578729428998810</v>
      </c>
      <c r="C5733" t="s">
        <v>37</v>
      </c>
      <c r="D5733">
        <v>5.0927040000000003</v>
      </c>
      <c r="E5733">
        <v>0.62723799999999996</v>
      </c>
      <c r="F5733" t="s">
        <v>38</v>
      </c>
      <c r="G5733">
        <v>-304.58269999999999</v>
      </c>
      <c r="H5733" s="1">
        <v>-4.441119E-6</v>
      </c>
      <c r="I5733">
        <v>-22.351479999999999</v>
      </c>
      <c r="J5733">
        <v>-306.13130000000001</v>
      </c>
      <c r="K5733">
        <v>1.0482639999999901</v>
      </c>
      <c r="L5733">
        <v>6.4885250000000001</v>
      </c>
      <c r="M5733">
        <v>0.5270764</v>
      </c>
      <c r="N5733">
        <v>0</v>
      </c>
      <c r="O5733">
        <v>-0.84968909999999997</v>
      </c>
      <c r="P5733">
        <v>0.348966</v>
      </c>
      <c r="Q5733">
        <v>-1.1873669999999999E-2</v>
      </c>
      <c r="R5733">
        <v>-0.93706039999999902</v>
      </c>
      <c r="S5733">
        <v>0.178558299999999</v>
      </c>
      <c r="T5733">
        <v>-0.1135854</v>
      </c>
      <c r="U5733">
        <v>-3.144806</v>
      </c>
      <c r="V5733">
        <v>0.19742789999999999</v>
      </c>
      <c r="W5733">
        <v>-5.5721449999999995E-4</v>
      </c>
      <c r="X5733">
        <v>0.980317199999999</v>
      </c>
      <c r="Y5733">
        <v>0.47811379999999998</v>
      </c>
      <c r="Z5733">
        <v>2.5789759999999998E-2</v>
      </c>
      <c r="AA5733">
        <v>0.87791919999999901</v>
      </c>
      <c r="AB5733">
        <v>20</v>
      </c>
      <c r="AC5733">
        <v>1.54860000000002</v>
      </c>
      <c r="AD5733">
        <v>-1.048268441119</v>
      </c>
      <c r="AE5733">
        <v>-28.840004999999898</v>
      </c>
      <c r="AF5733">
        <v>13.868307920616401</v>
      </c>
      <c r="AG5733">
        <v>-1.048268441119</v>
      </c>
      <c r="AH5733">
        <v>25.290723349053099</v>
      </c>
      <c r="AI5733">
        <v>92.081398608108401</v>
      </c>
      <c r="AJ5733">
        <v>61.261595360489203</v>
      </c>
      <c r="AK5733">
        <v>28.862597229355799</v>
      </c>
    </row>
    <row r="5734" spans="1:37" x14ac:dyDescent="0.2">
      <c r="A5734" t="str">
        <f>"20200111155709026"</f>
        <v>20200111155709026</v>
      </c>
      <c r="B5734" t="str">
        <f>"1578729429018925"</f>
        <v>1578729429018925</v>
      </c>
      <c r="C5734" t="s">
        <v>37</v>
      </c>
      <c r="D5734">
        <v>5.1677629999999999</v>
      </c>
      <c r="E5734">
        <v>0.63013260000000004</v>
      </c>
      <c r="F5734" t="s">
        <v>38</v>
      </c>
      <c r="G5734">
        <v>-305.28100000000001</v>
      </c>
      <c r="H5734" s="1">
        <v>-4.9278870000000001E-6</v>
      </c>
      <c r="I5734">
        <v>-21.2851</v>
      </c>
      <c r="J5734">
        <v>-306.03800000000001</v>
      </c>
      <c r="K5734">
        <v>1.0482819999999999</v>
      </c>
      <c r="L5734">
        <v>6.3118290000000004</v>
      </c>
      <c r="M5734">
        <v>0.51709070000000001</v>
      </c>
      <c r="N5734">
        <v>0</v>
      </c>
      <c r="O5734">
        <v>-0.85580270000000003</v>
      </c>
      <c r="P5734">
        <v>0.33899509999999899</v>
      </c>
      <c r="Q5734">
        <v>-1.136129E-2</v>
      </c>
      <c r="R5734">
        <v>-0.94071990000000005</v>
      </c>
      <c r="S5734">
        <v>9.6862790000000004E-2</v>
      </c>
      <c r="T5734">
        <v>-0.11941649999999999</v>
      </c>
      <c r="U5734">
        <v>-3.16391</v>
      </c>
      <c r="V5734">
        <v>0.1963713</v>
      </c>
      <c r="W5734" s="1">
        <v>-1.781387E-5</v>
      </c>
      <c r="X5734">
        <v>0.9805296</v>
      </c>
      <c r="Y5734">
        <v>0.49070159999999902</v>
      </c>
      <c r="Z5734">
        <v>2.715586E-2</v>
      </c>
      <c r="AA5734">
        <v>0.87090440000000002</v>
      </c>
      <c r="AB5734">
        <v>20</v>
      </c>
      <c r="AC5734">
        <v>0.757000000000005</v>
      </c>
      <c r="AD5734">
        <v>-1.048286927887</v>
      </c>
      <c r="AE5734">
        <v>-27.596928999999999</v>
      </c>
      <c r="AF5734">
        <v>13.604149425368799</v>
      </c>
      <c r="AG5734">
        <v>-1.048286927887</v>
      </c>
      <c r="AH5734">
        <v>23.9770221428669</v>
      </c>
      <c r="AI5734">
        <v>92.177685937211294</v>
      </c>
      <c r="AJ5734">
        <v>60.430169981645598</v>
      </c>
      <c r="AK5734">
        <v>27.587485893253699</v>
      </c>
    </row>
    <row r="5735" spans="1:37" x14ac:dyDescent="0.2">
      <c r="A5735" t="str">
        <f>"20200111155709049"</f>
        <v>20200111155709049</v>
      </c>
      <c r="B5735" t="str">
        <f>"1578729429038447"</f>
        <v>1578729429038447</v>
      </c>
      <c r="C5735" t="s">
        <v>37</v>
      </c>
      <c r="D5735">
        <v>5.1252559999999896</v>
      </c>
      <c r="E5735">
        <v>0.63220959999999904</v>
      </c>
      <c r="F5735" t="s">
        <v>38</v>
      </c>
      <c r="G5735">
        <v>-305.68009999999998</v>
      </c>
      <c r="H5735" s="1">
        <v>-5.0126099999999999E-6</v>
      </c>
      <c r="I5735">
        <v>-21.24419</v>
      </c>
      <c r="J5735">
        <v>-305.94279999999998</v>
      </c>
      <c r="K5735">
        <v>1.048298</v>
      </c>
      <c r="L5735">
        <v>6.1263730000000001</v>
      </c>
      <c r="M5735">
        <v>0.50657249999999998</v>
      </c>
      <c r="N5735">
        <v>0</v>
      </c>
      <c r="O5735">
        <v>-0.86207029999999996</v>
      </c>
      <c r="P5735">
        <v>0.32812729999999901</v>
      </c>
      <c r="Q5735">
        <v>-1.081532E-2</v>
      </c>
      <c r="R5735">
        <v>-0.94457139999999995</v>
      </c>
      <c r="S5735">
        <v>4.1198730000000003E-2</v>
      </c>
      <c r="T5735">
        <v>-0.12069819999999901</v>
      </c>
      <c r="U5735">
        <v>-3.1727599999999998</v>
      </c>
      <c r="V5735">
        <v>0.19568079999999999</v>
      </c>
      <c r="W5735">
        <v>5.4914160000000005E-4</v>
      </c>
      <c r="X5735">
        <v>0.98066749999999903</v>
      </c>
      <c r="Y5735">
        <v>0.4953707</v>
      </c>
      <c r="Z5735">
        <v>2.7668749999999999E-2</v>
      </c>
      <c r="AA5735">
        <v>0.86824100000000004</v>
      </c>
      <c r="AB5735">
        <v>20</v>
      </c>
      <c r="AC5735">
        <v>0.26269999999999499</v>
      </c>
      <c r="AD5735">
        <v>-1.0483030126099999</v>
      </c>
      <c r="AE5735">
        <v>-27.370563000000001</v>
      </c>
      <c r="AF5735">
        <v>13.6202250943502</v>
      </c>
      <c r="AG5735">
        <v>-1.0483030126099999</v>
      </c>
      <c r="AH5735">
        <v>23.696268619204201</v>
      </c>
      <c r="AI5735">
        <v>92.196491140857106</v>
      </c>
      <c r="AJ5735">
        <v>60.110419771519801</v>
      </c>
      <c r="AK5735">
        <v>27.351830236759302</v>
      </c>
    </row>
    <row r="5736" spans="1:37" x14ac:dyDescent="0.2">
      <c r="A5736" t="str">
        <f>"20200111155709071"</f>
        <v>20200111155709071</v>
      </c>
      <c r="B5736" t="str">
        <f>"1578729429068701"</f>
        <v>1578729429068701</v>
      </c>
      <c r="C5736" t="s">
        <v>37</v>
      </c>
      <c r="D5736">
        <v>5.1927989999999999</v>
      </c>
      <c r="E5736">
        <v>0.63248850000000001</v>
      </c>
      <c r="F5736" t="s">
        <v>38</v>
      </c>
      <c r="G5736">
        <v>-306.04109999999997</v>
      </c>
      <c r="H5736" s="1">
        <v>-4.7721730000000001E-6</v>
      </c>
      <c r="I5736">
        <v>-22.138860000000001</v>
      </c>
      <c r="J5736">
        <v>-305.85210000000001</v>
      </c>
      <c r="K5736">
        <v>1.0483229999999999</v>
      </c>
      <c r="L5736">
        <v>5.944</v>
      </c>
      <c r="M5736">
        <v>0.49619629999999998</v>
      </c>
      <c r="N5736">
        <v>0</v>
      </c>
      <c r="O5736">
        <v>-0.86808410000000003</v>
      </c>
      <c r="P5736">
        <v>0.31699620000000001</v>
      </c>
      <c r="Q5736">
        <v>-9.7070980000000008E-3</v>
      </c>
      <c r="R5736">
        <v>-0.94837709999999997</v>
      </c>
      <c r="S5736">
        <v>-1.1047360000000001E-2</v>
      </c>
      <c r="T5736">
        <v>-0.1178855</v>
      </c>
      <c r="U5736">
        <v>-3.178528</v>
      </c>
      <c r="V5736">
        <v>0.19547529999999999</v>
      </c>
      <c r="W5736">
        <v>1.66970799999999E-3</v>
      </c>
      <c r="X5736">
        <v>0.9807072</v>
      </c>
      <c r="Y5736">
        <v>0.4992393</v>
      </c>
      <c r="Z5736">
        <v>2.7258770000000002E-2</v>
      </c>
      <c r="AA5736">
        <v>0.86603529999999995</v>
      </c>
      <c r="AB5736">
        <v>20</v>
      </c>
      <c r="AC5736">
        <v>-0.188999999999964</v>
      </c>
      <c r="AD5736">
        <v>-1.048327772173</v>
      </c>
      <c r="AE5736">
        <v>-28.08286</v>
      </c>
      <c r="AF5736">
        <v>14.080604143113799</v>
      </c>
      <c r="AG5736">
        <v>-1.048327772173</v>
      </c>
      <c r="AH5736">
        <v>24.253369604246199</v>
      </c>
      <c r="AI5736">
        <v>92.140775557714804</v>
      </c>
      <c r="AJ5736">
        <v>59.862143732945398</v>
      </c>
      <c r="AK5736">
        <v>28.064004370601801</v>
      </c>
    </row>
    <row r="5737" spans="1:37" x14ac:dyDescent="0.2">
      <c r="A5737" t="str">
        <f>"20200111155709094"</f>
        <v>20200111155709094</v>
      </c>
      <c r="B5737" t="str">
        <f>"1578729429089198"</f>
        <v>1578729429089198</v>
      </c>
      <c r="C5737" t="s">
        <v>37</v>
      </c>
      <c r="D5737">
        <v>5.0970089999999999</v>
      </c>
      <c r="E5737">
        <v>0.6324803</v>
      </c>
      <c r="F5737" t="s">
        <v>38</v>
      </c>
      <c r="G5737">
        <v>-306.28390000000002</v>
      </c>
      <c r="H5737" s="1">
        <v>-5.13408E-6</v>
      </c>
      <c r="I5737">
        <v>-21.20194</v>
      </c>
      <c r="J5737">
        <v>-305.76170000000002</v>
      </c>
      <c r="K5737">
        <v>1.048354</v>
      </c>
      <c r="L5737">
        <v>5.7565309999999998</v>
      </c>
      <c r="M5737">
        <v>0.48550100000000002</v>
      </c>
      <c r="N5737">
        <v>0</v>
      </c>
      <c r="O5737">
        <v>-0.87411099999999997</v>
      </c>
      <c r="P5737">
        <v>0.30489479999999902</v>
      </c>
      <c r="Q5737">
        <v>-8.1936470000000001E-3</v>
      </c>
      <c r="R5737">
        <v>-0.95235119999999895</v>
      </c>
      <c r="S5737">
        <v>-5.0567630000000002E-2</v>
      </c>
      <c r="T5737">
        <v>-0.12276569999999901</v>
      </c>
      <c r="U5737">
        <v>-3.17895499999999</v>
      </c>
      <c r="V5737">
        <v>0.19595309999999999</v>
      </c>
      <c r="W5737">
        <v>3.1831839999999999E-3</v>
      </c>
      <c r="X5737">
        <v>0.98060809999999998</v>
      </c>
      <c r="Y5737">
        <v>0.49936379999999903</v>
      </c>
      <c r="Z5737">
        <v>2.8719910000000001E-2</v>
      </c>
      <c r="AA5737">
        <v>0.86591629999999997</v>
      </c>
      <c r="AB5737">
        <v>20</v>
      </c>
      <c r="AC5737">
        <v>-0.522199999999998</v>
      </c>
      <c r="AD5737">
        <v>-1.04835913408</v>
      </c>
      <c r="AE5737">
        <v>-26.958470999999999</v>
      </c>
      <c r="AF5737">
        <v>13.525859929847</v>
      </c>
      <c r="AG5737">
        <v>-1.04835913408</v>
      </c>
      <c r="AH5737">
        <v>23.278527127507299</v>
      </c>
      <c r="AI5737">
        <v>92.229937373107703</v>
      </c>
      <c r="AJ5737">
        <v>59.841506479367403</v>
      </c>
      <c r="AK5737">
        <v>26.943232340273202</v>
      </c>
    </row>
    <row r="5738" spans="1:37" x14ac:dyDescent="0.2">
      <c r="A5738" t="str">
        <f>"20200111155709116"</f>
        <v>20200111155709116</v>
      </c>
      <c r="B5738" t="str">
        <f>"1578729429108728"</f>
        <v>1578729429108728</v>
      </c>
      <c r="C5738" t="s">
        <v>37</v>
      </c>
      <c r="D5738">
        <v>5.1641570000000003</v>
      </c>
      <c r="E5738">
        <v>0.63230769999999903</v>
      </c>
      <c r="F5738" t="s">
        <v>38</v>
      </c>
      <c r="G5738">
        <v>-306.55020000000002</v>
      </c>
      <c r="H5738" s="1">
        <v>-4.9489909999999999E-6</v>
      </c>
      <c r="I5738">
        <v>-21.88467</v>
      </c>
      <c r="J5738">
        <v>-305.6739</v>
      </c>
      <c r="K5738">
        <v>1.048381</v>
      </c>
      <c r="L5738">
        <v>5.5686650000000002</v>
      </c>
      <c r="M5738">
        <v>0.47476259999999998</v>
      </c>
      <c r="N5738">
        <v>0</v>
      </c>
      <c r="O5738">
        <v>-0.87998940000000003</v>
      </c>
      <c r="P5738">
        <v>0.29314770000000001</v>
      </c>
      <c r="Q5738">
        <v>-6.6237199999999996E-3</v>
      </c>
      <c r="R5738">
        <v>-0.95604429999999996</v>
      </c>
      <c r="S5738">
        <v>-9.0667719999999993E-2</v>
      </c>
      <c r="T5738">
        <v>-0.1205372</v>
      </c>
      <c r="U5738">
        <v>-3.1781009999999998</v>
      </c>
      <c r="V5738">
        <v>0.19604969999999999</v>
      </c>
      <c r="W5738">
        <v>4.7595950000000001E-3</v>
      </c>
      <c r="X5738">
        <v>0.98058239999999997</v>
      </c>
      <c r="Y5738">
        <v>0.49968190000000001</v>
      </c>
      <c r="Z5738">
        <v>2.8526900000000001E-2</v>
      </c>
      <c r="AA5738">
        <v>0.86573909999999998</v>
      </c>
      <c r="AB5738">
        <v>20</v>
      </c>
      <c r="AC5738">
        <v>-0.87630000000001396</v>
      </c>
      <c r="AD5738">
        <v>-1.0483859489909999</v>
      </c>
      <c r="AE5738">
        <v>-27.453334999999999</v>
      </c>
      <c r="AF5738">
        <v>13.7863797402713</v>
      </c>
      <c r="AG5738">
        <v>-1.0483859489909999</v>
      </c>
      <c r="AH5738">
        <v>23.7106686142215</v>
      </c>
      <c r="AI5738">
        <v>92.189013495054795</v>
      </c>
      <c r="AJ5738">
        <v>59.8244802527582</v>
      </c>
      <c r="AK5738">
        <v>27.447389412737198</v>
      </c>
    </row>
    <row r="5739" spans="1:37" x14ac:dyDescent="0.2">
      <c r="A5739" t="str">
        <f>"20200111155709138"</f>
        <v>20200111155709138</v>
      </c>
      <c r="B5739" t="str">
        <f>"1578729429129217"</f>
        <v>1578729429129217</v>
      </c>
      <c r="C5739" t="s">
        <v>37</v>
      </c>
      <c r="D5739">
        <v>5.0696129999999897</v>
      </c>
      <c r="E5739">
        <v>0.6323896</v>
      </c>
      <c r="F5739" t="s">
        <v>38</v>
      </c>
      <c r="G5739">
        <v>-306.81549999999999</v>
      </c>
      <c r="H5739" s="1">
        <v>-4.735582E-6</v>
      </c>
      <c r="I5739">
        <v>-22.650040000000001</v>
      </c>
      <c r="J5739">
        <v>-305.59269999999998</v>
      </c>
      <c r="K5739">
        <v>1.048403</v>
      </c>
      <c r="L5739">
        <v>5.3895569999999999</v>
      </c>
      <c r="M5739">
        <v>0.46450590000000003</v>
      </c>
      <c r="N5739">
        <v>0</v>
      </c>
      <c r="O5739">
        <v>-0.88544639999999997</v>
      </c>
      <c r="P5739">
        <v>0.28244150000000001</v>
      </c>
      <c r="Q5739">
        <v>-6.7540300000000003E-3</v>
      </c>
      <c r="R5739">
        <v>-0.95926080000000002</v>
      </c>
      <c r="S5739">
        <v>-0.1285095</v>
      </c>
      <c r="T5739">
        <v>-0.1180143</v>
      </c>
      <c r="U5739">
        <v>-3.1765140000000001</v>
      </c>
      <c r="V5739">
        <v>0.19561589999999901</v>
      </c>
      <c r="W5739">
        <v>4.6456329999999997E-3</v>
      </c>
      <c r="X5739">
        <v>0.98066960000000003</v>
      </c>
      <c r="Y5739">
        <v>0.49993290000000001</v>
      </c>
      <c r="Z5739">
        <v>2.8234660000000002E-2</v>
      </c>
      <c r="AA5739">
        <v>0.86560380000000003</v>
      </c>
      <c r="AB5739">
        <v>20</v>
      </c>
      <c r="AC5739">
        <v>-1.2228000000000001</v>
      </c>
      <c r="AD5739">
        <v>-1.0484077355820001</v>
      </c>
      <c r="AE5739">
        <v>-28.039597000000001</v>
      </c>
      <c r="AF5739">
        <v>14.089166979527601</v>
      </c>
      <c r="AG5739">
        <v>-1.0484077355820001</v>
      </c>
      <c r="AH5739">
        <v>24.228410775454599</v>
      </c>
      <c r="AI5739">
        <v>92.142257343594807</v>
      </c>
      <c r="AJ5739">
        <v>59.821387213445902</v>
      </c>
      <c r="AK5739">
        <v>28.046740874140902</v>
      </c>
    </row>
    <row r="5740" spans="1:37" x14ac:dyDescent="0.2">
      <c r="A5740" t="str">
        <f>"20200111155709161"</f>
        <v>20200111155709161</v>
      </c>
      <c r="B5740" t="str">
        <f>"1578729429158498"</f>
        <v>1578729429158498</v>
      </c>
      <c r="C5740" t="s">
        <v>37</v>
      </c>
      <c r="D5740">
        <v>5.0498560000000001</v>
      </c>
      <c r="E5740">
        <v>0.63159219999999905</v>
      </c>
      <c r="F5740" t="s">
        <v>38</v>
      </c>
      <c r="G5740">
        <v>-307.07659999999998</v>
      </c>
      <c r="H5740" s="1">
        <v>-4.581981E-6</v>
      </c>
      <c r="I5740">
        <v>-23.23752</v>
      </c>
      <c r="J5740">
        <v>-305.51010000000002</v>
      </c>
      <c r="K5740">
        <v>1.0484309999999999</v>
      </c>
      <c r="L5740">
        <v>5.2006230000000002</v>
      </c>
      <c r="M5740">
        <v>0.45367639999999998</v>
      </c>
      <c r="N5740">
        <v>0</v>
      </c>
      <c r="O5740">
        <v>-0.89104359999999905</v>
      </c>
      <c r="P5740">
        <v>0.27187729999999999</v>
      </c>
      <c r="Q5740">
        <v>-6.8647859999999899E-3</v>
      </c>
      <c r="R5740">
        <v>-0.96230749999999998</v>
      </c>
      <c r="S5740">
        <v>-0.16458129999999899</v>
      </c>
      <c r="T5740">
        <v>-0.1162796</v>
      </c>
      <c r="U5740">
        <v>-3.175049</v>
      </c>
      <c r="V5740">
        <v>0.19444</v>
      </c>
      <c r="W5740">
        <v>4.565525E-3</v>
      </c>
      <c r="X5740">
        <v>0.98090379999999999</v>
      </c>
      <c r="Y5740">
        <v>0.4992047</v>
      </c>
      <c r="Z5740">
        <v>2.813645E-2</v>
      </c>
      <c r="AA5740">
        <v>0.86602710000000005</v>
      </c>
      <c r="AB5740">
        <v>20</v>
      </c>
      <c r="AC5740">
        <v>-1.56649999999996</v>
      </c>
      <c r="AD5740">
        <v>-1.0484355819809901</v>
      </c>
      <c r="AE5740">
        <v>-28.438143</v>
      </c>
      <c r="AF5740">
        <v>14.2797499507925</v>
      </c>
      <c r="AG5740">
        <v>-1.0484355819809901</v>
      </c>
      <c r="AH5740">
        <v>24.598306182884802</v>
      </c>
      <c r="AI5740">
        <v>92.111041543155594</v>
      </c>
      <c r="AJ5740">
        <v>59.8640801618211</v>
      </c>
      <c r="AK5740">
        <v>28.462029844929798</v>
      </c>
    </row>
    <row r="5741" spans="1:37" x14ac:dyDescent="0.2">
      <c r="A5741" t="str">
        <f>"20200111155709183"</f>
        <v>20200111155709183</v>
      </c>
      <c r="B5741" t="str">
        <f>"1578729429178993"</f>
        <v>1578729429178993</v>
      </c>
      <c r="C5741" t="s">
        <v>37</v>
      </c>
      <c r="D5741">
        <v>5.075361</v>
      </c>
      <c r="E5741">
        <v>0.63096859999999999</v>
      </c>
      <c r="F5741" t="s">
        <v>38</v>
      </c>
      <c r="G5741">
        <v>-307.24599999999998</v>
      </c>
      <c r="H5741" s="1">
        <v>-4.6111099999999996E-6</v>
      </c>
      <c r="I5741">
        <v>-23.24024</v>
      </c>
      <c r="J5741">
        <v>-305.42939999999999</v>
      </c>
      <c r="K5741">
        <v>1.048467</v>
      </c>
      <c r="L5741">
        <v>5.0098880000000001</v>
      </c>
      <c r="M5741">
        <v>0.44273409999999902</v>
      </c>
      <c r="N5741">
        <v>0</v>
      </c>
      <c r="O5741">
        <v>-0.89653119999999997</v>
      </c>
      <c r="P5741">
        <v>0.261764</v>
      </c>
      <c r="Q5741">
        <v>-5.3909539999999999E-3</v>
      </c>
      <c r="R5741">
        <v>-0.96511729999999996</v>
      </c>
      <c r="S5741">
        <v>-0.193573</v>
      </c>
      <c r="T5741">
        <v>-0.116908</v>
      </c>
      <c r="U5741">
        <v>-3.1713559999999998</v>
      </c>
      <c r="V5741">
        <v>0.19275200000000001</v>
      </c>
      <c r="W5741">
        <v>6.0804159999999999E-3</v>
      </c>
      <c r="X5741">
        <v>0.98122860000000001</v>
      </c>
      <c r="Y5741">
        <v>0.49653829999999999</v>
      </c>
      <c r="Z5741">
        <v>2.8642709999999998E-2</v>
      </c>
      <c r="AA5741">
        <v>0.86754209999999998</v>
      </c>
      <c r="AB5741">
        <v>20</v>
      </c>
      <c r="AC5741">
        <v>-1.81659999999999</v>
      </c>
      <c r="AD5741">
        <v>-1.0484716111100001</v>
      </c>
      <c r="AE5741">
        <v>-28.250128</v>
      </c>
      <c r="AF5741">
        <v>14.1181101735535</v>
      </c>
      <c r="AG5741">
        <v>-1.0484716111100001</v>
      </c>
      <c r="AH5741">
        <v>24.491930567554199</v>
      </c>
      <c r="AI5741">
        <v>92.124022747269706</v>
      </c>
      <c r="AJ5741">
        <v>60.039163457986803</v>
      </c>
      <c r="AK5741">
        <v>28.2891320212869</v>
      </c>
    </row>
    <row r="5742" spans="1:37" x14ac:dyDescent="0.2">
      <c r="A5742" t="str">
        <f>"20200111155709205"</f>
        <v>20200111155709205</v>
      </c>
      <c r="B5742" t="str">
        <f>"1578729429198513"</f>
        <v>1578729429198513</v>
      </c>
      <c r="C5742" t="s">
        <v>37</v>
      </c>
      <c r="D5742">
        <v>5.0823900000000002</v>
      </c>
      <c r="E5742">
        <v>0.63049580000000005</v>
      </c>
      <c r="F5742" t="s">
        <v>38</v>
      </c>
      <c r="G5742">
        <v>-307.50720000000001</v>
      </c>
      <c r="H5742" s="1">
        <v>-4.1880599999999902E-6</v>
      </c>
      <c r="I5742">
        <v>-24.619509999999998</v>
      </c>
      <c r="J5742">
        <v>-305.35399999999998</v>
      </c>
      <c r="K5742">
        <v>1.0484959999999901</v>
      </c>
      <c r="L5742">
        <v>4.8258669999999997</v>
      </c>
      <c r="M5742">
        <v>0.43216389999999999</v>
      </c>
      <c r="N5742">
        <v>0</v>
      </c>
      <c r="O5742">
        <v>-0.90167399999999998</v>
      </c>
      <c r="P5742">
        <v>0.25225560000000002</v>
      </c>
      <c r="Q5742">
        <v>-1.850249E-3</v>
      </c>
      <c r="R5742">
        <v>-0.96765909999999999</v>
      </c>
      <c r="S5742">
        <v>-0.22216799999999901</v>
      </c>
      <c r="T5742">
        <v>-0.1121055</v>
      </c>
      <c r="U5742">
        <v>-3.1680599999999899</v>
      </c>
      <c r="V5742">
        <v>0.19093179999999901</v>
      </c>
      <c r="W5742">
        <v>9.6642099999999995E-3</v>
      </c>
      <c r="X5742">
        <v>0.98155579999999998</v>
      </c>
      <c r="Y5742">
        <v>0.49418820000000002</v>
      </c>
      <c r="Z5742">
        <v>2.7782339999999999E-2</v>
      </c>
      <c r="AA5742">
        <v>0.86891090000000004</v>
      </c>
      <c r="AB5742">
        <v>20</v>
      </c>
      <c r="AC5742">
        <v>-2.1531999999999698</v>
      </c>
      <c r="AD5742">
        <v>-1.04850018805999</v>
      </c>
      <c r="AE5742">
        <v>-29.445377000000001</v>
      </c>
      <c r="AF5742">
        <v>14.649838509807999</v>
      </c>
      <c r="AG5742">
        <v>-1.04850018805999</v>
      </c>
      <c r="AH5742">
        <v>25.590118714317299</v>
      </c>
      <c r="AI5742">
        <v>92.036481267030794</v>
      </c>
      <c r="AJ5742">
        <v>60.209713364296697</v>
      </c>
      <c r="AK5742">
        <v>29.505445206277901</v>
      </c>
    </row>
    <row r="5743" spans="1:37" x14ac:dyDescent="0.2">
      <c r="A5743" t="str">
        <f>"20200111155709227"</f>
        <v>20200111155709227</v>
      </c>
      <c r="B5743" t="str">
        <f>"1578729429219009"</f>
        <v>1578729429219009</v>
      </c>
      <c r="C5743" t="s">
        <v>37</v>
      </c>
      <c r="D5743">
        <v>4.9677790000000002</v>
      </c>
      <c r="E5743">
        <v>0.63024309999999995</v>
      </c>
      <c r="F5743" t="s">
        <v>38</v>
      </c>
      <c r="G5743">
        <v>-307.95299999999997</v>
      </c>
      <c r="H5743" s="1">
        <v>-3.0679950000000002E-6</v>
      </c>
      <c r="I5743">
        <v>-28.143259999999898</v>
      </c>
      <c r="J5743">
        <v>-305.28089999999997</v>
      </c>
      <c r="K5743">
        <v>1.04853</v>
      </c>
      <c r="L5743">
        <v>4.6410220000000004</v>
      </c>
      <c r="M5743">
        <v>0.42153950000000001</v>
      </c>
      <c r="N5743">
        <v>0</v>
      </c>
      <c r="O5743">
        <v>-0.90668959999999998</v>
      </c>
      <c r="P5743">
        <v>0.242539899999999</v>
      </c>
      <c r="Q5743">
        <v>3.3496479999999999E-4</v>
      </c>
      <c r="R5743">
        <v>-0.97014159999999905</v>
      </c>
      <c r="S5743">
        <v>-0.2495117</v>
      </c>
      <c r="T5743">
        <v>-0.1006589</v>
      </c>
      <c r="U5743">
        <v>-3.1651310000000001</v>
      </c>
      <c r="V5743">
        <v>0.1892751</v>
      </c>
      <c r="W5743">
        <v>1.1888050000000001E-2</v>
      </c>
      <c r="X5743">
        <v>0.98185210000000001</v>
      </c>
      <c r="Y5743">
        <v>0.4915023</v>
      </c>
      <c r="Z5743">
        <v>2.5225419999999998E-2</v>
      </c>
      <c r="AA5743">
        <v>0.87051080000000003</v>
      </c>
      <c r="AB5743">
        <v>20</v>
      </c>
      <c r="AC5743">
        <v>-2.6720999999999999</v>
      </c>
      <c r="AD5743">
        <v>-1.048533067995</v>
      </c>
      <c r="AE5743">
        <v>-32.784281999999997</v>
      </c>
      <c r="AF5743">
        <v>16.227919281630399</v>
      </c>
      <c r="AG5743">
        <v>-1.048533067995</v>
      </c>
      <c r="AH5743">
        <v>28.572861324308999</v>
      </c>
      <c r="AI5743">
        <v>91.827658552167506</v>
      </c>
      <c r="AJ5743">
        <v>60.4056475629177</v>
      </c>
      <c r="AK5743">
        <v>32.876331761070702</v>
      </c>
    </row>
    <row r="5744" spans="1:37" x14ac:dyDescent="0.2">
      <c r="A5744" t="str">
        <f>"20200111155709250"</f>
        <v>20200111155709250</v>
      </c>
      <c r="B5744" t="str">
        <f>"1578729429238530"</f>
        <v>1578729429238530</v>
      </c>
      <c r="C5744" t="s">
        <v>37</v>
      </c>
      <c r="D5744">
        <v>4.9989169999999996</v>
      </c>
      <c r="E5744">
        <v>0.62974319999999995</v>
      </c>
      <c r="F5744" t="s">
        <v>38</v>
      </c>
      <c r="G5744">
        <v>-308.42110000000002</v>
      </c>
      <c r="H5744" s="1">
        <v>-5.6091170000000001E-6</v>
      </c>
      <c r="I5744">
        <v>-30.920059999999999</v>
      </c>
      <c r="J5744">
        <v>-305.2079</v>
      </c>
      <c r="K5744">
        <v>1.048559</v>
      </c>
      <c r="L5744">
        <v>4.4501339999999896</v>
      </c>
      <c r="M5744">
        <v>0.41056029999999999</v>
      </c>
      <c r="N5744">
        <v>0</v>
      </c>
      <c r="O5744">
        <v>-0.91171380000000002</v>
      </c>
      <c r="P5744">
        <v>0.23278479999999999</v>
      </c>
      <c r="Q5744">
        <v>1.036676E-3</v>
      </c>
      <c r="R5744">
        <v>-0.97252799999999995</v>
      </c>
      <c r="S5744">
        <v>-0.27923579999999998</v>
      </c>
      <c r="T5744">
        <v>-9.3238119999999994E-2</v>
      </c>
      <c r="U5744">
        <v>-3.1621700000000001</v>
      </c>
      <c r="V5744">
        <v>0.18728889999999901</v>
      </c>
      <c r="W5744">
        <v>1.2633770000000001E-2</v>
      </c>
      <c r="X5744">
        <v>0.98222359999999898</v>
      </c>
      <c r="Y5744">
        <v>0.48918080000000003</v>
      </c>
      <c r="Z5744">
        <v>2.3620160000000001E-2</v>
      </c>
      <c r="AA5744">
        <v>0.87186249999999998</v>
      </c>
      <c r="AB5744">
        <v>20</v>
      </c>
      <c r="AC5744">
        <v>-3.21320000000002</v>
      </c>
      <c r="AD5744">
        <v>-1.048564609117</v>
      </c>
      <c r="AE5744">
        <v>-35.370193999999998</v>
      </c>
      <c r="AF5744">
        <v>17.437820542173501</v>
      </c>
      <c r="AG5744">
        <v>-1.048564609117</v>
      </c>
      <c r="AH5744">
        <v>30.904717906677</v>
      </c>
      <c r="AI5744">
        <v>91.692574151099805</v>
      </c>
      <c r="AJ5744">
        <v>60.566369922738097</v>
      </c>
      <c r="AK5744">
        <v>35.500403686322002</v>
      </c>
    </row>
    <row r="5745" spans="1:37" x14ac:dyDescent="0.2">
      <c r="A5745" t="str">
        <f>"20200111155709273"</f>
        <v>20200111155709273</v>
      </c>
      <c r="B5745" t="str">
        <f>"1578729429268786"</f>
        <v>1578729429268786</v>
      </c>
      <c r="C5745" t="s">
        <v>37</v>
      </c>
      <c r="D5745">
        <v>4.9705789999999999</v>
      </c>
      <c r="E5745">
        <v>0.62876949999999998</v>
      </c>
      <c r="F5745" t="s">
        <v>38</v>
      </c>
      <c r="G5745">
        <v>-308.73770000000002</v>
      </c>
      <c r="H5745" s="1">
        <v>-5.349602E-6</v>
      </c>
      <c r="I5745">
        <v>-31.847639999999998</v>
      </c>
      <c r="J5745">
        <v>-305.1361</v>
      </c>
      <c r="K5745">
        <v>1.0485979999999999</v>
      </c>
      <c r="L5745">
        <v>4.2550349999999897</v>
      </c>
      <c r="M5745">
        <v>0.39933359999999901</v>
      </c>
      <c r="N5745">
        <v>0</v>
      </c>
      <c r="O5745">
        <v>-0.91668660000000002</v>
      </c>
      <c r="P5745">
        <v>0.22332669999999999</v>
      </c>
      <c r="Q5745">
        <v>1.669891E-3</v>
      </c>
      <c r="R5745">
        <v>-0.97474229999999995</v>
      </c>
      <c r="S5745">
        <v>-0.30712889999999998</v>
      </c>
      <c r="T5745">
        <v>-9.1238020000000003E-2</v>
      </c>
      <c r="U5745">
        <v>-3.1583559999999999</v>
      </c>
      <c r="V5745">
        <v>0.18477650000000001</v>
      </c>
      <c r="W5745">
        <v>1.332035E-2</v>
      </c>
      <c r="X5745">
        <v>0.98269030000000002</v>
      </c>
      <c r="Y5745">
        <v>0.48619560000000001</v>
      </c>
      <c r="Z5745">
        <v>2.3370950000000001E-2</v>
      </c>
      <c r="AA5745">
        <v>0.87353749999999997</v>
      </c>
      <c r="AB5745">
        <v>20</v>
      </c>
      <c r="AC5745">
        <v>-3.6016000000000101</v>
      </c>
      <c r="AD5745">
        <v>-1.048603349602</v>
      </c>
      <c r="AE5745">
        <v>-36.102674999999998</v>
      </c>
      <c r="AF5745">
        <v>17.705694821217101</v>
      </c>
      <c r="AG5745">
        <v>-1.048603349602</v>
      </c>
      <c r="AH5745">
        <v>31.6336316282426</v>
      </c>
      <c r="AI5745">
        <v>91.656859377944201</v>
      </c>
      <c r="AJ5745">
        <v>60.7637761836477</v>
      </c>
      <c r="AK5745">
        <v>36.266759547528103</v>
      </c>
    </row>
    <row r="5746" spans="1:37" x14ac:dyDescent="0.2">
      <c r="A5746" t="str">
        <f>"20200111155709295"</f>
        <v>20200111155709295</v>
      </c>
      <c r="B5746" t="str">
        <f>"1578729429288305"</f>
        <v>1578729429288305</v>
      </c>
      <c r="C5746" t="s">
        <v>37</v>
      </c>
      <c r="D5746">
        <v>4.9867280000000003</v>
      </c>
      <c r="E5746">
        <v>0.62814619999999999</v>
      </c>
      <c r="F5746" t="s">
        <v>38</v>
      </c>
      <c r="G5746">
        <v>-309.02960000000002</v>
      </c>
      <c r="H5746" s="1">
        <v>-5.0388769999999997E-6</v>
      </c>
      <c r="I5746">
        <v>-32.912909999999997</v>
      </c>
      <c r="J5746">
        <v>-305.0702</v>
      </c>
      <c r="K5746">
        <v>1.048643</v>
      </c>
      <c r="L5746">
        <v>4.0693659999999996</v>
      </c>
      <c r="M5746">
        <v>0.3886501</v>
      </c>
      <c r="N5746">
        <v>0</v>
      </c>
      <c r="O5746">
        <v>-0.92126710000000001</v>
      </c>
      <c r="P5746">
        <v>0.2157984</v>
      </c>
      <c r="Q5746">
        <v>3.9644329999999998E-3</v>
      </c>
      <c r="R5746">
        <v>-0.97642999999999902</v>
      </c>
      <c r="S5746">
        <v>-0.3303528</v>
      </c>
      <c r="T5746">
        <v>-8.897012E-2</v>
      </c>
      <c r="U5746">
        <v>-3.1535639999999998</v>
      </c>
      <c r="V5746">
        <v>0.18096619999999999</v>
      </c>
      <c r="W5746">
        <v>1.569094E-2</v>
      </c>
      <c r="X5746">
        <v>0.98336420000000002</v>
      </c>
      <c r="Y5746">
        <v>0.48253040000000003</v>
      </c>
      <c r="Z5746">
        <v>2.3038510000000002E-2</v>
      </c>
      <c r="AA5746">
        <v>0.87557609999999997</v>
      </c>
      <c r="AB5746">
        <v>20</v>
      </c>
      <c r="AC5746">
        <v>-3.9594000000000098</v>
      </c>
      <c r="AD5746">
        <v>-1.0486480388770001</v>
      </c>
      <c r="AE5746">
        <v>-36.982275999999999</v>
      </c>
      <c r="AF5746">
        <v>18.008479814210499</v>
      </c>
      <c r="AG5746">
        <v>-1.0486480388770001</v>
      </c>
      <c r="AH5746">
        <v>32.509437637584298</v>
      </c>
      <c r="AI5746">
        <v>91.616269470126795</v>
      </c>
      <c r="AJ5746">
        <v>61.015905348090698</v>
      </c>
      <c r="AK5746">
        <v>37.178872272303401</v>
      </c>
    </row>
    <row r="5747" spans="1:37" x14ac:dyDescent="0.2">
      <c r="A5747" t="str">
        <f>"20200111155709317"</f>
        <v>20200111155709317</v>
      </c>
      <c r="B5747" t="str">
        <f>"1578729429308801"</f>
        <v>1578729429308801</v>
      </c>
      <c r="C5747" t="s">
        <v>37</v>
      </c>
      <c r="D5747">
        <v>4.964836</v>
      </c>
      <c r="E5747">
        <v>0.62746780000000002</v>
      </c>
      <c r="F5747" t="s">
        <v>38</v>
      </c>
      <c r="G5747">
        <v>-309.60120000000001</v>
      </c>
      <c r="H5747" s="1">
        <v>-3.8409919999999999E-6</v>
      </c>
      <c r="I5747">
        <v>-36.730879999999999</v>
      </c>
      <c r="J5747">
        <v>-305.005</v>
      </c>
      <c r="K5747">
        <v>1.048694</v>
      </c>
      <c r="L5747">
        <v>3.8786930000000002</v>
      </c>
      <c r="M5747">
        <v>0.37768579999999902</v>
      </c>
      <c r="N5747">
        <v>0</v>
      </c>
      <c r="O5747">
        <v>-0.92581619999999998</v>
      </c>
      <c r="P5747">
        <v>0.2078989</v>
      </c>
      <c r="Q5747">
        <v>7.1463069999999898E-3</v>
      </c>
      <c r="R5747">
        <v>-0.9781244</v>
      </c>
      <c r="S5747">
        <v>-0.349823</v>
      </c>
      <c r="T5747">
        <v>-8.0962660000000006E-2</v>
      </c>
      <c r="U5747">
        <v>-3.150055</v>
      </c>
      <c r="V5747">
        <v>0.17727979999999999</v>
      </c>
      <c r="W5747">
        <v>1.8946770000000002E-2</v>
      </c>
      <c r="X5747">
        <v>0.98397809999999897</v>
      </c>
      <c r="Y5747">
        <v>0.47758230000000002</v>
      </c>
      <c r="Z5747">
        <v>2.1192800000000001E-2</v>
      </c>
      <c r="AA5747">
        <v>0.87833139999999998</v>
      </c>
      <c r="AB5747">
        <v>20</v>
      </c>
      <c r="AC5747">
        <v>-4.5961999999999996</v>
      </c>
      <c r="AD5747">
        <v>-1.048697840992</v>
      </c>
      <c r="AE5747">
        <v>-40.609572999999997</v>
      </c>
      <c r="AF5747">
        <v>19.582135846302801</v>
      </c>
      <c r="AG5747">
        <v>-1.048697840992</v>
      </c>
      <c r="AH5747">
        <v>35.841387606249299</v>
      </c>
      <c r="AI5747">
        <v>91.470859161204601</v>
      </c>
      <c r="AJ5747">
        <v>61.349775333462702</v>
      </c>
      <c r="AK5747">
        <v>40.855414292430901</v>
      </c>
    </row>
    <row r="5748" spans="1:37" x14ac:dyDescent="0.2">
      <c r="A5748" t="str">
        <f>"20200111155709340"</f>
        <v>20200111155709340</v>
      </c>
      <c r="B5748" t="str">
        <f>"1578729429328322"</f>
        <v>1578729429328322</v>
      </c>
      <c r="C5748" t="s">
        <v>37</v>
      </c>
      <c r="D5748">
        <v>4.991123</v>
      </c>
      <c r="E5748">
        <v>0.6267819</v>
      </c>
      <c r="F5748" t="s">
        <v>38</v>
      </c>
      <c r="G5748">
        <v>-310.13189999999997</v>
      </c>
      <c r="H5748">
        <v>7.9986619999999994E-2</v>
      </c>
      <c r="I5748">
        <v>-39.69659</v>
      </c>
      <c r="J5748">
        <v>-304.94279999999998</v>
      </c>
      <c r="K5748">
        <v>1.048743</v>
      </c>
      <c r="L5748">
        <v>3.6895449999999999</v>
      </c>
      <c r="M5748">
        <v>0.36682579999999998</v>
      </c>
      <c r="N5748">
        <v>0</v>
      </c>
      <c r="O5748">
        <v>-0.93017269999999896</v>
      </c>
      <c r="P5748">
        <v>0.20069210000000001</v>
      </c>
      <c r="Q5748">
        <v>1.0105009999999999E-2</v>
      </c>
      <c r="R5748">
        <v>-0.97960230000000004</v>
      </c>
      <c r="S5748">
        <v>-0.37017820000000001</v>
      </c>
      <c r="T5748">
        <v>-6.9943669999999999E-2</v>
      </c>
      <c r="U5748">
        <v>-3.146271</v>
      </c>
      <c r="V5748">
        <v>0.17304079999999999</v>
      </c>
      <c r="W5748">
        <v>2.198978E-2</v>
      </c>
      <c r="X5748">
        <v>0.98466909999999896</v>
      </c>
      <c r="Y5748">
        <v>0.47302840000000002</v>
      </c>
      <c r="Z5748">
        <v>1.8497690000000001E-2</v>
      </c>
      <c r="AA5748">
        <v>0.880853</v>
      </c>
      <c r="AB5748">
        <v>20</v>
      </c>
      <c r="AC5748">
        <v>-5.1890999999999901</v>
      </c>
      <c r="AD5748">
        <v>-0.96875637999999997</v>
      </c>
      <c r="AE5748">
        <v>-43.386135000000003</v>
      </c>
      <c r="AF5748">
        <v>20.733978148713501</v>
      </c>
      <c r="AG5748">
        <v>-0.96875637999999997</v>
      </c>
      <c r="AH5748">
        <v>38.438392582638002</v>
      </c>
      <c r="AI5748">
        <v>91.270703452900904</v>
      </c>
      <c r="AJ5748">
        <v>61.657219568625798</v>
      </c>
      <c r="AK5748">
        <v>43.684623875365197</v>
      </c>
    </row>
    <row r="5749" spans="1:37" x14ac:dyDescent="0.2">
      <c r="A5749" t="str">
        <f>"20200111155709362"</f>
        <v>20200111155709362</v>
      </c>
      <c r="B5749" t="str">
        <f>"1578729429358579"</f>
        <v>1578729429358579</v>
      </c>
      <c r="C5749" t="s">
        <v>37</v>
      </c>
      <c r="D5749">
        <v>4.9674879999999897</v>
      </c>
      <c r="E5749">
        <v>0.62565899999999997</v>
      </c>
      <c r="F5749" t="s">
        <v>75</v>
      </c>
      <c r="G5749">
        <v>-311.25049999999999</v>
      </c>
      <c r="H5749">
        <v>7.9987649999999993E-2</v>
      </c>
      <c r="I5749">
        <v>-47.371499999999997</v>
      </c>
      <c r="J5749">
        <v>-304.8811</v>
      </c>
      <c r="K5749">
        <v>1.048802</v>
      </c>
      <c r="L5749">
        <v>3.4937129999999899</v>
      </c>
      <c r="M5749">
        <v>0.35561350000000003</v>
      </c>
      <c r="N5749">
        <v>0</v>
      </c>
      <c r="O5749">
        <v>-0.93451700000000004</v>
      </c>
      <c r="P5749">
        <v>0.1935307</v>
      </c>
      <c r="Q5749">
        <v>1.15048999999999E-2</v>
      </c>
      <c r="R5749">
        <v>-0.98102710000000004</v>
      </c>
      <c r="S5749">
        <v>-0.38821409999999901</v>
      </c>
      <c r="T5749">
        <v>-5.9623120000000002E-2</v>
      </c>
      <c r="U5749">
        <v>-3.1426090000000002</v>
      </c>
      <c r="V5749">
        <v>0.1684031</v>
      </c>
      <c r="W5749">
        <v>2.3480939999999999E-2</v>
      </c>
      <c r="X5749">
        <v>0.9854385</v>
      </c>
      <c r="Y5749">
        <v>0.46753349999999999</v>
      </c>
      <c r="Z5749">
        <v>1.5933650000000001E-2</v>
      </c>
      <c r="AA5749">
        <v>0.883831699999999</v>
      </c>
      <c r="AB5749">
        <v>20</v>
      </c>
      <c r="AC5749">
        <v>-6.3693999999999802</v>
      </c>
      <c r="AD5749">
        <v>-0.96881435000000005</v>
      </c>
      <c r="AE5749">
        <v>-50.865212999999997</v>
      </c>
      <c r="AF5749">
        <v>24.034693407280699</v>
      </c>
      <c r="AG5749">
        <v>-0.96881435000000005</v>
      </c>
      <c r="AH5749">
        <v>45.258109389177797</v>
      </c>
      <c r="AI5749">
        <v>91.083096525128497</v>
      </c>
      <c r="AJ5749">
        <v>62.029093540260199</v>
      </c>
      <c r="AK5749">
        <v>51.2533077362773</v>
      </c>
    </row>
    <row r="5750" spans="1:37" x14ac:dyDescent="0.2">
      <c r="A5750" t="str">
        <f>"20200111155709384"</f>
        <v>20200111155709384</v>
      </c>
      <c r="B5750" t="str">
        <f>"1578729429379073"</f>
        <v>1578729429379073</v>
      </c>
      <c r="C5750" t="s">
        <v>37</v>
      </c>
      <c r="D5750">
        <v>5.0048199999999996</v>
      </c>
      <c r="E5750">
        <v>0.60724480000000003</v>
      </c>
      <c r="F5750" t="s">
        <v>75</v>
      </c>
      <c r="G5750">
        <v>-312.084</v>
      </c>
      <c r="H5750">
        <v>7.9987429999999998E-2</v>
      </c>
      <c r="I5750">
        <v>-52.679729999999999</v>
      </c>
      <c r="J5750">
        <v>-304.82380000000001</v>
      </c>
      <c r="K5750">
        <v>1.048856</v>
      </c>
      <c r="L5750">
        <v>3.3043819999999999</v>
      </c>
      <c r="M5750">
        <v>0.34479679999999902</v>
      </c>
      <c r="N5750">
        <v>0</v>
      </c>
      <c r="O5750">
        <v>-0.93856189999999995</v>
      </c>
      <c r="P5750">
        <v>0.18588489999999999</v>
      </c>
      <c r="Q5750">
        <v>1.184618E-2</v>
      </c>
      <c r="R5750">
        <v>-0.98250040000000005</v>
      </c>
      <c r="S5750">
        <v>-0.40237430000000002</v>
      </c>
      <c r="T5750">
        <v>-5.4121139999999998E-2</v>
      </c>
      <c r="U5750">
        <v>-3.1380309999999998</v>
      </c>
      <c r="V5750">
        <v>0.16469510000000001</v>
      </c>
      <c r="W5750">
        <v>2.3896629999999999E-2</v>
      </c>
      <c r="X5750">
        <v>0.98605499999999902</v>
      </c>
      <c r="Y5750">
        <v>0.46139929999999901</v>
      </c>
      <c r="Z5750">
        <v>1.461319E-2</v>
      </c>
      <c r="AA5750">
        <v>0.88707219999999998</v>
      </c>
      <c r="AB5750">
        <v>20</v>
      </c>
      <c r="AC5750">
        <v>-7.2601999999999904</v>
      </c>
      <c r="AD5750">
        <v>-0.96886857000000004</v>
      </c>
      <c r="AE5750">
        <v>-55.984112000000003</v>
      </c>
      <c r="AF5750">
        <v>26.1124290096921</v>
      </c>
      <c r="AG5750">
        <v>-0.96886857000000004</v>
      </c>
      <c r="AH5750">
        <v>50.031947475876201</v>
      </c>
      <c r="AI5750">
        <v>90.983527236751996</v>
      </c>
      <c r="AJ5750">
        <v>62.439263841616302</v>
      </c>
      <c r="AK5750">
        <v>56.4446049088926</v>
      </c>
    </row>
    <row r="5751" spans="1:37" x14ac:dyDescent="0.2">
      <c r="A5751" t="str">
        <f>"20200111155709407"</f>
        <v>20200111155709407</v>
      </c>
      <c r="B5751" t="str">
        <f>"1578729429398594"</f>
        <v>1578729429398594</v>
      </c>
      <c r="C5751" t="s">
        <v>37</v>
      </c>
      <c r="D5751">
        <v>5.0171429999999999</v>
      </c>
      <c r="E5751">
        <v>0.60608109999999904</v>
      </c>
      <c r="F5751" t="s">
        <v>38</v>
      </c>
      <c r="G5751">
        <v>-308.02260000000001</v>
      </c>
      <c r="H5751" s="1">
        <v>-5.2130489999999998E-6</v>
      </c>
      <c r="I5751">
        <v>-31.876169999999998</v>
      </c>
      <c r="J5751">
        <v>-304.7679</v>
      </c>
      <c r="K5751">
        <v>1.048924</v>
      </c>
      <c r="L5751">
        <v>3.111694</v>
      </c>
      <c r="M5751">
        <v>0.33382719999999999</v>
      </c>
      <c r="N5751">
        <v>0</v>
      </c>
      <c r="O5751">
        <v>-0.94251939999999901</v>
      </c>
      <c r="P5751">
        <v>0.1800388</v>
      </c>
      <c r="Q5751">
        <v>1.450254E-2</v>
      </c>
      <c r="R5751">
        <v>-0.98355289999999995</v>
      </c>
      <c r="S5751">
        <v>-0.28259279999999998</v>
      </c>
      <c r="T5751">
        <v>-9.2661800000000002E-2</v>
      </c>
      <c r="U5751">
        <v>-3.1080320000000001</v>
      </c>
      <c r="V5751">
        <v>0.15907959999999999</v>
      </c>
      <c r="W5751">
        <v>2.6659019999999999E-2</v>
      </c>
      <c r="X5751">
        <v>0.98690580000000006</v>
      </c>
      <c r="Y5751">
        <v>0.41780729999999999</v>
      </c>
      <c r="Z5751">
        <v>2.5806389999999998E-2</v>
      </c>
      <c r="AA5751">
        <v>0.90816909999999895</v>
      </c>
      <c r="AB5751">
        <v>20</v>
      </c>
      <c r="AC5751">
        <v>-3.2547000000000099</v>
      </c>
      <c r="AD5751">
        <v>-1.048929213049</v>
      </c>
      <c r="AE5751">
        <v>-34.987864000000002</v>
      </c>
      <c r="AF5751">
        <v>14.7359849345202</v>
      </c>
      <c r="AG5751">
        <v>-1.048929213049</v>
      </c>
      <c r="AH5751">
        <v>31.865292720053201</v>
      </c>
      <c r="AI5751">
        <v>91.711346870201595</v>
      </c>
      <c r="AJ5751">
        <v>65.181995970089901</v>
      </c>
      <c r="AK5751">
        <v>35.1233025870158</v>
      </c>
    </row>
    <row r="5752" spans="1:37" x14ac:dyDescent="0.2">
      <c r="A5752" t="str">
        <f>"20200111155709428"</f>
        <v>20200111155709428</v>
      </c>
      <c r="B5752" t="str">
        <f>"1578729429419090"</f>
        <v>1578729429419090</v>
      </c>
      <c r="C5752" t="s">
        <v>37</v>
      </c>
      <c r="D5752">
        <v>5.0047230000000003</v>
      </c>
      <c r="E5752">
        <v>0.60465049999999998</v>
      </c>
      <c r="F5752" t="s">
        <v>38</v>
      </c>
      <c r="G5752">
        <v>-308.11130000000003</v>
      </c>
      <c r="H5752" s="1">
        <v>-5.0415400000000002E-6</v>
      </c>
      <c r="I5752">
        <v>-32.426400000000001</v>
      </c>
      <c r="J5752">
        <v>-304.71460000000002</v>
      </c>
      <c r="K5752">
        <v>1.0490010000000001</v>
      </c>
      <c r="L5752">
        <v>2.9204409999999998</v>
      </c>
      <c r="M5752">
        <v>0.32299729999999999</v>
      </c>
      <c r="N5752">
        <v>0</v>
      </c>
      <c r="O5752">
        <v>-0.94628570000000001</v>
      </c>
      <c r="P5752">
        <v>0.17386889999999999</v>
      </c>
      <c r="Q5752">
        <v>1.8044729999999998E-2</v>
      </c>
      <c r="R5752">
        <v>-0.98460349999999996</v>
      </c>
      <c r="S5752">
        <v>-0.29211429999999999</v>
      </c>
      <c r="T5752">
        <v>-9.1645420000000005E-2</v>
      </c>
      <c r="U5752">
        <v>-3.1049799999999999</v>
      </c>
      <c r="V5752">
        <v>0.1539759</v>
      </c>
      <c r="W5752">
        <v>3.029724E-2</v>
      </c>
      <c r="X5752">
        <v>0.98760999999999999</v>
      </c>
      <c r="Y5752">
        <v>0.410217099999999</v>
      </c>
      <c r="Z5752">
        <v>2.5762920000000002E-2</v>
      </c>
      <c r="AA5752">
        <v>0.91162389999999904</v>
      </c>
      <c r="AB5752">
        <v>20</v>
      </c>
      <c r="AC5752">
        <v>-3.3967000000000001</v>
      </c>
      <c r="AD5752">
        <v>-1.04900604154</v>
      </c>
      <c r="AE5752">
        <v>-35.346840999999998</v>
      </c>
      <c r="AF5752">
        <v>14.620005321057199</v>
      </c>
      <c r="AG5752">
        <v>-1.04900604154</v>
      </c>
      <c r="AH5752">
        <v>32.326370570485302</v>
      </c>
      <c r="AI5752">
        <v>91.6935822981538</v>
      </c>
      <c r="AJ5752">
        <v>65.664543952128895</v>
      </c>
      <c r="AK5752">
        <v>35.4942136625573</v>
      </c>
    </row>
    <row r="5753" spans="1:37" x14ac:dyDescent="0.2">
      <c r="A5753" t="str">
        <f>"20200111155709451"</f>
        <v>20200111155709451</v>
      </c>
      <c r="B5753" t="str">
        <f>"1578729429448370"</f>
        <v>1578729429448370</v>
      </c>
      <c r="C5753" t="s">
        <v>37</v>
      </c>
      <c r="D5753">
        <v>5.0114089999999996</v>
      </c>
      <c r="E5753">
        <v>0.60291349999999999</v>
      </c>
      <c r="F5753" t="s">
        <v>38</v>
      </c>
      <c r="G5753">
        <v>-308.27550000000002</v>
      </c>
      <c r="H5753" s="1">
        <v>-4.58369E-6</v>
      </c>
      <c r="I5753">
        <v>-33.857390000000002</v>
      </c>
      <c r="J5753">
        <v>-304.66410000000002</v>
      </c>
      <c r="K5753">
        <v>1.0490930000000001</v>
      </c>
      <c r="L5753">
        <v>2.730804</v>
      </c>
      <c r="M5753">
        <v>0.31233509999999998</v>
      </c>
      <c r="N5753">
        <v>0</v>
      </c>
      <c r="O5753">
        <v>-0.94985869999999994</v>
      </c>
      <c r="P5753">
        <v>0.16804089999999999</v>
      </c>
      <c r="Q5753">
        <v>2.1490869999999999E-2</v>
      </c>
      <c r="R5753">
        <v>-0.98554599999999903</v>
      </c>
      <c r="S5753">
        <v>-0.30029299999999998</v>
      </c>
      <c r="T5753">
        <v>-8.8465150000000006E-2</v>
      </c>
      <c r="U5753">
        <v>-3.1015630000000001</v>
      </c>
      <c r="V5753">
        <v>0.14873139999999899</v>
      </c>
      <c r="W5753">
        <v>3.3841169999999997E-2</v>
      </c>
      <c r="X5753">
        <v>0.98829840000000002</v>
      </c>
      <c r="Y5753">
        <v>0.40242459999999902</v>
      </c>
      <c r="Z5753">
        <v>2.5096360000000002E-2</v>
      </c>
      <c r="AA5753">
        <v>0.91510899999999995</v>
      </c>
      <c r="AB5753">
        <v>19</v>
      </c>
      <c r="AC5753">
        <v>-3.6114000000000002</v>
      </c>
      <c r="AD5753">
        <v>-1.0490975836900001</v>
      </c>
      <c r="AE5753">
        <v>-36.588194000000001</v>
      </c>
      <c r="AF5753">
        <v>14.8476070456956</v>
      </c>
      <c r="AG5753">
        <v>-1.0490975836900001</v>
      </c>
      <c r="AH5753">
        <v>33.6019075225229</v>
      </c>
      <c r="AI5753">
        <v>91.635790489503705</v>
      </c>
      <c r="AJ5753">
        <v>66.1608995162333</v>
      </c>
      <c r="AK5753">
        <v>36.751057534112903</v>
      </c>
    </row>
    <row r="5754" spans="1:37" x14ac:dyDescent="0.2">
      <c r="A5754" t="str">
        <f>"20200111155709474"</f>
        <v>20200111155709474</v>
      </c>
      <c r="B5754" t="str">
        <f>"1578729429468865"</f>
        <v>1578729429468865</v>
      </c>
      <c r="C5754" t="s">
        <v>37</v>
      </c>
      <c r="D5754">
        <v>5.0260959999999999</v>
      </c>
      <c r="E5754">
        <v>0.60237109999999905</v>
      </c>
      <c r="F5754" t="s">
        <v>38</v>
      </c>
      <c r="G5754">
        <v>-308.4058</v>
      </c>
      <c r="H5754" s="1">
        <v>-4.1055129999999996E-6</v>
      </c>
      <c r="I5754">
        <v>-35.330469999999998</v>
      </c>
      <c r="J5754">
        <v>-304.61259999999999</v>
      </c>
      <c r="K5754">
        <v>1.0492030000000001</v>
      </c>
      <c r="L5754">
        <v>2.5290219999999999</v>
      </c>
      <c r="M5754">
        <v>0.30110029999999999</v>
      </c>
      <c r="N5754">
        <v>0</v>
      </c>
      <c r="O5754">
        <v>-0.95347979999999999</v>
      </c>
      <c r="P5754">
        <v>0.161937</v>
      </c>
      <c r="Q5754">
        <v>2.4838180000000001E-2</v>
      </c>
      <c r="R5754">
        <v>-0.98648849999999999</v>
      </c>
      <c r="S5754">
        <v>-0.3045349</v>
      </c>
      <c r="T5754">
        <v>-8.5385199999999994E-2</v>
      </c>
      <c r="U5754">
        <v>-3.0977779999999999</v>
      </c>
      <c r="V5754">
        <v>0.14319389999999901</v>
      </c>
      <c r="W5754">
        <v>3.7291280000000003E-2</v>
      </c>
      <c r="X5754">
        <v>0.98899190000000003</v>
      </c>
      <c r="Y5754">
        <v>0.3929473</v>
      </c>
      <c r="Z5754">
        <v>2.445785E-2</v>
      </c>
      <c r="AA5754">
        <v>0.91923569999999999</v>
      </c>
      <c r="AB5754">
        <v>19</v>
      </c>
      <c r="AC5754">
        <v>-3.7932000000000099</v>
      </c>
      <c r="AD5754">
        <v>-1.0492071055129999</v>
      </c>
      <c r="AE5754">
        <v>-37.859491999999896</v>
      </c>
      <c r="AF5754">
        <v>15.006446868193899</v>
      </c>
      <c r="AG5754">
        <v>-1.0492071055129999</v>
      </c>
      <c r="AH5754">
        <v>34.933320636194203</v>
      </c>
      <c r="AI5754">
        <v>91.580738538529204</v>
      </c>
      <c r="AJ5754">
        <v>66.752896766665401</v>
      </c>
      <c r="AK5754">
        <v>38.034604951666502</v>
      </c>
    </row>
    <row r="5755" spans="1:37" x14ac:dyDescent="0.2">
      <c r="A5755" t="str">
        <f>"20200111155709497"</f>
        <v>20200111155709497</v>
      </c>
      <c r="B5755" t="str">
        <f>"1578729429488386"</f>
        <v>1578729429488386</v>
      </c>
      <c r="C5755" t="s">
        <v>37</v>
      </c>
      <c r="D5755">
        <v>5.0598010000000002</v>
      </c>
      <c r="E5755">
        <v>0.60179069999999901</v>
      </c>
      <c r="F5755" t="s">
        <v>75</v>
      </c>
      <c r="G5755">
        <v>-309.1875</v>
      </c>
      <c r="H5755" s="1">
        <v>-3.006005E-6</v>
      </c>
      <c r="I5755">
        <v>-41.828279999999999</v>
      </c>
      <c r="J5755">
        <v>-304.56659999999999</v>
      </c>
      <c r="K5755">
        <v>1.0493239999999999</v>
      </c>
      <c r="L5755">
        <v>2.3404240000000001</v>
      </c>
      <c r="M5755">
        <v>0.29072619999999999</v>
      </c>
      <c r="N5755">
        <v>0</v>
      </c>
      <c r="O5755">
        <v>-0.9566945</v>
      </c>
      <c r="P5755">
        <v>0.15762570000000001</v>
      </c>
      <c r="Q5755">
        <v>2.7529060000000001E-2</v>
      </c>
      <c r="R5755">
        <v>-0.98711530000000003</v>
      </c>
      <c r="S5755">
        <v>-0.31924439999999998</v>
      </c>
      <c r="T5755">
        <v>-7.3215600000000006E-2</v>
      </c>
      <c r="U5755">
        <v>-3.0953369999999998</v>
      </c>
      <c r="V5755">
        <v>0.1367737</v>
      </c>
      <c r="W5755">
        <v>4.009824E-2</v>
      </c>
      <c r="X5755">
        <v>0.98979039999999996</v>
      </c>
      <c r="Y5755">
        <v>0.3873566</v>
      </c>
      <c r="Z5755">
        <v>2.112764E-2</v>
      </c>
      <c r="AA5755">
        <v>0.92168779999999995</v>
      </c>
      <c r="AB5755">
        <v>19</v>
      </c>
      <c r="AC5755">
        <v>-4.6208999999999998</v>
      </c>
      <c r="AD5755">
        <v>-1.049327006005</v>
      </c>
      <c r="AE5755">
        <v>-44.168703999999998</v>
      </c>
      <c r="AF5755">
        <v>17.254002775013198</v>
      </c>
      <c r="AG5755">
        <v>-1.049327006005</v>
      </c>
      <c r="AH5755">
        <v>40.894084982858999</v>
      </c>
      <c r="AI5755">
        <v>91.354305129314994</v>
      </c>
      <c r="AJ5755">
        <v>67.124181244915505</v>
      </c>
      <c r="AK5755">
        <v>44.397386021149799</v>
      </c>
    </row>
    <row r="5756" spans="1:37" x14ac:dyDescent="0.2">
      <c r="A5756" t="str">
        <f>"20200111155709520"</f>
        <v>20200111155709520</v>
      </c>
      <c r="B5756" t="str">
        <f>"1578729429508881"</f>
        <v>1578729429508881</v>
      </c>
      <c r="C5756" t="s">
        <v>37</v>
      </c>
      <c r="D5756">
        <v>5.0667439999999999</v>
      </c>
      <c r="E5756">
        <v>0.60156999999999905</v>
      </c>
      <c r="F5756" t="s">
        <v>75</v>
      </c>
      <c r="G5756">
        <v>-309.78050000000002</v>
      </c>
      <c r="H5756" s="1">
        <v>-5.0421189999999999E-6</v>
      </c>
      <c r="I5756">
        <v>-46.817859999999897</v>
      </c>
      <c r="J5756">
        <v>-304.52010000000001</v>
      </c>
      <c r="K5756">
        <v>1.049472</v>
      </c>
      <c r="L5756">
        <v>2.1408999999999998</v>
      </c>
      <c r="M5756">
        <v>0.2799217</v>
      </c>
      <c r="N5756">
        <v>0</v>
      </c>
      <c r="O5756">
        <v>-0.95991179999999998</v>
      </c>
      <c r="P5756">
        <v>0.15268229999999999</v>
      </c>
      <c r="Q5756">
        <v>3.040704E-2</v>
      </c>
      <c r="R5756">
        <v>-0.98780749999999995</v>
      </c>
      <c r="S5756">
        <v>-0.32809450000000001</v>
      </c>
      <c r="T5756">
        <v>-6.6031160000000005E-2</v>
      </c>
      <c r="U5756">
        <v>-3.0933839999999999</v>
      </c>
      <c r="V5756">
        <v>0.13056580000000001</v>
      </c>
      <c r="W5756">
        <v>4.308733E-2</v>
      </c>
      <c r="X5756">
        <v>0.99050300000000002</v>
      </c>
      <c r="Y5756">
        <v>0.37962180000000001</v>
      </c>
      <c r="Z5756">
        <v>1.920202E-2</v>
      </c>
      <c r="AA5756">
        <v>0.924942499999999</v>
      </c>
      <c r="AB5756">
        <v>19</v>
      </c>
      <c r="AC5756">
        <v>-5.2603999999999997</v>
      </c>
      <c r="AD5756">
        <v>-1.0494770421190001</v>
      </c>
      <c r="AE5756">
        <v>-48.958759999999998</v>
      </c>
      <c r="AF5756">
        <v>18.7476224594038</v>
      </c>
      <c r="AG5756">
        <v>-1.0494770421190001</v>
      </c>
      <c r="AH5756">
        <v>45.507772269560299</v>
      </c>
      <c r="AI5756">
        <v>91.221529862331906</v>
      </c>
      <c r="AJ5756">
        <v>67.6100392606658</v>
      </c>
      <c r="AK5756">
        <v>49.229382353229198</v>
      </c>
    </row>
    <row r="5757" spans="1:37" x14ac:dyDescent="0.2">
      <c r="A5757" t="str">
        <f>"20200111155709543"</f>
        <v>20200111155709543</v>
      </c>
      <c r="B5757" t="str">
        <f>"1578729429539138"</f>
        <v>1578729429539138</v>
      </c>
      <c r="C5757" t="s">
        <v>37</v>
      </c>
      <c r="D5757">
        <v>5.0706489999999897</v>
      </c>
      <c r="E5757">
        <v>0.59592650000000003</v>
      </c>
      <c r="F5757" t="s">
        <v>75</v>
      </c>
      <c r="G5757">
        <v>-310.19799999999998</v>
      </c>
      <c r="H5757">
        <v>7.9987500000000003E-2</v>
      </c>
      <c r="I5757">
        <v>-49.213090000000001</v>
      </c>
      <c r="J5757">
        <v>-304.47559999999999</v>
      </c>
      <c r="K5757">
        <v>1.049642</v>
      </c>
      <c r="L5757">
        <v>1.9405209999999999</v>
      </c>
      <c r="M5757">
        <v>0.26928429999999998</v>
      </c>
      <c r="N5757">
        <v>0</v>
      </c>
      <c r="O5757">
        <v>-0.96295049999999904</v>
      </c>
      <c r="P5757">
        <v>0.14703729999999901</v>
      </c>
      <c r="Q5757">
        <v>3.3138290000000001E-2</v>
      </c>
      <c r="R5757">
        <v>-0.9885758</v>
      </c>
      <c r="S5757">
        <v>-0.3418274</v>
      </c>
      <c r="T5757">
        <v>-5.8366120000000001E-2</v>
      </c>
      <c r="U5757">
        <v>-3.091675</v>
      </c>
      <c r="V5757">
        <v>0.12525649999999999</v>
      </c>
      <c r="W5757">
        <v>4.5911689999999998E-2</v>
      </c>
      <c r="X5757">
        <v>0.99106149999999904</v>
      </c>
      <c r="Y5757">
        <v>0.37349729999999998</v>
      </c>
      <c r="Z5757">
        <v>1.708873E-2</v>
      </c>
      <c r="AA5757">
        <v>0.92747380000000001</v>
      </c>
      <c r="AB5757">
        <v>19</v>
      </c>
      <c r="AC5757">
        <v>-5.7223999999999897</v>
      </c>
      <c r="AD5757">
        <v>-0.96965449999999997</v>
      </c>
      <c r="AE5757">
        <v>-51.153610999999998</v>
      </c>
      <c r="AF5757">
        <v>19.280457500847199</v>
      </c>
      <c r="AG5757">
        <v>-0.96965449999999997</v>
      </c>
      <c r="AH5757">
        <v>47.705579123291997</v>
      </c>
      <c r="AI5757">
        <v>91.079606471852202</v>
      </c>
      <c r="AJ5757">
        <v>67.993647986010004</v>
      </c>
      <c r="AK5757">
        <v>51.463565274667999</v>
      </c>
    </row>
    <row r="5758" spans="1:37" x14ac:dyDescent="0.2">
      <c r="A5758" t="str">
        <f>"20200111155709563"</f>
        <v>20200111155709563</v>
      </c>
      <c r="B5758" t="str">
        <f>"1578729429558657"</f>
        <v>1578729429558657</v>
      </c>
      <c r="C5758" t="s">
        <v>37</v>
      </c>
      <c r="D5758">
        <v>5.0798030000000001</v>
      </c>
      <c r="E5758">
        <v>0.59509330000000005</v>
      </c>
      <c r="F5758" t="s">
        <v>75</v>
      </c>
      <c r="G5758">
        <v>-308.83760000000001</v>
      </c>
      <c r="H5758" s="1">
        <v>-2.5240930000000001E-6</v>
      </c>
      <c r="I5758">
        <v>-40.81033</v>
      </c>
      <c r="J5758">
        <v>-304.43759999999997</v>
      </c>
      <c r="K5758">
        <v>1.049803</v>
      </c>
      <c r="L5758">
        <v>1.76144399999999</v>
      </c>
      <c r="M5758">
        <v>0.25992989999999999</v>
      </c>
      <c r="N5758">
        <v>0</v>
      </c>
      <c r="O5758">
        <v>-0.96551830000000005</v>
      </c>
      <c r="P5758">
        <v>0.14254330000000001</v>
      </c>
      <c r="Q5758">
        <v>3.66275E-2</v>
      </c>
      <c r="R5758">
        <v>-0.98911090000000002</v>
      </c>
      <c r="S5758">
        <v>-0.31466669999999902</v>
      </c>
      <c r="T5758">
        <v>-7.5720609999999994E-2</v>
      </c>
      <c r="U5758">
        <v>-3.084015</v>
      </c>
      <c r="V5758">
        <v>0.1201393</v>
      </c>
      <c r="W5758">
        <v>4.9482459999999999E-2</v>
      </c>
      <c r="X5758">
        <v>0.99152309999999999</v>
      </c>
      <c r="Y5758">
        <v>0.35660059999999999</v>
      </c>
      <c r="Z5758">
        <v>2.2408810000000001E-2</v>
      </c>
      <c r="AA5758">
        <v>0.93398819999999905</v>
      </c>
      <c r="AB5758">
        <v>19</v>
      </c>
      <c r="AC5758">
        <v>-4.4000000000000297</v>
      </c>
      <c r="AD5758">
        <v>-1.049805524093</v>
      </c>
      <c r="AE5758">
        <v>-42.571773999999998</v>
      </c>
      <c r="AF5758">
        <v>15.3063628750318</v>
      </c>
      <c r="AG5758">
        <v>-1.049805524093</v>
      </c>
      <c r="AH5758">
        <v>39.940317994045301</v>
      </c>
      <c r="AI5758">
        <v>91.405971329577099</v>
      </c>
      <c r="AJ5758">
        <v>69.031625247271194</v>
      </c>
      <c r="AK5758">
        <v>42.785696646963999</v>
      </c>
    </row>
    <row r="5759" spans="1:37" x14ac:dyDescent="0.2">
      <c r="A5759" t="str">
        <f>"20200111155709585"</f>
        <v>20200111155709585</v>
      </c>
      <c r="B5759" t="str">
        <f>"1578729429579154"</f>
        <v>1578729429579154</v>
      </c>
      <c r="C5759" t="s">
        <v>37</v>
      </c>
      <c r="D5759">
        <v>5.1056549999999996</v>
      </c>
      <c r="E5759">
        <v>0.59401040000000005</v>
      </c>
      <c r="F5759" t="s">
        <v>75</v>
      </c>
      <c r="G5759">
        <v>-309.05239999999998</v>
      </c>
      <c r="H5759" s="1">
        <v>-3.2040230000000002E-6</v>
      </c>
      <c r="I5759">
        <v>-42.440860000000001</v>
      </c>
      <c r="J5759">
        <v>-304.39760000000001</v>
      </c>
      <c r="K5759">
        <v>1.049971</v>
      </c>
      <c r="L5759">
        <v>1.564667</v>
      </c>
      <c r="M5759">
        <v>0.24984519999999999</v>
      </c>
      <c r="N5759">
        <v>0</v>
      </c>
      <c r="O5759">
        <v>-0.96817730000000002</v>
      </c>
      <c r="P5759">
        <v>0.1371279</v>
      </c>
      <c r="Q5759">
        <v>4.1221979999999998E-2</v>
      </c>
      <c r="R5759">
        <v>-0.98969560000000001</v>
      </c>
      <c r="S5759">
        <v>-0.32177729999999999</v>
      </c>
      <c r="T5759">
        <v>-7.3200520000000005E-2</v>
      </c>
      <c r="U5759">
        <v>-3.0821230000000002</v>
      </c>
      <c r="V5759">
        <v>0.115214699999999</v>
      </c>
      <c r="W5759">
        <v>5.4149660000000002E-2</v>
      </c>
      <c r="X5759">
        <v>0.99186359999999996</v>
      </c>
      <c r="Y5759">
        <v>0.34903609999999902</v>
      </c>
      <c r="Z5759">
        <v>2.1802820000000001E-2</v>
      </c>
      <c r="AA5759">
        <v>0.93685560000000001</v>
      </c>
      <c r="AB5759">
        <v>19</v>
      </c>
      <c r="AC5759">
        <v>-4.6547999999999599</v>
      </c>
      <c r="AD5759">
        <v>-1.049974204023</v>
      </c>
      <c r="AE5759">
        <v>-44.005527000000001</v>
      </c>
      <c r="AF5759">
        <v>15.4941467418451</v>
      </c>
      <c r="AG5759">
        <v>-1.049974204023</v>
      </c>
      <c r="AH5759">
        <v>41.423205517136701</v>
      </c>
      <c r="AI5759">
        <v>91.360005775738102</v>
      </c>
      <c r="AJ5759">
        <v>69.4919366632585</v>
      </c>
      <c r="AK5759">
        <v>44.238591573442903</v>
      </c>
    </row>
    <row r="5760" spans="1:37" x14ac:dyDescent="0.2">
      <c r="A5760" t="str">
        <f>"20200111155709607"</f>
        <v>20200111155709607</v>
      </c>
      <c r="B5760" t="str">
        <f>"1578729429598674"</f>
        <v>1578729429598674</v>
      </c>
      <c r="C5760" t="s">
        <v>37</v>
      </c>
      <c r="D5760">
        <v>5.1170369999999998</v>
      </c>
      <c r="E5760">
        <v>0.58822459999999999</v>
      </c>
      <c r="F5760" t="s">
        <v>75</v>
      </c>
      <c r="G5760">
        <v>-309.60169999999999</v>
      </c>
      <c r="H5760" s="1">
        <v>-5.0573169999999997E-6</v>
      </c>
      <c r="I5760">
        <v>-46.93336</v>
      </c>
      <c r="J5760">
        <v>-304.36219999999997</v>
      </c>
      <c r="K5760">
        <v>1.050127</v>
      </c>
      <c r="L5760">
        <v>1.3815309999999901</v>
      </c>
      <c r="M5760">
        <v>0.2406662</v>
      </c>
      <c r="N5760">
        <v>0</v>
      </c>
      <c r="O5760">
        <v>-0.97050029999999998</v>
      </c>
      <c r="P5760">
        <v>0.13304270000000001</v>
      </c>
      <c r="Q5760">
        <v>4.5656229999999999E-2</v>
      </c>
      <c r="R5760">
        <v>-0.99005810000000005</v>
      </c>
      <c r="S5760">
        <v>-0.33047490000000002</v>
      </c>
      <c r="T5760">
        <v>-6.6677330000000007E-2</v>
      </c>
      <c r="U5760">
        <v>-3.0798030000000001</v>
      </c>
      <c r="V5760">
        <v>0.1098997</v>
      </c>
      <c r="W5760">
        <v>5.8657630000000002E-2</v>
      </c>
      <c r="X5760">
        <v>0.99221029999999999</v>
      </c>
      <c r="Y5760">
        <v>0.34284870000000001</v>
      </c>
      <c r="Z5760">
        <v>1.997293E-2</v>
      </c>
      <c r="AA5760">
        <v>0.93917830000000002</v>
      </c>
      <c r="AB5760">
        <v>19</v>
      </c>
      <c r="AC5760">
        <v>-5.23950000000002</v>
      </c>
      <c r="AD5760">
        <v>-1.0501320573170001</v>
      </c>
      <c r="AE5760">
        <v>-48.314891000000003</v>
      </c>
      <c r="AF5760">
        <v>16.706643088681201</v>
      </c>
      <c r="AG5760">
        <v>-1.0501320573170001</v>
      </c>
      <c r="AH5760">
        <v>45.612115916818396</v>
      </c>
      <c r="AI5760">
        <v>91.238459542789897</v>
      </c>
      <c r="AJ5760">
        <v>69.883408070734006</v>
      </c>
      <c r="AK5760">
        <v>48.586827628892003</v>
      </c>
    </row>
    <row r="5761" spans="1:37" x14ac:dyDescent="0.2">
      <c r="A5761" t="str">
        <f>"20200111155709630"</f>
        <v>20200111155709630</v>
      </c>
      <c r="B5761" t="str">
        <f>"1578729429618702"</f>
        <v>1578729429618702</v>
      </c>
      <c r="C5761" t="s">
        <v>37</v>
      </c>
      <c r="D5761">
        <v>5.1246539999999996</v>
      </c>
      <c r="E5761">
        <v>0.58772599999999997</v>
      </c>
      <c r="F5761" t="s">
        <v>38</v>
      </c>
      <c r="G5761">
        <v>-307.95069999999998</v>
      </c>
      <c r="H5761" s="1">
        <v>-3.9153940000000001E-6</v>
      </c>
      <c r="I5761">
        <v>-35.651919999999997</v>
      </c>
      <c r="J5761">
        <v>-304.32659999999998</v>
      </c>
      <c r="K5761">
        <v>1.050298</v>
      </c>
      <c r="L5761">
        <v>1.189209</v>
      </c>
      <c r="M5761">
        <v>0.2312756</v>
      </c>
      <c r="N5761">
        <v>0</v>
      </c>
      <c r="O5761">
        <v>-0.97278159999999902</v>
      </c>
      <c r="P5761">
        <v>0.1282507</v>
      </c>
      <c r="Q5761">
        <v>4.92726E-2</v>
      </c>
      <c r="R5761">
        <v>-0.99051749999999905</v>
      </c>
      <c r="S5761">
        <v>-0.29788209999999998</v>
      </c>
      <c r="T5761">
        <v>-8.7171670000000007E-2</v>
      </c>
      <c r="U5761">
        <v>-3.0741580000000002</v>
      </c>
      <c r="V5761">
        <v>0.1050862</v>
      </c>
      <c r="W5761">
        <v>6.233731E-2</v>
      </c>
      <c r="X5761">
        <v>0.99250740000000004</v>
      </c>
      <c r="Y5761">
        <v>0.32401599999999903</v>
      </c>
      <c r="Z5761">
        <v>2.6361369999999999E-2</v>
      </c>
      <c r="AA5761">
        <v>0.94568430000000003</v>
      </c>
      <c r="AB5761">
        <v>19</v>
      </c>
      <c r="AC5761">
        <v>-3.6240999999999901</v>
      </c>
      <c r="AD5761">
        <v>-1.0503019153939901</v>
      </c>
      <c r="AE5761">
        <v>-36.841129000000002</v>
      </c>
      <c r="AF5761">
        <v>12.0374724911158</v>
      </c>
      <c r="AG5761">
        <v>-1.0503019153939901</v>
      </c>
      <c r="AH5761">
        <v>34.975684921366899</v>
      </c>
      <c r="AI5761">
        <v>91.626467661641499</v>
      </c>
      <c r="AJ5761">
        <v>71.008233407027006</v>
      </c>
      <c r="AK5761">
        <v>37.004086447399096</v>
      </c>
    </row>
    <row r="5762" spans="1:37" x14ac:dyDescent="0.2">
      <c r="A5762" t="str">
        <f>"20200111155709652"</f>
        <v>20200111155709652</v>
      </c>
      <c r="B5762" t="str">
        <f>"1578729429648957"</f>
        <v>1578729429648957</v>
      </c>
      <c r="C5762" t="s">
        <v>37</v>
      </c>
      <c r="D5762">
        <v>5.1459159999999997</v>
      </c>
      <c r="E5762">
        <v>0.58463980000000004</v>
      </c>
      <c r="F5762" t="s">
        <v>38</v>
      </c>
      <c r="G5762">
        <v>-308.30849999999998</v>
      </c>
      <c r="H5762" s="1">
        <v>-3.0390859999999999E-6</v>
      </c>
      <c r="I5762">
        <v>-38.413519999999998</v>
      </c>
      <c r="J5762">
        <v>-304.29180000000002</v>
      </c>
      <c r="K5762">
        <v>1.0506789999999999</v>
      </c>
      <c r="L5762">
        <v>0.99395750000000005</v>
      </c>
      <c r="M5762">
        <v>0.22144729999999899</v>
      </c>
      <c r="N5762">
        <v>0</v>
      </c>
      <c r="O5762">
        <v>-0.9750624</v>
      </c>
      <c r="P5762">
        <v>0.1215673</v>
      </c>
      <c r="Q5762">
        <v>5.3882930000000002E-2</v>
      </c>
      <c r="R5762">
        <v>-0.9911198</v>
      </c>
      <c r="S5762">
        <v>-0.30896000000000001</v>
      </c>
      <c r="T5762">
        <v>-8.1493140000000006E-2</v>
      </c>
      <c r="U5762">
        <v>-3.072784</v>
      </c>
      <c r="V5762">
        <v>0.1017187</v>
      </c>
      <c r="W5762">
        <v>6.7293140000000001E-2</v>
      </c>
      <c r="X5762">
        <v>0.99253459999999905</v>
      </c>
      <c r="Y5762">
        <v>0.31788490000000003</v>
      </c>
      <c r="Z5762">
        <v>2.4770420000000001E-2</v>
      </c>
      <c r="AA5762">
        <v>0.94780569999999897</v>
      </c>
      <c r="AB5762">
        <v>19</v>
      </c>
      <c r="AC5762">
        <v>-4.0166999999999504</v>
      </c>
      <c r="AD5762">
        <v>-1.0506820390860001</v>
      </c>
      <c r="AE5762">
        <v>-39.407477499999999</v>
      </c>
      <c r="AF5762">
        <v>12.6356783981908</v>
      </c>
      <c r="AG5762">
        <v>-1.0506820390860001</v>
      </c>
      <c r="AH5762">
        <v>37.512894523975</v>
      </c>
      <c r="AI5762">
        <v>91.520458039919404</v>
      </c>
      <c r="AJ5762">
        <v>71.384642649542101</v>
      </c>
      <c r="AK5762">
        <v>39.597746866414496</v>
      </c>
    </row>
    <row r="5763" spans="1:37" x14ac:dyDescent="0.2">
      <c r="A5763" t="str">
        <f>"20200111155709675"</f>
        <v>20200111155709675</v>
      </c>
      <c r="B5763" t="str">
        <f>"1578729429668478"</f>
        <v>1578729429668478</v>
      </c>
      <c r="C5763" t="s">
        <v>37</v>
      </c>
      <c r="D5763">
        <v>5.1341720000000004</v>
      </c>
      <c r="E5763">
        <v>0.58401080000000005</v>
      </c>
      <c r="F5763" t="s">
        <v>38</v>
      </c>
      <c r="G5763">
        <v>-307.42860000000002</v>
      </c>
      <c r="H5763" s="1">
        <v>-5.534326E-6</v>
      </c>
      <c r="I5763">
        <v>-30.622489999999999</v>
      </c>
      <c r="J5763">
        <v>-304.25850000000003</v>
      </c>
      <c r="K5763">
        <v>1.051185</v>
      </c>
      <c r="L5763">
        <v>0.80068969999999995</v>
      </c>
      <c r="M5763">
        <v>0.21087819999999999</v>
      </c>
      <c r="N5763">
        <v>0</v>
      </c>
      <c r="O5763">
        <v>-0.9773963</v>
      </c>
      <c r="P5763">
        <v>0.11246829999999999</v>
      </c>
      <c r="Q5763">
        <v>5.9330809999999998E-2</v>
      </c>
      <c r="R5763">
        <v>-0.99188259999999995</v>
      </c>
      <c r="S5763">
        <v>-0.30456539999999999</v>
      </c>
      <c r="T5763">
        <v>-0.102016</v>
      </c>
      <c r="U5763">
        <v>-3.0697939999999999</v>
      </c>
      <c r="V5763">
        <v>0.1000368</v>
      </c>
      <c r="W5763">
        <v>7.3224570000000003E-2</v>
      </c>
      <c r="X5763">
        <v>0.99228570000000005</v>
      </c>
      <c r="Y5763">
        <v>0.30632809999999999</v>
      </c>
      <c r="Z5763">
        <v>3.1214510000000001E-2</v>
      </c>
      <c r="AA5763">
        <v>0.95141409999999904</v>
      </c>
      <c r="AB5763">
        <v>19</v>
      </c>
      <c r="AC5763">
        <v>-3.1700999999999899</v>
      </c>
      <c r="AD5763">
        <v>-1.051190534326</v>
      </c>
      <c r="AE5763">
        <v>-31.423179699999999</v>
      </c>
      <c r="AF5763">
        <v>9.7152482165404397</v>
      </c>
      <c r="AG5763">
        <v>-1.051190534326</v>
      </c>
      <c r="AH5763">
        <v>30.014552677919699</v>
      </c>
      <c r="AI5763">
        <v>91.908425783662295</v>
      </c>
      <c r="AJ5763">
        <v>72.064031935886504</v>
      </c>
      <c r="AK5763">
        <v>31.565240723049499</v>
      </c>
    </row>
    <row r="5764" spans="1:37" x14ac:dyDescent="0.2">
      <c r="A5764" t="str">
        <f>"20200111155709697"</f>
        <v>20200111155709697</v>
      </c>
      <c r="B5764" t="str">
        <f>"1578729429688973"</f>
        <v>1578729429688973</v>
      </c>
      <c r="C5764" t="s">
        <v>37</v>
      </c>
      <c r="D5764">
        <v>5.1262650000000001</v>
      </c>
      <c r="E5764">
        <v>0.58084259999999999</v>
      </c>
      <c r="F5764" t="s">
        <v>38</v>
      </c>
      <c r="G5764">
        <v>-307.87860000000001</v>
      </c>
      <c r="H5764" s="1">
        <v>-4.7344279999999999E-6</v>
      </c>
      <c r="I5764">
        <v>-33.20758</v>
      </c>
      <c r="J5764">
        <v>-304.22699999999998</v>
      </c>
      <c r="K5764">
        <v>1.051326</v>
      </c>
      <c r="L5764">
        <v>0.61196899999999999</v>
      </c>
      <c r="M5764">
        <v>0.2021859</v>
      </c>
      <c r="N5764">
        <v>0</v>
      </c>
      <c r="O5764">
        <v>-0.97922410000000004</v>
      </c>
      <c r="P5764">
        <v>0.10434929999999901</v>
      </c>
      <c r="Q5764">
        <v>6.1752689999999999E-2</v>
      </c>
      <c r="R5764">
        <v>-0.99262189999999995</v>
      </c>
      <c r="S5764">
        <v>-0.32650759999999901</v>
      </c>
      <c r="T5764">
        <v>-9.4808459999999997E-2</v>
      </c>
      <c r="U5764">
        <v>-3.0672609999999998</v>
      </c>
      <c r="V5764">
        <v>9.9402320000000002E-2</v>
      </c>
      <c r="W5764">
        <v>7.6034840000000006E-2</v>
      </c>
      <c r="X5764">
        <v>0.99213799999999996</v>
      </c>
      <c r="Y5764">
        <v>0.30469069999999998</v>
      </c>
      <c r="Z5764">
        <v>2.9117629999999999E-2</v>
      </c>
      <c r="AA5764">
        <v>0.95200620000000002</v>
      </c>
      <c r="AB5764">
        <v>19</v>
      </c>
      <c r="AC5764">
        <v>-3.65159999999997</v>
      </c>
      <c r="AD5764">
        <v>-1.0513307344280001</v>
      </c>
      <c r="AE5764">
        <v>-33.819549000000002</v>
      </c>
      <c r="AF5764">
        <v>10.4048867711046</v>
      </c>
      <c r="AG5764">
        <v>-1.0513307344280001</v>
      </c>
      <c r="AH5764">
        <v>32.351614784962599</v>
      </c>
      <c r="AI5764">
        <v>91.771958090157199</v>
      </c>
      <c r="AJ5764">
        <v>72.171234176620004</v>
      </c>
      <c r="AK5764">
        <v>33.999910944402103</v>
      </c>
    </row>
    <row r="5765" spans="1:37" x14ac:dyDescent="0.2">
      <c r="A5765" t="str">
        <f>"20200111155709720"</f>
        <v>20200111155709720</v>
      </c>
      <c r="B5765" t="str">
        <f>"1578729429708494"</f>
        <v>1578729429708494</v>
      </c>
      <c r="C5765" t="s">
        <v>37</v>
      </c>
      <c r="D5765">
        <v>5.170712</v>
      </c>
      <c r="E5765">
        <v>0.58102509999999996</v>
      </c>
      <c r="F5765" t="s">
        <v>38</v>
      </c>
      <c r="G5765">
        <v>-307.08870000000002</v>
      </c>
      <c r="H5765" s="1">
        <v>-3.5223829999999899E-6</v>
      </c>
      <c r="I5765">
        <v>-26.357489999999999</v>
      </c>
      <c r="J5765">
        <v>-304.19889999999998</v>
      </c>
      <c r="K5765">
        <v>1.0512699999999999</v>
      </c>
      <c r="L5765">
        <v>0.432251</v>
      </c>
      <c r="M5765">
        <v>0.1972188</v>
      </c>
      <c r="N5765">
        <v>0</v>
      </c>
      <c r="O5765">
        <v>-0.98024239999999996</v>
      </c>
      <c r="P5765">
        <v>0.1012424</v>
      </c>
      <c r="Q5765">
        <v>6.0560120000000002E-2</v>
      </c>
      <c r="R5765">
        <v>-0.99301669999999997</v>
      </c>
      <c r="S5765">
        <v>-0.3251038</v>
      </c>
      <c r="T5765">
        <v>-0.1194378</v>
      </c>
      <c r="U5765">
        <v>-3.063904</v>
      </c>
      <c r="V5765">
        <v>9.758957E-2</v>
      </c>
      <c r="W5765">
        <v>7.4330199999999999E-2</v>
      </c>
      <c r="X5765">
        <v>0.99244709999999903</v>
      </c>
      <c r="Y5765">
        <v>0.29950659999999901</v>
      </c>
      <c r="Z5765">
        <v>3.6803669999999997E-2</v>
      </c>
      <c r="AA5765">
        <v>0.95338409999999996</v>
      </c>
      <c r="AB5765">
        <v>19</v>
      </c>
      <c r="AC5765">
        <v>-2.8898000000000299</v>
      </c>
      <c r="AD5765">
        <v>-1.0512735223830001</v>
      </c>
      <c r="AE5765">
        <v>-26.789740999999999</v>
      </c>
      <c r="AF5765">
        <v>8.1047398892598199</v>
      </c>
      <c r="AG5765">
        <v>-1.0512735223830001</v>
      </c>
      <c r="AH5765">
        <v>25.654415659538699</v>
      </c>
      <c r="AI5765">
        <v>92.237677155995001</v>
      </c>
      <c r="AJ5765">
        <v>72.467637742153101</v>
      </c>
      <c r="AK5765">
        <v>26.9247289220116</v>
      </c>
    </row>
    <row r="5766" spans="1:37" x14ac:dyDescent="0.2">
      <c r="A5766" t="str">
        <f>"20200111155709742"</f>
        <v>20200111155709742</v>
      </c>
      <c r="B5766" t="str">
        <f>"1578729429738749"</f>
        <v>1578729429738749</v>
      </c>
      <c r="C5766" t="s">
        <v>37</v>
      </c>
      <c r="D5766">
        <v>5.1491680000000004</v>
      </c>
      <c r="E5766">
        <v>0.57640340000000001</v>
      </c>
      <c r="F5766" t="s">
        <v>38</v>
      </c>
      <c r="G5766">
        <v>-307.03250000000003</v>
      </c>
      <c r="H5766" s="1">
        <v>-3.8330730000000001E-6</v>
      </c>
      <c r="I5766">
        <v>-25.415229999999902</v>
      </c>
      <c r="J5766">
        <v>-304.17079999999999</v>
      </c>
      <c r="K5766">
        <v>1.051852</v>
      </c>
      <c r="L5766">
        <v>0.241149899999999</v>
      </c>
      <c r="M5766">
        <v>0.1927065</v>
      </c>
      <c r="N5766">
        <v>0</v>
      </c>
      <c r="O5766">
        <v>-0.98116449999999999</v>
      </c>
      <c r="P5766">
        <v>9.9585880000000002E-2</v>
      </c>
      <c r="Q5766">
        <v>5.7178350000000003E-2</v>
      </c>
      <c r="R5766">
        <v>-0.99338499999999996</v>
      </c>
      <c r="S5766">
        <v>-0.3357849</v>
      </c>
      <c r="T5766">
        <v>-0.12457599999999899</v>
      </c>
      <c r="U5766">
        <v>-3.0629270000000002</v>
      </c>
      <c r="V5766">
        <v>9.4672279999999998E-2</v>
      </c>
      <c r="W5766">
        <v>6.9258819999999999E-2</v>
      </c>
      <c r="X5766">
        <v>0.99309639999999999</v>
      </c>
      <c r="Y5766">
        <v>0.298423299999999</v>
      </c>
      <c r="Z5766">
        <v>3.8451020000000002E-2</v>
      </c>
      <c r="AA5766">
        <v>0.95365880000000003</v>
      </c>
      <c r="AB5766">
        <v>19</v>
      </c>
      <c r="AC5766">
        <v>-2.8617000000000399</v>
      </c>
      <c r="AD5766">
        <v>-1.0518558330729999</v>
      </c>
      <c r="AE5766">
        <v>-25.656379900000001</v>
      </c>
      <c r="AF5766">
        <v>7.7397996903129096</v>
      </c>
      <c r="AG5766">
        <v>-1.0518558330729999</v>
      </c>
      <c r="AH5766">
        <v>24.583070477244501</v>
      </c>
      <c r="AI5766">
        <v>92.337104029605996</v>
      </c>
      <c r="AJ5766">
        <v>72.523773376946394</v>
      </c>
      <c r="AK5766">
        <v>25.794151546986502</v>
      </c>
    </row>
    <row r="5767" spans="1:37" x14ac:dyDescent="0.2">
      <c r="A5767" t="str">
        <f>"20200111155709764"</f>
        <v>20200111155709764</v>
      </c>
      <c r="B5767" t="str">
        <f>"1578729429758269"</f>
        <v>1578729429758269</v>
      </c>
      <c r="C5767" t="s">
        <v>37</v>
      </c>
      <c r="D5767">
        <v>5.1779010000000003</v>
      </c>
      <c r="E5767">
        <v>0.57537289999999996</v>
      </c>
      <c r="F5767" t="s">
        <v>38</v>
      </c>
      <c r="G5767">
        <v>-306.1327</v>
      </c>
      <c r="H5767" s="1">
        <v>-2.0135409999999999E-6</v>
      </c>
      <c r="I5767">
        <v>-19.52094</v>
      </c>
      <c r="J5767">
        <v>-304.14319999999998</v>
      </c>
      <c r="K5767">
        <v>1.053547</v>
      </c>
      <c r="L5767">
        <v>5.0842289999999998E-2</v>
      </c>
      <c r="M5767">
        <v>0.18647749999999999</v>
      </c>
      <c r="N5767">
        <v>0</v>
      </c>
      <c r="O5767">
        <v>-0.98239430000000005</v>
      </c>
      <c r="P5767">
        <v>9.6781190000000003E-2</v>
      </c>
      <c r="Q5767">
        <v>5.3915680000000001E-2</v>
      </c>
      <c r="R5767">
        <v>-0.99384419999999996</v>
      </c>
      <c r="S5767">
        <v>-0.30377199999999999</v>
      </c>
      <c r="T5767">
        <v>-0.16286110000000001</v>
      </c>
      <c r="U5767">
        <v>-3.0598139999999998</v>
      </c>
      <c r="V5767">
        <v>9.1022140000000001E-2</v>
      </c>
      <c r="W5767">
        <v>6.4071909999999996E-2</v>
      </c>
      <c r="X5767">
        <v>0.99378559999999905</v>
      </c>
      <c r="Y5767">
        <v>0.28250239999999999</v>
      </c>
      <c r="Z5767">
        <v>5.054152E-2</v>
      </c>
      <c r="AA5767">
        <v>0.95793419999999896</v>
      </c>
      <c r="AB5767">
        <v>19</v>
      </c>
      <c r="AC5767">
        <v>-1.98950000000002</v>
      </c>
      <c r="AD5767">
        <v>-1.0535490135409999</v>
      </c>
      <c r="AE5767">
        <v>-19.571782290000002</v>
      </c>
      <c r="AF5767">
        <v>5.5885000155600597</v>
      </c>
      <c r="AG5767">
        <v>-1.0535490135409999</v>
      </c>
      <c r="AH5767">
        <v>18.8034843220494</v>
      </c>
      <c r="AI5767">
        <v>93.074266143296796</v>
      </c>
      <c r="AJ5767">
        <v>73.447758265305197</v>
      </c>
      <c r="AK5767">
        <v>19.644651195615701</v>
      </c>
    </row>
    <row r="5768" spans="1:37" x14ac:dyDescent="0.2">
      <c r="A5768" t="str">
        <f>"20200111155709786"</f>
        <v>20200111155709786</v>
      </c>
      <c r="B5768" t="str">
        <f>"1578729429778765"</f>
        <v>1578729429778765</v>
      </c>
      <c r="C5768" t="s">
        <v>37</v>
      </c>
      <c r="D5768">
        <v>5.1577390000000003</v>
      </c>
      <c r="E5768">
        <v>0.57476050000000001</v>
      </c>
      <c r="F5768" t="s">
        <v>38</v>
      </c>
      <c r="G5768">
        <v>-305.93860000000001</v>
      </c>
      <c r="H5768" s="1">
        <v>-2.6057909999999899E-6</v>
      </c>
      <c r="I5768">
        <v>-18.020019999999999</v>
      </c>
      <c r="J5768">
        <v>-304.11630000000002</v>
      </c>
      <c r="K5768">
        <v>1.0558259999999999</v>
      </c>
      <c r="L5768">
        <v>-0.13653560000000001</v>
      </c>
      <c r="M5768">
        <v>0.1789444</v>
      </c>
      <c r="N5768">
        <v>0</v>
      </c>
      <c r="O5768">
        <v>-0.98381299999999905</v>
      </c>
      <c r="P5768">
        <v>9.2345389999999999E-2</v>
      </c>
      <c r="Q5768">
        <v>5.0989010000000001E-2</v>
      </c>
      <c r="R5768">
        <v>-0.99442090000000005</v>
      </c>
      <c r="S5768">
        <v>-0.30380249999999998</v>
      </c>
      <c r="T5768">
        <v>-0.17827470000000001</v>
      </c>
      <c r="U5768">
        <v>-3.0578310000000002</v>
      </c>
      <c r="V5768">
        <v>8.7677399999999905E-2</v>
      </c>
      <c r="W5768">
        <v>5.9654399999999899E-2</v>
      </c>
      <c r="X5768">
        <v>0.994361099999999</v>
      </c>
      <c r="Y5768">
        <v>0.2751845</v>
      </c>
      <c r="Z5768">
        <v>5.5529290000000002E-2</v>
      </c>
      <c r="AA5768">
        <v>0.95978639999999904</v>
      </c>
      <c r="AB5768">
        <v>19</v>
      </c>
      <c r="AC5768">
        <v>-1.82229999999998</v>
      </c>
      <c r="AD5768">
        <v>-1.055828605791</v>
      </c>
      <c r="AE5768">
        <v>-17.8834844</v>
      </c>
      <c r="AF5768">
        <v>4.9760123718954903</v>
      </c>
      <c r="AG5768">
        <v>-1.055828605791</v>
      </c>
      <c r="AH5768">
        <v>17.209329703038399</v>
      </c>
      <c r="AI5768">
        <v>93.372984820718003</v>
      </c>
      <c r="AJ5768">
        <v>73.872975218123102</v>
      </c>
      <c r="AK5768">
        <v>17.9453755045121</v>
      </c>
    </row>
    <row r="5769" spans="1:37" x14ac:dyDescent="0.2">
      <c r="A5769" t="str">
        <f>"20200111155709809"</f>
        <v>20200111155709809</v>
      </c>
      <c r="B5769" t="str">
        <f>"1578729429798285"</f>
        <v>1578729429798285</v>
      </c>
      <c r="C5769" t="s">
        <v>37</v>
      </c>
      <c r="D5769">
        <v>5.336748</v>
      </c>
      <c r="E5769">
        <v>0.57385649999999999</v>
      </c>
      <c r="F5769" t="s">
        <v>38</v>
      </c>
      <c r="G5769">
        <v>-305.8329</v>
      </c>
      <c r="H5769" s="1">
        <v>-3.01161099999999E-6</v>
      </c>
      <c r="I5769">
        <v>-17.008489999999998</v>
      </c>
      <c r="J5769">
        <v>-304.08920000000001</v>
      </c>
      <c r="K5769">
        <v>1.058195</v>
      </c>
      <c r="L5769">
        <v>-0.32644649999999997</v>
      </c>
      <c r="M5769">
        <v>0.17104530000000001</v>
      </c>
      <c r="N5769">
        <v>0</v>
      </c>
      <c r="O5769">
        <v>-0.98522969999999899</v>
      </c>
      <c r="P5769">
        <v>8.7453749999999997E-2</v>
      </c>
      <c r="Q5769">
        <v>4.898566E-2</v>
      </c>
      <c r="R5769">
        <v>-0.9949635</v>
      </c>
      <c r="S5769">
        <v>-0.31088259999999901</v>
      </c>
      <c r="T5769">
        <v>-0.19121079999999999</v>
      </c>
      <c r="U5769">
        <v>-3.0555110000000001</v>
      </c>
      <c r="V5769">
        <v>8.4468829999999995E-2</v>
      </c>
      <c r="W5769">
        <v>5.6403549999999997E-2</v>
      </c>
      <c r="X5769">
        <v>0.9948285</v>
      </c>
      <c r="Y5769">
        <v>0.26971309999999998</v>
      </c>
      <c r="Z5769">
        <v>5.9761469999999997E-2</v>
      </c>
      <c r="AA5769">
        <v>0.96108449999999901</v>
      </c>
      <c r="AB5769">
        <v>19</v>
      </c>
      <c r="AC5769">
        <v>-1.74369999999998</v>
      </c>
      <c r="AD5769">
        <v>-1.0581980116109999</v>
      </c>
      <c r="AE5769">
        <v>-16.682043499999999</v>
      </c>
      <c r="AF5769">
        <v>4.5533571518131897</v>
      </c>
      <c r="AG5769">
        <v>-1.0581980116109999</v>
      </c>
      <c r="AH5769">
        <v>16.073945944563601</v>
      </c>
      <c r="AI5769">
        <v>93.6243165681188</v>
      </c>
      <c r="AJ5769">
        <v>74.183866608888295</v>
      </c>
      <c r="AK5769">
        <v>16.739909874682699</v>
      </c>
    </row>
    <row r="5770" spans="1:37" x14ac:dyDescent="0.2">
      <c r="A5770" t="str">
        <f>"20200111155709831"</f>
        <v>20200111155709831</v>
      </c>
      <c r="B5770" t="str">
        <f>"1578729429828540"</f>
        <v>1578729429828540</v>
      </c>
      <c r="C5770" t="s">
        <v>37</v>
      </c>
      <c r="D5770">
        <v>5.142366</v>
      </c>
      <c r="E5770">
        <v>0.57304359999999999</v>
      </c>
      <c r="F5770" t="s">
        <v>38</v>
      </c>
      <c r="G5770">
        <v>-305.77199999999999</v>
      </c>
      <c r="H5770" s="1">
        <v>-3.1818499999999999E-6</v>
      </c>
      <c r="I5770">
        <v>-16.573869999999999</v>
      </c>
      <c r="J5770">
        <v>-304.06290000000001</v>
      </c>
      <c r="K5770">
        <v>1.0601769999999999</v>
      </c>
      <c r="L5770">
        <v>-0.51553340000000003</v>
      </c>
      <c r="M5770">
        <v>0.1641447</v>
      </c>
      <c r="N5770">
        <v>0</v>
      </c>
      <c r="O5770">
        <v>-0.98641409999999996</v>
      </c>
      <c r="P5770">
        <v>8.4640129999999994E-2</v>
      </c>
      <c r="Q5770">
        <v>4.7965140000000003E-2</v>
      </c>
      <c r="R5770">
        <v>-0.99525649999999999</v>
      </c>
      <c r="S5770">
        <v>-0.31619259999999999</v>
      </c>
      <c r="T5770">
        <v>-0.19882729999999901</v>
      </c>
      <c r="U5770">
        <v>-3.052765</v>
      </c>
      <c r="V5770">
        <v>8.025699E-2</v>
      </c>
      <c r="W5770">
        <v>5.3985869999999998E-2</v>
      </c>
      <c r="X5770">
        <v>0.99531119999999995</v>
      </c>
      <c r="Y5770">
        <v>0.26469280000000001</v>
      </c>
      <c r="Z5770">
        <v>6.2341649999999998E-2</v>
      </c>
      <c r="AA5770">
        <v>0.96231559999999905</v>
      </c>
      <c r="AB5770">
        <v>19</v>
      </c>
      <c r="AC5770">
        <v>-1.7090999999999701</v>
      </c>
      <c r="AD5770">
        <v>-1.0601801818500001</v>
      </c>
      <c r="AE5770">
        <v>-16.058336600000001</v>
      </c>
      <c r="AF5770">
        <v>4.3033188623662699</v>
      </c>
      <c r="AG5770">
        <v>-1.0601801818500001</v>
      </c>
      <c r="AH5770">
        <v>15.4931962345283</v>
      </c>
      <c r="AI5770">
        <v>93.772206528652106</v>
      </c>
      <c r="AJ5770">
        <v>74.477079506565701</v>
      </c>
      <c r="AK5770">
        <v>16.1146413180929</v>
      </c>
    </row>
    <row r="5771" spans="1:37" x14ac:dyDescent="0.2">
      <c r="A5771" t="str">
        <f>"20200111155709853"</f>
        <v>20200111155709853</v>
      </c>
      <c r="B5771" t="str">
        <f>"1578729429849037"</f>
        <v>1578729429849037</v>
      </c>
      <c r="C5771" t="s">
        <v>37</v>
      </c>
      <c r="D5771">
        <v>5.1528140000000002</v>
      </c>
      <c r="E5771">
        <v>0.57248840000000001</v>
      </c>
      <c r="F5771" t="s">
        <v>38</v>
      </c>
      <c r="G5771">
        <v>-305.73289999999997</v>
      </c>
      <c r="H5771" s="1">
        <v>-3.1693209999999998E-6</v>
      </c>
      <c r="I5771">
        <v>-16.57883</v>
      </c>
      <c r="J5771">
        <v>-304.03719999999998</v>
      </c>
      <c r="K5771">
        <v>1.0618350000000001</v>
      </c>
      <c r="L5771">
        <v>-0.70797730000000003</v>
      </c>
      <c r="M5771">
        <v>0.15850059999999999</v>
      </c>
      <c r="N5771">
        <v>0</v>
      </c>
      <c r="O5771">
        <v>-0.98734669999999902</v>
      </c>
      <c r="P5771">
        <v>8.5084720000000003E-2</v>
      </c>
      <c r="Q5771">
        <v>4.7170780000000002E-2</v>
      </c>
      <c r="R5771">
        <v>-0.99525659999999905</v>
      </c>
      <c r="S5771">
        <v>-0.31719969999999997</v>
      </c>
      <c r="T5771">
        <v>-0.20136609999999999</v>
      </c>
      <c r="U5771">
        <v>-3.0509949999999999</v>
      </c>
      <c r="V5771">
        <v>7.4095449999999993E-2</v>
      </c>
      <c r="W5771">
        <v>5.1570249999999998E-2</v>
      </c>
      <c r="X5771">
        <v>0.99591679999999905</v>
      </c>
      <c r="Y5771">
        <v>0.2595383</v>
      </c>
      <c r="Z5771">
        <v>6.3306710000000002E-2</v>
      </c>
      <c r="AA5771">
        <v>0.963655699999999</v>
      </c>
      <c r="AB5771">
        <v>19</v>
      </c>
      <c r="AC5771">
        <v>-1.69569999999998</v>
      </c>
      <c r="AD5771">
        <v>-1.0618381693209999</v>
      </c>
      <c r="AE5771">
        <v>-15.8708527</v>
      </c>
      <c r="AF5771">
        <v>4.1713724298037604</v>
      </c>
      <c r="AG5771">
        <v>-1.0618381693209999</v>
      </c>
      <c r="AH5771">
        <v>15.3335872387915</v>
      </c>
      <c r="AI5771">
        <v>93.822861769357402</v>
      </c>
      <c r="AJ5771">
        <v>74.781458093211</v>
      </c>
      <c r="AK5771">
        <v>15.926291026336999</v>
      </c>
    </row>
    <row r="5772" spans="1:37" x14ac:dyDescent="0.2">
      <c r="A5772" t="str">
        <f>"20200111155709875"</f>
        <v>20200111155709875</v>
      </c>
      <c r="B5772" t="str">
        <f>"1578729429868557"</f>
        <v>1578729429868557</v>
      </c>
      <c r="C5772" t="s">
        <v>37</v>
      </c>
      <c r="D5772">
        <v>5.171341</v>
      </c>
      <c r="E5772">
        <v>0.57201689999999905</v>
      </c>
      <c r="F5772" t="s">
        <v>38</v>
      </c>
      <c r="G5772">
        <v>-305.69</v>
      </c>
      <c r="H5772" s="1">
        <v>-3.027552E-6</v>
      </c>
      <c r="I5772">
        <v>-16.882670000000001</v>
      </c>
      <c r="J5772">
        <v>-304.01339999999999</v>
      </c>
      <c r="K5772">
        <v>1.0633459999999999</v>
      </c>
      <c r="L5772">
        <v>-0.89352419999999999</v>
      </c>
      <c r="M5772">
        <v>0.1540107</v>
      </c>
      <c r="N5772">
        <v>0</v>
      </c>
      <c r="O5772">
        <v>-0.98806360000000004</v>
      </c>
      <c r="P5772">
        <v>8.7980260000000005E-2</v>
      </c>
      <c r="Q5772">
        <v>4.7128499999999997E-2</v>
      </c>
      <c r="R5772">
        <v>-0.99500719999999998</v>
      </c>
      <c r="S5772">
        <v>-0.3117065</v>
      </c>
      <c r="T5772">
        <v>-0.20025599999999999</v>
      </c>
      <c r="U5772">
        <v>-3.050446</v>
      </c>
      <c r="V5772">
        <v>6.6650840000000003E-2</v>
      </c>
      <c r="W5772">
        <v>5.0029199999999899E-2</v>
      </c>
      <c r="X5772">
        <v>0.99652129999999906</v>
      </c>
      <c r="Y5772">
        <v>0.25344529999999998</v>
      </c>
      <c r="Z5772">
        <v>6.3098979999999999E-2</v>
      </c>
      <c r="AA5772">
        <v>0.96528959999999997</v>
      </c>
      <c r="AB5772">
        <v>19</v>
      </c>
      <c r="AC5772">
        <v>-1.6766000000000001</v>
      </c>
      <c r="AD5772">
        <v>-1.0633490275519999</v>
      </c>
      <c r="AE5772">
        <v>-15.989145799999999</v>
      </c>
      <c r="AF5772">
        <v>4.1011681447274304</v>
      </c>
      <c r="AG5772">
        <v>-1.0633490275519999</v>
      </c>
      <c r="AH5772">
        <v>15.4724762762213</v>
      </c>
      <c r="AI5772">
        <v>93.800640309369001</v>
      </c>
      <c r="AJ5772">
        <v>75.154444621213997</v>
      </c>
      <c r="AK5772">
        <v>16.042063876694801</v>
      </c>
    </row>
    <row r="5773" spans="1:37" x14ac:dyDescent="0.2">
      <c r="A5773" t="str">
        <f>"20200111155709899"</f>
        <v>20200111155709899</v>
      </c>
      <c r="B5773" t="str">
        <f>"1578729429889053"</f>
        <v>1578729429889053</v>
      </c>
      <c r="C5773" t="s">
        <v>37</v>
      </c>
      <c r="D5773">
        <v>5.1540140000000001</v>
      </c>
      <c r="E5773">
        <v>0.56714659999999995</v>
      </c>
      <c r="F5773" t="s">
        <v>38</v>
      </c>
      <c r="G5773">
        <v>-305.65179999999998</v>
      </c>
      <c r="H5773" s="1">
        <v>-2.732949E-6</v>
      </c>
      <c r="I5773">
        <v>-17.545719999999999</v>
      </c>
      <c r="J5773">
        <v>-303.98950000000002</v>
      </c>
      <c r="K5773">
        <v>1.0650170000000001</v>
      </c>
      <c r="L5773">
        <v>-1.08551</v>
      </c>
      <c r="M5773">
        <v>0.1498004</v>
      </c>
      <c r="N5773">
        <v>0</v>
      </c>
      <c r="O5773">
        <v>-0.98871430000000005</v>
      </c>
      <c r="P5773">
        <v>9.2988169999999995E-2</v>
      </c>
      <c r="Q5773">
        <v>4.7925229999999999E-2</v>
      </c>
      <c r="R5773">
        <v>-0.99451299999999898</v>
      </c>
      <c r="S5773">
        <v>-0.30017090000000002</v>
      </c>
      <c r="T5773">
        <v>-0.19481379999999901</v>
      </c>
      <c r="U5773">
        <v>-3.0508120000000001</v>
      </c>
      <c r="V5773">
        <v>5.7352670000000001E-2</v>
      </c>
      <c r="W5773">
        <v>4.9534849999999998E-2</v>
      </c>
      <c r="X5773">
        <v>0.99712440000000002</v>
      </c>
      <c r="Y5773">
        <v>0.24570139999999999</v>
      </c>
      <c r="Z5773">
        <v>6.1520890000000002E-2</v>
      </c>
      <c r="AA5773">
        <v>0.96739140000000001</v>
      </c>
      <c r="AB5773">
        <v>19</v>
      </c>
      <c r="AC5773">
        <v>-1.6622999999999499</v>
      </c>
      <c r="AD5773">
        <v>-1.0650197329490001</v>
      </c>
      <c r="AE5773">
        <v>-16.46021</v>
      </c>
      <c r="AF5773">
        <v>4.0923344448195298</v>
      </c>
      <c r="AG5773">
        <v>-1.0650197329490001</v>
      </c>
      <c r="AH5773">
        <v>15.959324657879399</v>
      </c>
      <c r="AI5773">
        <v>93.698569190178901</v>
      </c>
      <c r="AJ5773">
        <v>75.617931962436501</v>
      </c>
      <c r="AK5773">
        <v>16.5100427551059</v>
      </c>
    </row>
    <row r="5774" spans="1:37" x14ac:dyDescent="0.2">
      <c r="A5774" t="str">
        <f>"20200111155709931"</f>
        <v>20200111155709931</v>
      </c>
      <c r="B5774" t="str">
        <f>"1578729429929069"</f>
        <v>1578729429929069</v>
      </c>
      <c r="C5774" t="s">
        <v>37</v>
      </c>
      <c r="D5774">
        <v>5.1180199999999996</v>
      </c>
      <c r="E5774">
        <v>0.56803079999999995</v>
      </c>
      <c r="F5774" t="s">
        <v>38</v>
      </c>
      <c r="G5774">
        <v>-305.54610000000002</v>
      </c>
      <c r="H5774" s="1">
        <v>-1.5000489999999999E-6</v>
      </c>
      <c r="I5774">
        <v>-20.354089999999999</v>
      </c>
      <c r="J5774">
        <v>-303.95510000000002</v>
      </c>
      <c r="K5774">
        <v>1.06755</v>
      </c>
      <c r="L5774">
        <v>-1.3666989999999899</v>
      </c>
      <c r="M5774">
        <v>0.14403469999999999</v>
      </c>
      <c r="N5774">
        <v>0</v>
      </c>
      <c r="O5774">
        <v>-0.98957280000000003</v>
      </c>
      <c r="P5774">
        <v>9.5373100000000002E-2</v>
      </c>
      <c r="Q5774">
        <v>4.878979E-2</v>
      </c>
      <c r="R5774">
        <v>-0.99424539999999995</v>
      </c>
      <c r="S5774">
        <v>-0.24621579999999901</v>
      </c>
      <c r="T5774">
        <v>-0.1684533</v>
      </c>
      <c r="U5774">
        <v>-3.0476990000000002</v>
      </c>
      <c r="V5774">
        <v>4.907164E-2</v>
      </c>
      <c r="W5774">
        <v>4.8881899999999999E-2</v>
      </c>
      <c r="X5774">
        <v>0.9975984</v>
      </c>
      <c r="Y5774">
        <v>0.223133</v>
      </c>
      <c r="Z5774">
        <v>5.354072E-2</v>
      </c>
      <c r="AA5774">
        <v>0.97331659999999998</v>
      </c>
      <c r="AB5774">
        <v>19</v>
      </c>
      <c r="AC5774">
        <v>-1.591</v>
      </c>
      <c r="AD5774">
        <v>-1.0675515000489999</v>
      </c>
      <c r="AE5774">
        <v>-18.987390999999999</v>
      </c>
      <c r="AF5774">
        <v>4.2957678507423598</v>
      </c>
      <c r="AG5774">
        <v>-1.0675515000489999</v>
      </c>
      <c r="AH5774">
        <v>18.502162902314801</v>
      </c>
      <c r="AI5774">
        <v>93.216854173647803</v>
      </c>
      <c r="AJ5774">
        <v>76.928851839664603</v>
      </c>
      <c r="AK5774">
        <v>19.0242823700796</v>
      </c>
    </row>
    <row r="5775" spans="1:37" x14ac:dyDescent="0.2">
      <c r="A5775" t="str">
        <f>"20200111155709954"</f>
        <v>20200111155709954</v>
      </c>
      <c r="B5775" t="str">
        <f>"1578729429948588"</f>
        <v>1578729429948588</v>
      </c>
      <c r="C5775" t="s">
        <v>37</v>
      </c>
      <c r="D5775">
        <v>5.089296</v>
      </c>
      <c r="E5775">
        <v>0.56845619999999997</v>
      </c>
      <c r="F5775" t="s">
        <v>38</v>
      </c>
      <c r="G5775">
        <v>-305.60939999999999</v>
      </c>
      <c r="H5775" s="1">
        <v>-4.7557869999999997E-6</v>
      </c>
      <c r="I5775">
        <v>-21.96199</v>
      </c>
      <c r="J5775">
        <v>-303.93259999999998</v>
      </c>
      <c r="K5775">
        <v>1.0691709999999901</v>
      </c>
      <c r="L5775">
        <v>-1.5509029999999999</v>
      </c>
      <c r="M5775">
        <v>0.13995869999999999</v>
      </c>
      <c r="N5775">
        <v>0</v>
      </c>
      <c r="O5775">
        <v>-0.99015739999999997</v>
      </c>
      <c r="P5775">
        <v>9.7699530000000007E-2</v>
      </c>
      <c r="Q5775">
        <v>4.6700289999999998E-2</v>
      </c>
      <c r="R5775">
        <v>-0.9941198</v>
      </c>
      <c r="S5775">
        <v>-0.24487300000000001</v>
      </c>
      <c r="T5775">
        <v>-0.15802459999999999</v>
      </c>
      <c r="U5775">
        <v>-3.0486149999999999</v>
      </c>
      <c r="V5775">
        <v>4.2582870000000002E-2</v>
      </c>
      <c r="W5775">
        <v>4.6155080000000001E-2</v>
      </c>
      <c r="X5775">
        <v>0.99802630000000003</v>
      </c>
      <c r="Y5775">
        <v>0.2186816</v>
      </c>
      <c r="Z5775">
        <v>5.0292610000000001E-2</v>
      </c>
      <c r="AA5775">
        <v>0.97449929999999996</v>
      </c>
      <c r="AB5775">
        <v>19</v>
      </c>
      <c r="AC5775">
        <v>-1.6768000000000101</v>
      </c>
      <c r="AD5775">
        <v>-1.0691757557870001</v>
      </c>
      <c r="AE5775">
        <v>-20.411086999999998</v>
      </c>
      <c r="AF5775">
        <v>4.50472727711304</v>
      </c>
      <c r="AG5775">
        <v>-1.0691757557870001</v>
      </c>
      <c r="AH5775">
        <v>19.921209860446499</v>
      </c>
      <c r="AI5775">
        <v>92.996614283158806</v>
      </c>
      <c r="AJ5775">
        <v>77.258159927901602</v>
      </c>
      <c r="AK5775">
        <v>20.452146756315798</v>
      </c>
    </row>
    <row r="5776" spans="1:37" x14ac:dyDescent="0.2">
      <c r="A5776" t="str">
        <f>"20200111155709975"</f>
        <v>20200111155709975</v>
      </c>
      <c r="B5776" t="str">
        <f>"1578729429969085"</f>
        <v>1578729429969085</v>
      </c>
      <c r="C5776" t="s">
        <v>37</v>
      </c>
      <c r="D5776">
        <v>5.0530520000000001</v>
      </c>
      <c r="E5776">
        <v>0.56880549999999996</v>
      </c>
      <c r="F5776" t="s">
        <v>38</v>
      </c>
      <c r="G5776">
        <v>-305.54660000000001</v>
      </c>
      <c r="H5776" s="1">
        <v>-4.7531439999999998E-6</v>
      </c>
      <c r="I5776">
        <v>-21.937049999999999</v>
      </c>
      <c r="J5776">
        <v>-303.91030000000001</v>
      </c>
      <c r="K5776">
        <v>1.0707899999999999</v>
      </c>
      <c r="L5776">
        <v>-1.731903</v>
      </c>
      <c r="M5776">
        <v>0.13612750000000001</v>
      </c>
      <c r="N5776">
        <v>0</v>
      </c>
      <c r="O5776">
        <v>-0.99069130000000005</v>
      </c>
      <c r="P5776">
        <v>0.10034709999999999</v>
      </c>
      <c r="Q5776">
        <v>4.5032099999999999E-2</v>
      </c>
      <c r="R5776">
        <v>-0.99393299999999996</v>
      </c>
      <c r="S5776">
        <v>-0.241394</v>
      </c>
      <c r="T5776">
        <v>-0.15990739999999901</v>
      </c>
      <c r="U5776">
        <v>-3.0489809999999999</v>
      </c>
      <c r="V5776">
        <v>3.6043930000000002E-2</v>
      </c>
      <c r="W5776">
        <v>4.4605529999999997E-2</v>
      </c>
      <c r="X5776">
        <v>0.99835429999999903</v>
      </c>
      <c r="Y5776">
        <v>0.21378759999999999</v>
      </c>
      <c r="Z5776">
        <v>5.0956759999999997E-2</v>
      </c>
      <c r="AA5776">
        <v>0.97555020000000003</v>
      </c>
      <c r="AB5776">
        <v>19</v>
      </c>
      <c r="AC5776">
        <v>-1.6363000000000001</v>
      </c>
      <c r="AD5776">
        <v>-1.0707947531440001</v>
      </c>
      <c r="AE5776">
        <v>-20.205147</v>
      </c>
      <c r="AF5776">
        <v>4.3593804973104699</v>
      </c>
      <c r="AG5776">
        <v>-1.0707947531440001</v>
      </c>
      <c r="AH5776">
        <v>19.739240216471899</v>
      </c>
      <c r="AI5776">
        <v>93.032157603084499</v>
      </c>
      <c r="AJ5776">
        <v>77.546221662740606</v>
      </c>
      <c r="AK5776">
        <v>20.2432310673784</v>
      </c>
    </row>
    <row r="5777" spans="1:37" x14ac:dyDescent="0.2">
      <c r="A5777" t="str">
        <f>"20200111155709999"</f>
        <v>20200111155709999</v>
      </c>
      <c r="B5777" t="str">
        <f>"1578729429988605"</f>
        <v>1578729429988605</v>
      </c>
      <c r="C5777" t="s">
        <v>37</v>
      </c>
      <c r="D5777">
        <v>5.0505490000000002</v>
      </c>
      <c r="E5777">
        <v>0.56881380000000004</v>
      </c>
      <c r="F5777" t="s">
        <v>38</v>
      </c>
      <c r="G5777">
        <v>-305.51049999999998</v>
      </c>
      <c r="H5777" s="1">
        <v>-4.6168520000000002E-6</v>
      </c>
      <c r="I5777">
        <v>-22.318729999999999</v>
      </c>
      <c r="J5777">
        <v>-303.88760000000002</v>
      </c>
      <c r="K5777">
        <v>1.072478</v>
      </c>
      <c r="L5777">
        <v>-1.9164429999999999</v>
      </c>
      <c r="M5777">
        <v>0.13349939999999999</v>
      </c>
      <c r="N5777">
        <v>0</v>
      </c>
      <c r="O5777">
        <v>-0.99104910000000002</v>
      </c>
      <c r="P5777">
        <v>0.102656399999999</v>
      </c>
      <c r="Q5777">
        <v>4.4170389999999997E-2</v>
      </c>
      <c r="R5777">
        <v>-0.99373619999999996</v>
      </c>
      <c r="S5777">
        <v>-0.23702999999999999</v>
      </c>
      <c r="T5777">
        <v>-0.15861210000000001</v>
      </c>
      <c r="U5777">
        <v>-3.0494379999999999</v>
      </c>
      <c r="V5777">
        <v>3.1094009999999998E-2</v>
      </c>
      <c r="W5777">
        <v>4.4381650000000002E-2</v>
      </c>
      <c r="X5777">
        <v>0.99853060000000005</v>
      </c>
      <c r="Y5777">
        <v>0.2097974</v>
      </c>
      <c r="Z5777">
        <v>5.0590740000000002E-2</v>
      </c>
      <c r="AA5777">
        <v>0.97643519999999995</v>
      </c>
      <c r="AB5777">
        <v>19</v>
      </c>
      <c r="AC5777">
        <v>-1.62289999999995</v>
      </c>
      <c r="AD5777">
        <v>-1.0724826168520001</v>
      </c>
      <c r="AE5777">
        <v>-20.402287000000001</v>
      </c>
      <c r="AF5777">
        <v>4.3202029603458802</v>
      </c>
      <c r="AG5777">
        <v>-1.0724826168520001</v>
      </c>
      <c r="AH5777">
        <v>19.948232208792</v>
      </c>
      <c r="AI5777">
        <v>93.007849245658704</v>
      </c>
      <c r="AJ5777">
        <v>77.780128411971305</v>
      </c>
      <c r="AK5777">
        <v>20.4388439212671</v>
      </c>
    </row>
    <row r="5778" spans="1:37" x14ac:dyDescent="0.2">
      <c r="A5778" t="str">
        <f>"20200111155710020"</f>
        <v>20200111155710020</v>
      </c>
      <c r="B5778" t="str">
        <f>"1578729430018861"</f>
        <v>1578729430018861</v>
      </c>
      <c r="C5778" t="s">
        <v>37</v>
      </c>
      <c r="D5778">
        <v>4.912528</v>
      </c>
      <c r="E5778">
        <v>0.47923260000000001</v>
      </c>
      <c r="F5778" t="s">
        <v>38</v>
      </c>
      <c r="G5778">
        <v>-305.44490000000002</v>
      </c>
      <c r="H5778" s="1">
        <v>-4.5353140000000004E-6</v>
      </c>
      <c r="I5778">
        <v>-22.524149999999999</v>
      </c>
      <c r="J5778">
        <v>-303.8655</v>
      </c>
      <c r="K5778">
        <v>1.0743929999999999</v>
      </c>
      <c r="L5778">
        <v>-2.098938</v>
      </c>
      <c r="M5778">
        <v>0.1325664</v>
      </c>
      <c r="N5778">
        <v>0</v>
      </c>
      <c r="O5778">
        <v>-0.99117420000000001</v>
      </c>
      <c r="P5778">
        <v>0.1056892</v>
      </c>
      <c r="Q5778">
        <v>4.3726630000000002E-2</v>
      </c>
      <c r="R5778">
        <v>-0.99343749999999997</v>
      </c>
      <c r="S5778">
        <v>-0.2304688</v>
      </c>
      <c r="T5778">
        <v>-0.15871879999999999</v>
      </c>
      <c r="U5778">
        <v>-3.0497740000000002</v>
      </c>
      <c r="V5778">
        <v>2.7121510000000001E-2</v>
      </c>
      <c r="W5778">
        <v>4.4395459999999998E-2</v>
      </c>
      <c r="X5778">
        <v>0.99864580000000003</v>
      </c>
      <c r="Y5778">
        <v>0.2067792</v>
      </c>
      <c r="Z5778">
        <v>5.0649769999999997E-2</v>
      </c>
      <c r="AA5778">
        <v>0.97707579999999905</v>
      </c>
      <c r="AB5778">
        <v>18</v>
      </c>
      <c r="AC5778">
        <v>-1.5794000000000199</v>
      </c>
      <c r="AD5778">
        <v>-1.0743975353139901</v>
      </c>
      <c r="AE5778">
        <v>-20.425211999999998</v>
      </c>
      <c r="AF5778">
        <v>4.2614360690787301</v>
      </c>
      <c r="AG5778">
        <v>-1.0743975353139901</v>
      </c>
      <c r="AH5778">
        <v>19.980610154993101</v>
      </c>
      <c r="AI5778">
        <v>93.010367582580599</v>
      </c>
      <c r="AJ5778">
        <v>77.960425719223196</v>
      </c>
      <c r="AK5778">
        <v>20.458224497755101</v>
      </c>
    </row>
    <row r="5779" spans="1:37" x14ac:dyDescent="0.2">
      <c r="A5779" t="str">
        <f>"20200111155710044"</f>
        <v>20200111155710044</v>
      </c>
      <c r="B5779" t="str">
        <f>"1578729430038380"</f>
        <v>1578729430038380</v>
      </c>
      <c r="C5779" t="s">
        <v>37</v>
      </c>
      <c r="D5779">
        <v>4.9331379999999996</v>
      </c>
      <c r="E5779">
        <v>0.466976</v>
      </c>
      <c r="F5779" t="s">
        <v>94</v>
      </c>
      <c r="G5779">
        <v>-289.3057</v>
      </c>
      <c r="H5779">
        <v>4.704243</v>
      </c>
      <c r="I5779">
        <v>-91.564989999999995</v>
      </c>
      <c r="J5779">
        <v>-303.8433</v>
      </c>
      <c r="K5779">
        <v>1.0767450000000001</v>
      </c>
      <c r="L5779">
        <v>-2.2857970000000001</v>
      </c>
      <c r="M5779">
        <v>0.13172049999999999</v>
      </c>
      <c r="N5779">
        <v>0</v>
      </c>
      <c r="O5779">
        <v>-0.99128649999999996</v>
      </c>
      <c r="P5779">
        <v>0.10957639999999901</v>
      </c>
      <c r="Q5779">
        <v>4.1709499999999997E-2</v>
      </c>
      <c r="R5779">
        <v>-0.99310299999999996</v>
      </c>
      <c r="S5779">
        <v>0.48223879999999902</v>
      </c>
      <c r="T5779">
        <v>0.1202255</v>
      </c>
      <c r="U5779">
        <v>-2.9632259999999899</v>
      </c>
      <c r="V5779">
        <v>2.2351530000000001E-2</v>
      </c>
      <c r="W5779">
        <v>4.2669039999999998E-2</v>
      </c>
      <c r="X5779">
        <v>0.99883919999999904</v>
      </c>
      <c r="Y5779">
        <v>-2.9090250000000002E-2</v>
      </c>
      <c r="Z5779">
        <v>-3.9741949999999998E-2</v>
      </c>
      <c r="AA5779">
        <v>0.99878639999999996</v>
      </c>
      <c r="AB5779">
        <v>18</v>
      </c>
      <c r="AC5779">
        <v>14.5375999999999</v>
      </c>
      <c r="AD5779">
        <v>3.6274980000000001</v>
      </c>
      <c r="AE5779">
        <v>-89.279193000000006</v>
      </c>
      <c r="AF5779">
        <v>-2.64677109887548</v>
      </c>
      <c r="AG5779">
        <v>3.6274980000000001</v>
      </c>
      <c r="AH5779">
        <v>90.271017424372005</v>
      </c>
      <c r="AI5779">
        <v>87.699821825041298</v>
      </c>
      <c r="AJ5779">
        <v>91.679446888036793</v>
      </c>
      <c r="AK5779">
        <v>90.382635090049902</v>
      </c>
    </row>
    <row r="5780" spans="1:37" x14ac:dyDescent="0.2">
      <c r="A5780" t="str">
        <f>"20200111155710065"</f>
        <v>20200111155710065</v>
      </c>
      <c r="B5780" t="str">
        <f>"1578729430058878"</f>
        <v>1578729430058878</v>
      </c>
      <c r="C5780" t="s">
        <v>37</v>
      </c>
      <c r="D5780">
        <v>4.8598999999999997</v>
      </c>
      <c r="E5780">
        <v>0.46452850000000001</v>
      </c>
      <c r="F5780" t="s">
        <v>94</v>
      </c>
      <c r="G5780">
        <v>-288.10910000000001</v>
      </c>
      <c r="H5780">
        <v>0.50766560000000005</v>
      </c>
      <c r="I5780">
        <v>-80.464519999999993</v>
      </c>
      <c r="J5780">
        <v>-303.820999999999</v>
      </c>
      <c r="K5780">
        <v>1.0794079999999999</v>
      </c>
      <c r="L5780">
        <v>-2.4712519999999998</v>
      </c>
      <c r="M5780">
        <v>0.1304186</v>
      </c>
      <c r="N5780">
        <v>0</v>
      </c>
      <c r="O5780">
        <v>-0.99145799999999995</v>
      </c>
      <c r="P5780">
        <v>0.1139006</v>
      </c>
      <c r="Q5780">
        <v>3.9589109999999997E-2</v>
      </c>
      <c r="R5780">
        <v>-0.99270309999999995</v>
      </c>
      <c r="S5780">
        <v>0.59494019999999903</v>
      </c>
      <c r="T5780">
        <v>-2.1517519999999998E-2</v>
      </c>
      <c r="U5780">
        <v>-2.9560849999999999</v>
      </c>
      <c r="V5780">
        <v>1.6664640000000001E-2</v>
      </c>
      <c r="W5780">
        <v>4.0994900000000001E-2</v>
      </c>
      <c r="X5780">
        <v>0.99902039999999903</v>
      </c>
      <c r="Y5780">
        <v>-6.7757990000000004E-2</v>
      </c>
      <c r="Z5780">
        <v>7.1064079999999998E-3</v>
      </c>
      <c r="AA5780">
        <v>0.99767649999999997</v>
      </c>
      <c r="AB5780">
        <v>19</v>
      </c>
      <c r="AC5780">
        <v>15.711899999999901</v>
      </c>
      <c r="AD5780">
        <v>-0.57174239999999898</v>
      </c>
      <c r="AE5780">
        <v>-77.993267999999901</v>
      </c>
      <c r="AF5780">
        <v>-5.4056424337627398</v>
      </c>
      <c r="AG5780">
        <v>-0.57174239999999898</v>
      </c>
      <c r="AH5780">
        <v>79.372154794393595</v>
      </c>
      <c r="AI5780">
        <v>90.411758450817601</v>
      </c>
      <c r="AJ5780">
        <v>93.896114044102106</v>
      </c>
      <c r="AK5780">
        <v>79.558071973865907</v>
      </c>
    </row>
    <row r="5781" spans="1:37" x14ac:dyDescent="0.2">
      <c r="A5781" t="str">
        <f>"20200111155710088"</f>
        <v>20200111155710088</v>
      </c>
      <c r="B5781" t="str">
        <f>"1578729430078397"</f>
        <v>1578729430078397</v>
      </c>
      <c r="C5781" t="s">
        <v>37</v>
      </c>
      <c r="D5781">
        <v>4.9353809999999996</v>
      </c>
      <c r="E5781">
        <v>0.46279029999999999</v>
      </c>
      <c r="F5781" t="s">
        <v>75</v>
      </c>
      <c r="G5781">
        <v>-295.17489999999998</v>
      </c>
      <c r="H5781" s="1">
        <v>-2.9876259999999999E-6</v>
      </c>
      <c r="I5781">
        <v>-43.099240000000002</v>
      </c>
      <c r="J5781">
        <v>-303.79910000000001</v>
      </c>
      <c r="K5781">
        <v>1.0821719999999999</v>
      </c>
      <c r="L5781">
        <v>-2.652374</v>
      </c>
      <c r="M5781">
        <v>0.12870499999999899</v>
      </c>
      <c r="N5781">
        <v>0</v>
      </c>
      <c r="O5781">
        <v>-0.99168089999999998</v>
      </c>
      <c r="P5781">
        <v>0.11727609999999999</v>
      </c>
      <c r="Q5781">
        <v>3.7681190000000003E-2</v>
      </c>
      <c r="R5781">
        <v>-0.99238459999999995</v>
      </c>
      <c r="S5781">
        <v>0.62844849999999997</v>
      </c>
      <c r="T5781">
        <v>-7.8457470000000001E-2</v>
      </c>
      <c r="U5781">
        <v>-2.9530639999999999</v>
      </c>
      <c r="V5781">
        <v>1.151283E-2</v>
      </c>
      <c r="W5781">
        <v>3.9816169999999998E-2</v>
      </c>
      <c r="X5781">
        <v>0.99914069999999899</v>
      </c>
      <c r="Y5781">
        <v>-8.0463309999999996E-2</v>
      </c>
      <c r="Z5781">
        <v>2.5896229999999999E-2</v>
      </c>
      <c r="AA5781">
        <v>0.99642109999999995</v>
      </c>
      <c r="AB5781">
        <v>19</v>
      </c>
      <c r="AC5781">
        <v>8.6242000000000303</v>
      </c>
      <c r="AD5781">
        <v>-1.0821749876259901</v>
      </c>
      <c r="AE5781">
        <v>-40.446866</v>
      </c>
      <c r="AF5781">
        <v>-3.3444572155521</v>
      </c>
      <c r="AG5781">
        <v>-1.0821749876259901</v>
      </c>
      <c r="AH5781">
        <v>41.192239546337397</v>
      </c>
      <c r="AI5781">
        <v>91.499956766440306</v>
      </c>
      <c r="AJ5781">
        <v>94.641745132349001</v>
      </c>
      <c r="AK5781">
        <v>41.341953214783501</v>
      </c>
    </row>
    <row r="5782" spans="1:37" x14ac:dyDescent="0.2">
      <c r="A5782" t="str">
        <f>"20200111155710110"</f>
        <v>20200111155710110</v>
      </c>
      <c r="B5782" t="str">
        <f>"1578729430098894"</f>
        <v>1578729430098894</v>
      </c>
      <c r="C5782" t="s">
        <v>37</v>
      </c>
      <c r="D5782">
        <v>4.8301319999999999</v>
      </c>
      <c r="E5782">
        <v>0.46241640000000001</v>
      </c>
      <c r="F5782" t="s">
        <v>38</v>
      </c>
      <c r="G5782">
        <v>-297.26459999999997</v>
      </c>
      <c r="H5782" s="1">
        <v>-3.9963040000000003E-6</v>
      </c>
      <c r="I5782">
        <v>-32.182769999999998</v>
      </c>
      <c r="J5782">
        <v>-303.77620000000002</v>
      </c>
      <c r="K5782">
        <v>1.084962</v>
      </c>
      <c r="L5782">
        <v>-2.8390200000000001</v>
      </c>
      <c r="M5782">
        <v>0.1269999</v>
      </c>
      <c r="N5782">
        <v>0</v>
      </c>
      <c r="O5782">
        <v>-0.991897899999999</v>
      </c>
      <c r="P5782">
        <v>0.1201593</v>
      </c>
      <c r="Q5782">
        <v>3.6209140000000001E-2</v>
      </c>
      <c r="R5782">
        <v>-0.99209419999999904</v>
      </c>
      <c r="S5782">
        <v>0.65277099999999999</v>
      </c>
      <c r="T5782">
        <v>-0.10810549999999999</v>
      </c>
      <c r="U5782">
        <v>-2.9499819999999999</v>
      </c>
      <c r="V5782">
        <v>6.8688680000000002E-3</v>
      </c>
      <c r="W5782">
        <v>3.9300639999999998E-2</v>
      </c>
      <c r="X5782">
        <v>0.99920379999999998</v>
      </c>
      <c r="Y5782">
        <v>-9.0164510000000003E-2</v>
      </c>
      <c r="Z5782">
        <v>3.5673629999999998E-2</v>
      </c>
      <c r="AA5782">
        <v>0.99528779999999994</v>
      </c>
      <c r="AB5782">
        <v>19</v>
      </c>
      <c r="AC5782">
        <v>6.5116000000000396</v>
      </c>
      <c r="AD5782">
        <v>-1.0849659963039999</v>
      </c>
      <c r="AE5782">
        <v>-29.34375</v>
      </c>
      <c r="AF5782">
        <v>-2.7286468715716099</v>
      </c>
      <c r="AG5782">
        <v>-1.0849659963039999</v>
      </c>
      <c r="AH5782">
        <v>29.894169594485302</v>
      </c>
      <c r="AI5782">
        <v>92.069958314631606</v>
      </c>
      <c r="AJ5782">
        <v>95.215328896635398</v>
      </c>
      <c r="AK5782">
        <v>30.0380432236643</v>
      </c>
    </row>
    <row r="5783" spans="1:37" x14ac:dyDescent="0.2">
      <c r="A5783" t="str">
        <f>"20200111155710133"</f>
        <v>20200111155710133</v>
      </c>
      <c r="B5783" t="str">
        <f>"1578729430129149"</f>
        <v>1578729430129149</v>
      </c>
      <c r="C5783" t="s">
        <v>37</v>
      </c>
      <c r="D5783">
        <v>4.8140710000000002</v>
      </c>
      <c r="E5783">
        <v>0.46235699999999902</v>
      </c>
      <c r="F5783" t="s">
        <v>38</v>
      </c>
      <c r="G5783">
        <v>-298.19080000000002</v>
      </c>
      <c r="H5783" s="1">
        <v>-1.4989979999999999E-6</v>
      </c>
      <c r="I5783">
        <v>-27.621079999999999</v>
      </c>
      <c r="J5783">
        <v>-303.75319999999999</v>
      </c>
      <c r="K5783">
        <v>1.087561</v>
      </c>
      <c r="L5783">
        <v>-3.0273129999999999</v>
      </c>
      <c r="M5783">
        <v>0.12586220000000001</v>
      </c>
      <c r="N5783">
        <v>0</v>
      </c>
      <c r="O5783">
        <v>-0.99203940000000002</v>
      </c>
      <c r="P5783">
        <v>0.1228886</v>
      </c>
      <c r="Q5783">
        <v>3.4957290000000002E-2</v>
      </c>
      <c r="R5783">
        <v>-0.99180480000000004</v>
      </c>
      <c r="S5783">
        <v>0.66445919999999903</v>
      </c>
      <c r="T5783">
        <v>-0.12907060000000001</v>
      </c>
      <c r="U5783">
        <v>-2.94815099999999</v>
      </c>
      <c r="V5783">
        <v>2.9602669999999999E-3</v>
      </c>
      <c r="W5783">
        <v>3.9035239999999999E-2</v>
      </c>
      <c r="X5783">
        <v>0.99923340000000005</v>
      </c>
      <c r="Y5783">
        <v>-9.5134010000000005E-2</v>
      </c>
      <c r="Z5783">
        <v>4.2587149999999997E-2</v>
      </c>
      <c r="AA5783">
        <v>0.99455309999999897</v>
      </c>
      <c r="AB5783">
        <v>19</v>
      </c>
      <c r="AC5783">
        <v>5.5623999999999603</v>
      </c>
      <c r="AD5783">
        <v>-1.0875624989979999</v>
      </c>
      <c r="AE5783">
        <v>-24.593767</v>
      </c>
      <c r="AF5783">
        <v>-2.4182156655305902</v>
      </c>
      <c r="AG5783">
        <v>-1.0875624989979999</v>
      </c>
      <c r="AH5783">
        <v>25.051684623525698</v>
      </c>
      <c r="AI5783">
        <v>92.474319884434706</v>
      </c>
      <c r="AJ5783">
        <v>95.513625243394301</v>
      </c>
      <c r="AK5783">
        <v>25.191614907957799</v>
      </c>
    </row>
    <row r="5784" spans="1:37" x14ac:dyDescent="0.2">
      <c r="A5784" t="str">
        <f>"20200111155710155"</f>
        <v>20200111155710155</v>
      </c>
      <c r="B5784" t="str">
        <f>"1578729430148669"</f>
        <v>1578729430148669</v>
      </c>
      <c r="C5784" t="s">
        <v>37</v>
      </c>
      <c r="D5784">
        <v>4.9003620000000003</v>
      </c>
      <c r="E5784">
        <v>0.46212129999999901</v>
      </c>
      <c r="F5784" t="s">
        <v>38</v>
      </c>
      <c r="G5784">
        <v>-298.66930000000002</v>
      </c>
      <c r="H5784" s="1">
        <v>-2.4219929999999999E-6</v>
      </c>
      <c r="I5784">
        <v>-25.271709999999999</v>
      </c>
      <c r="J5784">
        <v>-303.73079999999999</v>
      </c>
      <c r="K5784">
        <v>1.089828</v>
      </c>
      <c r="L5784">
        <v>-3.210388</v>
      </c>
      <c r="M5784">
        <v>0.12538849999999899</v>
      </c>
      <c r="N5784">
        <v>0</v>
      </c>
      <c r="O5784">
        <v>-0.99209530000000001</v>
      </c>
      <c r="P5784">
        <v>0.12650249999999999</v>
      </c>
      <c r="Q5784">
        <v>3.3710799999999999E-2</v>
      </c>
      <c r="R5784">
        <v>-0.99139339999999998</v>
      </c>
      <c r="S5784">
        <v>0.67340089999999997</v>
      </c>
      <c r="T5784">
        <v>-0.14405609999999999</v>
      </c>
      <c r="U5784">
        <v>-2.9464419999999998</v>
      </c>
      <c r="V5784">
        <v>-1.165297E-3</v>
      </c>
      <c r="W5784">
        <v>3.8664070000000002E-2</v>
      </c>
      <c r="X5784">
        <v>0.99925160000000002</v>
      </c>
      <c r="Y5784">
        <v>-9.8552189999999998E-2</v>
      </c>
      <c r="Z5784">
        <v>4.7528290000000001E-2</v>
      </c>
      <c r="AA5784">
        <v>0.99399629999999894</v>
      </c>
      <c r="AB5784">
        <v>19</v>
      </c>
      <c r="AC5784">
        <v>5.0614999999999597</v>
      </c>
      <c r="AD5784">
        <v>-1.089830421993</v>
      </c>
      <c r="AE5784">
        <v>-22.061322000000001</v>
      </c>
      <c r="AF5784">
        <v>-2.25006566937676</v>
      </c>
      <c r="AG5784">
        <v>-1.089830421993</v>
      </c>
      <c r="AH5784">
        <v>22.4697727987772</v>
      </c>
      <c r="AI5784">
        <v>92.762990844532993</v>
      </c>
      <c r="AJ5784">
        <v>95.718390159001501</v>
      </c>
      <c r="AK5784">
        <v>22.6084323979765</v>
      </c>
    </row>
    <row r="5785" spans="1:37" x14ac:dyDescent="0.2">
      <c r="A5785" t="str">
        <f>"20200111155710176"</f>
        <v>20200111155710176</v>
      </c>
      <c r="B5785" t="str">
        <f>"1578729430168189"</f>
        <v>1578729430168189</v>
      </c>
      <c r="C5785" t="s">
        <v>37</v>
      </c>
      <c r="D5785">
        <v>4.8159320000000001</v>
      </c>
      <c r="E5785">
        <v>0.46199359999999901</v>
      </c>
      <c r="F5785" t="s">
        <v>38</v>
      </c>
      <c r="G5785">
        <v>-298.79500000000002</v>
      </c>
      <c r="H5785" s="1">
        <v>-2.7741900000000002E-6</v>
      </c>
      <c r="I5785">
        <v>-24.39874</v>
      </c>
      <c r="J5785">
        <v>-303.70850000000002</v>
      </c>
      <c r="K5785">
        <v>1.0918749999999999</v>
      </c>
      <c r="L5785">
        <v>-3.3924559999999899</v>
      </c>
      <c r="M5785">
        <v>0.1252846</v>
      </c>
      <c r="N5785">
        <v>0</v>
      </c>
      <c r="O5785">
        <v>-0.99210469999999895</v>
      </c>
      <c r="P5785">
        <v>0.1302131</v>
      </c>
      <c r="Q5785">
        <v>3.1808250000000003E-2</v>
      </c>
      <c r="R5785">
        <v>-0.99097590000000002</v>
      </c>
      <c r="S5785">
        <v>0.68572999999999995</v>
      </c>
      <c r="T5785">
        <v>-0.15140999999999999</v>
      </c>
      <c r="U5785">
        <v>-2.943695</v>
      </c>
      <c r="V5785">
        <v>-5.014508E-3</v>
      </c>
      <c r="W5785">
        <v>3.7505709999999998E-2</v>
      </c>
      <c r="X5785">
        <v>0.9992839</v>
      </c>
      <c r="Y5785">
        <v>-0.1027819</v>
      </c>
      <c r="Z5785">
        <v>4.9960879999999999E-2</v>
      </c>
      <c r="AA5785">
        <v>0.99344840000000001</v>
      </c>
      <c r="AB5785">
        <v>19</v>
      </c>
      <c r="AC5785">
        <v>4.9134999999999902</v>
      </c>
      <c r="AD5785">
        <v>-1.0918777741900001</v>
      </c>
      <c r="AE5785">
        <v>-21.006284000000001</v>
      </c>
      <c r="AF5785">
        <v>-2.2372474898136701</v>
      </c>
      <c r="AG5785">
        <v>-1.0918777741900001</v>
      </c>
      <c r="AH5785">
        <v>21.4015398968277</v>
      </c>
      <c r="AI5785">
        <v>92.904819935234201</v>
      </c>
      <c r="AJ5785">
        <v>95.967839024955097</v>
      </c>
      <c r="AK5785">
        <v>21.5458437606875</v>
      </c>
    </row>
    <row r="5786" spans="1:37" x14ac:dyDescent="0.2">
      <c r="A5786" t="str">
        <f>"20200111155710200"</f>
        <v>20200111155710200</v>
      </c>
      <c r="B5786" t="str">
        <f>"1578729430188686"</f>
        <v>1578729430188686</v>
      </c>
      <c r="C5786" t="s">
        <v>37</v>
      </c>
      <c r="D5786">
        <v>4.8672309999999896</v>
      </c>
      <c r="E5786">
        <v>0.4622095</v>
      </c>
      <c r="F5786" t="s">
        <v>38</v>
      </c>
      <c r="G5786">
        <v>-298.91250000000002</v>
      </c>
      <c r="H5786" s="1">
        <v>-3.089039E-6</v>
      </c>
      <c r="I5786">
        <v>-23.616239999999902</v>
      </c>
      <c r="J5786">
        <v>-303.68520000000001</v>
      </c>
      <c r="K5786">
        <v>1.0937859999999999</v>
      </c>
      <c r="L5786">
        <v>-3.5798030000000001</v>
      </c>
      <c r="M5786">
        <v>0.1252846</v>
      </c>
      <c r="N5786">
        <v>0</v>
      </c>
      <c r="O5786">
        <v>-0.9921008</v>
      </c>
      <c r="P5786">
        <v>0.1339526</v>
      </c>
      <c r="Q5786">
        <v>3.0107350000000001E-2</v>
      </c>
      <c r="R5786">
        <v>-0.99053040000000003</v>
      </c>
      <c r="S5786">
        <v>0.69738769999999894</v>
      </c>
      <c r="T5786">
        <v>-0.1587713</v>
      </c>
      <c r="U5786">
        <v>-2.9407649999999999</v>
      </c>
      <c r="V5786">
        <v>-8.7943810000000004E-3</v>
      </c>
      <c r="W5786">
        <v>3.6419269999999997E-2</v>
      </c>
      <c r="X5786">
        <v>0.99929789999999996</v>
      </c>
      <c r="Y5786">
        <v>-0.1067022</v>
      </c>
      <c r="Z5786">
        <v>5.2399620000000001E-2</v>
      </c>
      <c r="AA5786">
        <v>0.99290929999999999</v>
      </c>
      <c r="AB5786">
        <v>19</v>
      </c>
      <c r="AC5786">
        <v>4.77269999999998</v>
      </c>
      <c r="AD5786">
        <v>-1.0937890890390001</v>
      </c>
      <c r="AE5786">
        <v>-20.036436999999999</v>
      </c>
      <c r="AF5786">
        <v>-2.21853034955411</v>
      </c>
      <c r="AG5786">
        <v>-1.0937890890390001</v>
      </c>
      <c r="AH5786">
        <v>20.418935586996401</v>
      </c>
      <c r="AI5786">
        <v>93.048348883049201</v>
      </c>
      <c r="AJ5786">
        <v>96.200898801913695</v>
      </c>
      <c r="AK5786">
        <v>20.568208040300998</v>
      </c>
    </row>
    <row r="5787" spans="1:37" x14ac:dyDescent="0.2">
      <c r="A5787" t="str">
        <f>"20200111155710222"</f>
        <v>20200111155710222</v>
      </c>
      <c r="B5787" t="str">
        <f>"1578729430218941"</f>
        <v>1578729430218941</v>
      </c>
      <c r="C5787" t="s">
        <v>37</v>
      </c>
      <c r="D5787">
        <v>4.8008870000000003</v>
      </c>
      <c r="E5787">
        <v>0.46244249999999998</v>
      </c>
      <c r="F5787" t="s">
        <v>38</v>
      </c>
      <c r="G5787">
        <v>-299.06529999999998</v>
      </c>
      <c r="H5787" s="1">
        <v>-3.41206399999999E-6</v>
      </c>
      <c r="I5787">
        <v>-22.8001</v>
      </c>
      <c r="J5787">
        <v>-303.66120000000001</v>
      </c>
      <c r="K5787">
        <v>1.0955159999999999</v>
      </c>
      <c r="L5787">
        <v>-3.7719119999999999</v>
      </c>
      <c r="M5787">
        <v>0.12530189999999999</v>
      </c>
      <c r="N5787">
        <v>0</v>
      </c>
      <c r="O5787">
        <v>-0.99209550000000002</v>
      </c>
      <c r="P5787">
        <v>0.1366783</v>
      </c>
      <c r="Q5787">
        <v>2.903932E-2</v>
      </c>
      <c r="R5787">
        <v>-0.99018980000000001</v>
      </c>
      <c r="S5787">
        <v>0.70626829999999996</v>
      </c>
      <c r="T5787">
        <v>-0.16721079999999999</v>
      </c>
      <c r="U5787">
        <v>-2.9382630000000001</v>
      </c>
      <c r="V5787">
        <v>-1.153734E-2</v>
      </c>
      <c r="W5787">
        <v>3.582933E-2</v>
      </c>
      <c r="X5787">
        <v>0.99929129999999999</v>
      </c>
      <c r="Y5787">
        <v>-0.10967730000000001</v>
      </c>
      <c r="Z5787">
        <v>5.5193800000000001E-2</v>
      </c>
      <c r="AA5787">
        <v>0.99243369999999997</v>
      </c>
      <c r="AB5787">
        <v>19</v>
      </c>
      <c r="AC5787">
        <v>4.5959000000000199</v>
      </c>
      <c r="AD5787">
        <v>-1.0955194120639999</v>
      </c>
      <c r="AE5787">
        <v>-19.028188</v>
      </c>
      <c r="AF5787">
        <v>-2.1685616545347601</v>
      </c>
      <c r="AG5787">
        <v>-1.0955194120639999</v>
      </c>
      <c r="AH5787">
        <v>19.3933617500008</v>
      </c>
      <c r="AI5787">
        <v>93.213184650851304</v>
      </c>
      <c r="AJ5787">
        <v>96.380297802131807</v>
      </c>
      <c r="AK5787">
        <v>19.544955932365799</v>
      </c>
    </row>
    <row r="5788" spans="1:37" x14ac:dyDescent="0.2">
      <c r="A5788" t="str">
        <f>"20200111155710244"</f>
        <v>20200111155710244</v>
      </c>
      <c r="B5788" t="str">
        <f>"1578729430238461"</f>
        <v>1578729430238461</v>
      </c>
      <c r="C5788" t="s">
        <v>37</v>
      </c>
      <c r="D5788">
        <v>4.8572419999999896</v>
      </c>
      <c r="E5788">
        <v>0.4625224</v>
      </c>
      <c r="F5788" t="s">
        <v>38</v>
      </c>
      <c r="G5788">
        <v>-299.16309999999999</v>
      </c>
      <c r="H5788" s="1">
        <v>-3.5998190000000001E-6</v>
      </c>
      <c r="I5788">
        <v>-22.322019999999998</v>
      </c>
      <c r="J5788">
        <v>-303.63889999999998</v>
      </c>
      <c r="K5788">
        <v>1.0968789999999999</v>
      </c>
      <c r="L5788">
        <v>-3.9477229999999999</v>
      </c>
      <c r="M5788">
        <v>0.12538099999999999</v>
      </c>
      <c r="N5788">
        <v>0</v>
      </c>
      <c r="O5788">
        <v>-0.99208280000000004</v>
      </c>
      <c r="P5788">
        <v>0.13907169999999999</v>
      </c>
      <c r="Q5788">
        <v>2.887383E-2</v>
      </c>
      <c r="R5788">
        <v>-0.989861199999999</v>
      </c>
      <c r="S5788">
        <v>0.71206669999999905</v>
      </c>
      <c r="T5788">
        <v>-0.1734232</v>
      </c>
      <c r="U5788">
        <v>-2.93652299999999</v>
      </c>
      <c r="V5788">
        <v>-1.3881589999999999E-2</v>
      </c>
      <c r="W5788">
        <v>3.601327E-2</v>
      </c>
      <c r="X5788">
        <v>0.99925489999999995</v>
      </c>
      <c r="Y5788">
        <v>-0.1115553</v>
      </c>
      <c r="Z5788">
        <v>5.7250629999999997E-2</v>
      </c>
      <c r="AA5788">
        <v>0.99210769999999904</v>
      </c>
      <c r="AB5788">
        <v>19</v>
      </c>
      <c r="AC5788">
        <v>4.4757999999999898</v>
      </c>
      <c r="AD5788">
        <v>-1.0968825998189999</v>
      </c>
      <c r="AE5788">
        <v>-18.374296999999999</v>
      </c>
      <c r="AF5788">
        <v>-2.1294676158512802</v>
      </c>
      <c r="AG5788">
        <v>-1.0968825998189999</v>
      </c>
      <c r="AH5788">
        <v>18.727485920492001</v>
      </c>
      <c r="AI5788">
        <v>93.330612584645706</v>
      </c>
      <c r="AJ5788">
        <v>96.487133789891999</v>
      </c>
      <c r="AK5788">
        <v>18.880055949783898</v>
      </c>
    </row>
    <row r="5789" spans="1:37" x14ac:dyDescent="0.2">
      <c r="A5789" t="str">
        <f>"20200111155710266"</f>
        <v>20200111155710266</v>
      </c>
      <c r="B5789" t="str">
        <f>"1578729430258957"</f>
        <v>1578729430258957</v>
      </c>
      <c r="C5789" t="s">
        <v>37</v>
      </c>
      <c r="D5789">
        <v>4.8541249999999998</v>
      </c>
      <c r="E5789">
        <v>0.46264279999999902</v>
      </c>
      <c r="F5789" t="s">
        <v>38</v>
      </c>
      <c r="G5789">
        <v>-298.93880000000001</v>
      </c>
      <c r="H5789" s="1">
        <v>-3.2836499999999999E-6</v>
      </c>
      <c r="I5789">
        <v>-23.15175</v>
      </c>
      <c r="J5789">
        <v>-303.61529999999999</v>
      </c>
      <c r="K5789">
        <v>1.098074</v>
      </c>
      <c r="L5789">
        <v>-4.1328129999999996</v>
      </c>
      <c r="M5789">
        <v>0.1255821</v>
      </c>
      <c r="N5789">
        <v>0</v>
      </c>
      <c r="O5789">
        <v>-0.99205569999999899</v>
      </c>
      <c r="P5789">
        <v>0.14032229999999901</v>
      </c>
      <c r="Q5789">
        <v>2.8721880000000002E-2</v>
      </c>
      <c r="R5789">
        <v>-0.98968940000000005</v>
      </c>
      <c r="S5789">
        <v>0.718261699999999</v>
      </c>
      <c r="T5789">
        <v>-0.16762170000000001</v>
      </c>
      <c r="U5789">
        <v>-2.9346919999999899</v>
      </c>
      <c r="V5789">
        <v>-1.49455E-2</v>
      </c>
      <c r="W5789">
        <v>3.6140980000000003E-2</v>
      </c>
      <c r="X5789">
        <v>0.99923490000000004</v>
      </c>
      <c r="Y5789">
        <v>-0.11349769999999899</v>
      </c>
      <c r="Z5789">
        <v>5.5353090000000001E-2</v>
      </c>
      <c r="AA5789">
        <v>0.99199509999999902</v>
      </c>
      <c r="AB5789">
        <v>19</v>
      </c>
      <c r="AC5789">
        <v>4.6764999999999697</v>
      </c>
      <c r="AD5789">
        <v>-1.0980772836499999</v>
      </c>
      <c r="AE5789">
        <v>-19.018937000000001</v>
      </c>
      <c r="AF5789">
        <v>-2.24391839042972</v>
      </c>
      <c r="AG5789">
        <v>-1.0980772836499999</v>
      </c>
      <c r="AH5789">
        <v>19.394695740712301</v>
      </c>
      <c r="AI5789">
        <v>93.219050902753906</v>
      </c>
      <c r="AJ5789">
        <v>96.599637146174501</v>
      </c>
      <c r="AK5789">
        <v>19.554926907012</v>
      </c>
    </row>
    <row r="5790" spans="1:37" x14ac:dyDescent="0.2">
      <c r="A5790" t="str">
        <f>"20200111155710289"</f>
        <v>20200111155710289</v>
      </c>
      <c r="B5790" t="str">
        <f>"1578729430278477"</f>
        <v>1578729430278477</v>
      </c>
      <c r="C5790" t="s">
        <v>37</v>
      </c>
      <c r="D5790">
        <v>4.9242330000000001</v>
      </c>
      <c r="E5790">
        <v>0.46282269999999998</v>
      </c>
      <c r="F5790" t="s">
        <v>38</v>
      </c>
      <c r="G5790">
        <v>-298.89240000000001</v>
      </c>
      <c r="H5790" s="1">
        <v>-3.203196E-6</v>
      </c>
      <c r="I5790">
        <v>-23.358460000000001</v>
      </c>
      <c r="J5790">
        <v>-303.59129999999999</v>
      </c>
      <c r="K5790">
        <v>1.099067</v>
      </c>
      <c r="L5790">
        <v>-4.3198850000000002</v>
      </c>
      <c r="M5790">
        <v>0.12587899999999999</v>
      </c>
      <c r="N5790">
        <v>0</v>
      </c>
      <c r="O5790">
        <v>-0.99201669999999997</v>
      </c>
      <c r="P5790">
        <v>0.1407882</v>
      </c>
      <c r="Q5790">
        <v>2.835004E-2</v>
      </c>
      <c r="R5790">
        <v>-0.98963400000000001</v>
      </c>
      <c r="S5790">
        <v>0.72073359999999997</v>
      </c>
      <c r="T5790">
        <v>-0.167572</v>
      </c>
      <c r="U5790">
        <v>-2.933929</v>
      </c>
      <c r="V5790">
        <v>-1.511475E-2</v>
      </c>
      <c r="W5790">
        <v>3.5944650000000002E-2</v>
      </c>
      <c r="X5790">
        <v>0.9992394</v>
      </c>
      <c r="Y5790">
        <v>-0.11404839999999999</v>
      </c>
      <c r="Z5790">
        <v>5.5340309999999997E-2</v>
      </c>
      <c r="AA5790">
        <v>0.991932699999999</v>
      </c>
      <c r="AB5790">
        <v>19</v>
      </c>
      <c r="AC5790">
        <v>4.6988999999999796</v>
      </c>
      <c r="AD5790">
        <v>-1.099070203196</v>
      </c>
      <c r="AE5790">
        <v>-19.038575000000002</v>
      </c>
      <c r="AF5790">
        <v>-2.2578031227947899</v>
      </c>
      <c r="AG5790">
        <v>-1.099070203196</v>
      </c>
      <c r="AH5790">
        <v>19.417640166257598</v>
      </c>
      <c r="AI5790">
        <v>93.217943849536894</v>
      </c>
      <c r="AJ5790">
        <v>96.632334074437395</v>
      </c>
      <c r="AK5790">
        <v>19.5793355321143</v>
      </c>
    </row>
    <row r="5791" spans="1:37" x14ac:dyDescent="0.2">
      <c r="A5791" t="str">
        <f>"20200111155710311"</f>
        <v>20200111155710311</v>
      </c>
      <c r="B5791" t="str">
        <f>"1578729430308733"</f>
        <v>1578729430308733</v>
      </c>
      <c r="C5791" t="s">
        <v>37</v>
      </c>
      <c r="D5791">
        <v>5.3497909999999997</v>
      </c>
      <c r="E5791">
        <v>0.56340119999999905</v>
      </c>
      <c r="F5791" t="s">
        <v>38</v>
      </c>
      <c r="G5791">
        <v>-298.88099999999997</v>
      </c>
      <c r="H5791" s="1">
        <v>-3.1470769999999999E-6</v>
      </c>
      <c r="I5791">
        <v>-23.494009999999999</v>
      </c>
      <c r="J5791">
        <v>-303.56700000000001</v>
      </c>
      <c r="K5791">
        <v>1.0998829999999999</v>
      </c>
      <c r="L5791">
        <v>-4.5096739999999897</v>
      </c>
      <c r="M5791">
        <v>0.12619420000000001</v>
      </c>
      <c r="N5791">
        <v>0</v>
      </c>
      <c r="O5791">
        <v>-0.99197630000000003</v>
      </c>
      <c r="P5791">
        <v>0.14062269999999999</v>
      </c>
      <c r="Q5791">
        <v>2.7122500000000001E-2</v>
      </c>
      <c r="R5791">
        <v>-0.98969209999999996</v>
      </c>
      <c r="S5791">
        <v>0.72070310000000004</v>
      </c>
      <c r="T5791">
        <v>-0.16816199999999901</v>
      </c>
      <c r="U5791">
        <v>-2.933716</v>
      </c>
      <c r="V5791">
        <v>-1.46222E-2</v>
      </c>
      <c r="W5791">
        <v>3.4781899999999998E-2</v>
      </c>
      <c r="X5791">
        <v>0.99928799999999995</v>
      </c>
      <c r="Y5791">
        <v>-0.11373709999999999</v>
      </c>
      <c r="Z5791">
        <v>5.5536170000000003E-2</v>
      </c>
      <c r="AA5791">
        <v>0.99195750000000005</v>
      </c>
      <c r="AB5791">
        <v>19</v>
      </c>
      <c r="AC5791">
        <v>4.6860000000000301</v>
      </c>
      <c r="AD5791">
        <v>-1.0998861470770001</v>
      </c>
      <c r="AE5791">
        <v>-18.984335999999999</v>
      </c>
      <c r="AF5791">
        <v>-2.2456482844014198</v>
      </c>
      <c r="AG5791">
        <v>-1.0998861470770001</v>
      </c>
      <c r="AH5791">
        <v>19.362660155590401</v>
      </c>
      <c r="AI5791">
        <v>93.229562442756105</v>
      </c>
      <c r="AJ5791">
        <v>96.615510722581902</v>
      </c>
      <c r="AK5791">
        <v>19.523454972280199</v>
      </c>
    </row>
    <row r="5792" spans="1:37" x14ac:dyDescent="0.2">
      <c r="A5792" t="str">
        <f>"20200111155710334"</f>
        <v>20200111155710334</v>
      </c>
      <c r="B5792" t="str">
        <f>"1578729430328252"</f>
        <v>1578729430328252</v>
      </c>
      <c r="C5792" t="s">
        <v>37</v>
      </c>
      <c r="D5792">
        <v>4.8153430000000004</v>
      </c>
      <c r="E5792">
        <v>0.58466940000000001</v>
      </c>
      <c r="F5792" t="s">
        <v>94</v>
      </c>
      <c r="G5792">
        <v>-305.76710000000003</v>
      </c>
      <c r="H5792">
        <v>0.24567269999999999</v>
      </c>
      <c r="I5792">
        <v>-91.564989999999995</v>
      </c>
      <c r="J5792">
        <v>-303.54239999999999</v>
      </c>
      <c r="K5792">
        <v>1.1005419999999999</v>
      </c>
      <c r="L5792">
        <v>-4.700958</v>
      </c>
      <c r="M5792">
        <v>0.12644919999999901</v>
      </c>
      <c r="N5792">
        <v>0</v>
      </c>
      <c r="O5792">
        <v>-0.99194359999999904</v>
      </c>
      <c r="P5792">
        <v>0.14031099999999999</v>
      </c>
      <c r="Q5792">
        <v>2.545708E-2</v>
      </c>
      <c r="R5792">
        <v>-0.98977990000000005</v>
      </c>
      <c r="S5792">
        <v>-7.6904299999999995E-2</v>
      </c>
      <c r="T5792">
        <v>-2.9858229999999999E-2</v>
      </c>
      <c r="U5792">
        <v>-3.042999</v>
      </c>
      <c r="V5792">
        <v>-1.403977E-2</v>
      </c>
      <c r="W5792">
        <v>3.308581E-2</v>
      </c>
      <c r="X5792">
        <v>0.99935390000000002</v>
      </c>
      <c r="Y5792">
        <v>0.151473</v>
      </c>
      <c r="Z5792">
        <v>9.6352850000000004E-3</v>
      </c>
      <c r="AA5792">
        <v>0.98841440000000003</v>
      </c>
      <c r="AB5792">
        <v>19</v>
      </c>
      <c r="AC5792">
        <v>-2.2247000000000399</v>
      </c>
      <c r="AD5792">
        <v>-0.85486929999999905</v>
      </c>
      <c r="AE5792">
        <v>-86.864031999999995</v>
      </c>
      <c r="AF5792">
        <v>13.189773437414001</v>
      </c>
      <c r="AG5792">
        <v>-0.85486929999999905</v>
      </c>
      <c r="AH5792">
        <v>85.877108889354503</v>
      </c>
      <c r="AI5792">
        <v>90.563725915165307</v>
      </c>
      <c r="AJ5792">
        <v>81.268235263321699</v>
      </c>
      <c r="AK5792">
        <v>86.888311964523993</v>
      </c>
    </row>
    <row r="5793" spans="1:37" x14ac:dyDescent="0.2">
      <c r="A5793" t="str">
        <f>"20200111155710356"</f>
        <v>20200111155710356</v>
      </c>
      <c r="B5793" t="str">
        <f>"1578729430348749"</f>
        <v>1578729430348749</v>
      </c>
      <c r="C5793" t="s">
        <v>37</v>
      </c>
      <c r="D5793">
        <v>4.9291320000000001</v>
      </c>
      <c r="E5793">
        <v>0.59219160000000004</v>
      </c>
      <c r="F5793" t="s">
        <v>75</v>
      </c>
      <c r="G5793">
        <v>-306.73070000000001</v>
      </c>
      <c r="H5793" s="1">
        <v>-3.6508240000000001E-6</v>
      </c>
      <c r="I5793">
        <v>-44.646140000000003</v>
      </c>
      <c r="J5793">
        <v>-303.51830000000001</v>
      </c>
      <c r="K5793">
        <v>1.1010690000000001</v>
      </c>
      <c r="L5793">
        <v>-4.8879390000000003</v>
      </c>
      <c r="M5793">
        <v>0.12660450000000001</v>
      </c>
      <c r="N5793">
        <v>0</v>
      </c>
      <c r="O5793">
        <v>-0.99192459999999905</v>
      </c>
      <c r="P5793">
        <v>0.1390904</v>
      </c>
      <c r="Q5793">
        <v>2.358354E-2</v>
      </c>
      <c r="R5793">
        <v>-0.98999899999999996</v>
      </c>
      <c r="S5793">
        <v>-0.24487300000000001</v>
      </c>
      <c r="T5793">
        <v>-8.4524150000000006E-2</v>
      </c>
      <c r="U5793">
        <v>-3.0678709999999998</v>
      </c>
      <c r="V5793">
        <v>-1.264004E-2</v>
      </c>
      <c r="W5793">
        <v>3.1113200000000001E-2</v>
      </c>
      <c r="X5793">
        <v>0.99943599999999999</v>
      </c>
      <c r="Y5793">
        <v>0.20510249999999999</v>
      </c>
      <c r="Z5793">
        <v>2.687252E-2</v>
      </c>
      <c r="AA5793">
        <v>0.97837149999999995</v>
      </c>
      <c r="AB5793">
        <v>19</v>
      </c>
      <c r="AC5793">
        <v>-3.2124000000000001</v>
      </c>
      <c r="AD5793">
        <v>-1.1010726508240001</v>
      </c>
      <c r="AE5793">
        <v>-39.758201</v>
      </c>
      <c r="AF5793">
        <v>8.2140005335521202</v>
      </c>
      <c r="AG5793">
        <v>-1.1010726508240001</v>
      </c>
      <c r="AH5793">
        <v>39.001824347261</v>
      </c>
      <c r="AI5793">
        <v>91.582410776992006</v>
      </c>
      <c r="AJ5793">
        <v>78.106995102558002</v>
      </c>
      <c r="AK5793">
        <v>39.872602977009002</v>
      </c>
    </row>
    <row r="5794" spans="1:37" x14ac:dyDescent="0.2">
      <c r="A5794" t="str">
        <f>"20200111155710379"</f>
        <v>20200111155710379</v>
      </c>
      <c r="B5794" t="str">
        <f>"1578729430368269"</f>
        <v>1578729430368269</v>
      </c>
      <c r="C5794" t="s">
        <v>37</v>
      </c>
      <c r="D5794">
        <v>4.8087330000000001</v>
      </c>
      <c r="E5794">
        <v>0.59615200000000002</v>
      </c>
      <c r="F5794" t="s">
        <v>38</v>
      </c>
      <c r="G5794">
        <v>-306.99669999999998</v>
      </c>
      <c r="H5794" s="1">
        <v>-2.197779E-6</v>
      </c>
      <c r="I5794">
        <v>-39.62735</v>
      </c>
      <c r="J5794">
        <v>-303.49369999999999</v>
      </c>
      <c r="K5794">
        <v>1.1015139999999899</v>
      </c>
      <c r="L5794">
        <v>-5.0796199999999896</v>
      </c>
      <c r="M5794">
        <v>0.1266755</v>
      </c>
      <c r="N5794">
        <v>0</v>
      </c>
      <c r="O5794">
        <v>-0.99191679999999904</v>
      </c>
      <c r="P5794">
        <v>0.1380497</v>
      </c>
      <c r="Q5794">
        <v>2.2373170000000001E-2</v>
      </c>
      <c r="R5794">
        <v>-0.99017259999999996</v>
      </c>
      <c r="S5794">
        <v>-0.30798340000000002</v>
      </c>
      <c r="T5794">
        <v>-9.7491030000000006E-2</v>
      </c>
      <c r="U5794">
        <v>-3.0758969999999999</v>
      </c>
      <c r="V5794">
        <v>-1.150962E-2</v>
      </c>
      <c r="W5794">
        <v>2.974626E-2</v>
      </c>
      <c r="X5794">
        <v>0.99949120000000002</v>
      </c>
      <c r="Y5794">
        <v>0.22482729999999901</v>
      </c>
      <c r="Z5794">
        <v>3.0813150000000001E-2</v>
      </c>
      <c r="AA5794">
        <v>0.97391130000000004</v>
      </c>
      <c r="AB5794">
        <v>19</v>
      </c>
      <c r="AC5794">
        <v>-3.5029999999999801</v>
      </c>
      <c r="AD5794">
        <v>-1.10151619777899</v>
      </c>
      <c r="AE5794">
        <v>-34.547730000000001</v>
      </c>
      <c r="AF5794">
        <v>7.8433567190921298</v>
      </c>
      <c r="AG5794">
        <v>-1.10151619777899</v>
      </c>
      <c r="AH5794">
        <v>33.791646815041297</v>
      </c>
      <c r="AI5794">
        <v>91.818711308073404</v>
      </c>
      <c r="AJ5794">
        <v>76.932504503623306</v>
      </c>
      <c r="AK5794">
        <v>34.707448437322299</v>
      </c>
    </row>
    <row r="5795" spans="1:37" x14ac:dyDescent="0.2">
      <c r="A5795" t="str">
        <f>"20200111155710401"</f>
        <v>20200111155710401</v>
      </c>
      <c r="B5795" t="str">
        <f>"1578729430398525"</f>
        <v>1578729430398525</v>
      </c>
      <c r="C5795" t="s">
        <v>37</v>
      </c>
      <c r="D5795">
        <v>4.7966410000000002</v>
      </c>
      <c r="E5795">
        <v>0.5996764</v>
      </c>
      <c r="F5795" t="s">
        <v>38</v>
      </c>
      <c r="G5795">
        <v>-306.96289999999999</v>
      </c>
      <c r="H5795" s="1">
        <v>-3.513541E-6</v>
      </c>
      <c r="I5795">
        <v>-36.317900000000002</v>
      </c>
      <c r="J5795">
        <v>-303.46870000000001</v>
      </c>
      <c r="K5795">
        <v>1.101866</v>
      </c>
      <c r="L5795">
        <v>-5.2752080000000001</v>
      </c>
      <c r="M5795">
        <v>0.12665969999999999</v>
      </c>
      <c r="N5795">
        <v>0</v>
      </c>
      <c r="O5795">
        <v>-0.99192039999999904</v>
      </c>
      <c r="P5795">
        <v>0.13644600000000001</v>
      </c>
      <c r="Q5795">
        <v>2.1784749999999999E-2</v>
      </c>
      <c r="R5795">
        <v>-0.99040799999999996</v>
      </c>
      <c r="S5795">
        <v>-0.34204099999999998</v>
      </c>
      <c r="T5795">
        <v>-0.1086037</v>
      </c>
      <c r="U5795">
        <v>-3.0799259999999999</v>
      </c>
      <c r="V5795">
        <v>-9.9003749999999995E-3</v>
      </c>
      <c r="W5795">
        <v>2.8952200000000001E-2</v>
      </c>
      <c r="X5795">
        <v>0.99953169999999902</v>
      </c>
      <c r="Y5795">
        <v>0.2353102</v>
      </c>
      <c r="Z5795">
        <v>3.4213349999999997E-2</v>
      </c>
      <c r="AA5795">
        <v>0.97131789999999996</v>
      </c>
      <c r="AB5795">
        <v>19</v>
      </c>
      <c r="AC5795">
        <v>-3.49419999999997</v>
      </c>
      <c r="AD5795">
        <v>-1.1018695135409999</v>
      </c>
      <c r="AE5795">
        <v>-31.042691999999999</v>
      </c>
      <c r="AF5795">
        <v>7.3888230358176896</v>
      </c>
      <c r="AG5795">
        <v>-1.1018695135409999</v>
      </c>
      <c r="AH5795">
        <v>30.312369516006601</v>
      </c>
      <c r="AI5795">
        <v>92.0226418218503</v>
      </c>
      <c r="AJ5795">
        <v>76.300956549815098</v>
      </c>
      <c r="AK5795">
        <v>31.219362068345099</v>
      </c>
    </row>
    <row r="5796" spans="1:37" x14ac:dyDescent="0.2">
      <c r="A5796" t="str">
        <f>"20200111155710423"</f>
        <v>20200111155710423</v>
      </c>
      <c r="B5796" t="str">
        <f>"1578729430419021"</f>
        <v>1578729430419021</v>
      </c>
      <c r="C5796" t="s">
        <v>37</v>
      </c>
      <c r="D5796">
        <v>4.7682219999999997</v>
      </c>
      <c r="E5796">
        <v>0.60103799999999996</v>
      </c>
      <c r="F5796" t="s">
        <v>38</v>
      </c>
      <c r="G5796">
        <v>-307.06849999999997</v>
      </c>
      <c r="H5796" s="1">
        <v>-4.0198979999999998E-6</v>
      </c>
      <c r="I5796">
        <v>-34.885010000000001</v>
      </c>
      <c r="J5796">
        <v>-303.44459999999998</v>
      </c>
      <c r="K5796">
        <v>1.1021510000000001</v>
      </c>
      <c r="L5796">
        <v>-5.4640199999999997</v>
      </c>
      <c r="M5796">
        <v>0.1265829</v>
      </c>
      <c r="N5796">
        <v>0</v>
      </c>
      <c r="O5796">
        <v>-0.99193180000000003</v>
      </c>
      <c r="P5796">
        <v>0.13560539999999999</v>
      </c>
      <c r="Q5796">
        <v>2.1450859999999999E-2</v>
      </c>
      <c r="R5796">
        <v>-0.99053080000000004</v>
      </c>
      <c r="S5796">
        <v>-0.3748474</v>
      </c>
      <c r="T5796">
        <v>-0.11473599999999901</v>
      </c>
      <c r="U5796">
        <v>-3.083221</v>
      </c>
      <c r="V5796">
        <v>-9.124587E-3</v>
      </c>
      <c r="W5796">
        <v>2.840024E-2</v>
      </c>
      <c r="X5796">
        <v>0.99955499999999997</v>
      </c>
      <c r="Y5796">
        <v>0.2452974</v>
      </c>
      <c r="Z5796">
        <v>3.6036829999999999E-2</v>
      </c>
      <c r="AA5796">
        <v>0.96877780000000002</v>
      </c>
      <c r="AB5796">
        <v>19</v>
      </c>
      <c r="AC5796">
        <v>-3.6238999999999901</v>
      </c>
      <c r="AD5796">
        <v>-1.1021550198979999</v>
      </c>
      <c r="AE5796">
        <v>-29.42099</v>
      </c>
      <c r="AF5796">
        <v>7.3089280088416402</v>
      </c>
      <c r="AG5796">
        <v>-1.1021550198979999</v>
      </c>
      <c r="AH5796">
        <v>28.685927077068801</v>
      </c>
      <c r="AI5796">
        <v>92.132247680437601</v>
      </c>
      <c r="AJ5796">
        <v>75.705669974901596</v>
      </c>
      <c r="AK5796">
        <v>29.622923329698999</v>
      </c>
    </row>
    <row r="5797" spans="1:37" x14ac:dyDescent="0.2">
      <c r="A5797" t="str">
        <f>"20200111155710445"</f>
        <v>20200111155710445</v>
      </c>
      <c r="B5797" t="str">
        <f>"1578729430438541"</f>
        <v>1578729430438541</v>
      </c>
      <c r="C5797" t="s">
        <v>37</v>
      </c>
      <c r="D5797">
        <v>4.7509290000000002</v>
      </c>
      <c r="E5797">
        <v>0.60204380000000002</v>
      </c>
      <c r="F5797" t="s">
        <v>38</v>
      </c>
      <c r="G5797">
        <v>-307.09059999999999</v>
      </c>
      <c r="H5797" s="1">
        <v>-4.1795450000000001E-6</v>
      </c>
      <c r="I5797">
        <v>-34.427390000000003</v>
      </c>
      <c r="J5797">
        <v>-303.42</v>
      </c>
      <c r="K5797">
        <v>1.1023780000000001</v>
      </c>
      <c r="L5797">
        <v>-5.6577760000000001</v>
      </c>
      <c r="M5797">
        <v>0.1264325</v>
      </c>
      <c r="N5797">
        <v>0</v>
      </c>
      <c r="O5797">
        <v>-0.99195290000000003</v>
      </c>
      <c r="P5797">
        <v>0.1350307</v>
      </c>
      <c r="Q5797">
        <v>2.1669629999999999E-2</v>
      </c>
      <c r="R5797">
        <v>-0.99060479999999995</v>
      </c>
      <c r="S5797">
        <v>-0.38827509999999998</v>
      </c>
      <c r="T5797">
        <v>-0.11737119999999999</v>
      </c>
      <c r="U5797">
        <v>-3.084381</v>
      </c>
      <c r="V5797">
        <v>-8.6932450000000005E-3</v>
      </c>
      <c r="W5797">
        <v>2.838166E-2</v>
      </c>
      <c r="X5797">
        <v>0.99955930000000004</v>
      </c>
      <c r="Y5797">
        <v>0.2492547</v>
      </c>
      <c r="Z5797">
        <v>3.682175E-2</v>
      </c>
      <c r="AA5797">
        <v>0.96773770000000003</v>
      </c>
      <c r="AB5797">
        <v>19</v>
      </c>
      <c r="AC5797">
        <v>-3.6705999999999701</v>
      </c>
      <c r="AD5797">
        <v>-1.102382179545</v>
      </c>
      <c r="AE5797">
        <v>-28.769614000000001</v>
      </c>
      <c r="AF5797">
        <v>7.2681372173499401</v>
      </c>
      <c r="AG5797">
        <v>-1.102382179545</v>
      </c>
      <c r="AH5797">
        <v>28.0341388215211</v>
      </c>
      <c r="AI5797">
        <v>92.179876264264394</v>
      </c>
      <c r="AJ5797">
        <v>75.465492920669305</v>
      </c>
      <c r="AK5797">
        <v>28.981959984520099</v>
      </c>
    </row>
    <row r="5798" spans="1:37" x14ac:dyDescent="0.2">
      <c r="A5798" t="str">
        <f>"20200111155710467"</f>
        <v>20200111155710467</v>
      </c>
      <c r="B5798" t="str">
        <f>"1578729430459037"</f>
        <v>1578729430459037</v>
      </c>
      <c r="C5798" t="s">
        <v>37</v>
      </c>
      <c r="D5798">
        <v>4.7729989999999898</v>
      </c>
      <c r="E5798">
        <v>0.60283509999999996</v>
      </c>
      <c r="F5798" t="s">
        <v>38</v>
      </c>
      <c r="G5798">
        <v>-307.13929999999999</v>
      </c>
      <c r="H5798" s="1">
        <v>-4.1626520000000003E-6</v>
      </c>
      <c r="I5798">
        <v>-34.502409999999998</v>
      </c>
      <c r="J5798">
        <v>-303.39530000000002</v>
      </c>
      <c r="K5798">
        <v>1.10256</v>
      </c>
      <c r="L5798">
        <v>-5.8523559999999897</v>
      </c>
      <c r="M5798">
        <v>0.12619539999999899</v>
      </c>
      <c r="N5798">
        <v>0</v>
      </c>
      <c r="O5798">
        <v>-0.99198439999999999</v>
      </c>
      <c r="P5798">
        <v>0.13409479999999999</v>
      </c>
      <c r="Q5798">
        <v>2.1625849999999999E-2</v>
      </c>
      <c r="R5798">
        <v>-0.99073269999999902</v>
      </c>
      <c r="S5798">
        <v>-0.39782709999999999</v>
      </c>
      <c r="T5798">
        <v>-0.1179125</v>
      </c>
      <c r="U5798">
        <v>-3.0852659999999998</v>
      </c>
      <c r="V5798">
        <v>-7.9836119999999993E-3</v>
      </c>
      <c r="W5798">
        <v>2.8085659999999998E-2</v>
      </c>
      <c r="X5798">
        <v>0.99957359999999995</v>
      </c>
      <c r="Y5798">
        <v>0.25193529999999997</v>
      </c>
      <c r="Z5798">
        <v>3.6962120000000001E-2</v>
      </c>
      <c r="AA5798">
        <v>0.96703799999999995</v>
      </c>
      <c r="AB5798">
        <v>20</v>
      </c>
      <c r="AC5798">
        <v>-3.74399999999997</v>
      </c>
      <c r="AD5798">
        <v>-1.102564162652</v>
      </c>
      <c r="AE5798">
        <v>-28.650053999999901</v>
      </c>
      <c r="AF5798">
        <v>7.3189898698561802</v>
      </c>
      <c r="AG5798">
        <v>-1.102564162652</v>
      </c>
      <c r="AH5798">
        <v>27.9078756301395</v>
      </c>
      <c r="AI5798">
        <v>92.188490776196502</v>
      </c>
      <c r="AJ5798">
        <v>75.304810335061902</v>
      </c>
      <c r="AK5798">
        <v>28.872699607677099</v>
      </c>
    </row>
    <row r="5799" spans="1:37" x14ac:dyDescent="0.2">
      <c r="A5799" t="str">
        <f>"20200111155710490"</f>
        <v>20200111155710490</v>
      </c>
      <c r="B5799" t="str">
        <f>"1578729430478557"</f>
        <v>1578729430478557</v>
      </c>
      <c r="C5799" t="s">
        <v>37</v>
      </c>
      <c r="D5799">
        <v>4.7501259999999998</v>
      </c>
      <c r="E5799">
        <v>0.60341699999999998</v>
      </c>
      <c r="F5799" t="s">
        <v>38</v>
      </c>
      <c r="G5799">
        <v>-307.12479999999999</v>
      </c>
      <c r="H5799" s="1">
        <v>-4.2849829999999998E-6</v>
      </c>
      <c r="I5799">
        <v>-34.135350000000003</v>
      </c>
      <c r="J5799">
        <v>-303.37009999999998</v>
      </c>
      <c r="K5799">
        <v>1.102689</v>
      </c>
      <c r="L5799">
        <v>-6.0527949999999997</v>
      </c>
      <c r="M5799">
        <v>0.12585639999999901</v>
      </c>
      <c r="N5799">
        <v>0</v>
      </c>
      <c r="O5799">
        <v>-0.99202919999999895</v>
      </c>
      <c r="P5799">
        <v>0.13288849999999999</v>
      </c>
      <c r="Q5799">
        <v>2.2132949999999998E-2</v>
      </c>
      <c r="R5799">
        <v>-0.99088410000000005</v>
      </c>
      <c r="S5799">
        <v>-0.4068909</v>
      </c>
      <c r="T5799">
        <v>-0.120292899999999</v>
      </c>
      <c r="U5799">
        <v>-3.0857540000000001</v>
      </c>
      <c r="V5799">
        <v>-7.1051259999999998E-3</v>
      </c>
      <c r="W5799">
        <v>2.8320169999999999E-2</v>
      </c>
      <c r="X5799">
        <v>0.99957359999999995</v>
      </c>
      <c r="Y5799">
        <v>0.25437349999999997</v>
      </c>
      <c r="Z5799">
        <v>3.7684269999999999E-2</v>
      </c>
      <c r="AA5799">
        <v>0.9663716</v>
      </c>
      <c r="AB5799">
        <v>20</v>
      </c>
      <c r="AC5799">
        <v>-3.7547000000000099</v>
      </c>
      <c r="AD5799">
        <v>-1.102693284983</v>
      </c>
      <c r="AE5799">
        <v>-28.082554999999999</v>
      </c>
      <c r="AF5799">
        <v>7.2483007151799299</v>
      </c>
      <c r="AG5799">
        <v>-1.102693284983</v>
      </c>
      <c r="AH5799">
        <v>27.345263823280799</v>
      </c>
      <c r="AI5799">
        <v>92.232188126745697</v>
      </c>
      <c r="AJ5799">
        <v>75.154237624342301</v>
      </c>
      <c r="AK5799">
        <v>28.311079974159401</v>
      </c>
    </row>
    <row r="5800" spans="1:37" x14ac:dyDescent="0.2">
      <c r="A5800" t="str">
        <f>"20200111155710516"</f>
        <v>20200111155710516</v>
      </c>
      <c r="B5800" t="str">
        <f>"1578729430508814"</f>
        <v>1578729430508814</v>
      </c>
      <c r="C5800" t="s">
        <v>37</v>
      </c>
      <c r="D5800">
        <v>4.7665879999999996</v>
      </c>
      <c r="E5800">
        <v>0.60415379999999996</v>
      </c>
      <c r="F5800" t="s">
        <v>38</v>
      </c>
      <c r="G5800">
        <v>-307.1807</v>
      </c>
      <c r="H5800" s="1">
        <v>-4.2049589999999999E-6</v>
      </c>
      <c r="I5800">
        <v>-34.39967</v>
      </c>
      <c r="J5800">
        <v>-303.3415</v>
      </c>
      <c r="K5800">
        <v>1.102792</v>
      </c>
      <c r="L5800">
        <v>-6.2822569999999898</v>
      </c>
      <c r="M5800">
        <v>0.12535370000000001</v>
      </c>
      <c r="N5800">
        <v>0</v>
      </c>
      <c r="O5800">
        <v>-0.9920949</v>
      </c>
      <c r="P5800">
        <v>0.13207169999999999</v>
      </c>
      <c r="Q5800">
        <v>2.2671460000000001E-2</v>
      </c>
      <c r="R5800">
        <v>-0.99098090000000005</v>
      </c>
      <c r="S5800">
        <v>-0.41482540000000001</v>
      </c>
      <c r="T5800">
        <v>-0.120041699999999</v>
      </c>
      <c r="U5800">
        <v>-3.0859070000000002</v>
      </c>
      <c r="V5800">
        <v>-6.7838339999999999E-3</v>
      </c>
      <c r="W5800">
        <v>2.853323E-2</v>
      </c>
      <c r="X5800">
        <v>0.99956979999999995</v>
      </c>
      <c r="Y5800">
        <v>0.2563184</v>
      </c>
      <c r="Z5800">
        <v>3.7591260000000001E-2</v>
      </c>
      <c r="AA5800">
        <v>0.96586109999999903</v>
      </c>
      <c r="AB5800">
        <v>20</v>
      </c>
      <c r="AC5800">
        <v>-3.8391999999999999</v>
      </c>
      <c r="AD5800">
        <v>-1.1027962049590001</v>
      </c>
      <c r="AE5800">
        <v>-28.117412999999999</v>
      </c>
      <c r="AF5800">
        <v>7.32253968225851</v>
      </c>
      <c r="AG5800">
        <v>-1.1027962049590001</v>
      </c>
      <c r="AH5800">
        <v>27.3730152295857</v>
      </c>
      <c r="AI5800">
        <v>92.228782118787095</v>
      </c>
      <c r="AJ5800">
        <v>75.023511304745995</v>
      </c>
      <c r="AK5800">
        <v>28.356969330784501</v>
      </c>
    </row>
    <row r="5801" spans="1:37" x14ac:dyDescent="0.2">
      <c r="A5801" t="str">
        <f>"20200111155710538"</f>
        <v>20200111155710538</v>
      </c>
      <c r="B5801" t="str">
        <f>"1578729430528334"</f>
        <v>1578729430528334</v>
      </c>
      <c r="C5801" t="s">
        <v>37</v>
      </c>
      <c r="D5801">
        <v>4.7335029999999998</v>
      </c>
      <c r="E5801">
        <v>0.60469779999999995</v>
      </c>
      <c r="F5801" t="s">
        <v>38</v>
      </c>
      <c r="G5801">
        <v>-307.31200000000001</v>
      </c>
      <c r="H5801" s="1">
        <v>-3.9400579999999999E-6</v>
      </c>
      <c r="I5801">
        <v>-35.246549999999999</v>
      </c>
      <c r="J5801">
        <v>-303.31779999999998</v>
      </c>
      <c r="K5801">
        <v>1.1028480000000001</v>
      </c>
      <c r="L5801">
        <v>-6.473846</v>
      </c>
      <c r="M5801">
        <v>0.124838899999999</v>
      </c>
      <c r="N5801">
        <v>0</v>
      </c>
      <c r="O5801">
        <v>-0.99216150000000003</v>
      </c>
      <c r="P5801">
        <v>0.1313695</v>
      </c>
      <c r="Q5801">
        <v>2.2971399999999999E-2</v>
      </c>
      <c r="R5801">
        <v>-0.99106729999999998</v>
      </c>
      <c r="S5801">
        <v>-0.42309570000000002</v>
      </c>
      <c r="T5801">
        <v>-0.1175124</v>
      </c>
      <c r="U5801">
        <v>-3.086395</v>
      </c>
      <c r="V5801">
        <v>-6.5907939999999996E-3</v>
      </c>
      <c r="W5801">
        <v>2.8551819999999999E-2</v>
      </c>
      <c r="X5801">
        <v>0.99957059999999998</v>
      </c>
      <c r="Y5801">
        <v>0.2583414</v>
      </c>
      <c r="Z5801">
        <v>3.6781469999999997E-2</v>
      </c>
      <c r="AA5801">
        <v>0.96535329999999997</v>
      </c>
      <c r="AB5801">
        <v>20</v>
      </c>
      <c r="AC5801">
        <v>-3.9942000000000299</v>
      </c>
      <c r="AD5801">
        <v>-1.1028519400579999</v>
      </c>
      <c r="AE5801">
        <v>-28.772703999999901</v>
      </c>
      <c r="AF5801">
        <v>7.5440865331230702</v>
      </c>
      <c r="AG5801">
        <v>-1.1028519400579999</v>
      </c>
      <c r="AH5801">
        <v>28.008598180477399</v>
      </c>
      <c r="AI5801">
        <v>92.1773627761835</v>
      </c>
      <c r="AJ5801">
        <v>74.925198369854797</v>
      </c>
      <c r="AK5801">
        <v>29.027764227655901</v>
      </c>
    </row>
    <row r="5802" spans="1:37" x14ac:dyDescent="0.2">
      <c r="A5802" t="str">
        <f>"20200111155710558"</f>
        <v>20200111155710558</v>
      </c>
      <c r="B5802" t="str">
        <f>"1578729430548830"</f>
        <v>1578729430548830</v>
      </c>
      <c r="C5802" t="s">
        <v>37</v>
      </c>
      <c r="D5802">
        <v>4.7381929999999999</v>
      </c>
      <c r="E5802">
        <v>0.60496229999999995</v>
      </c>
      <c r="F5802" t="s">
        <v>38</v>
      </c>
      <c r="G5802">
        <v>-307.390999999999</v>
      </c>
      <c r="H5802" s="1">
        <v>-3.7862240000000001E-6</v>
      </c>
      <c r="I5802">
        <v>-35.73977</v>
      </c>
      <c r="J5802">
        <v>-303.2946</v>
      </c>
      <c r="K5802">
        <v>1.102876</v>
      </c>
      <c r="L5802">
        <v>-6.6630549999999999</v>
      </c>
      <c r="M5802">
        <v>0.12425070000000001</v>
      </c>
      <c r="N5802">
        <v>0</v>
      </c>
      <c r="O5802">
        <v>-0.99223689999999998</v>
      </c>
      <c r="P5802">
        <v>0.1304015</v>
      </c>
      <c r="Q5802">
        <v>2.3364650000000001E-2</v>
      </c>
      <c r="R5802">
        <v>-0.99118619999999902</v>
      </c>
      <c r="S5802">
        <v>-0.42959589999999998</v>
      </c>
      <c r="T5802">
        <v>-0.11631749999999901</v>
      </c>
      <c r="U5802">
        <v>-3.0866699999999998</v>
      </c>
      <c r="V5802">
        <v>-6.2042240000000004E-3</v>
      </c>
      <c r="W5802">
        <v>2.8664309999999998E-2</v>
      </c>
      <c r="X5802">
        <v>0.99956979999999995</v>
      </c>
      <c r="Y5802">
        <v>0.25975359999999997</v>
      </c>
      <c r="Z5802">
        <v>3.6396640000000001E-2</v>
      </c>
      <c r="AA5802">
        <v>0.96498879999999998</v>
      </c>
      <c r="AB5802">
        <v>20</v>
      </c>
      <c r="AC5802">
        <v>-4.0963999999999601</v>
      </c>
      <c r="AD5802">
        <v>-1.1028797862240001</v>
      </c>
      <c r="AE5802">
        <v>-29.076715</v>
      </c>
      <c r="AF5802">
        <v>7.6666924616968597</v>
      </c>
      <c r="AG5802">
        <v>-1.1028797862240001</v>
      </c>
      <c r="AH5802">
        <v>28.302475601521699</v>
      </c>
      <c r="AI5802">
        <v>92.153998141998599</v>
      </c>
      <c r="AJ5802">
        <v>74.843218592073001</v>
      </c>
      <c r="AK5802">
        <v>29.343221402903801</v>
      </c>
    </row>
    <row r="5803" spans="1:37" x14ac:dyDescent="0.2">
      <c r="A5803" t="str">
        <f>"20200111155710580"</f>
        <v>20200111155710580</v>
      </c>
      <c r="B5803" t="str">
        <f>"1578729430569325"</f>
        <v>1578729430569325</v>
      </c>
      <c r="C5803" t="s">
        <v>37</v>
      </c>
      <c r="D5803">
        <v>4.7589940000000004</v>
      </c>
      <c r="E5803">
        <v>0.60519959999999995</v>
      </c>
      <c r="F5803" t="s">
        <v>38</v>
      </c>
      <c r="G5803">
        <v>-307.49610000000001</v>
      </c>
      <c r="H5803" s="1">
        <v>-3.548293E-6</v>
      </c>
      <c r="I5803">
        <v>-36.49371</v>
      </c>
      <c r="J5803">
        <v>-303.27089999999998</v>
      </c>
      <c r="K5803">
        <v>1.1028959999999901</v>
      </c>
      <c r="L5803">
        <v>-6.8587039999999897</v>
      </c>
      <c r="M5803">
        <v>0.1235637</v>
      </c>
      <c r="N5803">
        <v>0</v>
      </c>
      <c r="O5803">
        <v>-0.99232399999999998</v>
      </c>
      <c r="P5803">
        <v>0.12893360000000001</v>
      </c>
      <c r="Q5803">
        <v>2.442737E-2</v>
      </c>
      <c r="R5803">
        <v>-0.99135239999999902</v>
      </c>
      <c r="S5803">
        <v>-0.43472290000000002</v>
      </c>
      <c r="T5803">
        <v>-0.11411499999999999</v>
      </c>
      <c r="U5803">
        <v>-3.0865779999999998</v>
      </c>
      <c r="V5803">
        <v>-5.4143209999999997E-3</v>
      </c>
      <c r="W5803">
        <v>2.9440270000000001E-2</v>
      </c>
      <c r="X5803">
        <v>0.99955190000000005</v>
      </c>
      <c r="Y5803">
        <v>0.26066430000000002</v>
      </c>
      <c r="Z5803">
        <v>3.5705569999999999E-2</v>
      </c>
      <c r="AA5803">
        <v>0.96476899999999999</v>
      </c>
      <c r="AB5803">
        <v>20</v>
      </c>
      <c r="AC5803">
        <v>-4.2252000000000196</v>
      </c>
      <c r="AD5803">
        <v>-1.102899548293</v>
      </c>
      <c r="AE5803">
        <v>-29.635006000000001</v>
      </c>
      <c r="AF5803">
        <v>7.8440290585528896</v>
      </c>
      <c r="AG5803">
        <v>-1.102899548293</v>
      </c>
      <c r="AH5803">
        <v>28.846650993632402</v>
      </c>
      <c r="AI5803">
        <v>92.112885552794395</v>
      </c>
      <c r="AJ5803">
        <v>74.787853022784205</v>
      </c>
      <c r="AK5803">
        <v>29.914452240237999</v>
      </c>
    </row>
    <row r="5804" spans="1:37" x14ac:dyDescent="0.2">
      <c r="A5804" t="str">
        <f>"20200111155710602"</f>
        <v>20200111155710602</v>
      </c>
      <c r="B5804" t="str">
        <f>"1578729430598606"</f>
        <v>1578729430598606</v>
      </c>
      <c r="C5804" t="s">
        <v>37</v>
      </c>
      <c r="D5804">
        <v>4.7473349999999996</v>
      </c>
      <c r="E5804">
        <v>0.60544030000000004</v>
      </c>
      <c r="F5804" t="s">
        <v>38</v>
      </c>
      <c r="G5804">
        <v>-307.64420000000001</v>
      </c>
      <c r="H5804" s="1">
        <v>-3.242219E-6</v>
      </c>
      <c r="I5804">
        <v>-37.47034</v>
      </c>
      <c r="J5804">
        <v>-303.24540000000002</v>
      </c>
      <c r="K5804">
        <v>1.1029070000000001</v>
      </c>
      <c r="L5804">
        <v>-7.0705259999999903</v>
      </c>
      <c r="M5804">
        <v>0.12274359999999999</v>
      </c>
      <c r="N5804">
        <v>0</v>
      </c>
      <c r="O5804">
        <v>-0.99242739999999996</v>
      </c>
      <c r="P5804">
        <v>0.12766</v>
      </c>
      <c r="Q5804">
        <v>2.5110170000000001E-2</v>
      </c>
      <c r="R5804">
        <v>-0.99150039999999995</v>
      </c>
      <c r="S5804">
        <v>-0.44091799999999998</v>
      </c>
      <c r="T5804">
        <v>-0.1111935</v>
      </c>
      <c r="U5804">
        <v>-3.0862430000000001</v>
      </c>
      <c r="V5804">
        <v>-4.9547990000000002E-3</v>
      </c>
      <c r="W5804">
        <v>2.9825859999999999E-2</v>
      </c>
      <c r="X5804">
        <v>0.99954279999999995</v>
      </c>
      <c r="Y5804">
        <v>0.26178379999999901</v>
      </c>
      <c r="Z5804">
        <v>3.4791589999999997E-2</v>
      </c>
      <c r="AA5804">
        <v>0.9644992</v>
      </c>
      <c r="AB5804">
        <v>21</v>
      </c>
      <c r="AC5804">
        <v>-4.3987999999999898</v>
      </c>
      <c r="AD5804">
        <v>-1.102910242219</v>
      </c>
      <c r="AE5804">
        <v>-30.399813999999999</v>
      </c>
      <c r="AF5804">
        <v>8.0865351576659297</v>
      </c>
      <c r="AG5804">
        <v>-1.102910242219</v>
      </c>
      <c r="AH5804">
        <v>29.591856253639602</v>
      </c>
      <c r="AI5804">
        <v>92.059040174099096</v>
      </c>
      <c r="AJ5804">
        <v>74.715998676442993</v>
      </c>
      <c r="AK5804">
        <v>30.696684159606299</v>
      </c>
    </row>
    <row r="5805" spans="1:37" x14ac:dyDescent="0.2">
      <c r="A5805" t="str">
        <f>"20200111155710624"</f>
        <v>20200111155710624</v>
      </c>
      <c r="B5805" t="str">
        <f>"1578729430619102"</f>
        <v>1578729430619102</v>
      </c>
      <c r="C5805" t="s">
        <v>37</v>
      </c>
      <c r="D5805">
        <v>4.7613379999999896</v>
      </c>
      <c r="E5805">
        <v>0.60553650000000003</v>
      </c>
      <c r="F5805" t="s">
        <v>38</v>
      </c>
      <c r="G5805">
        <v>-307.76209999999998</v>
      </c>
      <c r="H5805" s="1">
        <v>-2.9833749999999899E-6</v>
      </c>
      <c r="I5805">
        <v>-38.270859999999999</v>
      </c>
      <c r="J5805">
        <v>-303.22089999999997</v>
      </c>
      <c r="K5805">
        <v>1.1029149999999901</v>
      </c>
      <c r="L5805">
        <v>-7.2763369999999998</v>
      </c>
      <c r="M5805">
        <v>0.1218954</v>
      </c>
      <c r="N5805">
        <v>0</v>
      </c>
      <c r="O5805">
        <v>-0.9925332</v>
      </c>
      <c r="P5805">
        <v>0.12652349999999901</v>
      </c>
      <c r="Q5805">
        <v>2.4772840000000001E-2</v>
      </c>
      <c r="R5805">
        <v>-0.99165439999999905</v>
      </c>
      <c r="S5805">
        <v>-0.4467468</v>
      </c>
      <c r="T5805">
        <v>-0.109087899999999</v>
      </c>
      <c r="U5805">
        <v>-3.0859990000000002</v>
      </c>
      <c r="V5805">
        <v>-4.6608079999999998E-3</v>
      </c>
      <c r="W5805">
        <v>2.921816E-2</v>
      </c>
      <c r="X5805">
        <v>0.99956219999999996</v>
      </c>
      <c r="Y5805">
        <v>0.26275749999999998</v>
      </c>
      <c r="Z5805">
        <v>3.4132549999999998E-2</v>
      </c>
      <c r="AA5805">
        <v>0.96425799999999995</v>
      </c>
      <c r="AB5805">
        <v>21</v>
      </c>
      <c r="AC5805">
        <v>-4.5411999999999999</v>
      </c>
      <c r="AD5805">
        <v>-1.10291798337499</v>
      </c>
      <c r="AE5805">
        <v>-30.994523000000001</v>
      </c>
      <c r="AF5805">
        <v>8.2752035505568102</v>
      </c>
      <c r="AG5805">
        <v>-1.10291798337499</v>
      </c>
      <c r="AH5805">
        <v>30.172431452835902</v>
      </c>
      <c r="AI5805">
        <v>92.018956450465097</v>
      </c>
      <c r="AJ5805">
        <v>74.6629754154837</v>
      </c>
      <c r="AK5805">
        <v>31.306086335683698</v>
      </c>
    </row>
    <row r="5806" spans="1:37" x14ac:dyDescent="0.2">
      <c r="A5806" t="str">
        <f>"20200111155710646"</f>
        <v>20200111155710646</v>
      </c>
      <c r="B5806" t="str">
        <f>"1578729430638621"</f>
        <v>1578729430638621</v>
      </c>
      <c r="C5806" t="s">
        <v>37</v>
      </c>
      <c r="D5806">
        <v>4.8736670000000002</v>
      </c>
      <c r="E5806">
        <v>0.60560209999999903</v>
      </c>
      <c r="F5806" t="s">
        <v>38</v>
      </c>
      <c r="G5806">
        <v>-307.73070000000001</v>
      </c>
      <c r="H5806" s="1">
        <v>-3.0298129999999999E-6</v>
      </c>
      <c r="I5806">
        <v>-38.139580000000002</v>
      </c>
      <c r="J5806">
        <v>-303.19650000000001</v>
      </c>
      <c r="K5806">
        <v>1.1029199999999999</v>
      </c>
      <c r="L5806">
        <v>-7.4825439999999999</v>
      </c>
      <c r="M5806">
        <v>0.1210068</v>
      </c>
      <c r="N5806">
        <v>0</v>
      </c>
      <c r="O5806">
        <v>-0.99264289999999999</v>
      </c>
      <c r="P5806">
        <v>0.1256236</v>
      </c>
      <c r="Q5806">
        <v>2.4574410000000001E-2</v>
      </c>
      <c r="R5806">
        <v>-0.99177340000000003</v>
      </c>
      <c r="S5806">
        <v>-0.45086670000000001</v>
      </c>
      <c r="T5806">
        <v>-0.1102638</v>
      </c>
      <c r="U5806">
        <v>-3.0855410000000001</v>
      </c>
      <c r="V5806">
        <v>-4.6475229999999998E-3</v>
      </c>
      <c r="W5806">
        <v>2.877012E-2</v>
      </c>
      <c r="X5806">
        <v>0.99957530000000006</v>
      </c>
      <c r="Y5806">
        <v>0.26317269999999998</v>
      </c>
      <c r="Z5806">
        <v>3.4505590000000003E-2</v>
      </c>
      <c r="AA5806">
        <v>0.96413150000000003</v>
      </c>
      <c r="AB5806">
        <v>21</v>
      </c>
      <c r="AC5806">
        <v>-4.5341999999999896</v>
      </c>
      <c r="AD5806">
        <v>-1.1029230298129999</v>
      </c>
      <c r="AE5806">
        <v>-30.657036000000002</v>
      </c>
      <c r="AF5806">
        <v>8.2002365547525695</v>
      </c>
      <c r="AG5806">
        <v>-1.1029230298129999</v>
      </c>
      <c r="AH5806">
        <v>29.845279062684799</v>
      </c>
      <c r="AI5806">
        <v>92.040820755832698</v>
      </c>
      <c r="AJ5806">
        <v>74.636627111071803</v>
      </c>
      <c r="AK5806">
        <v>30.970970296281099</v>
      </c>
    </row>
    <row r="5807" spans="1:37" x14ac:dyDescent="0.2">
      <c r="A5807" t="str">
        <f>"20200111155710668"</f>
        <v>20200111155710668</v>
      </c>
      <c r="B5807" t="str">
        <f>"1578729430659118"</f>
        <v>1578729430659118</v>
      </c>
      <c r="C5807" t="s">
        <v>37</v>
      </c>
      <c r="D5807">
        <v>4.7311690000000004</v>
      </c>
      <c r="E5807">
        <v>0.60577239999999999</v>
      </c>
      <c r="F5807" t="s">
        <v>38</v>
      </c>
      <c r="G5807">
        <v>-307.70740000000001</v>
      </c>
      <c r="H5807" s="1">
        <v>-3.0374209999999999E-6</v>
      </c>
      <c r="I5807">
        <v>-38.105080000000001</v>
      </c>
      <c r="J5807">
        <v>-303.17219999999998</v>
      </c>
      <c r="K5807">
        <v>1.1029279999999999</v>
      </c>
      <c r="L5807">
        <v>-7.6902160000000004</v>
      </c>
      <c r="M5807">
        <v>0.12008199999999999</v>
      </c>
      <c r="N5807">
        <v>0</v>
      </c>
      <c r="O5807">
        <v>-0.99275599999999997</v>
      </c>
      <c r="P5807">
        <v>0.12517429999999999</v>
      </c>
      <c r="Q5807">
        <v>2.4469049999999999E-2</v>
      </c>
      <c r="R5807">
        <v>-0.99183279999999996</v>
      </c>
      <c r="S5807">
        <v>-0.45446779999999998</v>
      </c>
      <c r="T5807">
        <v>-0.111119</v>
      </c>
      <c r="U5807">
        <v>-3.08520499999999</v>
      </c>
      <c r="V5807">
        <v>-5.1246829999999997E-3</v>
      </c>
      <c r="W5807">
        <v>2.8436469999999998E-2</v>
      </c>
      <c r="X5807">
        <v>0.99958250000000004</v>
      </c>
      <c r="Y5807">
        <v>0.26338919999999999</v>
      </c>
      <c r="Z5807">
        <v>3.4778660000000003E-2</v>
      </c>
      <c r="AA5807">
        <v>0.96406250000000004</v>
      </c>
      <c r="AB5807">
        <v>21</v>
      </c>
      <c r="AC5807">
        <v>-4.5352000000000299</v>
      </c>
      <c r="AD5807">
        <v>-1.102931037421</v>
      </c>
      <c r="AE5807">
        <v>-30.414864000000001</v>
      </c>
      <c r="AF5807">
        <v>8.1442126066154792</v>
      </c>
      <c r="AG5807">
        <v>-1.102931037421</v>
      </c>
      <c r="AH5807">
        <v>29.612084778777099</v>
      </c>
      <c r="AI5807">
        <v>92.056750578469902</v>
      </c>
      <c r="AJ5807">
        <v>74.622149067795903</v>
      </c>
      <c r="AK5807">
        <v>30.7314207416537</v>
      </c>
    </row>
    <row r="5808" spans="1:37" x14ac:dyDescent="0.2">
      <c r="A5808" t="str">
        <f>"20200111155710691"</f>
        <v>20200111155710691</v>
      </c>
      <c r="B5808" t="str">
        <f>"1578729430678637"</f>
        <v>1578729430678637</v>
      </c>
      <c r="C5808" t="s">
        <v>37</v>
      </c>
      <c r="D5808">
        <v>4.7535540000000003</v>
      </c>
      <c r="E5808">
        <v>0.60593889999999995</v>
      </c>
      <c r="F5808" t="s">
        <v>38</v>
      </c>
      <c r="G5808">
        <v>-307.69150000000002</v>
      </c>
      <c r="H5808" s="1">
        <v>-2.9936879999999999E-6</v>
      </c>
      <c r="I5808">
        <v>-38.20299</v>
      </c>
      <c r="J5808">
        <v>-303.14690000000002</v>
      </c>
      <c r="K5808">
        <v>1.102932</v>
      </c>
      <c r="L5808">
        <v>-7.9089049999999999</v>
      </c>
      <c r="M5808">
        <v>0.119085999999999</v>
      </c>
      <c r="N5808">
        <v>0</v>
      </c>
      <c r="O5808">
        <v>-0.99287719999999902</v>
      </c>
      <c r="P5808">
        <v>0.124017899999999</v>
      </c>
      <c r="Q5808">
        <v>2.4874750000000001E-2</v>
      </c>
      <c r="R5808">
        <v>-0.99196839999999997</v>
      </c>
      <c r="S5808">
        <v>-0.4569397</v>
      </c>
      <c r="T5808">
        <v>-0.11151610000000001</v>
      </c>
      <c r="U5808">
        <v>-3.0851139999999999</v>
      </c>
      <c r="V5808">
        <v>-4.9621229999999997E-3</v>
      </c>
      <c r="W5808">
        <v>2.8626169999999999E-2</v>
      </c>
      <c r="X5808">
        <v>0.99957790000000002</v>
      </c>
      <c r="Y5808">
        <v>0.26318069999999999</v>
      </c>
      <c r="Z5808">
        <v>3.4909309999999999E-2</v>
      </c>
      <c r="AA5808">
        <v>0.96411469999999899</v>
      </c>
      <c r="AB5808">
        <v>21</v>
      </c>
      <c r="AC5808">
        <v>-4.5446</v>
      </c>
      <c r="AD5808">
        <v>-1.102934993688</v>
      </c>
      <c r="AE5808">
        <v>-30.294084999999999</v>
      </c>
      <c r="AF5808">
        <v>8.1093729922465805</v>
      </c>
      <c r="AG5808">
        <v>-1.102934993688</v>
      </c>
      <c r="AH5808">
        <v>29.499065007436801</v>
      </c>
      <c r="AI5808">
        <v>92.064698341718298</v>
      </c>
      <c r="AJ5808">
        <v>74.628931125257196</v>
      </c>
      <c r="AK5808">
        <v>30.6132852245665</v>
      </c>
    </row>
    <row r="5809" spans="1:37" x14ac:dyDescent="0.2">
      <c r="A5809" t="str">
        <f>"20200111155710714"</f>
        <v>20200111155710714</v>
      </c>
      <c r="B5809" t="str">
        <f>"1578729430708893"</f>
        <v>1578729430708893</v>
      </c>
      <c r="C5809" t="s">
        <v>37</v>
      </c>
      <c r="D5809">
        <v>4.7540959999999997</v>
      </c>
      <c r="E5809">
        <v>0.60614650000000003</v>
      </c>
      <c r="F5809" t="s">
        <v>38</v>
      </c>
      <c r="G5809">
        <v>-307.76749999999998</v>
      </c>
      <c r="H5809" s="1">
        <v>-2.7744559999999999E-6</v>
      </c>
      <c r="I5809">
        <v>-38.761189999999999</v>
      </c>
      <c r="J5809">
        <v>-303.12130000000002</v>
      </c>
      <c r="K5809">
        <v>1.102938</v>
      </c>
      <c r="L5809">
        <v>-8.1309509999999996</v>
      </c>
      <c r="M5809">
        <v>0.11806269999999899</v>
      </c>
      <c r="N5809">
        <v>0</v>
      </c>
      <c r="O5809">
        <v>-0.99299999999999999</v>
      </c>
      <c r="P5809">
        <v>0.1220769</v>
      </c>
      <c r="Q5809">
        <v>2.4648880000000001E-2</v>
      </c>
      <c r="R5809">
        <v>-0.99221459999999995</v>
      </c>
      <c r="S5809">
        <v>-0.46200559999999902</v>
      </c>
      <c r="T5809">
        <v>-0.1102785</v>
      </c>
      <c r="U5809">
        <v>-3.0848080000000002</v>
      </c>
      <c r="V5809">
        <v>-4.035589E-3</v>
      </c>
      <c r="W5809">
        <v>2.8205770000000002E-2</v>
      </c>
      <c r="X5809">
        <v>0.99959399999999998</v>
      </c>
      <c r="Y5809">
        <v>0.26375110000000002</v>
      </c>
      <c r="Z5809">
        <v>3.4525350000000003E-2</v>
      </c>
      <c r="AA5809">
        <v>0.96397269999999902</v>
      </c>
      <c r="AB5809">
        <v>21</v>
      </c>
      <c r="AC5809">
        <v>-4.6461999999999604</v>
      </c>
      <c r="AD5809">
        <v>-1.102940774456</v>
      </c>
      <c r="AE5809">
        <v>-30.630239</v>
      </c>
      <c r="AF5809">
        <v>8.2195977461045793</v>
      </c>
      <c r="AG5809">
        <v>-1.102940774456</v>
      </c>
      <c r="AH5809">
        <v>29.829659559359602</v>
      </c>
      <c r="AI5809">
        <v>92.041507541746398</v>
      </c>
      <c r="AJ5809">
        <v>74.594393206283399</v>
      </c>
      <c r="AK5809">
        <v>30.961053840058799</v>
      </c>
    </row>
    <row r="5810" spans="1:37" x14ac:dyDescent="0.2">
      <c r="A5810" t="str">
        <f>"20200111155710736"</f>
        <v>20200111155710736</v>
      </c>
      <c r="B5810" t="str">
        <f>"1578729430729389"</f>
        <v>1578729430729389</v>
      </c>
      <c r="C5810" t="s">
        <v>37</v>
      </c>
      <c r="D5810">
        <v>4.7798400000000001</v>
      </c>
      <c r="E5810">
        <v>0.60632079999999999</v>
      </c>
      <c r="F5810" t="s">
        <v>38</v>
      </c>
      <c r="G5810">
        <v>-307.77350000000001</v>
      </c>
      <c r="H5810" s="1">
        <v>-2.8035369999999999E-6</v>
      </c>
      <c r="I5810">
        <v>-38.697099999999999</v>
      </c>
      <c r="J5810">
        <v>-303.0976</v>
      </c>
      <c r="K5810">
        <v>1.1029359999999999</v>
      </c>
      <c r="L5810">
        <v>-8.3396299999999997</v>
      </c>
      <c r="M5810">
        <v>0.1170963</v>
      </c>
      <c r="N5810">
        <v>0</v>
      </c>
      <c r="O5810">
        <v>-0.99311499999999997</v>
      </c>
      <c r="P5810">
        <v>0.1201144</v>
      </c>
      <c r="Q5810">
        <v>2.32243E-2</v>
      </c>
      <c r="R5810">
        <v>-0.99248879999999995</v>
      </c>
      <c r="S5810">
        <v>-0.4693909</v>
      </c>
      <c r="T5810">
        <v>-0.11128389999999901</v>
      </c>
      <c r="U5810">
        <v>-3.0840450000000001</v>
      </c>
      <c r="V5810">
        <v>-3.029524E-3</v>
      </c>
      <c r="W5810">
        <v>2.661993E-2</v>
      </c>
      <c r="X5810">
        <v>0.99964109999999995</v>
      </c>
      <c r="Y5810">
        <v>0.26510229999999901</v>
      </c>
      <c r="Z5810">
        <v>3.4841560000000001E-2</v>
      </c>
      <c r="AA5810">
        <v>0.96359059999999896</v>
      </c>
      <c r="AB5810">
        <v>22</v>
      </c>
      <c r="AC5810">
        <v>-4.6759000000000102</v>
      </c>
      <c r="AD5810">
        <v>-1.102938803537</v>
      </c>
      <c r="AE5810">
        <v>-30.357469999999999</v>
      </c>
      <c r="AF5810">
        <v>8.1879416001919108</v>
      </c>
      <c r="AG5810">
        <v>-1.102938803537</v>
      </c>
      <c r="AH5810">
        <v>29.5629732512038</v>
      </c>
      <c r="AI5810">
        <v>92.059157105005497</v>
      </c>
      <c r="AJ5810">
        <v>74.519072040419502</v>
      </c>
      <c r="AK5810">
        <v>30.695736660062298</v>
      </c>
    </row>
    <row r="5811" spans="1:37" x14ac:dyDescent="0.2">
      <c r="A5811" t="str">
        <f>"20200111155710758"</f>
        <v>20200111155710758</v>
      </c>
      <c r="B5811" t="str">
        <f>"1578729430748909"</f>
        <v>1578729430748909</v>
      </c>
      <c r="C5811" t="s">
        <v>37</v>
      </c>
      <c r="D5811">
        <v>4.7587279999999996</v>
      </c>
      <c r="E5811">
        <v>0.60648310000000005</v>
      </c>
      <c r="F5811" t="s">
        <v>38</v>
      </c>
      <c r="G5811">
        <v>-307.6189</v>
      </c>
      <c r="H5811" s="1">
        <v>-3.2014399999999998E-6</v>
      </c>
      <c r="I5811">
        <v>-37.576949999999997</v>
      </c>
      <c r="J5811">
        <v>-303.07319999999999</v>
      </c>
      <c r="K5811">
        <v>1.102927</v>
      </c>
      <c r="L5811">
        <v>-8.5554810000000003</v>
      </c>
      <c r="M5811">
        <v>0.1160978</v>
      </c>
      <c r="N5811">
        <v>0</v>
      </c>
      <c r="O5811">
        <v>-0.99323249999999996</v>
      </c>
      <c r="P5811">
        <v>0.1181778</v>
      </c>
      <c r="Q5811">
        <v>2.133709E-2</v>
      </c>
      <c r="R5811">
        <v>-0.99276330000000002</v>
      </c>
      <c r="S5811">
        <v>-0.47677609999999898</v>
      </c>
      <c r="T5811">
        <v>-0.11630699999999999</v>
      </c>
      <c r="U5811">
        <v>-3.0831300000000001</v>
      </c>
      <c r="V5811">
        <v>-2.0824950000000002E-3</v>
      </c>
      <c r="W5811">
        <v>2.458641E-2</v>
      </c>
      <c r="X5811">
        <v>0.99969549999999996</v>
      </c>
      <c r="Y5811">
        <v>0.26642159999999998</v>
      </c>
      <c r="Z5811">
        <v>3.6415959999999997E-2</v>
      </c>
      <c r="AA5811">
        <v>0.96316840000000004</v>
      </c>
      <c r="AB5811">
        <v>22</v>
      </c>
      <c r="AC5811">
        <v>-4.5457000000000098</v>
      </c>
      <c r="AD5811">
        <v>-1.10293020144</v>
      </c>
      <c r="AE5811">
        <v>-29.021469</v>
      </c>
      <c r="AF5811">
        <v>7.8732081064232098</v>
      </c>
      <c r="AG5811">
        <v>-1.10293020144</v>
      </c>
      <c r="AH5811">
        <v>28.257633842395801</v>
      </c>
      <c r="AI5811">
        <v>92.153254788346104</v>
      </c>
      <c r="AJ5811">
        <v>74.430975185517298</v>
      </c>
      <c r="AK5811">
        <v>29.354688403851402</v>
      </c>
    </row>
    <row r="5812" spans="1:37" x14ac:dyDescent="0.2">
      <c r="A5812" t="str">
        <f>"20200111155710781"</f>
        <v>20200111155710781</v>
      </c>
      <c r="B5812" t="str">
        <f>"1578729430779166"</f>
        <v>1578729430779166</v>
      </c>
      <c r="C5812" t="s">
        <v>37</v>
      </c>
      <c r="D5812">
        <v>5.129867</v>
      </c>
      <c r="E5812">
        <v>0.60660539999999996</v>
      </c>
      <c r="F5812" t="s">
        <v>38</v>
      </c>
      <c r="G5812">
        <v>-307.4556</v>
      </c>
      <c r="H5812" s="1">
        <v>-3.55192099999999E-6</v>
      </c>
      <c r="I5812">
        <v>-36.461950000000002</v>
      </c>
      <c r="J5812">
        <v>-303.04790000000003</v>
      </c>
      <c r="K5812">
        <v>1.102924</v>
      </c>
      <c r="L5812">
        <v>-8.7821960000000008</v>
      </c>
      <c r="M5812">
        <v>0.11505309999999901</v>
      </c>
      <c r="N5812">
        <v>0</v>
      </c>
      <c r="O5812">
        <v>-0.99335459999999998</v>
      </c>
      <c r="P5812">
        <v>0.1169361</v>
      </c>
      <c r="Q5812">
        <v>2.0091399999999999E-2</v>
      </c>
      <c r="R5812">
        <v>-0.99293639999999905</v>
      </c>
      <c r="S5812">
        <v>-0.48400879999999902</v>
      </c>
      <c r="T5812">
        <v>-0.121812899999999</v>
      </c>
      <c r="U5812">
        <v>-3.0821230000000002</v>
      </c>
      <c r="V5812">
        <v>-1.8823469999999999E-3</v>
      </c>
      <c r="W5812">
        <v>2.321399E-2</v>
      </c>
      <c r="X5812">
        <v>0.99972870000000003</v>
      </c>
      <c r="Y5812">
        <v>0.26765149999999999</v>
      </c>
      <c r="Z5812">
        <v>3.8143209999999997E-2</v>
      </c>
      <c r="AA5812">
        <v>0.96276049999999902</v>
      </c>
      <c r="AB5812">
        <v>22</v>
      </c>
      <c r="AC5812">
        <v>-4.40769999999997</v>
      </c>
      <c r="AD5812">
        <v>-1.102927551921</v>
      </c>
      <c r="AE5812">
        <v>-27.679753999999999</v>
      </c>
      <c r="AF5812">
        <v>7.5513933289790103</v>
      </c>
      <c r="AG5812">
        <v>-1.102927551921</v>
      </c>
      <c r="AH5812">
        <v>26.9470926142994</v>
      </c>
      <c r="AI5812">
        <v>92.256924734110797</v>
      </c>
      <c r="AJ5812">
        <v>74.345515432088703</v>
      </c>
      <c r="AK5812">
        <v>28.0068882733759</v>
      </c>
    </row>
    <row r="5813" spans="1:37" x14ac:dyDescent="0.2">
      <c r="A5813" t="str">
        <f>"20200111155710803"</f>
        <v>20200111155710803</v>
      </c>
      <c r="B5813" t="str">
        <f>"1578729430798685"</f>
        <v>1578729430798685</v>
      </c>
      <c r="C5813" t="s">
        <v>37</v>
      </c>
      <c r="D5813">
        <v>4.8289279999999897</v>
      </c>
      <c r="E5813">
        <v>0.60678900000000002</v>
      </c>
      <c r="F5813" t="s">
        <v>38</v>
      </c>
      <c r="G5813">
        <v>-307.35469999999998</v>
      </c>
      <c r="H5813" s="1">
        <v>-3.7215699999999899E-6</v>
      </c>
      <c r="I5813">
        <v>-35.91084</v>
      </c>
      <c r="J5813">
        <v>-303.02280000000002</v>
      </c>
      <c r="K5813">
        <v>1.102929</v>
      </c>
      <c r="L5813">
        <v>-9.0097349999999992</v>
      </c>
      <c r="M5813">
        <v>0.11401019999999901</v>
      </c>
      <c r="N5813">
        <v>0</v>
      </c>
      <c r="O5813">
        <v>-0.99347510000000006</v>
      </c>
      <c r="P5813">
        <v>0.11551309999999999</v>
      </c>
      <c r="Q5813">
        <v>2.0136629999999999E-2</v>
      </c>
      <c r="R5813">
        <v>-0.99310200000000004</v>
      </c>
      <c r="S5813">
        <v>-0.48919679999999999</v>
      </c>
      <c r="T5813">
        <v>-0.1252791</v>
      </c>
      <c r="U5813">
        <v>-3.0814819999999998</v>
      </c>
      <c r="V5813">
        <v>-1.4995519999999999E-3</v>
      </c>
      <c r="W5813">
        <v>2.315774E-2</v>
      </c>
      <c r="X5813">
        <v>0.99973069999999897</v>
      </c>
      <c r="Y5813">
        <v>0.26824530000000002</v>
      </c>
      <c r="Z5813">
        <v>3.9233709999999998E-2</v>
      </c>
      <c r="AA5813">
        <v>0.96255139999999995</v>
      </c>
      <c r="AB5813">
        <v>22</v>
      </c>
      <c r="AC5813">
        <v>-4.3318999999999601</v>
      </c>
      <c r="AD5813">
        <v>-1.10293272157</v>
      </c>
      <c r="AE5813">
        <v>-26.901105000000001</v>
      </c>
      <c r="AF5813">
        <v>7.3586110489885899</v>
      </c>
      <c r="AG5813">
        <v>-1.10293272157</v>
      </c>
      <c r="AH5813">
        <v>26.188904071521701</v>
      </c>
      <c r="AI5813">
        <v>92.321751247404407</v>
      </c>
      <c r="AJ5813">
        <v>74.3055920222113</v>
      </c>
      <c r="AK5813">
        <v>27.2254350493426</v>
      </c>
    </row>
    <row r="5814" spans="1:37" x14ac:dyDescent="0.2">
      <c r="A5814" t="str">
        <f>"20200111155710826"</f>
        <v>20200111155710826</v>
      </c>
      <c r="B5814" t="str">
        <f>"1578729430819181"</f>
        <v>1578729430819181</v>
      </c>
      <c r="C5814" t="s">
        <v>37</v>
      </c>
      <c r="D5814">
        <v>4.8239029999999996</v>
      </c>
      <c r="E5814">
        <v>0.60687880000000005</v>
      </c>
      <c r="F5814" t="s">
        <v>38</v>
      </c>
      <c r="G5814">
        <v>-307.47329999999999</v>
      </c>
      <c r="H5814" s="1">
        <v>-3.4710739999999998E-6</v>
      </c>
      <c r="I5814">
        <v>-36.708759999999998</v>
      </c>
      <c r="J5814">
        <v>-302.9984</v>
      </c>
      <c r="K5814">
        <v>1.1029389999999999</v>
      </c>
      <c r="L5814">
        <v>-9.231598</v>
      </c>
      <c r="M5814">
        <v>0.1129976</v>
      </c>
      <c r="N5814">
        <v>0</v>
      </c>
      <c r="O5814">
        <v>-0.993591</v>
      </c>
      <c r="P5814">
        <v>0.11404059999999901</v>
      </c>
      <c r="Q5814">
        <v>2.0958540000000001E-2</v>
      </c>
      <c r="R5814">
        <v>-0.9932552</v>
      </c>
      <c r="S5814">
        <v>-0.49502559999999901</v>
      </c>
      <c r="T5814">
        <v>-0.1226768</v>
      </c>
      <c r="U5814">
        <v>-3.080902</v>
      </c>
      <c r="V5814">
        <v>-1.0366500000000001E-3</v>
      </c>
      <c r="W5814">
        <v>2.3903310000000001E-2</v>
      </c>
      <c r="X5814">
        <v>0.99971369999999904</v>
      </c>
      <c r="Y5814">
        <v>0.26907239999999999</v>
      </c>
      <c r="Z5814">
        <v>3.8423810000000003E-2</v>
      </c>
      <c r="AA5814">
        <v>0.96235319999999902</v>
      </c>
      <c r="AB5814">
        <v>22</v>
      </c>
      <c r="AC5814">
        <v>-4.4748999999999901</v>
      </c>
      <c r="AD5814">
        <v>-1.1029424710739999</v>
      </c>
      <c r="AE5814">
        <v>-27.477162</v>
      </c>
      <c r="AF5814">
        <v>7.5392719366666103</v>
      </c>
      <c r="AG5814">
        <v>-1.1029424710739999</v>
      </c>
      <c r="AH5814">
        <v>26.753528595739301</v>
      </c>
      <c r="AI5814">
        <v>92.272336424651201</v>
      </c>
      <c r="AJ5814">
        <v>74.261910536747806</v>
      </c>
      <c r="AK5814">
        <v>27.8174117371215</v>
      </c>
    </row>
    <row r="5815" spans="1:37" x14ac:dyDescent="0.2">
      <c r="A5815" t="str">
        <f>"20200111155710847"</f>
        <v>20200111155710847</v>
      </c>
      <c r="B5815" t="str">
        <f>"1578729430838702"</f>
        <v>1578729430838702</v>
      </c>
      <c r="C5815" t="s">
        <v>37</v>
      </c>
      <c r="D5815">
        <v>4.8173639999999898</v>
      </c>
      <c r="E5815">
        <v>0.60695909999999997</v>
      </c>
      <c r="F5815" t="s">
        <v>38</v>
      </c>
      <c r="G5815">
        <v>-307.59690000000001</v>
      </c>
      <c r="H5815" s="1">
        <v>-3.2122459999999999E-6</v>
      </c>
      <c r="I5815">
        <v>-37.533740000000002</v>
      </c>
      <c r="J5815">
        <v>-302.9742</v>
      </c>
      <c r="K5815">
        <v>1.1029409999999999</v>
      </c>
      <c r="L5815">
        <v>-9.4539179999999998</v>
      </c>
      <c r="M5815">
        <v>0.11198469999999899</v>
      </c>
      <c r="N5815">
        <v>0</v>
      </c>
      <c r="O5815">
        <v>-0.99370579999999997</v>
      </c>
      <c r="P5815">
        <v>0.1134767</v>
      </c>
      <c r="Q5815">
        <v>2.1134730000000001E-2</v>
      </c>
      <c r="R5815">
        <v>-0.99331589999999903</v>
      </c>
      <c r="S5815">
        <v>-0.5004883</v>
      </c>
      <c r="T5815">
        <v>-0.1200422</v>
      </c>
      <c r="U5815">
        <v>-3.0803529999999899</v>
      </c>
      <c r="V5815">
        <v>-1.4885569999999999E-3</v>
      </c>
      <c r="W5815">
        <v>2.402963E-2</v>
      </c>
      <c r="X5815">
        <v>0.99971010000000005</v>
      </c>
      <c r="Y5815">
        <v>0.26978579999999902</v>
      </c>
      <c r="Z5815">
        <v>3.7604020000000002E-2</v>
      </c>
      <c r="AA5815">
        <v>0.96218590000000004</v>
      </c>
      <c r="AB5815">
        <v>23</v>
      </c>
      <c r="AC5815">
        <v>-4.6227</v>
      </c>
      <c r="AD5815">
        <v>-1.102944212246</v>
      </c>
      <c r="AE5815">
        <v>-28.079822</v>
      </c>
      <c r="AF5815">
        <v>7.7265398155518996</v>
      </c>
      <c r="AG5815">
        <v>-1.102944212246</v>
      </c>
      <c r="AH5815">
        <v>27.344448072989501</v>
      </c>
      <c r="AI5815">
        <v>92.222843718612197</v>
      </c>
      <c r="AJ5815">
        <v>74.221650804545803</v>
      </c>
      <c r="AK5815">
        <v>28.436503720975502</v>
      </c>
    </row>
    <row r="5816" spans="1:37" x14ac:dyDescent="0.2">
      <c r="A5816" t="str">
        <f>"20200111155710869"</f>
        <v>20200111155710869</v>
      </c>
      <c r="B5816" t="str">
        <f>"1578729430859198"</f>
        <v>1578729430859198</v>
      </c>
      <c r="C5816" t="s">
        <v>37</v>
      </c>
      <c r="D5816">
        <v>4.8592820000000003</v>
      </c>
      <c r="E5816">
        <v>0.60701359999999904</v>
      </c>
      <c r="F5816" t="s">
        <v>38</v>
      </c>
      <c r="G5816">
        <v>-307.6123</v>
      </c>
      <c r="H5816" s="1">
        <v>-3.0947589999999999E-6</v>
      </c>
      <c r="I5816">
        <v>-37.88702</v>
      </c>
      <c r="J5816">
        <v>-302.9502</v>
      </c>
      <c r="K5816">
        <v>1.10294</v>
      </c>
      <c r="L5816">
        <v>-9.6772770000000001</v>
      </c>
      <c r="M5816">
        <v>0.11096349999999899</v>
      </c>
      <c r="N5816">
        <v>0</v>
      </c>
      <c r="O5816">
        <v>-0.9938205</v>
      </c>
      <c r="P5816">
        <v>0.11324480000000001</v>
      </c>
      <c r="Q5816">
        <v>2.1236890000000001E-2</v>
      </c>
      <c r="R5816">
        <v>-0.99334049999999996</v>
      </c>
      <c r="S5816">
        <v>-0.50244140000000004</v>
      </c>
      <c r="T5816">
        <v>-0.1194812</v>
      </c>
      <c r="U5816">
        <v>-3.080139</v>
      </c>
      <c r="V5816">
        <v>-2.2817800000000002E-3</v>
      </c>
      <c r="W5816">
        <v>2.411114E-2</v>
      </c>
      <c r="X5816">
        <v>0.99970669999999995</v>
      </c>
      <c r="Y5816">
        <v>0.26940219999999998</v>
      </c>
      <c r="Z5816">
        <v>3.7437909999999998E-2</v>
      </c>
      <c r="AA5816">
        <v>0.96229979999999904</v>
      </c>
      <c r="AB5816">
        <v>23</v>
      </c>
      <c r="AC5816">
        <v>-4.6620999999999997</v>
      </c>
      <c r="AD5816">
        <v>-1.102943094759</v>
      </c>
      <c r="AE5816">
        <v>-28.209743</v>
      </c>
      <c r="AF5816">
        <v>7.7520380014130099</v>
      </c>
      <c r="AG5816">
        <v>-1.102943094759</v>
      </c>
      <c r="AH5816">
        <v>27.477320394788102</v>
      </c>
      <c r="AI5816">
        <v>92.2123565314877</v>
      </c>
      <c r="AJ5816">
        <v>74.244915894037106</v>
      </c>
      <c r="AK5816">
        <v>28.571204257494401</v>
      </c>
    </row>
    <row r="5817" spans="1:37" x14ac:dyDescent="0.2">
      <c r="A5817" t="str">
        <f>"20200111155710892"</f>
        <v>20200111155710892</v>
      </c>
      <c r="B5817" t="str">
        <f>"1578729430889453"</f>
        <v>1578729430889453</v>
      </c>
      <c r="C5817" t="s">
        <v>37</v>
      </c>
      <c r="D5817">
        <v>4.6690239999999896</v>
      </c>
      <c r="E5817">
        <v>0.60698940000000001</v>
      </c>
      <c r="F5817" t="s">
        <v>38</v>
      </c>
      <c r="G5817">
        <v>-307.62759999999997</v>
      </c>
      <c r="H5817" s="1">
        <v>-2.9438609999999999E-6</v>
      </c>
      <c r="I5817">
        <v>-38.279499999999999</v>
      </c>
      <c r="J5817">
        <v>-302.92559999999997</v>
      </c>
      <c r="K5817">
        <v>1.1029359999999999</v>
      </c>
      <c r="L5817">
        <v>-9.9080509999999897</v>
      </c>
      <c r="M5817">
        <v>0.1098978</v>
      </c>
      <c r="N5817">
        <v>0</v>
      </c>
      <c r="O5817">
        <v>-0.99393899999999902</v>
      </c>
      <c r="P5817">
        <v>0.1140465</v>
      </c>
      <c r="Q5817">
        <v>2.1588240000000002E-2</v>
      </c>
      <c r="R5817">
        <v>-0.99324100000000004</v>
      </c>
      <c r="S5817">
        <v>-0.50369259999999905</v>
      </c>
      <c r="T5817">
        <v>-0.1187723</v>
      </c>
      <c r="U5817">
        <v>-3.0800779999999999</v>
      </c>
      <c r="V5817">
        <v>-4.1603999999999999E-3</v>
      </c>
      <c r="W5817">
        <v>2.4476299999999999E-2</v>
      </c>
      <c r="X5817">
        <v>0.99969169999999996</v>
      </c>
      <c r="Y5817">
        <v>0.26875470000000001</v>
      </c>
      <c r="Z5817">
        <v>3.7225910000000001E-2</v>
      </c>
      <c r="AA5817">
        <v>0.96248899999999904</v>
      </c>
      <c r="AB5817">
        <v>23</v>
      </c>
      <c r="AC5817">
        <v>-4.7019999999999902</v>
      </c>
      <c r="AD5817">
        <v>-1.102938943861</v>
      </c>
      <c r="AE5817">
        <v>-28.371448999999998</v>
      </c>
      <c r="AF5817">
        <v>7.7800477650258104</v>
      </c>
      <c r="AG5817">
        <v>-1.102938943861</v>
      </c>
      <c r="AH5817">
        <v>27.642199402358099</v>
      </c>
      <c r="AI5817">
        <v>92.199549120990696</v>
      </c>
      <c r="AJ5817">
        <v>74.280454040433099</v>
      </c>
      <c r="AK5817">
        <v>28.737376451925702</v>
      </c>
    </row>
    <row r="5818" spans="1:37" x14ac:dyDescent="0.2">
      <c r="A5818" t="str">
        <f>"20200111155710914"</f>
        <v>20200111155710914</v>
      </c>
      <c r="B5818" t="str">
        <f>"1578729430908974"</f>
        <v>1578729430908974</v>
      </c>
      <c r="C5818" t="s">
        <v>37</v>
      </c>
      <c r="D5818">
        <v>4.9458260000000003</v>
      </c>
      <c r="E5818">
        <v>0.52167339999999995</v>
      </c>
      <c r="F5818" t="s">
        <v>38</v>
      </c>
      <c r="G5818">
        <v>-307.56</v>
      </c>
      <c r="H5818" s="1">
        <v>-2.8726700000000001E-6</v>
      </c>
      <c r="I5818">
        <v>-38.403529999999897</v>
      </c>
      <c r="J5818">
        <v>-302.90120000000002</v>
      </c>
      <c r="K5818">
        <v>1.10293</v>
      </c>
      <c r="L5818">
        <v>-10.13861</v>
      </c>
      <c r="M5818">
        <v>0.1088133</v>
      </c>
      <c r="N5818">
        <v>0</v>
      </c>
      <c r="O5818">
        <v>-0.994058</v>
      </c>
      <c r="P5818">
        <v>0.115099299999999</v>
      </c>
      <c r="Q5818">
        <v>2.1149370000000001E-2</v>
      </c>
      <c r="R5818">
        <v>-0.99312900000000004</v>
      </c>
      <c r="S5818">
        <v>-0.50100710000000004</v>
      </c>
      <c r="T5818">
        <v>-0.1192344</v>
      </c>
      <c r="U5818">
        <v>-3.0805359999999999</v>
      </c>
      <c r="V5818">
        <v>-6.3093689999999996E-3</v>
      </c>
      <c r="W5818">
        <v>2.4088740000000001E-2</v>
      </c>
      <c r="X5818">
        <v>0.99968989999999902</v>
      </c>
      <c r="Y5818">
        <v>0.26686219999999999</v>
      </c>
      <c r="Z5818">
        <v>3.73847E-2</v>
      </c>
      <c r="AA5818">
        <v>0.96300929999999996</v>
      </c>
      <c r="AB5818">
        <v>23</v>
      </c>
      <c r="AC5818">
        <v>-4.6587999999999798</v>
      </c>
      <c r="AD5818">
        <v>-1.1029328726700001</v>
      </c>
      <c r="AE5818">
        <v>-28.26492</v>
      </c>
      <c r="AF5818">
        <v>7.6953413718508701</v>
      </c>
      <c r="AG5818">
        <v>-1.1029328726700001</v>
      </c>
      <c r="AH5818">
        <v>27.5493070420086</v>
      </c>
      <c r="AI5818">
        <v>92.208164883180999</v>
      </c>
      <c r="AJ5818">
        <v>74.393369736419302</v>
      </c>
      <c r="AK5818">
        <v>28.625147305224498</v>
      </c>
    </row>
    <row r="5819" spans="1:37" x14ac:dyDescent="0.2">
      <c r="A5819" t="str">
        <f>"20200111155710936"</f>
        <v>20200111155710936</v>
      </c>
      <c r="B5819" t="str">
        <f>"1578729430928493"</f>
        <v>1578729430928493</v>
      </c>
      <c r="C5819" t="s">
        <v>37</v>
      </c>
      <c r="D5819">
        <v>5.0541309999999999</v>
      </c>
      <c r="E5819">
        <v>0.45119179999999998</v>
      </c>
      <c r="F5819" t="s">
        <v>94</v>
      </c>
      <c r="G5819">
        <v>-298.23579999999998</v>
      </c>
      <c r="H5819">
        <v>4.552797</v>
      </c>
      <c r="I5819">
        <v>-91.564989999999995</v>
      </c>
      <c r="J5819">
        <v>-302.87720000000002</v>
      </c>
      <c r="K5819">
        <v>1.10291299999999</v>
      </c>
      <c r="L5819">
        <v>-10.369450000000001</v>
      </c>
      <c r="M5819">
        <v>0.10769669999999899</v>
      </c>
      <c r="N5819">
        <v>0</v>
      </c>
      <c r="O5819">
        <v>-0.99417939999999905</v>
      </c>
      <c r="P5819">
        <v>0.11604059999999999</v>
      </c>
      <c r="Q5819">
        <v>2.0110610000000001E-2</v>
      </c>
      <c r="R5819">
        <v>-0.99304130000000002</v>
      </c>
      <c r="S5819">
        <v>0.171783399999999</v>
      </c>
      <c r="T5819">
        <v>0.12702539999999901</v>
      </c>
      <c r="U5819">
        <v>-2.998138</v>
      </c>
      <c r="V5819">
        <v>-8.3774219999999903E-3</v>
      </c>
      <c r="W5819">
        <v>2.3138189999999999E-2</v>
      </c>
      <c r="X5819">
        <v>0.99969710000000001</v>
      </c>
      <c r="Y5819">
        <v>5.0701070000000001E-2</v>
      </c>
      <c r="Z5819">
        <v>-4.1899829999999999E-2</v>
      </c>
      <c r="AA5819">
        <v>0.99783459999999902</v>
      </c>
      <c r="AB5819">
        <v>23</v>
      </c>
      <c r="AC5819">
        <v>4.6414000000000302</v>
      </c>
      <c r="AD5819">
        <v>3.4498839999999902</v>
      </c>
      <c r="AE5819">
        <v>-81.195539999999994</v>
      </c>
      <c r="AF5819">
        <v>4.1227070960381704</v>
      </c>
      <c r="AG5819">
        <v>3.4498839999999902</v>
      </c>
      <c r="AH5819">
        <v>81.077261243827294</v>
      </c>
      <c r="AI5819">
        <v>87.566641524534106</v>
      </c>
      <c r="AJ5819">
        <v>87.0890673770771</v>
      </c>
      <c r="AK5819">
        <v>81.255281085065405</v>
      </c>
    </row>
    <row r="5820" spans="1:37" x14ac:dyDescent="0.2">
      <c r="A5820" t="str">
        <f>"20200111155710959"</f>
        <v>20200111155710959</v>
      </c>
      <c r="B5820" t="str">
        <f>"1578729430948989"</f>
        <v>1578729430948989</v>
      </c>
      <c r="C5820" t="s">
        <v>37</v>
      </c>
      <c r="D5820">
        <v>4.8431879999999996</v>
      </c>
      <c r="E5820">
        <v>0.42787700000000001</v>
      </c>
      <c r="F5820" t="s">
        <v>94</v>
      </c>
      <c r="G5820">
        <v>-285.2885</v>
      </c>
      <c r="H5820">
        <v>1.133135</v>
      </c>
      <c r="I5820">
        <v>-80.464519999999993</v>
      </c>
      <c r="J5820">
        <v>-302.85309999999998</v>
      </c>
      <c r="K5820">
        <v>1.1028879999999901</v>
      </c>
      <c r="L5820">
        <v>-10.60303</v>
      </c>
      <c r="M5820">
        <v>0.1065202</v>
      </c>
      <c r="N5820">
        <v>0</v>
      </c>
      <c r="O5820">
        <v>-0.99430549999999995</v>
      </c>
      <c r="P5820">
        <v>0.11767370000000001</v>
      </c>
      <c r="Q5820">
        <v>1.931424E-2</v>
      </c>
      <c r="R5820">
        <v>-0.99286450000000004</v>
      </c>
      <c r="S5820">
        <v>0.73645019999999894</v>
      </c>
      <c r="T5820">
        <v>1.265883E-3</v>
      </c>
      <c r="U5820">
        <v>-2.9349369999999899</v>
      </c>
      <c r="V5820">
        <v>-1.120196E-2</v>
      </c>
      <c r="W5820">
        <v>2.2471749999999999E-2</v>
      </c>
      <c r="X5820">
        <v>0.99968469999999998</v>
      </c>
      <c r="Y5820">
        <v>-0.13867779999999999</v>
      </c>
      <c r="Z5820">
        <v>-4.19070999999999E-4</v>
      </c>
      <c r="AA5820">
        <v>0.99033740000000003</v>
      </c>
      <c r="AB5820">
        <v>23</v>
      </c>
      <c r="AC5820">
        <v>17.564599999999899</v>
      </c>
      <c r="AD5820">
        <v>3.02470000000001E-2</v>
      </c>
      <c r="AE5820">
        <v>-69.861489999999904</v>
      </c>
      <c r="AF5820">
        <v>-10.0229669445888</v>
      </c>
      <c r="AG5820">
        <v>3.02470000000001E-2</v>
      </c>
      <c r="AH5820">
        <v>71.334993250481503</v>
      </c>
      <c r="AI5820">
        <v>89.975942130095703</v>
      </c>
      <c r="AJ5820">
        <v>97.998021015304104</v>
      </c>
      <c r="AK5820">
        <v>72.035699783507098</v>
      </c>
    </row>
    <row r="5821" spans="1:37" x14ac:dyDescent="0.2">
      <c r="A5821" t="str">
        <f>"20200111155710981"</f>
        <v>20200111155710981</v>
      </c>
      <c r="B5821" t="str">
        <f>"1578729430979245"</f>
        <v>1578729430979245</v>
      </c>
      <c r="C5821" t="s">
        <v>37</v>
      </c>
      <c r="D5821">
        <v>4.853777</v>
      </c>
      <c r="E5821">
        <v>0.41832219999999998</v>
      </c>
      <c r="F5821" t="s">
        <v>75</v>
      </c>
      <c r="G5821">
        <v>-283.82209999999998</v>
      </c>
      <c r="H5821">
        <v>1.3489640000000001E-2</v>
      </c>
      <c r="I5821">
        <v>-70.383750000000006</v>
      </c>
      <c r="J5821">
        <v>-302.82920000000001</v>
      </c>
      <c r="K5821">
        <v>1.1028610000000001</v>
      </c>
      <c r="L5821">
        <v>-10.83905</v>
      </c>
      <c r="M5821">
        <v>0.10526339999999999</v>
      </c>
      <c r="N5821">
        <v>0</v>
      </c>
      <c r="O5821">
        <v>-0.99443890000000001</v>
      </c>
      <c r="P5821">
        <v>0.1190953</v>
      </c>
      <c r="Q5821">
        <v>1.8219679999999999E-2</v>
      </c>
      <c r="R5821">
        <v>-0.99271580000000004</v>
      </c>
      <c r="S5821">
        <v>0.92724609999999996</v>
      </c>
      <c r="T5821">
        <v>-5.3078649999999998E-2</v>
      </c>
      <c r="U5821">
        <v>-2.9126889999999999</v>
      </c>
      <c r="V5821">
        <v>-1.389405E-2</v>
      </c>
      <c r="W5821">
        <v>2.1545959999999999E-2</v>
      </c>
      <c r="X5821">
        <v>0.99967129999999904</v>
      </c>
      <c r="Y5821">
        <v>-0.20131109999999999</v>
      </c>
      <c r="Z5821">
        <v>1.7451390000000001E-2</v>
      </c>
      <c r="AA5821">
        <v>0.97937189999999996</v>
      </c>
      <c r="AB5821">
        <v>23</v>
      </c>
      <c r="AC5821">
        <v>19.007100000000001</v>
      </c>
      <c r="AD5821">
        <v>-1.0893713599999999</v>
      </c>
      <c r="AE5821">
        <v>-59.544699999999999</v>
      </c>
      <c r="AF5821">
        <v>-12.629754462196299</v>
      </c>
      <c r="AG5821">
        <v>-1.0893713599999999</v>
      </c>
      <c r="AH5821">
        <v>61.196062551434402</v>
      </c>
      <c r="AI5821">
        <v>90.998788687464199</v>
      </c>
      <c r="AJ5821">
        <v>101.66108467703</v>
      </c>
      <c r="AK5821">
        <v>62.495243815305102</v>
      </c>
    </row>
    <row r="5822" spans="1:37" x14ac:dyDescent="0.2">
      <c r="A5822" t="str">
        <f>"20200111155711003"</f>
        <v>20200111155711003</v>
      </c>
      <c r="B5822" t="str">
        <f>"1578729430998765"</f>
        <v>1578729430998765</v>
      </c>
      <c r="C5822" t="s">
        <v>37</v>
      </c>
      <c r="D5822">
        <v>4.8206030000000002</v>
      </c>
      <c r="E5822">
        <v>0.4157805</v>
      </c>
      <c r="F5822" t="s">
        <v>38</v>
      </c>
      <c r="G5822">
        <v>-293.74560000000002</v>
      </c>
      <c r="H5822" s="1">
        <v>-2.8067889999999999E-6</v>
      </c>
      <c r="I5822">
        <v>-36.994199999999999</v>
      </c>
      <c r="J5822">
        <v>-302.80509999999998</v>
      </c>
      <c r="K5822">
        <v>1.1028279999999999</v>
      </c>
      <c r="L5822">
        <v>-11.08038</v>
      </c>
      <c r="M5822">
        <v>0.1039122</v>
      </c>
      <c r="N5822">
        <v>0</v>
      </c>
      <c r="O5822">
        <v>-0.99458060000000004</v>
      </c>
      <c r="P5822">
        <v>0.1200065</v>
      </c>
      <c r="Q5822">
        <v>1.7376630000000001E-2</v>
      </c>
      <c r="R5822">
        <v>-0.99262159999999999</v>
      </c>
      <c r="S5822">
        <v>1.0083009999999999</v>
      </c>
      <c r="T5822">
        <v>-0.1224208</v>
      </c>
      <c r="U5822">
        <v>-2.9032900000000001</v>
      </c>
      <c r="V5822">
        <v>-1.6166570000000002E-2</v>
      </c>
      <c r="W5822">
        <v>2.0890929999999999E-2</v>
      </c>
      <c r="X5822">
        <v>0.99965110000000001</v>
      </c>
      <c r="Y5822">
        <v>-0.22787260000000001</v>
      </c>
      <c r="Z5822">
        <v>4.0063269999999998E-2</v>
      </c>
      <c r="AA5822">
        <v>0.97286640000000002</v>
      </c>
      <c r="AB5822">
        <v>24</v>
      </c>
      <c r="AC5822">
        <v>9.0594999999999501</v>
      </c>
      <c r="AD5822">
        <v>-1.102830806789</v>
      </c>
      <c r="AE5822">
        <v>-25.913820000000001</v>
      </c>
      <c r="AF5822">
        <v>-6.3074981402782599</v>
      </c>
      <c r="AG5822">
        <v>-1.102830806789</v>
      </c>
      <c r="AH5822">
        <v>26.6718855515992</v>
      </c>
      <c r="AI5822">
        <v>92.304236322237998</v>
      </c>
      <c r="AJ5822">
        <v>103.305150325407</v>
      </c>
      <c r="AK5822">
        <v>27.429732908937002</v>
      </c>
    </row>
    <row r="5823" spans="1:37" x14ac:dyDescent="0.2">
      <c r="A5823" t="str">
        <f>"20200111155711027"</f>
        <v>20200111155711027</v>
      </c>
      <c r="B5823" t="str">
        <f>"1578729431019221"</f>
        <v>1578729431019221</v>
      </c>
      <c r="C5823" t="s">
        <v>37</v>
      </c>
      <c r="D5823">
        <v>4.8633730000000002</v>
      </c>
      <c r="E5823">
        <v>0.41414770000000001</v>
      </c>
      <c r="F5823" t="s">
        <v>38</v>
      </c>
      <c r="G5823">
        <v>-294.78629999999998</v>
      </c>
      <c r="H5823" s="1">
        <v>-3.8166930000000003E-6</v>
      </c>
      <c r="I5823">
        <v>-33.626190000000001</v>
      </c>
      <c r="J5823">
        <v>-302.7817</v>
      </c>
      <c r="K5823">
        <v>1.1027819999999999</v>
      </c>
      <c r="L5823">
        <v>-11.31903</v>
      </c>
      <c r="M5823">
        <v>0.10249510000000001</v>
      </c>
      <c r="N5823">
        <v>0</v>
      </c>
      <c r="O5823">
        <v>-0.99472689999999997</v>
      </c>
      <c r="P5823">
        <v>0.1202286</v>
      </c>
      <c r="Q5823">
        <v>1.6211139999999999E-2</v>
      </c>
      <c r="R5823">
        <v>-0.9926142</v>
      </c>
      <c r="S5823">
        <v>1.0314639999999999</v>
      </c>
      <c r="T5823">
        <v>-0.14185809999999999</v>
      </c>
      <c r="U5823">
        <v>-2.9000849999999998</v>
      </c>
      <c r="V5823">
        <v>-1.7811420000000001E-2</v>
      </c>
      <c r="W5823">
        <v>1.992172E-2</v>
      </c>
      <c r="X5823">
        <v>0.99964279999999905</v>
      </c>
      <c r="Y5823">
        <v>-0.23640739999999999</v>
      </c>
      <c r="Z5823">
        <v>4.6362E-2</v>
      </c>
      <c r="AA5823">
        <v>0.9705473</v>
      </c>
      <c r="AB5823">
        <v>24</v>
      </c>
      <c r="AC5823">
        <v>7.9954000000000098</v>
      </c>
      <c r="AD5823">
        <v>-1.102785816693</v>
      </c>
      <c r="AE5823">
        <v>-22.30716</v>
      </c>
      <c r="AF5823">
        <v>-5.6546556446163798</v>
      </c>
      <c r="AG5823">
        <v>-1.102785816693</v>
      </c>
      <c r="AH5823">
        <v>22.959448677551102</v>
      </c>
      <c r="AI5823">
        <v>92.670238418469296</v>
      </c>
      <c r="AJ5823">
        <v>103.835942650768</v>
      </c>
      <c r="AK5823">
        <v>23.671238890133999</v>
      </c>
    </row>
    <row r="5824" spans="1:37" x14ac:dyDescent="0.2">
      <c r="A5824" t="str">
        <f>"20200111155711049"</f>
        <v>20200111155711049</v>
      </c>
      <c r="B5824" t="str">
        <f>"1578729431038741"</f>
        <v>1578729431038741</v>
      </c>
      <c r="C5824" t="s">
        <v>37</v>
      </c>
      <c r="D5824">
        <v>4.8401899999999998</v>
      </c>
      <c r="E5824">
        <v>0.41301329999999897</v>
      </c>
      <c r="F5824" t="s">
        <v>38</v>
      </c>
      <c r="G5824">
        <v>-295.62439999999998</v>
      </c>
      <c r="H5824" s="1">
        <v>-4.7235910000000004E-6</v>
      </c>
      <c r="I5824">
        <v>-31.16564</v>
      </c>
      <c r="J5824">
        <v>-302.75940000000003</v>
      </c>
      <c r="K5824">
        <v>1.1027279999999999</v>
      </c>
      <c r="L5824">
        <v>-11.550380000000001</v>
      </c>
      <c r="M5824">
        <v>0.1010202</v>
      </c>
      <c r="N5824">
        <v>0</v>
      </c>
      <c r="O5824">
        <v>-0.99487700000000001</v>
      </c>
      <c r="P5824">
        <v>0.121081199999999</v>
      </c>
      <c r="Q5824">
        <v>1.6280799999999901E-2</v>
      </c>
      <c r="R5824">
        <v>-0.99250919999999898</v>
      </c>
      <c r="S5824">
        <v>1.0452269999999999</v>
      </c>
      <c r="T5824">
        <v>-0.161048</v>
      </c>
      <c r="U5824">
        <v>-2.8983460000000001</v>
      </c>
      <c r="V5824">
        <v>-2.0148349999999999E-2</v>
      </c>
      <c r="W5824">
        <v>2.01967999999999E-2</v>
      </c>
      <c r="X5824">
        <v>0.99959299999999995</v>
      </c>
      <c r="Y5824">
        <v>-0.24200769999999999</v>
      </c>
      <c r="Z5824">
        <v>5.2580639999999998E-2</v>
      </c>
      <c r="AA5824">
        <v>0.96884859999999995</v>
      </c>
      <c r="AB5824">
        <v>24</v>
      </c>
      <c r="AC5824">
        <v>7.1350000000000398</v>
      </c>
      <c r="AD5824">
        <v>-1.1027327235910001</v>
      </c>
      <c r="AE5824">
        <v>-19.615259999999999</v>
      </c>
      <c r="AF5824">
        <v>-5.1027049357716496</v>
      </c>
      <c r="AG5824">
        <v>-1.1027327235910001</v>
      </c>
      <c r="AH5824">
        <v>20.179374565964199</v>
      </c>
      <c r="AI5824">
        <v>93.032636859147004</v>
      </c>
      <c r="AJ5824">
        <v>104.190761858638</v>
      </c>
      <c r="AK5824">
        <v>20.843722676017101</v>
      </c>
    </row>
    <row r="5825" spans="1:37" x14ac:dyDescent="0.2">
      <c r="A5825" t="str">
        <f>"20200111155711070"</f>
        <v>20200111155711070</v>
      </c>
      <c r="B5825" t="str">
        <f>"1578729431059238"</f>
        <v>1578729431059238</v>
      </c>
      <c r="C5825" t="s">
        <v>37</v>
      </c>
      <c r="D5825">
        <v>4.7850820000000001</v>
      </c>
      <c r="E5825">
        <v>0.41179559999999998</v>
      </c>
      <c r="F5825" t="s">
        <v>38</v>
      </c>
      <c r="G5825">
        <v>-295.89789999999999</v>
      </c>
      <c r="H5825" s="1">
        <v>-1.0879739999999999E-6</v>
      </c>
      <c r="I5825">
        <v>-30.36214</v>
      </c>
      <c r="J5825">
        <v>-302.73649999999998</v>
      </c>
      <c r="K5825">
        <v>1.102657</v>
      </c>
      <c r="L5825">
        <v>-11.792630000000001</v>
      </c>
      <c r="M5825">
        <v>9.934817E-2</v>
      </c>
      <c r="N5825">
        <v>0</v>
      </c>
      <c r="O5825">
        <v>-0.9950445</v>
      </c>
      <c r="P5825">
        <v>0.121743899999999</v>
      </c>
      <c r="Q5825">
        <v>1.6519610000000001E-2</v>
      </c>
      <c r="R5825">
        <v>-0.99242439999999998</v>
      </c>
      <c r="S5825">
        <v>1.0564879999999901</v>
      </c>
      <c r="T5825">
        <v>-0.1697931</v>
      </c>
      <c r="U5825">
        <v>-2.8965450000000001</v>
      </c>
      <c r="V5825">
        <v>-2.2490299999999901E-2</v>
      </c>
      <c r="W5825">
        <v>2.0661140000000001E-2</v>
      </c>
      <c r="X5825">
        <v>0.99953349999999996</v>
      </c>
      <c r="Y5825">
        <v>-0.24710309999999999</v>
      </c>
      <c r="Z5825">
        <v>5.5401550000000001E-2</v>
      </c>
      <c r="AA5825">
        <v>0.96740409999999899</v>
      </c>
      <c r="AB5825">
        <v>24</v>
      </c>
      <c r="AC5825">
        <v>6.83859999999998</v>
      </c>
      <c r="AD5825">
        <v>-1.102658087974</v>
      </c>
      <c r="AE5825">
        <v>-18.569510000000001</v>
      </c>
      <c r="AF5825">
        <v>-4.9445528057588701</v>
      </c>
      <c r="AG5825">
        <v>-1.102658087974</v>
      </c>
      <c r="AH5825">
        <v>19.097751648488</v>
      </c>
      <c r="AI5825">
        <v>93.199194473869596</v>
      </c>
      <c r="AJ5825">
        <v>104.51557320369</v>
      </c>
      <c r="AK5825">
        <v>19.758253347278401</v>
      </c>
    </row>
    <row r="5826" spans="1:37" x14ac:dyDescent="0.2">
      <c r="A5826" t="str">
        <f>"20200111155711093"</f>
        <v>20200111155711093</v>
      </c>
      <c r="B5826" t="str">
        <f>"1578729431088516"</f>
        <v>1578729431088516</v>
      </c>
      <c r="C5826" t="s">
        <v>37</v>
      </c>
      <c r="D5826">
        <v>4.8424019999999999</v>
      </c>
      <c r="E5826">
        <v>0.41054970000000002</v>
      </c>
      <c r="F5826" t="s">
        <v>38</v>
      </c>
      <c r="G5826">
        <v>-295.9409</v>
      </c>
      <c r="H5826" s="1">
        <v>-1.126923E-6</v>
      </c>
      <c r="I5826">
        <v>-30.21407</v>
      </c>
      <c r="J5826">
        <v>-302.71379999999999</v>
      </c>
      <c r="K5826">
        <v>1.1025700000000001</v>
      </c>
      <c r="L5826">
        <v>-12.03922</v>
      </c>
      <c r="M5826">
        <v>9.7495239999999997E-2</v>
      </c>
      <c r="N5826">
        <v>0</v>
      </c>
      <c r="O5826">
        <v>-0.99522699999999997</v>
      </c>
      <c r="P5826">
        <v>0.121959</v>
      </c>
      <c r="Q5826">
        <v>1.6363869999999999E-2</v>
      </c>
      <c r="R5826">
        <v>-0.99240049999999902</v>
      </c>
      <c r="S5826">
        <v>1.067871</v>
      </c>
      <c r="T5826">
        <v>-0.1732736</v>
      </c>
      <c r="U5826">
        <v>-2.8947750000000001</v>
      </c>
      <c r="V5826">
        <v>-2.456206E-2</v>
      </c>
      <c r="W5826">
        <v>2.0735509999999999E-2</v>
      </c>
      <c r="X5826">
        <v>0.99948320000000002</v>
      </c>
      <c r="Y5826">
        <v>-0.25242500000000001</v>
      </c>
      <c r="Z5826">
        <v>5.650496E-2</v>
      </c>
      <c r="AA5826">
        <v>0.96596519999999997</v>
      </c>
      <c r="AB5826">
        <v>24</v>
      </c>
      <c r="AC5826">
        <v>6.7728999999999902</v>
      </c>
      <c r="AD5826">
        <v>-1.1025711269230001</v>
      </c>
      <c r="AE5826">
        <v>-18.174849999999999</v>
      </c>
      <c r="AF5826">
        <v>-4.9526517979973699</v>
      </c>
      <c r="AG5826">
        <v>-1.1025711269230001</v>
      </c>
      <c r="AH5826">
        <v>18.688204713475599</v>
      </c>
      <c r="AI5826">
        <v>93.264016576725098</v>
      </c>
      <c r="AJ5826">
        <v>104.84302215087899</v>
      </c>
      <c r="AK5826">
        <v>19.364746792429301</v>
      </c>
    </row>
    <row r="5827" spans="1:37" x14ac:dyDescent="0.2">
      <c r="A5827" t="str">
        <f>"20200111155711115"</f>
        <v>20200111155711115</v>
      </c>
      <c r="B5827" t="str">
        <f>"1578729431109013"</f>
        <v>1578729431109013</v>
      </c>
      <c r="C5827" t="s">
        <v>37</v>
      </c>
      <c r="D5827">
        <v>4.7844809999999898</v>
      </c>
      <c r="E5827">
        <v>0.4096149</v>
      </c>
      <c r="F5827" t="s">
        <v>38</v>
      </c>
      <c r="G5827">
        <v>-296.09070000000003</v>
      </c>
      <c r="H5827" s="1">
        <v>-1.2222529999999999E-6</v>
      </c>
      <c r="I5827">
        <v>-29.816849999999999</v>
      </c>
      <c r="J5827">
        <v>-302.6925</v>
      </c>
      <c r="K5827">
        <v>1.1024670000000001</v>
      </c>
      <c r="L5827">
        <v>-12.277189999999999</v>
      </c>
      <c r="M5827">
        <v>9.5549049999999996E-2</v>
      </c>
      <c r="N5827">
        <v>0</v>
      </c>
      <c r="O5827">
        <v>-0.99541469999999899</v>
      </c>
      <c r="P5827">
        <v>0.1219046</v>
      </c>
      <c r="Q5827">
        <v>1.7134429999999999E-2</v>
      </c>
      <c r="R5827">
        <v>-0.99239429999999995</v>
      </c>
      <c r="S5827">
        <v>1.0779719999999999</v>
      </c>
      <c r="T5827">
        <v>-0.1794529</v>
      </c>
      <c r="U5827">
        <v>-2.8934630000000001</v>
      </c>
      <c r="V5827">
        <v>-2.6453529999999999E-2</v>
      </c>
      <c r="W5827">
        <v>2.1721859999999999E-2</v>
      </c>
      <c r="X5827">
        <v>0.99941399999999903</v>
      </c>
      <c r="Y5827">
        <v>-0.25738049999999901</v>
      </c>
      <c r="Z5827">
        <v>5.8481239999999997E-2</v>
      </c>
      <c r="AA5827">
        <v>0.96453889999999998</v>
      </c>
      <c r="AB5827">
        <v>24</v>
      </c>
      <c r="AC5827">
        <v>6.6017999999999599</v>
      </c>
      <c r="AD5827">
        <v>-1.102468222253</v>
      </c>
      <c r="AE5827">
        <v>-17.539659999999898</v>
      </c>
      <c r="AF5827">
        <v>-4.8787963044081497</v>
      </c>
      <c r="AG5827">
        <v>-1.102468222253</v>
      </c>
      <c r="AH5827">
        <v>18.027824904242799</v>
      </c>
      <c r="AI5827">
        <v>93.3782641238639</v>
      </c>
      <c r="AJ5827">
        <v>105.14299451312399</v>
      </c>
      <c r="AK5827">
        <v>18.708836423974098</v>
      </c>
    </row>
    <row r="5828" spans="1:37" x14ac:dyDescent="0.2">
      <c r="A5828" t="str">
        <f>"20200111155711137"</f>
        <v>20200111155711137</v>
      </c>
      <c r="B5828" t="str">
        <f>"1578729431128544"</f>
        <v>1578729431128544</v>
      </c>
      <c r="C5828" t="s">
        <v>37</v>
      </c>
      <c r="D5828">
        <v>3.883829</v>
      </c>
      <c r="E5828">
        <v>0.40916419999999998</v>
      </c>
      <c r="F5828" t="s">
        <v>38</v>
      </c>
      <c r="G5828">
        <v>-295.988</v>
      </c>
      <c r="H5828" s="1">
        <v>-1.1349299999999999E-6</v>
      </c>
      <c r="I5828">
        <v>-30.153749999999999</v>
      </c>
      <c r="J5828">
        <v>-302.67169999999999</v>
      </c>
      <c r="K5828">
        <v>1.102355</v>
      </c>
      <c r="L5828">
        <v>-12.517489999999899</v>
      </c>
      <c r="M5828">
        <v>9.342106E-2</v>
      </c>
      <c r="N5828">
        <v>0</v>
      </c>
      <c r="O5828">
        <v>-0.9956159</v>
      </c>
      <c r="P5828">
        <v>0.12110599999999901</v>
      </c>
      <c r="Q5828">
        <v>1.769826E-2</v>
      </c>
      <c r="R5828">
        <v>-0.99248210000000003</v>
      </c>
      <c r="S5828">
        <v>1.0849299999999999</v>
      </c>
      <c r="T5828">
        <v>-0.1784019</v>
      </c>
      <c r="U5828">
        <v>-2.892792</v>
      </c>
      <c r="V5828">
        <v>-2.7776909999999998E-2</v>
      </c>
      <c r="W5828">
        <v>2.2492249999999998E-2</v>
      </c>
      <c r="X5828">
        <v>0.99936100000000005</v>
      </c>
      <c r="Y5828">
        <v>-0.26155970000000001</v>
      </c>
      <c r="Z5828">
        <v>5.8113379999999999E-2</v>
      </c>
      <c r="AA5828">
        <v>0.96343619999999996</v>
      </c>
      <c r="AB5828">
        <v>24</v>
      </c>
      <c r="AC5828">
        <v>6.6836999999999804</v>
      </c>
      <c r="AD5828">
        <v>-1.10235613493</v>
      </c>
      <c r="AE5828">
        <v>-17.63626</v>
      </c>
      <c r="AF5828">
        <v>-4.98980729510905</v>
      </c>
      <c r="AG5828">
        <v>-1.10235613493</v>
      </c>
      <c r="AH5828">
        <v>18.121626725650898</v>
      </c>
      <c r="AI5828">
        <v>93.356454360654496</v>
      </c>
      <c r="AJ5828">
        <v>105.394944247712</v>
      </c>
      <c r="AK5828">
        <v>18.828348867448899</v>
      </c>
    </row>
    <row r="5829" spans="1:37" x14ac:dyDescent="0.2">
      <c r="A5829" t="str">
        <f>"20200111155711160"</f>
        <v>20200111155711160</v>
      </c>
      <c r="B5829" t="str">
        <f>"1578729431149040"</f>
        <v>1578729431149040</v>
      </c>
      <c r="C5829" t="s">
        <v>37</v>
      </c>
      <c r="D5829">
        <v>3.8946699999999899</v>
      </c>
      <c r="E5829">
        <v>0.40875499999999998</v>
      </c>
      <c r="F5829" t="s">
        <v>38</v>
      </c>
      <c r="G5829">
        <v>-295.89769999999999</v>
      </c>
      <c r="H5829" s="1">
        <v>-4.9335149999999996E-6</v>
      </c>
      <c r="I5829">
        <v>-30.563289999999999</v>
      </c>
      <c r="J5829">
        <v>-302.65089999999998</v>
      </c>
      <c r="K5829">
        <v>1.1022379999999901</v>
      </c>
      <c r="L5829">
        <v>-12.766909999999999</v>
      </c>
      <c r="M5829">
        <v>9.1029680000000002E-2</v>
      </c>
      <c r="N5829">
        <v>0</v>
      </c>
      <c r="O5829">
        <v>-0.99583650000000001</v>
      </c>
      <c r="P5829">
        <v>0.1196618</v>
      </c>
      <c r="Q5829">
        <v>1.8386840000000002E-2</v>
      </c>
      <c r="R5829">
        <v>-0.99264479999999999</v>
      </c>
      <c r="S5829">
        <v>1.08609</v>
      </c>
      <c r="T5829">
        <v>-0.17674479999999901</v>
      </c>
      <c r="U5829">
        <v>-2.8933409999999999</v>
      </c>
      <c r="V5829">
        <v>-2.871365E-2</v>
      </c>
      <c r="W5829">
        <v>2.3380359999999999E-2</v>
      </c>
      <c r="X5829">
        <v>0.99931419999999904</v>
      </c>
      <c r="Y5829">
        <v>-0.26416600000000001</v>
      </c>
      <c r="Z5829">
        <v>5.7559819999999998E-2</v>
      </c>
      <c r="AA5829">
        <v>0.96275809999999995</v>
      </c>
      <c r="AB5829">
        <v>24</v>
      </c>
      <c r="AC5829">
        <v>6.7531999999999899</v>
      </c>
      <c r="AD5829">
        <v>-1.1022429335149999</v>
      </c>
      <c r="AE5829">
        <v>-17.796379999999999</v>
      </c>
      <c r="AF5829">
        <v>-5.0880820369627102</v>
      </c>
      <c r="AG5829">
        <v>-1.1022429335149999</v>
      </c>
      <c r="AH5829">
        <v>18.275955820057199</v>
      </c>
      <c r="AI5829">
        <v>93.325229086933703</v>
      </c>
      <c r="AJ5829">
        <v>105.557365364077</v>
      </c>
      <c r="AK5829">
        <v>19.003001853287</v>
      </c>
    </row>
    <row r="5830" spans="1:37" x14ac:dyDescent="0.2">
      <c r="A5830" t="str">
        <f>"20200111155711183"</f>
        <v>20200111155711183</v>
      </c>
      <c r="B5830" t="str">
        <f>"1578729431179296"</f>
        <v>1578729431179296</v>
      </c>
      <c r="C5830" t="s">
        <v>37</v>
      </c>
      <c r="D5830">
        <v>4.2051280000000002</v>
      </c>
      <c r="E5830">
        <v>0.36258790000000002</v>
      </c>
      <c r="F5830" t="s">
        <v>38</v>
      </c>
      <c r="G5830">
        <v>-295.83440000000002</v>
      </c>
      <c r="H5830" s="1">
        <v>-4.7783200000000002E-6</v>
      </c>
      <c r="I5830">
        <v>-30.951239999999999</v>
      </c>
      <c r="J5830">
        <v>-302.6311</v>
      </c>
      <c r="K5830">
        <v>1.1021319999999999</v>
      </c>
      <c r="L5830">
        <v>-13.01202</v>
      </c>
      <c r="M5830">
        <v>8.8520989999999994E-2</v>
      </c>
      <c r="N5830">
        <v>0</v>
      </c>
      <c r="O5830">
        <v>-0.99606159999999999</v>
      </c>
      <c r="P5830">
        <v>0.11719359999999999</v>
      </c>
      <c r="Q5830">
        <v>1.836262E-2</v>
      </c>
      <c r="R5830">
        <v>-0.99293969999999898</v>
      </c>
      <c r="S5830">
        <v>1.085083</v>
      </c>
      <c r="T5830">
        <v>-0.17546120000000001</v>
      </c>
      <c r="U5830">
        <v>-2.8946839999999998</v>
      </c>
      <c r="V5830">
        <v>-2.8739279999999999E-2</v>
      </c>
      <c r="W5830">
        <v>2.353767E-2</v>
      </c>
      <c r="X5830">
        <v>0.99930980000000003</v>
      </c>
      <c r="Y5830">
        <v>-0.26616259999999903</v>
      </c>
      <c r="Z5830">
        <v>5.7125450000000001E-2</v>
      </c>
      <c r="AA5830">
        <v>0.96223400000000003</v>
      </c>
      <c r="AB5830">
        <v>24</v>
      </c>
      <c r="AC5830">
        <v>6.79669999999998</v>
      </c>
      <c r="AD5830">
        <v>-1.10213677831999</v>
      </c>
      <c r="AE5830">
        <v>-17.939219999999999</v>
      </c>
      <c r="AF5830">
        <v>-5.1649518449167102</v>
      </c>
      <c r="AG5830">
        <v>-1.10213677831999</v>
      </c>
      <c r="AH5830">
        <v>18.409687181516802</v>
      </c>
      <c r="AI5830">
        <v>93.298972604236099</v>
      </c>
      <c r="AJ5830">
        <v>105.671793195619</v>
      </c>
      <c r="AK5830">
        <v>19.152232641646201</v>
      </c>
    </row>
    <row r="5831" spans="1:37" x14ac:dyDescent="0.2">
      <c r="A5831" t="str">
        <f>"20200111155711205"</f>
        <v>20200111155711205</v>
      </c>
      <c r="B5831" t="str">
        <f>"1578729431198816"</f>
        <v>1578729431198816</v>
      </c>
      <c r="C5831" t="s">
        <v>37</v>
      </c>
      <c r="D5831">
        <v>4.1125559999999997</v>
      </c>
      <c r="E5831">
        <v>0.36405310000000002</v>
      </c>
      <c r="F5831" t="s">
        <v>67</v>
      </c>
      <c r="G5831">
        <v>-268.98610000000002</v>
      </c>
      <c r="H5831">
        <v>6.7485419999999996</v>
      </c>
      <c r="I5831">
        <v>-79.671169999999904</v>
      </c>
      <c r="J5831">
        <v>-302.61180000000002</v>
      </c>
      <c r="K5831">
        <v>1.102044</v>
      </c>
      <c r="L5831">
        <v>-13.262420000000001</v>
      </c>
      <c r="M5831">
        <v>8.5835380000000003E-2</v>
      </c>
      <c r="N5831">
        <v>0</v>
      </c>
      <c r="O5831">
        <v>-0.99629579999999995</v>
      </c>
      <c r="P5831">
        <v>0.114807199999999</v>
      </c>
      <c r="Q5831">
        <v>1.8348449999999999E-2</v>
      </c>
      <c r="R5831">
        <v>-0.9932185</v>
      </c>
      <c r="S5831">
        <v>1.437103</v>
      </c>
      <c r="T5831">
        <v>0.2411797</v>
      </c>
      <c r="U5831">
        <v>-2.8472599999999999</v>
      </c>
      <c r="V5831">
        <v>-2.9025550000000001E-2</v>
      </c>
      <c r="W5831">
        <v>2.3694030000000001E-2</v>
      </c>
      <c r="X5831">
        <v>0.99929780000000001</v>
      </c>
      <c r="Y5831">
        <v>-0.37098559999999903</v>
      </c>
      <c r="Z5831">
        <v>-7.6373919999999998E-2</v>
      </c>
      <c r="AA5831">
        <v>0.92549269999999995</v>
      </c>
      <c r="AB5831">
        <v>25</v>
      </c>
      <c r="AC5831">
        <v>33.625699999999902</v>
      </c>
      <c r="AD5831">
        <v>5.6464979999999896</v>
      </c>
      <c r="AE5831">
        <v>-66.408749999999898</v>
      </c>
      <c r="AF5831">
        <v>-27.642239211110301</v>
      </c>
      <c r="AG5831">
        <v>5.6464979999999896</v>
      </c>
      <c r="AH5831">
        <v>68.654910234030694</v>
      </c>
      <c r="AI5831">
        <v>85.637187546956795</v>
      </c>
      <c r="AJ5831">
        <v>111.930988607722</v>
      </c>
      <c r="AK5831">
        <v>74.225824532375896</v>
      </c>
    </row>
    <row r="5832" spans="1:37" x14ac:dyDescent="0.2">
      <c r="A5832" t="str">
        <f>"20200111155711227"</f>
        <v>20200111155711227</v>
      </c>
      <c r="B5832" t="str">
        <f>"1578729431219312"</f>
        <v>1578729431219312</v>
      </c>
      <c r="C5832" t="s">
        <v>37</v>
      </c>
      <c r="D5832">
        <v>4.6767370000000001</v>
      </c>
      <c r="E5832">
        <v>0.36202709999999999</v>
      </c>
      <c r="F5832" t="s">
        <v>67</v>
      </c>
      <c r="G5832">
        <v>-266.25970000000001</v>
      </c>
      <c r="H5832">
        <v>6.674086</v>
      </c>
      <c r="I5832">
        <v>-86.338070000000002</v>
      </c>
      <c r="J5832">
        <v>-302.59370000000001</v>
      </c>
      <c r="K5832">
        <v>1.1019779999999999</v>
      </c>
      <c r="L5832">
        <v>-13.507629999999899</v>
      </c>
      <c r="M5832">
        <v>8.3108509999999997E-2</v>
      </c>
      <c r="N5832">
        <v>0</v>
      </c>
      <c r="O5832">
        <v>-0.99652609999999997</v>
      </c>
      <c r="P5832">
        <v>0.1119983</v>
      </c>
      <c r="Q5832">
        <v>1.7818009999999999E-2</v>
      </c>
      <c r="R5832">
        <v>-0.993548599999999</v>
      </c>
      <c r="S5832">
        <v>1.418976</v>
      </c>
      <c r="T5832">
        <v>0.21750059999999999</v>
      </c>
      <c r="U5832">
        <v>-2.8524479999999999</v>
      </c>
      <c r="V5832">
        <v>-2.8930979999999999E-2</v>
      </c>
      <c r="W5832">
        <v>2.3311720000000001E-2</v>
      </c>
      <c r="X5832">
        <v>0.99930949999999996</v>
      </c>
      <c r="Y5832">
        <v>-0.36838340000000003</v>
      </c>
      <c r="Z5832">
        <v>-6.89583E-2</v>
      </c>
      <c r="AA5832">
        <v>0.92711290000000002</v>
      </c>
      <c r="AB5832">
        <v>25</v>
      </c>
      <c r="AC5832">
        <v>36.334000000000003</v>
      </c>
      <c r="AD5832">
        <v>5.5721080000000001</v>
      </c>
      <c r="AE5832">
        <v>-72.830439999999996</v>
      </c>
      <c r="AF5832">
        <v>-30.014705374620998</v>
      </c>
      <c r="AG5832">
        <v>5.5721080000000001</v>
      </c>
      <c r="AH5832">
        <v>75.245512073355798</v>
      </c>
      <c r="AI5832">
        <v>86.065268542548495</v>
      </c>
      <c r="AJ5832">
        <v>111.74657752716899</v>
      </c>
      <c r="AK5832">
        <v>81.202327635792003</v>
      </c>
    </row>
    <row r="5833" spans="1:37" x14ac:dyDescent="0.2">
      <c r="A5833" t="str">
        <f>"20200111155711405"</f>
        <v>20200111155711405</v>
      </c>
      <c r="B5833" t="str">
        <f>"1578729431398896"</f>
        <v>1578729431398896</v>
      </c>
      <c r="C5833" t="s">
        <v>37</v>
      </c>
      <c r="D5833">
        <v>4.4519529999999996</v>
      </c>
      <c r="E5833">
        <v>0.39931270000000002</v>
      </c>
      <c r="F5833" t="s">
        <v>67</v>
      </c>
      <c r="G5833">
        <v>-267.64789999999999</v>
      </c>
      <c r="H5833">
        <v>6.6740880000000002</v>
      </c>
      <c r="I5833">
        <v>-83.415480000000002</v>
      </c>
      <c r="J5833">
        <v>-302.47140000000002</v>
      </c>
      <c r="K5833">
        <v>1.1017870000000001</v>
      </c>
      <c r="L5833">
        <v>-15.53317</v>
      </c>
      <c r="M5833">
        <v>5.941134E-2</v>
      </c>
      <c r="N5833">
        <v>0</v>
      </c>
      <c r="O5833">
        <v>-0.99821479999999996</v>
      </c>
      <c r="P5833">
        <v>9.1561110000000001E-2</v>
      </c>
      <c r="Q5833">
        <v>1.18862E-2</v>
      </c>
      <c r="R5833">
        <v>-0.99572850000000002</v>
      </c>
      <c r="S5833">
        <v>1.426941</v>
      </c>
      <c r="T5833">
        <v>0.227526899999999</v>
      </c>
      <c r="U5833">
        <v>-2.8545529999999899</v>
      </c>
      <c r="V5833">
        <v>-3.214877E-2</v>
      </c>
      <c r="W5833">
        <v>1.8194930000000002E-2</v>
      </c>
      <c r="X5833">
        <v>0.99931749999999997</v>
      </c>
      <c r="Y5833">
        <v>-0.39204499999999998</v>
      </c>
      <c r="Z5833">
        <v>-7.1853390000000003E-2</v>
      </c>
      <c r="AA5833">
        <v>0.9171357</v>
      </c>
      <c r="AB5833">
        <v>26</v>
      </c>
      <c r="AC5833">
        <v>34.823500000000003</v>
      </c>
      <c r="AD5833">
        <v>5.5723010000000004</v>
      </c>
      <c r="AE5833">
        <v>-67.882310000000004</v>
      </c>
      <c r="AF5833">
        <v>-30.565876164405001</v>
      </c>
      <c r="AG5833">
        <v>5.5723010000000004</v>
      </c>
      <c r="AH5833">
        <v>69.460806995601601</v>
      </c>
      <c r="AI5833">
        <v>85.800456514853394</v>
      </c>
      <c r="AJ5833">
        <v>113.75165135599801</v>
      </c>
      <c r="AK5833">
        <v>76.092884244274501</v>
      </c>
    </row>
    <row r="5834" spans="1:37" x14ac:dyDescent="0.2">
      <c r="A5834" t="str">
        <f>"20200111155711428"</f>
        <v>20200111155711428</v>
      </c>
      <c r="B5834" t="str">
        <f>"1578729431418416"</f>
        <v>1578729431418416</v>
      </c>
      <c r="C5834" t="s">
        <v>37</v>
      </c>
      <c r="D5834">
        <v>4.5928069999999996</v>
      </c>
      <c r="E5834">
        <v>0.50497639999999999</v>
      </c>
      <c r="F5834" t="s">
        <v>75</v>
      </c>
      <c r="G5834">
        <v>-282.23930000000001</v>
      </c>
      <c r="H5834">
        <v>4.5023849999999997E-2</v>
      </c>
      <c r="I5834">
        <v>-70.383759999999995</v>
      </c>
      <c r="J5834">
        <v>-302.45949999999999</v>
      </c>
      <c r="K5834">
        <v>1.1017920000000001</v>
      </c>
      <c r="L5834">
        <v>-15.787479999999899</v>
      </c>
      <c r="M5834">
        <v>5.6450859999999999E-2</v>
      </c>
      <c r="N5834">
        <v>0</v>
      </c>
      <c r="O5834">
        <v>-0.998386</v>
      </c>
      <c r="P5834">
        <v>8.8646929999999999E-2</v>
      </c>
      <c r="Q5834">
        <v>1.1917870000000001E-2</v>
      </c>
      <c r="R5834">
        <v>-0.99599179999999998</v>
      </c>
      <c r="S5834">
        <v>1.0751040000000001</v>
      </c>
      <c r="T5834">
        <v>-5.615473E-2</v>
      </c>
      <c r="U5834">
        <v>-2.9146730000000001</v>
      </c>
      <c r="V5834">
        <v>-3.2187300000000002E-2</v>
      </c>
      <c r="W5834">
        <v>1.8303150000000001E-2</v>
      </c>
      <c r="X5834">
        <v>0.99931419999999904</v>
      </c>
      <c r="Y5834">
        <v>-0.29249439999999999</v>
      </c>
      <c r="Z5834">
        <v>1.8196549999999999E-2</v>
      </c>
      <c r="AA5834">
        <v>0.95609409999999895</v>
      </c>
      <c r="AB5834">
        <v>26</v>
      </c>
      <c r="AC5834">
        <v>20.220199999999899</v>
      </c>
      <c r="AD5834">
        <v>-1.0567681499999999</v>
      </c>
      <c r="AE5834">
        <v>-54.596279999999901</v>
      </c>
      <c r="AF5834">
        <v>-17.100254660972102</v>
      </c>
      <c r="AG5834">
        <v>-1.0567681499999999</v>
      </c>
      <c r="AH5834">
        <v>55.632357076415502</v>
      </c>
      <c r="AI5834">
        <v>91.040214266587896</v>
      </c>
      <c r="AJ5834">
        <v>107.086363082516</v>
      </c>
      <c r="AK5834">
        <v>58.210777543945902</v>
      </c>
    </row>
    <row r="5835" spans="1:37" x14ac:dyDescent="0.2">
      <c r="A5835" t="str">
        <f>"20200111155711450"</f>
        <v>20200111155711450</v>
      </c>
      <c r="B5835" t="str">
        <f>"1578729431438886"</f>
        <v>1578729431438886</v>
      </c>
      <c r="C5835" t="s">
        <v>37</v>
      </c>
      <c r="D5835">
        <v>4.5271150000000002</v>
      </c>
      <c r="E5835">
        <v>0.51293129999999998</v>
      </c>
      <c r="F5835" t="s">
        <v>38</v>
      </c>
      <c r="G5835">
        <v>-300.87610000000001</v>
      </c>
      <c r="H5835" s="1">
        <v>-1.872627E-6</v>
      </c>
      <c r="I5835">
        <v>-36.589109999999998</v>
      </c>
      <c r="J5835">
        <v>-302.44810000000001</v>
      </c>
      <c r="K5835">
        <v>1.101817</v>
      </c>
      <c r="L5835">
        <v>-16.046779999999998</v>
      </c>
      <c r="M5835">
        <v>5.3440149999999999E-2</v>
      </c>
      <c r="N5835">
        <v>0</v>
      </c>
      <c r="O5835">
        <v>-0.99855119999999897</v>
      </c>
      <c r="P5835">
        <v>8.5508890000000004E-2</v>
      </c>
      <c r="Q5835">
        <v>1.331969E-2</v>
      </c>
      <c r="R5835">
        <v>-0.99624859999999904</v>
      </c>
      <c r="S5835">
        <v>0.22787479999999999</v>
      </c>
      <c r="T5835">
        <v>-0.1585655</v>
      </c>
      <c r="U5835">
        <v>-2.9936829999999999</v>
      </c>
      <c r="V5835">
        <v>-3.204535E-2</v>
      </c>
      <c r="W5835">
        <v>1.9796339999999999E-2</v>
      </c>
      <c r="X5835">
        <v>0.99929029999999996</v>
      </c>
      <c r="Y5835">
        <v>-2.239785E-2</v>
      </c>
      <c r="Z5835">
        <v>5.2696750000000001E-2</v>
      </c>
      <c r="AA5835">
        <v>0.99835929999999995</v>
      </c>
      <c r="AB5835">
        <v>26</v>
      </c>
      <c r="AC5835">
        <v>1.5720000000000001</v>
      </c>
      <c r="AD5835">
        <v>-1.101818872627</v>
      </c>
      <c r="AE5835">
        <v>-20.54233</v>
      </c>
      <c r="AF5835">
        <v>-0.47060066937141498</v>
      </c>
      <c r="AG5835">
        <v>-1.101818872627</v>
      </c>
      <c r="AH5835">
        <v>20.538242578686098</v>
      </c>
      <c r="AI5835">
        <v>93.070009246817705</v>
      </c>
      <c r="AJ5835">
        <v>91.312610597727797</v>
      </c>
      <c r="AK5835">
        <v>20.573159165258101</v>
      </c>
    </row>
    <row r="5836" spans="1:37" x14ac:dyDescent="0.2">
      <c r="A5836" t="str">
        <f>"20200111155711474"</f>
        <v>20200111155711474</v>
      </c>
      <c r="B5836" t="str">
        <f>"1578729431469143"</f>
        <v>1578729431469143</v>
      </c>
      <c r="C5836" t="s">
        <v>37</v>
      </c>
      <c r="D5836">
        <v>4.5110359999999998</v>
      </c>
      <c r="E5836">
        <v>0.51716700000000004</v>
      </c>
      <c r="F5836" t="s">
        <v>38</v>
      </c>
      <c r="G5836">
        <v>-301.29039999999998</v>
      </c>
      <c r="H5836" s="1">
        <v>-1.2057120000000001E-6</v>
      </c>
      <c r="I5836">
        <v>-38.400649999999999</v>
      </c>
      <c r="J5836">
        <v>-302.43720000000002</v>
      </c>
      <c r="K5836">
        <v>1.10186299999999</v>
      </c>
      <c r="L5836">
        <v>-16.31363</v>
      </c>
      <c r="M5836">
        <v>5.0349209999999998E-2</v>
      </c>
      <c r="N5836">
        <v>0</v>
      </c>
      <c r="O5836">
        <v>-0.99871100000000002</v>
      </c>
      <c r="P5836">
        <v>8.3125560000000001E-2</v>
      </c>
      <c r="Q5836">
        <v>1.8982140000000002E-2</v>
      </c>
      <c r="R5836">
        <v>-0.99635849999999904</v>
      </c>
      <c r="S5836">
        <v>0.155365</v>
      </c>
      <c r="T5836">
        <v>-0.14786649999999901</v>
      </c>
      <c r="U5836">
        <v>-2.9999389999999999</v>
      </c>
      <c r="V5836">
        <v>-3.2722429999999997E-2</v>
      </c>
      <c r="W5836">
        <v>2.5586979999999999E-2</v>
      </c>
      <c r="X5836">
        <v>0.99913689999999999</v>
      </c>
      <c r="Y5836">
        <v>-1.3091380000000001E-3</v>
      </c>
      <c r="Z5836">
        <v>4.9103670000000002E-2</v>
      </c>
      <c r="AA5836">
        <v>0.99879280000000004</v>
      </c>
      <c r="AB5836">
        <v>26</v>
      </c>
      <c r="AC5836">
        <v>1.14680000000004</v>
      </c>
      <c r="AD5836">
        <v>-1.1018642057119901</v>
      </c>
      <c r="AE5836">
        <v>-22.087019999999999</v>
      </c>
      <c r="AF5836">
        <v>-3.3176108100150897E-2</v>
      </c>
      <c r="AG5836">
        <v>-1.1018642057119901</v>
      </c>
      <c r="AH5836">
        <v>22.061987744422801</v>
      </c>
      <c r="AI5836">
        <v>92.859202178272596</v>
      </c>
      <c r="AJ5836">
        <v>90.086159486806906</v>
      </c>
      <c r="AK5836">
        <v>22.0895112806291</v>
      </c>
    </row>
    <row r="5837" spans="1:37" x14ac:dyDescent="0.2">
      <c r="A5837" t="str">
        <f>"20200111155711495"</f>
        <v>20200111155711495</v>
      </c>
      <c r="B5837" t="str">
        <f>"1578729431488662"</f>
        <v>1578729431488662</v>
      </c>
      <c r="C5837" t="s">
        <v>37</v>
      </c>
      <c r="D5837">
        <v>4.510815</v>
      </c>
      <c r="E5837">
        <v>0.51847129999999997</v>
      </c>
      <c r="F5837" t="s">
        <v>75</v>
      </c>
      <c r="G5837">
        <v>-301.36329999999998</v>
      </c>
      <c r="H5837" s="1">
        <v>-2.8480469999999999E-6</v>
      </c>
      <c r="I5837">
        <v>-44.55894</v>
      </c>
      <c r="J5837">
        <v>-302.4273</v>
      </c>
      <c r="K5837">
        <v>1.1018969999999999</v>
      </c>
      <c r="L5837">
        <v>-16.573239999999998</v>
      </c>
      <c r="M5837">
        <v>4.7346230000000003E-2</v>
      </c>
      <c r="N5837">
        <v>0</v>
      </c>
      <c r="O5837">
        <v>-0.99885699999999999</v>
      </c>
      <c r="P5837">
        <v>8.2193840000000004E-2</v>
      </c>
      <c r="Q5837">
        <v>2.2057210000000001E-2</v>
      </c>
      <c r="R5837">
        <v>-0.996372699999999</v>
      </c>
      <c r="S5837">
        <v>0.1141968</v>
      </c>
      <c r="T5837">
        <v>-0.1171746</v>
      </c>
      <c r="U5837">
        <v>-3.0036619999999998</v>
      </c>
      <c r="V5837">
        <v>-3.4777910000000002E-2</v>
      </c>
      <c r="W5837">
        <v>2.8834459999999999E-2</v>
      </c>
      <c r="X5837">
        <v>0.99897899999999995</v>
      </c>
      <c r="Y5837">
        <v>9.3927249999999993E-3</v>
      </c>
      <c r="Z5837">
        <v>3.8900509999999999E-2</v>
      </c>
      <c r="AA5837">
        <v>0.9991989</v>
      </c>
      <c r="AB5837">
        <v>26</v>
      </c>
      <c r="AC5837">
        <v>1.06400000000002</v>
      </c>
      <c r="AD5837">
        <v>-1.1018998480469999</v>
      </c>
      <c r="AE5837">
        <v>-27.985700000000001</v>
      </c>
      <c r="AF5837">
        <v>0.26183385126792502</v>
      </c>
      <c r="AG5837">
        <v>-1.1018998480469999</v>
      </c>
      <c r="AH5837">
        <v>27.961405619205699</v>
      </c>
      <c r="AI5837">
        <v>92.256638896923107</v>
      </c>
      <c r="AJ5837">
        <v>89.463491344190601</v>
      </c>
      <c r="AK5837">
        <v>27.9843339110035</v>
      </c>
    </row>
    <row r="5838" spans="1:37" x14ac:dyDescent="0.2">
      <c r="A5838" t="str">
        <f>"20200111155711519"</f>
        <v>20200111155711519</v>
      </c>
      <c r="B5838" t="str">
        <f>"1578729431509160"</f>
        <v>1578729431509160</v>
      </c>
      <c r="C5838" t="s">
        <v>37</v>
      </c>
      <c r="D5838">
        <v>4.520645</v>
      </c>
      <c r="E5838">
        <v>0.51914629999999995</v>
      </c>
      <c r="F5838" t="s">
        <v>75</v>
      </c>
      <c r="G5838">
        <v>-301.30680000000001</v>
      </c>
      <c r="H5838" s="1">
        <v>-5.5534489999999999E-6</v>
      </c>
      <c r="I5838">
        <v>-49.894820000000003</v>
      </c>
      <c r="J5838">
        <v>-302.41789999999997</v>
      </c>
      <c r="K5838">
        <v>1.1019209999999999</v>
      </c>
      <c r="L5838">
        <v>-16.84131</v>
      </c>
      <c r="M5838">
        <v>4.42467E-2</v>
      </c>
      <c r="N5838">
        <v>0</v>
      </c>
      <c r="O5838">
        <v>-0.99899749999999998</v>
      </c>
      <c r="P5838">
        <v>8.2185099999999997E-2</v>
      </c>
      <c r="Q5838">
        <v>1.9705839999999999E-2</v>
      </c>
      <c r="R5838">
        <v>-0.99642249999999999</v>
      </c>
      <c r="S5838">
        <v>0.1010437</v>
      </c>
      <c r="T5838">
        <v>-9.9364640000000004E-2</v>
      </c>
      <c r="U5838">
        <v>-3.004791</v>
      </c>
      <c r="V5838">
        <v>-3.7876729999999997E-2</v>
      </c>
      <c r="W5838">
        <v>2.6710500000000002E-2</v>
      </c>
      <c r="X5838">
        <v>0.99892539999999996</v>
      </c>
      <c r="Y5838">
        <v>1.066543E-2</v>
      </c>
      <c r="Z5838">
        <v>3.2991890000000003E-2</v>
      </c>
      <c r="AA5838">
        <v>0.99939869999999897</v>
      </c>
      <c r="AB5838">
        <v>26</v>
      </c>
      <c r="AC5838">
        <v>1.11109999999996</v>
      </c>
      <c r="AD5838">
        <v>-1.1019265534489999</v>
      </c>
      <c r="AE5838">
        <v>-33.053510000000003</v>
      </c>
      <c r="AF5838">
        <v>0.35213984030540801</v>
      </c>
      <c r="AG5838">
        <v>-1.1019265534489999</v>
      </c>
      <c r="AH5838">
        <v>33.033628589379703</v>
      </c>
      <c r="AI5838">
        <v>91.910439705174497</v>
      </c>
      <c r="AJ5838">
        <v>89.389247766183502</v>
      </c>
      <c r="AK5838">
        <v>33.053878174541197</v>
      </c>
    </row>
    <row r="5839" spans="1:37" x14ac:dyDescent="0.2">
      <c r="A5839" t="str">
        <f>"20200111155711540"</f>
        <v>20200111155711540</v>
      </c>
      <c r="B5839" t="str">
        <f>"1578729431528678"</f>
        <v>1578729431528678</v>
      </c>
      <c r="C5839" t="s">
        <v>37</v>
      </c>
      <c r="D5839">
        <v>4.5190720000000004</v>
      </c>
      <c r="E5839">
        <v>0.51964100000000002</v>
      </c>
      <c r="F5839" t="s">
        <v>75</v>
      </c>
      <c r="G5839">
        <v>-301.47289999999998</v>
      </c>
      <c r="H5839" s="1">
        <v>-3.8846719999999902E-6</v>
      </c>
      <c r="I5839">
        <v>-46.6008</v>
      </c>
      <c r="J5839">
        <v>-302.4101</v>
      </c>
      <c r="K5839">
        <v>1.101958</v>
      </c>
      <c r="L5839">
        <v>-17.089259999999999</v>
      </c>
      <c r="M5839">
        <v>4.138178E-2</v>
      </c>
      <c r="N5839">
        <v>0</v>
      </c>
      <c r="O5839">
        <v>-0.99911849999999902</v>
      </c>
      <c r="P5839">
        <v>8.1608890000000003E-2</v>
      </c>
      <c r="Q5839">
        <v>1.814619E-2</v>
      </c>
      <c r="R5839">
        <v>-0.99649940000000004</v>
      </c>
      <c r="S5839">
        <v>9.5428470000000001E-2</v>
      </c>
      <c r="T5839">
        <v>-0.111271699999999</v>
      </c>
      <c r="U5839">
        <v>-3.005096</v>
      </c>
      <c r="V5839">
        <v>-4.0169120000000003E-2</v>
      </c>
      <c r="W5839">
        <v>2.541156E-2</v>
      </c>
      <c r="X5839">
        <v>0.99886969999999997</v>
      </c>
      <c r="Y5839">
        <v>9.6712910000000003E-3</v>
      </c>
      <c r="Z5839">
        <v>3.6944640000000001E-2</v>
      </c>
      <c r="AA5839">
        <v>0.99927049999999995</v>
      </c>
      <c r="AB5839">
        <v>26</v>
      </c>
      <c r="AC5839">
        <v>0.93720000000001802</v>
      </c>
      <c r="AD5839">
        <v>-1.1019618846720001</v>
      </c>
      <c r="AE5839">
        <v>-29.51154</v>
      </c>
      <c r="AF5839">
        <v>0.28447704638029198</v>
      </c>
      <c r="AG5839">
        <v>-1.1019618846720001</v>
      </c>
      <c r="AH5839">
        <v>29.483975895489799</v>
      </c>
      <c r="AI5839">
        <v>92.140330621691206</v>
      </c>
      <c r="AJ5839">
        <v>89.4471970665996</v>
      </c>
      <c r="AK5839">
        <v>29.505932993061101</v>
      </c>
    </row>
    <row r="5840" spans="1:37" x14ac:dyDescent="0.2">
      <c r="A5840" t="str">
        <f>"20200111155711562"</f>
        <v>20200111155711562</v>
      </c>
      <c r="B5840" t="str">
        <f>"1578729431558934"</f>
        <v>1578729431558934</v>
      </c>
      <c r="C5840" t="s">
        <v>37</v>
      </c>
      <c r="D5840">
        <v>4.5393419999999898</v>
      </c>
      <c r="E5840">
        <v>0.51984940000000002</v>
      </c>
      <c r="F5840" t="s">
        <v>75</v>
      </c>
      <c r="G5840">
        <v>-301.59440000000001</v>
      </c>
      <c r="H5840" s="1">
        <v>-2.7532659999999999E-6</v>
      </c>
      <c r="I5840">
        <v>-44.359209999999997</v>
      </c>
      <c r="J5840">
        <v>-302.40249999999997</v>
      </c>
      <c r="K5840">
        <v>1.1020000000000001</v>
      </c>
      <c r="L5840">
        <v>-17.354890000000001</v>
      </c>
      <c r="M5840">
        <v>3.8309589999999998E-2</v>
      </c>
      <c r="N5840">
        <v>0</v>
      </c>
      <c r="O5840">
        <v>-0.99923899999999999</v>
      </c>
      <c r="P5840">
        <v>8.0519960000000002E-2</v>
      </c>
      <c r="Q5840">
        <v>1.7972289999999998E-2</v>
      </c>
      <c r="R5840">
        <v>-0.996591</v>
      </c>
      <c r="S5840">
        <v>8.9904789999999998E-2</v>
      </c>
      <c r="T5840">
        <v>-0.12144629999999999</v>
      </c>
      <c r="U5840">
        <v>-3.0054020000000001</v>
      </c>
      <c r="V5840">
        <v>-4.2147440000000001E-2</v>
      </c>
      <c r="W5840">
        <v>2.5538350000000001E-2</v>
      </c>
      <c r="X5840">
        <v>0.99878500000000003</v>
      </c>
      <c r="Y5840">
        <v>8.4387530000000002E-3</v>
      </c>
      <c r="Z5840">
        <v>4.0322219999999999E-2</v>
      </c>
      <c r="AA5840">
        <v>0.99915109999999996</v>
      </c>
      <c r="AB5840">
        <v>26</v>
      </c>
      <c r="AC5840">
        <v>0.80809999999996696</v>
      </c>
      <c r="AD5840">
        <v>-1.1020027532659999</v>
      </c>
      <c r="AE5840">
        <v>-27.00432</v>
      </c>
      <c r="AF5840">
        <v>0.22666836005872201</v>
      </c>
      <c r="AG5840">
        <v>-1.1020027532659999</v>
      </c>
      <c r="AH5840">
        <v>26.970579784332202</v>
      </c>
      <c r="AI5840">
        <v>92.339689360614997</v>
      </c>
      <c r="AJ5840">
        <v>89.518481444289407</v>
      </c>
      <c r="AK5840">
        <v>26.994035684141199</v>
      </c>
    </row>
    <row r="5841" spans="1:37" x14ac:dyDescent="0.2">
      <c r="A5841" t="str">
        <f>"20200111155711585"</f>
        <v>20200111155711585</v>
      </c>
      <c r="B5841" t="str">
        <f>"1578729431578453"</f>
        <v>1578729431578453</v>
      </c>
      <c r="C5841" t="s">
        <v>37</v>
      </c>
      <c r="D5841">
        <v>4.6248040000000001</v>
      </c>
      <c r="E5841">
        <v>0.51963369999999998</v>
      </c>
      <c r="F5841" t="s">
        <v>75</v>
      </c>
      <c r="G5841">
        <v>-301.67570000000001</v>
      </c>
      <c r="H5841" s="1">
        <v>-1.9669970000000001E-6</v>
      </c>
      <c r="I5841">
        <v>-43.104399999999998</v>
      </c>
      <c r="J5841">
        <v>-302.39580000000001</v>
      </c>
      <c r="K5841">
        <v>1.1020319999999999</v>
      </c>
      <c r="L5841">
        <v>-17.616299999999999</v>
      </c>
      <c r="M5841">
        <v>3.5287369999999998E-2</v>
      </c>
      <c r="N5841">
        <v>0</v>
      </c>
      <c r="O5841">
        <v>-0.99934769999999995</v>
      </c>
      <c r="P5841">
        <v>7.8611890000000004E-2</v>
      </c>
      <c r="Q5841">
        <v>1.571051E-2</v>
      </c>
      <c r="R5841">
        <v>-0.99678159999999905</v>
      </c>
      <c r="S5841">
        <v>8.4838869999999997E-2</v>
      </c>
      <c r="T5841">
        <v>-0.12863659999999999</v>
      </c>
      <c r="U5841">
        <v>-3.0057369999999999</v>
      </c>
      <c r="V5841">
        <v>-4.3264400000000001E-2</v>
      </c>
      <c r="W5841">
        <v>2.3597259999999998E-2</v>
      </c>
      <c r="X5841">
        <v>0.99878500000000003</v>
      </c>
      <c r="Y5841">
        <v>7.1032839999999996E-3</v>
      </c>
      <c r="Z5841">
        <v>4.2708929999999999E-2</v>
      </c>
      <c r="AA5841">
        <v>0.99906229999999996</v>
      </c>
      <c r="AB5841">
        <v>26</v>
      </c>
      <c r="AC5841">
        <v>0.72010000000000196</v>
      </c>
      <c r="AD5841">
        <v>-1.1020339669969901</v>
      </c>
      <c r="AE5841">
        <v>-25.488099999999999</v>
      </c>
      <c r="AF5841">
        <v>0.179447835936969</v>
      </c>
      <c r="AG5841">
        <v>-1.1020339669969901</v>
      </c>
      <c r="AH5841">
        <v>25.450096566867099</v>
      </c>
      <c r="AI5841">
        <v>92.479397600524393</v>
      </c>
      <c r="AJ5841">
        <v>89.596015943093605</v>
      </c>
      <c r="AK5841">
        <v>25.4745774381656</v>
      </c>
    </row>
    <row r="5842" spans="1:37" x14ac:dyDescent="0.2">
      <c r="A5842" t="str">
        <f>"20200111155711606"</f>
        <v>20200111155711606</v>
      </c>
      <c r="B5842" t="str">
        <f>"1578729431598949"</f>
        <v>1578729431598949</v>
      </c>
      <c r="C5842" t="s">
        <v>37</v>
      </c>
      <c r="D5842">
        <v>4.619758</v>
      </c>
      <c r="E5842">
        <v>0.51964429999999995</v>
      </c>
      <c r="F5842" t="s">
        <v>75</v>
      </c>
      <c r="G5842">
        <v>-301.7604</v>
      </c>
      <c r="H5842" s="1">
        <v>-8.1495689999999996E-7</v>
      </c>
      <c r="I5842">
        <v>-41.265689999999999</v>
      </c>
      <c r="J5842">
        <v>-302.39</v>
      </c>
      <c r="K5842">
        <v>1.102061</v>
      </c>
      <c r="L5842">
        <v>-17.872859999999999</v>
      </c>
      <c r="M5842">
        <v>3.2322370000000003E-2</v>
      </c>
      <c r="N5842">
        <v>0</v>
      </c>
      <c r="O5842">
        <v>-0.99944560000000005</v>
      </c>
      <c r="P5842">
        <v>7.705766E-2</v>
      </c>
      <c r="Q5842">
        <v>1.01359E-2</v>
      </c>
      <c r="R5842">
        <v>-0.99697549999999902</v>
      </c>
      <c r="S5842">
        <v>8.0749509999999997E-2</v>
      </c>
      <c r="T5842">
        <v>-0.1400537</v>
      </c>
      <c r="U5842">
        <v>-3.0055239999999999</v>
      </c>
      <c r="V5842">
        <v>-4.4695169999999999E-2</v>
      </c>
      <c r="W5842">
        <v>1.8376569999999998E-2</v>
      </c>
      <c r="X5842">
        <v>0.99883159999999904</v>
      </c>
      <c r="Y5842">
        <v>5.4975010000000001E-3</v>
      </c>
      <c r="Z5842">
        <v>4.6503099999999999E-2</v>
      </c>
      <c r="AA5842">
        <v>0.99890299999999999</v>
      </c>
      <c r="AB5842">
        <v>26</v>
      </c>
      <c r="AC5842">
        <v>0.62959999999998195</v>
      </c>
      <c r="AD5842">
        <v>-1.1020618149568999</v>
      </c>
      <c r="AE5842">
        <v>-23.39283</v>
      </c>
      <c r="AF5842">
        <v>0.12658405689643501</v>
      </c>
      <c r="AG5842">
        <v>-1.1020618149568999</v>
      </c>
      <c r="AH5842">
        <v>23.349172249272701</v>
      </c>
      <c r="AI5842">
        <v>92.702268724840394</v>
      </c>
      <c r="AJ5842">
        <v>89.689382515041402</v>
      </c>
      <c r="AK5842">
        <v>23.375508732296201</v>
      </c>
    </row>
    <row r="5843" spans="1:37" x14ac:dyDescent="0.2">
      <c r="A5843" t="str">
        <f>"20200111155711630"</f>
        <v>20200111155711630</v>
      </c>
      <c r="B5843" t="str">
        <f>"1578729431618470"</f>
        <v>1578729431618470</v>
      </c>
      <c r="C5843" t="s">
        <v>37</v>
      </c>
      <c r="D5843">
        <v>4.5815830000000002</v>
      </c>
      <c r="E5843">
        <v>0.51965450000000002</v>
      </c>
      <c r="F5843" t="s">
        <v>38</v>
      </c>
      <c r="G5843">
        <v>-301.87060000000002</v>
      </c>
      <c r="H5843" s="1">
        <v>-1.3123769999999999E-6</v>
      </c>
      <c r="I5843">
        <v>-38.511890000000001</v>
      </c>
      <c r="J5843">
        <v>-302.38479999999998</v>
      </c>
      <c r="K5843">
        <v>1.102101</v>
      </c>
      <c r="L5843">
        <v>-18.139500000000002</v>
      </c>
      <c r="M5843">
        <v>2.923999E-2</v>
      </c>
      <c r="N5843">
        <v>0</v>
      </c>
      <c r="O5843">
        <v>-0.99953740000000002</v>
      </c>
      <c r="P5843">
        <v>7.5025010000000003E-2</v>
      </c>
      <c r="Q5843">
        <v>6.2781879999999997E-3</v>
      </c>
      <c r="R5843">
        <v>-0.997162199999999</v>
      </c>
      <c r="S5843">
        <v>7.5622560000000005E-2</v>
      </c>
      <c r="T5843">
        <v>-0.1604517</v>
      </c>
      <c r="U5843">
        <v>-3.004883</v>
      </c>
      <c r="V5843">
        <v>-4.5756560000000002E-2</v>
      </c>
      <c r="W5843">
        <v>1.4901869999999999E-2</v>
      </c>
      <c r="X5843">
        <v>0.99884150000000005</v>
      </c>
      <c r="Y5843">
        <v>4.1196699999999998E-3</v>
      </c>
      <c r="Z5843">
        <v>5.3278230000000003E-2</v>
      </c>
      <c r="AA5843">
        <v>0.99857119999999999</v>
      </c>
      <c r="AB5843">
        <v>26</v>
      </c>
      <c r="AC5843">
        <v>0.51419999999995902</v>
      </c>
      <c r="AD5843">
        <v>-1.102102312377</v>
      </c>
      <c r="AE5843">
        <v>-20.372389999999999</v>
      </c>
      <c r="AF5843">
        <v>8.1490872308309203E-2</v>
      </c>
      <c r="AG5843">
        <v>-1.102102312377</v>
      </c>
      <c r="AH5843">
        <v>20.3192862103121</v>
      </c>
      <c r="AI5843">
        <v>93.104611571067394</v>
      </c>
      <c r="AJ5843">
        <v>89.770215450921398</v>
      </c>
      <c r="AK5843">
        <v>20.349316017149</v>
      </c>
    </row>
    <row r="5844" spans="1:37" x14ac:dyDescent="0.2">
      <c r="A5844" t="str">
        <f>"20200111155711652"</f>
        <v>20200111155711652</v>
      </c>
      <c r="B5844" t="str">
        <f>"1578729431648726"</f>
        <v>1578729431648726</v>
      </c>
      <c r="C5844" t="s">
        <v>37</v>
      </c>
      <c r="D5844">
        <v>4.9651690000000004</v>
      </c>
      <c r="E5844">
        <v>0.51958850000000001</v>
      </c>
      <c r="F5844" t="s">
        <v>38</v>
      </c>
      <c r="G5844">
        <v>-301.95030000000003</v>
      </c>
      <c r="H5844" s="1">
        <v>-1.957628E-6</v>
      </c>
      <c r="I5844">
        <v>-37.057270000000003</v>
      </c>
      <c r="J5844">
        <v>-302.38049999999998</v>
      </c>
      <c r="K5844">
        <v>1.102136</v>
      </c>
      <c r="L5844">
        <v>-18.40146</v>
      </c>
      <c r="M5844">
        <v>2.620952E-2</v>
      </c>
      <c r="N5844">
        <v>0</v>
      </c>
      <c r="O5844">
        <v>-0.99961819999999901</v>
      </c>
      <c r="P5844">
        <v>7.3136610000000005E-2</v>
      </c>
      <c r="Q5844">
        <v>5.6502559999999898E-3</v>
      </c>
      <c r="R5844">
        <v>-0.99730620000000003</v>
      </c>
      <c r="S5844">
        <v>6.9000240000000004E-2</v>
      </c>
      <c r="T5844">
        <v>-0.175032299999999</v>
      </c>
      <c r="U5844">
        <v>-3.0044559999999998</v>
      </c>
      <c r="V5844">
        <v>-4.689455E-2</v>
      </c>
      <c r="W5844">
        <v>1.463916E-2</v>
      </c>
      <c r="X5844">
        <v>0.99879259999999903</v>
      </c>
      <c r="Y5844">
        <v>3.2904100000000001E-3</v>
      </c>
      <c r="Z5844">
        <v>5.8121230000000003E-2</v>
      </c>
      <c r="AA5844">
        <v>0.99830409999999903</v>
      </c>
      <c r="AB5844">
        <v>26</v>
      </c>
      <c r="AC5844">
        <v>0.43019999999995601</v>
      </c>
      <c r="AD5844">
        <v>-1.1021379576279999</v>
      </c>
      <c r="AE5844">
        <v>-18.655809999999999</v>
      </c>
      <c r="AF5844">
        <v>5.8721492389550801E-2</v>
      </c>
      <c r="AG5844">
        <v>-1.1021379576279999</v>
      </c>
      <c r="AH5844">
        <v>18.5958088646295</v>
      </c>
      <c r="AI5844">
        <v>93.391826386245697</v>
      </c>
      <c r="AJ5844">
        <v>89.8190730759773</v>
      </c>
      <c r="AK5844">
        <v>18.628533587514301</v>
      </c>
    </row>
    <row r="5845" spans="1:37" x14ac:dyDescent="0.2">
      <c r="A5845" t="str">
        <f>"20200111155711674"</f>
        <v>20200111155711674</v>
      </c>
      <c r="B5845" t="str">
        <f>"1578729431669221"</f>
        <v>1578729431669221</v>
      </c>
      <c r="C5845" t="s">
        <v>37</v>
      </c>
      <c r="D5845">
        <v>4.6293809999999898</v>
      </c>
      <c r="E5845">
        <v>0.51952299999999996</v>
      </c>
      <c r="F5845" t="s">
        <v>38</v>
      </c>
      <c r="G5845">
        <v>-301.98899999999998</v>
      </c>
      <c r="H5845" s="1">
        <v>-2.0364530000000001E-6</v>
      </c>
      <c r="I5845">
        <v>-36.897489999999998</v>
      </c>
      <c r="J5845">
        <v>-302.37700000000001</v>
      </c>
      <c r="K5845">
        <v>1.1021700000000001</v>
      </c>
      <c r="L5845">
        <v>-18.665949999999999</v>
      </c>
      <c r="M5845">
        <v>2.3149220000000002E-2</v>
      </c>
      <c r="N5845">
        <v>0</v>
      </c>
      <c r="O5845">
        <v>-0.99969089999999905</v>
      </c>
      <c r="P5845">
        <v>7.0608530000000003E-2</v>
      </c>
      <c r="Q5845">
        <v>4.9937979999999998E-3</v>
      </c>
      <c r="R5845">
        <v>-0.99749169999999998</v>
      </c>
      <c r="S5845">
        <v>6.3598630000000003E-2</v>
      </c>
      <c r="T5845">
        <v>-0.17902899999999999</v>
      </c>
      <c r="U5845">
        <v>-3.0044559999999998</v>
      </c>
      <c r="V5845">
        <v>-4.7421999999999999E-2</v>
      </c>
      <c r="W5845">
        <v>1.431876E-2</v>
      </c>
      <c r="X5845">
        <v>0.99877229999999995</v>
      </c>
      <c r="Y5845">
        <v>2.024737E-3</v>
      </c>
      <c r="Z5845">
        <v>5.9451749999999998E-2</v>
      </c>
      <c r="AA5845">
        <v>0.99822909999999998</v>
      </c>
      <c r="AB5845">
        <v>26</v>
      </c>
      <c r="AC5845">
        <v>0.38799999999997598</v>
      </c>
      <c r="AD5845">
        <v>-1.1021720364530001</v>
      </c>
      <c r="AE5845">
        <v>-18.231539999999999</v>
      </c>
      <c r="AF5845">
        <v>3.4042905433560401E-2</v>
      </c>
      <c r="AG5845">
        <v>-1.1021720364530001</v>
      </c>
      <c r="AH5845">
        <v>18.1692629980469</v>
      </c>
      <c r="AI5845">
        <v>93.471379471221795</v>
      </c>
      <c r="AJ5845">
        <v>89.892647680786894</v>
      </c>
      <c r="AK5845">
        <v>18.202693756956599</v>
      </c>
    </row>
    <row r="5846" spans="1:37" x14ac:dyDescent="0.2">
      <c r="A5846" t="str">
        <f>"20200111155711696"</f>
        <v>20200111155711696</v>
      </c>
      <c r="B5846" t="str">
        <f>"1578729431688741"</f>
        <v>1578729431688741</v>
      </c>
      <c r="C5846" t="s">
        <v>37</v>
      </c>
      <c r="D5846">
        <v>4.6627619999999999</v>
      </c>
      <c r="E5846">
        <v>0.51937959999999905</v>
      </c>
      <c r="F5846" t="s">
        <v>38</v>
      </c>
      <c r="G5846">
        <v>-302.03629999999998</v>
      </c>
      <c r="H5846" s="1">
        <v>-2.1094530000000001E-6</v>
      </c>
      <c r="I5846">
        <v>-36.75665</v>
      </c>
      <c r="J5846">
        <v>-302.37430000000001</v>
      </c>
      <c r="K5846">
        <v>1.1021920000000001</v>
      </c>
      <c r="L5846">
        <v>-18.92456</v>
      </c>
      <c r="M5846">
        <v>2.0158209999999999E-2</v>
      </c>
      <c r="N5846">
        <v>0</v>
      </c>
      <c r="O5846">
        <v>-0.99975290000000006</v>
      </c>
      <c r="P5846">
        <v>6.7330589999999996E-2</v>
      </c>
      <c r="Q5846">
        <v>3.7356400000000001E-3</v>
      </c>
      <c r="R5846">
        <v>-0.99772359999999904</v>
      </c>
      <c r="S5846">
        <v>5.6579589999999999E-2</v>
      </c>
      <c r="T5846">
        <v>-0.18304599999999999</v>
      </c>
      <c r="U5846">
        <v>-3.0044559999999998</v>
      </c>
      <c r="V5846">
        <v>-4.713353E-2</v>
      </c>
      <c r="W5846">
        <v>1.335278E-2</v>
      </c>
      <c r="X5846">
        <v>0.99879929999999995</v>
      </c>
      <c r="Y5846">
        <v>1.3656229999999901E-3</v>
      </c>
      <c r="Z5846">
        <v>6.0788170000000002E-2</v>
      </c>
      <c r="AA5846">
        <v>0.99814979999999998</v>
      </c>
      <c r="AB5846">
        <v>26</v>
      </c>
      <c r="AC5846">
        <v>0.33800000000002201</v>
      </c>
      <c r="AD5846">
        <v>-1.1021941094529999</v>
      </c>
      <c r="AE5846">
        <v>-17.832090000000001</v>
      </c>
      <c r="AF5846">
        <v>2.1465502667978399E-2</v>
      </c>
      <c r="AG5846">
        <v>-1.1021941094529999</v>
      </c>
      <c r="AH5846">
        <v>17.767425285462199</v>
      </c>
      <c r="AI5846">
        <v>93.549766075877599</v>
      </c>
      <c r="AJ5846">
        <v>89.930778821924704</v>
      </c>
      <c r="AK5846">
        <v>17.801592453968901</v>
      </c>
    </row>
    <row r="5847" spans="1:37" x14ac:dyDescent="0.2">
      <c r="A5847" t="str">
        <f>"20200111155711718"</f>
        <v>20200111155711718</v>
      </c>
      <c r="B5847" t="str">
        <f>"1578729431709238"</f>
        <v>1578729431709238</v>
      </c>
      <c r="C5847" t="s">
        <v>37</v>
      </c>
      <c r="D5847">
        <v>4.7899570000000002</v>
      </c>
      <c r="E5847">
        <v>0.51922699999999999</v>
      </c>
      <c r="F5847" t="s">
        <v>38</v>
      </c>
      <c r="G5847">
        <v>-302.09570000000002</v>
      </c>
      <c r="H5847" s="1">
        <v>-2.2433819999999999E-6</v>
      </c>
      <c r="I5847">
        <v>-36.481310000000001</v>
      </c>
      <c r="J5847">
        <v>-302.37240000000003</v>
      </c>
      <c r="K5847">
        <v>1.1022160000000001</v>
      </c>
      <c r="L5847">
        <v>-19.18393</v>
      </c>
      <c r="M5847">
        <v>1.7159609999999999E-2</v>
      </c>
      <c r="N5847">
        <v>0</v>
      </c>
      <c r="O5847">
        <v>-0.99980639999999998</v>
      </c>
      <c r="P5847">
        <v>6.4053330000000006E-2</v>
      </c>
      <c r="Q5847">
        <v>1.6176509999999999E-3</v>
      </c>
      <c r="R5847">
        <v>-0.99794509999999903</v>
      </c>
      <c r="S5847">
        <v>4.7668460000000003E-2</v>
      </c>
      <c r="T5847">
        <v>-0.1886089</v>
      </c>
      <c r="U5847">
        <v>-3.0043329999999999</v>
      </c>
      <c r="V5847">
        <v>-4.6858379999999998E-2</v>
      </c>
      <c r="W5847">
        <v>1.149564E-2</v>
      </c>
      <c r="X5847">
        <v>0.99883539999999904</v>
      </c>
      <c r="Y5847">
        <v>1.327171E-3</v>
      </c>
      <c r="Z5847">
        <v>6.263784E-2</v>
      </c>
      <c r="AA5847">
        <v>0.99803539999999902</v>
      </c>
      <c r="AB5847">
        <v>26</v>
      </c>
      <c r="AC5847">
        <v>0.276700000000005</v>
      </c>
      <c r="AD5847">
        <v>-1.102218243382</v>
      </c>
      <c r="AE5847">
        <v>-17.29738</v>
      </c>
      <c r="AF5847">
        <v>2.0089248393932599E-2</v>
      </c>
      <c r="AG5847">
        <v>-1.102218243382</v>
      </c>
      <c r="AH5847">
        <v>17.229638985071102</v>
      </c>
      <c r="AI5847">
        <v>93.660347866831202</v>
      </c>
      <c r="AJ5847">
        <v>89.933194849528903</v>
      </c>
      <c r="AK5847">
        <v>17.2648703496385</v>
      </c>
    </row>
    <row r="5848" spans="1:37" x14ac:dyDescent="0.2">
      <c r="A5848" t="str">
        <f>"20200111155711741"</f>
        <v>20200111155711741</v>
      </c>
      <c r="B5848" t="str">
        <f>"1578729431738517"</f>
        <v>1578729431738517</v>
      </c>
      <c r="C5848" t="s">
        <v>37</v>
      </c>
      <c r="D5848">
        <v>4.7868190000000004</v>
      </c>
      <c r="E5848">
        <v>0.54403239999999997</v>
      </c>
      <c r="F5848" t="s">
        <v>38</v>
      </c>
      <c r="G5848">
        <v>-302.154</v>
      </c>
      <c r="H5848" s="1">
        <v>-2.4291650000000001E-6</v>
      </c>
      <c r="I5848">
        <v>-36.084420000000001</v>
      </c>
      <c r="J5848">
        <v>-302.37130000000002</v>
      </c>
      <c r="K5848">
        <v>1.1022399999999899</v>
      </c>
      <c r="L5848">
        <v>-19.45065</v>
      </c>
      <c r="M5848">
        <v>1.4077940000000001E-2</v>
      </c>
      <c r="N5848">
        <v>0</v>
      </c>
      <c r="O5848">
        <v>-0.99985219999999897</v>
      </c>
      <c r="P5848">
        <v>5.9872469999999997E-2</v>
      </c>
      <c r="Q5848">
        <v>2.8138600000000001E-3</v>
      </c>
      <c r="R5848">
        <v>-0.99820229999999999</v>
      </c>
      <c r="S5848">
        <v>3.8818360000000003E-2</v>
      </c>
      <c r="T5848">
        <v>-0.19591520000000001</v>
      </c>
      <c r="U5848">
        <v>-3.0039980000000002</v>
      </c>
      <c r="V5848">
        <v>-4.5745439999999998E-2</v>
      </c>
      <c r="W5848">
        <v>1.2917939999999999E-2</v>
      </c>
      <c r="X5848">
        <v>0.99886960000000002</v>
      </c>
      <c r="Y5848">
        <v>1.1849569999999999E-3</v>
      </c>
      <c r="Z5848">
        <v>6.50675E-2</v>
      </c>
      <c r="AA5848">
        <v>0.99788019999999999</v>
      </c>
      <c r="AB5848">
        <v>26</v>
      </c>
      <c r="AC5848">
        <v>0.217300000000022</v>
      </c>
      <c r="AD5848">
        <v>-1.1022424291649999</v>
      </c>
      <c r="AE5848">
        <v>-16.633769999999998</v>
      </c>
      <c r="AF5848">
        <v>1.6828274095496601E-2</v>
      </c>
      <c r="AG5848">
        <v>-1.1022424291649999</v>
      </c>
      <c r="AH5848">
        <v>16.562465776731798</v>
      </c>
      <c r="AI5848">
        <v>93.8074534768121</v>
      </c>
      <c r="AJ5848">
        <v>89.941784709875705</v>
      </c>
      <c r="AK5848">
        <v>16.5991112463551</v>
      </c>
    </row>
    <row r="5849" spans="1:37" x14ac:dyDescent="0.2">
      <c r="A5849" t="str">
        <f>"20200111155711763"</f>
        <v>20200111155711763</v>
      </c>
      <c r="B5849" t="str">
        <f>"1578729431759013"</f>
        <v>1578729431759013</v>
      </c>
      <c r="C5849" t="s">
        <v>37</v>
      </c>
      <c r="D5849">
        <v>4.7343999999999999</v>
      </c>
      <c r="E5849">
        <v>0.59498200000000001</v>
      </c>
      <c r="F5849" t="s">
        <v>40</v>
      </c>
      <c r="G5849">
        <v>-302.42439999999999</v>
      </c>
      <c r="H5849">
        <v>1.0453920000000001</v>
      </c>
      <c r="I5849">
        <v>-20.384119999999999</v>
      </c>
      <c r="J5849">
        <v>-302.37099999999998</v>
      </c>
      <c r="K5849">
        <v>1.10226</v>
      </c>
      <c r="L5849">
        <v>-19.71942</v>
      </c>
      <c r="M5849">
        <v>1.0980810000000001E-2</v>
      </c>
      <c r="N5849">
        <v>0</v>
      </c>
      <c r="O5849">
        <v>-0.99988929999999998</v>
      </c>
      <c r="P5849">
        <v>5.6142879999999999E-2</v>
      </c>
      <c r="Q5849">
        <v>5.0015409999999998E-4</v>
      </c>
      <c r="R5849">
        <v>-0.99842299999999995</v>
      </c>
      <c r="S5849">
        <v>-0.17156979999999999</v>
      </c>
      <c r="T5849">
        <v>-0.1835898</v>
      </c>
      <c r="U5849">
        <v>-3.0162049999999998</v>
      </c>
      <c r="V5849">
        <v>-4.5118800000000001E-2</v>
      </c>
      <c r="W5849">
        <v>1.080236E-2</v>
      </c>
      <c r="X5849">
        <v>0.99892320000000001</v>
      </c>
      <c r="Y5849">
        <v>6.7646590000000006E-2</v>
      </c>
      <c r="Z5849">
        <v>6.0631440000000002E-2</v>
      </c>
      <c r="AA5849">
        <v>0.99586529999999995</v>
      </c>
      <c r="AB5849">
        <v>26</v>
      </c>
      <c r="AC5849">
        <v>-5.3400000000010502E-2</v>
      </c>
      <c r="AD5849">
        <v>-5.6867999999999898E-2</v>
      </c>
      <c r="AE5849">
        <v>-0.66470000000000296</v>
      </c>
      <c r="AF5849">
        <v>6.0257860248552203E-2</v>
      </c>
      <c r="AG5849">
        <v>-5.6867999999999898E-2</v>
      </c>
      <c r="AH5849">
        <v>0.65927883452370994</v>
      </c>
      <c r="AI5849">
        <v>94.909645953261006</v>
      </c>
      <c r="AJ5849">
        <v>84.777695271054796</v>
      </c>
      <c r="AK5849">
        <v>0.66446486799278903</v>
      </c>
    </row>
    <row r="5850" spans="1:37" x14ac:dyDescent="0.2">
      <c r="A5850" t="str">
        <f>"20200111155711786"</f>
        <v>20200111155711786</v>
      </c>
      <c r="B5850" t="str">
        <f>"1578729431778533"</f>
        <v>1578729431778533</v>
      </c>
      <c r="C5850" t="s">
        <v>37</v>
      </c>
      <c r="D5850">
        <v>4.7098139999999997</v>
      </c>
      <c r="E5850">
        <v>0.59974099999999997</v>
      </c>
      <c r="F5850" t="s">
        <v>75</v>
      </c>
      <c r="G5850">
        <v>-308.61989999999997</v>
      </c>
      <c r="H5850" s="1">
        <v>-6.8886119999999999E-6</v>
      </c>
      <c r="I5850">
        <v>-51.988509999999998</v>
      </c>
      <c r="J5850">
        <v>-302.37150000000003</v>
      </c>
      <c r="K5850">
        <v>1.1022700000000001</v>
      </c>
      <c r="L5850">
        <v>-19.98096</v>
      </c>
      <c r="M5850">
        <v>7.9762129999999994E-3</v>
      </c>
      <c r="N5850">
        <v>0</v>
      </c>
      <c r="O5850">
        <v>-0.99991580000000002</v>
      </c>
      <c r="P5850">
        <v>5.4142259999999998E-2</v>
      </c>
      <c r="Q5850">
        <v>-1.2282510000000001E-3</v>
      </c>
      <c r="R5850">
        <v>-0.99853259999999899</v>
      </c>
      <c r="S5850">
        <v>-0.58828740000000002</v>
      </c>
      <c r="T5850">
        <v>-0.1037694</v>
      </c>
      <c r="U5850">
        <v>-3.0378720000000001</v>
      </c>
      <c r="V5850">
        <v>-4.6127880000000003E-2</v>
      </c>
      <c r="W5850">
        <v>9.2474740000000003E-3</v>
      </c>
      <c r="X5850">
        <v>0.99889269999999997</v>
      </c>
      <c r="Y5850">
        <v>0.1978375</v>
      </c>
      <c r="Z5850">
        <v>3.3488940000000002E-2</v>
      </c>
      <c r="AA5850">
        <v>0.97966260000000005</v>
      </c>
      <c r="AB5850">
        <v>26</v>
      </c>
      <c r="AC5850">
        <v>-6.2483999999999398</v>
      </c>
      <c r="AD5850">
        <v>-1.102276888612</v>
      </c>
      <c r="AE5850">
        <v>-32.007549999999902</v>
      </c>
      <c r="AF5850">
        <v>6.4960922307353499</v>
      </c>
      <c r="AG5850">
        <v>-1.102276888612</v>
      </c>
      <c r="AH5850">
        <v>31.920223597629001</v>
      </c>
      <c r="AI5850">
        <v>91.938070265612495</v>
      </c>
      <c r="AJ5850">
        <v>78.496812469401803</v>
      </c>
      <c r="AK5850">
        <v>32.593172646000902</v>
      </c>
    </row>
    <row r="5851" spans="1:37" x14ac:dyDescent="0.2">
      <c r="A5851" t="str">
        <f>"20200111155711807"</f>
        <v>20200111155711807</v>
      </c>
      <c r="B5851" t="str">
        <f>"1578729431799030"</f>
        <v>1578729431799030</v>
      </c>
      <c r="C5851" t="s">
        <v>37</v>
      </c>
      <c r="D5851">
        <v>4.7174649999999998</v>
      </c>
      <c r="E5851">
        <v>0.60133199999999998</v>
      </c>
      <c r="F5851" t="s">
        <v>75</v>
      </c>
      <c r="G5851">
        <v>-308.73880000000003</v>
      </c>
      <c r="H5851" s="1">
        <v>-6.3167169999999999E-6</v>
      </c>
      <c r="I5851">
        <v>-50.587009999999999</v>
      </c>
      <c r="J5851">
        <v>-302.37270000000001</v>
      </c>
      <c r="K5851">
        <v>1.1022809999999901</v>
      </c>
      <c r="L5851">
        <v>-20.234829999999999</v>
      </c>
      <c r="M5851">
        <v>5.074266E-3</v>
      </c>
      <c r="N5851">
        <v>0</v>
      </c>
      <c r="O5851">
        <v>-0.99993339999999997</v>
      </c>
      <c r="P5851">
        <v>5.24349E-2</v>
      </c>
      <c r="Q5851">
        <v>-1.2393549999999999E-3</v>
      </c>
      <c r="R5851">
        <v>-0.998623699999999</v>
      </c>
      <c r="S5851">
        <v>-0.63214110000000001</v>
      </c>
      <c r="T5851">
        <v>-0.10943310000000001</v>
      </c>
      <c r="U5851">
        <v>-3.0385439999999999</v>
      </c>
      <c r="V5851">
        <v>-4.7318560000000003E-2</v>
      </c>
      <c r="W5851">
        <v>9.3800289999999998E-3</v>
      </c>
      <c r="X5851">
        <v>0.99883580000000005</v>
      </c>
      <c r="Y5851">
        <v>0.20851889999999901</v>
      </c>
      <c r="Z5851">
        <v>3.5218800000000001E-2</v>
      </c>
      <c r="AA5851">
        <v>0.97738400000000003</v>
      </c>
      <c r="AB5851">
        <v>26</v>
      </c>
      <c r="AC5851">
        <v>-6.3661000000000101</v>
      </c>
      <c r="AD5851">
        <v>-1.10228731671699</v>
      </c>
      <c r="AE5851">
        <v>-30.352180000000001</v>
      </c>
      <c r="AF5851">
        <v>6.5118148449411803</v>
      </c>
      <c r="AG5851">
        <v>-1.10228731671699</v>
      </c>
      <c r="AH5851">
        <v>30.281229333109302</v>
      </c>
      <c r="AI5851">
        <v>92.038187655389393</v>
      </c>
      <c r="AJ5851">
        <v>77.863677372133196</v>
      </c>
      <c r="AK5851">
        <v>30.993089872223901</v>
      </c>
    </row>
    <row r="5852" spans="1:37" x14ac:dyDescent="0.2">
      <c r="A5852" t="str">
        <f>"20200111155711830"</f>
        <v>20200111155711830</v>
      </c>
      <c r="B5852" t="str">
        <f>"1578729431818549"</f>
        <v>1578729431818549</v>
      </c>
      <c r="C5852" t="s">
        <v>37</v>
      </c>
      <c r="D5852">
        <v>4.7186890000000004</v>
      </c>
      <c r="E5852">
        <v>0.60206029999999999</v>
      </c>
      <c r="F5852" t="s">
        <v>75</v>
      </c>
      <c r="G5852">
        <v>-309.13619999999997</v>
      </c>
      <c r="H5852" s="1">
        <v>-6.8720109999999997E-6</v>
      </c>
      <c r="I5852">
        <v>-51.846779999999903</v>
      </c>
      <c r="J5852">
        <v>-302.37470000000002</v>
      </c>
      <c r="K5852">
        <v>1.10229</v>
      </c>
      <c r="L5852">
        <v>-20.498989999999999</v>
      </c>
      <c r="M5852">
        <v>2.0757639999999999E-3</v>
      </c>
      <c r="N5852">
        <v>0</v>
      </c>
      <c r="O5852">
        <v>-0.99994269999999996</v>
      </c>
      <c r="P5852">
        <v>5.0516650000000003E-2</v>
      </c>
      <c r="Q5852">
        <v>-2.1938229999999902E-3</v>
      </c>
      <c r="R5852">
        <v>-0.99872090000000002</v>
      </c>
      <c r="S5852">
        <v>-0.65002439999999995</v>
      </c>
      <c r="T5852">
        <v>-0.1059382</v>
      </c>
      <c r="U5852">
        <v>-3.0381469999999999</v>
      </c>
      <c r="V5852">
        <v>-4.8400039999999998E-2</v>
      </c>
      <c r="W5852">
        <v>8.5479809999999996E-3</v>
      </c>
      <c r="X5852">
        <v>0.99879150000000005</v>
      </c>
      <c r="Y5852">
        <v>0.21112719999999999</v>
      </c>
      <c r="Z5852">
        <v>3.4070209999999997E-2</v>
      </c>
      <c r="AA5852">
        <v>0.97686459999999997</v>
      </c>
      <c r="AB5852">
        <v>26</v>
      </c>
      <c r="AC5852">
        <v>-6.7614999999999501</v>
      </c>
      <c r="AD5852">
        <v>-1.102296872011</v>
      </c>
      <c r="AE5852">
        <v>-31.34779</v>
      </c>
      <c r="AF5852">
        <v>6.8185035610700604</v>
      </c>
      <c r="AG5852">
        <v>-1.102296872011</v>
      </c>
      <c r="AH5852">
        <v>31.296709292501799</v>
      </c>
      <c r="AI5852">
        <v>91.970975607257103</v>
      </c>
      <c r="AJ5852">
        <v>77.709232442135601</v>
      </c>
      <c r="AK5852">
        <v>32.049821555599003</v>
      </c>
    </row>
    <row r="5853" spans="1:37" x14ac:dyDescent="0.2">
      <c r="A5853" t="str">
        <f>"20200111155711875"</f>
        <v>20200111155711875</v>
      </c>
      <c r="B5853" t="str">
        <f>"1578729431869301"</f>
        <v>1578729431869301</v>
      </c>
      <c r="C5853" t="s">
        <v>37</v>
      </c>
      <c r="D5853">
        <v>4.7178800000000001</v>
      </c>
      <c r="E5853">
        <v>0.60265780000000002</v>
      </c>
      <c r="F5853" t="s">
        <v>75</v>
      </c>
      <c r="G5853">
        <v>-308.9212</v>
      </c>
      <c r="H5853" s="1">
        <v>-6.314276E-6</v>
      </c>
      <c r="I5853">
        <v>-50.555019999999999</v>
      </c>
      <c r="J5853">
        <v>-302.38099999999997</v>
      </c>
      <c r="K5853">
        <v>1.1022909999999999</v>
      </c>
      <c r="L5853">
        <v>-21.02731</v>
      </c>
      <c r="M5853">
        <v>-3.8617129999999902E-3</v>
      </c>
      <c r="N5853">
        <v>0</v>
      </c>
      <c r="O5853">
        <v>-0.99993549999999998</v>
      </c>
      <c r="P5853">
        <v>4.6194529999999998E-2</v>
      </c>
      <c r="Q5853">
        <v>-6.9392789999999996E-3</v>
      </c>
      <c r="R5853">
        <v>-0.99890829999999997</v>
      </c>
      <c r="S5853">
        <v>-0.66149899999999995</v>
      </c>
      <c r="T5853">
        <v>-0.111383</v>
      </c>
      <c r="U5853">
        <v>-3.037048</v>
      </c>
      <c r="V5853">
        <v>-5.0032130000000001E-2</v>
      </c>
      <c r="W5853">
        <v>3.9823590000000004E-3</v>
      </c>
      <c r="X5853">
        <v>0.99873969999999901</v>
      </c>
      <c r="Y5853">
        <v>0.2089085</v>
      </c>
      <c r="Z5853">
        <v>3.5825929999999999E-2</v>
      </c>
      <c r="AA5853">
        <v>0.9772788</v>
      </c>
      <c r="AB5853">
        <v>26</v>
      </c>
      <c r="AC5853">
        <v>-6.54020000000002</v>
      </c>
      <c r="AD5853">
        <v>-1.102297314276</v>
      </c>
      <c r="AE5853">
        <v>-29.527709999999999</v>
      </c>
      <c r="AF5853">
        <v>6.4175918755829802</v>
      </c>
      <c r="AG5853">
        <v>-1.102297314276</v>
      </c>
      <c r="AH5853">
        <v>29.513541018601799</v>
      </c>
      <c r="AI5853">
        <v>92.090140133617197</v>
      </c>
      <c r="AJ5853">
        <v>77.732251624469299</v>
      </c>
      <c r="AK5853">
        <v>30.223329537085998</v>
      </c>
    </row>
    <row r="5854" spans="1:37" x14ac:dyDescent="0.2">
      <c r="A5854" t="str">
        <f>"20200111155711897"</f>
        <v>20200111155711897</v>
      </c>
      <c r="B5854" t="str">
        <f>"1578729431888821"</f>
        <v>1578729431888821</v>
      </c>
      <c r="C5854" t="s">
        <v>37</v>
      </c>
      <c r="D5854">
        <v>4.7062200000000001</v>
      </c>
      <c r="E5854">
        <v>0.60326899999999894</v>
      </c>
      <c r="F5854" t="s">
        <v>75</v>
      </c>
      <c r="G5854">
        <v>-308.34429999999998</v>
      </c>
      <c r="H5854" s="1">
        <v>-5.1314199999999901E-6</v>
      </c>
      <c r="I5854">
        <v>-47.651159999999997</v>
      </c>
      <c r="J5854">
        <v>-302.3852</v>
      </c>
      <c r="K5854">
        <v>1.10229</v>
      </c>
      <c r="L5854">
        <v>-21.289760000000001</v>
      </c>
      <c r="M5854">
        <v>-6.7891879999999998E-3</v>
      </c>
      <c r="N5854">
        <v>0</v>
      </c>
      <c r="O5854">
        <v>-0.99991909999999895</v>
      </c>
      <c r="P5854">
        <v>4.4598319999999997E-2</v>
      </c>
      <c r="Q5854">
        <v>-9.4636849999999995E-3</v>
      </c>
      <c r="R5854">
        <v>-0.99896010000000002</v>
      </c>
      <c r="S5854">
        <v>-0.67953490000000005</v>
      </c>
      <c r="T5854">
        <v>-0.125609</v>
      </c>
      <c r="U5854">
        <v>-3.03384399999999</v>
      </c>
      <c r="V5854">
        <v>-5.1372559999999998E-2</v>
      </c>
      <c r="W5854">
        <v>1.530472E-3</v>
      </c>
      <c r="X5854">
        <v>0.99867839999999997</v>
      </c>
      <c r="Y5854">
        <v>0.21176039999999999</v>
      </c>
      <c r="Z5854">
        <v>4.0397040000000002E-2</v>
      </c>
      <c r="AA5854">
        <v>0.97648639999999998</v>
      </c>
      <c r="AB5854">
        <v>26</v>
      </c>
      <c r="AC5854">
        <v>-5.9590999999999701</v>
      </c>
      <c r="AD5854">
        <v>-1.10229513142</v>
      </c>
      <c r="AE5854">
        <v>-26.3614</v>
      </c>
      <c r="AF5854">
        <v>5.7703809428663098</v>
      </c>
      <c r="AG5854">
        <v>-1.10229513142</v>
      </c>
      <c r="AH5854">
        <v>26.3574074526571</v>
      </c>
      <c r="AI5854">
        <v>92.339431554542699</v>
      </c>
      <c r="AJ5854">
        <v>77.651166802356201</v>
      </c>
      <c r="AK5854">
        <v>27.004171500120702</v>
      </c>
    </row>
    <row r="5855" spans="1:37" x14ac:dyDescent="0.2">
      <c r="A5855" t="str">
        <f>"20200111155711920"</f>
        <v>20200111155711920</v>
      </c>
      <c r="B5855" t="str">
        <f>"1578729431908341"</f>
        <v>1578729431908341</v>
      </c>
      <c r="C5855" t="s">
        <v>37</v>
      </c>
      <c r="D5855">
        <v>4.7329970000000001</v>
      </c>
      <c r="E5855">
        <v>0.60375529999999999</v>
      </c>
      <c r="F5855" t="s">
        <v>75</v>
      </c>
      <c r="G5855">
        <v>-308.06330000000003</v>
      </c>
      <c r="H5855" s="1">
        <v>-4.6162930000000002E-6</v>
      </c>
      <c r="I5855">
        <v>-46.279940000000003</v>
      </c>
      <c r="J5855">
        <v>-302.39019999999999</v>
      </c>
      <c r="K5855">
        <v>1.1022879999999999</v>
      </c>
      <c r="L5855">
        <v>-21.551210000000001</v>
      </c>
      <c r="M5855">
        <v>-9.6955310000000003E-3</v>
      </c>
      <c r="N5855">
        <v>0</v>
      </c>
      <c r="O5855">
        <v>-0.99989490000000003</v>
      </c>
      <c r="P5855">
        <v>4.2341030000000002E-2</v>
      </c>
      <c r="Q5855">
        <v>-1.169189E-2</v>
      </c>
      <c r="R5855">
        <v>-0.99903500000000001</v>
      </c>
      <c r="S5855">
        <v>-0.68905640000000001</v>
      </c>
      <c r="T5855">
        <v>-0.13376640000000001</v>
      </c>
      <c r="U5855">
        <v>-3.0326230000000001</v>
      </c>
      <c r="V5855">
        <v>-5.2029770000000003E-2</v>
      </c>
      <c r="W5855">
        <v>-6.3908040000000001E-4</v>
      </c>
      <c r="X5855">
        <v>0.99864529999999996</v>
      </c>
      <c r="Y5855">
        <v>0.21189669999999999</v>
      </c>
      <c r="Z5855">
        <v>4.301572E-2</v>
      </c>
      <c r="AA5855">
        <v>0.97634489999999996</v>
      </c>
      <c r="AB5855">
        <v>26</v>
      </c>
      <c r="AC5855">
        <v>-5.67310000000003</v>
      </c>
      <c r="AD5855">
        <v>-1.102292616293</v>
      </c>
      <c r="AE5855">
        <v>-24.728729999999999</v>
      </c>
      <c r="AF5855">
        <v>5.4228249948942198</v>
      </c>
      <c r="AG5855">
        <v>-1.102292616293</v>
      </c>
      <c r="AH5855">
        <v>24.735882548319999</v>
      </c>
      <c r="AI5855">
        <v>92.492439873655599</v>
      </c>
      <c r="AJ5855">
        <v>77.634719100805498</v>
      </c>
      <c r="AK5855">
        <v>25.347306866439801</v>
      </c>
    </row>
    <row r="5856" spans="1:37" x14ac:dyDescent="0.2">
      <c r="A5856" t="str">
        <f>"20200111155711942"</f>
        <v>20200111155711942</v>
      </c>
      <c r="B5856" t="str">
        <f>"1578729431938599"</f>
        <v>1578729431938599</v>
      </c>
      <c r="C5856" t="s">
        <v>37</v>
      </c>
      <c r="D5856">
        <v>4.7540250000000004</v>
      </c>
      <c r="E5856">
        <v>0.60441269999999903</v>
      </c>
      <c r="F5856" t="s">
        <v>75</v>
      </c>
      <c r="G5856">
        <v>-307.89429999999999</v>
      </c>
      <c r="H5856" s="1">
        <v>-4.2838189999999999E-6</v>
      </c>
      <c r="I5856">
        <v>-45.390009999999997</v>
      </c>
      <c r="J5856">
        <v>-302.39620000000002</v>
      </c>
      <c r="K5856">
        <v>1.102277</v>
      </c>
      <c r="L5856">
        <v>-21.821899999999999</v>
      </c>
      <c r="M5856">
        <v>-1.2698869999999999E-2</v>
      </c>
      <c r="N5856">
        <v>0</v>
      </c>
      <c r="O5856">
        <v>-0.99986049999999904</v>
      </c>
      <c r="P5856">
        <v>3.9445399999999999E-2</v>
      </c>
      <c r="Q5856">
        <v>-1.2797330000000001E-2</v>
      </c>
      <c r="R5856">
        <v>-0.99913969999999896</v>
      </c>
      <c r="S5856">
        <v>-0.69979859999999905</v>
      </c>
      <c r="T5856">
        <v>-0.14014769999999999</v>
      </c>
      <c r="U5856">
        <v>-3.0309140000000001</v>
      </c>
      <c r="V5856">
        <v>-5.2140180000000001E-2</v>
      </c>
      <c r="W5856">
        <v>-1.695074E-3</v>
      </c>
      <c r="X5856">
        <v>0.99863829999999998</v>
      </c>
      <c r="Y5856">
        <v>0.2123478</v>
      </c>
      <c r="Z5856">
        <v>4.506624E-2</v>
      </c>
      <c r="AA5856">
        <v>0.97615439999999998</v>
      </c>
      <c r="AB5856">
        <v>26</v>
      </c>
      <c r="AC5856">
        <v>-5.49809999999996</v>
      </c>
      <c r="AD5856">
        <v>-1.1022812838189999</v>
      </c>
      <c r="AE5856">
        <v>-23.568110000000001</v>
      </c>
      <c r="AF5856">
        <v>5.1875887958596199</v>
      </c>
      <c r="AG5856">
        <v>-1.1022812838189999</v>
      </c>
      <c r="AH5856">
        <v>23.587100881166201</v>
      </c>
      <c r="AI5856">
        <v>92.613254929255902</v>
      </c>
      <c r="AJ5856">
        <v>77.596227044995601</v>
      </c>
      <c r="AK5856">
        <v>24.175968016232499</v>
      </c>
    </row>
    <row r="5857" spans="1:37" x14ac:dyDescent="0.2">
      <c r="A5857" t="str">
        <f>"20200111155711963"</f>
        <v>20200111155711963</v>
      </c>
      <c r="B5857" t="str">
        <f>"1578729431959093"</f>
        <v>1578729431959093</v>
      </c>
      <c r="C5857" t="s">
        <v>37</v>
      </c>
      <c r="D5857">
        <v>4.7380089999999999</v>
      </c>
      <c r="E5857">
        <v>0.60488560000000002</v>
      </c>
      <c r="F5857" t="s">
        <v>75</v>
      </c>
      <c r="G5857">
        <v>-307.9572</v>
      </c>
      <c r="H5857" s="1">
        <v>-4.304868E-6</v>
      </c>
      <c r="I5857">
        <v>-45.425400000000003</v>
      </c>
      <c r="J5857">
        <v>-302.40280000000001</v>
      </c>
      <c r="K5857">
        <v>1.1022670000000001</v>
      </c>
      <c r="L5857">
        <v>-22.08249</v>
      </c>
      <c r="M5857">
        <v>-1.558792E-2</v>
      </c>
      <c r="N5857">
        <v>0</v>
      </c>
      <c r="O5857">
        <v>-0.99981949999999997</v>
      </c>
      <c r="P5857">
        <v>3.6484929999999999E-2</v>
      </c>
      <c r="Q5857">
        <v>-1.4013869999999999E-2</v>
      </c>
      <c r="R5857">
        <v>-0.99923619999999902</v>
      </c>
      <c r="S5857">
        <v>-0.71362300000000001</v>
      </c>
      <c r="T5857">
        <v>-0.14145089999999999</v>
      </c>
      <c r="U5857">
        <v>-3.028931</v>
      </c>
      <c r="V5857">
        <v>-5.2072889999999997E-2</v>
      </c>
      <c r="W5857">
        <v>-2.8715590000000001E-3</v>
      </c>
      <c r="X5857">
        <v>0.99863919999999995</v>
      </c>
      <c r="Y5857">
        <v>0.2138852</v>
      </c>
      <c r="Z5857">
        <v>4.547963E-2</v>
      </c>
      <c r="AA5857">
        <v>0.97579959999999899</v>
      </c>
      <c r="AB5857">
        <v>26</v>
      </c>
      <c r="AC5857">
        <v>-5.5543999999999798</v>
      </c>
      <c r="AD5857">
        <v>-1.102271304868</v>
      </c>
      <c r="AE5857">
        <v>-23.34291</v>
      </c>
      <c r="AF5857">
        <v>5.1789070301304996</v>
      </c>
      <c r="AG5857">
        <v>-1.102271304868</v>
      </c>
      <c r="AH5857">
        <v>23.377326517111499</v>
      </c>
      <c r="AI5857">
        <v>92.635760220227397</v>
      </c>
      <c r="AJ5857">
        <v>77.508694042558304</v>
      </c>
      <c r="AK5857">
        <v>23.969469646696702</v>
      </c>
    </row>
    <row r="5858" spans="1:37" x14ac:dyDescent="0.2">
      <c r="A5858" t="str">
        <f>"20200111155711986"</f>
        <v>20200111155711986</v>
      </c>
      <c r="B5858" t="str">
        <f>"1578729431978614"</f>
        <v>1578729431978614</v>
      </c>
      <c r="C5858" t="s">
        <v>37</v>
      </c>
      <c r="D5858">
        <v>4.7358599999999997</v>
      </c>
      <c r="E5858">
        <v>0.605174199999999</v>
      </c>
      <c r="F5858" t="s">
        <v>75</v>
      </c>
      <c r="G5858">
        <v>-307.94330000000002</v>
      </c>
      <c r="H5858" s="1">
        <v>-4.1562439999999996E-6</v>
      </c>
      <c r="I5858">
        <v>-45.175669999999997</v>
      </c>
      <c r="J5858">
        <v>-302.4101</v>
      </c>
      <c r="K5858">
        <v>1.102258</v>
      </c>
      <c r="L5858">
        <v>-22.344449999999998</v>
      </c>
      <c r="M5858">
        <v>-1.8493140000000002E-2</v>
      </c>
      <c r="N5858">
        <v>0</v>
      </c>
      <c r="O5858">
        <v>-0.99976929999999997</v>
      </c>
      <c r="P5858">
        <v>3.3156949999999998E-2</v>
      </c>
      <c r="Q5858">
        <v>-1.487161E-2</v>
      </c>
      <c r="R5858">
        <v>-0.99933930000000004</v>
      </c>
      <c r="S5858">
        <v>-0.72619630000000002</v>
      </c>
      <c r="T5858">
        <v>-0.1444733</v>
      </c>
      <c r="U5858">
        <v>-3.02679399999999</v>
      </c>
      <c r="V5858">
        <v>-5.1652749999999997E-2</v>
      </c>
      <c r="W5858">
        <v>-3.6980859999999902E-3</v>
      </c>
      <c r="X5858">
        <v>0.99865820000000005</v>
      </c>
      <c r="Y5858">
        <v>0.21502640000000001</v>
      </c>
      <c r="Z5858">
        <v>4.6449780000000003E-2</v>
      </c>
      <c r="AA5858">
        <v>0.97550300000000001</v>
      </c>
      <c r="AB5858">
        <v>26</v>
      </c>
      <c r="AC5858">
        <v>-5.5332000000000203</v>
      </c>
      <c r="AD5858">
        <v>-1.102262156244</v>
      </c>
      <c r="AE5858">
        <v>-22.831219999999998</v>
      </c>
      <c r="AF5858">
        <v>5.0987823755392903</v>
      </c>
      <c r="AG5858">
        <v>-1.102262156244</v>
      </c>
      <c r="AH5858">
        <v>22.879278058029801</v>
      </c>
      <c r="AI5858">
        <v>92.692279241385805</v>
      </c>
      <c r="AJ5858">
        <v>77.436597792334993</v>
      </c>
      <c r="AK5858">
        <v>23.466442594284398</v>
      </c>
    </row>
    <row r="5859" spans="1:37" x14ac:dyDescent="0.2">
      <c r="A5859" t="str">
        <f>"20200111155712008"</f>
        <v>20200111155712008</v>
      </c>
      <c r="B5859" t="str">
        <f>"1578729431999110"</f>
        <v>1578729431999110</v>
      </c>
      <c r="C5859" t="s">
        <v>37</v>
      </c>
      <c r="D5859">
        <v>4.7615619999999996</v>
      </c>
      <c r="E5859">
        <v>0.60535050000000001</v>
      </c>
      <c r="F5859" t="s">
        <v>75</v>
      </c>
      <c r="G5859">
        <v>-307.98320000000001</v>
      </c>
      <c r="H5859" s="1">
        <v>-4.1526319999999999E-6</v>
      </c>
      <c r="I5859">
        <v>-45.161250000000003</v>
      </c>
      <c r="J5859">
        <v>-302.41829999999999</v>
      </c>
      <c r="K5859">
        <v>1.102257</v>
      </c>
      <c r="L5859">
        <v>-22.612029999999901</v>
      </c>
      <c r="M5859">
        <v>-2.1464190000000001E-2</v>
      </c>
      <c r="N5859">
        <v>0</v>
      </c>
      <c r="O5859">
        <v>-0.99970969999999904</v>
      </c>
      <c r="P5859">
        <v>2.9611760000000001E-2</v>
      </c>
      <c r="Q5859">
        <v>-1.5916329999999999E-2</v>
      </c>
      <c r="R5859">
        <v>-0.99943459999999995</v>
      </c>
      <c r="S5859">
        <v>-0.73870849999999999</v>
      </c>
      <c r="T5859">
        <v>-0.1461027</v>
      </c>
      <c r="U5859">
        <v>-3.0243229999999999</v>
      </c>
      <c r="V5859">
        <v>-5.1083469999999999E-2</v>
      </c>
      <c r="W5859">
        <v>-4.721996E-3</v>
      </c>
      <c r="X5859">
        <v>0.99868319999999999</v>
      </c>
      <c r="Y5859">
        <v>0.21611140000000001</v>
      </c>
      <c r="Z5859">
        <v>4.69773E-2</v>
      </c>
      <c r="AA5859">
        <v>0.97523789999999999</v>
      </c>
      <c r="AB5859">
        <v>26</v>
      </c>
      <c r="AC5859">
        <v>-5.5649000000000202</v>
      </c>
      <c r="AD5859">
        <v>-1.1022611526320001</v>
      </c>
      <c r="AE5859">
        <v>-22.549219999999998</v>
      </c>
      <c r="AF5859">
        <v>5.0681729219011196</v>
      </c>
      <c r="AG5859">
        <v>-1.1022611526320001</v>
      </c>
      <c r="AH5859">
        <v>22.6125470376154</v>
      </c>
      <c r="AI5859">
        <v>92.723248426997799</v>
      </c>
      <c r="AJ5859">
        <v>77.3670158460979</v>
      </c>
      <c r="AK5859">
        <v>23.199755169899198</v>
      </c>
    </row>
    <row r="5860" spans="1:37" x14ac:dyDescent="0.2">
      <c r="A5860" t="str">
        <f>"20200111155712031"</f>
        <v>20200111155712031</v>
      </c>
      <c r="B5860" t="str">
        <f>"1578729432028390"</f>
        <v>1578729432028390</v>
      </c>
      <c r="C5860" t="s">
        <v>37</v>
      </c>
      <c r="D5860">
        <v>4.8665760000000002</v>
      </c>
      <c r="E5860">
        <v>0.60547010000000001</v>
      </c>
      <c r="F5860" t="s">
        <v>75</v>
      </c>
      <c r="G5860">
        <v>-308.00630000000001</v>
      </c>
      <c r="H5860" s="1">
        <v>-4.1204889999999997E-6</v>
      </c>
      <c r="I5860">
        <v>-45.105620000000002</v>
      </c>
      <c r="J5860">
        <v>-302.4273</v>
      </c>
      <c r="K5860">
        <v>1.102249</v>
      </c>
      <c r="L5860">
        <v>-22.8779</v>
      </c>
      <c r="M5860">
        <v>-2.4419730000000001E-2</v>
      </c>
      <c r="N5860">
        <v>0</v>
      </c>
      <c r="O5860">
        <v>-0.99964169999999997</v>
      </c>
      <c r="P5860">
        <v>2.6835729999999999E-2</v>
      </c>
      <c r="Q5860">
        <v>-1.5039500000000001E-2</v>
      </c>
      <c r="R5860">
        <v>-0.99952669999999999</v>
      </c>
      <c r="S5860">
        <v>-0.75064090000000006</v>
      </c>
      <c r="T5860">
        <v>-0.14806739999999999</v>
      </c>
      <c r="U5860">
        <v>-3.021576</v>
      </c>
      <c r="V5860">
        <v>-5.1257480000000001E-2</v>
      </c>
      <c r="W5860">
        <v>-3.8278589999999999E-3</v>
      </c>
      <c r="X5860">
        <v>0.99867809999999901</v>
      </c>
      <c r="Y5860">
        <v>0.21705259999999901</v>
      </c>
      <c r="Z5860">
        <v>4.7617439999999997E-2</v>
      </c>
      <c r="AA5860">
        <v>0.97499780000000003</v>
      </c>
      <c r="AB5860">
        <v>26</v>
      </c>
      <c r="AC5860">
        <v>-5.5789999999999997</v>
      </c>
      <c r="AD5860">
        <v>-1.102253120489</v>
      </c>
      <c r="AE5860">
        <v>-22.227720000000001</v>
      </c>
      <c r="AF5860">
        <v>5.0228888958881699</v>
      </c>
      <c r="AG5860">
        <v>-1.102253120489</v>
      </c>
      <c r="AH5860">
        <v>22.305735733314599</v>
      </c>
      <c r="AI5860">
        <v>92.760008072138703</v>
      </c>
      <c r="AJ5860">
        <v>77.309596895700395</v>
      </c>
      <c r="AK5860">
        <v>22.890832693603201</v>
      </c>
    </row>
    <row r="5861" spans="1:37" x14ac:dyDescent="0.2">
      <c r="A5861" t="str">
        <f>"20200111155712121"</f>
        <v>20200111155712121</v>
      </c>
      <c r="B5861" t="str">
        <f>"1578729432108421"</f>
        <v>1578729432108421</v>
      </c>
      <c r="C5861" t="s">
        <v>37</v>
      </c>
      <c r="D5861">
        <v>5.3119670000000001</v>
      </c>
      <c r="E5861">
        <v>0.56487189999999998</v>
      </c>
      <c r="F5861" t="s">
        <v>75</v>
      </c>
      <c r="G5861">
        <v>-308.31849999999997</v>
      </c>
      <c r="H5861" s="1">
        <v>-4.6545489999999999E-6</v>
      </c>
      <c r="I5861">
        <v>-46.287799999999997</v>
      </c>
      <c r="J5861">
        <v>-302.47129999999999</v>
      </c>
      <c r="K5861">
        <v>1.102314</v>
      </c>
      <c r="L5861">
        <v>-23.94388</v>
      </c>
      <c r="M5861">
        <v>-3.6277919999999998E-2</v>
      </c>
      <c r="N5861">
        <v>0</v>
      </c>
      <c r="O5861">
        <v>-0.99928130000000004</v>
      </c>
      <c r="P5861">
        <v>2.0073980000000002E-2</v>
      </c>
      <c r="Q5861">
        <v>-6.1597819999999999E-3</v>
      </c>
      <c r="R5861">
        <v>-0.99977950000000004</v>
      </c>
      <c r="S5861">
        <v>-0.75991819999999999</v>
      </c>
      <c r="T5861">
        <v>-0.14218159999999999</v>
      </c>
      <c r="U5861">
        <v>-3.0196839999999998</v>
      </c>
      <c r="V5861">
        <v>-5.6307120000000002E-2</v>
      </c>
      <c r="W5861">
        <v>5.1153120000000003E-3</v>
      </c>
      <c r="X5861">
        <v>0.99840039999999997</v>
      </c>
      <c r="Y5861">
        <v>0.20844659999999901</v>
      </c>
      <c r="Z5861">
        <v>4.5758229999999997E-2</v>
      </c>
      <c r="AA5861">
        <v>0.97696269999999996</v>
      </c>
      <c r="AB5861">
        <v>26</v>
      </c>
      <c r="AC5861">
        <v>-5.8471999999999804</v>
      </c>
      <c r="AD5861">
        <v>-1.102318654549</v>
      </c>
      <c r="AE5861">
        <v>-22.343920000000001</v>
      </c>
      <c r="AF5861">
        <v>5.02127285926949</v>
      </c>
      <c r="AG5861">
        <v>-1.102318654549</v>
      </c>
      <c r="AH5861">
        <v>22.490117679792</v>
      </c>
      <c r="AI5861">
        <v>92.738697102164494</v>
      </c>
      <c r="AJ5861">
        <v>77.414229115334095</v>
      </c>
      <c r="AK5861">
        <v>23.0701903068504</v>
      </c>
    </row>
    <row r="5862" spans="1:37" x14ac:dyDescent="0.2">
      <c r="A5862" t="str">
        <f>"20200111155712434"</f>
        <v>20200111155712434</v>
      </c>
      <c r="B5862" t="str">
        <f>"1578729432428549"</f>
        <v>1578729432428549</v>
      </c>
      <c r="C5862" t="s">
        <v>37</v>
      </c>
      <c r="D5862">
        <v>4.8586150000000004</v>
      </c>
      <c r="E5862">
        <v>0.40195209999999998</v>
      </c>
      <c r="F5862" t="s">
        <v>75</v>
      </c>
      <c r="G5862">
        <v>-292.29680000000002</v>
      </c>
      <c r="H5862" s="1">
        <v>-1.149162E-5</v>
      </c>
      <c r="I5862">
        <v>-65.155889999999999</v>
      </c>
      <c r="J5862">
        <v>-302.70999999999998</v>
      </c>
      <c r="K5862">
        <v>1.1037429999999999</v>
      </c>
      <c r="L5862">
        <v>-27.654170000000001</v>
      </c>
      <c r="M5862">
        <v>-6.9830589999999998E-2</v>
      </c>
      <c r="N5862">
        <v>0</v>
      </c>
      <c r="O5862">
        <v>-0.99748309999999996</v>
      </c>
      <c r="P5862">
        <v>1.086348E-2</v>
      </c>
      <c r="Q5862">
        <v>-1.334498E-4</v>
      </c>
      <c r="R5862">
        <v>-0.99994110000000003</v>
      </c>
      <c r="S5862">
        <v>0.82284550000000001</v>
      </c>
      <c r="T5862">
        <v>-8.7362999999999996E-2</v>
      </c>
      <c r="U5862">
        <v>-2.9891969999999999</v>
      </c>
      <c r="V5862">
        <v>-8.0639340000000004E-2</v>
      </c>
      <c r="W5862">
        <v>1.232337E-2</v>
      </c>
      <c r="X5862">
        <v>0.99666710000000003</v>
      </c>
      <c r="Y5862">
        <v>-0.33198139999999998</v>
      </c>
      <c r="Z5862">
        <v>2.7762099999999901E-2</v>
      </c>
      <c r="AA5862">
        <v>0.94287730000000003</v>
      </c>
      <c r="AB5862">
        <v>26</v>
      </c>
      <c r="AC5862">
        <v>10.4131999999999</v>
      </c>
      <c r="AD5862">
        <v>-1.1037544916199999</v>
      </c>
      <c r="AE5862">
        <v>-37.501719999999999</v>
      </c>
      <c r="AF5862">
        <v>-12.9962891604963</v>
      </c>
      <c r="AG5862">
        <v>-1.1037544916199999</v>
      </c>
      <c r="AH5862">
        <v>36.653466323190699</v>
      </c>
      <c r="AI5862">
        <v>91.625728664538101</v>
      </c>
      <c r="AJ5862">
        <v>109.523076231139</v>
      </c>
      <c r="AK5862">
        <v>38.9049919602393</v>
      </c>
    </row>
    <row r="5863" spans="1:37" x14ac:dyDescent="0.2">
      <c r="A5863" t="str">
        <f>"20200111155712455"</f>
        <v>20200111155712455</v>
      </c>
      <c r="B5863" t="str">
        <f>"1578729432449045"</f>
        <v>1578729432449045</v>
      </c>
      <c r="C5863" t="s">
        <v>37</v>
      </c>
      <c r="D5863">
        <v>4.8019030000000003</v>
      </c>
      <c r="E5863">
        <v>0.40119460000000001</v>
      </c>
      <c r="F5863" t="s">
        <v>75</v>
      </c>
      <c r="G5863">
        <v>-292.72460000000001</v>
      </c>
      <c r="H5863" s="1">
        <v>-1.1478699999999901E-5</v>
      </c>
      <c r="I5863">
        <v>-64.307749999999999</v>
      </c>
      <c r="J5863">
        <v>-302.7294</v>
      </c>
      <c r="K5863">
        <v>1.1039729999999901</v>
      </c>
      <c r="L5863">
        <v>-27.91309</v>
      </c>
      <c r="M5863">
        <v>-7.0798699999999895E-2</v>
      </c>
      <c r="N5863">
        <v>0</v>
      </c>
      <c r="O5863">
        <v>-0.99741239999999998</v>
      </c>
      <c r="P5863">
        <v>9.0736069999999992E-3</v>
      </c>
      <c r="Q5863">
        <v>-5.0262309999999895E-4</v>
      </c>
      <c r="R5863">
        <v>-0.99995879999999904</v>
      </c>
      <c r="S5863">
        <v>0.81491089999999999</v>
      </c>
      <c r="T5863">
        <v>-9.0077519999999994E-2</v>
      </c>
      <c r="U5863">
        <v>-2.9913020000000001</v>
      </c>
      <c r="V5863">
        <v>-7.9829689999999995E-2</v>
      </c>
      <c r="W5863">
        <v>1.21069E-2</v>
      </c>
      <c r="X5863">
        <v>0.99673500000000004</v>
      </c>
      <c r="Y5863">
        <v>-0.33039370000000001</v>
      </c>
      <c r="Z5863">
        <v>2.861959E-2</v>
      </c>
      <c r="AA5863">
        <v>0.94340919999999895</v>
      </c>
      <c r="AB5863">
        <v>26</v>
      </c>
      <c r="AC5863">
        <v>10.0047999999999</v>
      </c>
      <c r="AD5863">
        <v>-1.1039844786999999</v>
      </c>
      <c r="AE5863">
        <v>-36.394659999999902</v>
      </c>
      <c r="AF5863">
        <v>-12.545853159121499</v>
      </c>
      <c r="AG5863">
        <v>-1.1039844786999999</v>
      </c>
      <c r="AH5863">
        <v>35.564510807712502</v>
      </c>
      <c r="AI5863">
        <v>91.676780580096505</v>
      </c>
      <c r="AJ5863">
        <v>109.430970178995</v>
      </c>
      <c r="AK5863">
        <v>37.728658102447099</v>
      </c>
    </row>
    <row r="5864" spans="1:37" x14ac:dyDescent="0.2">
      <c r="A5864" t="str">
        <f>"20200111155712478"</f>
        <v>20200111155712478</v>
      </c>
      <c r="B5864" t="str">
        <f>"1578729432468565"</f>
        <v>1578729432468565</v>
      </c>
      <c r="C5864" t="s">
        <v>37</v>
      </c>
      <c r="D5864">
        <v>4.8548859999999996</v>
      </c>
      <c r="E5864">
        <v>0.40108280000000002</v>
      </c>
      <c r="F5864" t="s">
        <v>75</v>
      </c>
      <c r="G5864">
        <v>-293.2328</v>
      </c>
      <c r="H5864" s="1">
        <v>-1.133203E-5</v>
      </c>
      <c r="I5864">
        <v>-62.760909999999903</v>
      </c>
      <c r="J5864">
        <v>-302.74900000000002</v>
      </c>
      <c r="K5864">
        <v>1.1042110000000001</v>
      </c>
      <c r="L5864">
        <v>-28.175259999999898</v>
      </c>
      <c r="M5864">
        <v>-7.1510840000000006E-2</v>
      </c>
      <c r="N5864">
        <v>0</v>
      </c>
      <c r="O5864">
        <v>-0.99735929999999995</v>
      </c>
      <c r="P5864">
        <v>6.4340669999999999E-3</v>
      </c>
      <c r="Q5864">
        <v>-5.9000730000000003E-4</v>
      </c>
      <c r="R5864">
        <v>-0.99997950000000002</v>
      </c>
      <c r="S5864">
        <v>0.81555180000000005</v>
      </c>
      <c r="T5864">
        <v>-9.4808459999999997E-2</v>
      </c>
      <c r="U5864">
        <v>-2.9926759999999999</v>
      </c>
      <c r="V5864">
        <v>-7.7916029999999997E-2</v>
      </c>
      <c r="W5864">
        <v>1.215887E-2</v>
      </c>
      <c r="X5864">
        <v>0.99688580000000004</v>
      </c>
      <c r="Y5864">
        <v>-0.33113429999999999</v>
      </c>
      <c r="Z5864">
        <v>3.0100709999999999E-2</v>
      </c>
      <c r="AA5864">
        <v>0.94310339999999904</v>
      </c>
      <c r="AB5864">
        <v>26</v>
      </c>
      <c r="AC5864">
        <v>9.5162000000000209</v>
      </c>
      <c r="AD5864">
        <v>-1.10422233203</v>
      </c>
      <c r="AE5864">
        <v>-34.585650000000001</v>
      </c>
      <c r="AF5864">
        <v>-11.9539528405515</v>
      </c>
      <c r="AG5864">
        <v>-1.10422233203</v>
      </c>
      <c r="AH5864">
        <v>33.7845098798268</v>
      </c>
      <c r="AI5864">
        <v>91.764859789849694</v>
      </c>
      <c r="AJ5864">
        <v>109.485276429218</v>
      </c>
      <c r="AK5864">
        <v>35.854001217336901</v>
      </c>
    </row>
    <row r="5865" spans="1:37" x14ac:dyDescent="0.2">
      <c r="A5865" t="str">
        <f>"20200111155712545"</f>
        <v>20200111155712545</v>
      </c>
      <c r="B5865" t="str">
        <f>"1578729432538837"</f>
        <v>1578729432538837</v>
      </c>
      <c r="C5865" t="s">
        <v>37</v>
      </c>
      <c r="D5865">
        <v>4.7794809999999996</v>
      </c>
      <c r="E5865">
        <v>0.399779299999999</v>
      </c>
      <c r="F5865" t="s">
        <v>75</v>
      </c>
      <c r="G5865">
        <v>-293.76130000000001</v>
      </c>
      <c r="H5865" s="1">
        <v>-1.121347E-5</v>
      </c>
      <c r="I5865">
        <v>-61.489849999999997</v>
      </c>
      <c r="J5865">
        <v>-302.80680000000001</v>
      </c>
      <c r="K5865">
        <v>1.1047499999999999</v>
      </c>
      <c r="L5865">
        <v>-28.960750000000001</v>
      </c>
      <c r="M5865">
        <v>-7.2192480000000003E-2</v>
      </c>
      <c r="N5865">
        <v>0</v>
      </c>
      <c r="O5865">
        <v>-0.99730450000000004</v>
      </c>
      <c r="P5865" s="1">
        <v>-8.2188269999999998E-5</v>
      </c>
      <c r="Q5865">
        <v>1.286433E-3</v>
      </c>
      <c r="R5865">
        <v>-0.99999919999999998</v>
      </c>
      <c r="S5865">
        <v>0.80795289999999997</v>
      </c>
      <c r="T5865">
        <v>-9.9264030000000003E-2</v>
      </c>
      <c r="U5865">
        <v>-2.994812</v>
      </c>
      <c r="V5865">
        <v>-7.2114269999999994E-2</v>
      </c>
      <c r="W5865">
        <v>1.437454E-2</v>
      </c>
      <c r="X5865">
        <v>0.99729279999999998</v>
      </c>
      <c r="Y5865">
        <v>-0.32936779999999999</v>
      </c>
      <c r="Z5865">
        <v>3.1510080000000003E-2</v>
      </c>
      <c r="AA5865">
        <v>0.94367579999999995</v>
      </c>
      <c r="AB5865">
        <v>26</v>
      </c>
      <c r="AC5865">
        <v>9.0455000000000005</v>
      </c>
      <c r="AD5865">
        <v>-1.10476121347</v>
      </c>
      <c r="AE5865">
        <v>-32.5291</v>
      </c>
      <c r="AF5865">
        <v>-11.3582913339205</v>
      </c>
      <c r="AG5865">
        <v>-1.10476121347</v>
      </c>
      <c r="AH5865">
        <v>31.757133921837799</v>
      </c>
      <c r="AI5865">
        <v>91.876096048523607</v>
      </c>
      <c r="AJ5865">
        <v>109.68015372365601</v>
      </c>
      <c r="AK5865">
        <v>33.7453231469865</v>
      </c>
    </row>
    <row r="5866" spans="1:37" x14ac:dyDescent="0.2">
      <c r="A5866" t="str">
        <f>"20200111155712568"</f>
        <v>20200111155712568</v>
      </c>
      <c r="B5866" t="str">
        <f>"1578729432558357"</f>
        <v>1578729432558357</v>
      </c>
      <c r="C5866" t="s">
        <v>37</v>
      </c>
      <c r="D5866">
        <v>4.8266210000000003</v>
      </c>
      <c r="E5866">
        <v>0.39871089999999998</v>
      </c>
      <c r="F5866" t="s">
        <v>75</v>
      </c>
      <c r="G5866">
        <v>-293.8021</v>
      </c>
      <c r="H5866" s="1">
        <v>-1.151702E-5</v>
      </c>
      <c r="I5866">
        <v>-62.806080000000001</v>
      </c>
      <c r="J5866">
        <v>-302.82560000000001</v>
      </c>
      <c r="K5866">
        <v>1.1048359999999999</v>
      </c>
      <c r="L5866">
        <v>-29.22025</v>
      </c>
      <c r="M5866">
        <v>-7.2132130000000003E-2</v>
      </c>
      <c r="N5866">
        <v>0</v>
      </c>
      <c r="O5866">
        <v>-0.99730769999999902</v>
      </c>
      <c r="P5866">
        <v>-5.7498260000000002E-4</v>
      </c>
      <c r="Q5866">
        <v>1.1012750000000001E-3</v>
      </c>
      <c r="R5866">
        <v>-0.99999950000000004</v>
      </c>
      <c r="S5866">
        <v>0.79821779999999998</v>
      </c>
      <c r="T5866">
        <v>-9.7930429999999999E-2</v>
      </c>
      <c r="U5866">
        <v>-3.0001829999999998</v>
      </c>
      <c r="V5866">
        <v>-7.1565569999999995E-2</v>
      </c>
      <c r="W5866">
        <v>1.428538E-2</v>
      </c>
      <c r="X5866">
        <v>0.99733359999999904</v>
      </c>
      <c r="Y5866">
        <v>-0.32602999999999999</v>
      </c>
      <c r="Z5866">
        <v>3.1065079999999998E-2</v>
      </c>
      <c r="AA5866">
        <v>0.94484889999999999</v>
      </c>
      <c r="AB5866">
        <v>26</v>
      </c>
      <c r="AC5866">
        <v>9.0235000000000092</v>
      </c>
      <c r="AD5866">
        <v>-1.1048475170200001</v>
      </c>
      <c r="AE5866">
        <v>-33.585830000000001</v>
      </c>
      <c r="AF5866">
        <v>-11.4113015610359</v>
      </c>
      <c r="AG5866">
        <v>-1.1048475170200001</v>
      </c>
      <c r="AH5866">
        <v>32.814265812758897</v>
      </c>
      <c r="AI5866">
        <v>91.821487124429098</v>
      </c>
      <c r="AJ5866">
        <v>109.17533802040499</v>
      </c>
      <c r="AK5866">
        <v>34.759380491935801</v>
      </c>
    </row>
    <row r="5867" spans="1:37" x14ac:dyDescent="0.2">
      <c r="A5867" t="str">
        <f>"20200111155712589"</f>
        <v>20200111155712589</v>
      </c>
      <c r="B5867" t="str">
        <f>"1578729432578853"</f>
        <v>1578729432578853</v>
      </c>
      <c r="C5867" t="s">
        <v>37</v>
      </c>
      <c r="D5867">
        <v>4.7876609999999999</v>
      </c>
      <c r="E5867">
        <v>0.39696729999999902</v>
      </c>
      <c r="F5867" t="s">
        <v>75</v>
      </c>
      <c r="G5867">
        <v>-293.86489999999998</v>
      </c>
      <c r="H5867" s="1">
        <v>-1.1496E-5</v>
      </c>
      <c r="I5867">
        <v>-62.623660000000001</v>
      </c>
      <c r="J5867">
        <v>-302.84440000000001</v>
      </c>
      <c r="K5867">
        <v>1.104878</v>
      </c>
      <c r="L5867">
        <v>-29.479489999999998</v>
      </c>
      <c r="M5867">
        <v>-7.2023669999999998E-2</v>
      </c>
      <c r="N5867">
        <v>0</v>
      </c>
      <c r="O5867">
        <v>-0.99731419999999904</v>
      </c>
      <c r="P5867">
        <v>-3.7714749999999999E-4</v>
      </c>
      <c r="Q5867">
        <v>-9.2678649999999895E-4</v>
      </c>
      <c r="R5867">
        <v>-0.99999979999999999</v>
      </c>
      <c r="S5867">
        <v>0.80493159999999997</v>
      </c>
      <c r="T5867">
        <v>-9.9246860000000006E-2</v>
      </c>
      <c r="U5867">
        <v>-3.0005799999999998</v>
      </c>
      <c r="V5867">
        <v>-7.1655860000000002E-2</v>
      </c>
      <c r="W5867">
        <v>1.2345299999999899E-2</v>
      </c>
      <c r="X5867">
        <v>0.99735300000000005</v>
      </c>
      <c r="Y5867">
        <v>-0.32786569999999998</v>
      </c>
      <c r="Z5867">
        <v>3.1459349999999997E-2</v>
      </c>
      <c r="AA5867">
        <v>0.94420040000000005</v>
      </c>
      <c r="AB5867">
        <v>26</v>
      </c>
      <c r="AC5867">
        <v>8.97950000000003</v>
      </c>
      <c r="AD5867">
        <v>-1.104889496</v>
      </c>
      <c r="AE5867">
        <v>-33.144170000000003</v>
      </c>
      <c r="AF5867">
        <v>-11.3318197171902</v>
      </c>
      <c r="AG5867">
        <v>-1.104889496</v>
      </c>
      <c r="AH5867">
        <v>32.377762614182302</v>
      </c>
      <c r="AI5867">
        <v>91.844815812042</v>
      </c>
      <c r="AJ5867">
        <v>109.28942004103</v>
      </c>
      <c r="AK5867">
        <v>34.321282476061597</v>
      </c>
    </row>
    <row r="5868" spans="1:37" x14ac:dyDescent="0.2">
      <c r="A5868" t="str">
        <f>"20200111155712791"</f>
        <v>20200111155712791</v>
      </c>
      <c r="B5868" t="str">
        <f>"1578729432788693"</f>
        <v>1578729432788693</v>
      </c>
      <c r="C5868" t="s">
        <v>37</v>
      </c>
      <c r="D5868">
        <v>5.1951039999999997</v>
      </c>
      <c r="E5868">
        <v>0.485508</v>
      </c>
      <c r="F5868" t="s">
        <v>75</v>
      </c>
      <c r="G5868">
        <v>-294.10180000000003</v>
      </c>
      <c r="H5868" s="1">
        <v>-1.1320080000000001E-5</v>
      </c>
      <c r="I5868">
        <v>-61.498459999999902</v>
      </c>
      <c r="J5868">
        <v>-303.010999999999</v>
      </c>
      <c r="K5868">
        <v>1.105</v>
      </c>
      <c r="L5868">
        <v>-31.8093</v>
      </c>
      <c r="M5868">
        <v>-7.1097510000000003E-2</v>
      </c>
      <c r="N5868">
        <v>0</v>
      </c>
      <c r="O5868">
        <v>-0.99737439999999999</v>
      </c>
      <c r="P5868">
        <v>1.3809499999999999E-3</v>
      </c>
      <c r="Q5868">
        <v>-8.5690030000000004E-3</v>
      </c>
      <c r="R5868">
        <v>-0.99996209999999996</v>
      </c>
      <c r="S5868">
        <v>0.81918329999999995</v>
      </c>
      <c r="T5868">
        <v>-0.1035295</v>
      </c>
      <c r="U5868">
        <v>-3.0002140000000002</v>
      </c>
      <c r="V5868">
        <v>-7.2481249999999997E-2</v>
      </c>
      <c r="W5868">
        <v>5.1267559999999997E-3</v>
      </c>
      <c r="X5868">
        <v>0.99735659999999904</v>
      </c>
      <c r="Y5868">
        <v>-0.33118340000000002</v>
      </c>
      <c r="Z5868">
        <v>3.2782989999999998E-2</v>
      </c>
      <c r="AA5868">
        <v>0.94299669999999902</v>
      </c>
      <c r="AB5868">
        <v>26</v>
      </c>
      <c r="AC5868">
        <v>8.9091999999999398</v>
      </c>
      <c r="AD5868">
        <v>-1.10501132007999</v>
      </c>
      <c r="AE5868">
        <v>-29.689159999999902</v>
      </c>
      <c r="AF5868">
        <v>-10.983716597310901</v>
      </c>
      <c r="AG5868">
        <v>-1.10501132007999</v>
      </c>
      <c r="AH5868">
        <v>28.9437486035932</v>
      </c>
      <c r="AI5868">
        <v>92.044257298743403</v>
      </c>
      <c r="AJ5868">
        <v>110.780999315827</v>
      </c>
      <c r="AK5868">
        <v>30.977470257197499</v>
      </c>
    </row>
    <row r="5869" spans="1:37" x14ac:dyDescent="0.2">
      <c r="A5869" t="str">
        <f>"20200111155712813"</f>
        <v>20200111155712813</v>
      </c>
      <c r="B5869" t="str">
        <f>"1578729432809189"</f>
        <v>1578729432809189</v>
      </c>
      <c r="C5869" t="s">
        <v>37</v>
      </c>
      <c r="D5869">
        <v>5.1832649999999996</v>
      </c>
      <c r="E5869">
        <v>0.48755500000000002</v>
      </c>
      <c r="F5869" t="s">
        <v>75</v>
      </c>
      <c r="G5869">
        <v>-302.50450000000001</v>
      </c>
      <c r="H5869" s="1">
        <v>-3.1151459999999899E-6</v>
      </c>
      <c r="I5869">
        <v>-44.729179999999999</v>
      </c>
      <c r="J5869">
        <v>-303.02870000000001</v>
      </c>
      <c r="K5869">
        <v>1.1051249999999999</v>
      </c>
      <c r="L5869">
        <v>-32.064579999999999</v>
      </c>
      <c r="M5869">
        <v>-7.0655460000000003E-2</v>
      </c>
      <c r="N5869">
        <v>0</v>
      </c>
      <c r="O5869">
        <v>-0.9974056</v>
      </c>
      <c r="P5869">
        <v>9.7892630000000007E-4</v>
      </c>
      <c r="Q5869">
        <v>-5.6933979999999997E-3</v>
      </c>
      <c r="R5869">
        <v>-0.99998339999999997</v>
      </c>
      <c r="S5869">
        <v>0.11752319999999999</v>
      </c>
      <c r="T5869">
        <v>-0.2563916</v>
      </c>
      <c r="U5869">
        <v>-2.9977719999999999</v>
      </c>
      <c r="V5869">
        <v>-7.1642869999999997E-2</v>
      </c>
      <c r="W5869">
        <v>8.0063119999999998E-3</v>
      </c>
      <c r="X5869">
        <v>0.99739820000000001</v>
      </c>
      <c r="Y5869">
        <v>-0.10954179999999999</v>
      </c>
      <c r="Z5869">
        <v>8.4608130000000004E-2</v>
      </c>
      <c r="AA5869">
        <v>0.99037469999999905</v>
      </c>
      <c r="AB5869">
        <v>26</v>
      </c>
      <c r="AC5869">
        <v>0.52420000000000699</v>
      </c>
      <c r="AD5869">
        <v>-1.105128115146</v>
      </c>
      <c r="AE5869">
        <v>-12.6646</v>
      </c>
      <c r="AF5869">
        <v>-1.40710168923515</v>
      </c>
      <c r="AG5869">
        <v>-1.105128115146</v>
      </c>
      <c r="AH5869">
        <v>12.5008759295667</v>
      </c>
      <c r="AI5869">
        <v>95.020504729401495</v>
      </c>
      <c r="AJ5869">
        <v>96.422195495340006</v>
      </c>
      <c r="AK5869">
        <v>12.6282675898618</v>
      </c>
    </row>
    <row r="5870" spans="1:37" x14ac:dyDescent="0.2">
      <c r="A5870" t="str">
        <f>"20200111155712835"</f>
        <v>20200111155712835</v>
      </c>
      <c r="B5870" t="str">
        <f>"1578729432828709"</f>
        <v>1578729432828709</v>
      </c>
      <c r="C5870" t="s">
        <v>37</v>
      </c>
      <c r="D5870">
        <v>5.1697239999999898</v>
      </c>
      <c r="E5870">
        <v>0.48798729999999901</v>
      </c>
      <c r="F5870" t="s">
        <v>75</v>
      </c>
      <c r="G5870">
        <v>-302.5829</v>
      </c>
      <c r="H5870" s="1">
        <v>-3.5512259999999999E-6</v>
      </c>
      <c r="I5870">
        <v>-45.410049999999998</v>
      </c>
      <c r="J5870">
        <v>-303.04629999999997</v>
      </c>
      <c r="K5870">
        <v>1.10527</v>
      </c>
      <c r="L5870">
        <v>-32.320619999999998</v>
      </c>
      <c r="M5870">
        <v>-7.0015099999999997E-2</v>
      </c>
      <c r="N5870">
        <v>0</v>
      </c>
      <c r="O5870">
        <v>-0.99745039999999996</v>
      </c>
      <c r="P5870">
        <v>1.5231419999999999E-3</v>
      </c>
      <c r="Q5870">
        <v>-4.3522270000000002E-3</v>
      </c>
      <c r="R5870">
        <v>-0.99998940000000003</v>
      </c>
      <c r="S5870">
        <v>0.10018919999999901</v>
      </c>
      <c r="T5870">
        <v>-0.24830650000000001</v>
      </c>
      <c r="U5870">
        <v>-2.998535</v>
      </c>
      <c r="V5870">
        <v>-7.1550260000000004E-2</v>
      </c>
      <c r="W5870">
        <v>9.3428379999999991E-3</v>
      </c>
      <c r="X5870">
        <v>0.99739330000000004</v>
      </c>
      <c r="Y5870">
        <v>-0.1031815</v>
      </c>
      <c r="Z5870">
        <v>8.1980059999999993E-2</v>
      </c>
      <c r="AA5870">
        <v>0.9912784</v>
      </c>
      <c r="AB5870">
        <v>26</v>
      </c>
      <c r="AC5870">
        <v>0.463399999999978</v>
      </c>
      <c r="AD5870">
        <v>-1.1052735512259999</v>
      </c>
      <c r="AE5870">
        <v>-13.08943</v>
      </c>
      <c r="AF5870">
        <v>-1.3690583035611701</v>
      </c>
      <c r="AG5870">
        <v>-1.1052735512259999</v>
      </c>
      <c r="AH5870">
        <v>12.932756482891101</v>
      </c>
      <c r="AI5870">
        <v>94.857793526321103</v>
      </c>
      <c r="AJ5870">
        <v>96.042811181331103</v>
      </c>
      <c r="AK5870">
        <v>13.0519017965717</v>
      </c>
    </row>
    <row r="5871" spans="1:37" x14ac:dyDescent="0.2">
      <c r="A5871" t="str">
        <f>"20200111155712857"</f>
        <v>20200111155712857</v>
      </c>
      <c r="B5871" t="str">
        <f>"1578729432849205"</f>
        <v>1578729432849205</v>
      </c>
      <c r="C5871" t="s">
        <v>37</v>
      </c>
      <c r="D5871">
        <v>5.2337920000000002</v>
      </c>
      <c r="E5871">
        <v>0.48812709999999998</v>
      </c>
      <c r="F5871" t="s">
        <v>75</v>
      </c>
      <c r="G5871">
        <v>-302.60379999999998</v>
      </c>
      <c r="H5871" s="1">
        <v>-3.6946810000000001E-6</v>
      </c>
      <c r="I5871">
        <v>-45.814880000000002</v>
      </c>
      <c r="J5871">
        <v>-303.06310000000002</v>
      </c>
      <c r="K5871">
        <v>1.105434</v>
      </c>
      <c r="L5871">
        <v>-32.572569999999999</v>
      </c>
      <c r="M5871">
        <v>-6.9154110000000005E-2</v>
      </c>
      <c r="N5871">
        <v>0</v>
      </c>
      <c r="O5871">
        <v>-0.99751049999999997</v>
      </c>
      <c r="P5871">
        <v>2.589895E-3</v>
      </c>
      <c r="Q5871">
        <v>-4.4949159999999998E-3</v>
      </c>
      <c r="R5871">
        <v>-0.99998690000000001</v>
      </c>
      <c r="S5871">
        <v>9.8327639999999994E-2</v>
      </c>
      <c r="T5871">
        <v>-0.24562319999999899</v>
      </c>
      <c r="U5871">
        <v>-2.99880999999999</v>
      </c>
      <c r="V5871">
        <v>-7.175629E-2</v>
      </c>
      <c r="W5871">
        <v>9.1878729999999992E-3</v>
      </c>
      <c r="X5871">
        <v>0.99737989999999999</v>
      </c>
      <c r="Y5871">
        <v>-0.10170750000000001</v>
      </c>
      <c r="Z5871">
        <v>8.1107059999999995E-2</v>
      </c>
      <c r="AA5871">
        <v>0.99150249999999995</v>
      </c>
      <c r="AB5871">
        <v>26</v>
      </c>
      <c r="AC5871">
        <v>0.45930000000004101</v>
      </c>
      <c r="AD5871">
        <v>-1.1054376946810001</v>
      </c>
      <c r="AE5871">
        <v>-13.24231</v>
      </c>
      <c r="AF5871">
        <v>-1.3645501469836201</v>
      </c>
      <c r="AG5871">
        <v>-1.1054376946810001</v>
      </c>
      <c r="AH5871">
        <v>13.087743485832901</v>
      </c>
      <c r="AI5871">
        <v>94.802040485915498</v>
      </c>
      <c r="AJ5871">
        <v>95.952248531419002</v>
      </c>
      <c r="AK5871">
        <v>13.205037642938199</v>
      </c>
    </row>
    <row r="5872" spans="1:37" x14ac:dyDescent="0.2">
      <c r="A5872" t="str">
        <f>"20200111155712880"</f>
        <v>20200111155712880</v>
      </c>
      <c r="B5872" t="str">
        <f>"1578729432868725"</f>
        <v>1578729432868725</v>
      </c>
      <c r="C5872" t="s">
        <v>37</v>
      </c>
      <c r="D5872">
        <v>5.2534830000000001</v>
      </c>
      <c r="E5872">
        <v>0.48833169999999998</v>
      </c>
      <c r="F5872" t="s">
        <v>75</v>
      </c>
      <c r="G5872">
        <v>-302.61900000000003</v>
      </c>
      <c r="H5872" s="1">
        <v>-3.7013279999999898E-6</v>
      </c>
      <c r="I5872">
        <v>-45.827939999999998</v>
      </c>
      <c r="J5872">
        <v>-303.07979999999998</v>
      </c>
      <c r="K5872">
        <v>1.1056280000000001</v>
      </c>
      <c r="L5872">
        <v>-32.832430000000002</v>
      </c>
      <c r="M5872">
        <v>-6.7961960000000002E-2</v>
      </c>
      <c r="N5872">
        <v>0</v>
      </c>
      <c r="O5872">
        <v>-0.99759200000000003</v>
      </c>
      <c r="P5872">
        <v>5.2241789999999998E-3</v>
      </c>
      <c r="Q5872">
        <v>-5.0846809999999997E-3</v>
      </c>
      <c r="R5872">
        <v>-0.99997349999999996</v>
      </c>
      <c r="S5872">
        <v>0.10046389999999999</v>
      </c>
      <c r="T5872">
        <v>-0.25007459999999998</v>
      </c>
      <c r="U5872">
        <v>-2.9986570000000001</v>
      </c>
      <c r="V5872">
        <v>-7.3195259999999998E-2</v>
      </c>
      <c r="W5872">
        <v>8.5751600000000001E-3</v>
      </c>
      <c r="X5872">
        <v>0.99728079999999997</v>
      </c>
      <c r="Y5872">
        <v>-0.1012218</v>
      </c>
      <c r="Z5872">
        <v>8.2582359999999994E-2</v>
      </c>
      <c r="AA5872">
        <v>0.99143040000000004</v>
      </c>
      <c r="AB5872">
        <v>26</v>
      </c>
      <c r="AC5872">
        <v>0.46079999999994897</v>
      </c>
      <c r="AD5872">
        <v>-1.1056317013279999</v>
      </c>
      <c r="AE5872">
        <v>-12.995509999999999</v>
      </c>
      <c r="AF5872">
        <v>-1.33338000504919</v>
      </c>
      <c r="AG5872">
        <v>-1.1056317013279999</v>
      </c>
      <c r="AH5872">
        <v>12.841305606613</v>
      </c>
      <c r="AI5872">
        <v>94.894821728643706</v>
      </c>
      <c r="AJ5872">
        <v>95.928076703137805</v>
      </c>
      <c r="AK5872">
        <v>12.957602146202699</v>
      </c>
    </row>
    <row r="5873" spans="1:37" x14ac:dyDescent="0.2">
      <c r="A5873" t="str">
        <f>"20200111155712902"</f>
        <v>20200111155712902</v>
      </c>
      <c r="B5873" t="str">
        <f>"1578729432898981"</f>
        <v>1578729432898981</v>
      </c>
      <c r="C5873" t="s">
        <v>37</v>
      </c>
      <c r="D5873">
        <v>5.1867359999999998</v>
      </c>
      <c r="E5873">
        <v>0.48837700000000001</v>
      </c>
      <c r="F5873" t="s">
        <v>75</v>
      </c>
      <c r="G5873">
        <v>-302.61869999999999</v>
      </c>
      <c r="H5873" s="1">
        <v>-3.6642800000000001E-6</v>
      </c>
      <c r="I5873">
        <v>-45.721339999999998</v>
      </c>
      <c r="J5873">
        <v>-303.09550000000002</v>
      </c>
      <c r="K5873">
        <v>1.105834</v>
      </c>
      <c r="L5873">
        <v>-33.084780000000002</v>
      </c>
      <c r="M5873">
        <v>-6.6485100000000005E-2</v>
      </c>
      <c r="N5873">
        <v>0</v>
      </c>
      <c r="O5873">
        <v>-0.99769149999999995</v>
      </c>
      <c r="P5873">
        <v>8.7214679999999996E-3</v>
      </c>
      <c r="Q5873">
        <v>-5.6304609999999998E-3</v>
      </c>
      <c r="R5873">
        <v>-0.99994629999999995</v>
      </c>
      <c r="S5873">
        <v>0.1072693</v>
      </c>
      <c r="T5873">
        <v>-0.25719039999999999</v>
      </c>
      <c r="U5873">
        <v>-2.9981990000000001</v>
      </c>
      <c r="V5873">
        <v>-7.5209860000000003E-2</v>
      </c>
      <c r="W5873">
        <v>8.0001139999999991E-3</v>
      </c>
      <c r="X5873">
        <v>0.99713560000000001</v>
      </c>
      <c r="Y5873">
        <v>-0.10199469999999999</v>
      </c>
      <c r="Z5873">
        <v>8.4934239999999994E-2</v>
      </c>
      <c r="AA5873">
        <v>0.99115249999999999</v>
      </c>
      <c r="AB5873">
        <v>26</v>
      </c>
      <c r="AC5873">
        <v>0.47680000000002498</v>
      </c>
      <c r="AD5873">
        <v>-1.1058376642800001</v>
      </c>
      <c r="AE5873">
        <v>-12.636559999999999</v>
      </c>
      <c r="AF5873">
        <v>-1.30598100171745</v>
      </c>
      <c r="AG5873">
        <v>-1.1058376642800001</v>
      </c>
      <c r="AH5873">
        <v>12.481442958462999</v>
      </c>
      <c r="AI5873">
        <v>95.035753513667999</v>
      </c>
      <c r="AJ5873">
        <v>95.973340134807003</v>
      </c>
      <c r="AK5873">
        <v>12.5982094617431</v>
      </c>
    </row>
    <row r="5874" spans="1:37" x14ac:dyDescent="0.2">
      <c r="A5874" t="str">
        <f>"20200111155712924"</f>
        <v>20200111155712924</v>
      </c>
      <c r="B5874" t="str">
        <f>"1578729432919477"</f>
        <v>1578729432919477</v>
      </c>
      <c r="C5874" t="s">
        <v>37</v>
      </c>
      <c r="D5874">
        <v>5.1986119999999998</v>
      </c>
      <c r="E5874">
        <v>0.48835240000000002</v>
      </c>
      <c r="F5874" t="s">
        <v>75</v>
      </c>
      <c r="G5874">
        <v>-302.60340000000002</v>
      </c>
      <c r="H5874" s="1">
        <v>-3.6191689999999998E-6</v>
      </c>
      <c r="I5874">
        <v>-45.597529999999999</v>
      </c>
      <c r="J5874">
        <v>-303.1105</v>
      </c>
      <c r="K5874">
        <v>1.106028</v>
      </c>
      <c r="L5874">
        <v>-33.338529999999999</v>
      </c>
      <c r="M5874">
        <v>-6.4730930000000006E-2</v>
      </c>
      <c r="N5874">
        <v>0</v>
      </c>
      <c r="O5874">
        <v>-0.99780639999999998</v>
      </c>
      <c r="P5874">
        <v>1.458745E-2</v>
      </c>
      <c r="Q5874">
        <v>-6.1025369999999999E-3</v>
      </c>
      <c r="R5874">
        <v>-0.99987490000000001</v>
      </c>
      <c r="S5874">
        <v>0.11788940000000001</v>
      </c>
      <c r="T5874">
        <v>-0.26492270000000001</v>
      </c>
      <c r="U5874">
        <v>-2.9976500000000001</v>
      </c>
      <c r="V5874">
        <v>-7.9308089999999998E-2</v>
      </c>
      <c r="W5874">
        <v>7.4894369999999998E-3</v>
      </c>
      <c r="X5874">
        <v>0.99682199999999999</v>
      </c>
      <c r="Y5874">
        <v>-0.10374990000000001</v>
      </c>
      <c r="Z5874">
        <v>8.7485629999999995E-2</v>
      </c>
      <c r="AA5874">
        <v>0.99074830000000003</v>
      </c>
      <c r="AB5874">
        <v>26</v>
      </c>
      <c r="AC5874">
        <v>0.50709999999997901</v>
      </c>
      <c r="AD5874">
        <v>-1.1060316191689901</v>
      </c>
      <c r="AE5874">
        <v>-12.259</v>
      </c>
      <c r="AF5874">
        <v>-1.28917310237104</v>
      </c>
      <c r="AG5874">
        <v>-1.1060316191689901</v>
      </c>
      <c r="AH5874">
        <v>12.1021136382441</v>
      </c>
      <c r="AI5874">
        <v>95.192630659263301</v>
      </c>
      <c r="AJ5874">
        <v>96.080481132179798</v>
      </c>
      <c r="AK5874">
        <v>12.220737610449399</v>
      </c>
    </row>
    <row r="5875" spans="1:37" x14ac:dyDescent="0.2">
      <c r="A5875" t="str">
        <f>"20200111155712946"</f>
        <v>20200111155712946</v>
      </c>
      <c r="B5875" t="str">
        <f>"1578729432938801"</f>
        <v>1578729432938801</v>
      </c>
      <c r="C5875" t="s">
        <v>37</v>
      </c>
      <c r="D5875">
        <v>5.2295800000000003</v>
      </c>
      <c r="E5875">
        <v>0.48839189999999999</v>
      </c>
      <c r="F5875" t="s">
        <v>75</v>
      </c>
      <c r="G5875">
        <v>-302.55329999999998</v>
      </c>
      <c r="H5875" s="1">
        <v>-3.627215E-6</v>
      </c>
      <c r="I5875">
        <v>-45.640809999999902</v>
      </c>
      <c r="J5875">
        <v>-303.12479999999999</v>
      </c>
      <c r="K5875">
        <v>1.106212</v>
      </c>
      <c r="L5875">
        <v>-33.592379999999999</v>
      </c>
      <c r="M5875">
        <v>-6.2701460000000001E-2</v>
      </c>
      <c r="N5875">
        <v>0</v>
      </c>
      <c r="O5875">
        <v>-0.99793580000000004</v>
      </c>
      <c r="P5875">
        <v>2.1194230000000001E-2</v>
      </c>
      <c r="Q5875">
        <v>-7.2571700000000003E-3</v>
      </c>
      <c r="R5875">
        <v>-0.99974889999999905</v>
      </c>
      <c r="S5875">
        <v>0.13574220000000001</v>
      </c>
      <c r="T5875">
        <v>-0.2694202</v>
      </c>
      <c r="U5875">
        <v>-2.9967349999999899</v>
      </c>
      <c r="V5875">
        <v>-8.3866270000000007E-2</v>
      </c>
      <c r="W5875">
        <v>6.29022E-3</v>
      </c>
      <c r="X5875">
        <v>0.99645720000000004</v>
      </c>
      <c r="Y5875">
        <v>-0.107624</v>
      </c>
      <c r="Z5875">
        <v>8.8973780000000002E-2</v>
      </c>
      <c r="AA5875">
        <v>0.99020239999999904</v>
      </c>
      <c r="AB5875">
        <v>26</v>
      </c>
      <c r="AC5875">
        <v>0.571500000000014</v>
      </c>
      <c r="AD5875">
        <v>-1.1062156272149899</v>
      </c>
      <c r="AE5875">
        <v>-12.0484299999999</v>
      </c>
      <c r="AF5875">
        <v>-1.3148431773598801</v>
      </c>
      <c r="AG5875">
        <v>-1.1062156272149899</v>
      </c>
      <c r="AH5875">
        <v>11.8888844735954</v>
      </c>
      <c r="AI5875">
        <v>95.283818233399899</v>
      </c>
      <c r="AJ5875">
        <v>96.3109416340032</v>
      </c>
      <c r="AK5875">
        <v>12.012414396009</v>
      </c>
    </row>
    <row r="5876" spans="1:37" x14ac:dyDescent="0.2">
      <c r="A5876" t="str">
        <f>"20200111155712969"</f>
        <v>20200111155712969</v>
      </c>
      <c r="B5876" t="str">
        <f>"1578729432959297"</f>
        <v>1578729432959297</v>
      </c>
      <c r="C5876" t="s">
        <v>37</v>
      </c>
      <c r="D5876">
        <v>5.1772839999999896</v>
      </c>
      <c r="E5876">
        <v>0.48849520000000002</v>
      </c>
      <c r="F5876" t="s">
        <v>75</v>
      </c>
      <c r="G5876">
        <v>-302.49799999999999</v>
      </c>
      <c r="H5876" s="1">
        <v>-3.6302820000000001E-6</v>
      </c>
      <c r="I5876">
        <v>-45.671790000000001</v>
      </c>
      <c r="J5876">
        <v>-303.13819999999998</v>
      </c>
      <c r="K5876">
        <v>1.106392</v>
      </c>
      <c r="L5876">
        <v>-33.845489999999998</v>
      </c>
      <c r="M5876">
        <v>-6.0390640000000002E-2</v>
      </c>
      <c r="N5876">
        <v>0</v>
      </c>
      <c r="O5876">
        <v>-0.99807829999999997</v>
      </c>
      <c r="P5876">
        <v>2.89848999999999E-2</v>
      </c>
      <c r="Q5876">
        <v>-9.6941530000000005E-3</v>
      </c>
      <c r="R5876">
        <v>-0.99953320000000001</v>
      </c>
      <c r="S5876">
        <v>0.15542600000000001</v>
      </c>
      <c r="T5876">
        <v>-0.27432220000000002</v>
      </c>
      <c r="U5876">
        <v>-2.9954830000000001</v>
      </c>
      <c r="V5876">
        <v>-8.931559E-2</v>
      </c>
      <c r="W5876">
        <v>3.7997309999999898E-3</v>
      </c>
      <c r="X5876">
        <v>0.99599609999999905</v>
      </c>
      <c r="Y5876">
        <v>-0.11182349999999899</v>
      </c>
      <c r="Z5876">
        <v>9.0600739999999999E-2</v>
      </c>
      <c r="AA5876">
        <v>0.98958930000000001</v>
      </c>
      <c r="AB5876">
        <v>26</v>
      </c>
      <c r="AC5876">
        <v>0.640199999999992</v>
      </c>
      <c r="AD5876">
        <v>-1.1063956302819999</v>
      </c>
      <c r="AE5876">
        <v>-11.8262999999999</v>
      </c>
      <c r="AF5876">
        <v>-1.3415902186555699</v>
      </c>
      <c r="AG5876">
        <v>-1.1063956302819999</v>
      </c>
      <c r="AH5876">
        <v>11.6642539190438</v>
      </c>
      <c r="AI5876">
        <v>95.383215542305294</v>
      </c>
      <c r="AJ5876">
        <v>96.561170927387195</v>
      </c>
      <c r="AK5876">
        <v>11.793167305411499</v>
      </c>
    </row>
    <row r="5877" spans="1:37" x14ac:dyDescent="0.2">
      <c r="A5877" t="str">
        <f>"20200111155712991"</f>
        <v>20200111155712991</v>
      </c>
      <c r="B5877" t="str">
        <f>"1578729432988577"</f>
        <v>1578729432988577</v>
      </c>
      <c r="C5877" t="s">
        <v>37</v>
      </c>
      <c r="D5877">
        <v>5.209384</v>
      </c>
      <c r="E5877">
        <v>0.48898269999999999</v>
      </c>
      <c r="F5877" t="s">
        <v>75</v>
      </c>
      <c r="G5877">
        <v>-302.44330000000002</v>
      </c>
      <c r="H5877" s="1">
        <v>-3.5754530000000001E-6</v>
      </c>
      <c r="I5877">
        <v>-45.535800000000002</v>
      </c>
      <c r="J5877">
        <v>-303.1508</v>
      </c>
      <c r="K5877">
        <v>1.106579</v>
      </c>
      <c r="L5877">
        <v>-34.099579999999897</v>
      </c>
      <c r="M5877">
        <v>-5.7783939999999999E-2</v>
      </c>
      <c r="N5877">
        <v>0</v>
      </c>
      <c r="O5877">
        <v>-0.99823229999999996</v>
      </c>
      <c r="P5877">
        <v>3.7051029999999999E-2</v>
      </c>
      <c r="Q5877">
        <v>-1.253804E-2</v>
      </c>
      <c r="R5877">
        <v>-0.99923479999999998</v>
      </c>
      <c r="S5877">
        <v>0.177948</v>
      </c>
      <c r="T5877">
        <v>-0.28331109999999998</v>
      </c>
      <c r="U5877">
        <v>-2.9935</v>
      </c>
      <c r="V5877">
        <v>-9.4739030000000002E-2</v>
      </c>
      <c r="W5877">
        <v>8.9627899999999896E-4</v>
      </c>
      <c r="X5877">
        <v>0.99550179999999999</v>
      </c>
      <c r="Y5877">
        <v>-0.116666899999999</v>
      </c>
      <c r="Z5877">
        <v>9.3581170000000005E-2</v>
      </c>
      <c r="AA5877">
        <v>0.98875239999999998</v>
      </c>
      <c r="AB5877">
        <v>26</v>
      </c>
      <c r="AC5877">
        <v>0.70749999999998103</v>
      </c>
      <c r="AD5877">
        <v>-1.1065825754530001</v>
      </c>
      <c r="AE5877">
        <v>-11.43622</v>
      </c>
      <c r="AF5877">
        <v>-1.3545771538273801</v>
      </c>
      <c r="AG5877">
        <v>-1.1065825754530001</v>
      </c>
      <c r="AH5877">
        <v>11.2710956546776</v>
      </c>
      <c r="AI5877">
        <v>95.5674518800881</v>
      </c>
      <c r="AJ5877">
        <v>96.853024610620693</v>
      </c>
      <c r="AK5877">
        <v>11.406007255777901</v>
      </c>
    </row>
    <row r="5878" spans="1:37" x14ac:dyDescent="0.2">
      <c r="A5878" t="str">
        <f>"20200111155713013"</f>
        <v>20200111155713013</v>
      </c>
      <c r="B5878" t="str">
        <f>"1578729433009072"</f>
        <v>1578729433009072</v>
      </c>
      <c r="C5878" t="s">
        <v>37</v>
      </c>
      <c r="D5878">
        <v>3.755312</v>
      </c>
      <c r="E5878">
        <v>0.48919609999999902</v>
      </c>
      <c r="F5878" t="s">
        <v>75</v>
      </c>
      <c r="G5878">
        <v>-302.40019999999998</v>
      </c>
      <c r="H5878" s="1">
        <v>-3.5309589999999899E-6</v>
      </c>
      <c r="I5878">
        <v>-45.424909999999997</v>
      </c>
      <c r="J5878">
        <v>-303.1626</v>
      </c>
      <c r="K5878">
        <v>1.1067830000000001</v>
      </c>
      <c r="L5878">
        <v>-34.357239999999997</v>
      </c>
      <c r="M5878">
        <v>-5.4857629999999998E-2</v>
      </c>
      <c r="N5878">
        <v>0</v>
      </c>
      <c r="O5878">
        <v>-0.99839739999999999</v>
      </c>
      <c r="P5878">
        <v>4.5585260000000002E-2</v>
      </c>
      <c r="Q5878">
        <v>-1.256698E-2</v>
      </c>
      <c r="R5878">
        <v>-0.99888180000000004</v>
      </c>
      <c r="S5878">
        <v>0.19824220000000001</v>
      </c>
      <c r="T5878">
        <v>-0.29227309999999901</v>
      </c>
      <c r="U5878">
        <v>-2.9912719999999999</v>
      </c>
      <c r="V5878">
        <v>-0.1003232</v>
      </c>
      <c r="W5878">
        <v>7.9995779999999996E-4</v>
      </c>
      <c r="X5878">
        <v>0.99495460000000002</v>
      </c>
      <c r="Y5878">
        <v>-0.12046129999999999</v>
      </c>
      <c r="Z5878">
        <v>9.6566650000000004E-2</v>
      </c>
      <c r="AA5878">
        <v>0.9880101</v>
      </c>
      <c r="AB5878">
        <v>26</v>
      </c>
      <c r="AC5878">
        <v>0.76240000000001296</v>
      </c>
      <c r="AD5878">
        <v>-1.1067865309589999</v>
      </c>
      <c r="AE5878">
        <v>-11.0676699999999</v>
      </c>
      <c r="AF5878">
        <v>-1.35497038463094</v>
      </c>
      <c r="AG5878">
        <v>-1.1067865309589999</v>
      </c>
      <c r="AH5878">
        <v>10.900677638601801</v>
      </c>
      <c r="AI5878">
        <v>95.753608193306604</v>
      </c>
      <c r="AJ5878">
        <v>97.085606555441203</v>
      </c>
      <c r="AK5878">
        <v>11.0401854218601</v>
      </c>
    </row>
    <row r="5879" spans="1:37" x14ac:dyDescent="0.2">
      <c r="A5879" t="str">
        <f>"20200111155713125"</f>
        <v>20200111155713125</v>
      </c>
      <c r="B5879" t="str">
        <f>"1578729433119159"</f>
        <v>1578729433119159</v>
      </c>
      <c r="C5879" t="s">
        <v>37</v>
      </c>
      <c r="D5879">
        <v>5.0393480000000004</v>
      </c>
      <c r="E5879">
        <v>0.32697569999999998</v>
      </c>
      <c r="F5879" t="s">
        <v>75</v>
      </c>
      <c r="G5879">
        <v>-302.32190000000003</v>
      </c>
      <c r="H5879" s="1">
        <v>-3.6011039999999998E-6</v>
      </c>
      <c r="I5879">
        <v>-45.658369999999998</v>
      </c>
      <c r="J5879">
        <v>-303.20319999999998</v>
      </c>
      <c r="K5879">
        <v>1.1076269999999999</v>
      </c>
      <c r="L5879">
        <v>-35.614229999999999</v>
      </c>
      <c r="M5879">
        <v>-3.6905399999999998E-2</v>
      </c>
      <c r="N5879">
        <v>0</v>
      </c>
      <c r="O5879">
        <v>-0.99922099999999903</v>
      </c>
      <c r="P5879">
        <v>9.4844910000000004E-2</v>
      </c>
      <c r="Q5879">
        <v>-4.2342389999999999E-3</v>
      </c>
      <c r="R5879">
        <v>-0.99548300000000001</v>
      </c>
      <c r="S5879">
        <v>0.22238160000000001</v>
      </c>
      <c r="T5879">
        <v>-0.2927825</v>
      </c>
      <c r="U5879">
        <v>-2.9895320000000001</v>
      </c>
      <c r="V5879">
        <v>-0.13158439999999999</v>
      </c>
      <c r="W5879">
        <v>8.7415710000000001E-3</v>
      </c>
      <c r="X5879">
        <v>0.99126639999999999</v>
      </c>
      <c r="Y5879">
        <v>-0.1105884</v>
      </c>
      <c r="Z5879">
        <v>9.6938209999999997E-2</v>
      </c>
      <c r="AA5879">
        <v>0.98912749999999905</v>
      </c>
      <c r="AB5879">
        <v>25</v>
      </c>
      <c r="AC5879">
        <v>0.88129999999995301</v>
      </c>
      <c r="AD5879">
        <v>-1.107630601104</v>
      </c>
      <c r="AE5879">
        <v>-10.044139999999899</v>
      </c>
      <c r="AF5879">
        <v>-1.2364967458702301</v>
      </c>
      <c r="AG5879">
        <v>-1.107630601104</v>
      </c>
      <c r="AH5879">
        <v>9.8854709151672697</v>
      </c>
      <c r="AI5879">
        <v>96.344088093129201</v>
      </c>
      <c r="AJ5879">
        <v>97.129655245764198</v>
      </c>
      <c r="AK5879">
        <v>10.0238867195149</v>
      </c>
    </row>
    <row r="5880" spans="1:37" x14ac:dyDescent="0.2">
      <c r="A5880" t="str">
        <f>"20200111155713170"</f>
        <v>20200111155713170</v>
      </c>
      <c r="B5880" t="str">
        <f>"1578729433158900"</f>
        <v>1578729433158900</v>
      </c>
      <c r="C5880" t="s">
        <v>37</v>
      </c>
      <c r="D5880">
        <v>5.0066620000000004</v>
      </c>
      <c r="E5880">
        <v>0.33056960000000002</v>
      </c>
      <c r="F5880" t="s">
        <v>75</v>
      </c>
      <c r="G5880">
        <v>-283.29689999999999</v>
      </c>
      <c r="H5880" s="1">
        <v>-5.130492E-6</v>
      </c>
      <c r="I5880">
        <v>-69.895259999999993</v>
      </c>
      <c r="J5880">
        <v>-303.21129999999999</v>
      </c>
      <c r="K5880">
        <v>1.107836</v>
      </c>
      <c r="L5880">
        <v>-36.110869999999998</v>
      </c>
      <c r="M5880">
        <v>-2.8510219999999999E-2</v>
      </c>
      <c r="N5880">
        <v>0</v>
      </c>
      <c r="O5880">
        <v>-0.99949560000000004</v>
      </c>
      <c r="P5880">
        <v>0.1162782</v>
      </c>
      <c r="Q5880">
        <v>-5.3532709999999997E-3</v>
      </c>
      <c r="R5880">
        <v>-0.99320239999999904</v>
      </c>
      <c r="S5880">
        <v>1.6579900000000001</v>
      </c>
      <c r="T5880">
        <v>-9.2254279999999994E-2</v>
      </c>
      <c r="U5880">
        <v>-2.8552550000000001</v>
      </c>
      <c r="V5880">
        <v>-0.14460709999999999</v>
      </c>
      <c r="W5880">
        <v>7.4593979999999999E-3</v>
      </c>
      <c r="X5880">
        <v>0.98946100000000003</v>
      </c>
      <c r="Y5880">
        <v>-0.52641769999999999</v>
      </c>
      <c r="Z5880">
        <v>2.7692319999999999E-2</v>
      </c>
      <c r="AA5880">
        <v>0.84977499999999995</v>
      </c>
      <c r="AB5880">
        <v>25</v>
      </c>
      <c r="AC5880">
        <v>19.914400000000001</v>
      </c>
      <c r="AD5880">
        <v>-1.1078411304919999</v>
      </c>
      <c r="AE5880">
        <v>-33.784389999999902</v>
      </c>
      <c r="AF5880">
        <v>-20.852957053944099</v>
      </c>
      <c r="AG5880">
        <v>-1.1078411304919999</v>
      </c>
      <c r="AH5880">
        <v>33.176359479168397</v>
      </c>
      <c r="AI5880">
        <v>91.619411373211193</v>
      </c>
      <c r="AJ5880">
        <v>122.15136098415699</v>
      </c>
      <c r="AK5880">
        <v>39.201325974449603</v>
      </c>
    </row>
    <row r="5881" spans="1:37" x14ac:dyDescent="0.2">
      <c r="A5881" t="str">
        <f>"20200111155713952"</f>
        <v>20200111155713952</v>
      </c>
      <c r="B5881" t="str">
        <f>"1578729433949095"</f>
        <v>1578729433949095</v>
      </c>
      <c r="C5881" t="s">
        <v>37</v>
      </c>
      <c r="D5881">
        <v>4.9002889999999999</v>
      </c>
      <c r="E5881">
        <v>0.32922829999999997</v>
      </c>
      <c r="F5881" t="s">
        <v>75</v>
      </c>
      <c r="G5881">
        <v>-286.30579999999998</v>
      </c>
      <c r="H5881" s="1">
        <v>-4.6682389999999996E-6</v>
      </c>
      <c r="I5881">
        <v>-64.335449999999994</v>
      </c>
      <c r="J5881">
        <v>-302.38720000000001</v>
      </c>
      <c r="K5881">
        <v>1.1102049999999899</v>
      </c>
      <c r="L5881">
        <v>-44.543610000000001</v>
      </c>
      <c r="M5881">
        <v>0.18887879999999899</v>
      </c>
      <c r="N5881">
        <v>0</v>
      </c>
      <c r="O5881">
        <v>-0.98189669999999896</v>
      </c>
      <c r="P5881">
        <v>0.38025870000000001</v>
      </c>
      <c r="Q5881">
        <v>4.290443E-2</v>
      </c>
      <c r="R5881">
        <v>-0.923884499999999</v>
      </c>
      <c r="S5881">
        <v>1.6903079999999999</v>
      </c>
      <c r="T5881">
        <v>-0.1107682</v>
      </c>
      <c r="U5881">
        <v>-2.8220519999999998</v>
      </c>
      <c r="V5881">
        <v>-0.19957739999999999</v>
      </c>
      <c r="W5881">
        <v>5.4417720000000003E-2</v>
      </c>
      <c r="X5881">
        <v>0.97836979999999996</v>
      </c>
      <c r="Y5881">
        <v>-0.34223619999999999</v>
      </c>
      <c r="Z5881">
        <v>3.4170260000000001E-2</v>
      </c>
      <c r="AA5881">
        <v>0.93899239999999995</v>
      </c>
      <c r="AB5881">
        <v>24</v>
      </c>
      <c r="AC5881">
        <v>16.081399999999999</v>
      </c>
      <c r="AD5881">
        <v>-1.1102096682389999</v>
      </c>
      <c r="AE5881">
        <v>-19.791840000000001</v>
      </c>
      <c r="AF5881">
        <v>-12.030440842688201</v>
      </c>
      <c r="AG5881">
        <v>-1.1102096682389999</v>
      </c>
      <c r="AH5881">
        <v>22.4307536482108</v>
      </c>
      <c r="AI5881">
        <v>92.497516944301196</v>
      </c>
      <c r="AJ5881">
        <v>118.20630116049</v>
      </c>
      <c r="AK5881">
        <v>25.4774955912781</v>
      </c>
    </row>
    <row r="5882" spans="1:37" x14ac:dyDescent="0.2">
      <c r="A5882" t="str">
        <f>"20200111155713975"</f>
        <v>20200111155713975</v>
      </c>
      <c r="B5882" t="str">
        <f>"1578729433968614"</f>
        <v>1578729433968614</v>
      </c>
      <c r="C5882" t="s">
        <v>37</v>
      </c>
      <c r="D5882">
        <v>4.8339499999999997</v>
      </c>
      <c r="E5882">
        <v>0.3295015</v>
      </c>
      <c r="F5882" t="s">
        <v>67</v>
      </c>
      <c r="G5882">
        <v>-252.18599999999901</v>
      </c>
      <c r="H5882">
        <v>2.8444790000000002</v>
      </c>
      <c r="I5882">
        <v>-91.564989999999995</v>
      </c>
      <c r="J5882">
        <v>-302.3329</v>
      </c>
      <c r="K5882">
        <v>1.110325</v>
      </c>
      <c r="L5882">
        <v>-44.777529999999999</v>
      </c>
      <c r="M5882">
        <v>0.1968676</v>
      </c>
      <c r="N5882">
        <v>0</v>
      </c>
      <c r="O5882">
        <v>-0.98032609999999998</v>
      </c>
      <c r="P5882">
        <v>0.38470929999999998</v>
      </c>
      <c r="Q5882">
        <v>4.1583099999999998E-2</v>
      </c>
      <c r="R5882">
        <v>-0.92210110000000001</v>
      </c>
      <c r="S5882">
        <v>2.4055789999999999</v>
      </c>
      <c r="T5882">
        <v>8.3104849999999994E-2</v>
      </c>
      <c r="U5882">
        <v>-2.2532040000000002</v>
      </c>
      <c r="V5882">
        <v>-0.19631479999999901</v>
      </c>
      <c r="W5882">
        <v>5.3102599999999903E-2</v>
      </c>
      <c r="X5882">
        <v>0.97910200000000003</v>
      </c>
      <c r="Y5882">
        <v>-0.58071049999999902</v>
      </c>
      <c r="Z5882">
        <v>-2.630149E-2</v>
      </c>
      <c r="AA5882">
        <v>0.8136852</v>
      </c>
      <c r="AB5882">
        <v>24</v>
      </c>
      <c r="AC5882">
        <v>50.146900000000002</v>
      </c>
      <c r="AD5882">
        <v>1.734154</v>
      </c>
      <c r="AE5882">
        <v>-46.787460000000003</v>
      </c>
      <c r="AF5882">
        <v>-39.927925798802697</v>
      </c>
      <c r="AG5882">
        <v>1.734154</v>
      </c>
      <c r="AH5882">
        <v>55.709334201373203</v>
      </c>
      <c r="AI5882">
        <v>88.550654883565997</v>
      </c>
      <c r="AJ5882">
        <v>125.629879758977</v>
      </c>
      <c r="AK5882">
        <v>68.562208729377303</v>
      </c>
    </row>
    <row r="5883" spans="1:37" x14ac:dyDescent="0.2">
      <c r="A5883" t="str">
        <f>"20200111155713996"</f>
        <v>20200111155713996</v>
      </c>
      <c r="B5883" t="str">
        <f>"1578729433989112"</f>
        <v>1578729433989112</v>
      </c>
      <c r="C5883" t="s">
        <v>37</v>
      </c>
      <c r="D5883">
        <v>4.804468</v>
      </c>
      <c r="E5883">
        <v>0.32940190000000003</v>
      </c>
      <c r="F5883" t="s">
        <v>67</v>
      </c>
      <c r="G5883">
        <v>-251.9384</v>
      </c>
      <c r="H5883">
        <v>2.3370929999999999</v>
      </c>
      <c r="I5883">
        <v>-91.564989999999995</v>
      </c>
      <c r="J5883">
        <v>-302.27929999999998</v>
      </c>
      <c r="K5883">
        <v>1.1104419999999999</v>
      </c>
      <c r="L5883">
        <v>-44.99982</v>
      </c>
      <c r="M5883">
        <v>0.2046713</v>
      </c>
      <c r="N5883">
        <v>0</v>
      </c>
      <c r="O5883">
        <v>-0.97872630000000005</v>
      </c>
      <c r="P5883">
        <v>0.39056770000000002</v>
      </c>
      <c r="Q5883">
        <v>3.6571859999999998E-2</v>
      </c>
      <c r="R5883">
        <v>-0.91984769999999905</v>
      </c>
      <c r="S5883">
        <v>2.4158019999999998</v>
      </c>
      <c r="T5883">
        <v>5.8808800000000001E-2</v>
      </c>
      <c r="U5883">
        <v>-2.2428889999999999</v>
      </c>
      <c r="V5883">
        <v>-0.19465070000000001</v>
      </c>
      <c r="W5883">
        <v>4.807604E-2</v>
      </c>
      <c r="X5883">
        <v>0.9796937</v>
      </c>
      <c r="Y5883">
        <v>-0.57793190000000005</v>
      </c>
      <c r="Z5883">
        <v>-1.862157E-2</v>
      </c>
      <c r="AA5883">
        <v>0.81587259999999995</v>
      </c>
      <c r="AB5883">
        <v>24</v>
      </c>
      <c r="AC5883">
        <v>50.340899999999898</v>
      </c>
      <c r="AD5883">
        <v>1.2266509999999999</v>
      </c>
      <c r="AE5883">
        <v>-46.565170000000002</v>
      </c>
      <c r="AF5883">
        <v>-39.7307599592949</v>
      </c>
      <c r="AG5883">
        <v>1.2266509999999999</v>
      </c>
      <c r="AH5883">
        <v>55.865732621932302</v>
      </c>
      <c r="AI5883">
        <v>88.974889077025907</v>
      </c>
      <c r="AJ5883">
        <v>125.419791213089</v>
      </c>
      <c r="AK5883">
        <v>68.563970429112004</v>
      </c>
    </row>
    <row r="5884" spans="1:37" x14ac:dyDescent="0.2">
      <c r="A5884" t="str">
        <f>"20200111155714020"</f>
        <v>20200111155714020</v>
      </c>
      <c r="B5884" t="str">
        <f>"1578729434008630"</f>
        <v>1578729434008630</v>
      </c>
      <c r="C5884" t="s">
        <v>37</v>
      </c>
      <c r="D5884">
        <v>4.8158919999999998</v>
      </c>
      <c r="E5884">
        <v>0.32938990000000001</v>
      </c>
      <c r="F5884" t="s">
        <v>67</v>
      </c>
      <c r="G5884">
        <v>-251.4579</v>
      </c>
      <c r="H5884">
        <v>1.8549770000000001</v>
      </c>
      <c r="I5884">
        <v>-91.564989999999995</v>
      </c>
      <c r="J5884">
        <v>-302.22199999999998</v>
      </c>
      <c r="K5884">
        <v>1.1105389999999999</v>
      </c>
      <c r="L5884">
        <v>-45.227600000000002</v>
      </c>
      <c r="M5884">
        <v>0.2129007</v>
      </c>
      <c r="N5884">
        <v>0</v>
      </c>
      <c r="O5884">
        <v>-0.97696909999999904</v>
      </c>
      <c r="P5884">
        <v>0.39881479999999903</v>
      </c>
      <c r="Q5884">
        <v>2.7019250000000002E-2</v>
      </c>
      <c r="R5884">
        <v>-0.91663379999999905</v>
      </c>
      <c r="S5884">
        <v>2.4312740000000002</v>
      </c>
      <c r="T5884">
        <v>3.5619140000000001E-2</v>
      </c>
      <c r="U5884">
        <v>-2.2276609999999999</v>
      </c>
      <c r="V5884">
        <v>-0.1950257</v>
      </c>
      <c r="W5884">
        <v>3.8477280000000003E-2</v>
      </c>
      <c r="X5884">
        <v>0.98004309999999994</v>
      </c>
      <c r="Y5884">
        <v>-0.57651049999999904</v>
      </c>
      <c r="Z5884">
        <v>-1.128324E-2</v>
      </c>
      <c r="AA5884">
        <v>0.81701179999999995</v>
      </c>
      <c r="AB5884">
        <v>24</v>
      </c>
      <c r="AC5884">
        <v>50.7640999999999</v>
      </c>
      <c r="AD5884">
        <v>0.74443800000000004</v>
      </c>
      <c r="AE5884">
        <v>-46.337389999999999</v>
      </c>
      <c r="AF5884">
        <v>-39.729100070890802</v>
      </c>
      <c r="AG5884">
        <v>0.74443800000000004</v>
      </c>
      <c r="AH5884">
        <v>56.0770718521551</v>
      </c>
      <c r="AI5884">
        <v>89.379383386292304</v>
      </c>
      <c r="AJ5884">
        <v>125.31654774355199</v>
      </c>
      <c r="AK5884">
        <v>68.728404374686804</v>
      </c>
    </row>
    <row r="5885" spans="1:37" x14ac:dyDescent="0.2">
      <c r="A5885" t="str">
        <f>"20200111155714041"</f>
        <v>20200111155714041</v>
      </c>
      <c r="B5885" t="str">
        <f>"1578729434038887"</f>
        <v>1578729434038887</v>
      </c>
      <c r="C5885" t="s">
        <v>37</v>
      </c>
      <c r="D5885">
        <v>4.8130739999999896</v>
      </c>
      <c r="E5885">
        <v>0.329495599999999</v>
      </c>
      <c r="F5885" t="s">
        <v>67</v>
      </c>
      <c r="G5885">
        <v>-250.73840000000001</v>
      </c>
      <c r="H5885">
        <v>1.143032</v>
      </c>
      <c r="I5885">
        <v>-91.564989999999995</v>
      </c>
      <c r="J5885">
        <v>-302.1628</v>
      </c>
      <c r="K5885">
        <v>1.1106290000000001</v>
      </c>
      <c r="L5885">
        <v>-45.45337</v>
      </c>
      <c r="M5885">
        <v>0.22128989999999901</v>
      </c>
      <c r="N5885">
        <v>0</v>
      </c>
      <c r="O5885">
        <v>-0.97510269999999999</v>
      </c>
      <c r="P5885">
        <v>0.4086651</v>
      </c>
      <c r="Q5885">
        <v>1.6614159999999999E-2</v>
      </c>
      <c r="R5885">
        <v>-0.91253329999999999</v>
      </c>
      <c r="S5885">
        <v>2.4512939999999999</v>
      </c>
      <c r="T5885">
        <v>1.5476939999999901E-3</v>
      </c>
      <c r="U5885">
        <v>-2.2062680000000001</v>
      </c>
      <c r="V5885">
        <v>-0.19697539999999999</v>
      </c>
      <c r="W5885">
        <v>2.8003670000000001E-2</v>
      </c>
      <c r="X5885">
        <v>0.9800084</v>
      </c>
      <c r="Y5885">
        <v>-0.57679309999999995</v>
      </c>
      <c r="Z5885">
        <v>-4.9062450000000001E-4</v>
      </c>
      <c r="AA5885">
        <v>0.81689019999999901</v>
      </c>
      <c r="AB5885">
        <v>24</v>
      </c>
      <c r="AC5885">
        <v>51.424399999999899</v>
      </c>
      <c r="AD5885">
        <v>3.2402999999999897E-2</v>
      </c>
      <c r="AE5885">
        <v>-46.111620000000002</v>
      </c>
      <c r="AF5885">
        <v>-39.944131279638398</v>
      </c>
      <c r="AG5885">
        <v>3.2402999999999897E-2</v>
      </c>
      <c r="AH5885">
        <v>56.349043388430999</v>
      </c>
      <c r="AI5885">
        <v>89.973120909558901</v>
      </c>
      <c r="AJ5885">
        <v>125.331673491674</v>
      </c>
      <c r="AK5885">
        <v>69.070611438083205</v>
      </c>
    </row>
    <row r="5886" spans="1:37" x14ac:dyDescent="0.2">
      <c r="A5886" t="str">
        <f>"20200111155714064"</f>
        <v>20200111155714064</v>
      </c>
      <c r="B5886" t="str">
        <f>"1578729434059383"</f>
        <v>1578729434059383</v>
      </c>
      <c r="C5886" t="s">
        <v>37</v>
      </c>
      <c r="D5886">
        <v>4.8536580000000002</v>
      </c>
      <c r="E5886">
        <v>0.3298315</v>
      </c>
      <c r="F5886" t="s">
        <v>67</v>
      </c>
      <c r="G5886">
        <v>-249.8381</v>
      </c>
      <c r="H5886">
        <v>0.4523239</v>
      </c>
      <c r="I5886">
        <v>-91.564989999999995</v>
      </c>
      <c r="J5886">
        <v>-302.1003</v>
      </c>
      <c r="K5886">
        <v>1.1107009999999999</v>
      </c>
      <c r="L5886">
        <v>-45.682769999999998</v>
      </c>
      <c r="M5886">
        <v>0.23000309999999999</v>
      </c>
      <c r="N5886">
        <v>0</v>
      </c>
      <c r="O5886">
        <v>-0.97308399999999995</v>
      </c>
      <c r="P5886">
        <v>0.41928660000000001</v>
      </c>
      <c r="Q5886">
        <v>9.5646210000000006E-3</v>
      </c>
      <c r="R5886">
        <v>-0.907804099999999</v>
      </c>
      <c r="S5886">
        <v>2.4739689999999999</v>
      </c>
      <c r="T5886">
        <v>-3.112471E-2</v>
      </c>
      <c r="U5886">
        <v>-2.1802060000000001</v>
      </c>
      <c r="V5886">
        <v>-0.19953299999999999</v>
      </c>
      <c r="W5886">
        <v>2.088187E-2</v>
      </c>
      <c r="X5886">
        <v>0.9796686</v>
      </c>
      <c r="Y5886">
        <v>-0.5780054</v>
      </c>
      <c r="Z5886">
        <v>9.8762729999999996E-3</v>
      </c>
      <c r="AA5886">
        <v>0.81597319999999995</v>
      </c>
      <c r="AB5886">
        <v>24</v>
      </c>
      <c r="AC5886">
        <v>52.2622</v>
      </c>
      <c r="AD5886">
        <v>-0.65837709999999905</v>
      </c>
      <c r="AE5886">
        <v>-45.882219999999997</v>
      </c>
      <c r="AF5886">
        <v>-40.302999605672298</v>
      </c>
      <c r="AG5886">
        <v>-0.65837709999999905</v>
      </c>
      <c r="AH5886">
        <v>56.668484005409901</v>
      </c>
      <c r="AI5886">
        <v>90.542446603995302</v>
      </c>
      <c r="AJ5886">
        <v>125.42068860737</v>
      </c>
      <c r="AK5886">
        <v>69.541946457458494</v>
      </c>
    </row>
    <row r="5887" spans="1:37" x14ac:dyDescent="0.2">
      <c r="A5887" t="str">
        <f>"20200111155716309"</f>
        <v>20200111155716309</v>
      </c>
      <c r="B5887" t="str">
        <f>"1578729436299021"</f>
        <v>1578729436299021</v>
      </c>
      <c r="C5887" t="s">
        <v>37</v>
      </c>
      <c r="D5887">
        <v>3.3399930000000002</v>
      </c>
      <c r="E5887">
        <v>0.39571269999999997</v>
      </c>
      <c r="F5887" t="s">
        <v>39</v>
      </c>
      <c r="G5887">
        <v>-250.12440000000001</v>
      </c>
      <c r="H5887">
        <v>-0.05</v>
      </c>
      <c r="I5887">
        <v>-90.492319999999907</v>
      </c>
      <c r="J5887">
        <v>-287.62119999999999</v>
      </c>
      <c r="K5887">
        <v>1.109418</v>
      </c>
      <c r="L5887">
        <v>-60.188869999999902</v>
      </c>
      <c r="M5887">
        <v>0.95915740000000005</v>
      </c>
      <c r="N5887">
        <v>0</v>
      </c>
      <c r="O5887">
        <v>-0.28251599999999999</v>
      </c>
      <c r="P5887">
        <v>0.99435620000000002</v>
      </c>
      <c r="Q5887">
        <v>3.9310419999999999E-2</v>
      </c>
      <c r="R5887">
        <v>-9.8542889999999994E-2</v>
      </c>
      <c r="S5887">
        <v>2.4964599999999999</v>
      </c>
      <c r="T5887">
        <v>-5.5749769999999997E-2</v>
      </c>
      <c r="U5887">
        <v>-2.1522519999999998</v>
      </c>
      <c r="V5887">
        <v>-0.18695239999999999</v>
      </c>
      <c r="W5887">
        <v>5.1359759999999997E-2</v>
      </c>
      <c r="X5887">
        <v>0.981025499999999</v>
      </c>
      <c r="Y5887">
        <v>0.41234229999999999</v>
      </c>
      <c r="Z5887">
        <v>1.2780139999999901E-3</v>
      </c>
      <c r="AA5887">
        <v>0.91102809999999901</v>
      </c>
      <c r="AB5887">
        <v>20</v>
      </c>
      <c r="AC5887">
        <v>37.496799999999901</v>
      </c>
      <c r="AD5887">
        <v>-1.1594180000000001</v>
      </c>
      <c r="AE5887">
        <v>-30.303450000000002</v>
      </c>
      <c r="AF5887">
        <v>18.463518164659</v>
      </c>
      <c r="AG5887">
        <v>-1.1594180000000001</v>
      </c>
      <c r="AH5887">
        <v>44.505296532523801</v>
      </c>
      <c r="AI5887">
        <v>91.378424646152595</v>
      </c>
      <c r="AJ5887">
        <v>67.468337344299599</v>
      </c>
      <c r="AK5887">
        <v>48.197169756774002</v>
      </c>
    </row>
    <row r="5888" spans="1:37" x14ac:dyDescent="0.2">
      <c r="A5888" t="str">
        <f>"20200111155716322"</f>
        <v>20200111155716322</v>
      </c>
      <c r="B5888" t="str">
        <f>"1578729436319517"</f>
        <v>1578729436319517</v>
      </c>
      <c r="C5888" t="s">
        <v>37</v>
      </c>
      <c r="D5888">
        <v>5.2114929999999999</v>
      </c>
      <c r="E5888">
        <v>0.45603959999999999</v>
      </c>
      <c r="F5888" t="s">
        <v>75</v>
      </c>
      <c r="G5888">
        <v>-282.89339999999999</v>
      </c>
      <c r="H5888" s="1">
        <v>-4.9842919999999996E-6</v>
      </c>
      <c r="I5888">
        <v>-59.316859999999998</v>
      </c>
      <c r="J5888">
        <v>-287.52449999999999</v>
      </c>
      <c r="K5888">
        <v>1.1092599999999999</v>
      </c>
      <c r="L5888">
        <v>-60.212859999999999</v>
      </c>
      <c r="M5888">
        <v>0.96022399999999997</v>
      </c>
      <c r="N5888">
        <v>0</v>
      </c>
      <c r="O5888">
        <v>-0.27887079999999997</v>
      </c>
      <c r="P5888">
        <v>0.99469300000000005</v>
      </c>
      <c r="Q5888">
        <v>3.8033589999999999E-2</v>
      </c>
      <c r="R5888">
        <v>-9.5601610000000004E-2</v>
      </c>
      <c r="S5888">
        <v>3.102509</v>
      </c>
      <c r="T5888">
        <v>-0.72803640000000003</v>
      </c>
      <c r="U5888">
        <v>0.5722351</v>
      </c>
      <c r="V5888">
        <v>-0.18610969999999999</v>
      </c>
      <c r="W5888">
        <v>5.0138729999999999E-2</v>
      </c>
      <c r="X5888">
        <v>0.98124889999999998</v>
      </c>
      <c r="Y5888">
        <v>-0.42973620000000001</v>
      </c>
      <c r="Z5888">
        <v>0.11314729999999899</v>
      </c>
      <c r="AA5888">
        <v>0.89583740000000001</v>
      </c>
      <c r="AB5888">
        <v>20</v>
      </c>
      <c r="AC5888">
        <v>4.6311</v>
      </c>
      <c r="AD5888">
        <v>-1.1092649842919999</v>
      </c>
      <c r="AE5888">
        <v>0.89600000000000002</v>
      </c>
      <c r="AF5888">
        <v>-2.0392788737973802</v>
      </c>
      <c r="AG5888">
        <v>-1.1092649842919999</v>
      </c>
      <c r="AH5888">
        <v>3.9774832699178502</v>
      </c>
      <c r="AI5888">
        <v>103.93748072711099</v>
      </c>
      <c r="AJ5888">
        <v>117.144478970176</v>
      </c>
      <c r="AK5888">
        <v>4.6053773236260502</v>
      </c>
    </row>
    <row r="5889" spans="1:37" x14ac:dyDescent="0.2">
      <c r="A5889" t="str">
        <f>"20200111155716333"</f>
        <v>20200111155716333</v>
      </c>
      <c r="B5889" t="str">
        <f>"1578729436329277"</f>
        <v>1578729436329277</v>
      </c>
      <c r="C5889" t="s">
        <v>37</v>
      </c>
      <c r="D5889">
        <v>5.3628489999999998</v>
      </c>
      <c r="E5889">
        <v>0.46559030000000001</v>
      </c>
      <c r="F5889" t="s">
        <v>95</v>
      </c>
      <c r="G5889">
        <v>-260.16899999999998</v>
      </c>
      <c r="H5889" s="1">
        <v>7.1891539999999997E-7</v>
      </c>
      <c r="I5889">
        <v>-59.549129999999998</v>
      </c>
      <c r="J5889">
        <v>-287.41629999999998</v>
      </c>
      <c r="K5889">
        <v>1.1090679999999999</v>
      </c>
      <c r="L5889">
        <v>-60.239289999999997</v>
      </c>
      <c r="M5889">
        <v>0.9613448</v>
      </c>
      <c r="N5889">
        <v>0</v>
      </c>
      <c r="O5889">
        <v>-0.27498349999999999</v>
      </c>
      <c r="P5889">
        <v>0.99501779999999995</v>
      </c>
      <c r="Q5889">
        <v>3.5302340000000001E-2</v>
      </c>
      <c r="R5889">
        <v>-9.3240089999999998E-2</v>
      </c>
      <c r="S5889">
        <v>3.027771</v>
      </c>
      <c r="T5889">
        <v>-0.12277539999999899</v>
      </c>
      <c r="U5889">
        <v>7.3455809999999996E-2</v>
      </c>
      <c r="V5889">
        <v>-0.1844481</v>
      </c>
      <c r="W5889">
        <v>4.7481139999999998E-2</v>
      </c>
      <c r="X5889">
        <v>0.98169470000000003</v>
      </c>
      <c r="Y5889">
        <v>-0.29778159999999998</v>
      </c>
      <c r="Z5889">
        <v>1.7079239999999999E-2</v>
      </c>
      <c r="AA5889">
        <v>0.95448120000000003</v>
      </c>
      <c r="AB5889">
        <v>20</v>
      </c>
      <c r="AC5889">
        <v>27.2472999999999</v>
      </c>
      <c r="AD5889">
        <v>-1.1090672810845901</v>
      </c>
      <c r="AE5889">
        <v>0.690159999999998</v>
      </c>
      <c r="AF5889">
        <v>-8.14337314255393</v>
      </c>
      <c r="AG5889">
        <v>-1.1090672810845901</v>
      </c>
      <c r="AH5889">
        <v>25.963882372502599</v>
      </c>
      <c r="AI5889">
        <v>92.333973639176705</v>
      </c>
      <c r="AJ5889">
        <v>107.413634065989</v>
      </c>
      <c r="AK5889">
        <v>27.233577514274401</v>
      </c>
    </row>
    <row r="5890" spans="1:37" x14ac:dyDescent="0.2">
      <c r="A5890" t="str">
        <f>"20200111155716343"</f>
        <v>20200111155716343</v>
      </c>
      <c r="B5890" t="str">
        <f>"1578729436339037"</f>
        <v>1578729436339037</v>
      </c>
      <c r="C5890" t="s">
        <v>37</v>
      </c>
      <c r="D5890">
        <v>5.2404479999999998</v>
      </c>
      <c r="E5890">
        <v>0.47144609999999898</v>
      </c>
      <c r="F5890" t="s">
        <v>38</v>
      </c>
      <c r="G5890">
        <v>-266.11219999999997</v>
      </c>
      <c r="H5890" s="1">
        <v>-1.6603589999999999E-6</v>
      </c>
      <c r="I5890">
        <v>-60.197899999999997</v>
      </c>
      <c r="J5890">
        <v>-287.3245</v>
      </c>
      <c r="K5890">
        <v>1.1089020000000001</v>
      </c>
      <c r="L5890">
        <v>-60.261539999999997</v>
      </c>
      <c r="M5890">
        <v>0.96225649999999996</v>
      </c>
      <c r="N5890">
        <v>0</v>
      </c>
      <c r="O5890">
        <v>-0.27177699999999999</v>
      </c>
      <c r="P5890">
        <v>0.99525409999999903</v>
      </c>
      <c r="Q5890">
        <v>3.2158760000000002E-2</v>
      </c>
      <c r="R5890">
        <v>-9.1843610000000006E-2</v>
      </c>
      <c r="S5890">
        <v>3.021118</v>
      </c>
      <c r="T5890">
        <v>-0.15727650000000001</v>
      </c>
      <c r="U5890">
        <v>5.859375E-3</v>
      </c>
      <c r="V5890">
        <v>-0.18253420000000001</v>
      </c>
      <c r="W5890">
        <v>4.4404510000000001E-2</v>
      </c>
      <c r="X5890">
        <v>0.98219630000000002</v>
      </c>
      <c r="Y5890">
        <v>-0.2729394</v>
      </c>
      <c r="Z5890">
        <v>2.110515E-2</v>
      </c>
      <c r="AA5890">
        <v>0.96179969999999904</v>
      </c>
      <c r="AB5890">
        <v>20</v>
      </c>
      <c r="AC5890">
        <v>21.212299999999999</v>
      </c>
      <c r="AD5890">
        <v>-1.1089036603589999</v>
      </c>
      <c r="AE5890">
        <v>6.3640000000006497E-2</v>
      </c>
      <c r="AF5890">
        <v>-5.8109548810758298</v>
      </c>
      <c r="AG5890">
        <v>-1.1089036603589999</v>
      </c>
      <c r="AH5890">
        <v>20.3408267963244</v>
      </c>
      <c r="AI5890">
        <v>93.000645224431906</v>
      </c>
      <c r="AJ5890">
        <v>105.94354711614901</v>
      </c>
      <c r="AK5890">
        <v>21.183628081986502</v>
      </c>
    </row>
    <row r="5891" spans="1:37" x14ac:dyDescent="0.2">
      <c r="A5891" t="str">
        <f>"20200111155716354"</f>
        <v>20200111155716354</v>
      </c>
      <c r="B5891" t="str">
        <f>"1578729436348796"</f>
        <v>1578729436348796</v>
      </c>
      <c r="C5891" t="s">
        <v>37</v>
      </c>
      <c r="D5891">
        <v>5.3174199999999896</v>
      </c>
      <c r="E5891">
        <v>0.47441800000000001</v>
      </c>
      <c r="F5891" t="s">
        <v>95</v>
      </c>
      <c r="G5891">
        <v>-269.05279999999999</v>
      </c>
      <c r="H5891" s="1">
        <v>-2.9139039999999999E-6</v>
      </c>
      <c r="I5891">
        <v>-60.477719999999998</v>
      </c>
      <c r="J5891">
        <v>-287.22800000000001</v>
      </c>
      <c r="K5891">
        <v>1.108733</v>
      </c>
      <c r="L5891">
        <v>-60.284730000000003</v>
      </c>
      <c r="M5891">
        <v>0.96317450000000004</v>
      </c>
      <c r="N5891">
        <v>0</v>
      </c>
      <c r="O5891">
        <v>-0.26850740000000001</v>
      </c>
      <c r="P5891">
        <v>0.99542799999999998</v>
      </c>
      <c r="Q5891">
        <v>2.8893789999999999E-2</v>
      </c>
      <c r="R5891">
        <v>-9.1041209999999997E-2</v>
      </c>
      <c r="S5891">
        <v>3.0169069999999998</v>
      </c>
      <c r="T5891">
        <v>-0.1830956</v>
      </c>
      <c r="U5891">
        <v>-3.5705569999999999E-2</v>
      </c>
      <c r="V5891">
        <v>-0.17997009999999999</v>
      </c>
      <c r="W5891">
        <v>4.1213109999999997E-2</v>
      </c>
      <c r="X5891">
        <v>0.98280840000000003</v>
      </c>
      <c r="Y5891">
        <v>-0.25616030000000001</v>
      </c>
      <c r="Z5891">
        <v>2.3888590000000001E-2</v>
      </c>
      <c r="AA5891">
        <v>0.96633910000000001</v>
      </c>
      <c r="AB5891">
        <v>20</v>
      </c>
      <c r="AC5891">
        <v>18.1752</v>
      </c>
      <c r="AD5891">
        <v>-1.1087359139040001</v>
      </c>
      <c r="AE5891">
        <v>-0.192989999999994</v>
      </c>
      <c r="AF5891">
        <v>-4.6773549950974296</v>
      </c>
      <c r="AG5891">
        <v>-1.1087359139040001</v>
      </c>
      <c r="AH5891">
        <v>17.494357784582402</v>
      </c>
      <c r="AI5891">
        <v>93.503630070076596</v>
      </c>
      <c r="AJ5891">
        <v>104.968692584557</v>
      </c>
      <c r="AK5891">
        <v>18.142753356972101</v>
      </c>
    </row>
    <row r="5892" spans="1:37" x14ac:dyDescent="0.2">
      <c r="A5892" t="str">
        <f>"20200111155716365"</f>
        <v>20200111155716365</v>
      </c>
      <c r="B5892" t="str">
        <f>"1578729436358556"</f>
        <v>1578729436358556</v>
      </c>
      <c r="C5892" t="s">
        <v>37</v>
      </c>
      <c r="D5892">
        <v>5.2557989999999997</v>
      </c>
      <c r="E5892">
        <v>0.47713489999999997</v>
      </c>
      <c r="F5892" t="s">
        <v>96</v>
      </c>
      <c r="G5892">
        <v>-270.55079999999998</v>
      </c>
      <c r="H5892" s="1">
        <v>5.618313E-7</v>
      </c>
      <c r="I5892">
        <v>-60.597580000000001</v>
      </c>
      <c r="J5892">
        <v>-287.1345</v>
      </c>
      <c r="K5892">
        <v>1.108582</v>
      </c>
      <c r="L5892">
        <v>-60.306919999999998</v>
      </c>
      <c r="M5892">
        <v>0.96402030000000005</v>
      </c>
      <c r="N5892">
        <v>0</v>
      </c>
      <c r="O5892">
        <v>-0.26545580000000002</v>
      </c>
      <c r="P5892">
        <v>0.99552859999999999</v>
      </c>
      <c r="Q5892">
        <v>2.5922690000000002E-2</v>
      </c>
      <c r="R5892">
        <v>-9.0834289999999998E-2</v>
      </c>
      <c r="S5892">
        <v>3.0144039999999999</v>
      </c>
      <c r="T5892">
        <v>-0.200404</v>
      </c>
      <c r="U5892">
        <v>-5.654907E-2</v>
      </c>
      <c r="V5892">
        <v>-0.17704249999999999</v>
      </c>
      <c r="W5892">
        <v>3.8311940000000003E-2</v>
      </c>
      <c r="X5892">
        <v>0.98345729999999998</v>
      </c>
      <c r="Y5892">
        <v>-0.24623499999999901</v>
      </c>
      <c r="Z5892">
        <v>2.563203E-2</v>
      </c>
      <c r="AA5892">
        <v>0.96887119999999904</v>
      </c>
      <c r="AB5892">
        <v>20</v>
      </c>
      <c r="AC5892">
        <v>16.5837</v>
      </c>
      <c r="AD5892">
        <v>-1.10858143816869</v>
      </c>
      <c r="AE5892">
        <v>-0.29066000000000902</v>
      </c>
      <c r="AF5892">
        <v>-4.1041114793505296</v>
      </c>
      <c r="AG5892">
        <v>-1.10858143816869</v>
      </c>
      <c r="AH5892">
        <v>15.994321642168799</v>
      </c>
      <c r="AI5892">
        <v>93.840843962071403</v>
      </c>
      <c r="AJ5892">
        <v>104.391489249743</v>
      </c>
      <c r="AK5892">
        <v>16.5496528251543</v>
      </c>
    </row>
    <row r="5893" spans="1:37" x14ac:dyDescent="0.2">
      <c r="A5893" t="str">
        <f>"20200111155716376"</f>
        <v>20200111155716376</v>
      </c>
      <c r="B5893" t="str">
        <f>"1578729436369292"</f>
        <v>1578729436369292</v>
      </c>
      <c r="C5893" t="s">
        <v>37</v>
      </c>
      <c r="D5893">
        <v>5.2309669999999997</v>
      </c>
      <c r="E5893">
        <v>0.47889949999999998</v>
      </c>
      <c r="F5893" t="s">
        <v>96</v>
      </c>
      <c r="G5893">
        <v>-271.60329999999999</v>
      </c>
      <c r="H5893" s="1">
        <v>8.6310140000000002E-8</v>
      </c>
      <c r="I5893">
        <v>-60.705669999999998</v>
      </c>
      <c r="J5893">
        <v>-287.03820000000002</v>
      </c>
      <c r="K5893">
        <v>1.1084339999999999</v>
      </c>
      <c r="L5893">
        <v>-60.329680000000003</v>
      </c>
      <c r="M5893">
        <v>0.96486459999999996</v>
      </c>
      <c r="N5893">
        <v>0</v>
      </c>
      <c r="O5893">
        <v>-0.26237199999999999</v>
      </c>
      <c r="P5893">
        <v>0.99559509999999996</v>
      </c>
      <c r="Q5893">
        <v>2.457223E-2</v>
      </c>
      <c r="R5893">
        <v>-9.0483369999999994E-2</v>
      </c>
      <c r="S5893">
        <v>3.012054</v>
      </c>
      <c r="T5893">
        <v>-0.21499360000000001</v>
      </c>
      <c r="U5893">
        <v>-7.7331540000000004E-2</v>
      </c>
      <c r="V5893">
        <v>-0.1742281</v>
      </c>
      <c r="W5893">
        <v>3.7027310000000001E-2</v>
      </c>
      <c r="X5893">
        <v>0.98400889999999996</v>
      </c>
      <c r="Y5893">
        <v>-0.23629139999999901</v>
      </c>
      <c r="Z5893">
        <v>2.6940720000000001E-2</v>
      </c>
      <c r="AA5893">
        <v>0.97130869999999903</v>
      </c>
      <c r="AB5893">
        <v>20</v>
      </c>
      <c r="AC5893">
        <v>15.434900000000001</v>
      </c>
      <c r="AD5893">
        <v>-1.10843391368986</v>
      </c>
      <c r="AE5893">
        <v>-0.375989999999994</v>
      </c>
      <c r="AF5893">
        <v>-3.66836262036515</v>
      </c>
      <c r="AG5893">
        <v>-1.10843391368986</v>
      </c>
      <c r="AH5893">
        <v>14.9158385088254</v>
      </c>
      <c r="AI5893">
        <v>94.127435610261102</v>
      </c>
      <c r="AJ5893">
        <v>103.81695771512</v>
      </c>
      <c r="AK5893">
        <v>15.4002515718695</v>
      </c>
    </row>
    <row r="5894" spans="1:37" x14ac:dyDescent="0.2">
      <c r="A5894" t="str">
        <f>"20200111155716387"</f>
        <v>20200111155716387</v>
      </c>
      <c r="B5894" t="str">
        <f>"1578729436379053"</f>
        <v>1578729436379053</v>
      </c>
      <c r="C5894" t="s">
        <v>37</v>
      </c>
      <c r="D5894">
        <v>5.1978049999999998</v>
      </c>
      <c r="E5894">
        <v>0.48048599999999902</v>
      </c>
      <c r="F5894" t="s">
        <v>96</v>
      </c>
      <c r="G5894">
        <v>-272.09690000000001</v>
      </c>
      <c r="H5894" s="1">
        <v>-1.412398E-7</v>
      </c>
      <c r="I5894">
        <v>-60.776619999999902</v>
      </c>
      <c r="J5894">
        <v>-286.94479999999999</v>
      </c>
      <c r="K5894">
        <v>1.108322</v>
      </c>
      <c r="L5894">
        <v>-60.351439999999997</v>
      </c>
      <c r="M5894">
        <v>0.9656382</v>
      </c>
      <c r="N5894">
        <v>0</v>
      </c>
      <c r="O5894">
        <v>-0.2595112</v>
      </c>
      <c r="P5894">
        <v>0.99562980000000001</v>
      </c>
      <c r="Q5894">
        <v>2.377514E-2</v>
      </c>
      <c r="R5894">
        <v>-9.0311559999999999E-2</v>
      </c>
      <c r="S5894">
        <v>3.0106199999999999</v>
      </c>
      <c r="T5894">
        <v>-0.223345399999999</v>
      </c>
      <c r="U5894">
        <v>-9.0057369999999998E-2</v>
      </c>
      <c r="V5894">
        <v>-0.17146839999999999</v>
      </c>
      <c r="W5894">
        <v>3.6283929999999999E-2</v>
      </c>
      <c r="X5894">
        <v>0.98452119999999999</v>
      </c>
      <c r="Y5894">
        <v>-0.22921859999999999</v>
      </c>
      <c r="Z5894">
        <v>2.7525730000000002E-2</v>
      </c>
      <c r="AA5894">
        <v>0.97298569999999995</v>
      </c>
      <c r="AB5894">
        <v>20</v>
      </c>
      <c r="AC5894">
        <v>14.8478999999999</v>
      </c>
      <c r="AD5894">
        <v>-1.1083221412398001</v>
      </c>
      <c r="AE5894">
        <v>-0.42517999999999001</v>
      </c>
      <c r="AF5894">
        <v>-3.4239031522896801</v>
      </c>
      <c r="AG5894">
        <v>-1.1083221412398001</v>
      </c>
      <c r="AH5894">
        <v>14.369460977251601</v>
      </c>
      <c r="AI5894">
        <v>94.290854611306898</v>
      </c>
      <c r="AJ5894">
        <v>103.402319254487</v>
      </c>
      <c r="AK5894">
        <v>14.8132676861582</v>
      </c>
    </row>
    <row r="5895" spans="1:37" x14ac:dyDescent="0.2">
      <c r="A5895" t="str">
        <f>"20200111155716398"</f>
        <v>20200111155716398</v>
      </c>
      <c r="B5895" t="str">
        <f>"1578729436388813"</f>
        <v>1578729436388813</v>
      </c>
      <c r="C5895" t="s">
        <v>37</v>
      </c>
      <c r="D5895">
        <v>5.2133890000000003</v>
      </c>
      <c r="E5895">
        <v>0.4817823</v>
      </c>
      <c r="F5895" t="s">
        <v>96</v>
      </c>
      <c r="G5895">
        <v>-272.29820000000001</v>
      </c>
      <c r="H5895" s="1">
        <v>-2.4353989999999998E-7</v>
      </c>
      <c r="I5895">
        <v>-60.84843</v>
      </c>
      <c r="J5895">
        <v>-286.84710000000001</v>
      </c>
      <c r="K5895">
        <v>1.108215</v>
      </c>
      <c r="L5895">
        <v>-60.374109999999902</v>
      </c>
      <c r="M5895">
        <v>0.96643020000000002</v>
      </c>
      <c r="N5895">
        <v>0</v>
      </c>
      <c r="O5895">
        <v>-0.25654739999999998</v>
      </c>
      <c r="P5895">
        <v>0.99564459999999999</v>
      </c>
      <c r="Q5895">
        <v>2.414316E-2</v>
      </c>
      <c r="R5895">
        <v>-9.0049920000000006E-2</v>
      </c>
      <c r="S5895">
        <v>3.0093380000000001</v>
      </c>
      <c r="T5895">
        <v>-0.2277187</v>
      </c>
      <c r="U5895">
        <v>-0.1021118</v>
      </c>
      <c r="V5895">
        <v>-0.16869439999999999</v>
      </c>
      <c r="W5895">
        <v>3.6703270000000003E-2</v>
      </c>
      <c r="X5895">
        <v>0.98498479999999999</v>
      </c>
      <c r="Y5895">
        <v>-0.2222961</v>
      </c>
      <c r="Z5895">
        <v>2.75918E-2</v>
      </c>
      <c r="AA5895">
        <v>0.97458869999999898</v>
      </c>
      <c r="AB5895">
        <v>20</v>
      </c>
      <c r="AC5895">
        <v>14.5489</v>
      </c>
      <c r="AD5895">
        <v>-1.1082152435399</v>
      </c>
      <c r="AE5895">
        <v>-0.47432000000001201</v>
      </c>
      <c r="AF5895">
        <v>-3.2555373510218302</v>
      </c>
      <c r="AG5895">
        <v>-1.1082152435399</v>
      </c>
      <c r="AH5895">
        <v>14.101838751082401</v>
      </c>
      <c r="AI5895">
        <v>94.3787399133099</v>
      </c>
      <c r="AJ5895">
        <v>102.999503732894</v>
      </c>
      <c r="AK5895">
        <v>14.515113524579901</v>
      </c>
    </row>
    <row r="5896" spans="1:37" x14ac:dyDescent="0.2">
      <c r="A5896" t="str">
        <f>"20200111155716410"</f>
        <v>20200111155716410</v>
      </c>
      <c r="B5896" t="str">
        <f>"1578729436399549"</f>
        <v>1578729436399549</v>
      </c>
      <c r="C5896" t="s">
        <v>37</v>
      </c>
      <c r="D5896">
        <v>5.2097169999999897</v>
      </c>
      <c r="E5896">
        <v>0.48279090000000002</v>
      </c>
      <c r="F5896" t="s">
        <v>96</v>
      </c>
      <c r="G5896">
        <v>-272.20280000000002</v>
      </c>
      <c r="H5896" s="1">
        <v>-2.1789120000000001E-7</v>
      </c>
      <c r="I5896">
        <v>-60.917050000000003</v>
      </c>
      <c r="J5896">
        <v>-286.74790000000002</v>
      </c>
      <c r="K5896">
        <v>1.1081449999999999</v>
      </c>
      <c r="L5896">
        <v>-60.39676</v>
      </c>
      <c r="M5896">
        <v>0.96718819999999905</v>
      </c>
      <c r="N5896">
        <v>0</v>
      </c>
      <c r="O5896">
        <v>-0.2536754</v>
      </c>
      <c r="P5896">
        <v>0.99560550000000003</v>
      </c>
      <c r="Q5896">
        <v>2.5837490000000001E-2</v>
      </c>
      <c r="R5896">
        <v>-9.0011960000000002E-2</v>
      </c>
      <c r="S5896">
        <v>3.0085449999999998</v>
      </c>
      <c r="T5896">
        <v>-0.2276734</v>
      </c>
      <c r="U5896">
        <v>-0.11154169999999999</v>
      </c>
      <c r="V5896">
        <v>-0.1657981</v>
      </c>
      <c r="W5896">
        <v>3.843821E-2</v>
      </c>
      <c r="X5896">
        <v>0.98541029999999996</v>
      </c>
      <c r="Y5896">
        <v>-0.21636169999999999</v>
      </c>
      <c r="Z5896">
        <v>2.715511E-2</v>
      </c>
      <c r="AA5896">
        <v>0.97593560000000001</v>
      </c>
      <c r="AB5896">
        <v>20</v>
      </c>
      <c r="AC5896">
        <v>14.5450999999999</v>
      </c>
      <c r="AD5896">
        <v>-1.1081452178911999</v>
      </c>
      <c r="AE5896">
        <v>-0.52029000000000203</v>
      </c>
      <c r="AF5896">
        <v>-3.1684600640872902</v>
      </c>
      <c r="AG5896">
        <v>-1.1081452178911999</v>
      </c>
      <c r="AH5896">
        <v>14.1193738158988</v>
      </c>
      <c r="AI5896">
        <v>94.379136223300407</v>
      </c>
      <c r="AJ5896">
        <v>102.647938726996</v>
      </c>
      <c r="AK5896">
        <v>14.5128853766142</v>
      </c>
    </row>
    <row r="5897" spans="1:37" x14ac:dyDescent="0.2">
      <c r="A5897" t="str">
        <f>"20200111155716421"</f>
        <v>20200111155716421</v>
      </c>
      <c r="B5897" t="str">
        <f>"1578729436419069"</f>
        <v>1578729436419069</v>
      </c>
      <c r="C5897" t="s">
        <v>37</v>
      </c>
      <c r="D5897">
        <v>5.2248539999999997</v>
      </c>
      <c r="E5897">
        <v>0.48436889999999999</v>
      </c>
      <c r="F5897" t="s">
        <v>96</v>
      </c>
      <c r="G5897">
        <v>-271.79410000000001</v>
      </c>
      <c r="H5897" s="1">
        <v>-5.8705890000000001E-8</v>
      </c>
      <c r="I5897">
        <v>-60.989750000000001</v>
      </c>
      <c r="J5897">
        <v>-286.65089999999998</v>
      </c>
      <c r="K5897">
        <v>1.1080889999999901</v>
      </c>
      <c r="L5897">
        <v>-60.418790000000001</v>
      </c>
      <c r="M5897">
        <v>0.96791319999999903</v>
      </c>
      <c r="N5897">
        <v>0</v>
      </c>
      <c r="O5897">
        <v>-0.25089650000000002</v>
      </c>
      <c r="P5897">
        <v>0.99554819999999999</v>
      </c>
      <c r="Q5897">
        <v>2.7925789999999999E-2</v>
      </c>
      <c r="R5897">
        <v>-9.0021100000000007E-2</v>
      </c>
      <c r="S5897">
        <v>3.0082399999999998</v>
      </c>
      <c r="T5897">
        <v>-0.22292439999999999</v>
      </c>
      <c r="U5897">
        <v>-0.1192932</v>
      </c>
      <c r="V5897">
        <v>-0.16294990000000001</v>
      </c>
      <c r="W5897">
        <v>4.0562290000000001E-2</v>
      </c>
      <c r="X5897">
        <v>0.98580020000000002</v>
      </c>
      <c r="Y5897">
        <v>-0.21111669999999999</v>
      </c>
      <c r="Z5897">
        <v>2.6196210000000001E-2</v>
      </c>
      <c r="AA5897">
        <v>0.97710980000000003</v>
      </c>
      <c r="AB5897">
        <v>20</v>
      </c>
      <c r="AC5897">
        <v>14.8567999999999</v>
      </c>
      <c r="AD5897">
        <v>-1.10808905870588</v>
      </c>
      <c r="AE5897">
        <v>-0.57095999999999902</v>
      </c>
      <c r="AF5897">
        <v>-3.15764928819589</v>
      </c>
      <c r="AG5897">
        <v>-1.10808905870588</v>
      </c>
      <c r="AH5897">
        <v>14.444526312409399</v>
      </c>
      <c r="AI5897">
        <v>94.285940382228802</v>
      </c>
      <c r="AJ5897">
        <v>102.331172221579</v>
      </c>
      <c r="AK5897">
        <v>14.827101900882599</v>
      </c>
    </row>
    <row r="5898" spans="1:37" x14ac:dyDescent="0.2">
      <c r="A5898" t="str">
        <f>"20200111155716432"</f>
        <v>20200111155716432</v>
      </c>
      <c r="B5898" t="str">
        <f>"1578729436428829"</f>
        <v>1578729436428829</v>
      </c>
      <c r="C5898" t="s">
        <v>37</v>
      </c>
      <c r="D5898">
        <v>5.2330379999999996</v>
      </c>
      <c r="E5898">
        <v>0.48505320000000002</v>
      </c>
      <c r="F5898" t="s">
        <v>96</v>
      </c>
      <c r="G5898">
        <v>-271.29169999999999</v>
      </c>
      <c r="H5898" s="1">
        <v>1.3439899999999901E-7</v>
      </c>
      <c r="I5898">
        <v>-61.090490000000003</v>
      </c>
      <c r="J5898">
        <v>-286.55349999999999</v>
      </c>
      <c r="K5898">
        <v>1.108052</v>
      </c>
      <c r="L5898">
        <v>-60.440640000000002</v>
      </c>
      <c r="M5898">
        <v>0.96861359999999996</v>
      </c>
      <c r="N5898">
        <v>0</v>
      </c>
      <c r="O5898">
        <v>-0.24818000000000001</v>
      </c>
      <c r="P5898">
        <v>0.99546309999999905</v>
      </c>
      <c r="Q5898">
        <v>3.0075790000000002E-2</v>
      </c>
      <c r="R5898">
        <v>-9.0270059999999999E-2</v>
      </c>
      <c r="S5898">
        <v>3.0076290000000001</v>
      </c>
      <c r="T5898">
        <v>-0.21698509999999999</v>
      </c>
      <c r="U5898">
        <v>-0.1315308</v>
      </c>
      <c r="V5898">
        <v>-0.15992899999999999</v>
      </c>
      <c r="W5898">
        <v>4.2741460000000002E-2</v>
      </c>
      <c r="X5898">
        <v>0.98620280000000005</v>
      </c>
      <c r="Y5898">
        <v>-0.20448279999999999</v>
      </c>
      <c r="Z5898">
        <v>2.5071650000000001E-2</v>
      </c>
      <c r="AA5898">
        <v>0.97854909999999995</v>
      </c>
      <c r="AB5898">
        <v>20</v>
      </c>
      <c r="AC5898">
        <v>15.2617999999999</v>
      </c>
      <c r="AD5898">
        <v>-1.1080518656010001</v>
      </c>
      <c r="AE5898">
        <v>-0.64985000000000004</v>
      </c>
      <c r="AF5898">
        <v>-3.1419948926308998</v>
      </c>
      <c r="AG5898">
        <v>-1.1080518656010001</v>
      </c>
      <c r="AH5898">
        <v>14.867292955940201</v>
      </c>
      <c r="AI5898">
        <v>94.170563720692797</v>
      </c>
      <c r="AJ5898">
        <v>101.93307586560501</v>
      </c>
      <c r="AK5898">
        <v>15.2360201719454</v>
      </c>
    </row>
    <row r="5899" spans="1:37" x14ac:dyDescent="0.2">
      <c r="A5899" t="str">
        <f>"20200111155716444"</f>
        <v>20200111155716444</v>
      </c>
      <c r="B5899" t="str">
        <f>"1578729436438589"</f>
        <v>1578729436438589</v>
      </c>
      <c r="C5899" t="s">
        <v>37</v>
      </c>
      <c r="D5899">
        <v>5.268815</v>
      </c>
      <c r="E5899">
        <v>0.48555680000000001</v>
      </c>
      <c r="F5899" t="s">
        <v>96</v>
      </c>
      <c r="G5899">
        <v>-270.738</v>
      </c>
      <c r="H5899" s="1">
        <v>3.5593599999999999E-7</v>
      </c>
      <c r="I5899">
        <v>-61.1624699999999</v>
      </c>
      <c r="J5899">
        <v>-286.45170000000002</v>
      </c>
      <c r="K5899">
        <v>1.1080179999999999</v>
      </c>
      <c r="L5899">
        <v>-60.463259999999998</v>
      </c>
      <c r="M5899">
        <v>0.96932700000000005</v>
      </c>
      <c r="N5899">
        <v>0</v>
      </c>
      <c r="O5899">
        <v>-0.24537979999999901</v>
      </c>
      <c r="P5899">
        <v>0.99540899999999999</v>
      </c>
      <c r="Q5899">
        <v>3.1502280000000001E-2</v>
      </c>
      <c r="R5899">
        <v>-9.0381509999999998E-2</v>
      </c>
      <c r="S5899">
        <v>3.0075989999999999</v>
      </c>
      <c r="T5899">
        <v>-0.21071579999999901</v>
      </c>
      <c r="U5899">
        <v>-0.1372681</v>
      </c>
      <c r="V5899">
        <v>-0.15695999999999999</v>
      </c>
      <c r="W5899">
        <v>4.4192530000000001E-2</v>
      </c>
      <c r="X5899">
        <v>0.98661569999999899</v>
      </c>
      <c r="Y5899">
        <v>-0.19987279999999999</v>
      </c>
      <c r="Z5899">
        <v>2.3995450000000002E-2</v>
      </c>
      <c r="AA5899">
        <v>0.97952799999999995</v>
      </c>
      <c r="AB5899">
        <v>20</v>
      </c>
      <c r="AC5899">
        <v>15.713699999999999</v>
      </c>
      <c r="AD5899">
        <v>-1.1080176440639999</v>
      </c>
      <c r="AE5899">
        <v>-0.699209999999993</v>
      </c>
      <c r="AF5899">
        <v>-3.1626756800640501</v>
      </c>
      <c r="AG5899">
        <v>-1.1080176440639999</v>
      </c>
      <c r="AH5899">
        <v>15.328714719029101</v>
      </c>
      <c r="AI5899">
        <v>94.049367008230504</v>
      </c>
      <c r="AJ5899">
        <v>101.657885701899</v>
      </c>
      <c r="AK5899">
        <v>15.690752547096199</v>
      </c>
    </row>
    <row r="5900" spans="1:37" x14ac:dyDescent="0.2">
      <c r="A5900" t="str">
        <f>"20200111155716454"</f>
        <v>20200111155716454</v>
      </c>
      <c r="B5900" t="str">
        <f>"1578729436449325"</f>
        <v>1578729436449325</v>
      </c>
      <c r="C5900" t="s">
        <v>37</v>
      </c>
      <c r="D5900">
        <v>5.2350000000000003</v>
      </c>
      <c r="E5900">
        <v>0.48605759999999998</v>
      </c>
      <c r="F5900" t="s">
        <v>96</v>
      </c>
      <c r="G5900">
        <v>-270.26740000000001</v>
      </c>
      <c r="H5900" s="1">
        <v>5.4450019999999896E-7</v>
      </c>
      <c r="I5900">
        <v>-61.222469999999902</v>
      </c>
      <c r="J5900">
        <v>-286.36020000000002</v>
      </c>
      <c r="K5900">
        <v>1.10799</v>
      </c>
      <c r="L5900">
        <v>-60.483369999999901</v>
      </c>
      <c r="M5900">
        <v>0.96995309999999901</v>
      </c>
      <c r="N5900">
        <v>0</v>
      </c>
      <c r="O5900">
        <v>-0.2428941</v>
      </c>
      <c r="P5900">
        <v>0.99531970000000003</v>
      </c>
      <c r="Q5900">
        <v>3.2659609999999999E-2</v>
      </c>
      <c r="R5900">
        <v>-9.0951019999999994E-2</v>
      </c>
      <c r="S5900">
        <v>3.0075069999999999</v>
      </c>
      <c r="T5900">
        <v>-0.20590059999999999</v>
      </c>
      <c r="U5900">
        <v>-0.14108280000000001</v>
      </c>
      <c r="V5900">
        <v>-0.1538592</v>
      </c>
      <c r="W5900">
        <v>4.5372929999999999E-2</v>
      </c>
      <c r="X5900">
        <v>0.98705049999999905</v>
      </c>
      <c r="Y5900">
        <v>-0.19618160000000001</v>
      </c>
      <c r="Z5900">
        <v>2.315623E-2</v>
      </c>
      <c r="AA5900">
        <v>0.98029409999999895</v>
      </c>
      <c r="AB5900">
        <v>20</v>
      </c>
      <c r="AC5900">
        <v>16.0928</v>
      </c>
      <c r="AD5900">
        <v>-1.1079894554998</v>
      </c>
      <c r="AE5900">
        <v>-0.73909999999999998</v>
      </c>
      <c r="AF5900">
        <v>-3.1772331939436902</v>
      </c>
      <c r="AG5900">
        <v>-1.1079894554998</v>
      </c>
      <c r="AH5900">
        <v>15.7159696129845</v>
      </c>
      <c r="AI5900">
        <v>93.953017697218797</v>
      </c>
      <c r="AJ5900">
        <v>101.42920677653601</v>
      </c>
      <c r="AK5900">
        <v>16.0721545624241</v>
      </c>
    </row>
    <row r="5901" spans="1:37" x14ac:dyDescent="0.2">
      <c r="A5901" t="str">
        <f>"20200111155716465"</f>
        <v>20200111155716465</v>
      </c>
      <c r="B5901" t="str">
        <f>"1578729436459086"</f>
        <v>1578729436459086</v>
      </c>
      <c r="C5901" t="s">
        <v>37</v>
      </c>
      <c r="D5901">
        <v>5.2396729999999998</v>
      </c>
      <c r="E5901">
        <v>0.48644340000000003</v>
      </c>
      <c r="F5901" t="s">
        <v>38</v>
      </c>
      <c r="G5901">
        <v>-269.87700000000001</v>
      </c>
      <c r="H5901" s="1">
        <v>-3.4095429999999998E-6</v>
      </c>
      <c r="I5901">
        <v>-61.285169999999901</v>
      </c>
      <c r="J5901">
        <v>-286.26459999999997</v>
      </c>
      <c r="K5901">
        <v>1.107972</v>
      </c>
      <c r="L5901">
        <v>-60.504119999999901</v>
      </c>
      <c r="M5901">
        <v>0.97059169999999995</v>
      </c>
      <c r="N5901">
        <v>0</v>
      </c>
      <c r="O5901">
        <v>-0.2403304</v>
      </c>
      <c r="P5901">
        <v>0.99525799999999998</v>
      </c>
      <c r="Q5901">
        <v>3.3374340000000002E-2</v>
      </c>
      <c r="R5901">
        <v>-9.1365619999999995E-2</v>
      </c>
      <c r="S5901">
        <v>3.007355</v>
      </c>
      <c r="T5901">
        <v>-0.20215339999999901</v>
      </c>
      <c r="U5901">
        <v>-0.1463013</v>
      </c>
      <c r="V5901">
        <v>-0.1508341</v>
      </c>
      <c r="W5901">
        <v>4.6107460000000003E-2</v>
      </c>
      <c r="X5901">
        <v>0.98748329999999995</v>
      </c>
      <c r="Y5901">
        <v>-0.19194140000000001</v>
      </c>
      <c r="Z5901">
        <v>2.2425279999999999E-2</v>
      </c>
      <c r="AA5901">
        <v>0.98115019999999997</v>
      </c>
      <c r="AB5901">
        <v>20</v>
      </c>
      <c r="AC5901">
        <v>16.3875999999999</v>
      </c>
      <c r="AD5901">
        <v>-1.1079754095429999</v>
      </c>
      <c r="AE5901">
        <v>-0.78105000000000002</v>
      </c>
      <c r="AF5901">
        <v>-3.1662242271254302</v>
      </c>
      <c r="AG5901">
        <v>-1.1079754095429999</v>
      </c>
      <c r="AH5901">
        <v>16.021859230122899</v>
      </c>
      <c r="AI5901">
        <v>93.881110201721398</v>
      </c>
      <c r="AJ5901">
        <v>101.178699806284</v>
      </c>
      <c r="AK5901">
        <v>16.369256505854601</v>
      </c>
    </row>
    <row r="5902" spans="1:37" x14ac:dyDescent="0.2">
      <c r="A5902" t="str">
        <f>"20200111155716477"</f>
        <v>20200111155716477</v>
      </c>
      <c r="B5902" t="str">
        <f>"1578729436468845"</f>
        <v>1578729436468845</v>
      </c>
      <c r="C5902" t="s">
        <v>37</v>
      </c>
      <c r="D5902">
        <v>5.2210289999999997</v>
      </c>
      <c r="E5902">
        <v>0.48675779999999902</v>
      </c>
      <c r="F5902" t="s">
        <v>95</v>
      </c>
      <c r="G5902">
        <v>-269.63490000000002</v>
      </c>
      <c r="H5902" s="1">
        <v>-3.3360010000000001E-6</v>
      </c>
      <c r="I5902">
        <v>-61.335019999999901</v>
      </c>
      <c r="J5902">
        <v>-286.1626</v>
      </c>
      <c r="K5902">
        <v>1.1079509999999999</v>
      </c>
      <c r="L5902">
        <v>-60.526090000000003</v>
      </c>
      <c r="M5902">
        <v>0.9712615</v>
      </c>
      <c r="N5902">
        <v>0</v>
      </c>
      <c r="O5902">
        <v>-0.23760999999999999</v>
      </c>
      <c r="P5902">
        <v>0.99518109999999904</v>
      </c>
      <c r="Q5902">
        <v>3.4508869999999997E-2</v>
      </c>
      <c r="R5902">
        <v>-9.1781650000000006E-2</v>
      </c>
      <c r="S5902">
        <v>3.0072329999999998</v>
      </c>
      <c r="T5902">
        <v>-0.20036119999999999</v>
      </c>
      <c r="U5902">
        <v>-0.1502686</v>
      </c>
      <c r="V5902">
        <v>-0.1476479</v>
      </c>
      <c r="W5902">
        <v>4.7261089999999999E-2</v>
      </c>
      <c r="X5902">
        <v>0.98791019999999896</v>
      </c>
      <c r="Y5902">
        <v>-0.18792879999999901</v>
      </c>
      <c r="Z5902">
        <v>2.1916669999999999E-2</v>
      </c>
      <c r="AA5902">
        <v>0.98193809999999904</v>
      </c>
      <c r="AB5902">
        <v>20</v>
      </c>
      <c r="AC5902">
        <v>16.5276999999999</v>
      </c>
      <c r="AD5902">
        <v>-1.107954336001</v>
      </c>
      <c r="AE5902">
        <v>-0.80892999999998905</v>
      </c>
      <c r="AF5902">
        <v>-3.1277447414990802</v>
      </c>
      <c r="AG5902">
        <v>-1.107954336001</v>
      </c>
      <c r="AH5902">
        <v>16.1739832453082</v>
      </c>
      <c r="AI5902">
        <v>93.847703589353799</v>
      </c>
      <c r="AJ5902">
        <v>100.944830672252</v>
      </c>
      <c r="AK5902">
        <v>16.510847464565501</v>
      </c>
    </row>
    <row r="5903" spans="1:37" x14ac:dyDescent="0.2">
      <c r="A5903" t="str">
        <f>"20200111155716489"</f>
        <v>20200111155716489</v>
      </c>
      <c r="B5903" t="str">
        <f>"1578729436478604"</f>
        <v>1578729436478604</v>
      </c>
      <c r="C5903" t="s">
        <v>37</v>
      </c>
      <c r="D5903">
        <v>5.423368</v>
      </c>
      <c r="E5903">
        <v>0.48710029999999999</v>
      </c>
      <c r="F5903" t="s">
        <v>38</v>
      </c>
      <c r="G5903">
        <v>-269.29840000000002</v>
      </c>
      <c r="H5903" s="1">
        <v>-3.2307720000000001E-6</v>
      </c>
      <c r="I5903">
        <v>-61.38738</v>
      </c>
      <c r="J5903">
        <v>-286.06819999999999</v>
      </c>
      <c r="K5903">
        <v>1.1079410000000001</v>
      </c>
      <c r="L5903">
        <v>-60.546050000000001</v>
      </c>
      <c r="M5903">
        <v>0.971867499999999</v>
      </c>
      <c r="N5903">
        <v>0</v>
      </c>
      <c r="O5903">
        <v>-0.23511989999999999</v>
      </c>
      <c r="P5903">
        <v>0.99510739999999998</v>
      </c>
      <c r="Q5903">
        <v>3.5567380000000003E-2</v>
      </c>
      <c r="R5903">
        <v>-9.2177289999999995E-2</v>
      </c>
      <c r="S5903">
        <v>3.0072019999999999</v>
      </c>
      <c r="T5903">
        <v>-0.19756850000000001</v>
      </c>
      <c r="U5903">
        <v>-0.15359500000000001</v>
      </c>
      <c r="V5903">
        <v>-0.14471679999999901</v>
      </c>
      <c r="W5903">
        <v>4.8337989999999997E-2</v>
      </c>
      <c r="X5903">
        <v>0.9882917</v>
      </c>
      <c r="Y5903">
        <v>-0.18436529999999901</v>
      </c>
      <c r="Z5903">
        <v>2.1334849999999999E-2</v>
      </c>
      <c r="AA5903">
        <v>0.98262619999999901</v>
      </c>
      <c r="AB5903">
        <v>20</v>
      </c>
      <c r="AC5903">
        <v>16.769799999999901</v>
      </c>
      <c r="AD5903">
        <v>-1.107944230772</v>
      </c>
      <c r="AE5903">
        <v>-0.84133000000000602</v>
      </c>
      <c r="AF5903">
        <v>-3.11200312972273</v>
      </c>
      <c r="AG5903">
        <v>-1.107944230772</v>
      </c>
      <c r="AH5903">
        <v>16.425904098147299</v>
      </c>
      <c r="AI5903">
        <v>93.791569297485495</v>
      </c>
      <c r="AJ5903">
        <v>100.72793856693799</v>
      </c>
      <c r="AK5903">
        <v>16.754773329992702</v>
      </c>
    </row>
    <row r="5904" spans="1:37" x14ac:dyDescent="0.2">
      <c r="A5904" t="str">
        <f>"20200111155716501"</f>
        <v>20200111155716501</v>
      </c>
      <c r="B5904" t="str">
        <f>"1578729436489341"</f>
        <v>1578729436489341</v>
      </c>
      <c r="C5904" t="s">
        <v>37</v>
      </c>
      <c r="D5904">
        <v>5.2654290000000001</v>
      </c>
      <c r="E5904">
        <v>0.48737399999999997</v>
      </c>
      <c r="F5904" t="s">
        <v>95</v>
      </c>
      <c r="G5904">
        <v>-268.95580000000001</v>
      </c>
      <c r="H5904" s="1">
        <v>-3.12372799999999E-6</v>
      </c>
      <c r="I5904">
        <v>-61.441200000000002</v>
      </c>
      <c r="J5904">
        <v>-285.96679999999998</v>
      </c>
      <c r="K5904">
        <v>1.1079219999999901</v>
      </c>
      <c r="L5904">
        <v>-60.567349999999998</v>
      </c>
      <c r="M5904">
        <v>0.9725087</v>
      </c>
      <c r="N5904">
        <v>0</v>
      </c>
      <c r="O5904">
        <v>-0.23245370000000001</v>
      </c>
      <c r="P5904">
        <v>0.99505619999999995</v>
      </c>
      <c r="Q5904">
        <v>3.7146180000000001E-2</v>
      </c>
      <c r="R5904">
        <v>-9.2105629999999994E-2</v>
      </c>
      <c r="S5904">
        <v>3.0071720000000002</v>
      </c>
      <c r="T5904">
        <v>-0.19469990000000001</v>
      </c>
      <c r="U5904">
        <v>-0.15731809999999999</v>
      </c>
      <c r="V5904">
        <v>-0.14207</v>
      </c>
      <c r="W5904">
        <v>4.9931570000000002E-2</v>
      </c>
      <c r="X5904">
        <v>0.98859640000000004</v>
      </c>
      <c r="Y5904">
        <v>-0.18049409999999999</v>
      </c>
      <c r="Z5904">
        <v>2.0731510000000002E-2</v>
      </c>
      <c r="AA5904">
        <v>0.9833575</v>
      </c>
      <c r="AB5904">
        <v>20</v>
      </c>
      <c r="AC5904">
        <v>17.0109999999999</v>
      </c>
      <c r="AD5904">
        <v>-1.1079251237279999</v>
      </c>
      <c r="AE5904">
        <v>-0.87385000000000401</v>
      </c>
      <c r="AF5904">
        <v>-3.0916613733810001</v>
      </c>
      <c r="AG5904">
        <v>-1.1079251237279999</v>
      </c>
      <c r="AH5904">
        <v>16.677525622170599</v>
      </c>
      <c r="AI5904">
        <v>93.737213684039503</v>
      </c>
      <c r="AJ5904">
        <v>100.50220773850801</v>
      </c>
      <c r="AK5904">
        <v>16.997815418623698</v>
      </c>
    </row>
    <row r="5905" spans="1:37" x14ac:dyDescent="0.2">
      <c r="A5905" t="str">
        <f>"20200111155716511"</f>
        <v>20200111155716511</v>
      </c>
      <c r="B5905" t="str">
        <f>"1578729436499101"</f>
        <v>1578729436499101</v>
      </c>
      <c r="C5905" t="s">
        <v>37</v>
      </c>
      <c r="D5905">
        <v>5.292224</v>
      </c>
      <c r="E5905">
        <v>0.4875255</v>
      </c>
      <c r="F5905" t="s">
        <v>95</v>
      </c>
      <c r="G5905">
        <v>-268.51400000000001</v>
      </c>
      <c r="H5905" s="1">
        <v>-2.95257799999999E-6</v>
      </c>
      <c r="I5905">
        <v>-61.491799999999998</v>
      </c>
      <c r="J5905">
        <v>-285.86739999999998</v>
      </c>
      <c r="K5905">
        <v>1.1078950000000001</v>
      </c>
      <c r="L5905">
        <v>-60.587890000000002</v>
      </c>
      <c r="M5905">
        <v>0.97312299999999996</v>
      </c>
      <c r="N5905">
        <v>0</v>
      </c>
      <c r="O5905">
        <v>-0.22987009999999999</v>
      </c>
      <c r="P5905">
        <v>0.99497269999999904</v>
      </c>
      <c r="Q5905">
        <v>3.9213360000000003E-2</v>
      </c>
      <c r="R5905">
        <v>-9.2151559999999993E-2</v>
      </c>
      <c r="S5905">
        <v>3.007263</v>
      </c>
      <c r="T5905">
        <v>-0.19090489999999999</v>
      </c>
      <c r="U5905">
        <v>-0.15930179999999999</v>
      </c>
      <c r="V5905">
        <v>-0.13938879999999901</v>
      </c>
      <c r="W5905">
        <v>5.201596E-2</v>
      </c>
      <c r="X5905">
        <v>0.98887060000000004</v>
      </c>
      <c r="Y5905">
        <v>-0.17728039999999901</v>
      </c>
      <c r="Z5905">
        <v>2.0065349999999999E-2</v>
      </c>
      <c r="AA5905">
        <v>0.98395580000000005</v>
      </c>
      <c r="AB5905">
        <v>20</v>
      </c>
      <c r="AC5905">
        <v>17.353399999999901</v>
      </c>
      <c r="AD5905">
        <v>-1.1078979525779999</v>
      </c>
      <c r="AE5905">
        <v>-0.90390999999999599</v>
      </c>
      <c r="AF5905">
        <v>-3.0971201469757901</v>
      </c>
      <c r="AG5905">
        <v>-1.1078979525779999</v>
      </c>
      <c r="AH5905">
        <v>17.0271959977592</v>
      </c>
      <c r="AI5905">
        <v>93.662849270142701</v>
      </c>
      <c r="AJ5905">
        <v>100.308971201288</v>
      </c>
      <c r="AK5905">
        <v>17.3420008829499</v>
      </c>
    </row>
    <row r="5906" spans="1:37" x14ac:dyDescent="0.2">
      <c r="A5906" t="str">
        <f>"20200111155716523"</f>
        <v>20200111155716523</v>
      </c>
      <c r="B5906" t="str">
        <f>"1578729436519599"</f>
        <v>1578729436519599</v>
      </c>
      <c r="C5906" t="s">
        <v>37</v>
      </c>
      <c r="D5906">
        <v>5.2183989999999998</v>
      </c>
      <c r="E5906">
        <v>0.4878865</v>
      </c>
      <c r="F5906" t="s">
        <v>95</v>
      </c>
      <c r="G5906">
        <v>-267.95650000000001</v>
      </c>
      <c r="H5906" s="1">
        <v>-2.7277819999999999E-6</v>
      </c>
      <c r="I5906">
        <v>-61.545769999999997</v>
      </c>
      <c r="J5906">
        <v>-285.77109999999999</v>
      </c>
      <c r="K5906">
        <v>1.1078699999999999</v>
      </c>
      <c r="L5906">
        <v>-60.607669999999999</v>
      </c>
      <c r="M5906">
        <v>0.97370759999999901</v>
      </c>
      <c r="N5906">
        <v>0</v>
      </c>
      <c r="O5906">
        <v>-0.22738130000000001</v>
      </c>
      <c r="P5906">
        <v>0.99494169999999904</v>
      </c>
      <c r="Q5906">
        <v>4.0652189999999998E-2</v>
      </c>
      <c r="R5906">
        <v>-9.1862410000000005E-2</v>
      </c>
      <c r="S5906">
        <v>3.0075989999999999</v>
      </c>
      <c r="T5906">
        <v>-0.1860386</v>
      </c>
      <c r="U5906">
        <v>-0.16085820000000001</v>
      </c>
      <c r="V5906">
        <v>-0.1371386</v>
      </c>
      <c r="W5906">
        <v>5.3469250000000003E-2</v>
      </c>
      <c r="X5906">
        <v>0.98910769999999903</v>
      </c>
      <c r="Y5906">
        <v>-0.17431259999999901</v>
      </c>
      <c r="Z5906">
        <v>1.931049E-2</v>
      </c>
      <c r="AA5906">
        <v>0.98450099999999996</v>
      </c>
      <c r="AB5906">
        <v>20</v>
      </c>
      <c r="AC5906">
        <v>17.814599999999899</v>
      </c>
      <c r="AD5906">
        <v>-1.107872727782</v>
      </c>
      <c r="AE5906">
        <v>-0.93809999999999805</v>
      </c>
      <c r="AF5906">
        <v>-3.1255174225420799</v>
      </c>
      <c r="AG5906">
        <v>-1.107872727782</v>
      </c>
      <c r="AH5906">
        <v>17.493727738881301</v>
      </c>
      <c r="AI5906">
        <v>93.567345547736593</v>
      </c>
      <c r="AJ5906">
        <v>100.129868908969</v>
      </c>
      <c r="AK5906">
        <v>17.805245051435801</v>
      </c>
    </row>
    <row r="5907" spans="1:37" x14ac:dyDescent="0.2">
      <c r="A5907" t="str">
        <f>"20200111155716535"</f>
        <v>20200111155716535</v>
      </c>
      <c r="B5907" t="str">
        <f>"1578729436529358"</f>
        <v>1578729436529358</v>
      </c>
      <c r="C5907" t="s">
        <v>37</v>
      </c>
      <c r="D5907">
        <v>5.2160929999999999</v>
      </c>
      <c r="E5907">
        <v>0.48803649999999998</v>
      </c>
      <c r="F5907" t="s">
        <v>38</v>
      </c>
      <c r="G5907">
        <v>-267.72500000000002</v>
      </c>
      <c r="H5907" s="1">
        <v>-2.6396469999999999E-6</v>
      </c>
      <c r="I5907">
        <v>-61.58775</v>
      </c>
      <c r="J5907">
        <v>-285.66460000000001</v>
      </c>
      <c r="K5907">
        <v>1.107831</v>
      </c>
      <c r="L5907">
        <v>-60.629240000000003</v>
      </c>
      <c r="M5907">
        <v>0.97434100000000001</v>
      </c>
      <c r="N5907">
        <v>0</v>
      </c>
      <c r="O5907">
        <v>-0.22465209999999999</v>
      </c>
      <c r="P5907">
        <v>0.99491559999999901</v>
      </c>
      <c r="Q5907">
        <v>4.1968270000000002E-2</v>
      </c>
      <c r="R5907">
        <v>-9.1551209999999994E-2</v>
      </c>
      <c r="S5907">
        <v>3.0077210000000001</v>
      </c>
      <c r="T5907">
        <v>-0.18464749999999999</v>
      </c>
      <c r="U5907">
        <v>-0.16336059999999999</v>
      </c>
      <c r="V5907">
        <v>-0.13466649999999999</v>
      </c>
      <c r="W5907">
        <v>5.4803869999999998E-2</v>
      </c>
      <c r="X5907">
        <v>0.98937430000000004</v>
      </c>
      <c r="Y5907">
        <v>-0.1707611</v>
      </c>
      <c r="Z5907">
        <v>1.8892590000000001E-2</v>
      </c>
      <c r="AA5907">
        <v>0.98513130000000004</v>
      </c>
      <c r="AB5907">
        <v>20</v>
      </c>
      <c r="AC5907">
        <v>17.939599999999899</v>
      </c>
      <c r="AD5907">
        <v>-1.1078336396470001</v>
      </c>
      <c r="AE5907">
        <v>-0.95850999999999598</v>
      </c>
      <c r="AF5907">
        <v>-3.0848185690968699</v>
      </c>
      <c r="AG5907">
        <v>-1.1078336396470001</v>
      </c>
      <c r="AH5907">
        <v>17.629271779532299</v>
      </c>
      <c r="AI5907">
        <v>93.542093150467295</v>
      </c>
      <c r="AJ5907">
        <v>99.925286875645995</v>
      </c>
      <c r="AK5907">
        <v>17.931386573658902</v>
      </c>
    </row>
    <row r="5908" spans="1:37" x14ac:dyDescent="0.2">
      <c r="A5908" t="str">
        <f>"20200111155716545"</f>
        <v>20200111155716545</v>
      </c>
      <c r="B5908" t="str">
        <f>"1578729436539117"</f>
        <v>1578729436539117</v>
      </c>
      <c r="C5908" t="s">
        <v>37</v>
      </c>
      <c r="D5908">
        <v>5.218235</v>
      </c>
      <c r="E5908">
        <v>0.48821399999999998</v>
      </c>
      <c r="F5908" t="s">
        <v>38</v>
      </c>
      <c r="G5908">
        <v>-267.3263</v>
      </c>
      <c r="H5908" s="1">
        <v>-2.4803249999999998E-6</v>
      </c>
      <c r="I5908">
        <v>-61.631859999999897</v>
      </c>
      <c r="J5908">
        <v>-285.570999999999</v>
      </c>
      <c r="K5908">
        <v>1.107788</v>
      </c>
      <c r="L5908">
        <v>-60.647950000000002</v>
      </c>
      <c r="M5908">
        <v>0.97488359999999996</v>
      </c>
      <c r="N5908">
        <v>0</v>
      </c>
      <c r="O5908">
        <v>-0.22228680000000001</v>
      </c>
      <c r="P5908">
        <v>0.99490699999999999</v>
      </c>
      <c r="Q5908">
        <v>4.2475470000000001E-2</v>
      </c>
      <c r="R5908">
        <v>-9.1412069999999998E-2</v>
      </c>
      <c r="S5908">
        <v>3.0078429999999998</v>
      </c>
      <c r="T5908">
        <v>-0.1817057</v>
      </c>
      <c r="U5908">
        <v>-0.1644592</v>
      </c>
      <c r="V5908">
        <v>-0.1323954</v>
      </c>
      <c r="W5908">
        <v>5.5329969999999999E-2</v>
      </c>
      <c r="X5908">
        <v>0.98965149999999902</v>
      </c>
      <c r="Y5908">
        <v>-0.1680451</v>
      </c>
      <c r="Z5908">
        <v>1.8369719999999999E-2</v>
      </c>
      <c r="AA5908">
        <v>0.98560820000000005</v>
      </c>
      <c r="AB5908">
        <v>20</v>
      </c>
      <c r="AC5908">
        <v>18.244699999999899</v>
      </c>
      <c r="AD5908">
        <v>-1.107790480325</v>
      </c>
      <c r="AE5908">
        <v>-0.98390999999999396</v>
      </c>
      <c r="AF5908">
        <v>-3.0853115590368598</v>
      </c>
      <c r="AG5908">
        <v>-1.107790480325</v>
      </c>
      <c r="AH5908">
        <v>17.940933023446298</v>
      </c>
      <c r="AI5908">
        <v>93.482340705926404</v>
      </c>
      <c r="AJ5908">
        <v>99.757740644772696</v>
      </c>
      <c r="AK5908">
        <v>18.237966578443199</v>
      </c>
    </row>
    <row r="5909" spans="1:37" x14ac:dyDescent="0.2">
      <c r="A5909" t="str">
        <f>"20200111155716555"</f>
        <v>20200111155716555</v>
      </c>
      <c r="B5909" t="str">
        <f>"1578729436548876"</f>
        <v>1578729436548876</v>
      </c>
      <c r="C5909" t="s">
        <v>37</v>
      </c>
      <c r="D5909">
        <v>5.1932119999999999</v>
      </c>
      <c r="E5909">
        <v>0.4882686</v>
      </c>
      <c r="F5909" t="s">
        <v>95</v>
      </c>
      <c r="G5909">
        <v>-267.22379999999998</v>
      </c>
      <c r="H5909" s="1">
        <v>-2.4445460000000001E-6</v>
      </c>
      <c r="I5909">
        <v>-61.662579999999998</v>
      </c>
      <c r="J5909">
        <v>-285.48489999999998</v>
      </c>
      <c r="K5909">
        <v>1.1077440000000001</v>
      </c>
      <c r="L5909">
        <v>-60.665069999999901</v>
      </c>
      <c r="M5909">
        <v>0.97537369999999901</v>
      </c>
      <c r="N5909">
        <v>0</v>
      </c>
      <c r="O5909">
        <v>-0.2201274</v>
      </c>
      <c r="P5909">
        <v>0.99488880000000002</v>
      </c>
      <c r="Q5909">
        <v>4.298884E-2</v>
      </c>
      <c r="R5909">
        <v>-9.1370149999999997E-2</v>
      </c>
      <c r="S5909">
        <v>3.0078740000000002</v>
      </c>
      <c r="T5909">
        <v>-0.18161359999999999</v>
      </c>
      <c r="U5909">
        <v>-0.16635129999999901</v>
      </c>
      <c r="V5909">
        <v>-0.13023699999999999</v>
      </c>
      <c r="W5909">
        <v>5.5861769999999998E-2</v>
      </c>
      <c r="X5909">
        <v>0.98990800000000001</v>
      </c>
      <c r="Y5909">
        <v>-0.1652536</v>
      </c>
      <c r="Z5909">
        <v>1.8148270000000001E-2</v>
      </c>
      <c r="AA5909">
        <v>0.98608410000000002</v>
      </c>
      <c r="AB5909">
        <v>20</v>
      </c>
      <c r="AC5909">
        <v>18.261099999999999</v>
      </c>
      <c r="AD5909">
        <v>-1.1077464445459999</v>
      </c>
      <c r="AE5909">
        <v>-0.997510000000012</v>
      </c>
      <c r="AF5909">
        <v>-3.0359744350091802</v>
      </c>
      <c r="AG5909">
        <v>-1.1077464445459999</v>
      </c>
      <c r="AH5909">
        <v>17.9667719625422</v>
      </c>
      <c r="AI5909">
        <v>93.478927432182104</v>
      </c>
      <c r="AJ5909">
        <v>99.591078424508794</v>
      </c>
      <c r="AK5909">
        <v>18.255112645761098</v>
      </c>
    </row>
    <row r="5910" spans="1:37" x14ac:dyDescent="0.2">
      <c r="A5910" t="str">
        <f>"20200111155716567"</f>
        <v>20200111155716567</v>
      </c>
      <c r="B5910" t="str">
        <f>"1578729436558636"</f>
        <v>1578729436558636</v>
      </c>
      <c r="C5910" t="s">
        <v>37</v>
      </c>
      <c r="D5910">
        <v>5.3187720000000001</v>
      </c>
      <c r="E5910">
        <v>0.48849740000000003</v>
      </c>
      <c r="F5910" t="s">
        <v>95</v>
      </c>
      <c r="G5910">
        <v>-267.19880000000001</v>
      </c>
      <c r="H5910" s="1">
        <v>-2.43944899999999E-6</v>
      </c>
      <c r="I5910">
        <v>-61.683719999999902</v>
      </c>
      <c r="J5910">
        <v>-285.38900000000001</v>
      </c>
      <c r="K5910">
        <v>1.1076900000000001</v>
      </c>
      <c r="L5910">
        <v>-60.683869999999999</v>
      </c>
      <c r="M5910">
        <v>0.97590059999999901</v>
      </c>
      <c r="N5910">
        <v>0</v>
      </c>
      <c r="O5910">
        <v>-0.21778</v>
      </c>
      <c r="P5910">
        <v>0.99494169999999904</v>
      </c>
      <c r="Q5910">
        <v>4.3387219999999997E-2</v>
      </c>
      <c r="R5910">
        <v>-9.0601370000000001E-2</v>
      </c>
      <c r="S5910">
        <v>3.0079349999999998</v>
      </c>
      <c r="T5910">
        <v>-0.18221689999999999</v>
      </c>
      <c r="U5910">
        <v>-0.167572</v>
      </c>
      <c r="V5910">
        <v>-0.128611</v>
      </c>
      <c r="W5910">
        <v>5.6276920000000001E-2</v>
      </c>
      <c r="X5910">
        <v>0.99009699999999901</v>
      </c>
      <c r="Y5910">
        <v>-0.16248699999999999</v>
      </c>
      <c r="Z5910">
        <v>1.798518E-2</v>
      </c>
      <c r="AA5910">
        <v>0.98654679999999995</v>
      </c>
      <c r="AB5910">
        <v>20</v>
      </c>
      <c r="AC5910">
        <v>18.190200000000001</v>
      </c>
      <c r="AD5910">
        <v>-1.107692439449</v>
      </c>
      <c r="AE5910">
        <v>-0.99984999999999402</v>
      </c>
      <c r="AF5910">
        <v>-2.9749924163990999</v>
      </c>
      <c r="AG5910">
        <v>-1.107692439449</v>
      </c>
      <c r="AH5910">
        <v>17.905085113287601</v>
      </c>
      <c r="AI5910">
        <v>93.492316645511707</v>
      </c>
      <c r="AJ5910">
        <v>99.433711756515393</v>
      </c>
      <c r="AK5910">
        <v>18.1843238898816</v>
      </c>
    </row>
    <row r="5911" spans="1:37" x14ac:dyDescent="0.2">
      <c r="A5911" t="str">
        <f>"20200111155716577"</f>
        <v>20200111155716577</v>
      </c>
      <c r="B5911" t="str">
        <f>"1578729436569373"</f>
        <v>1578729436569373</v>
      </c>
      <c r="C5911" t="s">
        <v>37</v>
      </c>
      <c r="D5911">
        <v>5.2390049999999997</v>
      </c>
      <c r="E5911">
        <v>0.48840450000000002</v>
      </c>
      <c r="F5911" t="s">
        <v>95</v>
      </c>
      <c r="G5911">
        <v>-267.11779999999999</v>
      </c>
      <c r="H5911" s="1">
        <v>-2.4102759999999998E-6</v>
      </c>
      <c r="I5911">
        <v>-61.704659999999997</v>
      </c>
      <c r="J5911">
        <v>-285.29379999999998</v>
      </c>
      <c r="K5911">
        <v>1.107637</v>
      </c>
      <c r="L5911">
        <v>-60.702419999999996</v>
      </c>
      <c r="M5911">
        <v>0.9764138</v>
      </c>
      <c r="N5911">
        <v>0</v>
      </c>
      <c r="O5911">
        <v>-0.2154674</v>
      </c>
      <c r="P5911">
        <v>0.99504459999999995</v>
      </c>
      <c r="Q5911">
        <v>4.3494150000000002E-2</v>
      </c>
      <c r="R5911">
        <v>-8.9410890000000007E-2</v>
      </c>
      <c r="S5911">
        <v>3.0079039999999999</v>
      </c>
      <c r="T5911">
        <v>-0.18235499999999999</v>
      </c>
      <c r="U5911">
        <v>-0.1680603</v>
      </c>
      <c r="V5911">
        <v>-0.12744149999999899</v>
      </c>
      <c r="W5911">
        <v>5.6398320000000002E-2</v>
      </c>
      <c r="X5911">
        <v>0.99024129999999999</v>
      </c>
      <c r="Y5911">
        <v>-0.15999659999999999</v>
      </c>
      <c r="Z5911">
        <v>1.778648E-2</v>
      </c>
      <c r="AA5911">
        <v>0.98695730000000004</v>
      </c>
      <c r="AB5911">
        <v>20</v>
      </c>
      <c r="AC5911">
        <v>18.175999999999899</v>
      </c>
      <c r="AD5911">
        <v>-1.1076394102760001</v>
      </c>
      <c r="AE5911">
        <v>-1.00224</v>
      </c>
      <c r="AF5911">
        <v>-2.9271759242512299</v>
      </c>
      <c r="AG5911">
        <v>-1.1076394102760001</v>
      </c>
      <c r="AH5911">
        <v>17.898685203779198</v>
      </c>
      <c r="AI5911">
        <v>93.494856568899294</v>
      </c>
      <c r="AJ5911">
        <v>99.288009047876002</v>
      </c>
      <c r="AK5911">
        <v>18.1702547031873</v>
      </c>
    </row>
    <row r="5912" spans="1:37" x14ac:dyDescent="0.2">
      <c r="A5912" t="str">
        <f>"20200111155716588"</f>
        <v>20200111155716588</v>
      </c>
      <c r="B5912" t="str">
        <f>"1578729436579133"</f>
        <v>1578729436579133</v>
      </c>
      <c r="C5912" t="s">
        <v>37</v>
      </c>
      <c r="D5912">
        <v>5.1060059999999998</v>
      </c>
      <c r="E5912">
        <v>0.48803580000000002</v>
      </c>
      <c r="F5912" t="s">
        <v>38</v>
      </c>
      <c r="G5912">
        <v>-267.33859999999999</v>
      </c>
      <c r="H5912" s="1">
        <v>-2.5001029999999999E-6</v>
      </c>
      <c r="I5912">
        <v>-61.686340000000001</v>
      </c>
      <c r="J5912">
        <v>-285.19889999999998</v>
      </c>
      <c r="K5912">
        <v>1.1075709999999901</v>
      </c>
      <c r="L5912">
        <v>-60.720669999999998</v>
      </c>
      <c r="M5912">
        <v>0.97689989999999904</v>
      </c>
      <c r="N5912">
        <v>0</v>
      </c>
      <c r="O5912">
        <v>-0.213254</v>
      </c>
      <c r="P5912">
        <v>0.99515030000000004</v>
      </c>
      <c r="Q5912">
        <v>4.3411030000000003E-2</v>
      </c>
      <c r="R5912">
        <v>-8.8268990000000006E-2</v>
      </c>
      <c r="S5912">
        <v>3.0082089999999999</v>
      </c>
      <c r="T5912">
        <v>-0.1855733</v>
      </c>
      <c r="U5912">
        <v>-0.164856</v>
      </c>
      <c r="V5912">
        <v>-0.1263243</v>
      </c>
      <c r="W5912">
        <v>5.6332149999999998E-2</v>
      </c>
      <c r="X5912">
        <v>0.99038819999999905</v>
      </c>
      <c r="Y5912">
        <v>-0.1587953</v>
      </c>
      <c r="Z5912">
        <v>1.7928400000000001E-2</v>
      </c>
      <c r="AA5912">
        <v>0.98714880000000005</v>
      </c>
      <c r="AB5912">
        <v>20</v>
      </c>
      <c r="AC5912">
        <v>17.860299999999899</v>
      </c>
      <c r="AD5912">
        <v>-1.10757350010299</v>
      </c>
      <c r="AE5912">
        <v>-0.96567000000000203</v>
      </c>
      <c r="AF5912">
        <v>-2.8547424777192401</v>
      </c>
      <c r="AG5912">
        <v>-1.10757350010299</v>
      </c>
      <c r="AH5912">
        <v>17.587890191336001</v>
      </c>
      <c r="AI5912">
        <v>93.556937487471004</v>
      </c>
      <c r="AJ5912">
        <v>99.219444911980005</v>
      </c>
      <c r="AK5912">
        <v>17.852455154816099</v>
      </c>
    </row>
    <row r="5913" spans="1:37" x14ac:dyDescent="0.2">
      <c r="A5913" t="str">
        <f>"20200111155716600"</f>
        <v>20200111155716600</v>
      </c>
      <c r="B5913" t="str">
        <f>"1578729436588893"</f>
        <v>1578729436588893</v>
      </c>
      <c r="C5913" t="s">
        <v>37</v>
      </c>
      <c r="D5913">
        <v>5.1775180000000001</v>
      </c>
      <c r="E5913">
        <v>0.48803580000000002</v>
      </c>
      <c r="F5913" t="s">
        <v>95</v>
      </c>
      <c r="G5913">
        <v>-267.39769999999999</v>
      </c>
      <c r="H5913" s="1">
        <v>-2.5196180000000001E-6</v>
      </c>
      <c r="I5913">
        <v>-61.664409999999997</v>
      </c>
      <c r="J5913">
        <v>-285.09840000000003</v>
      </c>
      <c r="K5913">
        <v>1.107502</v>
      </c>
      <c r="L5913">
        <v>-60.739869999999897</v>
      </c>
      <c r="M5913">
        <v>0.97740269999999996</v>
      </c>
      <c r="N5913">
        <v>0</v>
      </c>
      <c r="O5913">
        <v>-0.2109385</v>
      </c>
      <c r="P5913">
        <v>0.99532770000000004</v>
      </c>
      <c r="Q5913">
        <v>4.2342739999999997E-2</v>
      </c>
      <c r="R5913">
        <v>-8.6775790000000005E-2</v>
      </c>
      <c r="S5913">
        <v>3.0086360000000001</v>
      </c>
      <c r="T5913">
        <v>-0.18719479999999999</v>
      </c>
      <c r="U5913">
        <v>-0.1595154</v>
      </c>
      <c r="V5913">
        <v>-0.12545699999999901</v>
      </c>
      <c r="W5913">
        <v>5.5280919999999997E-2</v>
      </c>
      <c r="X5913">
        <v>0.99055769999999999</v>
      </c>
      <c r="Y5913">
        <v>-0.15820399999999901</v>
      </c>
      <c r="Z5913">
        <v>1.7924389999999998E-2</v>
      </c>
      <c r="AA5913">
        <v>0.9872438</v>
      </c>
      <c r="AB5913">
        <v>20</v>
      </c>
      <c r="AC5913">
        <v>17.700700000000001</v>
      </c>
      <c r="AD5913">
        <v>-1.107504519618</v>
      </c>
      <c r="AE5913">
        <v>-0.92454000000000003</v>
      </c>
      <c r="AF5913">
        <v>-2.81937131326944</v>
      </c>
      <c r="AG5913">
        <v>-1.107504519618</v>
      </c>
      <c r="AH5913">
        <v>17.429339037022299</v>
      </c>
      <c r="AI5913">
        <v>93.589299558648307</v>
      </c>
      <c r="AJ5913">
        <v>99.188577908651098</v>
      </c>
      <c r="AK5913">
        <v>17.690598636861601</v>
      </c>
    </row>
    <row r="5914" spans="1:37" x14ac:dyDescent="0.2">
      <c r="A5914" t="str">
        <f>"20200111155716612"</f>
        <v>20200111155716612</v>
      </c>
      <c r="B5914" t="str">
        <f>"1578729436598653"</f>
        <v>1578729436598653</v>
      </c>
      <c r="C5914" t="s">
        <v>37</v>
      </c>
      <c r="D5914">
        <v>5.117229</v>
      </c>
      <c r="E5914">
        <v>0.44638610000000001</v>
      </c>
      <c r="F5914" t="s">
        <v>95</v>
      </c>
      <c r="G5914">
        <v>-267.62509999999997</v>
      </c>
      <c r="H5914" s="1">
        <v>-2.6119739999999999E-6</v>
      </c>
      <c r="I5914">
        <v>-61.644779999999997</v>
      </c>
      <c r="J5914">
        <v>-284.99810000000002</v>
      </c>
      <c r="K5914">
        <v>1.107423</v>
      </c>
      <c r="L5914">
        <v>-60.758789999999998</v>
      </c>
      <c r="M5914">
        <v>0.97787769999999996</v>
      </c>
      <c r="N5914">
        <v>0</v>
      </c>
      <c r="O5914">
        <v>-0.20872649999999901</v>
      </c>
      <c r="P5914">
        <v>0.99544069999999996</v>
      </c>
      <c r="Q5914">
        <v>4.1720300000000002E-2</v>
      </c>
      <c r="R5914">
        <v>-8.5776039999999998E-2</v>
      </c>
      <c r="S5914">
        <v>3.0086059999999999</v>
      </c>
      <c r="T5914">
        <v>-0.19069410000000001</v>
      </c>
      <c r="U5914">
        <v>-0.15582279999999901</v>
      </c>
      <c r="V5914">
        <v>-0.124201299999999</v>
      </c>
      <c r="W5914">
        <v>5.4680069999999997E-2</v>
      </c>
      <c r="X5914">
        <v>0.99074930000000005</v>
      </c>
      <c r="Y5914">
        <v>-0.15715760000000001</v>
      </c>
      <c r="Z5914">
        <v>1.808968E-2</v>
      </c>
      <c r="AA5914">
        <v>0.98740790000000001</v>
      </c>
      <c r="AB5914">
        <v>20</v>
      </c>
      <c r="AC5914">
        <v>17.373000000000001</v>
      </c>
      <c r="AD5914">
        <v>-1.107425611974</v>
      </c>
      <c r="AE5914">
        <v>-0.88598999999999895</v>
      </c>
      <c r="AF5914">
        <v>-2.7489349166475501</v>
      </c>
      <c r="AG5914">
        <v>-1.107425611974</v>
      </c>
      <c r="AH5914">
        <v>17.1058911429601</v>
      </c>
      <c r="AI5914">
        <v>93.657332704335801</v>
      </c>
      <c r="AJ5914">
        <v>99.129438036820304</v>
      </c>
      <c r="AK5914">
        <v>17.360718489072401</v>
      </c>
    </row>
    <row r="5915" spans="1:37" x14ac:dyDescent="0.2">
      <c r="A5915" t="str">
        <f>"20200111155716624"</f>
        <v>20200111155716624</v>
      </c>
      <c r="B5915" t="str">
        <f>"1578729436619149"</f>
        <v>1578729436619149</v>
      </c>
      <c r="C5915" t="s">
        <v>37</v>
      </c>
      <c r="D5915">
        <v>5.0024569999999997</v>
      </c>
      <c r="E5915">
        <v>0.44659090000000001</v>
      </c>
      <c r="F5915" t="s">
        <v>95</v>
      </c>
      <c r="G5915">
        <v>-268.03300000000002</v>
      </c>
      <c r="H5915" s="1">
        <v>-2.56098E-6</v>
      </c>
      <c r="I5915">
        <v>-59.765819999999998</v>
      </c>
      <c r="J5915">
        <v>-284.89929999999998</v>
      </c>
      <c r="K5915">
        <v>1.107348</v>
      </c>
      <c r="L5915">
        <v>-60.777340000000002</v>
      </c>
      <c r="M5915">
        <v>0.97832989999999997</v>
      </c>
      <c r="N5915">
        <v>0</v>
      </c>
      <c r="O5915">
        <v>-0.20659710000000001</v>
      </c>
      <c r="P5915">
        <v>0.99557479999999998</v>
      </c>
      <c r="Q5915">
        <v>4.0331230000000003E-2</v>
      </c>
      <c r="R5915">
        <v>-8.4879549999999998E-2</v>
      </c>
      <c r="S5915">
        <v>3.0373540000000001</v>
      </c>
      <c r="T5915">
        <v>-0.1982681</v>
      </c>
      <c r="U5915">
        <v>0.177764899999999</v>
      </c>
      <c r="V5915">
        <v>-0.1229295</v>
      </c>
      <c r="W5915">
        <v>5.3312599999999898E-2</v>
      </c>
      <c r="X5915">
        <v>0.99098240000000004</v>
      </c>
      <c r="Y5915">
        <v>-0.262436</v>
      </c>
      <c r="Z5915">
        <v>2.195735E-2</v>
      </c>
      <c r="AA5915">
        <v>0.96469959999999899</v>
      </c>
      <c r="AB5915">
        <v>20</v>
      </c>
      <c r="AC5915">
        <v>16.866299999999899</v>
      </c>
      <c r="AD5915">
        <v>-1.1073505609799901</v>
      </c>
      <c r="AE5915">
        <v>1.01152</v>
      </c>
      <c r="AF5915">
        <v>-4.4554137402755796</v>
      </c>
      <c r="AG5915">
        <v>-1.1073505609799901</v>
      </c>
      <c r="AH5915">
        <v>16.223680115304798</v>
      </c>
      <c r="AI5915">
        <v>93.765682504321404</v>
      </c>
      <c r="AJ5915">
        <v>105.35622672184699</v>
      </c>
      <c r="AK5915">
        <v>16.860745337786099</v>
      </c>
    </row>
    <row r="5916" spans="1:37" x14ac:dyDescent="0.2">
      <c r="A5916" t="str">
        <f>"20200111155716633"</f>
        <v>20200111155716633</v>
      </c>
      <c r="B5916" t="str">
        <f>"1578729436628908"</f>
        <v>1578729436628908</v>
      </c>
      <c r="C5916" t="s">
        <v>37</v>
      </c>
      <c r="D5916">
        <v>5.0157590000000001</v>
      </c>
      <c r="E5916">
        <v>0.44657740000000001</v>
      </c>
      <c r="F5916" t="s">
        <v>95</v>
      </c>
      <c r="G5916">
        <v>-267.59539999999998</v>
      </c>
      <c r="H5916" s="1">
        <v>-2.3738390000000001E-6</v>
      </c>
      <c r="I5916">
        <v>-59.762650000000001</v>
      </c>
      <c r="J5916">
        <v>-284.80669999999998</v>
      </c>
      <c r="K5916">
        <v>1.1072759999999999</v>
      </c>
      <c r="L5916">
        <v>-60.794619999999902</v>
      </c>
      <c r="M5916">
        <v>0.97873619999999995</v>
      </c>
      <c r="N5916">
        <v>0</v>
      </c>
      <c r="O5916">
        <v>-0.20466429999999999</v>
      </c>
      <c r="P5916">
        <v>0.99567410000000001</v>
      </c>
      <c r="Q5916">
        <v>3.9012350000000001E-2</v>
      </c>
      <c r="R5916">
        <v>-8.4328269999999997E-2</v>
      </c>
      <c r="S5916">
        <v>3.036346</v>
      </c>
      <c r="T5916">
        <v>-0.1943097</v>
      </c>
      <c r="U5916">
        <v>0.17803959999999999</v>
      </c>
      <c r="V5916">
        <v>-0.12151439999999999</v>
      </c>
      <c r="W5916">
        <v>5.201596E-2</v>
      </c>
      <c r="X5916">
        <v>0.99122579999999905</v>
      </c>
      <c r="Y5916">
        <v>-0.26068179999999902</v>
      </c>
      <c r="Z5916">
        <v>2.1349150000000001E-2</v>
      </c>
      <c r="AA5916">
        <v>0.96518869999999901</v>
      </c>
      <c r="AB5916">
        <v>20</v>
      </c>
      <c r="AC5916">
        <v>17.211299999999898</v>
      </c>
      <c r="AD5916">
        <v>-1.107278373839</v>
      </c>
      <c r="AE5916">
        <v>1.0319699999999901</v>
      </c>
      <c r="AF5916">
        <v>-4.5143734608974704</v>
      </c>
      <c r="AG5916">
        <v>-1.107278373839</v>
      </c>
      <c r="AH5916">
        <v>16.567353362780601</v>
      </c>
      <c r="AI5916">
        <v>93.6895468263493</v>
      </c>
      <c r="AJ5916">
        <v>105.24225623716499</v>
      </c>
      <c r="AK5916">
        <v>17.207057580796999</v>
      </c>
    </row>
    <row r="5917" spans="1:37" x14ac:dyDescent="0.2">
      <c r="A5917" t="str">
        <f>"20200111155716645"</f>
        <v>20200111155716645</v>
      </c>
      <c r="B5917" t="str">
        <f>"1578729436638668"</f>
        <v>1578729436638668</v>
      </c>
      <c r="C5917" t="s">
        <v>37</v>
      </c>
      <c r="D5917">
        <v>4.9325700000000001</v>
      </c>
      <c r="E5917">
        <v>0.44679049999999998</v>
      </c>
      <c r="F5917" t="s">
        <v>95</v>
      </c>
      <c r="G5917">
        <v>-267.74079999999998</v>
      </c>
      <c r="H5917" s="1">
        <v>-2.4319439999999999E-6</v>
      </c>
      <c r="I5917">
        <v>-59.786529999999999</v>
      </c>
      <c r="J5917">
        <v>-284.70659999999998</v>
      </c>
      <c r="K5917">
        <v>1.1071979999999999</v>
      </c>
      <c r="L5917">
        <v>-60.813139999999997</v>
      </c>
      <c r="M5917">
        <v>0.97915399999999997</v>
      </c>
      <c r="N5917">
        <v>0</v>
      </c>
      <c r="O5917">
        <v>-0.20265569999999999</v>
      </c>
      <c r="P5917">
        <v>0.99577109999999902</v>
      </c>
      <c r="Q5917">
        <v>3.829229E-2</v>
      </c>
      <c r="R5917">
        <v>-8.3507040000000005E-2</v>
      </c>
      <c r="S5917">
        <v>3.0359189999999998</v>
      </c>
      <c r="T5917">
        <v>-0.19697799999999999</v>
      </c>
      <c r="U5917">
        <v>0.17932129999999999</v>
      </c>
      <c r="V5917">
        <v>-0.120288899999999</v>
      </c>
      <c r="W5917">
        <v>5.1316430000000003E-2</v>
      </c>
      <c r="X5917">
        <v>0.99141170000000001</v>
      </c>
      <c r="Y5917">
        <v>-0.2590962</v>
      </c>
      <c r="Z5917">
        <v>2.1464899999999999E-2</v>
      </c>
      <c r="AA5917">
        <v>0.9656129</v>
      </c>
      <c r="AB5917">
        <v>20</v>
      </c>
      <c r="AC5917">
        <v>16.965800000000002</v>
      </c>
      <c r="AD5917">
        <v>-1.1072004319440001</v>
      </c>
      <c r="AE5917">
        <v>1.02660999999999</v>
      </c>
      <c r="AF5917">
        <v>-4.4250659164637796</v>
      </c>
      <c r="AG5917">
        <v>-1.1072004319440001</v>
      </c>
      <c r="AH5917">
        <v>16.3363038015186</v>
      </c>
      <c r="AI5917">
        <v>93.742842196658501</v>
      </c>
      <c r="AJ5917">
        <v>105.15619295254901</v>
      </c>
      <c r="AK5917">
        <v>16.9611887277118</v>
      </c>
    </row>
    <row r="5918" spans="1:37" x14ac:dyDescent="0.2">
      <c r="A5918" t="str">
        <f>"20200111155716656"</f>
        <v>20200111155716656</v>
      </c>
      <c r="B5918" t="str">
        <f>"1578729436649404"</f>
        <v>1578729436649404</v>
      </c>
      <c r="C5918" t="s">
        <v>37</v>
      </c>
      <c r="D5918">
        <v>4.8987769999999999</v>
      </c>
      <c r="E5918">
        <v>0.44702229999999998</v>
      </c>
      <c r="F5918" t="s">
        <v>95</v>
      </c>
      <c r="G5918">
        <v>-267.9726</v>
      </c>
      <c r="H5918" s="1">
        <v>-2.525393E-6</v>
      </c>
      <c r="I5918">
        <v>-59.820319999999903</v>
      </c>
      <c r="J5918">
        <v>-284.61610000000002</v>
      </c>
      <c r="K5918">
        <v>1.1071309999999901</v>
      </c>
      <c r="L5918">
        <v>-60.829769999999897</v>
      </c>
      <c r="M5918">
        <v>0.97951980000000005</v>
      </c>
      <c r="N5918">
        <v>0</v>
      </c>
      <c r="O5918">
        <v>-0.20088220000000001</v>
      </c>
      <c r="P5918">
        <v>0.99582950000000003</v>
      </c>
      <c r="Q5918">
        <v>3.7907459999999997E-2</v>
      </c>
      <c r="R5918">
        <v>-8.2987640000000001E-2</v>
      </c>
      <c r="S5918">
        <v>3.03555299999999</v>
      </c>
      <c r="T5918">
        <v>-0.2008462</v>
      </c>
      <c r="U5918">
        <v>0.1800842</v>
      </c>
      <c r="V5918">
        <v>-0.11900230000000001</v>
      </c>
      <c r="W5918">
        <v>5.0951639999999999E-2</v>
      </c>
      <c r="X5918">
        <v>0.99158579999999996</v>
      </c>
      <c r="Y5918">
        <v>-0.25756449999999997</v>
      </c>
      <c r="Z5918">
        <v>2.1721859999999999E-2</v>
      </c>
      <c r="AA5918">
        <v>0.96601689999999996</v>
      </c>
      <c r="AB5918">
        <v>20</v>
      </c>
      <c r="AC5918">
        <v>16.6435</v>
      </c>
      <c r="AD5918">
        <v>-1.1071335253929999</v>
      </c>
      <c r="AE5918">
        <v>1.00945</v>
      </c>
      <c r="AF5918">
        <v>-4.3135475512561303</v>
      </c>
      <c r="AG5918">
        <v>-1.1071335253929999</v>
      </c>
      <c r="AH5918">
        <v>16.030689849094099</v>
      </c>
      <c r="AI5918">
        <v>93.815474019246295</v>
      </c>
      <c r="AJ5918">
        <v>105.060465004164</v>
      </c>
      <c r="AK5918">
        <v>16.6377719108613</v>
      </c>
    </row>
    <row r="5919" spans="1:37" x14ac:dyDescent="0.2">
      <c r="A5919" t="str">
        <f>"20200111155716667"</f>
        <v>20200111155716667</v>
      </c>
      <c r="B5919" t="str">
        <f>"1578729436659164"</f>
        <v>1578729436659164</v>
      </c>
      <c r="C5919" t="s">
        <v>37</v>
      </c>
      <c r="D5919">
        <v>4.8847930000000002</v>
      </c>
      <c r="E5919">
        <v>0.44716650000000002</v>
      </c>
      <c r="F5919" t="s">
        <v>38</v>
      </c>
      <c r="G5919">
        <v>-267.80110000000002</v>
      </c>
      <c r="H5919" s="1">
        <v>-2.4495960000000001E-6</v>
      </c>
      <c r="I5919">
        <v>-59.8328699999999</v>
      </c>
      <c r="J5919">
        <v>-284.51929999999999</v>
      </c>
      <c r="K5919">
        <v>1.1070580000000001</v>
      </c>
      <c r="L5919">
        <v>-60.847380000000001</v>
      </c>
      <c r="M5919">
        <v>0.97988489999999995</v>
      </c>
      <c r="N5919">
        <v>0</v>
      </c>
      <c r="O5919">
        <v>-0.19909389999999999</v>
      </c>
      <c r="P5919">
        <v>0.99587429999999999</v>
      </c>
      <c r="Q5919">
        <v>3.8221419999999999E-2</v>
      </c>
      <c r="R5919">
        <v>-8.2302620000000007E-2</v>
      </c>
      <c r="S5919">
        <v>3.0351560000000002</v>
      </c>
      <c r="T5919">
        <v>-0.19984009999999999</v>
      </c>
      <c r="U5919">
        <v>0.1799316</v>
      </c>
      <c r="V5919">
        <v>-0.1178626</v>
      </c>
      <c r="W5919">
        <v>5.128452E-2</v>
      </c>
      <c r="X5919">
        <v>0.99170480000000005</v>
      </c>
      <c r="Y5919">
        <v>-0.25577719999999998</v>
      </c>
      <c r="Z5919">
        <v>2.144134E-2</v>
      </c>
      <c r="AA5919">
        <v>0.96649799999999997</v>
      </c>
      <c r="AB5919">
        <v>20</v>
      </c>
      <c r="AC5919">
        <v>16.7181999999999</v>
      </c>
      <c r="AD5919">
        <v>-1.1070604495959999</v>
      </c>
      <c r="AE5919">
        <v>1.01451</v>
      </c>
      <c r="AF5919">
        <v>-4.3041949342103001</v>
      </c>
      <c r="AG5919">
        <v>-1.1070604495959999</v>
      </c>
      <c r="AH5919">
        <v>16.111056829957501</v>
      </c>
      <c r="AI5919">
        <v>93.798068111646003</v>
      </c>
      <c r="AJ5919">
        <v>104.95768707131499</v>
      </c>
      <c r="AK5919">
        <v>16.7128043442404</v>
      </c>
    </row>
    <row r="5920" spans="1:37" x14ac:dyDescent="0.2">
      <c r="A5920" t="str">
        <f>"20200111155716678"</f>
        <v>20200111155716678</v>
      </c>
      <c r="B5920" t="str">
        <f>"1578729436668925"</f>
        <v>1578729436668925</v>
      </c>
      <c r="C5920" t="s">
        <v>37</v>
      </c>
      <c r="D5920">
        <v>4.8361460000000003</v>
      </c>
      <c r="E5920">
        <v>0.44716650000000002</v>
      </c>
      <c r="F5920" t="s">
        <v>95</v>
      </c>
      <c r="G5920">
        <v>-267.34449999999998</v>
      </c>
      <c r="H5920" s="1">
        <v>-2.2555499999999999E-6</v>
      </c>
      <c r="I5920">
        <v>-59.822669999999903</v>
      </c>
      <c r="J5920">
        <v>-284.42309999999998</v>
      </c>
      <c r="K5920">
        <v>1.106986</v>
      </c>
      <c r="L5920">
        <v>-60.864899999999999</v>
      </c>
      <c r="M5920">
        <v>0.98023939999999998</v>
      </c>
      <c r="N5920">
        <v>0</v>
      </c>
      <c r="O5920">
        <v>-0.19734199999999999</v>
      </c>
      <c r="P5920">
        <v>0.99589459999999996</v>
      </c>
      <c r="Q5920">
        <v>3.9213280000000003E-2</v>
      </c>
      <c r="R5920">
        <v>-8.1586580000000006E-2</v>
      </c>
      <c r="S5920">
        <v>3.0349119999999998</v>
      </c>
      <c r="T5920">
        <v>-0.19562539999999901</v>
      </c>
      <c r="U5920">
        <v>0.18106079999999999</v>
      </c>
      <c r="V5920">
        <v>-0.11678819999999999</v>
      </c>
      <c r="W5920">
        <v>5.2294060000000003E-2</v>
      </c>
      <c r="X5920">
        <v>0.99177909999999903</v>
      </c>
      <c r="Y5920">
        <v>-0.2544592</v>
      </c>
      <c r="Z5920">
        <v>2.0837930000000001E-2</v>
      </c>
      <c r="AA5920">
        <v>0.96685900000000002</v>
      </c>
      <c r="AB5920">
        <v>20</v>
      </c>
      <c r="AC5920">
        <v>17.078599999999899</v>
      </c>
      <c r="AD5920">
        <v>-1.1069882555499999</v>
      </c>
      <c r="AE5920">
        <v>1.04223</v>
      </c>
      <c r="AF5920">
        <v>-4.3740619052561502</v>
      </c>
      <c r="AG5920">
        <v>-1.1069882555499999</v>
      </c>
      <c r="AH5920">
        <v>16.468055746823001</v>
      </c>
      <c r="AI5920">
        <v>93.717151993579705</v>
      </c>
      <c r="AJ5920">
        <v>104.874819465321</v>
      </c>
      <c r="AK5920">
        <v>17.074972932025702</v>
      </c>
    </row>
    <row r="5921" spans="1:37" x14ac:dyDescent="0.2">
      <c r="A5921" t="str">
        <f>"20200111155716689"</f>
        <v>20200111155716689</v>
      </c>
      <c r="B5921" t="str">
        <f>"1578729436678685"</f>
        <v>1578729436678685</v>
      </c>
      <c r="C5921" t="s">
        <v>37</v>
      </c>
      <c r="D5921">
        <v>4.8711349999999998</v>
      </c>
      <c r="E5921">
        <v>0.44755029999999901</v>
      </c>
      <c r="F5921" t="s">
        <v>95</v>
      </c>
      <c r="G5921">
        <v>-266.92739999999998</v>
      </c>
      <c r="H5921" s="1">
        <v>-2.07957E-6</v>
      </c>
      <c r="I5921">
        <v>-59.80594</v>
      </c>
      <c r="J5921">
        <v>-284.32819999999998</v>
      </c>
      <c r="K5921">
        <v>1.106916</v>
      </c>
      <c r="L5921">
        <v>-60.881990000000002</v>
      </c>
      <c r="M5921">
        <v>0.98055829999999999</v>
      </c>
      <c r="N5921">
        <v>0</v>
      </c>
      <c r="O5921">
        <v>-0.19575139999999999</v>
      </c>
      <c r="P5921">
        <v>0.99591839999999998</v>
      </c>
      <c r="Q5921">
        <v>4.0249149999999997E-2</v>
      </c>
      <c r="R5921">
        <v>-8.0786800000000006E-2</v>
      </c>
      <c r="S5921">
        <v>3.0349729999999999</v>
      </c>
      <c r="T5921">
        <v>-0.1920289</v>
      </c>
      <c r="U5921">
        <v>0.1836853</v>
      </c>
      <c r="V5921">
        <v>-0.1159607</v>
      </c>
      <c r="W5921">
        <v>5.3346400000000002E-2</v>
      </c>
      <c r="X5921">
        <v>0.99182019999999904</v>
      </c>
      <c r="Y5921">
        <v>-0.25376100000000001</v>
      </c>
      <c r="Z5921">
        <v>2.0333629999999998E-2</v>
      </c>
      <c r="AA5921">
        <v>0.96705319999999995</v>
      </c>
      <c r="AB5921">
        <v>20</v>
      </c>
      <c r="AC5921">
        <v>17.4008</v>
      </c>
      <c r="AD5921">
        <v>-1.10691807957</v>
      </c>
      <c r="AE5921">
        <v>1.07605</v>
      </c>
      <c r="AF5921">
        <v>-4.44386336510735</v>
      </c>
      <c r="AG5921">
        <v>-1.10691807957</v>
      </c>
      <c r="AH5921">
        <v>16.7857679608464</v>
      </c>
      <c r="AI5921">
        <v>93.647539865992798</v>
      </c>
      <c r="AJ5921">
        <v>104.828304055155</v>
      </c>
      <c r="AK5921">
        <v>17.399287206032302</v>
      </c>
    </row>
    <row r="5922" spans="1:37" x14ac:dyDescent="0.2">
      <c r="A5922" t="str">
        <f>"20200111155716701"</f>
        <v>20200111155716701</v>
      </c>
      <c r="B5922" t="str">
        <f>"1578729436689421"</f>
        <v>1578729436689421</v>
      </c>
      <c r="C5922" t="s">
        <v>37</v>
      </c>
      <c r="D5922">
        <v>4.8235999999999999</v>
      </c>
      <c r="E5922">
        <v>0.44776700000000003</v>
      </c>
      <c r="F5922" t="s">
        <v>95</v>
      </c>
      <c r="G5922">
        <v>-266.29950000000002</v>
      </c>
      <c r="H5922" s="1">
        <v>-1.8125180000000001E-6</v>
      </c>
      <c r="I5922">
        <v>-59.792850000000001</v>
      </c>
      <c r="J5922">
        <v>-284.22949999999997</v>
      </c>
      <c r="K5922">
        <v>1.10684</v>
      </c>
      <c r="L5922">
        <v>-60.899719999999903</v>
      </c>
      <c r="M5922">
        <v>0.98088180000000003</v>
      </c>
      <c r="N5922">
        <v>0</v>
      </c>
      <c r="O5922">
        <v>-0.1941252</v>
      </c>
      <c r="P5922">
        <v>0.99592519999999995</v>
      </c>
      <c r="Q5922">
        <v>4.182806E-2</v>
      </c>
      <c r="R5922">
        <v>-7.98981E-2</v>
      </c>
      <c r="S5922">
        <v>3.034729</v>
      </c>
      <c r="T5922">
        <v>-0.186324499999999</v>
      </c>
      <c r="U5922">
        <v>0.18331910000000001</v>
      </c>
      <c r="V5922">
        <v>-0.1151831</v>
      </c>
      <c r="W5922">
        <v>5.4941459999999998E-2</v>
      </c>
      <c r="X5922">
        <v>0.99182369999999898</v>
      </c>
      <c r="Y5922">
        <v>-0.25210369999999999</v>
      </c>
      <c r="Z5922">
        <v>1.9583099999999999E-2</v>
      </c>
      <c r="AA5922">
        <v>0.96750210000000003</v>
      </c>
      <c r="AB5922">
        <v>20</v>
      </c>
      <c r="AC5922">
        <v>17.9299999999999</v>
      </c>
      <c r="AD5922">
        <v>-1.106841812518</v>
      </c>
      <c r="AE5922">
        <v>1.10686999999999</v>
      </c>
      <c r="AF5922">
        <v>-4.5495275983433601</v>
      </c>
      <c r="AG5922">
        <v>-1.106841812518</v>
      </c>
      <c r="AH5922">
        <v>17.308250761105501</v>
      </c>
      <c r="AI5922">
        <v>93.539115095924402</v>
      </c>
      <c r="AJ5922">
        <v>104.72722992502899</v>
      </c>
      <c r="AK5922">
        <v>17.930388857337601</v>
      </c>
    </row>
    <row r="5923" spans="1:37" x14ac:dyDescent="0.2">
      <c r="A5923" t="str">
        <f>"20200111155716712"</f>
        <v>20200111155716712</v>
      </c>
      <c r="B5923" t="str">
        <f>"1578729436708941"</f>
        <v>1578729436708941</v>
      </c>
      <c r="C5923" t="s">
        <v>37</v>
      </c>
      <c r="D5923">
        <v>4.8241209999999999</v>
      </c>
      <c r="E5923">
        <v>0.44799539999999999</v>
      </c>
      <c r="F5923" t="s">
        <v>38</v>
      </c>
      <c r="G5923">
        <v>-265.5847</v>
      </c>
      <c r="H5923" s="1">
        <v>-1.5107739999999999E-6</v>
      </c>
      <c r="I5923">
        <v>-59.765300000000003</v>
      </c>
      <c r="J5923">
        <v>-284.12580000000003</v>
      </c>
      <c r="K5923">
        <v>1.1067559999999901</v>
      </c>
      <c r="L5923">
        <v>-60.918239999999997</v>
      </c>
      <c r="M5923">
        <v>0.98119780000000001</v>
      </c>
      <c r="N5923">
        <v>0</v>
      </c>
      <c r="O5923">
        <v>-0.1925221</v>
      </c>
      <c r="P5923">
        <v>0.99595199999999995</v>
      </c>
      <c r="Q5923">
        <v>4.3207519999999999E-2</v>
      </c>
      <c r="R5923">
        <v>-7.882082E-2</v>
      </c>
      <c r="S5923">
        <v>3.0346980000000001</v>
      </c>
      <c r="T5923">
        <v>-0.18015329999999999</v>
      </c>
      <c r="U5923">
        <v>0.1846313</v>
      </c>
      <c r="V5923">
        <v>-0.114617</v>
      </c>
      <c r="W5923">
        <v>5.633643E-2</v>
      </c>
      <c r="X5923">
        <v>0.991811</v>
      </c>
      <c r="Y5923">
        <v>-0.25099919999999998</v>
      </c>
      <c r="Z5923">
        <v>1.8809079999999999E-2</v>
      </c>
      <c r="AA5923">
        <v>0.96780460000000001</v>
      </c>
      <c r="AB5923">
        <v>20</v>
      </c>
      <c r="AC5923">
        <v>18.5411</v>
      </c>
      <c r="AD5923">
        <v>-1.10675751077399</v>
      </c>
      <c r="AE5923">
        <v>1.1529400000000001</v>
      </c>
      <c r="AF5923">
        <v>-4.6846434296510804</v>
      </c>
      <c r="AG5923">
        <v>-1.10675751077399</v>
      </c>
      <c r="AH5923">
        <v>17.908627338776402</v>
      </c>
      <c r="AI5923">
        <v>93.421556109533995</v>
      </c>
      <c r="AJ5923">
        <v>104.65929218753</v>
      </c>
      <c r="AK5923">
        <v>18.544264056839701</v>
      </c>
    </row>
    <row r="5924" spans="1:37" x14ac:dyDescent="0.2">
      <c r="A5924" t="str">
        <f>"20200111155716724"</f>
        <v>20200111155716724</v>
      </c>
      <c r="B5924" t="str">
        <f>"1578729436718700"</f>
        <v>1578729436718700</v>
      </c>
      <c r="C5924" t="s">
        <v>37</v>
      </c>
      <c r="D5924">
        <v>4.8547399999999996</v>
      </c>
      <c r="E5924">
        <v>0.44788309999999998</v>
      </c>
      <c r="F5924" t="s">
        <v>95</v>
      </c>
      <c r="G5924">
        <v>-264.62759999999997</v>
      </c>
      <c r="H5924" s="1">
        <v>-1.108099E-6</v>
      </c>
      <c r="I5924">
        <v>-59.720619999999997</v>
      </c>
      <c r="J5924">
        <v>-284.03100000000001</v>
      </c>
      <c r="K5924">
        <v>1.106679</v>
      </c>
      <c r="L5924">
        <v>-60.93506</v>
      </c>
      <c r="M5924">
        <v>0.98147209999999996</v>
      </c>
      <c r="N5924">
        <v>0</v>
      </c>
      <c r="O5924">
        <v>-0.19112000000000001</v>
      </c>
      <c r="P5924">
        <v>0.99597139999999995</v>
      </c>
      <c r="Q5924">
        <v>4.4057599999999898E-2</v>
      </c>
      <c r="R5924">
        <v>-7.8103599999999995E-2</v>
      </c>
      <c r="S5924">
        <v>3.034424</v>
      </c>
      <c r="T5924">
        <v>-0.17224029999999901</v>
      </c>
      <c r="U5924">
        <v>0.186370799999999</v>
      </c>
      <c r="V5924">
        <v>-0.11389819999999901</v>
      </c>
      <c r="W5924">
        <v>5.7201920000000003E-2</v>
      </c>
      <c r="X5924">
        <v>0.99184430000000001</v>
      </c>
      <c r="Y5924">
        <v>-0.25024439999999998</v>
      </c>
      <c r="Z5924">
        <v>1.7885789999999999E-2</v>
      </c>
      <c r="AA5924">
        <v>0.96801749999999998</v>
      </c>
      <c r="AB5924">
        <v>20</v>
      </c>
      <c r="AC5924">
        <v>19.403400000000001</v>
      </c>
      <c r="AD5924">
        <v>-1.1066801080990001</v>
      </c>
      <c r="AE5924">
        <v>1.21444</v>
      </c>
      <c r="AF5924">
        <v>-4.8849428761210598</v>
      </c>
      <c r="AG5924">
        <v>-1.1066801080990001</v>
      </c>
      <c r="AH5924">
        <v>18.7527731801584</v>
      </c>
      <c r="AI5924">
        <v>93.268522146667706</v>
      </c>
      <c r="AJ5924">
        <v>104.600604688484</v>
      </c>
      <c r="AK5924">
        <v>19.410149657102</v>
      </c>
    </row>
    <row r="5925" spans="1:37" x14ac:dyDescent="0.2">
      <c r="A5925" t="str">
        <f>"20200111155716735"</f>
        <v>20200111155716735</v>
      </c>
      <c r="B5925" t="str">
        <f>"1578729436729436"</f>
        <v>1578729436729436</v>
      </c>
      <c r="C5925" t="s">
        <v>37</v>
      </c>
      <c r="D5925">
        <v>4.6888699999999996</v>
      </c>
      <c r="E5925">
        <v>0.4481367</v>
      </c>
      <c r="F5925" t="s">
        <v>38</v>
      </c>
      <c r="G5925">
        <v>-263.93770000000001</v>
      </c>
      <c r="H5925" s="1">
        <v>-8.1957839999999995E-7</v>
      </c>
      <c r="I5925">
        <v>-59.678640000000001</v>
      </c>
      <c r="J5925">
        <v>-283.93079999999998</v>
      </c>
      <c r="K5925">
        <v>1.106592</v>
      </c>
      <c r="L5925">
        <v>-60.952819999999903</v>
      </c>
      <c r="M5925">
        <v>0.98174740000000005</v>
      </c>
      <c r="N5925">
        <v>0</v>
      </c>
      <c r="O5925">
        <v>-0.18970129999999999</v>
      </c>
      <c r="P5925">
        <v>0.99601819999999897</v>
      </c>
      <c r="Q5925">
        <v>4.4503939999999999E-2</v>
      </c>
      <c r="R5925">
        <v>-7.7248129999999998E-2</v>
      </c>
      <c r="S5925">
        <v>3.0343930000000001</v>
      </c>
      <c r="T5925">
        <v>-0.1671251</v>
      </c>
      <c r="U5925">
        <v>0.189727799999999</v>
      </c>
      <c r="V5925">
        <v>-0.1133016</v>
      </c>
      <c r="W5925">
        <v>5.7664159999999999E-2</v>
      </c>
      <c r="X5925">
        <v>0.99188589999999999</v>
      </c>
      <c r="Y5925">
        <v>-0.2499566</v>
      </c>
      <c r="Z5925">
        <v>1.7270230000000001E-2</v>
      </c>
      <c r="AA5925">
        <v>0.96810300000000005</v>
      </c>
      <c r="AB5925">
        <v>20</v>
      </c>
      <c r="AC5925">
        <v>19.993099999999899</v>
      </c>
      <c r="AD5925">
        <v>-1.1065928195784001</v>
      </c>
      <c r="AE5925">
        <v>1.2741799999999901</v>
      </c>
      <c r="AF5925">
        <v>-5.0287645093468596</v>
      </c>
      <c r="AG5925">
        <v>-1.1065928195784001</v>
      </c>
      <c r="AH5925">
        <v>19.329282905649301</v>
      </c>
      <c r="AI5925">
        <v>93.171242178305405</v>
      </c>
      <c r="AJ5925">
        <v>104.582964487138</v>
      </c>
      <c r="AK5925">
        <v>20.003354663791701</v>
      </c>
    </row>
    <row r="5926" spans="1:37" x14ac:dyDescent="0.2">
      <c r="A5926" t="str">
        <f>"20200111155716746"</f>
        <v>20200111155716746</v>
      </c>
      <c r="B5926" t="str">
        <f>"1578729436739197"</f>
        <v>1578729436739197</v>
      </c>
      <c r="C5926" t="s">
        <v>37</v>
      </c>
      <c r="D5926">
        <v>4.6713550000000001</v>
      </c>
      <c r="E5926">
        <v>0.44830730000000002</v>
      </c>
      <c r="F5926" t="s">
        <v>95</v>
      </c>
      <c r="G5926">
        <v>-263.33870000000002</v>
      </c>
      <c r="H5926" s="1">
        <v>-5.6607390000000005E-7</v>
      </c>
      <c r="I5926">
        <v>-59.659050000000001</v>
      </c>
      <c r="J5926">
        <v>-283.83980000000003</v>
      </c>
      <c r="K5926">
        <v>1.1065069999999999</v>
      </c>
      <c r="L5926">
        <v>-60.968869999999903</v>
      </c>
      <c r="M5926">
        <v>0.98197769999999995</v>
      </c>
      <c r="N5926">
        <v>0</v>
      </c>
      <c r="O5926">
        <v>-0.18850600000000001</v>
      </c>
      <c r="P5926">
        <v>0.99607209999999902</v>
      </c>
      <c r="Q5926">
        <v>4.4504719999999998E-2</v>
      </c>
      <c r="R5926">
        <v>-7.6550800000000002E-2</v>
      </c>
      <c r="S5926">
        <v>3.034027</v>
      </c>
      <c r="T5926">
        <v>-0.16304479999999999</v>
      </c>
      <c r="U5926">
        <v>0.1906128</v>
      </c>
      <c r="V5926">
        <v>-0.112777</v>
      </c>
      <c r="W5926">
        <v>5.7680830000000002E-2</v>
      </c>
      <c r="X5926">
        <v>0.99194470000000001</v>
      </c>
      <c r="Y5926">
        <v>-0.24910119999999999</v>
      </c>
      <c r="Z5926">
        <v>1.676476E-2</v>
      </c>
      <c r="AA5926">
        <v>0.96833239999999998</v>
      </c>
      <c r="AB5926">
        <v>20</v>
      </c>
      <c r="AC5926">
        <v>20.501100000000001</v>
      </c>
      <c r="AD5926">
        <v>-1.1065075660738899</v>
      </c>
      <c r="AE5926">
        <v>1.30981999999999</v>
      </c>
      <c r="AF5926">
        <v>-5.1363697384069802</v>
      </c>
      <c r="AG5926">
        <v>-1.1065075660738899</v>
      </c>
      <c r="AH5926">
        <v>19.829027535635401</v>
      </c>
      <c r="AI5926">
        <v>93.092085828418803</v>
      </c>
      <c r="AJ5926">
        <v>104.52229974244899</v>
      </c>
      <c r="AK5926">
        <v>20.5133367859153</v>
      </c>
    </row>
    <row r="5927" spans="1:37" x14ac:dyDescent="0.2">
      <c r="A5927" t="str">
        <f>"20200111155716756"</f>
        <v>20200111155716756</v>
      </c>
      <c r="B5927" t="str">
        <f>"1578729436748956"</f>
        <v>1578729436748956</v>
      </c>
      <c r="C5927" t="s">
        <v>37</v>
      </c>
      <c r="D5927">
        <v>4.6753809999999998</v>
      </c>
      <c r="E5927">
        <v>0.44849629999999902</v>
      </c>
      <c r="F5927" t="s">
        <v>38</v>
      </c>
      <c r="G5927">
        <v>-262.92290000000003</v>
      </c>
      <c r="H5927" s="1">
        <v>-3.8962210000000001E-7</v>
      </c>
      <c r="I5927">
        <v>-59.648269999999997</v>
      </c>
      <c r="J5927">
        <v>-283.7475</v>
      </c>
      <c r="K5927">
        <v>1.1064179999999999</v>
      </c>
      <c r="L5927">
        <v>-60.985109999999999</v>
      </c>
      <c r="M5927">
        <v>0.98220339999999995</v>
      </c>
      <c r="N5927">
        <v>0</v>
      </c>
      <c r="O5927">
        <v>-0.18732689999999999</v>
      </c>
      <c r="P5927">
        <v>0.99616539999999998</v>
      </c>
      <c r="Q5927">
        <v>4.4074719999999998E-2</v>
      </c>
      <c r="R5927">
        <v>-7.5579049999999995E-2</v>
      </c>
      <c r="S5927">
        <v>3.0337519999999998</v>
      </c>
      <c r="T5927">
        <v>-0.1604854</v>
      </c>
      <c r="U5927">
        <v>0.19152829999999901</v>
      </c>
      <c r="V5927">
        <v>-0.11254409999999999</v>
      </c>
      <c r="W5927">
        <v>5.7266190000000002E-2</v>
      </c>
      <c r="X5927">
        <v>0.99199519999999997</v>
      </c>
      <c r="Y5927">
        <v>-0.24825739999999999</v>
      </c>
      <c r="Z5927">
        <v>1.64195E-2</v>
      </c>
      <c r="AA5927">
        <v>0.9685549</v>
      </c>
      <c r="AB5927">
        <v>20</v>
      </c>
      <c r="AC5927">
        <v>20.824599999999901</v>
      </c>
      <c r="AD5927">
        <v>-1.1064183896221</v>
      </c>
      <c r="AE5927">
        <v>1.33684</v>
      </c>
      <c r="AF5927">
        <v>-5.1999209437745897</v>
      </c>
      <c r="AG5927">
        <v>-1.1064183896221</v>
      </c>
      <c r="AH5927">
        <v>20.148793783403001</v>
      </c>
      <c r="AI5927">
        <v>93.043566217912698</v>
      </c>
      <c r="AJ5927">
        <v>104.470913229933</v>
      </c>
      <c r="AK5927">
        <v>20.838359589960501</v>
      </c>
    </row>
    <row r="5928" spans="1:37" x14ac:dyDescent="0.2">
      <c r="A5928" t="str">
        <f>"20200111155716767"</f>
        <v>20200111155716767</v>
      </c>
      <c r="B5928" t="str">
        <f>"1578729436758717"</f>
        <v>1578729436758717</v>
      </c>
      <c r="C5928" t="s">
        <v>37</v>
      </c>
      <c r="D5928">
        <v>4.6483309999999998</v>
      </c>
      <c r="E5928">
        <v>0.4485478</v>
      </c>
      <c r="F5928" t="s">
        <v>38</v>
      </c>
      <c r="G5928">
        <v>-262.79230000000001</v>
      </c>
      <c r="H5928" s="1">
        <v>-3.33193799999999E-7</v>
      </c>
      <c r="I5928">
        <v>-59.650500000000001</v>
      </c>
      <c r="J5928">
        <v>-283.65499999999997</v>
      </c>
      <c r="K5928">
        <v>1.1063209999999899</v>
      </c>
      <c r="L5928">
        <v>-61.001369999999902</v>
      </c>
      <c r="M5928">
        <v>0.98240539999999998</v>
      </c>
      <c r="N5928">
        <v>0</v>
      </c>
      <c r="O5928">
        <v>-0.18626599999999999</v>
      </c>
      <c r="P5928">
        <v>0.9962529</v>
      </c>
      <c r="Q5928">
        <v>4.410215E-2</v>
      </c>
      <c r="R5928">
        <v>-7.4400240000000006E-2</v>
      </c>
      <c r="S5928">
        <v>3.0332949999999999</v>
      </c>
      <c r="T5928">
        <v>-0.1601552</v>
      </c>
      <c r="U5928">
        <v>0.1931763</v>
      </c>
      <c r="V5928">
        <v>-0.1126337</v>
      </c>
      <c r="W5928">
        <v>5.7309510000000001E-2</v>
      </c>
      <c r="X5928">
        <v>0.99198249999999999</v>
      </c>
      <c r="Y5928">
        <v>-0.247748999999999</v>
      </c>
      <c r="Z5928">
        <v>1.631933E-2</v>
      </c>
      <c r="AA5928">
        <v>0.96868679999999996</v>
      </c>
      <c r="AB5928">
        <v>20</v>
      </c>
      <c r="AC5928">
        <v>20.862699999999901</v>
      </c>
      <c r="AD5928">
        <v>-1.1063213331938</v>
      </c>
      <c r="AE5928">
        <v>1.35086999999999</v>
      </c>
      <c r="AF5928">
        <v>-5.19903605761814</v>
      </c>
      <c r="AG5928">
        <v>-1.1063213331938</v>
      </c>
      <c r="AH5928">
        <v>20.189340636364399</v>
      </c>
      <c r="AI5928">
        <v>93.037611201442502</v>
      </c>
      <c r="AJ5928">
        <v>104.44071257049799</v>
      </c>
      <c r="AK5928">
        <v>20.877341740553302</v>
      </c>
    </row>
    <row r="5929" spans="1:37" x14ac:dyDescent="0.2">
      <c r="A5929" t="str">
        <f>"20200111155716779"</f>
        <v>20200111155716779</v>
      </c>
      <c r="B5929" t="str">
        <f>"1578729436769452"</f>
        <v>1578729436769452</v>
      </c>
      <c r="C5929" t="s">
        <v>37</v>
      </c>
      <c r="D5929">
        <v>4.628349</v>
      </c>
      <c r="E5929">
        <v>0.448692699999999</v>
      </c>
      <c r="F5929" t="s">
        <v>38</v>
      </c>
      <c r="G5929">
        <v>-262.53219999999999</v>
      </c>
      <c r="H5929" s="1">
        <v>-2.245995E-7</v>
      </c>
      <c r="I5929">
        <v>-59.633659999999999</v>
      </c>
      <c r="J5929">
        <v>-283.55500000000001</v>
      </c>
      <c r="K5929">
        <v>1.106214</v>
      </c>
      <c r="L5929">
        <v>-61.018919999999902</v>
      </c>
      <c r="M5929">
        <v>0.98261609999999999</v>
      </c>
      <c r="N5929">
        <v>0</v>
      </c>
      <c r="O5929">
        <v>-0.18515109999999901</v>
      </c>
      <c r="P5929">
        <v>0.99635560000000001</v>
      </c>
      <c r="Q5929">
        <v>4.3758569999999997E-2</v>
      </c>
      <c r="R5929">
        <v>-7.3218149999999996E-2</v>
      </c>
      <c r="S5929">
        <v>3.03302</v>
      </c>
      <c r="T5929">
        <v>-0.1588562</v>
      </c>
      <c r="U5929">
        <v>0.19638059999999999</v>
      </c>
      <c r="V5929">
        <v>-0.112672699999999</v>
      </c>
      <c r="W5929">
        <v>5.6984840000000002E-2</v>
      </c>
      <c r="X5929">
        <v>0.99199680000000001</v>
      </c>
      <c r="Y5929">
        <v>-0.24768579999999901</v>
      </c>
      <c r="Z5929">
        <v>1.6128940000000001E-2</v>
      </c>
      <c r="AA5929">
        <v>0.96870610000000001</v>
      </c>
      <c r="AB5929">
        <v>20</v>
      </c>
      <c r="AC5929">
        <v>21.0228</v>
      </c>
      <c r="AD5929">
        <v>-1.1062142245994999</v>
      </c>
      <c r="AE5929">
        <v>1.3852599999999899</v>
      </c>
      <c r="AF5929">
        <v>-5.2396135638681596</v>
      </c>
      <c r="AG5929">
        <v>-1.1062142245994999</v>
      </c>
      <c r="AH5929">
        <v>20.346650307320299</v>
      </c>
      <c r="AI5929">
        <v>93.0138757433443</v>
      </c>
      <c r="AJ5929">
        <v>104.440892353865</v>
      </c>
      <c r="AK5929">
        <v>21.039568411394601</v>
      </c>
    </row>
    <row r="5930" spans="1:37" x14ac:dyDescent="0.2">
      <c r="A5930" t="str">
        <f>"20200111155716789"</f>
        <v>20200111155716789</v>
      </c>
      <c r="B5930" t="str">
        <f>"1578729436779213"</f>
        <v>1578729436779213</v>
      </c>
      <c r="C5930" t="s">
        <v>37</v>
      </c>
      <c r="D5930">
        <v>4.6733079999999996</v>
      </c>
      <c r="E5930">
        <v>0.44869549999999903</v>
      </c>
      <c r="F5930" t="s">
        <v>38</v>
      </c>
      <c r="G5930">
        <v>-262.46179999999998</v>
      </c>
      <c r="H5930" s="1">
        <v>-1.9391109999999999E-7</v>
      </c>
      <c r="I5930">
        <v>-59.636580000000002</v>
      </c>
      <c r="J5930">
        <v>-283.46080000000001</v>
      </c>
      <c r="K5930">
        <v>1.1061030000000001</v>
      </c>
      <c r="L5930">
        <v>-61.03546</v>
      </c>
      <c r="M5930">
        <v>0.98278650000000001</v>
      </c>
      <c r="N5930">
        <v>0</v>
      </c>
      <c r="O5930">
        <v>-0.1842454</v>
      </c>
      <c r="P5930">
        <v>0.99647410000000003</v>
      </c>
      <c r="Q5930">
        <v>4.3506580000000003E-2</v>
      </c>
      <c r="R5930">
        <v>-7.1741029999999997E-2</v>
      </c>
      <c r="S5930">
        <v>3.032562</v>
      </c>
      <c r="T5930">
        <v>-0.1590405</v>
      </c>
      <c r="U5930">
        <v>0.1987305</v>
      </c>
      <c r="V5930">
        <v>-0.11321630000000001</v>
      </c>
      <c r="W5930">
        <v>5.675156E-2</v>
      </c>
      <c r="X5930">
        <v>0.99194819999999995</v>
      </c>
      <c r="Y5930">
        <v>-0.24754970000000001</v>
      </c>
      <c r="Z5930">
        <v>1.6099329999999999E-2</v>
      </c>
      <c r="AA5930">
        <v>0.96874139999999997</v>
      </c>
      <c r="AB5930">
        <v>20</v>
      </c>
      <c r="AC5930">
        <v>20.998999999999999</v>
      </c>
      <c r="AD5930">
        <v>-1.1061031939110999</v>
      </c>
      <c r="AE5930">
        <v>1.3988799999999899</v>
      </c>
      <c r="AF5930">
        <v>-5.2298065861936802</v>
      </c>
      <c r="AG5930">
        <v>-1.1061031939110999</v>
      </c>
      <c r="AH5930">
        <v>20.3255298157687</v>
      </c>
      <c r="AI5930">
        <v>93.016855681895805</v>
      </c>
      <c r="AJ5930">
        <v>104.429344295737</v>
      </c>
      <c r="AK5930">
        <v>21.016695827276799</v>
      </c>
    </row>
    <row r="5931" spans="1:37" x14ac:dyDescent="0.2">
      <c r="A5931" t="str">
        <f>"20200111155716801"</f>
        <v>20200111155716801</v>
      </c>
      <c r="B5931" t="str">
        <f>"1578729436798733"</f>
        <v>1578729436798733</v>
      </c>
      <c r="C5931" t="s">
        <v>37</v>
      </c>
      <c r="D5931">
        <v>4.6260629999999896</v>
      </c>
      <c r="E5931">
        <v>0.44904480000000002</v>
      </c>
      <c r="F5931" t="s">
        <v>38</v>
      </c>
      <c r="G5931">
        <v>-262.46660000000003</v>
      </c>
      <c r="H5931" s="1">
        <v>-1.9697749999999999E-7</v>
      </c>
      <c r="I5931">
        <v>-59.63091</v>
      </c>
      <c r="J5931">
        <v>-283.35840000000002</v>
      </c>
      <c r="K5931">
        <v>1.1059859999999999</v>
      </c>
      <c r="L5931">
        <v>-61.05341</v>
      </c>
      <c r="M5931">
        <v>0.98296240000000001</v>
      </c>
      <c r="N5931">
        <v>0</v>
      </c>
      <c r="O5931">
        <v>-0.18330479999999999</v>
      </c>
      <c r="P5931">
        <v>0.99658969999999902</v>
      </c>
      <c r="Q5931">
        <v>4.3087739999999999E-2</v>
      </c>
      <c r="R5931">
        <v>-7.0376190000000005E-2</v>
      </c>
      <c r="S5931">
        <v>3.0321959999999999</v>
      </c>
      <c r="T5931">
        <v>-0.15975500000000001</v>
      </c>
      <c r="U5931">
        <v>0.20285029999999901</v>
      </c>
      <c r="V5931">
        <v>-0.113613799999999</v>
      </c>
      <c r="W5931">
        <v>5.6353569999999999E-2</v>
      </c>
      <c r="X5931">
        <v>0.99192549999999902</v>
      </c>
      <c r="Y5931">
        <v>-0.2479362</v>
      </c>
      <c r="Z5931">
        <v>1.6134280000000001E-2</v>
      </c>
      <c r="AA5931">
        <v>0.968642</v>
      </c>
      <c r="AB5931">
        <v>20</v>
      </c>
      <c r="AC5931">
        <v>20.8917999999999</v>
      </c>
      <c r="AD5931">
        <v>-1.1059861969775</v>
      </c>
      <c r="AE5931">
        <v>1.4224999999999901</v>
      </c>
      <c r="AF5931">
        <v>-5.2137687405646904</v>
      </c>
      <c r="AG5931">
        <v>-1.1059861969775</v>
      </c>
      <c r="AH5931">
        <v>20.220564206332</v>
      </c>
      <c r="AI5931">
        <v>93.031770382076104</v>
      </c>
      <c r="AJ5931">
        <v>104.458494436672</v>
      </c>
      <c r="AK5931">
        <v>20.9111885547042</v>
      </c>
    </row>
    <row r="5932" spans="1:37" x14ac:dyDescent="0.2">
      <c r="A5932" t="str">
        <f>"20200111155716812"</f>
        <v>20200111155716812</v>
      </c>
      <c r="B5932" t="str">
        <f>"1578729436809469"</f>
        <v>1578729436809469</v>
      </c>
      <c r="C5932" t="s">
        <v>37</v>
      </c>
      <c r="D5932">
        <v>4.5465450000000001</v>
      </c>
      <c r="E5932">
        <v>0.44919100000000001</v>
      </c>
      <c r="F5932" t="s">
        <v>95</v>
      </c>
      <c r="G5932">
        <v>-262.56869999999998</v>
      </c>
      <c r="H5932" s="1">
        <v>-2.3640220000000001E-7</v>
      </c>
      <c r="I5932">
        <v>-59.655589999999997</v>
      </c>
      <c r="J5932">
        <v>-283.2629</v>
      </c>
      <c r="K5932">
        <v>1.1058760000000001</v>
      </c>
      <c r="L5932">
        <v>-61.070189999999997</v>
      </c>
      <c r="M5932">
        <v>0.983106699999999</v>
      </c>
      <c r="N5932">
        <v>0</v>
      </c>
      <c r="O5932">
        <v>-0.1825302</v>
      </c>
      <c r="P5932">
        <v>0.99674339999999995</v>
      </c>
      <c r="Q5932">
        <v>4.2172660000000001E-2</v>
      </c>
      <c r="R5932">
        <v>-6.8732340000000003E-2</v>
      </c>
      <c r="S5932">
        <v>3.031647</v>
      </c>
      <c r="T5932">
        <v>-0.16128029999999999</v>
      </c>
      <c r="U5932">
        <v>0.20382690000000001</v>
      </c>
      <c r="V5932">
        <v>-0.11445950000000001</v>
      </c>
      <c r="W5932">
        <v>5.5458519999999997E-2</v>
      </c>
      <c r="X5932">
        <v>0.9918787</v>
      </c>
      <c r="Y5932">
        <v>-0.24748519999999999</v>
      </c>
      <c r="Z5932">
        <v>1.6238229999999999E-2</v>
      </c>
      <c r="AA5932">
        <v>0.96875560000000005</v>
      </c>
      <c r="AB5932">
        <v>20</v>
      </c>
      <c r="AC5932">
        <v>20.694199999999999</v>
      </c>
      <c r="AD5932">
        <v>-1.1058762364021999</v>
      </c>
      <c r="AE5932">
        <v>1.4146000000000001</v>
      </c>
      <c r="AF5932">
        <v>-5.1538450870563697</v>
      </c>
      <c r="AG5932">
        <v>-1.1058762364021999</v>
      </c>
      <c r="AH5932">
        <v>20.031309301227999</v>
      </c>
      <c r="AI5932">
        <v>93.060466281464898</v>
      </c>
      <c r="AJ5932">
        <v>104.428652506451</v>
      </c>
      <c r="AK5932">
        <v>20.713242955970902</v>
      </c>
    </row>
    <row r="5933" spans="1:37" x14ac:dyDescent="0.2">
      <c r="A5933" t="str">
        <f>"20200111155716825"</f>
        <v>20200111155716825</v>
      </c>
      <c r="B5933" t="str">
        <f>"1578729436819228"</f>
        <v>1578729436819228</v>
      </c>
      <c r="C5933" t="s">
        <v>37</v>
      </c>
      <c r="D5933">
        <v>4.50298</v>
      </c>
      <c r="E5933">
        <v>0.44934030000000003</v>
      </c>
      <c r="F5933" t="s">
        <v>38</v>
      </c>
      <c r="G5933">
        <v>-262.81810000000002</v>
      </c>
      <c r="H5933" s="1">
        <v>-3.4047100000000001E-7</v>
      </c>
      <c r="I5933">
        <v>-59.672019999999897</v>
      </c>
      <c r="J5933">
        <v>-283.16609999999997</v>
      </c>
      <c r="K5933">
        <v>1.1057669999999999</v>
      </c>
      <c r="L5933">
        <v>-61.087249999999997</v>
      </c>
      <c r="M5933">
        <v>0.98323839999999996</v>
      </c>
      <c r="N5933">
        <v>0</v>
      </c>
      <c r="O5933">
        <v>-0.1818205</v>
      </c>
      <c r="P5933">
        <v>0.99688659999999996</v>
      </c>
      <c r="Q5933">
        <v>4.1265129999999997E-2</v>
      </c>
      <c r="R5933">
        <v>-6.7189949999999998E-2</v>
      </c>
      <c r="S5933">
        <v>3.0310359999999998</v>
      </c>
      <c r="T5933">
        <v>-0.1639514</v>
      </c>
      <c r="U5933">
        <v>0.2072754</v>
      </c>
      <c r="V5933">
        <v>-0.1152696</v>
      </c>
      <c r="W5933">
        <v>5.456913E-2</v>
      </c>
      <c r="X5933">
        <v>0.991834199999999</v>
      </c>
      <c r="Y5933">
        <v>-0.24787619999999999</v>
      </c>
      <c r="Z5933">
        <v>1.648233E-2</v>
      </c>
      <c r="AA5933">
        <v>0.968651499999999</v>
      </c>
      <c r="AB5933">
        <v>20</v>
      </c>
      <c r="AC5933">
        <v>20.3479999999999</v>
      </c>
      <c r="AD5933">
        <v>-1.105767340471</v>
      </c>
      <c r="AE5933">
        <v>1.41523</v>
      </c>
      <c r="AF5933">
        <v>-5.0767391870096299</v>
      </c>
      <c r="AG5933">
        <v>-1.105767340471</v>
      </c>
      <c r="AH5933">
        <v>19.6935521103258</v>
      </c>
      <c r="AI5933">
        <v>93.1121738291139</v>
      </c>
      <c r="AJ5933">
        <v>104.455378503939</v>
      </c>
      <c r="AK5933">
        <v>20.3674248962968</v>
      </c>
    </row>
    <row r="5934" spans="1:37" x14ac:dyDescent="0.2">
      <c r="A5934" t="str">
        <f>"20200111155716835"</f>
        <v>20200111155716835</v>
      </c>
      <c r="B5934" t="str">
        <f>"1578729436828988"</f>
        <v>1578729436828988</v>
      </c>
      <c r="C5934" t="s">
        <v>37</v>
      </c>
      <c r="D5934">
        <v>4.5678939999999999</v>
      </c>
      <c r="E5934">
        <v>0.44945930000000001</v>
      </c>
      <c r="F5934" t="s">
        <v>95</v>
      </c>
      <c r="G5934">
        <v>-263.06709999999998</v>
      </c>
      <c r="H5934" s="1">
        <v>-4.4406490000000001E-7</v>
      </c>
      <c r="I5934">
        <v>-59.690190000000001</v>
      </c>
      <c r="J5934">
        <v>-283.06330000000003</v>
      </c>
      <c r="K5934">
        <v>1.105648</v>
      </c>
      <c r="L5934">
        <v>-61.105379999999997</v>
      </c>
      <c r="M5934">
        <v>0.9833634</v>
      </c>
      <c r="N5934">
        <v>0</v>
      </c>
      <c r="O5934">
        <v>-0.1811431</v>
      </c>
      <c r="P5934">
        <v>0.99707800000000002</v>
      </c>
      <c r="Q5934">
        <v>3.9614200000000002E-2</v>
      </c>
      <c r="R5934">
        <v>-6.5318020000000004E-2</v>
      </c>
      <c r="S5934">
        <v>3.0304259999999998</v>
      </c>
      <c r="T5934">
        <v>-0.1667225</v>
      </c>
      <c r="U5934">
        <v>0.21063229999999999</v>
      </c>
      <c r="V5934">
        <v>-0.1164456</v>
      </c>
      <c r="W5934">
        <v>5.293643E-2</v>
      </c>
      <c r="X5934">
        <v>0.99178529999999998</v>
      </c>
      <c r="Y5934">
        <v>-0.24826889999999999</v>
      </c>
      <c r="Z5934">
        <v>1.6737410000000001E-2</v>
      </c>
      <c r="AA5934">
        <v>0.96854660000000004</v>
      </c>
      <c r="AB5934">
        <v>20</v>
      </c>
      <c r="AC5934">
        <v>19.996200000000002</v>
      </c>
      <c r="AD5934">
        <v>-1.1056484440648999</v>
      </c>
      <c r="AE5934">
        <v>1.4151899999999999</v>
      </c>
      <c r="AF5934">
        <v>-4.9990725083773198</v>
      </c>
      <c r="AG5934">
        <v>-1.1056484440648999</v>
      </c>
      <c r="AH5934">
        <v>19.350096785385499</v>
      </c>
      <c r="AI5934">
        <v>93.166532519772701</v>
      </c>
      <c r="AJ5934">
        <v>104.48555936218</v>
      </c>
      <c r="AK5934">
        <v>20.015979367237101</v>
      </c>
    </row>
    <row r="5935" spans="1:37" x14ac:dyDescent="0.2">
      <c r="A5935" t="str">
        <f>"20200111155716846"</f>
        <v>20200111155716846</v>
      </c>
      <c r="B5935" t="str">
        <f>"1578729436838748"</f>
        <v>1578729436838748</v>
      </c>
      <c r="C5935" t="s">
        <v>37</v>
      </c>
      <c r="D5935">
        <v>4.582541</v>
      </c>
      <c r="E5935">
        <v>0.44964480000000001</v>
      </c>
      <c r="F5935" t="s">
        <v>38</v>
      </c>
      <c r="G5935">
        <v>-263.51749999999998</v>
      </c>
      <c r="H5935" s="1">
        <v>-6.3249190000000003E-7</v>
      </c>
      <c r="I5935">
        <v>-59.717109999999998</v>
      </c>
      <c r="J5935">
        <v>-282.976</v>
      </c>
      <c r="K5935">
        <v>1.105545</v>
      </c>
      <c r="L5935">
        <v>-61.12079</v>
      </c>
      <c r="M5935">
        <v>0.98344979999999904</v>
      </c>
      <c r="N5935">
        <v>0</v>
      </c>
      <c r="O5935">
        <v>-0.180677</v>
      </c>
      <c r="P5935">
        <v>0.99724109999999999</v>
      </c>
      <c r="Q5935">
        <v>3.7592180000000003E-2</v>
      </c>
      <c r="R5935">
        <v>-6.4009759999999999E-2</v>
      </c>
      <c r="S5935">
        <v>3.0297239999999999</v>
      </c>
      <c r="T5935">
        <v>-0.1713827</v>
      </c>
      <c r="U5935">
        <v>0.21517939999999999</v>
      </c>
      <c r="V5935">
        <v>-0.11727799999999999</v>
      </c>
      <c r="W5935">
        <v>5.090927E-2</v>
      </c>
      <c r="X5935">
        <v>0.99179340000000005</v>
      </c>
      <c r="Y5935">
        <v>-0.24923400000000001</v>
      </c>
      <c r="Z5935">
        <v>1.7209099999999901E-2</v>
      </c>
      <c r="AA5935">
        <v>0.9682904</v>
      </c>
      <c r="AB5935">
        <v>20</v>
      </c>
      <c r="AC5935">
        <v>19.458500000000001</v>
      </c>
      <c r="AD5935">
        <v>-1.1055456324919</v>
      </c>
      <c r="AE5935">
        <v>1.40368</v>
      </c>
      <c r="AF5935">
        <v>-4.8809244958144404</v>
      </c>
      <c r="AG5935">
        <v>-1.1055456324919</v>
      </c>
      <c r="AH5935">
        <v>18.8241169300289</v>
      </c>
      <c r="AI5935">
        <v>93.253779276456001</v>
      </c>
      <c r="AJ5935">
        <v>104.53616025872699</v>
      </c>
      <c r="AK5935">
        <v>19.478014099870698</v>
      </c>
    </row>
    <row r="5936" spans="1:37" x14ac:dyDescent="0.2">
      <c r="A5936" t="str">
        <f>"20200111155716856"</f>
        <v>20200111155716856</v>
      </c>
      <c r="B5936" t="str">
        <f>"1578729436849017"</f>
        <v>1578729436849017</v>
      </c>
      <c r="C5936" t="s">
        <v>37</v>
      </c>
      <c r="D5936">
        <v>4.6075609999999996</v>
      </c>
      <c r="E5936">
        <v>0.44964480000000001</v>
      </c>
      <c r="F5936" t="s">
        <v>95</v>
      </c>
      <c r="G5936">
        <v>-264.05200000000002</v>
      </c>
      <c r="H5936" s="1">
        <v>-8.5407879999999997E-7</v>
      </c>
      <c r="I5936">
        <v>-59.7607</v>
      </c>
      <c r="J5936">
        <v>-282.88049999999998</v>
      </c>
      <c r="K5936">
        <v>1.105426</v>
      </c>
      <c r="L5936">
        <v>-61.137700000000002</v>
      </c>
      <c r="M5936">
        <v>0.98353760000000001</v>
      </c>
      <c r="N5936">
        <v>0</v>
      </c>
      <c r="O5936">
        <v>-0.18020139999999901</v>
      </c>
      <c r="P5936">
        <v>0.99742929999999996</v>
      </c>
      <c r="Q5936">
        <v>3.5623849999999999E-2</v>
      </c>
      <c r="R5936">
        <v>-6.217839E-2</v>
      </c>
      <c r="S5936">
        <v>3.028931</v>
      </c>
      <c r="T5936">
        <v>-0.17695150000000001</v>
      </c>
      <c r="U5936">
        <v>0.21768189999999901</v>
      </c>
      <c r="V5936">
        <v>-0.118619499999999</v>
      </c>
      <c r="W5936">
        <v>4.8928569999999998E-2</v>
      </c>
      <c r="X5936">
        <v>0.99173359999999899</v>
      </c>
      <c r="Y5936">
        <v>-0.24953420000000001</v>
      </c>
      <c r="Z5936">
        <v>1.7752939999999998E-2</v>
      </c>
      <c r="AA5936">
        <v>0.96820319999999904</v>
      </c>
      <c r="AB5936">
        <v>20</v>
      </c>
      <c r="AC5936">
        <v>18.828499999999899</v>
      </c>
      <c r="AD5936">
        <v>-1.1054268540787999</v>
      </c>
      <c r="AE5936">
        <v>1.377</v>
      </c>
      <c r="AF5936">
        <v>-4.7314614953851502</v>
      </c>
      <c r="AG5936">
        <v>-1.1054268540787999</v>
      </c>
      <c r="AH5936">
        <v>18.209623496337802</v>
      </c>
      <c r="AI5936">
        <v>93.362529100742606</v>
      </c>
      <c r="AJ5936">
        <v>104.565254465029</v>
      </c>
      <c r="AK5936">
        <v>18.8467260894408</v>
      </c>
    </row>
    <row r="5937" spans="1:37" x14ac:dyDescent="0.2">
      <c r="A5937" t="str">
        <f>"20200111155716867"</f>
        <v>20200111155716867</v>
      </c>
      <c r="B5937" t="str">
        <f>"1578729436858778"</f>
        <v>1578729436858778</v>
      </c>
      <c r="C5937" t="s">
        <v>37</v>
      </c>
      <c r="D5937">
        <v>4.5407909999999996</v>
      </c>
      <c r="E5937">
        <v>0.452455199999999</v>
      </c>
      <c r="F5937" t="s">
        <v>95</v>
      </c>
      <c r="G5937">
        <v>-264.56380000000001</v>
      </c>
      <c r="H5937" s="1">
        <v>-1.069076E-6</v>
      </c>
      <c r="I5937">
        <v>-59.7864</v>
      </c>
      <c r="J5937">
        <v>-282.7894</v>
      </c>
      <c r="K5937">
        <v>1.1053109999999999</v>
      </c>
      <c r="L5937">
        <v>-61.1539</v>
      </c>
      <c r="M5937">
        <v>0.98359730000000001</v>
      </c>
      <c r="N5937">
        <v>0</v>
      </c>
      <c r="O5937">
        <v>-0.17987999999999901</v>
      </c>
      <c r="P5937">
        <v>0.99761149999999998</v>
      </c>
      <c r="Q5937">
        <v>3.367705E-2</v>
      </c>
      <c r="R5937">
        <v>-6.0308929999999997E-2</v>
      </c>
      <c r="S5937">
        <v>3.028168</v>
      </c>
      <c r="T5937">
        <v>-0.1827529</v>
      </c>
      <c r="U5937">
        <v>0.2233887</v>
      </c>
      <c r="V5937">
        <v>-0.120156</v>
      </c>
      <c r="W5937">
        <v>4.692578E-2</v>
      </c>
      <c r="X5937">
        <v>0.99164529999999995</v>
      </c>
      <c r="Y5937">
        <v>-0.25099909999999998</v>
      </c>
      <c r="Z5937">
        <v>1.8362659999999999E-2</v>
      </c>
      <c r="AA5937">
        <v>0.96781309999999998</v>
      </c>
      <c r="AB5937">
        <v>20</v>
      </c>
      <c r="AC5937">
        <v>18.225599999999901</v>
      </c>
      <c r="AD5937">
        <v>-1.1053120690760001</v>
      </c>
      <c r="AE5937">
        <v>1.3674999999999899</v>
      </c>
      <c r="AF5937">
        <v>-4.6070556619474701</v>
      </c>
      <c r="AG5937">
        <v>-1.1053120690760001</v>
      </c>
      <c r="AH5937">
        <v>17.617817682368202</v>
      </c>
      <c r="AI5937">
        <v>93.473438673142795</v>
      </c>
      <c r="AJ5937">
        <v>104.654677351967</v>
      </c>
      <c r="AK5937">
        <v>18.243743490070599</v>
      </c>
    </row>
    <row r="5938" spans="1:37" x14ac:dyDescent="0.2">
      <c r="A5938" t="str">
        <f>"20200111155716879"</f>
        <v>20200111155716879</v>
      </c>
      <c r="B5938" t="str">
        <f>"1578729436869513"</f>
        <v>1578729436869513</v>
      </c>
      <c r="C5938" t="s">
        <v>37</v>
      </c>
      <c r="D5938">
        <v>4.5240970000000003</v>
      </c>
      <c r="E5938">
        <v>0.45325759999999998</v>
      </c>
      <c r="F5938" t="s">
        <v>97</v>
      </c>
      <c r="G5938">
        <v>-253.44710000000001</v>
      </c>
      <c r="H5938" s="1">
        <v>-8.8346599999999905E-7</v>
      </c>
      <c r="I5938">
        <v>-59.169199999999996</v>
      </c>
      <c r="J5938">
        <v>-282.69240000000002</v>
      </c>
      <c r="K5938">
        <v>1.105189</v>
      </c>
      <c r="L5938">
        <v>-61.171169999999996</v>
      </c>
      <c r="M5938">
        <v>0.98365650000000004</v>
      </c>
      <c r="N5938">
        <v>0</v>
      </c>
      <c r="O5938">
        <v>-0.17956359999999999</v>
      </c>
      <c r="P5938">
        <v>0.99776719999999897</v>
      </c>
      <c r="Q5938">
        <v>3.2304100000000002E-2</v>
      </c>
      <c r="R5938">
        <v>-5.8458540000000003E-2</v>
      </c>
      <c r="S5938">
        <v>3.0233460000000001</v>
      </c>
      <c r="T5938">
        <v>-0.1138883</v>
      </c>
      <c r="U5938">
        <v>0.20449829999999999</v>
      </c>
      <c r="V5938">
        <v>-0.1216748</v>
      </c>
      <c r="W5938">
        <v>4.548584E-2</v>
      </c>
      <c r="X5938">
        <v>0.9915273</v>
      </c>
      <c r="Y5938">
        <v>-0.2452587</v>
      </c>
      <c r="Z5938">
        <v>1.1349659999999999E-2</v>
      </c>
      <c r="AA5938">
        <v>0.96939120000000001</v>
      </c>
      <c r="AB5938">
        <v>20</v>
      </c>
      <c r="AC5938">
        <v>29.2453</v>
      </c>
      <c r="AD5938">
        <v>-1.1051898834659999</v>
      </c>
      <c r="AE5938">
        <v>2.00197</v>
      </c>
      <c r="AF5938">
        <v>-7.2110304445549396</v>
      </c>
      <c r="AG5938">
        <v>-1.1051898834659999</v>
      </c>
      <c r="AH5938">
        <v>28.370033580369299</v>
      </c>
      <c r="AI5938">
        <v>92.162215274165007</v>
      </c>
      <c r="AJ5938">
        <v>104.261306447454</v>
      </c>
      <c r="AK5938">
        <v>29.292989094698001</v>
      </c>
    </row>
    <row r="5939" spans="1:37" x14ac:dyDescent="0.2">
      <c r="A5939" t="str">
        <f>"20200111155716890"</f>
        <v>20200111155716890</v>
      </c>
      <c r="B5939" t="str">
        <f>"1578729436879273"</f>
        <v>1578729436879273</v>
      </c>
      <c r="C5939" t="s">
        <v>37</v>
      </c>
      <c r="D5939">
        <v>4.5096150000000002</v>
      </c>
      <c r="E5939">
        <v>0.45319389999999998</v>
      </c>
      <c r="F5939" t="s">
        <v>97</v>
      </c>
      <c r="G5939">
        <v>-258.63869999999997</v>
      </c>
      <c r="H5939" s="1">
        <v>-3.027607E-6</v>
      </c>
      <c r="I5939">
        <v>-59.544840000000001</v>
      </c>
      <c r="J5939">
        <v>-282.59379999999999</v>
      </c>
      <c r="K5939">
        <v>1.1050709999999999</v>
      </c>
      <c r="L5939">
        <v>-61.188839999999999</v>
      </c>
      <c r="M5939">
        <v>0.98369240000000002</v>
      </c>
      <c r="N5939">
        <v>0</v>
      </c>
      <c r="O5939">
        <v>-0.1793775</v>
      </c>
      <c r="P5939">
        <v>0.99792169999999902</v>
      </c>
      <c r="Q5939">
        <v>3.134704E-2</v>
      </c>
      <c r="R5939">
        <v>-5.6303520000000003E-2</v>
      </c>
      <c r="S5939">
        <v>3.023193</v>
      </c>
      <c r="T5939">
        <v>-0.13890639999999899</v>
      </c>
      <c r="U5939">
        <v>0.2044067</v>
      </c>
      <c r="V5939">
        <v>-0.1236251</v>
      </c>
      <c r="W5939">
        <v>4.4412609999999998E-2</v>
      </c>
      <c r="X5939">
        <v>0.99133459999999995</v>
      </c>
      <c r="Y5939">
        <v>-0.24490339999999999</v>
      </c>
      <c r="Z5939">
        <v>1.382457E-2</v>
      </c>
      <c r="AA5939">
        <v>0.96944889999999995</v>
      </c>
      <c r="AB5939">
        <v>20</v>
      </c>
      <c r="AC5939">
        <v>23.955100000000002</v>
      </c>
      <c r="AD5939">
        <v>-1.1050740276069999</v>
      </c>
      <c r="AE5939">
        <v>1.6439999999999899</v>
      </c>
      <c r="AF5939">
        <v>-5.9022063722241498</v>
      </c>
      <c r="AG5939">
        <v>-1.1050740276069999</v>
      </c>
      <c r="AH5939">
        <v>23.2223787040068</v>
      </c>
      <c r="AI5939">
        <v>92.640626317776693</v>
      </c>
      <c r="AJ5939">
        <v>104.26036808667</v>
      </c>
      <c r="AK5939">
        <v>23.9861647901269</v>
      </c>
    </row>
    <row r="5940" spans="1:37" x14ac:dyDescent="0.2">
      <c r="A5940" t="str">
        <f>"20200111155716913"</f>
        <v>20200111155716913</v>
      </c>
      <c r="B5940" t="str">
        <f>"1578729436909530"</f>
        <v>1578729436909530</v>
      </c>
      <c r="C5940" t="s">
        <v>37</v>
      </c>
      <c r="D5940">
        <v>4.3516550000000001</v>
      </c>
      <c r="E5940">
        <v>0.41555809999999999</v>
      </c>
      <c r="F5940" t="s">
        <v>38</v>
      </c>
      <c r="G5940">
        <v>-260.20699999999999</v>
      </c>
      <c r="H5940" s="1">
        <v>7.2509559999999998E-7</v>
      </c>
      <c r="I5940">
        <v>-59.6209699999999</v>
      </c>
      <c r="J5940">
        <v>-282.39710000000002</v>
      </c>
      <c r="K5940">
        <v>1.104851</v>
      </c>
      <c r="L5940">
        <v>-61.224209999999999</v>
      </c>
      <c r="M5940">
        <v>0.9837378</v>
      </c>
      <c r="N5940">
        <v>0</v>
      </c>
      <c r="O5940">
        <v>-0.1791499</v>
      </c>
      <c r="P5940">
        <v>0.99817319999999998</v>
      </c>
      <c r="Q5940">
        <v>3.0906240000000001E-2</v>
      </c>
      <c r="R5940">
        <v>-5.1913910000000001E-2</v>
      </c>
      <c r="S5940">
        <v>3.022888</v>
      </c>
      <c r="T5940">
        <v>-0.1492174</v>
      </c>
      <c r="U5940">
        <v>0.21170039999999901</v>
      </c>
      <c r="V5940">
        <v>-0.12774240000000001</v>
      </c>
      <c r="W5940">
        <v>4.3707099999999999E-2</v>
      </c>
      <c r="X5940">
        <v>0.9908439</v>
      </c>
      <c r="Y5940">
        <v>-0.24694179999999899</v>
      </c>
      <c r="Z5940">
        <v>1.4889380000000001E-2</v>
      </c>
      <c r="AA5940">
        <v>0.96891589999999905</v>
      </c>
      <c r="AB5940">
        <v>20</v>
      </c>
      <c r="AC5940">
        <v>22.190100000000001</v>
      </c>
      <c r="AD5940">
        <v>-1.1048502749044</v>
      </c>
      <c r="AE5940">
        <v>1.60324</v>
      </c>
      <c r="AF5940">
        <v>-5.5393197967755796</v>
      </c>
      <c r="AG5940">
        <v>-1.1048502749044</v>
      </c>
      <c r="AH5940">
        <v>21.4907995717878</v>
      </c>
      <c r="AI5940">
        <v>92.850017712069899</v>
      </c>
      <c r="AJ5940">
        <v>104.45356306318401</v>
      </c>
      <c r="AK5940">
        <v>22.2206936024882</v>
      </c>
    </row>
    <row r="5941" spans="1:37" x14ac:dyDescent="0.2">
      <c r="A5941" t="str">
        <f>"20200111155716924"</f>
        <v>20200111155716924</v>
      </c>
      <c r="B5941" t="str">
        <f>"1578729436919289"</f>
        <v>1578729436919289</v>
      </c>
      <c r="C5941" t="s">
        <v>37</v>
      </c>
      <c r="D5941">
        <v>4.3155779999999897</v>
      </c>
      <c r="E5941">
        <v>0.41318539999999998</v>
      </c>
      <c r="F5941" t="s">
        <v>39</v>
      </c>
      <c r="G5941">
        <v>-155.20230000000001</v>
      </c>
      <c r="H5941">
        <v>-0.05</v>
      </c>
      <c r="I5941">
        <v>-39.365679999999998</v>
      </c>
      <c r="J5941">
        <v>-282.30119999999999</v>
      </c>
      <c r="K5941">
        <v>1.104765</v>
      </c>
      <c r="L5941">
        <v>-61.241549999999997</v>
      </c>
      <c r="M5941">
        <v>0.9837456</v>
      </c>
      <c r="N5941">
        <v>0</v>
      </c>
      <c r="O5941">
        <v>-0.17911930000000001</v>
      </c>
      <c r="P5941">
        <v>0.99826819999999905</v>
      </c>
      <c r="Q5941">
        <v>3.1550979999999999E-2</v>
      </c>
      <c r="R5941">
        <v>-4.9649539999999999E-2</v>
      </c>
      <c r="S5941">
        <v>3.0334469999999998</v>
      </c>
      <c r="T5941">
        <v>-2.7541880000000001E-2</v>
      </c>
      <c r="U5941">
        <v>0.52130129999999997</v>
      </c>
      <c r="V5941">
        <v>-0.1299495</v>
      </c>
      <c r="W5941">
        <v>4.420491E-2</v>
      </c>
      <c r="X5941">
        <v>0.99053469999999999</v>
      </c>
      <c r="Y5941">
        <v>-0.3431535</v>
      </c>
      <c r="Z5941">
        <v>3.1606400000000002E-3</v>
      </c>
      <c r="AA5941">
        <v>0.93927399999999905</v>
      </c>
      <c r="AB5941">
        <v>20</v>
      </c>
      <c r="AC5941">
        <v>127.0989</v>
      </c>
      <c r="AD5941">
        <v>-1.154765</v>
      </c>
      <c r="AE5941">
        <v>21.875869999999999</v>
      </c>
      <c r="AF5941">
        <v>-44.286168934631299</v>
      </c>
      <c r="AG5941">
        <v>-1.154765</v>
      </c>
      <c r="AH5941">
        <v>121.11462614746701</v>
      </c>
      <c r="AI5941">
        <v>90.513048337861903</v>
      </c>
      <c r="AJ5941">
        <v>110.08519204271801</v>
      </c>
      <c r="AK5941">
        <v>128.96259499542001</v>
      </c>
    </row>
    <row r="5942" spans="1:37" x14ac:dyDescent="0.2">
      <c r="A5942" t="str">
        <f>"20200111155716946"</f>
        <v>20200111155716946</v>
      </c>
      <c r="B5942" t="str">
        <f>"1578729436938808"</f>
        <v>1578729436938808</v>
      </c>
      <c r="C5942" t="s">
        <v>37</v>
      </c>
      <c r="D5942">
        <v>4.3330419999999998</v>
      </c>
      <c r="E5942">
        <v>0.41008739999999999</v>
      </c>
      <c r="F5942" t="s">
        <v>75</v>
      </c>
      <c r="G5942">
        <v>-191.39779999999999</v>
      </c>
      <c r="H5942" s="1">
        <v>-4.3480639999999998E-6</v>
      </c>
      <c r="I5942">
        <v>-44.827620000000003</v>
      </c>
      <c r="J5942">
        <v>-282.10910000000001</v>
      </c>
      <c r="K5942">
        <v>1.1046279999999999</v>
      </c>
      <c r="L5942">
        <v>-61.276490000000003</v>
      </c>
      <c r="M5942">
        <v>0.983739899999999</v>
      </c>
      <c r="N5942">
        <v>0</v>
      </c>
      <c r="O5942">
        <v>-0.179175799999999</v>
      </c>
      <c r="P5942">
        <v>0.99836429999999998</v>
      </c>
      <c r="Q5942">
        <v>3.3418829999999997E-2</v>
      </c>
      <c r="R5942">
        <v>-4.6389350000000003E-2</v>
      </c>
      <c r="S5942">
        <v>3.0335999999999999</v>
      </c>
      <c r="T5942">
        <v>-3.6867980000000002E-2</v>
      </c>
      <c r="U5942">
        <v>0.54776000000000002</v>
      </c>
      <c r="V5942">
        <v>-0.13322029999999899</v>
      </c>
      <c r="W5942">
        <v>4.5738769999999998E-2</v>
      </c>
      <c r="X5942">
        <v>0.99003050000000004</v>
      </c>
      <c r="Y5942">
        <v>-0.3511146</v>
      </c>
      <c r="Z5942">
        <v>4.2765019999999997E-3</v>
      </c>
      <c r="AA5942">
        <v>0.93632269999999895</v>
      </c>
      <c r="AB5942">
        <v>20</v>
      </c>
      <c r="AC5942">
        <v>90.711299999999994</v>
      </c>
      <c r="AD5942">
        <v>-1.1046323480639999</v>
      </c>
      <c r="AE5942">
        <v>16.448869999999999</v>
      </c>
      <c r="AF5942">
        <v>-32.432485909616503</v>
      </c>
      <c r="AG5942">
        <v>-1.1046323480639999</v>
      </c>
      <c r="AH5942">
        <v>86.283249996138494</v>
      </c>
      <c r="AI5942">
        <v>90.686586632351705</v>
      </c>
      <c r="AJ5942">
        <v>110.600433115212</v>
      </c>
      <c r="AK5942">
        <v>92.183976833276205</v>
      </c>
    </row>
    <row r="5943" spans="1:37" x14ac:dyDescent="0.2">
      <c r="A5943" t="str">
        <f>"20200111155716957"</f>
        <v>20200111155716957</v>
      </c>
      <c r="B5943" t="str">
        <f>"1578729436949078"</f>
        <v>1578729436949078</v>
      </c>
      <c r="C5943" t="s">
        <v>37</v>
      </c>
      <c r="D5943">
        <v>4.2960070000000004</v>
      </c>
      <c r="E5943">
        <v>0.40857850000000001</v>
      </c>
      <c r="F5943" t="s">
        <v>44</v>
      </c>
      <c r="G5943">
        <v>-168.45060000000001</v>
      </c>
      <c r="H5943">
        <v>0.82368850000000005</v>
      </c>
      <c r="I5943">
        <v>-39.461729999999903</v>
      </c>
      <c r="J5943">
        <v>-282.01</v>
      </c>
      <c r="K5943">
        <v>1.1045750000000001</v>
      </c>
      <c r="L5943">
        <v>-61.294559999999997</v>
      </c>
      <c r="M5943">
        <v>0.98373029999999995</v>
      </c>
      <c r="N5943">
        <v>0</v>
      </c>
      <c r="O5943">
        <v>-0.1792425</v>
      </c>
      <c r="P5943">
        <v>0.99835359999999995</v>
      </c>
      <c r="Q5943">
        <v>3.4909040000000002E-2</v>
      </c>
      <c r="R5943">
        <v>-4.5517380000000003E-2</v>
      </c>
      <c r="S5943">
        <v>3.0321660000000001</v>
      </c>
      <c r="T5943">
        <v>-7.4954030000000003E-3</v>
      </c>
      <c r="U5943">
        <v>0.58197019999999899</v>
      </c>
      <c r="V5943">
        <v>-0.1341379</v>
      </c>
      <c r="W5943">
        <v>4.703628E-2</v>
      </c>
      <c r="X5943">
        <v>0.9898458</v>
      </c>
      <c r="Y5943">
        <v>-0.36147950000000001</v>
      </c>
      <c r="Z5943">
        <v>8.8194110000000005E-4</v>
      </c>
      <c r="AA5943">
        <v>0.93237959999999998</v>
      </c>
      <c r="AB5943">
        <v>20</v>
      </c>
      <c r="AC5943">
        <v>113.559399999999</v>
      </c>
      <c r="AD5943">
        <v>-0.28088649999999998</v>
      </c>
      <c r="AE5943">
        <v>21.832830000000001</v>
      </c>
      <c r="AF5943">
        <v>-41.835111643386497</v>
      </c>
      <c r="AG5943">
        <v>-0.28088649999999998</v>
      </c>
      <c r="AH5943">
        <v>107.805730065238</v>
      </c>
      <c r="AI5943">
        <v>90.139171519420998</v>
      </c>
      <c r="AJ5943">
        <v>111.20925025303799</v>
      </c>
      <c r="AK5943">
        <v>115.638794953681</v>
      </c>
    </row>
    <row r="5944" spans="1:37" x14ac:dyDescent="0.2">
      <c r="A5944" t="str">
        <f>"20200111155716968"</f>
        <v>20200111155716968</v>
      </c>
      <c r="B5944" t="str">
        <f>"1578729436958838"</f>
        <v>1578729436958838</v>
      </c>
      <c r="C5944" t="s">
        <v>37</v>
      </c>
      <c r="D5944">
        <v>4.3037919999999996</v>
      </c>
      <c r="E5944">
        <v>0.40805789999999997</v>
      </c>
      <c r="F5944" t="s">
        <v>44</v>
      </c>
      <c r="G5944">
        <v>-168.45060000000001</v>
      </c>
      <c r="H5944">
        <v>1.697227</v>
      </c>
      <c r="I5944">
        <v>-38.959449999999997</v>
      </c>
      <c r="J5944">
        <v>-281.91699999999997</v>
      </c>
      <c r="K5944">
        <v>1.1045389999999999</v>
      </c>
      <c r="L5944">
        <v>-61.311579999999999</v>
      </c>
      <c r="M5944">
        <v>0.98371609999999998</v>
      </c>
      <c r="N5944">
        <v>0</v>
      </c>
      <c r="O5944">
        <v>-0.17933460000000001</v>
      </c>
      <c r="P5944">
        <v>0.99830180000000002</v>
      </c>
      <c r="Q5944">
        <v>3.6647350000000002E-2</v>
      </c>
      <c r="R5944">
        <v>-4.528604E-2</v>
      </c>
      <c r="S5944">
        <v>3.031555</v>
      </c>
      <c r="T5944">
        <v>1.582074E-2</v>
      </c>
      <c r="U5944">
        <v>0.59625240000000002</v>
      </c>
      <c r="V5944">
        <v>-0.13444719999999999</v>
      </c>
      <c r="W5944">
        <v>4.8559459999999999E-2</v>
      </c>
      <c r="X5944">
        <v>0.9897302</v>
      </c>
      <c r="Y5944">
        <v>-0.36582439999999999</v>
      </c>
      <c r="Z5944">
        <v>-1.872865E-3</v>
      </c>
      <c r="AA5944">
        <v>0.93068200000000001</v>
      </c>
      <c r="AB5944">
        <v>20</v>
      </c>
      <c r="AC5944">
        <v>113.46639999999999</v>
      </c>
      <c r="AD5944">
        <v>0.59268799999999999</v>
      </c>
      <c r="AE5944">
        <v>22.352129999999999</v>
      </c>
      <c r="AF5944">
        <v>-42.3384901986473</v>
      </c>
      <c r="AG5944">
        <v>0.59268799999999999</v>
      </c>
      <c r="AH5944">
        <v>107.615014573913</v>
      </c>
      <c r="AI5944">
        <v>89.706355555947695</v>
      </c>
      <c r="AJ5944">
        <v>111.475941080795</v>
      </c>
      <c r="AK5944">
        <v>115.64553771378201</v>
      </c>
    </row>
    <row r="5945" spans="1:37" x14ac:dyDescent="0.2">
      <c r="A5945" t="str">
        <f>"20200111155716980"</f>
        <v>20200111155716980</v>
      </c>
      <c r="B5945" t="str">
        <f>"1578729436969573"</f>
        <v>1578729436969573</v>
      </c>
      <c r="C5945" t="s">
        <v>37</v>
      </c>
      <c r="D5945">
        <v>4.5266409999999997</v>
      </c>
      <c r="E5945">
        <v>0.40833619999999998</v>
      </c>
      <c r="F5945" t="s">
        <v>44</v>
      </c>
      <c r="G5945">
        <v>-168.45060000000001</v>
      </c>
      <c r="H5945">
        <v>1.9795450000000001</v>
      </c>
      <c r="I5945">
        <v>-38.809730000000002</v>
      </c>
      <c r="J5945">
        <v>-281.81549999999999</v>
      </c>
      <c r="K5945">
        <v>1.1045039999999999</v>
      </c>
      <c r="L5945">
        <v>-61.330199999999998</v>
      </c>
      <c r="M5945">
        <v>0.98370029999999997</v>
      </c>
      <c r="N5945">
        <v>0</v>
      </c>
      <c r="O5945">
        <v>-0.17943809999999999</v>
      </c>
      <c r="P5945">
        <v>0.99823799999999996</v>
      </c>
      <c r="Q5945">
        <v>3.8232370000000002E-2</v>
      </c>
      <c r="R5945">
        <v>-4.5381989999999997E-2</v>
      </c>
      <c r="S5945">
        <v>3.031555</v>
      </c>
      <c r="T5945">
        <v>2.3377539999999999E-2</v>
      </c>
      <c r="U5945">
        <v>0.60119630000000002</v>
      </c>
      <c r="V5945">
        <v>-0.13444300000000001</v>
      </c>
      <c r="W5945">
        <v>4.9904419999999998E-2</v>
      </c>
      <c r="X5945">
        <v>0.98966390000000004</v>
      </c>
      <c r="Y5945">
        <v>-0.36737359999999902</v>
      </c>
      <c r="Z5945">
        <v>-2.7737359999999902E-3</v>
      </c>
      <c r="AA5945">
        <v>0.93006929999999999</v>
      </c>
      <c r="AB5945">
        <v>20</v>
      </c>
      <c r="AC5945">
        <v>113.364899999999</v>
      </c>
      <c r="AD5945">
        <v>0.87504099999999996</v>
      </c>
      <c r="AE5945">
        <v>22.52047</v>
      </c>
      <c r="AF5945">
        <v>-42.495822937244903</v>
      </c>
      <c r="AG5945">
        <v>0.87504099999999996</v>
      </c>
      <c r="AH5945">
        <v>107.477187775212</v>
      </c>
      <c r="AI5945">
        <v>89.566205183989197</v>
      </c>
      <c r="AJ5945">
        <v>111.573539369489</v>
      </c>
      <c r="AK5945">
        <v>115.57684264563299</v>
      </c>
    </row>
    <row r="5946" spans="1:37" x14ac:dyDescent="0.2">
      <c r="A5946" t="str">
        <f>"20200111155716991"</f>
        <v>20200111155716991</v>
      </c>
      <c r="B5946" t="str">
        <f>"1578729436979334"</f>
        <v>1578729436979334</v>
      </c>
      <c r="C5946" t="s">
        <v>37</v>
      </c>
      <c r="D5946">
        <v>4.4569910000000004</v>
      </c>
      <c r="E5946">
        <v>0.40902050000000001</v>
      </c>
      <c r="F5946" t="s">
        <v>44</v>
      </c>
      <c r="G5946">
        <v>-168.45060000000001</v>
      </c>
      <c r="H5946">
        <v>1.923189</v>
      </c>
      <c r="I5946">
        <v>-38.928339999999999</v>
      </c>
      <c r="J5946">
        <v>-281.71800000000002</v>
      </c>
      <c r="K5946">
        <v>1.1044849999999999</v>
      </c>
      <c r="L5946">
        <v>-61.348080000000003</v>
      </c>
      <c r="M5946">
        <v>0.98368409999999995</v>
      </c>
      <c r="N5946">
        <v>0</v>
      </c>
      <c r="O5946">
        <v>-0.1795427</v>
      </c>
      <c r="P5946">
        <v>0.998150599999999</v>
      </c>
      <c r="Q5946">
        <v>4.005769E-2</v>
      </c>
      <c r="R5946">
        <v>-4.5728369999999997E-2</v>
      </c>
      <c r="S5946">
        <v>3.0317080000000001</v>
      </c>
      <c r="T5946">
        <v>2.18935E-2</v>
      </c>
      <c r="U5946">
        <v>0.59909060000000003</v>
      </c>
      <c r="V5946">
        <v>-0.13419249999999999</v>
      </c>
      <c r="W5946">
        <v>5.1471669999999997E-2</v>
      </c>
      <c r="X5946">
        <v>0.98961759999999999</v>
      </c>
      <c r="Y5946">
        <v>-0.36684319999999998</v>
      </c>
      <c r="Z5946">
        <v>-2.5965300000000001E-3</v>
      </c>
      <c r="AA5946">
        <v>0.93027909999999903</v>
      </c>
      <c r="AB5946">
        <v>20</v>
      </c>
      <c r="AC5946">
        <v>113.26739999999999</v>
      </c>
      <c r="AD5946">
        <v>0.81870399999999999</v>
      </c>
      <c r="AE5946">
        <v>22.419740000000001</v>
      </c>
      <c r="AF5946">
        <v>-42.390901226378801</v>
      </c>
      <c r="AG5946">
        <v>0.81870399999999999</v>
      </c>
      <c r="AH5946">
        <v>107.395622286254</v>
      </c>
      <c r="AI5946">
        <v>89.593730680987306</v>
      </c>
      <c r="AJ5946">
        <v>111.54000309963899</v>
      </c>
      <c r="AK5946">
        <v>115.462021761599</v>
      </c>
    </row>
    <row r="5947" spans="1:37" x14ac:dyDescent="0.2">
      <c r="A5947" t="str">
        <f>"20200111155717002"</f>
        <v>20200111155717002</v>
      </c>
      <c r="B5947" t="str">
        <f>"1578729436998854"</f>
        <v>1578729436998854</v>
      </c>
      <c r="C5947" t="s">
        <v>37</v>
      </c>
      <c r="D5947">
        <v>4.399508</v>
      </c>
      <c r="E5947">
        <v>0.4109524</v>
      </c>
      <c r="F5947" t="s">
        <v>44</v>
      </c>
      <c r="G5947">
        <v>-168.45060000000001</v>
      </c>
      <c r="H5947">
        <v>2.0071509999999999</v>
      </c>
      <c r="I5947">
        <v>-39.198090000000001</v>
      </c>
      <c r="J5947">
        <v>-281.61810000000003</v>
      </c>
      <c r="K5947">
        <v>1.1044719999999999</v>
      </c>
      <c r="L5947">
        <v>-61.366419999999998</v>
      </c>
      <c r="M5947">
        <v>0.98366889999999996</v>
      </c>
      <c r="N5947">
        <v>0</v>
      </c>
      <c r="O5947">
        <v>-0.17964269999999999</v>
      </c>
      <c r="P5947">
        <v>0.99802559999999996</v>
      </c>
      <c r="Q5947">
        <v>4.2273499999999999E-2</v>
      </c>
      <c r="R5947">
        <v>-4.6456419999999998E-2</v>
      </c>
      <c r="S5947">
        <v>3.0317080000000001</v>
      </c>
      <c r="T5947">
        <v>2.4160149999999998E-2</v>
      </c>
      <c r="U5947">
        <v>0.59286499999999998</v>
      </c>
      <c r="V5947">
        <v>-0.13355500000000001</v>
      </c>
      <c r="W5947">
        <v>5.3418300000000002E-2</v>
      </c>
      <c r="X5947">
        <v>0.9896007</v>
      </c>
      <c r="Y5947">
        <v>-0.36509439999999999</v>
      </c>
      <c r="Z5947">
        <v>-2.8597200000000001E-3</v>
      </c>
      <c r="AA5947">
        <v>0.93096610000000002</v>
      </c>
      <c r="AB5947">
        <v>20</v>
      </c>
      <c r="AC5947">
        <v>113.1675</v>
      </c>
      <c r="AD5947">
        <v>0.90267900000000001</v>
      </c>
      <c r="AE5947">
        <v>22.168329999999902</v>
      </c>
      <c r="AF5947">
        <v>-42.136042812648803</v>
      </c>
      <c r="AG5947">
        <v>0.90267900000000001</v>
      </c>
      <c r="AH5947">
        <v>107.3370499797</v>
      </c>
      <c r="AI5947">
        <v>89.551486670268403</v>
      </c>
      <c r="AJ5947">
        <v>111.432898419297</v>
      </c>
      <c r="AK5947">
        <v>115.314800574909</v>
      </c>
    </row>
    <row r="5948" spans="1:37" x14ac:dyDescent="0.2">
      <c r="A5948" t="str">
        <f>"20200111155717014"</f>
        <v>20200111155717014</v>
      </c>
      <c r="B5948" t="str">
        <f>"1578729437009590"</f>
        <v>1578729437009590</v>
      </c>
      <c r="C5948" t="s">
        <v>37</v>
      </c>
      <c r="D5948">
        <v>4.4427129999999897</v>
      </c>
      <c r="E5948">
        <v>0.41175709999999999</v>
      </c>
      <c r="F5948" t="s">
        <v>44</v>
      </c>
      <c r="G5948">
        <v>-168.45060000000001</v>
      </c>
      <c r="H5948">
        <v>1.95868</v>
      </c>
      <c r="I5948">
        <v>-39.880020000000002</v>
      </c>
      <c r="J5948">
        <v>-281.51479999999998</v>
      </c>
      <c r="K5948">
        <v>1.1044700000000001</v>
      </c>
      <c r="L5948">
        <v>-61.385379999999998</v>
      </c>
      <c r="M5948">
        <v>0.98365550000000002</v>
      </c>
      <c r="N5948">
        <v>0</v>
      </c>
      <c r="O5948">
        <v>-0.1797338</v>
      </c>
      <c r="P5948">
        <v>0.99787739999999903</v>
      </c>
      <c r="Q5948">
        <v>4.4361989999999997E-2</v>
      </c>
      <c r="R5948">
        <v>-4.7677289999999997E-2</v>
      </c>
      <c r="S5948">
        <v>3.0317689999999899</v>
      </c>
      <c r="T5948">
        <v>2.2883770000000001E-2</v>
      </c>
      <c r="U5948">
        <v>0.57562259999999998</v>
      </c>
      <c r="V5948">
        <v>-0.1324217</v>
      </c>
      <c r="W5948">
        <v>5.5220940000000003E-2</v>
      </c>
      <c r="X5948">
        <v>0.98965409999999998</v>
      </c>
      <c r="Y5948">
        <v>-0.360068099999999</v>
      </c>
      <c r="Z5948">
        <v>-2.6917409999999901E-3</v>
      </c>
      <c r="AA5948">
        <v>0.93292209999999998</v>
      </c>
      <c r="AB5948">
        <v>20</v>
      </c>
      <c r="AC5948">
        <v>113.064199999999</v>
      </c>
      <c r="AD5948">
        <v>0.85420999999999903</v>
      </c>
      <c r="AE5948">
        <v>21.50536</v>
      </c>
      <c r="AF5948">
        <v>-41.475478563725098</v>
      </c>
      <c r="AG5948">
        <v>0.85420999999999903</v>
      </c>
      <c r="AH5948">
        <v>107.351382289228</v>
      </c>
      <c r="AI5948">
        <v>89.574733711114604</v>
      </c>
      <c r="AJ5948">
        <v>111.124165643739</v>
      </c>
      <c r="AK5948">
        <v>115.088071824243</v>
      </c>
    </row>
    <row r="5949" spans="1:37" x14ac:dyDescent="0.2">
      <c r="A5949" t="str">
        <f>"20200111155717025"</f>
        <v>20200111155717025</v>
      </c>
      <c r="B5949" t="str">
        <f>"1578729437019349"</f>
        <v>1578729437019349</v>
      </c>
      <c r="C5949" t="s">
        <v>37</v>
      </c>
      <c r="D5949">
        <v>4.537032</v>
      </c>
      <c r="E5949">
        <v>0.41223329999999903</v>
      </c>
      <c r="F5949" t="s">
        <v>44</v>
      </c>
      <c r="G5949">
        <v>-168.45060000000001</v>
      </c>
      <c r="H5949">
        <v>2.0063049999999998</v>
      </c>
      <c r="I5949">
        <v>-40.293419999999998</v>
      </c>
      <c r="J5949">
        <v>-281.4187</v>
      </c>
      <c r="K5949">
        <v>1.104481</v>
      </c>
      <c r="L5949">
        <v>-61.403019999999998</v>
      </c>
      <c r="M5949">
        <v>0.98364779999999996</v>
      </c>
      <c r="N5949">
        <v>0</v>
      </c>
      <c r="O5949">
        <v>-0.17979039999999999</v>
      </c>
      <c r="P5949">
        <v>0.99775219999999898</v>
      </c>
      <c r="Q5949">
        <v>4.5872209999999997E-2</v>
      </c>
      <c r="R5949">
        <v>-4.8850079999999997E-2</v>
      </c>
      <c r="S5949">
        <v>3.0323180000000001</v>
      </c>
      <c r="T5949">
        <v>2.418613E-2</v>
      </c>
      <c r="U5949">
        <v>0.5656738</v>
      </c>
      <c r="V5949">
        <v>-0.13130629999999999</v>
      </c>
      <c r="W5949">
        <v>5.645973E-2</v>
      </c>
      <c r="X5949">
        <v>0.98973269999999902</v>
      </c>
      <c r="Y5949">
        <v>-0.35713089999999997</v>
      </c>
      <c r="Z5949">
        <v>-2.8340009999999901E-3</v>
      </c>
      <c r="AA5949">
        <v>0.93405009999999999</v>
      </c>
      <c r="AB5949">
        <v>20</v>
      </c>
      <c r="AC5949">
        <v>112.96810000000001</v>
      </c>
      <c r="AD5949">
        <v>0.90182399999999896</v>
      </c>
      <c r="AE5949">
        <v>21.1096</v>
      </c>
      <c r="AF5949">
        <v>-41.074771151415497</v>
      </c>
      <c r="AG5949">
        <v>0.90182399999999896</v>
      </c>
      <c r="AH5949">
        <v>107.324943893786</v>
      </c>
      <c r="AI5949">
        <v>89.550371873778801</v>
      </c>
      <c r="AJ5949">
        <v>110.942553985576</v>
      </c>
      <c r="AK5949">
        <v>114.919944715756</v>
      </c>
    </row>
    <row r="5950" spans="1:37" x14ac:dyDescent="0.2">
      <c r="A5950" t="str">
        <f>"20200111155717035"</f>
        <v>20200111155717035</v>
      </c>
      <c r="B5950" t="str">
        <f>"1578729437029109"</f>
        <v>1578729437029109</v>
      </c>
      <c r="C5950" t="s">
        <v>37</v>
      </c>
      <c r="D5950">
        <v>5.8666299999999998</v>
      </c>
      <c r="E5950">
        <v>0.4139024</v>
      </c>
      <c r="F5950" t="s">
        <v>44</v>
      </c>
      <c r="G5950">
        <v>-168.45060000000001</v>
      </c>
      <c r="H5950">
        <v>2.11193699999999</v>
      </c>
      <c r="I5950">
        <v>-40.602200000000003</v>
      </c>
      <c r="J5950">
        <v>-281.32069999999999</v>
      </c>
      <c r="K5950">
        <v>1.1044940000000001</v>
      </c>
      <c r="L5950">
        <v>-61.420990000000003</v>
      </c>
      <c r="M5950">
        <v>0.9836435</v>
      </c>
      <c r="N5950">
        <v>0</v>
      </c>
      <c r="O5950">
        <v>-0.1798302</v>
      </c>
      <c r="P5950">
        <v>0.99761710000000003</v>
      </c>
      <c r="Q5950">
        <v>4.7188439999999998E-2</v>
      </c>
      <c r="R5950">
        <v>-5.0333620000000003E-2</v>
      </c>
      <c r="S5950">
        <v>3.032867</v>
      </c>
      <c r="T5950">
        <v>2.704668E-2</v>
      </c>
      <c r="U5950">
        <v>0.55844119999999997</v>
      </c>
      <c r="V5950">
        <v>-0.1298685</v>
      </c>
      <c r="W5950">
        <v>5.7497550000000001E-2</v>
      </c>
      <c r="X5950">
        <v>0.98986269999999998</v>
      </c>
      <c r="Y5950">
        <v>-0.35497909999999999</v>
      </c>
      <c r="Z5950">
        <v>-3.1600359999999902E-3</v>
      </c>
      <c r="AA5950">
        <v>0.9348689</v>
      </c>
      <c r="AB5950">
        <v>20</v>
      </c>
      <c r="AC5950">
        <v>112.870099999999</v>
      </c>
      <c r="AD5950">
        <v>1.0074429999999901</v>
      </c>
      <c r="AE5950">
        <v>20.81879</v>
      </c>
      <c r="AF5950">
        <v>-40.774751348749803</v>
      </c>
      <c r="AG5950">
        <v>1.0074429999999901</v>
      </c>
      <c r="AH5950">
        <v>107.27754422661999</v>
      </c>
      <c r="AI5950">
        <v>89.497053568101506</v>
      </c>
      <c r="AJ5950">
        <v>110.811123965863</v>
      </c>
      <c r="AK5950">
        <v>114.769624832728</v>
      </c>
    </row>
    <row r="5951" spans="1:37" x14ac:dyDescent="0.2">
      <c r="A5951" t="str">
        <f>"20200111155717047"</f>
        <v>20200111155717047</v>
      </c>
      <c r="B5951" t="str">
        <f>"1578729437038871"</f>
        <v>1578729437038871</v>
      </c>
      <c r="C5951" t="s">
        <v>37</v>
      </c>
      <c r="D5951">
        <v>4.6823790000000001</v>
      </c>
      <c r="E5951">
        <v>0.4139024</v>
      </c>
      <c r="F5951" t="s">
        <v>44</v>
      </c>
      <c r="G5951">
        <v>-157.3501</v>
      </c>
      <c r="H5951">
        <v>2.2758430000000001</v>
      </c>
      <c r="I5951">
        <v>-39.319130000000001</v>
      </c>
      <c r="J5951">
        <v>-281.22129999999999</v>
      </c>
      <c r="K5951">
        <v>1.1045180000000001</v>
      </c>
      <c r="L5951">
        <v>-61.439149999999998</v>
      </c>
      <c r="M5951">
        <v>0.98365000000000002</v>
      </c>
      <c r="N5951">
        <v>0</v>
      </c>
      <c r="O5951">
        <v>-0.17980950000000001</v>
      </c>
      <c r="P5951">
        <v>0.99750849999999902</v>
      </c>
      <c r="Q5951">
        <v>4.7631809999999997E-2</v>
      </c>
      <c r="R5951">
        <v>-5.2038359999999999E-2</v>
      </c>
      <c r="S5951">
        <v>3.0330509999999999</v>
      </c>
      <c r="T5951">
        <v>2.8657559999999999E-2</v>
      </c>
      <c r="U5951">
        <v>0.54074100000000003</v>
      </c>
      <c r="V5951">
        <v>-0.128159</v>
      </c>
      <c r="W5951">
        <v>5.7644649999999999E-2</v>
      </c>
      <c r="X5951">
        <v>0.99007699999999998</v>
      </c>
      <c r="Y5951">
        <v>-0.34965859999999999</v>
      </c>
      <c r="Z5951">
        <v>-3.3244099999999999E-3</v>
      </c>
      <c r="AA5951">
        <v>0.93687129999999996</v>
      </c>
      <c r="AB5951">
        <v>20</v>
      </c>
      <c r="AC5951">
        <v>123.8712</v>
      </c>
      <c r="AD5951">
        <v>1.1713249999999999</v>
      </c>
      <c r="AE5951">
        <v>22.12002</v>
      </c>
      <c r="AF5951">
        <v>-44.029989531270701</v>
      </c>
      <c r="AG5951">
        <v>1.1713249999999999</v>
      </c>
      <c r="AH5951">
        <v>117.864268751079</v>
      </c>
      <c r="AI5951">
        <v>89.4666178751676</v>
      </c>
      <c r="AJ5951">
        <v>110.483938661983</v>
      </c>
      <c r="AK5951">
        <v>125.825267051598</v>
      </c>
    </row>
    <row r="5952" spans="1:37" x14ac:dyDescent="0.2">
      <c r="A5952" t="str">
        <f>"20200111155717057"</f>
        <v>20200111155717057</v>
      </c>
      <c r="B5952" t="str">
        <f>"1578729437048630"</f>
        <v>1578729437048630</v>
      </c>
      <c r="C5952" t="s">
        <v>37</v>
      </c>
      <c r="D5952">
        <v>4.551914</v>
      </c>
      <c r="E5952">
        <v>0.48865340000000002</v>
      </c>
      <c r="F5952" t="s">
        <v>44</v>
      </c>
      <c r="G5952">
        <v>-157.3501</v>
      </c>
      <c r="H5952">
        <v>2.3240319999999999</v>
      </c>
      <c r="I5952">
        <v>-39.574950000000001</v>
      </c>
      <c r="J5952">
        <v>-281.1266</v>
      </c>
      <c r="K5952">
        <v>1.1045399999999901</v>
      </c>
      <c r="L5952">
        <v>-61.456479999999999</v>
      </c>
      <c r="M5952">
        <v>0.98365930000000001</v>
      </c>
      <c r="N5952">
        <v>0</v>
      </c>
      <c r="O5952">
        <v>-0.17977399999999999</v>
      </c>
      <c r="P5952">
        <v>0.99741569999999902</v>
      </c>
      <c r="Q5952">
        <v>4.7722349999999997E-2</v>
      </c>
      <c r="R5952">
        <v>-5.3708840000000001E-2</v>
      </c>
      <c r="S5952">
        <v>3.0339969999999998</v>
      </c>
      <c r="T5952">
        <v>2.9869199999999999E-2</v>
      </c>
      <c r="U5952">
        <v>0.53552250000000001</v>
      </c>
      <c r="V5952">
        <v>-0.1264711</v>
      </c>
      <c r="W5952">
        <v>5.7449470000000002E-2</v>
      </c>
      <c r="X5952">
        <v>0.99030529999999894</v>
      </c>
      <c r="Y5952">
        <v>-0.34800910000000002</v>
      </c>
      <c r="Z5952">
        <v>-3.4559359999999902E-3</v>
      </c>
      <c r="AA5952">
        <v>0.93748480000000001</v>
      </c>
      <c r="AB5952">
        <v>20</v>
      </c>
      <c r="AC5952">
        <v>123.7765</v>
      </c>
      <c r="AD5952">
        <v>1.219492</v>
      </c>
      <c r="AE5952">
        <v>21.881530000000001</v>
      </c>
      <c r="AF5952">
        <v>-43.773741291146699</v>
      </c>
      <c r="AG5952">
        <v>1.219492</v>
      </c>
      <c r="AH5952">
        <v>117.81472310023899</v>
      </c>
      <c r="AI5952">
        <v>89.444085221827905</v>
      </c>
      <c r="AJ5952">
        <v>110.382412499678</v>
      </c>
      <c r="AK5952">
        <v>125.689842734202</v>
      </c>
    </row>
    <row r="5953" spans="1:37" x14ac:dyDescent="0.2">
      <c r="A5953" t="str">
        <f>"20200111155717069"</f>
        <v>20200111155717069</v>
      </c>
      <c r="B5953" t="str">
        <f>"1578729437059367"</f>
        <v>1578729437059367</v>
      </c>
      <c r="C5953" t="s">
        <v>37</v>
      </c>
      <c r="D5953">
        <v>4.6693939999999996</v>
      </c>
      <c r="E5953">
        <v>0.49917410000000001</v>
      </c>
      <c r="F5953" t="s">
        <v>97</v>
      </c>
      <c r="G5953">
        <v>-252.3382</v>
      </c>
      <c r="H5953" s="1">
        <v>-5.0298670000000003E-7</v>
      </c>
      <c r="I5953">
        <v>-62.019500000000001</v>
      </c>
      <c r="J5953">
        <v>-281.02330000000001</v>
      </c>
      <c r="K5953">
        <v>1.104576</v>
      </c>
      <c r="L5953">
        <v>-61.475279999999998</v>
      </c>
      <c r="M5953">
        <v>0.9836876</v>
      </c>
      <c r="N5953">
        <v>0</v>
      </c>
      <c r="O5953">
        <v>-0.17963519999999999</v>
      </c>
      <c r="P5953">
        <v>0.99733689999999997</v>
      </c>
      <c r="Q5953">
        <v>4.7646139999999997E-2</v>
      </c>
      <c r="R5953">
        <v>-5.5218440000000001E-2</v>
      </c>
      <c r="S5953">
        <v>3.0101009999999899</v>
      </c>
      <c r="T5953">
        <v>-0.1154901</v>
      </c>
      <c r="U5953">
        <v>-5.8868410000000003E-2</v>
      </c>
      <c r="V5953">
        <v>-0.12484239999999899</v>
      </c>
      <c r="W5953">
        <v>5.7042429999999998E-2</v>
      </c>
      <c r="X5953">
        <v>0.99053549999999901</v>
      </c>
      <c r="Y5953">
        <v>-0.1601252</v>
      </c>
      <c r="Z5953">
        <v>9.9283710000000001E-3</v>
      </c>
      <c r="AA5953">
        <v>0.9870468</v>
      </c>
      <c r="AB5953">
        <v>20</v>
      </c>
      <c r="AC5953">
        <v>28.685099999999998</v>
      </c>
      <c r="AD5953">
        <v>-1.1045765029866901</v>
      </c>
      <c r="AE5953">
        <v>-0.54421999999999504</v>
      </c>
      <c r="AF5953">
        <v>-4.6108842814724103</v>
      </c>
      <c r="AG5953">
        <v>-1.1045765029866901</v>
      </c>
      <c r="AH5953">
        <v>28.274301402553601</v>
      </c>
      <c r="AI5953">
        <v>92.208066248617996</v>
      </c>
      <c r="AJ5953">
        <v>99.262084607157107</v>
      </c>
      <c r="AK5953">
        <v>28.6690854913533</v>
      </c>
    </row>
    <row r="5954" spans="1:37" x14ac:dyDescent="0.2">
      <c r="A5954" t="str">
        <f>"20200111155717080"</f>
        <v>20200111155717080</v>
      </c>
      <c r="B5954" t="str">
        <f>"1578729437069128"</f>
        <v>1578729437069128</v>
      </c>
      <c r="C5954" t="s">
        <v>37</v>
      </c>
      <c r="D5954">
        <v>4.5477270000000001</v>
      </c>
      <c r="E5954">
        <v>0.50583750000000005</v>
      </c>
      <c r="F5954" t="s">
        <v>97</v>
      </c>
      <c r="G5954">
        <v>-252.72229999999999</v>
      </c>
      <c r="H5954" s="1">
        <v>-8.5508219999999999E-7</v>
      </c>
      <c r="I5954">
        <v>-62.861840000000001</v>
      </c>
      <c r="J5954">
        <v>-280.92140000000001</v>
      </c>
      <c r="K5954">
        <v>1.1046129999999901</v>
      </c>
      <c r="L5954">
        <v>-61.493769999999998</v>
      </c>
      <c r="M5954">
        <v>0.98372090000000001</v>
      </c>
      <c r="N5954">
        <v>0</v>
      </c>
      <c r="O5954">
        <v>-0.1794694</v>
      </c>
      <c r="P5954">
        <v>0.99726930000000003</v>
      </c>
      <c r="Q5954">
        <v>4.7647349999999998E-2</v>
      </c>
      <c r="R5954">
        <v>-5.6425910000000003E-2</v>
      </c>
      <c r="S5954">
        <v>3.0054630000000002</v>
      </c>
      <c r="T5954">
        <v>-0.11730209999999899</v>
      </c>
      <c r="U5954">
        <v>-0.1472473</v>
      </c>
      <c r="V5954">
        <v>-0.1234866</v>
      </c>
      <c r="W5954">
        <v>5.6713960000000001E-2</v>
      </c>
      <c r="X5954">
        <v>0.9907243</v>
      </c>
      <c r="Y5954">
        <v>-0.1308879</v>
      </c>
      <c r="Z5954">
        <v>9.5134899999999994E-3</v>
      </c>
      <c r="AA5954">
        <v>0.99135149999999905</v>
      </c>
      <c r="AB5954">
        <v>20</v>
      </c>
      <c r="AC5954">
        <v>28.199100000000001</v>
      </c>
      <c r="AD5954">
        <v>-1.10461385508219</v>
      </c>
      <c r="AE5954">
        <v>-1.3680699999999999</v>
      </c>
      <c r="AF5954">
        <v>-3.7095536811728298</v>
      </c>
      <c r="AG5954">
        <v>-1.10461385508219</v>
      </c>
      <c r="AH5954">
        <v>27.9439674442817</v>
      </c>
      <c r="AI5954">
        <v>92.244034665643994</v>
      </c>
      <c r="AJ5954">
        <v>97.561786011169701</v>
      </c>
      <c r="AK5954">
        <v>28.2107475407763</v>
      </c>
    </row>
    <row r="5955" spans="1:37" x14ac:dyDescent="0.2">
      <c r="A5955" t="str">
        <f>"20200111155717091"</f>
        <v>20200111155717091</v>
      </c>
      <c r="B5955" t="str">
        <f>"1578729437088646"</f>
        <v>1578729437088646</v>
      </c>
      <c r="C5955" t="s">
        <v>37</v>
      </c>
      <c r="D5955">
        <v>4.7197589999999998</v>
      </c>
      <c r="E5955">
        <v>0.51236459999999995</v>
      </c>
      <c r="F5955" t="s">
        <v>97</v>
      </c>
      <c r="G5955">
        <v>-252.613</v>
      </c>
      <c r="H5955" s="1">
        <v>-9.3191550000000003E-7</v>
      </c>
      <c r="I5955">
        <v>-63.418280000000003</v>
      </c>
      <c r="J5955">
        <v>-280.81970000000001</v>
      </c>
      <c r="K5955">
        <v>1.10466</v>
      </c>
      <c r="L5955">
        <v>-61.512149999999998</v>
      </c>
      <c r="M5955">
        <v>0.98377190000000003</v>
      </c>
      <c r="N5955">
        <v>0</v>
      </c>
      <c r="O5955">
        <v>-0.17920429999999901</v>
      </c>
      <c r="P5955">
        <v>0.99723899999999999</v>
      </c>
      <c r="Q5955">
        <v>4.7318409999999998E-2</v>
      </c>
      <c r="R5955">
        <v>-5.723197E-2</v>
      </c>
      <c r="S5955">
        <v>3.0022279999999899</v>
      </c>
      <c r="T5955">
        <v>-0.117149</v>
      </c>
      <c r="U5955">
        <v>-0.20410159999999999</v>
      </c>
      <c r="V5955">
        <v>-0.122433399999999</v>
      </c>
      <c r="W5955">
        <v>5.6047930000000003E-2</v>
      </c>
      <c r="X5955">
        <v>0.99089289999999997</v>
      </c>
      <c r="Y5955">
        <v>-0.111851299999999</v>
      </c>
      <c r="Z5955">
        <v>9.1220740000000008E-3</v>
      </c>
      <c r="AA5955">
        <v>0.99368310000000004</v>
      </c>
      <c r="AB5955">
        <v>20</v>
      </c>
      <c r="AC5955">
        <v>28.206700000000001</v>
      </c>
      <c r="AD5955">
        <v>-1.1046609319155001</v>
      </c>
      <c r="AE5955">
        <v>-1.9061300000000001</v>
      </c>
      <c r="AF5955">
        <v>-3.1748426027649601</v>
      </c>
      <c r="AG5955">
        <v>-1.1046609319155001</v>
      </c>
      <c r="AH5955">
        <v>28.048826308135901</v>
      </c>
      <c r="AI5955">
        <v>92.241047055169005</v>
      </c>
      <c r="AJ5955">
        <v>96.457815557437101</v>
      </c>
      <c r="AK5955">
        <v>28.249540856283101</v>
      </c>
    </row>
    <row r="5956" spans="1:37" x14ac:dyDescent="0.2">
      <c r="A5956" t="str">
        <f>"20200111155717103"</f>
        <v>20200111155717103</v>
      </c>
      <c r="B5956" t="str">
        <f>"1578729437099381"</f>
        <v>1578729437099381</v>
      </c>
      <c r="C5956" t="s">
        <v>37</v>
      </c>
      <c r="D5956">
        <v>4.6406890000000001</v>
      </c>
      <c r="E5956">
        <v>0.51351619999999998</v>
      </c>
      <c r="F5956" t="s">
        <v>97</v>
      </c>
      <c r="G5956">
        <v>-250.52590000000001</v>
      </c>
      <c r="H5956" s="1">
        <v>-1.946255E-7</v>
      </c>
      <c r="I5956">
        <v>-64.129040000000003</v>
      </c>
      <c r="J5956">
        <v>-280.7149</v>
      </c>
      <c r="K5956">
        <v>1.1047180000000001</v>
      </c>
      <c r="L5956">
        <v>-61.53098</v>
      </c>
      <c r="M5956">
        <v>0.9838344</v>
      </c>
      <c r="N5956">
        <v>0</v>
      </c>
      <c r="O5956">
        <v>-0.17887719999999999</v>
      </c>
      <c r="P5956">
        <v>0.99719619999999998</v>
      </c>
      <c r="Q5956">
        <v>4.7212570000000002E-2</v>
      </c>
      <c r="R5956">
        <v>-5.8056509999999999E-2</v>
      </c>
      <c r="S5956">
        <v>2.9986269999999999</v>
      </c>
      <c r="T5956">
        <v>-0.10934480000000001</v>
      </c>
      <c r="U5956">
        <v>-0.25903320000000002</v>
      </c>
      <c r="V5956">
        <v>-0.121297699999999</v>
      </c>
      <c r="W5956">
        <v>5.559563E-2</v>
      </c>
      <c r="X5956">
        <v>0.99105799999999999</v>
      </c>
      <c r="Y5956">
        <v>-9.33668E-2</v>
      </c>
      <c r="Z5956">
        <v>8.1683350000000005E-3</v>
      </c>
      <c r="AA5956">
        <v>0.99559830000000005</v>
      </c>
      <c r="AB5956">
        <v>20</v>
      </c>
      <c r="AC5956">
        <v>30.189</v>
      </c>
      <c r="AD5956">
        <v>-1.1047181946255</v>
      </c>
      <c r="AE5956">
        <v>-2.59805999999999</v>
      </c>
      <c r="AF5956">
        <v>-2.8403910089259798</v>
      </c>
      <c r="AG5956">
        <v>-1.1047181946255</v>
      </c>
      <c r="AH5956">
        <v>30.126763335690502</v>
      </c>
      <c r="AI5956">
        <v>92.090774287132007</v>
      </c>
      <c r="AJ5956">
        <v>95.386000703931003</v>
      </c>
      <c r="AK5956">
        <v>30.280523318757801</v>
      </c>
    </row>
    <row r="5957" spans="1:37" x14ac:dyDescent="0.2">
      <c r="A5957" t="str">
        <f>"20200111155717114"</f>
        <v>20200111155717114</v>
      </c>
      <c r="B5957" t="str">
        <f>"1578729437109142"</f>
        <v>1578729437109142</v>
      </c>
      <c r="C5957" t="s">
        <v>37</v>
      </c>
      <c r="D5957">
        <v>4.5272259999999998</v>
      </c>
      <c r="E5957">
        <v>0.51438549999999905</v>
      </c>
      <c r="F5957" t="s">
        <v>97</v>
      </c>
      <c r="G5957">
        <v>-250.65700000000001</v>
      </c>
      <c r="H5957" s="1">
        <v>-2.769237E-7</v>
      </c>
      <c r="I5957">
        <v>-64.24624</v>
      </c>
      <c r="J5957">
        <v>-280.6044</v>
      </c>
      <c r="K5957">
        <v>1.104784</v>
      </c>
      <c r="L5957">
        <v>-61.550719999999998</v>
      </c>
      <c r="M5957">
        <v>0.98391390000000001</v>
      </c>
      <c r="N5957">
        <v>0</v>
      </c>
      <c r="O5957">
        <v>-0.17845539999999999</v>
      </c>
      <c r="P5957">
        <v>0.99717559999999905</v>
      </c>
      <c r="Q5957">
        <v>4.7123100000000001E-2</v>
      </c>
      <c r="R5957">
        <v>-5.8481899999999899E-2</v>
      </c>
      <c r="S5957">
        <v>2.9978940000000001</v>
      </c>
      <c r="T5957">
        <v>-0.11018169999999999</v>
      </c>
      <c r="U5957">
        <v>-0.27081300000000003</v>
      </c>
      <c r="V5957">
        <v>-0.12046419999999999</v>
      </c>
      <c r="W5957">
        <v>5.5143329999999997E-2</v>
      </c>
      <c r="X5957">
        <v>0.99118490000000004</v>
      </c>
      <c r="Y5957">
        <v>-8.9036379999999998E-2</v>
      </c>
      <c r="Z5957">
        <v>8.1361960000000001E-3</v>
      </c>
      <c r="AA5957">
        <v>0.99599519999999997</v>
      </c>
      <c r="AB5957">
        <v>21</v>
      </c>
      <c r="AC5957">
        <v>29.947399999999899</v>
      </c>
      <c r="AD5957">
        <v>-1.1047842769237</v>
      </c>
      <c r="AE5957">
        <v>-2.6955200000000001</v>
      </c>
      <c r="AF5957">
        <v>-2.6885764183369001</v>
      </c>
      <c r="AG5957">
        <v>-1.1047842769237</v>
      </c>
      <c r="AH5957">
        <v>29.9073233405956</v>
      </c>
      <c r="AI5957">
        <v>92.107069753158399</v>
      </c>
      <c r="AJ5957">
        <v>95.136906222409607</v>
      </c>
      <c r="AK5957">
        <v>30.0482442224951</v>
      </c>
    </row>
    <row r="5958" spans="1:37" x14ac:dyDescent="0.2">
      <c r="A5958" t="str">
        <f>"20200111155717126"</f>
        <v>20200111155717126</v>
      </c>
      <c r="B5958" t="str">
        <f>"1578729437118902"</f>
        <v>1578729437118902</v>
      </c>
      <c r="C5958" t="s">
        <v>37</v>
      </c>
      <c r="D5958">
        <v>4.5561169999999898</v>
      </c>
      <c r="E5958">
        <v>0.51505449999999997</v>
      </c>
      <c r="F5958" t="s">
        <v>97</v>
      </c>
      <c r="G5958">
        <v>-250.8185</v>
      </c>
      <c r="H5958" s="1">
        <v>-3.6351649999999902E-7</v>
      </c>
      <c r="I5958">
        <v>-64.32405</v>
      </c>
      <c r="J5958">
        <v>-280.5061</v>
      </c>
      <c r="K5958">
        <v>1.104849</v>
      </c>
      <c r="L5958">
        <v>-61.568150000000003</v>
      </c>
      <c r="M5958">
        <v>0.98400069999999995</v>
      </c>
      <c r="N5958">
        <v>0</v>
      </c>
      <c r="O5958">
        <v>-0.17798939999999999</v>
      </c>
      <c r="P5958">
        <v>0.99715580000000004</v>
      </c>
      <c r="Q5958">
        <v>4.7053049999999999E-2</v>
      </c>
      <c r="R5958">
        <v>-5.8877239999999997E-2</v>
      </c>
      <c r="S5958">
        <v>2.9973749999999999</v>
      </c>
      <c r="T5958">
        <v>-0.11117539999999999</v>
      </c>
      <c r="U5958">
        <v>-0.27908329999999998</v>
      </c>
      <c r="V5958">
        <v>-0.1196146</v>
      </c>
      <c r="W5958">
        <v>5.47553E-2</v>
      </c>
      <c r="X5958">
        <v>0.99130929999999995</v>
      </c>
      <c r="Y5958">
        <v>-8.5822499999999996E-2</v>
      </c>
      <c r="Z5958">
        <v>8.1330810000000003E-3</v>
      </c>
      <c r="AA5958">
        <v>0.99627730000000003</v>
      </c>
      <c r="AB5958">
        <v>21</v>
      </c>
      <c r="AC5958">
        <v>29.6876</v>
      </c>
      <c r="AD5958">
        <v>-1.1048493635165</v>
      </c>
      <c r="AE5958">
        <v>-2.7558999999999898</v>
      </c>
      <c r="AF5958">
        <v>-2.5688233622619898</v>
      </c>
      <c r="AG5958">
        <v>-1.1048493635165</v>
      </c>
      <c r="AH5958">
        <v>29.663333602167999</v>
      </c>
      <c r="AI5958">
        <v>92.125123255884603</v>
      </c>
      <c r="AJ5958">
        <v>94.949425325375998</v>
      </c>
      <c r="AK5958">
        <v>29.794846970173801</v>
      </c>
    </row>
    <row r="5959" spans="1:37" x14ac:dyDescent="0.2">
      <c r="A5959" t="str">
        <f>"20200111155717136"</f>
        <v>20200111155717136</v>
      </c>
      <c r="B5959" t="str">
        <f>"1578729437128662"</f>
        <v>1578729437128662</v>
      </c>
      <c r="C5959" t="s">
        <v>37</v>
      </c>
      <c r="D5959">
        <v>4.5521320000000003</v>
      </c>
      <c r="E5959">
        <v>0.51544709999999905</v>
      </c>
      <c r="F5959" t="s">
        <v>97</v>
      </c>
      <c r="G5959">
        <v>-250.6814</v>
      </c>
      <c r="H5959" s="1">
        <v>-3.2405380000000001E-7</v>
      </c>
      <c r="I5959">
        <v>-64.41113</v>
      </c>
      <c r="J5959">
        <v>-280.4083</v>
      </c>
      <c r="K5959">
        <v>1.104916</v>
      </c>
      <c r="L5959">
        <v>-61.585389999999997</v>
      </c>
      <c r="M5959">
        <v>0.98409279999999999</v>
      </c>
      <c r="N5959">
        <v>0</v>
      </c>
      <c r="O5959">
        <v>-0.17749179999999901</v>
      </c>
      <c r="P5959">
        <v>0.997166</v>
      </c>
      <c r="Q5959">
        <v>4.6925019999999998E-2</v>
      </c>
      <c r="R5959">
        <v>-5.880494E-2</v>
      </c>
      <c r="S5959">
        <v>2.996918</v>
      </c>
      <c r="T5959">
        <v>-0.1110201</v>
      </c>
      <c r="U5959">
        <v>-0.28567500000000001</v>
      </c>
      <c r="V5959">
        <v>-0.1191986</v>
      </c>
      <c r="W5959">
        <v>5.43125E-2</v>
      </c>
      <c r="X5959">
        <v>0.99138379999999904</v>
      </c>
      <c r="Y5959">
        <v>-8.3134490000000005E-2</v>
      </c>
      <c r="Z5959">
        <v>8.0540460000000005E-3</v>
      </c>
      <c r="AA5959">
        <v>0.9965058</v>
      </c>
      <c r="AB5959">
        <v>21</v>
      </c>
      <c r="AC5959">
        <v>29.726900000000001</v>
      </c>
      <c r="AD5959">
        <v>-1.1049163240538</v>
      </c>
      <c r="AE5959">
        <v>-2.8257399999999899</v>
      </c>
      <c r="AF5959">
        <v>-2.4921508568689599</v>
      </c>
      <c r="AG5959">
        <v>-1.1049163240538</v>
      </c>
      <c r="AH5959">
        <v>29.715751707154599</v>
      </c>
      <c r="AI5959">
        <v>92.1219966735013</v>
      </c>
      <c r="AJ5959">
        <v>94.793967851147698</v>
      </c>
      <c r="AK5959">
        <v>29.840535442545601</v>
      </c>
    </row>
    <row r="5960" spans="1:37" x14ac:dyDescent="0.2">
      <c r="A5960" t="str">
        <f>"20200111155717148"</f>
        <v>20200111155717148</v>
      </c>
      <c r="B5960" t="str">
        <f>"1578729437139397"</f>
        <v>1578729437139397</v>
      </c>
      <c r="C5960" t="s">
        <v>37</v>
      </c>
      <c r="D5960">
        <v>4.6485430000000001</v>
      </c>
      <c r="E5960">
        <v>0.51604740000000004</v>
      </c>
      <c r="F5960" t="s">
        <v>97</v>
      </c>
      <c r="G5960">
        <v>-250.66980000000001</v>
      </c>
      <c r="H5960" s="1">
        <v>-3.2778509999999901E-7</v>
      </c>
      <c r="I5960">
        <v>-64.450299999999999</v>
      </c>
      <c r="J5960">
        <v>-280.30939999999998</v>
      </c>
      <c r="K5960">
        <v>1.104983</v>
      </c>
      <c r="L5960">
        <v>-61.602629999999998</v>
      </c>
      <c r="M5960">
        <v>0.98420659999999904</v>
      </c>
      <c r="N5960">
        <v>0</v>
      </c>
      <c r="O5960">
        <v>-0.176872</v>
      </c>
      <c r="P5960">
        <v>0.99718019999999996</v>
      </c>
      <c r="Q5960">
        <v>4.7015069999999999E-2</v>
      </c>
      <c r="R5960">
        <v>-5.8492750000000003E-2</v>
      </c>
      <c r="S5960">
        <v>2.9967349999999899</v>
      </c>
      <c r="T5960">
        <v>-0.111342</v>
      </c>
      <c r="U5960">
        <v>-0.28869629999999902</v>
      </c>
      <c r="V5960">
        <v>-0.11889710000000001</v>
      </c>
      <c r="W5960">
        <v>5.4088240000000003E-2</v>
      </c>
      <c r="X5960">
        <v>0.99143219999999999</v>
      </c>
      <c r="Y5960">
        <v>-8.1505599999999997E-2</v>
      </c>
      <c r="Z5960">
        <v>8.0245490000000006E-3</v>
      </c>
      <c r="AA5960">
        <v>0.99664059999999899</v>
      </c>
      <c r="AB5960">
        <v>21</v>
      </c>
      <c r="AC5960">
        <v>29.639599999999898</v>
      </c>
      <c r="AD5960">
        <v>-1.1049833277851</v>
      </c>
      <c r="AE5960">
        <v>-2.8476699999999902</v>
      </c>
      <c r="AF5960">
        <v>-2.4364298965554099</v>
      </c>
      <c r="AG5960">
        <v>-1.1049833277851</v>
      </c>
      <c r="AH5960">
        <v>29.635147726753601</v>
      </c>
      <c r="AI5960">
        <v>92.128181544874593</v>
      </c>
      <c r="AJ5960">
        <v>94.699956293752507</v>
      </c>
      <c r="AK5960">
        <v>29.755657606277499</v>
      </c>
    </row>
    <row r="5961" spans="1:37" x14ac:dyDescent="0.2">
      <c r="A5961" t="str">
        <f>"20200111155717157"</f>
        <v>20200111155717157</v>
      </c>
      <c r="B5961" t="str">
        <f>"1578729437149158"</f>
        <v>1578729437149158</v>
      </c>
      <c r="C5961" t="s">
        <v>37</v>
      </c>
      <c r="D5961">
        <v>4.6087530000000001</v>
      </c>
      <c r="E5961">
        <v>0.51646049999999999</v>
      </c>
      <c r="F5961" t="s">
        <v>97</v>
      </c>
      <c r="G5961">
        <v>-250.9923</v>
      </c>
      <c r="H5961" s="1">
        <v>-4.6940120000000002E-7</v>
      </c>
      <c r="I5961">
        <v>-64.464919999999907</v>
      </c>
      <c r="J5961">
        <v>-280.20979999999997</v>
      </c>
      <c r="K5961">
        <v>1.105048</v>
      </c>
      <c r="L5961">
        <v>-61.62</v>
      </c>
      <c r="M5961">
        <v>0.98432430000000004</v>
      </c>
      <c r="N5961">
        <v>0</v>
      </c>
      <c r="O5961">
        <v>-0.17622779999999999</v>
      </c>
      <c r="P5961">
        <v>0.99721539999999997</v>
      </c>
      <c r="Q5961">
        <v>4.6713199999999899E-2</v>
      </c>
      <c r="R5961">
        <v>-5.8131849999999999E-2</v>
      </c>
      <c r="S5961">
        <v>2.9966740000000001</v>
      </c>
      <c r="T5961">
        <v>-0.11294709999999999</v>
      </c>
      <c r="U5961">
        <v>-0.292572</v>
      </c>
      <c r="V5961">
        <v>-0.1186212</v>
      </c>
      <c r="W5961">
        <v>5.3469250000000003E-2</v>
      </c>
      <c r="X5961">
        <v>0.99149889999999996</v>
      </c>
      <c r="Y5961">
        <v>-7.9570669999999996E-2</v>
      </c>
      <c r="Z5961">
        <v>8.0794279999999996E-3</v>
      </c>
      <c r="AA5961">
        <v>0.99679649999999997</v>
      </c>
      <c r="AB5961">
        <v>21</v>
      </c>
      <c r="AC5961">
        <v>29.217499999999902</v>
      </c>
      <c r="AD5961">
        <v>-1.1050484694011999</v>
      </c>
      <c r="AE5961">
        <v>-2.8449199999999899</v>
      </c>
      <c r="AF5961">
        <v>-2.3453464914211701</v>
      </c>
      <c r="AG5961">
        <v>-1.1050484694011999</v>
      </c>
      <c r="AH5961">
        <v>29.220166717463101</v>
      </c>
      <c r="AI5961">
        <v>92.158843765810403</v>
      </c>
      <c r="AJ5961">
        <v>94.588987914377299</v>
      </c>
      <c r="AK5961">
        <v>29.334960802443302</v>
      </c>
    </row>
    <row r="5962" spans="1:37" x14ac:dyDescent="0.2">
      <c r="A5962" t="str">
        <f>"20200111155717169"</f>
        <v>20200111155717169</v>
      </c>
      <c r="B5962" t="str">
        <f>"1578729437159893"</f>
        <v>1578729437159893</v>
      </c>
      <c r="C5962" t="s">
        <v>37</v>
      </c>
      <c r="D5962">
        <v>4.5997139999999996</v>
      </c>
      <c r="E5962">
        <v>0.51686969999999999</v>
      </c>
      <c r="F5962" t="s">
        <v>97</v>
      </c>
      <c r="G5962">
        <v>-251.6045</v>
      </c>
      <c r="H5962" s="1">
        <v>-7.2516450000000003E-7</v>
      </c>
      <c r="I5962">
        <v>-64.434119999999993</v>
      </c>
      <c r="J5962">
        <v>-280.10680000000002</v>
      </c>
      <c r="K5962">
        <v>1.105119</v>
      </c>
      <c r="L5962">
        <v>-61.637630000000001</v>
      </c>
      <c r="M5962">
        <v>0.98447070000000003</v>
      </c>
      <c r="N5962">
        <v>0</v>
      </c>
      <c r="O5962">
        <v>-0.17541989999999999</v>
      </c>
      <c r="P5962">
        <v>0.99728639999999902</v>
      </c>
      <c r="Q5962">
        <v>4.6353730000000003E-2</v>
      </c>
      <c r="R5962">
        <v>-5.7196410000000003E-2</v>
      </c>
      <c r="S5962">
        <v>2.996613</v>
      </c>
      <c r="T5962">
        <v>-0.115761999999999</v>
      </c>
      <c r="U5962">
        <v>-0.2947998</v>
      </c>
      <c r="V5962">
        <v>-0.1187531</v>
      </c>
      <c r="W5962">
        <v>5.2785949999999998E-2</v>
      </c>
      <c r="X5962">
        <v>0.9915197</v>
      </c>
      <c r="Y5962">
        <v>-7.8008880000000003E-2</v>
      </c>
      <c r="Z5962">
        <v>8.21968E-3</v>
      </c>
      <c r="AA5962">
        <v>0.99691879999999999</v>
      </c>
      <c r="AB5962">
        <v>21</v>
      </c>
      <c r="AC5962">
        <v>28.502300000000002</v>
      </c>
      <c r="AD5962">
        <v>-1.1051197251645</v>
      </c>
      <c r="AE5962">
        <v>-2.7964899999999902</v>
      </c>
      <c r="AF5962">
        <v>-2.24351841406612</v>
      </c>
      <c r="AG5962">
        <v>-1.1051197251645</v>
      </c>
      <c r="AH5962">
        <v>28.508436510173802</v>
      </c>
      <c r="AI5962">
        <v>92.213103999801007</v>
      </c>
      <c r="AJ5962">
        <v>94.4997119767839</v>
      </c>
      <c r="AK5962">
        <v>28.617924745442501</v>
      </c>
    </row>
    <row r="5963" spans="1:37" x14ac:dyDescent="0.2">
      <c r="A5963" t="str">
        <f>"20200111155717181"</f>
        <v>20200111155717181</v>
      </c>
      <c r="B5963" t="str">
        <f>"1578729437168678"</f>
        <v>1578729437168678</v>
      </c>
      <c r="C5963" t="s">
        <v>37</v>
      </c>
      <c r="D5963">
        <v>4.6868169999999996</v>
      </c>
      <c r="E5963">
        <v>0.51733200000000001</v>
      </c>
      <c r="F5963" t="s">
        <v>97</v>
      </c>
      <c r="G5963">
        <v>-252.10239999999999</v>
      </c>
      <c r="H5963" s="1">
        <v>-9.3042239999999996E-7</v>
      </c>
      <c r="I5963">
        <v>-64.396519999999995</v>
      </c>
      <c r="J5963">
        <v>-279.99919999999997</v>
      </c>
      <c r="K5963">
        <v>1.1051899999999999</v>
      </c>
      <c r="L5963">
        <v>-61.656039999999997</v>
      </c>
      <c r="M5963">
        <v>0.98462859999999996</v>
      </c>
      <c r="N5963">
        <v>0</v>
      </c>
      <c r="O5963">
        <v>-0.17454239999999999</v>
      </c>
      <c r="P5963">
        <v>0.99736290000000005</v>
      </c>
      <c r="Q5963">
        <v>4.5907110000000001E-2</v>
      </c>
      <c r="R5963">
        <v>-5.6210759999999999E-2</v>
      </c>
      <c r="S5963">
        <v>2.9967349999999899</v>
      </c>
      <c r="T5963">
        <v>-0.11825819999999999</v>
      </c>
      <c r="U5963">
        <v>-0.29522709999999902</v>
      </c>
      <c r="V5963">
        <v>-0.1188649</v>
      </c>
      <c r="W5963">
        <v>5.2000730000000002E-2</v>
      </c>
      <c r="X5963">
        <v>0.99154779999999998</v>
      </c>
      <c r="Y5963">
        <v>-7.6976489999999995E-2</v>
      </c>
      <c r="Z5963">
        <v>8.3420660000000004E-3</v>
      </c>
      <c r="AA5963">
        <v>0.99699799999999905</v>
      </c>
      <c r="AB5963">
        <v>21</v>
      </c>
      <c r="AC5963">
        <v>27.896799999999899</v>
      </c>
      <c r="AD5963">
        <v>-1.1051909304223999</v>
      </c>
      <c r="AE5963">
        <v>-2.74047999999999</v>
      </c>
      <c r="AF5963">
        <v>-2.1674950497388901</v>
      </c>
      <c r="AG5963">
        <v>-1.1051909304223999</v>
      </c>
      <c r="AH5963">
        <v>27.903520146795199</v>
      </c>
      <c r="AI5963">
        <v>92.261356610874103</v>
      </c>
      <c r="AJ5963">
        <v>94.441713381794898</v>
      </c>
      <c r="AK5963">
        <v>28.009389824948599</v>
      </c>
    </row>
    <row r="5964" spans="1:37" x14ac:dyDescent="0.2">
      <c r="A5964" t="str">
        <f>"20200111155717192"</f>
        <v>20200111155717192</v>
      </c>
      <c r="B5964" t="str">
        <f>"1578729437189175"</f>
        <v>1578729437189175</v>
      </c>
      <c r="C5964" t="s">
        <v>37</v>
      </c>
      <c r="D5964">
        <v>4.6095470000000001</v>
      </c>
      <c r="E5964">
        <v>0.51768000000000003</v>
      </c>
      <c r="F5964" t="s">
        <v>97</v>
      </c>
      <c r="G5964">
        <v>-252.30799999999999</v>
      </c>
      <c r="H5964" s="1">
        <v>-1.017399E-6</v>
      </c>
      <c r="I5964">
        <v>-64.391059999999996</v>
      </c>
      <c r="J5964">
        <v>-279.89159999999998</v>
      </c>
      <c r="K5964">
        <v>1.1052629999999899</v>
      </c>
      <c r="L5964">
        <v>-61.674129999999998</v>
      </c>
      <c r="M5964">
        <v>0.98480559999999995</v>
      </c>
      <c r="N5964">
        <v>0</v>
      </c>
      <c r="O5964">
        <v>-0.17355190000000001</v>
      </c>
      <c r="P5964">
        <v>0.99746109999999899</v>
      </c>
      <c r="Q5964">
        <v>4.5449070000000001E-2</v>
      </c>
      <c r="R5964">
        <v>-5.482588E-2</v>
      </c>
      <c r="S5964">
        <v>2.9967959999999998</v>
      </c>
      <c r="T5964">
        <v>-0.1196062</v>
      </c>
      <c r="U5964">
        <v>-0.29598999999999998</v>
      </c>
      <c r="V5964">
        <v>-0.1192594</v>
      </c>
      <c r="W5964">
        <v>5.1209280000000003E-2</v>
      </c>
      <c r="X5964">
        <v>0.99154159999999902</v>
      </c>
      <c r="Y5964">
        <v>-7.5721189999999994E-2</v>
      </c>
      <c r="Z5964">
        <v>8.3729759999999903E-3</v>
      </c>
      <c r="AA5964">
        <v>0.99709389999999998</v>
      </c>
      <c r="AB5964">
        <v>21</v>
      </c>
      <c r="AC5964">
        <v>27.583599999999901</v>
      </c>
      <c r="AD5964">
        <v>-1.1052640173989901</v>
      </c>
      <c r="AE5964">
        <v>-2.7169299999999899</v>
      </c>
      <c r="AF5964">
        <v>-2.1082256933417498</v>
      </c>
      <c r="AG5964">
        <v>-1.1052640173989901</v>
      </c>
      <c r="AH5964">
        <v>27.592656272845101</v>
      </c>
      <c r="AI5964">
        <v>92.287180355264994</v>
      </c>
      <c r="AJ5964">
        <v>94.369213324927102</v>
      </c>
      <c r="AK5964">
        <v>27.6951422511891</v>
      </c>
    </row>
    <row r="5965" spans="1:37" x14ac:dyDescent="0.2">
      <c r="A5965" t="str">
        <f>"20200111155717203"</f>
        <v>20200111155717203</v>
      </c>
      <c r="B5965" t="str">
        <f>"1578729437198933"</f>
        <v>1578729437198933</v>
      </c>
      <c r="C5965" t="s">
        <v>37</v>
      </c>
      <c r="D5965">
        <v>4.6653719999999996</v>
      </c>
      <c r="E5965">
        <v>0.51793520000000004</v>
      </c>
      <c r="F5965" t="s">
        <v>97</v>
      </c>
      <c r="G5965">
        <v>-252.86189999999999</v>
      </c>
      <c r="H5965" s="1">
        <v>-1.2418219999999899E-6</v>
      </c>
      <c r="I5965">
        <v>-64.331739999999996</v>
      </c>
      <c r="J5965">
        <v>-279.7833</v>
      </c>
      <c r="K5965">
        <v>1.1053329999999999</v>
      </c>
      <c r="L5965">
        <v>-61.692230000000002</v>
      </c>
      <c r="M5965">
        <v>0.98499309999999995</v>
      </c>
      <c r="N5965">
        <v>0</v>
      </c>
      <c r="O5965">
        <v>-0.1724946</v>
      </c>
      <c r="P5965">
        <v>0.99756409999999995</v>
      </c>
      <c r="Q5965">
        <v>4.520213E-2</v>
      </c>
      <c r="R5965">
        <v>-5.3127460000000001E-2</v>
      </c>
      <c r="S5965">
        <v>2.9970699999999999</v>
      </c>
      <c r="T5965">
        <v>-0.12255239999999901</v>
      </c>
      <c r="U5965">
        <v>-0.29467769999999999</v>
      </c>
      <c r="V5965">
        <v>-0.1198964</v>
      </c>
      <c r="W5965">
        <v>5.0631620000000002E-2</v>
      </c>
      <c r="X5965">
        <v>0.99149449999999995</v>
      </c>
      <c r="Y5965">
        <v>-7.5083430000000007E-2</v>
      </c>
      <c r="Z5965">
        <v>8.5230730000000008E-3</v>
      </c>
      <c r="AA5965">
        <v>0.99714080000000005</v>
      </c>
      <c r="AB5965">
        <v>21</v>
      </c>
      <c r="AC5965">
        <v>26.921399999999998</v>
      </c>
      <c r="AD5965">
        <v>-1.10533424182199</v>
      </c>
      <c r="AE5965">
        <v>-2.6395099999999898</v>
      </c>
      <c r="AF5965">
        <v>-2.0405248907678399</v>
      </c>
      <c r="AG5965">
        <v>-1.10533424182199</v>
      </c>
      <c r="AH5965">
        <v>26.9281939223536</v>
      </c>
      <c r="AI5965">
        <v>92.343815242835007</v>
      </c>
      <c r="AJ5965">
        <v>94.333393351308004</v>
      </c>
      <c r="AK5965">
        <v>27.028006466180098</v>
      </c>
    </row>
    <row r="5966" spans="1:37" x14ac:dyDescent="0.2">
      <c r="A5966" t="str">
        <f>"20200111155717214"</f>
        <v>20200111155717214</v>
      </c>
      <c r="B5966" t="str">
        <f>"1578729437208694"</f>
        <v>1578729437208694</v>
      </c>
      <c r="C5966" t="s">
        <v>37</v>
      </c>
      <c r="D5966">
        <v>4.6754749999999996</v>
      </c>
      <c r="E5966">
        <v>0.5181481</v>
      </c>
      <c r="F5966" t="s">
        <v>97</v>
      </c>
      <c r="G5966">
        <v>-253.13929999999999</v>
      </c>
      <c r="H5966" s="1">
        <v>-1.3501179999999899E-6</v>
      </c>
      <c r="I5966">
        <v>-64.283690000000007</v>
      </c>
      <c r="J5966">
        <v>-279.67829999999998</v>
      </c>
      <c r="K5966">
        <v>1.105397</v>
      </c>
      <c r="L5966">
        <v>-61.709589999999999</v>
      </c>
      <c r="M5966">
        <v>0.98518539999999999</v>
      </c>
      <c r="N5966">
        <v>0</v>
      </c>
      <c r="O5966">
        <v>-0.17140279999999899</v>
      </c>
      <c r="P5966">
        <v>0.99763679999999999</v>
      </c>
      <c r="Q5966">
        <v>4.5421679999999999E-2</v>
      </c>
      <c r="R5966">
        <v>-5.1552260000000003E-2</v>
      </c>
      <c r="S5966">
        <v>2.9974059999999998</v>
      </c>
      <c r="T5966">
        <v>-0.1243479</v>
      </c>
      <c r="U5966">
        <v>-0.29153440000000003</v>
      </c>
      <c r="V5966">
        <v>-0.1203736</v>
      </c>
      <c r="W5966">
        <v>5.053639E-2</v>
      </c>
      <c r="X5966">
        <v>0.99144149999999998</v>
      </c>
      <c r="Y5966">
        <v>-7.501969E-2</v>
      </c>
      <c r="Z5966">
        <v>8.6016830000000006E-3</v>
      </c>
      <c r="AA5966">
        <v>0.9971449</v>
      </c>
      <c r="AB5966">
        <v>21</v>
      </c>
      <c r="AC5966">
        <v>26.538999999999898</v>
      </c>
      <c r="AD5966">
        <v>-1.105398350118</v>
      </c>
      <c r="AE5966">
        <v>-2.5741000000000001</v>
      </c>
      <c r="AF5966">
        <v>-2.0094704865939601</v>
      </c>
      <c r="AG5966">
        <v>-1.105398350118</v>
      </c>
      <c r="AH5966">
        <v>26.541835185899998</v>
      </c>
      <c r="AI5966">
        <v>92.378044065268298</v>
      </c>
      <c r="AJ5966">
        <v>94.329578192334097</v>
      </c>
      <c r="AK5966">
        <v>26.640737455716501</v>
      </c>
    </row>
    <row r="5967" spans="1:37" x14ac:dyDescent="0.2">
      <c r="A5967" t="str">
        <f>"20200111155717226"</f>
        <v>20200111155717226</v>
      </c>
      <c r="B5967" t="str">
        <f>"1578729437219429"</f>
        <v>1578729437219429</v>
      </c>
      <c r="C5967" t="s">
        <v>37</v>
      </c>
      <c r="D5967">
        <v>4.6466750000000001</v>
      </c>
      <c r="E5967">
        <v>0.51822599999999996</v>
      </c>
      <c r="F5967" t="s">
        <v>97</v>
      </c>
      <c r="G5967">
        <v>-252.9401</v>
      </c>
      <c r="H5967" s="1">
        <v>-1.264463E-6</v>
      </c>
      <c r="I5967">
        <v>-64.282619999999994</v>
      </c>
      <c r="J5967">
        <v>-279.57380000000001</v>
      </c>
      <c r="K5967">
        <v>1.1054580000000001</v>
      </c>
      <c r="L5967">
        <v>-61.726619999999997</v>
      </c>
      <c r="M5967">
        <v>0.98538829999999999</v>
      </c>
      <c r="N5967">
        <v>0</v>
      </c>
      <c r="O5967">
        <v>-0.1702418</v>
      </c>
      <c r="P5967">
        <v>0.99769110000000005</v>
      </c>
      <c r="Q5967">
        <v>4.578082E-2</v>
      </c>
      <c r="R5967">
        <v>-5.0168400000000002E-2</v>
      </c>
      <c r="S5967">
        <v>2.997833</v>
      </c>
      <c r="T5967">
        <v>-0.1239353</v>
      </c>
      <c r="U5967">
        <v>-0.28848269999999998</v>
      </c>
      <c r="V5967">
        <v>-0.12058919999999999</v>
      </c>
      <c r="W5967">
        <v>5.0594960000000001E-2</v>
      </c>
      <c r="X5967">
        <v>0.99141229999999902</v>
      </c>
      <c r="Y5967">
        <v>-7.4866180000000004E-2</v>
      </c>
      <c r="Z5967">
        <v>8.522211E-3</v>
      </c>
      <c r="AA5967">
        <v>0.99715719999999997</v>
      </c>
      <c r="AB5967">
        <v>21</v>
      </c>
      <c r="AC5967">
        <v>26.633700000000001</v>
      </c>
      <c r="AD5967">
        <v>-1.1054592644629999</v>
      </c>
      <c r="AE5967">
        <v>-2.5559999999999898</v>
      </c>
      <c r="AF5967">
        <v>-2.0121096466669099</v>
      </c>
      <c r="AG5967">
        <v>-1.1054592644629999</v>
      </c>
      <c r="AH5967">
        <v>26.634576963981299</v>
      </c>
      <c r="AI5967">
        <v>92.369932884918796</v>
      </c>
      <c r="AJ5967">
        <v>94.320204732140098</v>
      </c>
      <c r="AK5967">
        <v>26.733337155428998</v>
      </c>
    </row>
    <row r="5968" spans="1:37" x14ac:dyDescent="0.2">
      <c r="A5968" t="str">
        <f>"20200111155717236"</f>
        <v>20200111155717236</v>
      </c>
      <c r="B5968" t="str">
        <f>"1578729437229190"</f>
        <v>1578729437229190</v>
      </c>
      <c r="C5968" t="s">
        <v>37</v>
      </c>
      <c r="D5968">
        <v>4.684806</v>
      </c>
      <c r="E5968">
        <v>0.51840980000000003</v>
      </c>
      <c r="F5968" t="s">
        <v>97</v>
      </c>
      <c r="G5968">
        <v>-252.56209999999999</v>
      </c>
      <c r="H5968" s="1">
        <v>-1.1048030000000001E-6</v>
      </c>
      <c r="I5968">
        <v>-64.293980000000005</v>
      </c>
      <c r="J5968">
        <v>-279.46789999999999</v>
      </c>
      <c r="K5968">
        <v>1.105518</v>
      </c>
      <c r="L5968">
        <v>-61.7438</v>
      </c>
      <c r="M5968">
        <v>0.98559839999999999</v>
      </c>
      <c r="N5968">
        <v>0</v>
      </c>
      <c r="O5968">
        <v>-0.1690286</v>
      </c>
      <c r="P5968">
        <v>0.9977587</v>
      </c>
      <c r="Q5968">
        <v>4.6131369999999998E-2</v>
      </c>
      <c r="R5968">
        <v>-4.8472809999999998E-2</v>
      </c>
      <c r="S5968">
        <v>2.9982599999999899</v>
      </c>
      <c r="T5968">
        <v>-0.12270449999999999</v>
      </c>
      <c r="U5968">
        <v>-0.28497309999999998</v>
      </c>
      <c r="V5968">
        <v>-0.12106210000000001</v>
      </c>
      <c r="W5968">
        <v>5.064544E-2</v>
      </c>
      <c r="X5968">
        <v>0.99135209999999996</v>
      </c>
      <c r="Y5968">
        <v>-7.4813690000000002E-2</v>
      </c>
      <c r="Z5968">
        <v>8.387238E-3</v>
      </c>
      <c r="AA5968">
        <v>0.99716229999999995</v>
      </c>
      <c r="AB5968">
        <v>22</v>
      </c>
      <c r="AC5968">
        <v>26.905799999999999</v>
      </c>
      <c r="AD5968">
        <v>-1.105519104803</v>
      </c>
      <c r="AE5968">
        <v>-2.5501800000000001</v>
      </c>
      <c r="AF5968">
        <v>-2.0310235601678799</v>
      </c>
      <c r="AG5968">
        <v>-1.105519104803</v>
      </c>
      <c r="AH5968">
        <v>26.904687533406399</v>
      </c>
      <c r="AI5968">
        <v>92.346303198319703</v>
      </c>
      <c r="AJ5968">
        <v>94.3170462686154</v>
      </c>
      <c r="AK5968">
        <v>27.003878248564199</v>
      </c>
    </row>
    <row r="5969" spans="1:37" x14ac:dyDescent="0.2">
      <c r="A5969" t="str">
        <f>"20200111155717247"</f>
        <v>20200111155717247</v>
      </c>
      <c r="B5969" t="str">
        <f>"1578729437238951"</f>
        <v>1578729437238951</v>
      </c>
      <c r="C5969" t="s">
        <v>37</v>
      </c>
      <c r="D5969">
        <v>4.6503930000000002</v>
      </c>
      <c r="E5969">
        <v>0.5185324</v>
      </c>
      <c r="F5969" t="s">
        <v>97</v>
      </c>
      <c r="G5969">
        <v>-252.41059999999999</v>
      </c>
      <c r="H5969" s="1">
        <v>-1.0371509999999999E-6</v>
      </c>
      <c r="I5969">
        <v>-64.282039999999995</v>
      </c>
      <c r="J5969">
        <v>-279.36509999999998</v>
      </c>
      <c r="K5969">
        <v>1.1055740000000001</v>
      </c>
      <c r="L5969">
        <v>-61.760190000000001</v>
      </c>
      <c r="M5969">
        <v>0.9858152</v>
      </c>
      <c r="N5969">
        <v>0</v>
      </c>
      <c r="O5969">
        <v>-0.167768</v>
      </c>
      <c r="P5969">
        <v>0.99780939999999996</v>
      </c>
      <c r="Q5969">
        <v>4.6815320000000001E-2</v>
      </c>
      <c r="R5969">
        <v>-4.6741440000000002E-2</v>
      </c>
      <c r="S5969">
        <v>2.9987490000000001</v>
      </c>
      <c r="T5969">
        <v>-0.122524299999999</v>
      </c>
      <c r="U5969">
        <v>-0.28131099999999998</v>
      </c>
      <c r="V5969">
        <v>-0.121520499999999</v>
      </c>
      <c r="W5969">
        <v>5.1052599999999997E-2</v>
      </c>
      <c r="X5969">
        <v>0.99127509999999996</v>
      </c>
      <c r="Y5969">
        <v>-7.4762129999999996E-2</v>
      </c>
      <c r="Z5969">
        <v>8.3225569999999995E-3</v>
      </c>
      <c r="AA5969">
        <v>0.99716669999999996</v>
      </c>
      <c r="AB5969">
        <v>22</v>
      </c>
      <c r="AC5969">
        <v>26.954499999999999</v>
      </c>
      <c r="AD5969">
        <v>-1.105575037151</v>
      </c>
      <c r="AE5969">
        <v>-2.5218500000000001</v>
      </c>
      <c r="AF5969">
        <v>-2.0326572373863101</v>
      </c>
      <c r="AG5969">
        <v>-1.105575037151</v>
      </c>
      <c r="AH5969">
        <v>26.950595758835</v>
      </c>
      <c r="AI5969">
        <v>92.342441217450897</v>
      </c>
      <c r="AJ5969">
        <v>94.313173745482203</v>
      </c>
      <c r="AK5969">
        <v>27.049743129346101</v>
      </c>
    </row>
    <row r="5970" spans="1:37" x14ac:dyDescent="0.2">
      <c r="A5970" t="str">
        <f>"20200111155717259"</f>
        <v>20200111155717259</v>
      </c>
      <c r="B5970" t="str">
        <f>"1578729437248710"</f>
        <v>1578729437248710</v>
      </c>
      <c r="C5970" t="s">
        <v>37</v>
      </c>
      <c r="D5970">
        <v>4.8891239999999998</v>
      </c>
      <c r="E5970">
        <v>0.51837900000000003</v>
      </c>
      <c r="F5970" t="s">
        <v>97</v>
      </c>
      <c r="G5970">
        <v>-251.82839999999999</v>
      </c>
      <c r="H5970" s="1">
        <v>-7.9235339999999997E-7</v>
      </c>
      <c r="I5970">
        <v>-64.304280000000006</v>
      </c>
      <c r="J5970">
        <v>-279.25720000000001</v>
      </c>
      <c r="K5970">
        <v>1.105631</v>
      </c>
      <c r="L5970">
        <v>-61.777279999999998</v>
      </c>
      <c r="M5970">
        <v>0.98604380000000003</v>
      </c>
      <c r="N5970">
        <v>0</v>
      </c>
      <c r="O5970">
        <v>-0.16642609999999999</v>
      </c>
      <c r="P5970">
        <v>0.99786869999999905</v>
      </c>
      <c r="Q5970">
        <v>4.707488E-2</v>
      </c>
      <c r="R5970">
        <v>-4.5188989999999998E-2</v>
      </c>
      <c r="S5970">
        <v>2.9992679999999998</v>
      </c>
      <c r="T5970">
        <v>-0.120418</v>
      </c>
      <c r="U5970">
        <v>-0.277099599999999</v>
      </c>
      <c r="V5970">
        <v>-0.1217216</v>
      </c>
      <c r="W5970">
        <v>5.1025939999999999E-2</v>
      </c>
      <c r="X5970">
        <v>0.99125180000000002</v>
      </c>
      <c r="Y5970">
        <v>-7.4816649999999998E-2</v>
      </c>
      <c r="Z5970">
        <v>8.1270470000000001E-3</v>
      </c>
      <c r="AA5970">
        <v>0.99716419999999995</v>
      </c>
      <c r="AB5970">
        <v>22</v>
      </c>
      <c r="AC5970">
        <v>27.428799999999999</v>
      </c>
      <c r="AD5970">
        <v>-1.10563179235339</v>
      </c>
      <c r="AE5970">
        <v>-2.5270000000000001</v>
      </c>
      <c r="AF5970">
        <v>-2.0698214388349401</v>
      </c>
      <c r="AG5970">
        <v>-1.10563179235339</v>
      </c>
      <c r="AH5970">
        <v>27.422649218998199</v>
      </c>
      <c r="AI5970">
        <v>92.302270434046605</v>
      </c>
      <c r="AJ5970">
        <v>94.316417129611594</v>
      </c>
      <c r="AK5970">
        <v>27.522868176066702</v>
      </c>
    </row>
    <row r="5971" spans="1:37" x14ac:dyDescent="0.2">
      <c r="A5971" t="str">
        <f>"20200111155717270"</f>
        <v>20200111155717270</v>
      </c>
      <c r="B5971" t="str">
        <f>"1578729437259446"</f>
        <v>1578729437259446</v>
      </c>
      <c r="C5971" t="s">
        <v>37</v>
      </c>
      <c r="D5971">
        <v>4.7389330000000003</v>
      </c>
      <c r="E5971">
        <v>0.51861069999999998</v>
      </c>
      <c r="F5971" t="s">
        <v>97</v>
      </c>
      <c r="G5971">
        <v>-251.35919999999999</v>
      </c>
      <c r="H5971" s="1">
        <v>-5.8996339999999997E-7</v>
      </c>
      <c r="I5971">
        <v>-64.299289999999999</v>
      </c>
      <c r="J5971">
        <v>-279.14319999999998</v>
      </c>
      <c r="K5971">
        <v>1.1056859999999999</v>
      </c>
      <c r="L5971">
        <v>-61.794980000000002</v>
      </c>
      <c r="M5971">
        <v>0.98629880000000003</v>
      </c>
      <c r="N5971">
        <v>0</v>
      </c>
      <c r="O5971">
        <v>-0.16491520000000001</v>
      </c>
      <c r="P5971">
        <v>0.99793849999999995</v>
      </c>
      <c r="Q5971">
        <v>4.710628E-2</v>
      </c>
      <c r="R5971">
        <v>-4.3590289999999997E-2</v>
      </c>
      <c r="S5971">
        <v>2.9997250000000002</v>
      </c>
      <c r="T5971">
        <v>-0.1188829</v>
      </c>
      <c r="U5971">
        <v>-0.27117920000000001</v>
      </c>
      <c r="V5971">
        <v>-0.1218002</v>
      </c>
      <c r="W5971">
        <v>5.07745E-2</v>
      </c>
      <c r="X5971">
        <v>0.99125509999999994</v>
      </c>
      <c r="Y5971">
        <v>-7.5260060000000004E-2</v>
      </c>
      <c r="Z5971">
        <v>7.9731660000000003E-3</v>
      </c>
      <c r="AA5971">
        <v>0.99713209999999997</v>
      </c>
      <c r="AB5971">
        <v>22</v>
      </c>
      <c r="AC5971">
        <v>27.783999999999899</v>
      </c>
      <c r="AD5971">
        <v>-1.1056865899634001</v>
      </c>
      <c r="AE5971">
        <v>-2.50430999999999</v>
      </c>
      <c r="AF5971">
        <v>-2.1087119453351599</v>
      </c>
      <c r="AG5971">
        <v>-1.1056865899634001</v>
      </c>
      <c r="AH5971">
        <v>27.772940471407299</v>
      </c>
      <c r="AI5971">
        <v>92.273299204712302</v>
      </c>
      <c r="AJ5971">
        <v>94.341957337856002</v>
      </c>
      <c r="AK5971">
        <v>27.8748171533367</v>
      </c>
    </row>
    <row r="5972" spans="1:37" x14ac:dyDescent="0.2">
      <c r="A5972" t="str">
        <f>"20200111155717281"</f>
        <v>20200111155717281</v>
      </c>
      <c r="B5972" t="str">
        <f>"1578729437278966"</f>
        <v>1578729437278966</v>
      </c>
      <c r="C5972" t="s">
        <v>37</v>
      </c>
      <c r="D5972">
        <v>4.8762549999999996</v>
      </c>
      <c r="E5972">
        <v>0.51875499999999997</v>
      </c>
      <c r="F5972" t="s">
        <v>97</v>
      </c>
      <c r="G5972">
        <v>-251.2978</v>
      </c>
      <c r="H5972" s="1">
        <v>-5.6017040000000004E-7</v>
      </c>
      <c r="I5972">
        <v>-64.283869999999993</v>
      </c>
      <c r="J5972">
        <v>-279.03539999999998</v>
      </c>
      <c r="K5972">
        <v>1.1057360000000001</v>
      </c>
      <c r="L5972">
        <v>-61.81165</v>
      </c>
      <c r="M5972">
        <v>0.98654159999999902</v>
      </c>
      <c r="N5972">
        <v>0</v>
      </c>
      <c r="O5972">
        <v>-0.1634632</v>
      </c>
      <c r="P5972">
        <v>0.9980118</v>
      </c>
      <c r="Q5972">
        <v>4.6864089999999997E-2</v>
      </c>
      <c r="R5972">
        <v>-4.2150420000000001E-2</v>
      </c>
      <c r="S5972">
        <v>3.0001220000000002</v>
      </c>
      <c r="T5972">
        <v>-0.1191287</v>
      </c>
      <c r="U5972">
        <v>-0.26815800000000001</v>
      </c>
      <c r="V5972">
        <v>-0.1217801</v>
      </c>
      <c r="W5972">
        <v>5.0269689999999999E-2</v>
      </c>
      <c r="X5972">
        <v>0.99128329999999998</v>
      </c>
      <c r="Y5972">
        <v>-7.4800720000000001E-2</v>
      </c>
      <c r="Z5972">
        <v>7.9232620000000004E-3</v>
      </c>
      <c r="AA5972">
        <v>0.99716709999999997</v>
      </c>
      <c r="AB5972">
        <v>22</v>
      </c>
      <c r="AC5972">
        <v>27.737599999999901</v>
      </c>
      <c r="AD5972">
        <v>-1.1057365601703999</v>
      </c>
      <c r="AE5972">
        <v>-2.4722199999999899</v>
      </c>
      <c r="AF5972">
        <v>-2.0918471065062998</v>
      </c>
      <c r="AG5972">
        <v>-1.1057365601703999</v>
      </c>
      <c r="AH5972">
        <v>27.7249159667867</v>
      </c>
      <c r="AI5972">
        <v>92.277417259006498</v>
      </c>
      <c r="AJ5972">
        <v>94.314795862925905</v>
      </c>
      <c r="AK5972">
        <v>27.825697529853201</v>
      </c>
    </row>
    <row r="5973" spans="1:37" x14ac:dyDescent="0.2">
      <c r="A5973" t="str">
        <f>"20200111155717292"</f>
        <v>20200111155717292</v>
      </c>
      <c r="B5973" t="str">
        <f>"1578729437288725"</f>
        <v>1578729437288725</v>
      </c>
      <c r="C5973" t="s">
        <v>37</v>
      </c>
      <c r="D5973">
        <v>4.7126199999999896</v>
      </c>
      <c r="E5973">
        <v>0.51893679999999998</v>
      </c>
      <c r="F5973" t="s">
        <v>97</v>
      </c>
      <c r="G5973">
        <v>-251.41220000000001</v>
      </c>
      <c r="H5973" s="1">
        <v>-6.0181889999999995E-7</v>
      </c>
      <c r="I5973">
        <v>-64.250320000000002</v>
      </c>
      <c r="J5973">
        <v>-278.92290000000003</v>
      </c>
      <c r="K5973">
        <v>1.1057809999999999</v>
      </c>
      <c r="L5973">
        <v>-61.828699999999998</v>
      </c>
      <c r="M5973">
        <v>0.98680140000000005</v>
      </c>
      <c r="N5973">
        <v>0</v>
      </c>
      <c r="O5973">
        <v>-0.16189189999999901</v>
      </c>
      <c r="P5973">
        <v>0.99807800000000002</v>
      </c>
      <c r="Q5973">
        <v>4.6530740000000001E-2</v>
      </c>
      <c r="R5973">
        <v>-4.0928569999999997E-2</v>
      </c>
      <c r="S5973">
        <v>3.0004580000000001</v>
      </c>
      <c r="T5973">
        <v>-0.1201065</v>
      </c>
      <c r="U5973">
        <v>-0.26489259999999998</v>
      </c>
      <c r="V5973">
        <v>-0.121424</v>
      </c>
      <c r="W5973">
        <v>4.9678680000000003E-2</v>
      </c>
      <c r="X5973">
        <v>0.99135680000000004</v>
      </c>
      <c r="Y5973">
        <v>-7.4297760000000004E-2</v>
      </c>
      <c r="Z5973">
        <v>7.9159429999999999E-3</v>
      </c>
      <c r="AA5973">
        <v>0.99720469999999894</v>
      </c>
      <c r="AB5973">
        <v>22</v>
      </c>
      <c r="AC5973">
        <v>27.5107</v>
      </c>
      <c r="AD5973">
        <v>-1.1057816018189</v>
      </c>
      <c r="AE5973">
        <v>-2.4216199999999999</v>
      </c>
      <c r="AF5973">
        <v>-2.0608120851276399</v>
      </c>
      <c r="AG5973">
        <v>-1.1057816018189</v>
      </c>
      <c r="AH5973">
        <v>27.4957501063381</v>
      </c>
      <c r="AI5973">
        <v>92.296557557884199</v>
      </c>
      <c r="AJ5973">
        <v>94.286316188018006</v>
      </c>
      <c r="AK5973">
        <v>27.5950353018677</v>
      </c>
    </row>
    <row r="5974" spans="1:37" x14ac:dyDescent="0.2">
      <c r="A5974" t="str">
        <f>"20200111155717304"</f>
        <v>20200111155717304</v>
      </c>
      <c r="B5974" t="str">
        <f>"1578729437299462"</f>
        <v>1578729437299462</v>
      </c>
      <c r="C5974" t="s">
        <v>37</v>
      </c>
      <c r="D5974">
        <v>4.7204949999999997</v>
      </c>
      <c r="E5974">
        <v>0.5191306</v>
      </c>
      <c r="F5974" t="s">
        <v>97</v>
      </c>
      <c r="G5974">
        <v>-251.58690000000001</v>
      </c>
      <c r="H5974" s="1">
        <v>-6.7030930000000003E-7</v>
      </c>
      <c r="I5974">
        <v>-64.221310000000003</v>
      </c>
      <c r="J5974">
        <v>-278.81169999999997</v>
      </c>
      <c r="K5974">
        <v>1.1058250000000001</v>
      </c>
      <c r="L5974">
        <v>-61.845399999999998</v>
      </c>
      <c r="M5974">
        <v>0.98706130000000003</v>
      </c>
      <c r="N5974">
        <v>0</v>
      </c>
      <c r="O5974">
        <v>-0.16030520000000001</v>
      </c>
      <c r="P5974">
        <v>0.998162199999999</v>
      </c>
      <c r="Q5974">
        <v>4.6063369999999999E-2</v>
      </c>
      <c r="R5974">
        <v>-3.9371419999999997E-2</v>
      </c>
      <c r="S5974">
        <v>3.0006409999999999</v>
      </c>
      <c r="T5974">
        <v>-0.121380399999999</v>
      </c>
      <c r="U5974">
        <v>-0.26263429999999999</v>
      </c>
      <c r="V5974">
        <v>-0.1213848</v>
      </c>
      <c r="W5974">
        <v>4.8963819999999998E-2</v>
      </c>
      <c r="X5974">
        <v>0.99139709999999903</v>
      </c>
      <c r="Y5974">
        <v>-7.3442419999999994E-2</v>
      </c>
      <c r="Z5974">
        <v>7.9192759999999994E-3</v>
      </c>
      <c r="AA5974">
        <v>0.99726800000000004</v>
      </c>
      <c r="AB5974">
        <v>22</v>
      </c>
      <c r="AC5974">
        <v>27.224799999999899</v>
      </c>
      <c r="AD5974">
        <v>-1.1058256703092999</v>
      </c>
      <c r="AE5974">
        <v>-2.3759100000000002</v>
      </c>
      <c r="AF5974">
        <v>-2.0158198871455202</v>
      </c>
      <c r="AG5974">
        <v>-1.1058256703092999</v>
      </c>
      <c r="AH5974">
        <v>27.2090324422084</v>
      </c>
      <c r="AI5974">
        <v>92.320972210104102</v>
      </c>
      <c r="AJ5974">
        <v>94.2370984791269</v>
      </c>
      <c r="AK5974">
        <v>27.3060034913876</v>
      </c>
    </row>
    <row r="5975" spans="1:37" x14ac:dyDescent="0.2">
      <c r="A5975" t="str">
        <f>"20200111155717315"</f>
        <v>20200111155717315</v>
      </c>
      <c r="B5975" t="str">
        <f>"1578729437309221"</f>
        <v>1578729437309221</v>
      </c>
      <c r="C5975" t="s">
        <v>37</v>
      </c>
      <c r="D5975">
        <v>4.7487240000000002</v>
      </c>
      <c r="E5975">
        <v>0.51927849999999998</v>
      </c>
      <c r="F5975" t="s">
        <v>97</v>
      </c>
      <c r="G5975">
        <v>-251.9051</v>
      </c>
      <c r="H5975" s="1">
        <v>-7.9572339999999897E-7</v>
      </c>
      <c r="I5975">
        <v>-64.171419999999998</v>
      </c>
      <c r="J5975">
        <v>-278.7022</v>
      </c>
      <c r="K5975">
        <v>1.105864</v>
      </c>
      <c r="L5975">
        <v>-61.861600000000003</v>
      </c>
      <c r="M5975">
        <v>0.98731979999999997</v>
      </c>
      <c r="N5975">
        <v>0</v>
      </c>
      <c r="O5975">
        <v>-0.15870999999999999</v>
      </c>
      <c r="P5975">
        <v>0.99822549999999899</v>
      </c>
      <c r="Q5975">
        <v>4.5615540000000003E-2</v>
      </c>
      <c r="R5975">
        <v>-3.8278449999999999E-2</v>
      </c>
      <c r="S5975">
        <v>3.0009769999999998</v>
      </c>
      <c r="T5975">
        <v>-0.12333620000000001</v>
      </c>
      <c r="U5975">
        <v>-0.25942989999999999</v>
      </c>
      <c r="V5975">
        <v>-0.12087539999999999</v>
      </c>
      <c r="W5975">
        <v>4.8285120000000001E-2</v>
      </c>
      <c r="X5975">
        <v>0.99149259999999995</v>
      </c>
      <c r="Y5975">
        <v>-7.2892940000000003E-2</v>
      </c>
      <c r="Z5975">
        <v>7.9705619999999901E-3</v>
      </c>
      <c r="AA5975">
        <v>0.99730790000000002</v>
      </c>
      <c r="AB5975">
        <v>22</v>
      </c>
      <c r="AC5975">
        <v>26.7971</v>
      </c>
      <c r="AD5975">
        <v>-1.1058647957234</v>
      </c>
      <c r="AE5975">
        <v>-2.30981999999999</v>
      </c>
      <c r="AF5975">
        <v>-1.9691185377295299</v>
      </c>
      <c r="AG5975">
        <v>-1.1058647957234</v>
      </c>
      <c r="AH5975">
        <v>26.778773745018601</v>
      </c>
      <c r="AI5975">
        <v>92.358400939116905</v>
      </c>
      <c r="AJ5975">
        <v>94.205550778145707</v>
      </c>
      <c r="AK5975">
        <v>26.873836496654999</v>
      </c>
    </row>
    <row r="5976" spans="1:37" x14ac:dyDescent="0.2">
      <c r="A5976" t="str">
        <f>"20200111155717326"</f>
        <v>20200111155717326</v>
      </c>
      <c r="B5976" t="str">
        <f>"1578729437318981"</f>
        <v>1578729437318981</v>
      </c>
      <c r="C5976" t="s">
        <v>37</v>
      </c>
      <c r="D5976">
        <v>4.687068</v>
      </c>
      <c r="E5976">
        <v>0.51934340000000001</v>
      </c>
      <c r="F5976" t="s">
        <v>97</v>
      </c>
      <c r="G5976">
        <v>-252.1644</v>
      </c>
      <c r="H5976" s="1">
        <v>-8.9903869999999998E-7</v>
      </c>
      <c r="I5976">
        <v>-64.135890000000003</v>
      </c>
      <c r="J5976">
        <v>-278.59100000000001</v>
      </c>
      <c r="K5976">
        <v>1.105899</v>
      </c>
      <c r="L5976">
        <v>-61.877809999999997</v>
      </c>
      <c r="M5976">
        <v>0.98758609999999902</v>
      </c>
      <c r="N5976">
        <v>0</v>
      </c>
      <c r="O5976">
        <v>-0.15704960000000001</v>
      </c>
      <c r="P5976">
        <v>0.99829349999999994</v>
      </c>
      <c r="Q5976">
        <v>4.5090360000000003E-2</v>
      </c>
      <c r="R5976">
        <v>-3.7110070000000002E-2</v>
      </c>
      <c r="S5976">
        <v>3.0011899999999998</v>
      </c>
      <c r="T5976">
        <v>-0.12506339999999999</v>
      </c>
      <c r="U5976">
        <v>-0.25720209999999999</v>
      </c>
      <c r="V5976">
        <v>-0.1203752</v>
      </c>
      <c r="W5976">
        <v>4.7537830000000003E-2</v>
      </c>
      <c r="X5976">
        <v>0.99158959999999996</v>
      </c>
      <c r="Y5976">
        <v>-7.1953489999999995E-2</v>
      </c>
      <c r="Z5976">
        <v>7.9941879999999993E-3</v>
      </c>
      <c r="AA5976">
        <v>0.99737600000000004</v>
      </c>
      <c r="AB5976">
        <v>22</v>
      </c>
      <c r="AC5976">
        <v>26.426600000000001</v>
      </c>
      <c r="AD5976">
        <v>-1.1058998990386999</v>
      </c>
      <c r="AE5976">
        <v>-2.2580800000000001</v>
      </c>
      <c r="AF5976">
        <v>-1.91691462218056</v>
      </c>
      <c r="AG5976">
        <v>-1.1058998990386999</v>
      </c>
      <c r="AH5976">
        <v>26.407383174075999</v>
      </c>
      <c r="AI5976">
        <v>92.391770479745006</v>
      </c>
      <c r="AJ5976">
        <v>94.1518242291001</v>
      </c>
      <c r="AK5976">
        <v>26.499952119917101</v>
      </c>
    </row>
    <row r="5977" spans="1:37" x14ac:dyDescent="0.2">
      <c r="A5977" t="str">
        <f>"20200111155717336"</f>
        <v>20200111155717336</v>
      </c>
      <c r="B5977" t="str">
        <f>"1578729437328741"</f>
        <v>1578729437328741</v>
      </c>
      <c r="C5977" t="s">
        <v>37</v>
      </c>
      <c r="D5977">
        <v>4.6955010000000001</v>
      </c>
      <c r="E5977">
        <v>0.51940920000000002</v>
      </c>
      <c r="F5977" t="s">
        <v>97</v>
      </c>
      <c r="G5977">
        <v>-252.3817</v>
      </c>
      <c r="H5977" s="1">
        <v>-9.8366179999999992E-7</v>
      </c>
      <c r="I5977">
        <v>-64.097130000000007</v>
      </c>
      <c r="J5977">
        <v>-278.48050000000001</v>
      </c>
      <c r="K5977">
        <v>1.1059349999999999</v>
      </c>
      <c r="L5977">
        <v>-61.893769999999897</v>
      </c>
      <c r="M5977">
        <v>0.98785020000000001</v>
      </c>
      <c r="N5977">
        <v>0</v>
      </c>
      <c r="O5977">
        <v>-0.15538339999999901</v>
      </c>
      <c r="P5977">
        <v>0.99834020000000001</v>
      </c>
      <c r="Q5977">
        <v>4.4939380000000001E-2</v>
      </c>
      <c r="R5977">
        <v>-3.6022989999999998E-2</v>
      </c>
      <c r="S5977">
        <v>3.001404</v>
      </c>
      <c r="T5977">
        <v>-0.12664439999999999</v>
      </c>
      <c r="U5977">
        <v>-0.2541504</v>
      </c>
      <c r="V5977">
        <v>-0.1197882</v>
      </c>
      <c r="W5977">
        <v>4.7171560000000001E-2</v>
      </c>
      <c r="X5977">
        <v>0.99167819999999995</v>
      </c>
      <c r="Y5977">
        <v>-7.128073E-2</v>
      </c>
      <c r="Z5977">
        <v>8.0116340000000001E-3</v>
      </c>
      <c r="AA5977">
        <v>0.99742410000000004</v>
      </c>
      <c r="AB5977">
        <v>23</v>
      </c>
      <c r="AC5977">
        <v>26.098800000000001</v>
      </c>
      <c r="AD5977">
        <v>-1.1059359836617999</v>
      </c>
      <c r="AE5977">
        <v>-2.20336</v>
      </c>
      <c r="AF5977">
        <v>-1.87539446209058</v>
      </c>
      <c r="AG5977">
        <v>-1.1059359836617999</v>
      </c>
      <c r="AH5977">
        <v>26.077679921762599</v>
      </c>
      <c r="AI5977">
        <v>92.422170341390995</v>
      </c>
      <c r="AJ5977">
        <v>94.113384236088294</v>
      </c>
      <c r="AK5977">
        <v>26.168408222326001</v>
      </c>
    </row>
    <row r="5978" spans="1:37" x14ac:dyDescent="0.2">
      <c r="A5978" t="str">
        <f>"20200111155717348"</f>
        <v>20200111155717348</v>
      </c>
      <c r="B5978" t="str">
        <f>"1578729437339478"</f>
        <v>1578729437339478</v>
      </c>
      <c r="C5978" t="s">
        <v>37</v>
      </c>
      <c r="D5978">
        <v>4.6813399999999996</v>
      </c>
      <c r="E5978">
        <v>0.51949659999999998</v>
      </c>
      <c r="F5978" t="s">
        <v>97</v>
      </c>
      <c r="G5978">
        <v>-252.34540000000001</v>
      </c>
      <c r="H5978" s="1">
        <v>-9.6462790000000003E-7</v>
      </c>
      <c r="I5978">
        <v>-64.081659999999999</v>
      </c>
      <c r="J5978">
        <v>-278.36810000000003</v>
      </c>
      <c r="K5978">
        <v>1.1059669999999999</v>
      </c>
      <c r="L5978">
        <v>-61.909640000000003</v>
      </c>
      <c r="M5978">
        <v>0.98812310000000003</v>
      </c>
      <c r="N5978">
        <v>0</v>
      </c>
      <c r="O5978">
        <v>-0.1536409</v>
      </c>
      <c r="P5978">
        <v>0.99836879999999995</v>
      </c>
      <c r="Q5978">
        <v>4.5138490000000003E-2</v>
      </c>
      <c r="R5978">
        <v>-3.4958999999999997E-2</v>
      </c>
      <c r="S5978">
        <v>3.0016479999999999</v>
      </c>
      <c r="T5978">
        <v>-0.12701799999999999</v>
      </c>
      <c r="U5978">
        <v>-0.2512817</v>
      </c>
      <c r="V5978">
        <v>-0.1191006</v>
      </c>
      <c r="W5978">
        <v>4.716679E-2</v>
      </c>
      <c r="X5978">
        <v>0.99176119999999901</v>
      </c>
      <c r="Y5978">
        <v>-7.0475919999999997E-2</v>
      </c>
      <c r="Z5978">
        <v>7.9453849999999993E-3</v>
      </c>
      <c r="AA5978">
        <v>0.99748179999999997</v>
      </c>
      <c r="AB5978">
        <v>23</v>
      </c>
      <c r="AC5978">
        <v>26.0227</v>
      </c>
      <c r="AD5978">
        <v>-1.1059679646278999</v>
      </c>
      <c r="AE5978">
        <v>-2.1720199999999901</v>
      </c>
      <c r="AF5978">
        <v>-1.8486186063541601</v>
      </c>
      <c r="AG5978">
        <v>-1.1059679646278999</v>
      </c>
      <c r="AH5978">
        <v>26.000796750148201</v>
      </c>
      <c r="AI5978">
        <v>92.429535254994903</v>
      </c>
      <c r="AJ5978">
        <v>94.066802739757193</v>
      </c>
      <c r="AK5978">
        <v>26.089882857787199</v>
      </c>
    </row>
    <row r="5979" spans="1:37" x14ac:dyDescent="0.2">
      <c r="A5979" t="str">
        <f>"20200111155717359"</f>
        <v>20200111155717359</v>
      </c>
      <c r="B5979" t="str">
        <f>"1578729437349238"</f>
        <v>1578729437349238</v>
      </c>
      <c r="C5979" t="s">
        <v>37</v>
      </c>
      <c r="D5979">
        <v>4.696796</v>
      </c>
      <c r="E5979">
        <v>0.51957200000000003</v>
      </c>
      <c r="F5979" t="s">
        <v>97</v>
      </c>
      <c r="G5979">
        <v>-252.1463</v>
      </c>
      <c r="H5979" s="1">
        <v>-8.7915419999999997E-7</v>
      </c>
      <c r="I5979">
        <v>-64.081389999999999</v>
      </c>
      <c r="J5979">
        <v>-278.2568</v>
      </c>
      <c r="K5979">
        <v>1.1060019999999999</v>
      </c>
      <c r="L5979">
        <v>-61.925289999999997</v>
      </c>
      <c r="M5979">
        <v>0.98839189999999999</v>
      </c>
      <c r="N5979">
        <v>0</v>
      </c>
      <c r="O5979">
        <v>-0.15190619999999999</v>
      </c>
      <c r="P5979">
        <v>0.99837830000000005</v>
      </c>
      <c r="Q5979">
        <v>4.5765010000000002E-2</v>
      </c>
      <c r="R5979">
        <v>-3.3860790000000002E-2</v>
      </c>
      <c r="S5979">
        <v>3.0019230000000001</v>
      </c>
      <c r="T5979">
        <v>-0.12661339999999999</v>
      </c>
      <c r="U5979">
        <v>-0.24862670000000001</v>
      </c>
      <c r="V5979">
        <v>-0.1184545</v>
      </c>
      <c r="W5979">
        <v>4.7594989999999997E-2</v>
      </c>
      <c r="X5979">
        <v>0.99181810000000004</v>
      </c>
      <c r="Y5979">
        <v>-6.9612110000000005E-2</v>
      </c>
      <c r="Z5979">
        <v>7.8294609999999994E-3</v>
      </c>
      <c r="AA5979">
        <v>0.99754339999999997</v>
      </c>
      <c r="AB5979">
        <v>23</v>
      </c>
      <c r="AC5979">
        <v>26.110499999999998</v>
      </c>
      <c r="AD5979">
        <v>-1.1060028791542</v>
      </c>
      <c r="AE5979">
        <v>-2.1560999999999901</v>
      </c>
      <c r="AF5979">
        <v>-1.83201570137615</v>
      </c>
      <c r="AG5979">
        <v>-1.1060028791542</v>
      </c>
      <c r="AH5979">
        <v>26.088517311062201</v>
      </c>
      <c r="AI5979">
        <v>92.421601103066394</v>
      </c>
      <c r="AJ5979">
        <v>94.016891225037696</v>
      </c>
      <c r="AK5979">
        <v>26.176139123033</v>
      </c>
    </row>
    <row r="5980" spans="1:37" x14ac:dyDescent="0.2">
      <c r="A5980" t="str">
        <f>"20200111155717381"</f>
        <v>20200111155717381</v>
      </c>
      <c r="B5980" t="str">
        <f>"1578729437379494"</f>
        <v>1578729437379494</v>
      </c>
      <c r="C5980" t="s">
        <v>37</v>
      </c>
      <c r="D5980">
        <v>4.6102970000000001</v>
      </c>
      <c r="E5980">
        <v>0.51981499999999903</v>
      </c>
      <c r="F5980" t="s">
        <v>97</v>
      </c>
      <c r="G5980">
        <v>-251.6619</v>
      </c>
      <c r="H5980" s="1">
        <v>-6.7599800000000002E-7</v>
      </c>
      <c r="I5980">
        <v>-64.102319999999906</v>
      </c>
      <c r="J5980">
        <v>-278.03410000000002</v>
      </c>
      <c r="K5980">
        <v>1.106063</v>
      </c>
      <c r="L5980">
        <v>-61.955689999999997</v>
      </c>
      <c r="M5980">
        <v>0.98893430000000004</v>
      </c>
      <c r="N5980">
        <v>0</v>
      </c>
      <c r="O5980">
        <v>-0.1483391</v>
      </c>
      <c r="P5980">
        <v>0.99842609999999998</v>
      </c>
      <c r="Q5980">
        <v>4.659315E-2</v>
      </c>
      <c r="R5980">
        <v>-3.121875E-2</v>
      </c>
      <c r="S5980">
        <v>3.0022279999999899</v>
      </c>
      <c r="T5980">
        <v>-0.124853399999999</v>
      </c>
      <c r="U5980">
        <v>-0.24575810000000001</v>
      </c>
      <c r="V5980">
        <v>-0.1175083</v>
      </c>
      <c r="W5980">
        <v>4.8061270000000003E-2</v>
      </c>
      <c r="X5980">
        <v>0.99190820000000002</v>
      </c>
      <c r="Y5980">
        <v>-6.6978259999999998E-2</v>
      </c>
      <c r="Z5980">
        <v>7.5193969999999997E-3</v>
      </c>
      <c r="AA5980">
        <v>0.99772609999999995</v>
      </c>
      <c r="AB5980">
        <v>23</v>
      </c>
      <c r="AC5980">
        <v>26.372199999999999</v>
      </c>
      <c r="AD5980">
        <v>-1.106063675998</v>
      </c>
      <c r="AE5980">
        <v>-2.1466299999999801</v>
      </c>
      <c r="AF5980">
        <v>-1.78603539752699</v>
      </c>
      <c r="AG5980">
        <v>-1.106063675998</v>
      </c>
      <c r="AH5980">
        <v>26.352811527966299</v>
      </c>
      <c r="AI5980">
        <v>92.397877574238507</v>
      </c>
      <c r="AJ5980">
        <v>93.877234850500898</v>
      </c>
      <c r="AK5980">
        <v>26.4364138022746</v>
      </c>
    </row>
    <row r="5981" spans="1:37" x14ac:dyDescent="0.2">
      <c r="A5981" t="str">
        <f>"20200111155717393"</f>
        <v>20200111155717393</v>
      </c>
      <c r="B5981" t="str">
        <f>"1578729437389254"</f>
        <v>1578729437389254</v>
      </c>
      <c r="C5981" t="s">
        <v>37</v>
      </c>
      <c r="D5981">
        <v>4.6367649999999996</v>
      </c>
      <c r="E5981">
        <v>0.51994399999999996</v>
      </c>
      <c r="F5981" t="s">
        <v>97</v>
      </c>
      <c r="G5981">
        <v>-250.65979999999999</v>
      </c>
      <c r="H5981" s="1">
        <v>-2.5469909999999999E-7</v>
      </c>
      <c r="I5981">
        <v>-64.140919999999994</v>
      </c>
      <c r="J5981">
        <v>-277.90640000000002</v>
      </c>
      <c r="K5981">
        <v>1.1060989999999999</v>
      </c>
      <c r="L5981">
        <v>-61.972749999999998</v>
      </c>
      <c r="M5981">
        <v>0.9892455</v>
      </c>
      <c r="N5981">
        <v>0</v>
      </c>
      <c r="O5981">
        <v>-0.14625150000000001</v>
      </c>
      <c r="P5981">
        <v>0.9984189</v>
      </c>
      <c r="Q5981">
        <v>4.7121870000000003E-2</v>
      </c>
      <c r="R5981">
        <v>-3.064803E-2</v>
      </c>
      <c r="S5981">
        <v>3.0028990000000002</v>
      </c>
      <c r="T5981">
        <v>-0.12133239999999899</v>
      </c>
      <c r="U5981">
        <v>-0.2397156</v>
      </c>
      <c r="V5981">
        <v>-0.1159857</v>
      </c>
      <c r="W5981">
        <v>4.8406100000000001E-2</v>
      </c>
      <c r="X5981">
        <v>0.99207069999999997</v>
      </c>
      <c r="Y5981">
        <v>-6.6897090000000006E-2</v>
      </c>
      <c r="Z5981">
        <v>7.2218250000000003E-3</v>
      </c>
      <c r="AA5981">
        <v>0.9977338</v>
      </c>
      <c r="AB5981">
        <v>23</v>
      </c>
      <c r="AC5981">
        <v>27.246600000000001</v>
      </c>
      <c r="AD5981">
        <v>-1.1060992546991</v>
      </c>
      <c r="AE5981">
        <v>-2.1681699999999902</v>
      </c>
      <c r="AF5981">
        <v>-1.83699886794914</v>
      </c>
      <c r="AG5981">
        <v>-1.1060992546991</v>
      </c>
      <c r="AH5981">
        <v>27.226139910723301</v>
      </c>
      <c r="AI5981">
        <v>92.321168498127804</v>
      </c>
      <c r="AJ5981">
        <v>93.860003605110407</v>
      </c>
      <c r="AK5981">
        <v>27.310450652458499</v>
      </c>
    </row>
    <row r="5982" spans="1:37" x14ac:dyDescent="0.2">
      <c r="A5982" t="str">
        <f>"20200111155717404"</f>
        <v>20200111155717404</v>
      </c>
      <c r="B5982" t="str">
        <f>"1578729437399013"</f>
        <v>1578729437399013</v>
      </c>
      <c r="C5982" t="s">
        <v>37</v>
      </c>
      <c r="D5982">
        <v>4.6021320000000001</v>
      </c>
      <c r="E5982">
        <v>0.52008319999999997</v>
      </c>
      <c r="F5982" t="s">
        <v>97</v>
      </c>
      <c r="G5982">
        <v>-250.11940000000001</v>
      </c>
      <c r="H5982" s="1">
        <v>-3.2760970000000002E-8</v>
      </c>
      <c r="I5982">
        <v>-64.185459999999907</v>
      </c>
      <c r="J5982">
        <v>-277.7946</v>
      </c>
      <c r="K5982">
        <v>1.1061270000000001</v>
      </c>
      <c r="L5982">
        <v>-61.987400000000001</v>
      </c>
      <c r="M5982">
        <v>0.98951659999999997</v>
      </c>
      <c r="N5982">
        <v>0</v>
      </c>
      <c r="O5982">
        <v>-0.14440790000000001</v>
      </c>
      <c r="P5982">
        <v>0.99844219999999895</v>
      </c>
      <c r="Q5982">
        <v>4.7397639999999998E-2</v>
      </c>
      <c r="R5982">
        <v>-2.9440270000000001E-2</v>
      </c>
      <c r="S5982">
        <v>3.0030519999999998</v>
      </c>
      <c r="T5982">
        <v>-0.1195406</v>
      </c>
      <c r="U5982">
        <v>-0.23913570000000001</v>
      </c>
      <c r="V5982">
        <v>-0.1153411</v>
      </c>
      <c r="W5982">
        <v>4.852708E-2</v>
      </c>
      <c r="X5982">
        <v>0.99213989999999996</v>
      </c>
      <c r="Y5982">
        <v>-6.5240950000000006E-2</v>
      </c>
      <c r="Z5982">
        <v>7.0096359999999996E-3</v>
      </c>
      <c r="AA5982">
        <v>0.99784490000000003</v>
      </c>
      <c r="AB5982">
        <v>23</v>
      </c>
      <c r="AC5982">
        <v>27.675199999999901</v>
      </c>
      <c r="AD5982">
        <v>-1.10612703276097</v>
      </c>
      <c r="AE5982">
        <v>-2.1980599999999901</v>
      </c>
      <c r="AF5982">
        <v>-1.8186166762181299</v>
      </c>
      <c r="AG5982">
        <v>-1.10612703276097</v>
      </c>
      <c r="AH5982">
        <v>27.658625718517801</v>
      </c>
      <c r="AI5982">
        <v>92.285229821481195</v>
      </c>
      <c r="AJ5982">
        <v>93.7619108853916</v>
      </c>
      <c r="AK5982">
        <v>27.740412042085399</v>
      </c>
    </row>
    <row r="5983" spans="1:37" x14ac:dyDescent="0.2">
      <c r="A5983" t="str">
        <f>"20200111155717414"</f>
        <v>20200111155717414</v>
      </c>
      <c r="B5983" t="str">
        <f>"1578729437408774"</f>
        <v>1578729437408774</v>
      </c>
      <c r="C5983" t="s">
        <v>37</v>
      </c>
      <c r="D5983">
        <v>4.6577760000000001</v>
      </c>
      <c r="E5983">
        <v>0.52020049999999995</v>
      </c>
      <c r="F5983" t="s">
        <v>98</v>
      </c>
      <c r="G5983">
        <v>-249.7243</v>
      </c>
      <c r="H5983" s="1">
        <v>-3.8600009999999997E-6</v>
      </c>
      <c r="I5983">
        <v>-64.198689999999999</v>
      </c>
      <c r="J5983">
        <v>-277.67829999999998</v>
      </c>
      <c r="K5983">
        <v>1.106155</v>
      </c>
      <c r="L5983">
        <v>-62.002469999999903</v>
      </c>
      <c r="M5983">
        <v>0.98979709999999999</v>
      </c>
      <c r="N5983">
        <v>0</v>
      </c>
      <c r="O5983">
        <v>-0.14247470000000001</v>
      </c>
      <c r="P5983">
        <v>0.99848369999999997</v>
      </c>
      <c r="Q5983">
        <v>4.7098359999999999E-2</v>
      </c>
      <c r="R5983">
        <v>-2.8496299999999902E-2</v>
      </c>
      <c r="S5983">
        <v>3.0033569999999998</v>
      </c>
      <c r="T5983">
        <v>-0.11834929999999901</v>
      </c>
      <c r="U5983">
        <v>-0.236602799999999</v>
      </c>
      <c r="V5983">
        <v>-0.1143453</v>
      </c>
      <c r="W5983">
        <v>4.807699E-2</v>
      </c>
      <c r="X5983">
        <v>0.99227699999999996</v>
      </c>
      <c r="Y5983">
        <v>-6.4141509999999999E-2</v>
      </c>
      <c r="Z5983">
        <v>6.8426040000000004E-3</v>
      </c>
      <c r="AA5983">
        <v>0.99791739999999995</v>
      </c>
      <c r="AB5983">
        <v>23</v>
      </c>
      <c r="AC5983">
        <v>27.953999999999901</v>
      </c>
      <c r="AD5983">
        <v>-1.1061588600009999</v>
      </c>
      <c r="AE5983">
        <v>-2.1962199999999998</v>
      </c>
      <c r="AF5983">
        <v>-1.80611724406358</v>
      </c>
      <c r="AG5983">
        <v>-1.1061588600009999</v>
      </c>
      <c r="AH5983">
        <v>27.938252713313599</v>
      </c>
      <c r="AI5983">
        <v>92.2626086610709</v>
      </c>
      <c r="AJ5983">
        <v>93.698838943312694</v>
      </c>
      <c r="AK5983">
        <v>28.0184155796832</v>
      </c>
    </row>
    <row r="5984" spans="1:37" x14ac:dyDescent="0.2">
      <c r="A5984" t="str">
        <f>"20200111155717427"</f>
        <v>20200111155717427</v>
      </c>
      <c r="B5984" t="str">
        <f>"1578729437419509"</f>
        <v>1578729437419509</v>
      </c>
      <c r="C5984" t="s">
        <v>37</v>
      </c>
      <c r="D5984">
        <v>4.5940389999999898</v>
      </c>
      <c r="E5984">
        <v>0.52039519999999995</v>
      </c>
      <c r="F5984" t="s">
        <v>98</v>
      </c>
      <c r="G5984">
        <v>-249.65099999999899</v>
      </c>
      <c r="H5984" s="1">
        <v>-3.8338410000000001E-6</v>
      </c>
      <c r="I5984">
        <v>-64.191800000000001</v>
      </c>
      <c r="J5984">
        <v>-277.55869999999999</v>
      </c>
      <c r="K5984">
        <v>1.1061840000000001</v>
      </c>
      <c r="L5984">
        <v>-62.017580000000002</v>
      </c>
      <c r="M5984">
        <v>0.99008529999999995</v>
      </c>
      <c r="N5984">
        <v>0</v>
      </c>
      <c r="O5984">
        <v>-0.14045969999999999</v>
      </c>
      <c r="P5984">
        <v>0.99852180000000001</v>
      </c>
      <c r="Q5984">
        <v>4.7002479999999999E-2</v>
      </c>
      <c r="R5984">
        <v>-2.7302659999999999E-2</v>
      </c>
      <c r="S5984">
        <v>3.0034480000000001</v>
      </c>
      <c r="T5984">
        <v>-0.11853759999999899</v>
      </c>
      <c r="U5984">
        <v>-0.2346191</v>
      </c>
      <c r="V5984">
        <v>-0.1135162</v>
      </c>
      <c r="W5984">
        <v>4.7838360000000003E-2</v>
      </c>
      <c r="X5984">
        <v>0.99238379999999904</v>
      </c>
      <c r="Y5984">
        <v>-6.276967E-2</v>
      </c>
      <c r="Z5984">
        <v>6.7479439999999996E-3</v>
      </c>
      <c r="AA5984">
        <v>0.99800519999999904</v>
      </c>
      <c r="AB5984">
        <v>23</v>
      </c>
      <c r="AC5984">
        <v>27.907699999999998</v>
      </c>
      <c r="AD5984">
        <v>-1.1061878338410001</v>
      </c>
      <c r="AE5984">
        <v>-2.1742199999999898</v>
      </c>
      <c r="AF5984">
        <v>-1.76449032418483</v>
      </c>
      <c r="AG5984">
        <v>-1.1061878338410001</v>
      </c>
      <c r="AH5984">
        <v>27.892865459691102</v>
      </c>
      <c r="AI5984">
        <v>92.266545880704896</v>
      </c>
      <c r="AJ5984">
        <v>93.619682415103199</v>
      </c>
      <c r="AK5984">
        <v>27.9705026980265</v>
      </c>
    </row>
    <row r="5985" spans="1:37" x14ac:dyDescent="0.2">
      <c r="A5985" t="str">
        <f>"20200111155717437"</f>
        <v>20200111155717437</v>
      </c>
      <c r="B5985" t="str">
        <f>"1578729437429269"</f>
        <v>1578729437429269</v>
      </c>
      <c r="C5985" t="s">
        <v>37</v>
      </c>
      <c r="D5985">
        <v>4.55985</v>
      </c>
      <c r="E5985">
        <v>0.52054699999999998</v>
      </c>
      <c r="F5985" t="s">
        <v>98</v>
      </c>
      <c r="G5985">
        <v>-249.4907</v>
      </c>
      <c r="H5985" s="1">
        <v>-3.77896299999999E-6</v>
      </c>
      <c r="I5985">
        <v>-64.189970000000002</v>
      </c>
      <c r="J5985">
        <v>-277.44450000000001</v>
      </c>
      <c r="K5985">
        <v>1.1062099999999999</v>
      </c>
      <c r="L5985">
        <v>-62.031950000000002</v>
      </c>
      <c r="M5985">
        <v>0.99035779999999995</v>
      </c>
      <c r="N5985">
        <v>0</v>
      </c>
      <c r="O5985">
        <v>-0.1385256</v>
      </c>
      <c r="P5985">
        <v>0.99856329999999904</v>
      </c>
      <c r="Q5985">
        <v>4.6736260000000002E-2</v>
      </c>
      <c r="R5985">
        <v>-2.621149E-2</v>
      </c>
      <c r="S5985">
        <v>3.0036619999999998</v>
      </c>
      <c r="T5985">
        <v>-0.118377199999999</v>
      </c>
      <c r="U5985">
        <v>-0.23248289999999899</v>
      </c>
      <c r="V5985">
        <v>-0.11266610000000001</v>
      </c>
      <c r="W5985">
        <v>4.744019E-2</v>
      </c>
      <c r="X5985">
        <v>0.99249979999999904</v>
      </c>
      <c r="Y5985">
        <v>-6.1534180000000001E-2</v>
      </c>
      <c r="Z5985">
        <v>6.638985E-3</v>
      </c>
      <c r="AA5985">
        <v>0.9980829</v>
      </c>
      <c r="AB5985">
        <v>24</v>
      </c>
      <c r="AC5985">
        <v>27.953800000000001</v>
      </c>
      <c r="AD5985">
        <v>-1.106213778963</v>
      </c>
      <c r="AE5985">
        <v>-2.15802</v>
      </c>
      <c r="AF5985">
        <v>-1.7324098775079599</v>
      </c>
      <c r="AG5985">
        <v>-1.106213778963</v>
      </c>
      <c r="AH5985">
        <v>27.939739191233699</v>
      </c>
      <c r="AI5985">
        <v>92.262977228964104</v>
      </c>
      <c r="AJ5985">
        <v>93.548095421352599</v>
      </c>
      <c r="AK5985">
        <v>28.0152454742523</v>
      </c>
    </row>
    <row r="5986" spans="1:37" x14ac:dyDescent="0.2">
      <c r="A5986" t="str">
        <f>"20200111155717448"</f>
        <v>20200111155717448</v>
      </c>
      <c r="B5986" t="str">
        <f>"1578729437439029"</f>
        <v>1578729437439029</v>
      </c>
      <c r="C5986" t="s">
        <v>37</v>
      </c>
      <c r="D5986">
        <v>4.5764969999999998</v>
      </c>
      <c r="E5986">
        <v>0.52071659999999997</v>
      </c>
      <c r="F5986" t="s">
        <v>98</v>
      </c>
      <c r="G5986">
        <v>-249.47139999999999</v>
      </c>
      <c r="H5986" s="1">
        <v>-3.7698309999999899E-6</v>
      </c>
      <c r="I5986">
        <v>-64.175560000000004</v>
      </c>
      <c r="J5986">
        <v>-277.32870000000003</v>
      </c>
      <c r="K5986">
        <v>1.1062369999999999</v>
      </c>
      <c r="L5986">
        <v>-62.046050000000001</v>
      </c>
      <c r="M5986">
        <v>0.99063500000000004</v>
      </c>
      <c r="N5986">
        <v>0</v>
      </c>
      <c r="O5986">
        <v>-0.1365305</v>
      </c>
      <c r="P5986">
        <v>0.99860599999999999</v>
      </c>
      <c r="Q5986">
        <v>4.6512310000000001E-2</v>
      </c>
      <c r="R5986">
        <v>-2.4956929999999999E-2</v>
      </c>
      <c r="S5986">
        <v>3.0038450000000001</v>
      </c>
      <c r="T5986">
        <v>-0.11878859999999999</v>
      </c>
      <c r="U5986">
        <v>-0.23019410000000001</v>
      </c>
      <c r="V5986">
        <v>-0.11191769999999999</v>
      </c>
      <c r="W5986">
        <v>4.7096770000000003E-2</v>
      </c>
      <c r="X5986">
        <v>0.99260079999999995</v>
      </c>
      <c r="Y5986">
        <v>-6.0285819999999997E-2</v>
      </c>
      <c r="Z5986">
        <v>6.5592849999999998E-3</v>
      </c>
      <c r="AA5986">
        <v>0.99815959999999904</v>
      </c>
      <c r="AB5986">
        <v>24</v>
      </c>
      <c r="AC5986">
        <v>27.857299999999999</v>
      </c>
      <c r="AD5986">
        <v>-1.1062407698309999</v>
      </c>
      <c r="AE5986">
        <v>-2.1295099999999998</v>
      </c>
      <c r="AF5986">
        <v>-1.6911540226903199</v>
      </c>
      <c r="AG5986">
        <v>-1.1062407698309999</v>
      </c>
      <c r="AH5986">
        <v>27.843530321906101</v>
      </c>
      <c r="AI5986">
        <v>92.271019559846906</v>
      </c>
      <c r="AJ5986">
        <v>93.475748142437496</v>
      </c>
      <c r="AK5986">
        <v>27.916768282811699</v>
      </c>
    </row>
    <row r="5987" spans="1:37" x14ac:dyDescent="0.2">
      <c r="A5987" t="str">
        <f>"20200111155717460"</f>
        <v>20200111155717460</v>
      </c>
      <c r="B5987" t="str">
        <f>"1578729437448790"</f>
        <v>1578729437448790</v>
      </c>
      <c r="C5987" t="s">
        <v>37</v>
      </c>
      <c r="D5987">
        <v>4.5494979999999998</v>
      </c>
      <c r="E5987">
        <v>0.52087039999999996</v>
      </c>
      <c r="F5987" t="s">
        <v>98</v>
      </c>
      <c r="G5987">
        <v>-249.44290000000001</v>
      </c>
      <c r="H5987" s="1">
        <v>-3.757321E-6</v>
      </c>
      <c r="I5987">
        <v>-64.159580000000005</v>
      </c>
      <c r="J5987">
        <v>-277.20359999999999</v>
      </c>
      <c r="K5987">
        <v>1.106263</v>
      </c>
      <c r="L5987">
        <v>-62.061190000000003</v>
      </c>
      <c r="M5987">
        <v>0.99093129999999996</v>
      </c>
      <c r="N5987">
        <v>0</v>
      </c>
      <c r="O5987">
        <v>-0.1343647</v>
      </c>
      <c r="P5987">
        <v>0.99866299999999997</v>
      </c>
      <c r="Q5987">
        <v>4.601682E-2</v>
      </c>
      <c r="R5987">
        <v>-2.3552360000000001E-2</v>
      </c>
      <c r="S5987">
        <v>3.0040589999999998</v>
      </c>
      <c r="T5987">
        <v>-0.11917219999999901</v>
      </c>
      <c r="U5987">
        <v>-0.2276917</v>
      </c>
      <c r="V5987">
        <v>-0.111148499999999</v>
      </c>
      <c r="W5987">
        <v>4.6475660000000002E-2</v>
      </c>
      <c r="X5987">
        <v>0.9927165</v>
      </c>
      <c r="Y5987">
        <v>-5.8937639999999999E-2</v>
      </c>
      <c r="Z5987">
        <v>6.4686319999999898E-3</v>
      </c>
      <c r="AA5987">
        <v>0.99824069999999898</v>
      </c>
      <c r="AB5987">
        <v>24</v>
      </c>
      <c r="AC5987">
        <v>27.7606999999999</v>
      </c>
      <c r="AD5987">
        <v>-1.1062667573210001</v>
      </c>
      <c r="AE5987">
        <v>-2.0983900000000002</v>
      </c>
      <c r="AF5987">
        <v>-1.6480964991760001</v>
      </c>
      <c r="AG5987">
        <v>-1.1062667573210001</v>
      </c>
      <c r="AH5987">
        <v>27.747101035071399</v>
      </c>
      <c r="AI5987">
        <v>92.279139873553603</v>
      </c>
      <c r="AJ5987">
        <v>93.3992076917947</v>
      </c>
      <c r="AK5987">
        <v>27.8180097070119</v>
      </c>
    </row>
    <row r="5988" spans="1:37" x14ac:dyDescent="0.2">
      <c r="A5988" t="str">
        <f>"20200111155717472"</f>
        <v>20200111155717472</v>
      </c>
      <c r="B5988" t="str">
        <f>"1578729437469285"</f>
        <v>1578729437469285</v>
      </c>
      <c r="C5988" t="s">
        <v>37</v>
      </c>
      <c r="D5988">
        <v>4.7110149999999997</v>
      </c>
      <c r="E5988">
        <v>0.5210804</v>
      </c>
      <c r="F5988" t="s">
        <v>98</v>
      </c>
      <c r="G5988">
        <v>-249.6284</v>
      </c>
      <c r="H5988" s="1">
        <v>-3.8136950000000001E-6</v>
      </c>
      <c r="I5988">
        <v>-64.121610000000004</v>
      </c>
      <c r="J5988">
        <v>-277.0813</v>
      </c>
      <c r="K5988">
        <v>1.1062920000000001</v>
      </c>
      <c r="L5988">
        <v>-62.075559999999903</v>
      </c>
      <c r="M5988">
        <v>0.99121999999999999</v>
      </c>
      <c r="N5988">
        <v>0</v>
      </c>
      <c r="O5988">
        <v>-0.13221810000000001</v>
      </c>
      <c r="P5988">
        <v>0.99870709999999996</v>
      </c>
      <c r="Q5988">
        <v>4.5933179999999997E-2</v>
      </c>
      <c r="R5988">
        <v>-2.177693E-2</v>
      </c>
      <c r="S5988">
        <v>3.0042719999999998</v>
      </c>
      <c r="T5988">
        <v>-0.12052599999999999</v>
      </c>
      <c r="U5988">
        <v>-0.2244873</v>
      </c>
      <c r="V5988">
        <v>-0.11076749999999901</v>
      </c>
      <c r="W5988">
        <v>4.6279889999999997E-2</v>
      </c>
      <c r="X5988">
        <v>0.99276819999999899</v>
      </c>
      <c r="Y5988">
        <v>-5.7838670000000002E-2</v>
      </c>
      <c r="Z5988">
        <v>6.4347739999999999E-3</v>
      </c>
      <c r="AA5988">
        <v>0.9983052</v>
      </c>
      <c r="AB5988">
        <v>24</v>
      </c>
      <c r="AC5988">
        <v>27.4529</v>
      </c>
      <c r="AD5988">
        <v>-1.1062958136950001</v>
      </c>
      <c r="AE5988">
        <v>-2.0460500000000001</v>
      </c>
      <c r="AF5988">
        <v>-1.59910314656837</v>
      </c>
      <c r="AG5988">
        <v>-1.1062958136950001</v>
      </c>
      <c r="AH5988">
        <v>27.43809476122</v>
      </c>
      <c r="AI5988">
        <v>92.304991117874707</v>
      </c>
      <c r="AJ5988">
        <v>93.335447981003597</v>
      </c>
      <c r="AK5988">
        <v>27.506909412481299</v>
      </c>
    </row>
    <row r="5989" spans="1:37" x14ac:dyDescent="0.2">
      <c r="A5989" t="str">
        <f>"20200111155717483"</f>
        <v>20200111155717483</v>
      </c>
      <c r="B5989" t="str">
        <f>"1578729437479046"</f>
        <v>1578729437479046</v>
      </c>
      <c r="C5989" t="s">
        <v>37</v>
      </c>
      <c r="D5989">
        <v>4.491473</v>
      </c>
      <c r="E5989">
        <v>0.52125449999999995</v>
      </c>
      <c r="F5989" t="s">
        <v>98</v>
      </c>
      <c r="G5989">
        <v>-249.33449999999999</v>
      </c>
      <c r="H5989" s="1">
        <v>-3.7123780000000001E-6</v>
      </c>
      <c r="I5989">
        <v>-64.114219999999904</v>
      </c>
      <c r="J5989">
        <v>-276.95929999999998</v>
      </c>
      <c r="K5989">
        <v>1.10632</v>
      </c>
      <c r="L5989">
        <v>-62.0897199999999</v>
      </c>
      <c r="M5989">
        <v>0.99150539999999998</v>
      </c>
      <c r="N5989">
        <v>0</v>
      </c>
      <c r="O5989">
        <v>-0.13006229999999999</v>
      </c>
      <c r="P5989">
        <v>0.99874159999999901</v>
      </c>
      <c r="Q5989">
        <v>4.5998329999999997E-2</v>
      </c>
      <c r="R5989">
        <v>-1.9995280000000001E-2</v>
      </c>
      <c r="S5989">
        <v>3.004578</v>
      </c>
      <c r="T5989">
        <v>-0.11979569999999901</v>
      </c>
      <c r="U5989">
        <v>-0.22076419999999999</v>
      </c>
      <c r="V5989">
        <v>-0.110384199999999</v>
      </c>
      <c r="W5989">
        <v>4.6238920000000003E-2</v>
      </c>
      <c r="X5989">
        <v>0.99281280000000005</v>
      </c>
      <c r="Y5989">
        <v>-5.6909809999999998E-2</v>
      </c>
      <c r="Z5989">
        <v>6.2920469999999899E-3</v>
      </c>
      <c r="AA5989">
        <v>0.99835949999999996</v>
      </c>
      <c r="AB5989">
        <v>24</v>
      </c>
      <c r="AC5989">
        <v>27.6248</v>
      </c>
      <c r="AD5989">
        <v>-1.1063237123780001</v>
      </c>
      <c r="AE5989">
        <v>-2.02449999999999</v>
      </c>
      <c r="AF5989">
        <v>-1.5831174756575499</v>
      </c>
      <c r="AG5989">
        <v>-1.1063237123780001</v>
      </c>
      <c r="AH5989">
        <v>27.609416061910402</v>
      </c>
      <c r="AI5989">
        <v>92.290885254146602</v>
      </c>
      <c r="AJ5989">
        <v>93.281733163809093</v>
      </c>
      <c r="AK5989">
        <v>27.676886898240198</v>
      </c>
    </row>
    <row r="5990" spans="1:37" x14ac:dyDescent="0.2">
      <c r="A5990" t="str">
        <f>"20200111155717494"</f>
        <v>20200111155717494</v>
      </c>
      <c r="B5990" t="str">
        <f>"1578729437488805"</f>
        <v>1578729437488805</v>
      </c>
      <c r="C5990" t="s">
        <v>37</v>
      </c>
      <c r="D5990">
        <v>4.6661019999999898</v>
      </c>
      <c r="E5990">
        <v>0.52125449999999995</v>
      </c>
      <c r="F5990" t="s">
        <v>98</v>
      </c>
      <c r="G5990">
        <v>-249.06460000000001</v>
      </c>
      <c r="H5990" s="1">
        <v>-3.6184069999999999E-6</v>
      </c>
      <c r="I5990">
        <v>-64.102189999999993</v>
      </c>
      <c r="J5990">
        <v>-276.8365</v>
      </c>
      <c r="K5990">
        <v>1.1063510000000001</v>
      </c>
      <c r="L5990">
        <v>-62.103639999999999</v>
      </c>
      <c r="M5990">
        <v>0.99179010000000001</v>
      </c>
      <c r="N5990">
        <v>0</v>
      </c>
      <c r="O5990">
        <v>-0.1278735</v>
      </c>
      <c r="P5990">
        <v>0.99879509999999905</v>
      </c>
      <c r="Q5990">
        <v>4.5705370000000002E-2</v>
      </c>
      <c r="R5990">
        <v>-1.7872889999999999E-2</v>
      </c>
      <c r="S5990">
        <v>3.0049130000000002</v>
      </c>
      <c r="T5990">
        <v>-0.11917699999999901</v>
      </c>
      <c r="U5990">
        <v>-0.21679689999999999</v>
      </c>
      <c r="V5990">
        <v>-0.11030619999999999</v>
      </c>
      <c r="W5990">
        <v>4.5844990000000002E-2</v>
      </c>
      <c r="X5990">
        <v>0.99283980000000005</v>
      </c>
      <c r="Y5990">
        <v>-5.6029299999999997E-2</v>
      </c>
      <c r="Z5990">
        <v>6.1559450000000003E-3</v>
      </c>
      <c r="AA5990">
        <v>0.99841019999999903</v>
      </c>
      <c r="AB5990">
        <v>24</v>
      </c>
      <c r="AC5990">
        <v>27.771899999999899</v>
      </c>
      <c r="AD5990">
        <v>-1.1063546184069999</v>
      </c>
      <c r="AE5990">
        <v>-1.99855</v>
      </c>
      <c r="AF5990">
        <v>-1.56667504371901</v>
      </c>
      <c r="AG5990">
        <v>-1.1063546184069999</v>
      </c>
      <c r="AH5990">
        <v>27.755646367943001</v>
      </c>
      <c r="AI5990">
        <v>92.279007582820498</v>
      </c>
      <c r="AJ5990">
        <v>93.230647819256006</v>
      </c>
      <c r="AK5990">
        <v>27.821833090876499</v>
      </c>
    </row>
    <row r="5991" spans="1:37" x14ac:dyDescent="0.2">
      <c r="A5991" t="str">
        <f>"20200111155717505"</f>
        <v>20200111155717505</v>
      </c>
      <c r="B5991" t="str">
        <f>"1578729437498565"</f>
        <v>1578729437498565</v>
      </c>
      <c r="C5991" t="s">
        <v>37</v>
      </c>
      <c r="D5991">
        <v>4.7539999999999996</v>
      </c>
      <c r="E5991">
        <v>0.53201100000000001</v>
      </c>
      <c r="F5991" t="s">
        <v>98</v>
      </c>
      <c r="G5991">
        <v>-249.1379</v>
      </c>
      <c r="H5991" s="1">
        <v>-3.6329270000000001E-6</v>
      </c>
      <c r="I5991">
        <v>-64.043469999999999</v>
      </c>
      <c r="J5991">
        <v>-276.7201</v>
      </c>
      <c r="K5991">
        <v>1.106376</v>
      </c>
      <c r="L5991">
        <v>-62.116549999999997</v>
      </c>
      <c r="M5991">
        <v>0.99205779999999999</v>
      </c>
      <c r="N5991">
        <v>0</v>
      </c>
      <c r="O5991">
        <v>-0.125781</v>
      </c>
      <c r="P5991">
        <v>0.99882990000000005</v>
      </c>
      <c r="Q5991">
        <v>4.5730979999999997E-2</v>
      </c>
      <c r="R5991">
        <v>-1.5730069999999999E-2</v>
      </c>
      <c r="S5991">
        <v>3.0053099999999899</v>
      </c>
      <c r="T5991">
        <v>-0.1200398</v>
      </c>
      <c r="U5991">
        <v>-0.21047969999999999</v>
      </c>
      <c r="V5991">
        <v>-0.1103454</v>
      </c>
      <c r="W5991">
        <v>4.57826E-2</v>
      </c>
      <c r="X5991">
        <v>0.99283829999999995</v>
      </c>
      <c r="Y5991">
        <v>-5.6020140000000003E-2</v>
      </c>
      <c r="Z5991">
        <v>6.117356E-3</v>
      </c>
      <c r="AA5991">
        <v>0.99841089999999999</v>
      </c>
      <c r="AB5991">
        <v>24</v>
      </c>
      <c r="AC5991">
        <v>27.5822</v>
      </c>
      <c r="AD5991">
        <v>-1.1063796329269999</v>
      </c>
      <c r="AE5991">
        <v>-1.92692</v>
      </c>
      <c r="AF5991">
        <v>-1.55521089238034</v>
      </c>
      <c r="AG5991">
        <v>-1.1063796329269999</v>
      </c>
      <c r="AH5991">
        <v>27.561382623828798</v>
      </c>
      <c r="AI5991">
        <v>92.295108000697496</v>
      </c>
      <c r="AJ5991">
        <v>93.229614016381106</v>
      </c>
      <c r="AK5991">
        <v>27.627388022558801</v>
      </c>
    </row>
    <row r="5992" spans="1:37" x14ac:dyDescent="0.2">
      <c r="A5992" t="str">
        <f>"20200111155717516"</f>
        <v>20200111155717516</v>
      </c>
      <c r="B5992" t="str">
        <f>"1578729437509302"</f>
        <v>1578729437509302</v>
      </c>
      <c r="C5992" t="s">
        <v>37</v>
      </c>
      <c r="D5992">
        <v>4.4794580000000002</v>
      </c>
      <c r="E5992">
        <v>0.5320587</v>
      </c>
      <c r="F5992" t="s">
        <v>99</v>
      </c>
      <c r="G5992">
        <v>-234.9511</v>
      </c>
      <c r="H5992" s="1">
        <v>-2.586542E-6</v>
      </c>
      <c r="I5992">
        <v>-66.17671</v>
      </c>
      <c r="J5992">
        <v>-276.59879999999998</v>
      </c>
      <c r="K5992">
        <v>1.106403</v>
      </c>
      <c r="L5992">
        <v>-62.129819999999903</v>
      </c>
      <c r="M5992">
        <v>0.99233309999999997</v>
      </c>
      <c r="N5992">
        <v>0</v>
      </c>
      <c r="O5992">
        <v>-0.1235904</v>
      </c>
      <c r="P5992">
        <v>0.99886949999999997</v>
      </c>
      <c r="Q5992">
        <v>4.5589829999999998E-2</v>
      </c>
      <c r="R5992">
        <v>-1.3466219999999999E-2</v>
      </c>
      <c r="S5992">
        <v>3.0025629999999999</v>
      </c>
      <c r="T5992">
        <v>-7.9532030000000004E-2</v>
      </c>
      <c r="U5992">
        <v>-0.29187009999999902</v>
      </c>
      <c r="V5992">
        <v>-0.11040759999999999</v>
      </c>
      <c r="W5992">
        <v>4.5552999999999899E-2</v>
      </c>
      <c r="X5992">
        <v>0.99284189999999894</v>
      </c>
      <c r="Y5992">
        <v>-2.6949500000000001E-2</v>
      </c>
      <c r="Z5992">
        <v>3.6102619999999999E-3</v>
      </c>
      <c r="AA5992">
        <v>0.99963029999999997</v>
      </c>
      <c r="AB5992">
        <v>24</v>
      </c>
      <c r="AC5992">
        <v>41.647699999999901</v>
      </c>
      <c r="AD5992">
        <v>-1.1064055865419999</v>
      </c>
      <c r="AE5992">
        <v>-4.0468900000000003</v>
      </c>
      <c r="AF5992">
        <v>-1.13060279542192</v>
      </c>
      <c r="AG5992">
        <v>-1.1064055865419999</v>
      </c>
      <c r="AH5992">
        <v>41.799333365193696</v>
      </c>
      <c r="AI5992">
        <v>91.515679948613297</v>
      </c>
      <c r="AJ5992">
        <v>91.549378244530502</v>
      </c>
      <c r="AK5992">
        <v>41.8292560987827</v>
      </c>
    </row>
    <row r="5993" spans="1:37" x14ac:dyDescent="0.2">
      <c r="A5993" t="str">
        <f>"20200111155717527"</f>
        <v>20200111155717527</v>
      </c>
      <c r="B5993" t="str">
        <f>"1578729437519062"</f>
        <v>1578729437519062</v>
      </c>
      <c r="C5993" t="s">
        <v>37</v>
      </c>
      <c r="D5993">
        <v>4.6079169999999996</v>
      </c>
      <c r="E5993">
        <v>0.5318948</v>
      </c>
      <c r="F5993" t="s">
        <v>100</v>
      </c>
      <c r="G5993">
        <v>-229.04230000000001</v>
      </c>
      <c r="H5993" s="1">
        <v>-3.9248250000000002E-6</v>
      </c>
      <c r="I5993">
        <v>-66.660129999999995</v>
      </c>
      <c r="J5993">
        <v>-276.4787</v>
      </c>
      <c r="K5993">
        <v>1.1064240000000001</v>
      </c>
      <c r="L5993">
        <v>-62.14255</v>
      </c>
      <c r="M5993">
        <v>0.99260269999999995</v>
      </c>
      <c r="N5993">
        <v>0</v>
      </c>
      <c r="O5993">
        <v>-0.121406399999999</v>
      </c>
      <c r="P5993">
        <v>0.99891969999999997</v>
      </c>
      <c r="Q5993">
        <v>4.5140050000000001E-2</v>
      </c>
      <c r="R5993">
        <v>-1.104392E-2</v>
      </c>
      <c r="S5993">
        <v>3.0026860000000002</v>
      </c>
      <c r="T5993">
        <v>-6.9857840000000004E-2</v>
      </c>
      <c r="U5993">
        <v>-0.2860413</v>
      </c>
      <c r="V5993">
        <v>-0.1106337</v>
      </c>
      <c r="W5993">
        <v>4.5024740000000001E-2</v>
      </c>
      <c r="X5993">
        <v>0.99284079999999997</v>
      </c>
      <c r="Y5993">
        <v>-2.6688839999999998E-2</v>
      </c>
      <c r="Z5993">
        <v>3.118212E-3</v>
      </c>
      <c r="AA5993">
        <v>0.9996389</v>
      </c>
      <c r="AB5993">
        <v>24</v>
      </c>
      <c r="AC5993">
        <v>47.4363999999999</v>
      </c>
      <c r="AD5993">
        <v>-1.106427924825</v>
      </c>
      <c r="AE5993">
        <v>-4.5175799999999997</v>
      </c>
      <c r="AF5993">
        <v>-1.27423369023616</v>
      </c>
      <c r="AG5993">
        <v>-1.106427924825</v>
      </c>
      <c r="AH5993">
        <v>47.608303011232103</v>
      </c>
      <c r="AI5993">
        <v>91.330851028028206</v>
      </c>
      <c r="AJ5993">
        <v>91.533152454324707</v>
      </c>
      <c r="AK5993">
        <v>47.638202840361799</v>
      </c>
    </row>
    <row r="5994" spans="1:37" x14ac:dyDescent="0.2">
      <c r="A5994" t="str">
        <f>"20200111155717537"</f>
        <v>20200111155717537</v>
      </c>
      <c r="B5994" t="str">
        <f>"1578729437528823"</f>
        <v>1578729437528823</v>
      </c>
      <c r="C5994" t="s">
        <v>37</v>
      </c>
      <c r="D5994">
        <v>4.4913449999999999</v>
      </c>
      <c r="E5994">
        <v>0.53211350000000002</v>
      </c>
      <c r="F5994" t="s">
        <v>100</v>
      </c>
      <c r="G5994">
        <v>-228.334</v>
      </c>
      <c r="H5994" s="1">
        <v>-3.6749639999999998E-6</v>
      </c>
      <c r="I5994">
        <v>-66.593959999999996</v>
      </c>
      <c r="J5994">
        <v>-276.35860000000002</v>
      </c>
      <c r="K5994">
        <v>1.10644599999999</v>
      </c>
      <c r="L5994">
        <v>-62.155149999999999</v>
      </c>
      <c r="M5994">
        <v>0.99286810000000003</v>
      </c>
      <c r="N5994">
        <v>0</v>
      </c>
      <c r="O5994">
        <v>-0.119216899999999</v>
      </c>
      <c r="P5994">
        <v>0.99894799999999995</v>
      </c>
      <c r="Q5994">
        <v>4.4992799999999999E-2</v>
      </c>
      <c r="R5994">
        <v>-8.8733430000000005E-3</v>
      </c>
      <c r="S5994">
        <v>3.0032649999999999</v>
      </c>
      <c r="T5994">
        <v>-6.9018960000000004E-2</v>
      </c>
      <c r="U5994">
        <v>-0.27767940000000002</v>
      </c>
      <c r="V5994">
        <v>-0.11060449999999999</v>
      </c>
      <c r="W5994">
        <v>4.4802269999999998E-2</v>
      </c>
      <c r="X5994">
        <v>0.99285419999999902</v>
      </c>
      <c r="Y5994">
        <v>-2.726263E-2</v>
      </c>
      <c r="Z5994">
        <v>3.0374909999999998E-3</v>
      </c>
      <c r="AA5994">
        <v>0.999623699999999</v>
      </c>
      <c r="AB5994">
        <v>25</v>
      </c>
      <c r="AC5994">
        <v>48.0246</v>
      </c>
      <c r="AD5994">
        <v>-1.10644967496399</v>
      </c>
      <c r="AE5994">
        <v>-4.4388099999999904</v>
      </c>
      <c r="AF5994">
        <v>-1.3174978485950599</v>
      </c>
      <c r="AG5994">
        <v>-1.10644967496399</v>
      </c>
      <c r="AH5994">
        <v>48.185920232440097</v>
      </c>
      <c r="AI5994">
        <v>91.314908738776694</v>
      </c>
      <c r="AJ5994">
        <v>91.566189114118501</v>
      </c>
      <c r="AK5994">
        <v>48.216625142282197</v>
      </c>
    </row>
    <row r="5995" spans="1:37" x14ac:dyDescent="0.2">
      <c r="A5995" t="str">
        <f>"20200111155717549"</f>
        <v>20200111155717549</v>
      </c>
      <c r="B5995" t="str">
        <f>"1578729437538581"</f>
        <v>1578729437538581</v>
      </c>
      <c r="C5995" t="s">
        <v>37</v>
      </c>
      <c r="D5995">
        <v>4.4837530000000001</v>
      </c>
      <c r="E5995">
        <v>0.53221090000000004</v>
      </c>
      <c r="F5995" t="s">
        <v>100</v>
      </c>
      <c r="G5995">
        <v>-228.41229999999999</v>
      </c>
      <c r="H5995" s="1">
        <v>-3.6903999999999999E-6</v>
      </c>
      <c r="I5995">
        <v>-66.510319999999993</v>
      </c>
      <c r="J5995">
        <v>-276.23669999999998</v>
      </c>
      <c r="K5995">
        <v>1.1064659999999999</v>
      </c>
      <c r="L5995">
        <v>-62.167540000000002</v>
      </c>
      <c r="M5995">
        <v>0.99313430000000003</v>
      </c>
      <c r="N5995">
        <v>0</v>
      </c>
      <c r="O5995">
        <v>-0.11697879999999999</v>
      </c>
      <c r="P5995">
        <v>0.99898299999999995</v>
      </c>
      <c r="Q5995">
        <v>4.4666329999999997E-2</v>
      </c>
      <c r="R5995">
        <v>-6.1530869999999998E-3</v>
      </c>
      <c r="S5995">
        <v>3.0039060000000002</v>
      </c>
      <c r="T5995">
        <v>-6.9320560000000003E-2</v>
      </c>
      <c r="U5995">
        <v>-0.27285769999999998</v>
      </c>
      <c r="V5995">
        <v>-0.1110723</v>
      </c>
      <c r="W5995">
        <v>4.4406420000000002E-2</v>
      </c>
      <c r="X5995">
        <v>0.99281969999999997</v>
      </c>
      <c r="Y5995">
        <v>-2.6620669999999999E-2</v>
      </c>
      <c r="Z5995">
        <v>2.9918829999999999E-3</v>
      </c>
      <c r="AA5995">
        <v>0.99964109999999995</v>
      </c>
      <c r="AB5995">
        <v>25</v>
      </c>
      <c r="AC5995">
        <v>47.824399999999997</v>
      </c>
      <c r="AD5995">
        <v>-1.1064696904</v>
      </c>
      <c r="AE5995">
        <v>-4.3427799999999896</v>
      </c>
      <c r="AF5995">
        <v>-1.28079731338483</v>
      </c>
      <c r="AG5995">
        <v>-1.1064696904</v>
      </c>
      <c r="AH5995">
        <v>47.978598665511299</v>
      </c>
      <c r="AI5995">
        <v>91.320635551241097</v>
      </c>
      <c r="AJ5995">
        <v>91.5291579568473</v>
      </c>
      <c r="AK5995">
        <v>48.008443495284801</v>
      </c>
    </row>
    <row r="5996" spans="1:37" x14ac:dyDescent="0.2">
      <c r="A5996" t="str">
        <f>"20200111155717561"</f>
        <v>20200111155717561</v>
      </c>
      <c r="B5996" t="str">
        <f>"1578729437549318"</f>
        <v>1578729437549318</v>
      </c>
      <c r="C5996" t="s">
        <v>37</v>
      </c>
      <c r="D5996">
        <v>4.4584900000000003</v>
      </c>
      <c r="E5996">
        <v>0.53220109999999998</v>
      </c>
      <c r="F5996" t="s">
        <v>100</v>
      </c>
      <c r="G5996">
        <v>-227.5299</v>
      </c>
      <c r="H5996" s="1">
        <v>-3.3851009999999998E-6</v>
      </c>
      <c r="I5996">
        <v>-66.472790000000003</v>
      </c>
      <c r="J5996">
        <v>-276.11059999999998</v>
      </c>
      <c r="K5996">
        <v>1.1064860000000001</v>
      </c>
      <c r="L5996">
        <v>-62.18018</v>
      </c>
      <c r="M5996">
        <v>0.99340430000000002</v>
      </c>
      <c r="N5996">
        <v>0</v>
      </c>
      <c r="O5996">
        <v>-0.1146634</v>
      </c>
      <c r="P5996">
        <v>0.9989924</v>
      </c>
      <c r="Q5996">
        <v>4.4737079999999999E-2</v>
      </c>
      <c r="R5996">
        <v>-3.5857369999999999E-3</v>
      </c>
      <c r="S5996">
        <v>3.0044249999999999</v>
      </c>
      <c r="T5996">
        <v>-6.8251370000000006E-2</v>
      </c>
      <c r="U5996">
        <v>-0.26556399999999902</v>
      </c>
      <c r="V5996">
        <v>-0.1113123</v>
      </c>
      <c r="W5996">
        <v>4.4409280000000002E-2</v>
      </c>
      <c r="X5996">
        <v>0.99279269999999997</v>
      </c>
      <c r="Y5996">
        <v>-2.6715119999999998E-2</v>
      </c>
      <c r="Z5996">
        <v>2.8946359999999999E-3</v>
      </c>
      <c r="AA5996">
        <v>0.9996389</v>
      </c>
      <c r="AB5996">
        <v>25</v>
      </c>
      <c r="AC5996">
        <v>48.580699999999901</v>
      </c>
      <c r="AD5996">
        <v>-1.106489385101</v>
      </c>
      <c r="AE5996">
        <v>-4.29260999999999</v>
      </c>
      <c r="AF5996">
        <v>-1.30545916143912</v>
      </c>
      <c r="AG5996">
        <v>-1.106489385101</v>
      </c>
      <c r="AH5996">
        <v>48.727404417722198</v>
      </c>
      <c r="AI5996">
        <v>91.300367855998601</v>
      </c>
      <c r="AJ5996">
        <v>91.534647973524997</v>
      </c>
      <c r="AK5996">
        <v>48.757445417800398</v>
      </c>
    </row>
    <row r="5997" spans="1:37" x14ac:dyDescent="0.2">
      <c r="A5997" t="str">
        <f>"20200111155717571"</f>
        <v>20200111155717571</v>
      </c>
      <c r="B5997" t="str">
        <f>"1578729437568837"</f>
        <v>1578729437568837</v>
      </c>
      <c r="C5997" t="s">
        <v>37</v>
      </c>
      <c r="D5997">
        <v>4.4754269999999998</v>
      </c>
      <c r="E5997">
        <v>0.53177459999999999</v>
      </c>
      <c r="F5997" t="s">
        <v>99</v>
      </c>
      <c r="G5997">
        <v>-230.41820000000001</v>
      </c>
      <c r="H5997" s="1">
        <v>-6.8647429999999996E-7</v>
      </c>
      <c r="I5997">
        <v>-66.096080000000001</v>
      </c>
      <c r="J5997">
        <v>-275.98759999999999</v>
      </c>
      <c r="K5997">
        <v>1.106501</v>
      </c>
      <c r="L5997">
        <v>-62.192079999999997</v>
      </c>
      <c r="M5997">
        <v>0.99366309999999902</v>
      </c>
      <c r="N5997">
        <v>0</v>
      </c>
      <c r="O5997">
        <v>-0.11239829999999899</v>
      </c>
      <c r="P5997">
        <v>0.99899910000000003</v>
      </c>
      <c r="Q5997">
        <v>4.472313E-2</v>
      </c>
      <c r="R5997">
        <v>-7.8588119999999995E-4</v>
      </c>
      <c r="S5997">
        <v>3.0053709999999998</v>
      </c>
      <c r="T5997">
        <v>-7.2777869999999995E-2</v>
      </c>
      <c r="U5997">
        <v>-0.25756839999999998</v>
      </c>
      <c r="V5997">
        <v>-0.1118339</v>
      </c>
      <c r="W5997">
        <v>4.4333530000000003E-2</v>
      </c>
      <c r="X5997">
        <v>0.99273750000000005</v>
      </c>
      <c r="Y5997">
        <v>-2.7098839999999999E-2</v>
      </c>
      <c r="Z5997">
        <v>3.0363450000000002E-3</v>
      </c>
      <c r="AA5997">
        <v>0.99962809999999902</v>
      </c>
      <c r="AB5997">
        <v>25</v>
      </c>
      <c r="AC5997">
        <v>45.569399999999902</v>
      </c>
      <c r="AD5997">
        <v>-1.1065016864743</v>
      </c>
      <c r="AE5997">
        <v>-3.9039999999999901</v>
      </c>
      <c r="AF5997">
        <v>-1.2419356046994401</v>
      </c>
      <c r="AG5997">
        <v>-1.1065016864743</v>
      </c>
      <c r="AH5997">
        <v>45.692696183497198</v>
      </c>
      <c r="AI5997">
        <v>91.386700772118502</v>
      </c>
      <c r="AJ5997">
        <v>91.556926148363701</v>
      </c>
      <c r="AK5997">
        <v>45.722961786675398</v>
      </c>
    </row>
    <row r="5998" spans="1:37" x14ac:dyDescent="0.2">
      <c r="A5998" t="str">
        <f>"20200111155717584"</f>
        <v>20200111155717584</v>
      </c>
      <c r="B5998" t="str">
        <f>"1578729437578597"</f>
        <v>1578729437578597</v>
      </c>
      <c r="C5998" t="s">
        <v>37</v>
      </c>
      <c r="D5998">
        <v>4.4674589999999998</v>
      </c>
      <c r="E5998">
        <v>0.53205480000000005</v>
      </c>
      <c r="F5998" t="s">
        <v>99</v>
      </c>
      <c r="G5998">
        <v>-233.0797</v>
      </c>
      <c r="H5998" s="1">
        <v>-1.7219880000000001E-6</v>
      </c>
      <c r="I5998">
        <v>-65.696609999999893</v>
      </c>
      <c r="J5998">
        <v>-275.85059999999999</v>
      </c>
      <c r="K5998">
        <v>1.1065199999999999</v>
      </c>
      <c r="L5998">
        <v>-62.20514</v>
      </c>
      <c r="M5998">
        <v>0.99394570000000004</v>
      </c>
      <c r="N5998">
        <v>0</v>
      </c>
      <c r="O5998">
        <v>-0.10987139999999999</v>
      </c>
      <c r="P5998">
        <v>0.99899660000000001</v>
      </c>
      <c r="Q5998">
        <v>4.4729970000000001E-2</v>
      </c>
      <c r="R5998">
        <v>2.2073610000000001E-3</v>
      </c>
      <c r="S5998">
        <v>3.0062869999999999</v>
      </c>
      <c r="T5998">
        <v>-7.7525620000000003E-2</v>
      </c>
      <c r="U5998">
        <v>-0.2455444</v>
      </c>
      <c r="V5998">
        <v>-0.1122876</v>
      </c>
      <c r="W5998">
        <v>4.427731E-2</v>
      </c>
      <c r="X5998">
        <v>0.99268880000000004</v>
      </c>
      <c r="Y5998">
        <v>-2.8548179999999999E-2</v>
      </c>
      <c r="Z5998">
        <v>3.188139E-3</v>
      </c>
      <c r="AA5998">
        <v>0.99958740000000001</v>
      </c>
      <c r="AB5998">
        <v>25</v>
      </c>
      <c r="AC5998">
        <v>42.770899999999898</v>
      </c>
      <c r="AD5998">
        <v>-1.1065217219879999</v>
      </c>
      <c r="AE5998">
        <v>-3.4914699999999899</v>
      </c>
      <c r="AF5998">
        <v>-1.22815064067394</v>
      </c>
      <c r="AG5998">
        <v>-1.1065217219879999</v>
      </c>
      <c r="AH5998">
        <v>42.867068420421603</v>
      </c>
      <c r="AI5998">
        <v>91.478033484023598</v>
      </c>
      <c r="AJ5998">
        <v>91.6410873644639</v>
      </c>
      <c r="AK5998">
        <v>42.898931213708899</v>
      </c>
    </row>
    <row r="5999" spans="1:37" x14ac:dyDescent="0.2">
      <c r="A5999" t="str">
        <f>"20200111155717594"</f>
        <v>20200111155717594</v>
      </c>
      <c r="B5999" t="str">
        <f>"1578729437589333"</f>
        <v>1578729437589333</v>
      </c>
      <c r="C5999" t="s">
        <v>37</v>
      </c>
      <c r="D5999">
        <v>4.4400440000000003</v>
      </c>
      <c r="E5999">
        <v>0.5323464</v>
      </c>
      <c r="F5999" t="s">
        <v>99</v>
      </c>
      <c r="G5999">
        <v>-233.74250000000001</v>
      </c>
      <c r="H5999" s="1">
        <v>-1.9665830000000001E-6</v>
      </c>
      <c r="I5999">
        <v>-65.547240000000002</v>
      </c>
      <c r="J5999">
        <v>-275.72800000000001</v>
      </c>
      <c r="K5999">
        <v>1.1065430000000001</v>
      </c>
      <c r="L5999">
        <v>-62.216519999999903</v>
      </c>
      <c r="M5999">
        <v>0.99419329999999995</v>
      </c>
      <c r="N5999">
        <v>0</v>
      </c>
      <c r="O5999">
        <v>-0.10760989999999999</v>
      </c>
      <c r="P5999">
        <v>0.99898549999999997</v>
      </c>
      <c r="Q5999">
        <v>4.4763009999999999E-2</v>
      </c>
      <c r="R5999">
        <v>4.9375970000000002E-3</v>
      </c>
      <c r="S5999">
        <v>3.0071110000000001</v>
      </c>
      <c r="T5999">
        <v>-7.9021330000000001E-2</v>
      </c>
      <c r="U5999">
        <v>-0.238678</v>
      </c>
      <c r="V5999">
        <v>-0.1127445</v>
      </c>
      <c r="W5999">
        <v>4.4257310000000001E-2</v>
      </c>
      <c r="X5999">
        <v>0.99263789999999996</v>
      </c>
      <c r="Y5999">
        <v>-2.8563069999999999E-2</v>
      </c>
      <c r="Z5999">
        <v>3.1903909999999999E-3</v>
      </c>
      <c r="AA5999">
        <v>0.99958689999999994</v>
      </c>
      <c r="AB5999">
        <v>25</v>
      </c>
      <c r="AC5999">
        <v>41.985500000000002</v>
      </c>
      <c r="AD5999">
        <v>-1.1065449665830001</v>
      </c>
      <c r="AE5999">
        <v>-3.3307199999999999</v>
      </c>
      <c r="AF5999">
        <v>-1.2058434728560701</v>
      </c>
      <c r="AG5999">
        <v>-1.1065449665830001</v>
      </c>
      <c r="AH5999">
        <v>42.071076729648098</v>
      </c>
      <c r="AI5999">
        <v>91.506016473086802</v>
      </c>
      <c r="AJ5999">
        <v>91.641765247190307</v>
      </c>
      <c r="AK5999">
        <v>42.102897732056903</v>
      </c>
    </row>
    <row r="6000" spans="1:37" x14ac:dyDescent="0.2">
      <c r="A6000" t="str">
        <f>"20200111155717605"</f>
        <v>20200111155717605</v>
      </c>
      <c r="B6000" t="str">
        <f>"1578729437599094"</f>
        <v>1578729437599094</v>
      </c>
      <c r="C6000" t="s">
        <v>37</v>
      </c>
      <c r="D6000">
        <v>4.4589429999999997</v>
      </c>
      <c r="E6000">
        <v>0.53252790000000005</v>
      </c>
      <c r="F6000" t="s">
        <v>99</v>
      </c>
      <c r="G6000">
        <v>-234.2439</v>
      </c>
      <c r="H6000" s="1">
        <v>-2.1492760000000001E-6</v>
      </c>
      <c r="I6000">
        <v>-65.425449999999998</v>
      </c>
      <c r="J6000">
        <v>-275.60599999999999</v>
      </c>
      <c r="K6000">
        <v>1.1065590000000001</v>
      </c>
      <c r="L6000">
        <v>-62.227509999999903</v>
      </c>
      <c r="M6000">
        <v>0.99443419999999905</v>
      </c>
      <c r="N6000">
        <v>0</v>
      </c>
      <c r="O6000">
        <v>-0.10535949999999999</v>
      </c>
      <c r="P6000">
        <v>0.99895009999999995</v>
      </c>
      <c r="Q6000">
        <v>4.517264E-2</v>
      </c>
      <c r="R6000">
        <v>7.6253269999999899E-3</v>
      </c>
      <c r="S6000">
        <v>3.0077820000000002</v>
      </c>
      <c r="T6000">
        <v>-8.0229399999999895E-2</v>
      </c>
      <c r="U6000">
        <v>-0.23266599999999901</v>
      </c>
      <c r="V6000">
        <v>-0.11317199999999999</v>
      </c>
      <c r="W6000">
        <v>4.4619359999999997E-2</v>
      </c>
      <c r="X6000">
        <v>0.99257299999999904</v>
      </c>
      <c r="Y6000">
        <v>-2.8303640000000001E-2</v>
      </c>
      <c r="Z6000">
        <v>3.1757579999999999E-3</v>
      </c>
      <c r="AA6000">
        <v>0.99959430000000005</v>
      </c>
      <c r="AB6000">
        <v>25</v>
      </c>
      <c r="AC6000">
        <v>41.362099999999998</v>
      </c>
      <c r="AD6000">
        <v>-1.1065611492759999</v>
      </c>
      <c r="AE6000">
        <v>-3.19794</v>
      </c>
      <c r="AF6000">
        <v>-1.17691192908371</v>
      </c>
      <c r="AG6000">
        <v>-1.1065611492759999</v>
      </c>
      <c r="AH6000">
        <v>41.4393372398143</v>
      </c>
      <c r="AI6000">
        <v>91.528998491785202</v>
      </c>
      <c r="AJ6000">
        <v>91.626810881711407</v>
      </c>
      <c r="AK6000">
        <v>41.470812267677701</v>
      </c>
    </row>
    <row r="6001" spans="1:37" x14ac:dyDescent="0.2">
      <c r="A6001" t="str">
        <f>"20200111155717615"</f>
        <v>20200111155717615</v>
      </c>
      <c r="B6001" t="str">
        <f>"1578729437608853"</f>
        <v>1578729437608853</v>
      </c>
      <c r="C6001" t="s">
        <v>37</v>
      </c>
      <c r="D6001">
        <v>4.4996879999999999</v>
      </c>
      <c r="E6001">
        <v>0.53285669999999996</v>
      </c>
      <c r="F6001" t="s">
        <v>99</v>
      </c>
      <c r="G6001">
        <v>-234.25810000000001</v>
      </c>
      <c r="H6001" s="1">
        <v>-2.1301669999999899E-6</v>
      </c>
      <c r="I6001">
        <v>-65.330749999999995</v>
      </c>
      <c r="J6001">
        <v>-275.48099999999999</v>
      </c>
      <c r="K6001">
        <v>1.1065750000000001</v>
      </c>
      <c r="L6001">
        <v>-62.238590000000002</v>
      </c>
      <c r="M6001">
        <v>0.9946758</v>
      </c>
      <c r="N6001">
        <v>0</v>
      </c>
      <c r="O6001">
        <v>-0.1030538</v>
      </c>
      <c r="P6001">
        <v>0.99891919999999901</v>
      </c>
      <c r="Q6001">
        <v>4.5399950000000001E-2</v>
      </c>
      <c r="R6001">
        <v>9.984883E-3</v>
      </c>
      <c r="S6001">
        <v>3.0085139999999999</v>
      </c>
      <c r="T6001">
        <v>-8.0514429999999998E-2</v>
      </c>
      <c r="U6001">
        <v>-0.22579959999999999</v>
      </c>
      <c r="V6001">
        <v>-0.1132184</v>
      </c>
      <c r="W6001">
        <v>4.4803219999999998E-2</v>
      </c>
      <c r="X6001">
        <v>0.99255939999999998</v>
      </c>
      <c r="Y6001">
        <v>-2.8273650000000001E-2</v>
      </c>
      <c r="Z6001">
        <v>3.1249859999999902E-3</v>
      </c>
      <c r="AA6001">
        <v>0.99959529999999996</v>
      </c>
      <c r="AB6001">
        <v>26</v>
      </c>
      <c r="AC6001">
        <v>41.222899999999903</v>
      </c>
      <c r="AD6001">
        <v>-1.106577130167</v>
      </c>
      <c r="AE6001">
        <v>-3.09215999999999</v>
      </c>
      <c r="AF6001">
        <v>-1.1716402063931699</v>
      </c>
      <c r="AG6001">
        <v>-1.106577130167</v>
      </c>
      <c r="AH6001">
        <v>41.292490854783402</v>
      </c>
      <c r="AI6001">
        <v>91.534456706143203</v>
      </c>
      <c r="AJ6001">
        <v>91.625284184142998</v>
      </c>
      <c r="AK6001">
        <v>41.323928355259397</v>
      </c>
    </row>
    <row r="6002" spans="1:37" x14ac:dyDescent="0.2">
      <c r="A6002" t="str">
        <f>"20200111155717627"</f>
        <v>20200111155717627</v>
      </c>
      <c r="B6002" t="str">
        <f>"1578729437619589"</f>
        <v>1578729437619589</v>
      </c>
      <c r="C6002" t="s">
        <v>37</v>
      </c>
      <c r="D6002">
        <v>4.5154290000000001</v>
      </c>
      <c r="E6002">
        <v>0.53277159999999901</v>
      </c>
      <c r="F6002" t="s">
        <v>99</v>
      </c>
      <c r="G6002">
        <v>-234.7602</v>
      </c>
      <c r="H6002" s="1">
        <v>-2.3186440000000001E-6</v>
      </c>
      <c r="I6002">
        <v>-65.22963</v>
      </c>
      <c r="J6002">
        <v>-275.35570000000001</v>
      </c>
      <c r="K6002">
        <v>1.1065909999999901</v>
      </c>
      <c r="L6002">
        <v>-62.249269999999903</v>
      </c>
      <c r="M6002">
        <v>0.99491229999999997</v>
      </c>
      <c r="N6002">
        <v>0</v>
      </c>
      <c r="O6002">
        <v>-0.10074610000000001</v>
      </c>
      <c r="P6002">
        <v>0.99886659999999905</v>
      </c>
      <c r="Q6002">
        <v>4.5974109999999999E-2</v>
      </c>
      <c r="R6002">
        <v>1.2335850000000001E-2</v>
      </c>
      <c r="S6002">
        <v>3.0092159999999999</v>
      </c>
      <c r="T6002">
        <v>-8.1774589999999994E-2</v>
      </c>
      <c r="U6002">
        <v>-0.22103879999999901</v>
      </c>
      <c r="V6002">
        <v>-0.11325589999999899</v>
      </c>
      <c r="W6002">
        <v>4.5339119999999997E-2</v>
      </c>
      <c r="X6002">
        <v>0.99253080000000005</v>
      </c>
      <c r="Y6002">
        <v>-2.7544570000000001E-2</v>
      </c>
      <c r="Z6002">
        <v>3.101239E-3</v>
      </c>
      <c r="AA6002">
        <v>0.99961580000000005</v>
      </c>
      <c r="AB6002">
        <v>26</v>
      </c>
      <c r="AC6002">
        <v>40.595500000000001</v>
      </c>
      <c r="AD6002">
        <v>-1.10659331864399</v>
      </c>
      <c r="AE6002">
        <v>-2.9803600000000001</v>
      </c>
      <c r="AF6002">
        <v>-1.1238107579551899</v>
      </c>
      <c r="AG6002">
        <v>-1.10659331864399</v>
      </c>
      <c r="AH6002">
        <v>40.659166619892197</v>
      </c>
      <c r="AI6002">
        <v>91.558401150262796</v>
      </c>
      <c r="AJ6002">
        <v>91.583240122242003</v>
      </c>
      <c r="AK6002">
        <v>40.689744772076402</v>
      </c>
    </row>
    <row r="6003" spans="1:37" x14ac:dyDescent="0.2">
      <c r="A6003" t="str">
        <f>"20200111155717639"</f>
        <v>20200111155717639</v>
      </c>
      <c r="B6003" t="str">
        <f>"1578729437629350"</f>
        <v>1578729437629350</v>
      </c>
      <c r="C6003" t="s">
        <v>37</v>
      </c>
      <c r="D6003">
        <v>4.5554540000000001</v>
      </c>
      <c r="E6003">
        <v>0.53252390000000005</v>
      </c>
      <c r="F6003" t="s">
        <v>99</v>
      </c>
      <c r="G6003">
        <v>-235.33279999999999</v>
      </c>
      <c r="H6003" s="1">
        <v>-2.5219209999999999E-6</v>
      </c>
      <c r="I6003">
        <v>-65.080060000000003</v>
      </c>
      <c r="J6003">
        <v>-275.23110000000003</v>
      </c>
      <c r="K6003">
        <v>1.106606</v>
      </c>
      <c r="L6003">
        <v>-62.259830000000001</v>
      </c>
      <c r="M6003">
        <v>0.99514199999999997</v>
      </c>
      <c r="N6003">
        <v>0</v>
      </c>
      <c r="O6003">
        <v>-9.8449800000000004E-2</v>
      </c>
      <c r="P6003">
        <v>0.99883599999999995</v>
      </c>
      <c r="Q6003">
        <v>4.6100960000000003E-2</v>
      </c>
      <c r="R6003">
        <v>1.4188950000000001E-2</v>
      </c>
      <c r="S6003">
        <v>3.0098569999999998</v>
      </c>
      <c r="T6003">
        <v>-8.321953E-2</v>
      </c>
      <c r="U6003">
        <v>-0.21289059999999899</v>
      </c>
      <c r="V6003">
        <v>-0.1128096</v>
      </c>
      <c r="W6003">
        <v>4.5432489999999999E-2</v>
      </c>
      <c r="X6003">
        <v>0.99257739999999905</v>
      </c>
      <c r="Y6003">
        <v>-2.7944460000000001E-2</v>
      </c>
      <c r="Z6003">
        <v>3.0982190000000001E-3</v>
      </c>
      <c r="AA6003">
        <v>0.99960469999999901</v>
      </c>
      <c r="AB6003">
        <v>26</v>
      </c>
      <c r="AC6003">
        <v>39.898299999999999</v>
      </c>
      <c r="AD6003">
        <v>-1.106608521921</v>
      </c>
      <c r="AE6003">
        <v>-2.8202299999999898</v>
      </c>
      <c r="AF6003">
        <v>-1.1205925998314601</v>
      </c>
      <c r="AG6003">
        <v>-1.106608521921</v>
      </c>
      <c r="AH6003">
        <v>39.951545110489398</v>
      </c>
      <c r="AI6003">
        <v>91.585993306008405</v>
      </c>
      <c r="AJ6003">
        <v>91.6066561830187</v>
      </c>
      <c r="AK6003">
        <v>39.982574540805402</v>
      </c>
    </row>
    <row r="6004" spans="1:37" x14ac:dyDescent="0.2">
      <c r="A6004" t="str">
        <f>"20200111155717649"</f>
        <v>20200111155717649</v>
      </c>
      <c r="B6004" t="str">
        <f>"1578729437639111"</f>
        <v>1578729437639111</v>
      </c>
      <c r="C6004" t="s">
        <v>37</v>
      </c>
      <c r="D6004">
        <v>4.5959120000000002</v>
      </c>
      <c r="E6004">
        <v>0.53268760000000004</v>
      </c>
      <c r="F6004" t="s">
        <v>99</v>
      </c>
      <c r="G6004">
        <v>-236.04990000000001</v>
      </c>
      <c r="H6004" s="1">
        <v>-2.7389869999999998E-6</v>
      </c>
      <c r="I6004">
        <v>-64.928179999999998</v>
      </c>
      <c r="J6004">
        <v>-275.10019999999997</v>
      </c>
      <c r="K6004">
        <v>1.1066209999999901</v>
      </c>
      <c r="L6004">
        <v>-62.270359999999997</v>
      </c>
      <c r="M6004">
        <v>0.99537690000000001</v>
      </c>
      <c r="N6004">
        <v>0</v>
      </c>
      <c r="O6004">
        <v>-9.6045290000000005E-2</v>
      </c>
      <c r="P6004">
        <v>0.99880689999999905</v>
      </c>
      <c r="Q6004">
        <v>4.6087509999999998E-2</v>
      </c>
      <c r="R6004">
        <v>1.615275E-2</v>
      </c>
      <c r="S6004">
        <v>3.0103149999999999</v>
      </c>
      <c r="T6004">
        <v>-8.5021379999999994E-2</v>
      </c>
      <c r="U6004">
        <v>-0.20501710000000001</v>
      </c>
      <c r="V6004">
        <v>-0.112364899999999</v>
      </c>
      <c r="W6004">
        <v>4.5389609999999997E-2</v>
      </c>
      <c r="X6004">
        <v>0.99262980000000001</v>
      </c>
      <c r="Y6004">
        <v>-2.814084E-2</v>
      </c>
      <c r="Z6004">
        <v>3.1004750000000001E-3</v>
      </c>
      <c r="AA6004">
        <v>0.99959920000000002</v>
      </c>
      <c r="AB6004">
        <v>26</v>
      </c>
      <c r="AC6004">
        <v>39.050299999999901</v>
      </c>
      <c r="AD6004">
        <v>-1.1066237389869999</v>
      </c>
      <c r="AE6004">
        <v>-2.6578200000000001</v>
      </c>
      <c r="AF6004">
        <v>-1.10418218472105</v>
      </c>
      <c r="AG6004">
        <v>-1.1066237389869999</v>
      </c>
      <c r="AH6004">
        <v>39.093790048516901</v>
      </c>
      <c r="AI6004">
        <v>91.620786512994499</v>
      </c>
      <c r="AJ6004">
        <v>91.617857050689096</v>
      </c>
      <c r="AK6004">
        <v>39.125033607068801</v>
      </c>
    </row>
    <row r="6005" spans="1:37" x14ac:dyDescent="0.2">
      <c r="A6005" t="str">
        <f>"20200111155717661"</f>
        <v>20200111155717661</v>
      </c>
      <c r="B6005" t="str">
        <f>"1578729437648870"</f>
        <v>1578729437648870</v>
      </c>
      <c r="C6005" t="s">
        <v>37</v>
      </c>
      <c r="D6005">
        <v>4.5085850000000001</v>
      </c>
      <c r="E6005">
        <v>0.53275839999999997</v>
      </c>
      <c r="F6005" t="s">
        <v>99</v>
      </c>
      <c r="G6005">
        <v>-236.88630000000001</v>
      </c>
      <c r="H6005" s="1">
        <v>-3.0026790000000001E-6</v>
      </c>
      <c r="I6005">
        <v>-64.810029999999998</v>
      </c>
      <c r="J6005">
        <v>-274.96780000000001</v>
      </c>
      <c r="K6005">
        <v>1.106635</v>
      </c>
      <c r="L6005">
        <v>-62.280850000000001</v>
      </c>
      <c r="M6005">
        <v>0.99560839999999995</v>
      </c>
      <c r="N6005">
        <v>0</v>
      </c>
      <c r="O6005">
        <v>-9.3615379999999998E-2</v>
      </c>
      <c r="P6005">
        <v>0.99875849999999899</v>
      </c>
      <c r="Q6005">
        <v>4.6478169999999999E-2</v>
      </c>
      <c r="R6005">
        <v>1.792297E-2</v>
      </c>
      <c r="S6005">
        <v>3.010834</v>
      </c>
      <c r="T6005">
        <v>-8.7189790000000003E-2</v>
      </c>
      <c r="U6005">
        <v>-0.200103799999999</v>
      </c>
      <c r="V6005">
        <v>-0.1117046</v>
      </c>
      <c r="W6005">
        <v>4.575307E-2</v>
      </c>
      <c r="X6005">
        <v>0.9926876</v>
      </c>
      <c r="Y6005">
        <v>-2.733526E-2</v>
      </c>
      <c r="Z6005">
        <v>3.0976240000000002E-3</v>
      </c>
      <c r="AA6005">
        <v>0.99962150000000005</v>
      </c>
      <c r="AB6005">
        <v>26</v>
      </c>
      <c r="AC6005">
        <v>38.081499999999998</v>
      </c>
      <c r="AD6005">
        <v>-1.1066380026789999</v>
      </c>
      <c r="AE6005">
        <v>-2.52917999999999</v>
      </c>
      <c r="AF6005">
        <v>-1.04606179326119</v>
      </c>
      <c r="AG6005">
        <v>-1.1066380026789999</v>
      </c>
      <c r="AH6005">
        <v>38.118983965361302</v>
      </c>
      <c r="AI6005">
        <v>91.662269970505804</v>
      </c>
      <c r="AJ6005">
        <v>91.571917230581604</v>
      </c>
      <c r="AK6005">
        <v>38.149388350218302</v>
      </c>
    </row>
    <row r="6006" spans="1:37" x14ac:dyDescent="0.2">
      <c r="A6006" t="str">
        <f>"20200111155717672"</f>
        <v>20200111155717672</v>
      </c>
      <c r="B6006" t="str">
        <f>"1578729437669366"</f>
        <v>1578729437669366</v>
      </c>
      <c r="C6006" t="s">
        <v>37</v>
      </c>
      <c r="D6006">
        <v>4.7381989999999998</v>
      </c>
      <c r="E6006">
        <v>0.5324411</v>
      </c>
      <c r="F6006" t="s">
        <v>99</v>
      </c>
      <c r="G6006">
        <v>-237.23439999999999</v>
      </c>
      <c r="H6006" s="1">
        <v>-3.1061100000000001E-6</v>
      </c>
      <c r="I6006">
        <v>-64.725430000000003</v>
      </c>
      <c r="J6006">
        <v>-274.83629999999999</v>
      </c>
      <c r="K6006">
        <v>1.1066510000000001</v>
      </c>
      <c r="L6006">
        <v>-62.290859999999903</v>
      </c>
      <c r="M6006">
        <v>0.9958321</v>
      </c>
      <c r="N6006">
        <v>0</v>
      </c>
      <c r="O6006">
        <v>-9.1205469999999997E-2</v>
      </c>
      <c r="P6006">
        <v>0.99871730000000003</v>
      </c>
      <c r="Q6006">
        <v>4.6664499999999998E-2</v>
      </c>
      <c r="R6006">
        <v>1.9655909999999999E-2</v>
      </c>
      <c r="S6006">
        <v>3.0113829999999999</v>
      </c>
      <c r="T6006">
        <v>-8.8317039999999999E-2</v>
      </c>
      <c r="U6006">
        <v>-0.19509889999999999</v>
      </c>
      <c r="V6006">
        <v>-0.1110278</v>
      </c>
      <c r="W6006">
        <v>4.5916909999999998E-2</v>
      </c>
      <c r="X6006">
        <v>0.99275599999999997</v>
      </c>
      <c r="Y6006">
        <v>-2.658226E-2</v>
      </c>
      <c r="Z6006">
        <v>3.0560259999999999E-3</v>
      </c>
      <c r="AA6006">
        <v>0.99964200000000003</v>
      </c>
      <c r="AB6006">
        <v>26</v>
      </c>
      <c r="AC6006">
        <v>37.601900000000001</v>
      </c>
      <c r="AD6006">
        <v>-1.1066541061099999</v>
      </c>
      <c r="AE6006">
        <v>-2.4345699999999999</v>
      </c>
      <c r="AF6006">
        <v>-1.0042098146060601</v>
      </c>
      <c r="AG6006">
        <v>-1.1066541061099999</v>
      </c>
      <c r="AH6006">
        <v>37.634762868339401</v>
      </c>
      <c r="AI6006">
        <v>91.683704068202104</v>
      </c>
      <c r="AJ6006">
        <v>91.528462794005094</v>
      </c>
      <c r="AK6006">
        <v>37.6644195072546</v>
      </c>
    </row>
    <row r="6007" spans="1:37" x14ac:dyDescent="0.2">
      <c r="A6007" t="str">
        <f>"20200111155717684"</f>
        <v>20200111155717684</v>
      </c>
      <c r="B6007" t="str">
        <f>"1578729437679125"</f>
        <v>1578729437679125</v>
      </c>
      <c r="C6007" t="s">
        <v>37</v>
      </c>
      <c r="D6007">
        <v>4.5252739999999996</v>
      </c>
      <c r="E6007">
        <v>0.53261139999999996</v>
      </c>
      <c r="F6007" t="s">
        <v>99</v>
      </c>
      <c r="G6007">
        <v>-237.7749</v>
      </c>
      <c r="H6007" s="1">
        <v>-3.26666699999999E-6</v>
      </c>
      <c r="I6007">
        <v>-64.59357</v>
      </c>
      <c r="J6007">
        <v>-274.70229999999998</v>
      </c>
      <c r="K6007">
        <v>1.1066659999999999</v>
      </c>
      <c r="L6007">
        <v>-62.300809999999998</v>
      </c>
      <c r="M6007">
        <v>0.99605319999999997</v>
      </c>
      <c r="N6007">
        <v>0</v>
      </c>
      <c r="O6007">
        <v>-8.8758359999999994E-2</v>
      </c>
      <c r="P6007">
        <v>0.99866690000000002</v>
      </c>
      <c r="Q6007">
        <v>4.7057950000000001E-2</v>
      </c>
      <c r="R6007">
        <v>2.1218620000000001E-2</v>
      </c>
      <c r="S6007">
        <v>3.0117799999999999</v>
      </c>
      <c r="T6007">
        <v>-8.9931849999999994E-2</v>
      </c>
      <c r="U6007">
        <v>-0.18713379999999999</v>
      </c>
      <c r="V6007">
        <v>-0.11014539999999901</v>
      </c>
      <c r="W6007">
        <v>4.6292739999999999E-2</v>
      </c>
      <c r="X6007">
        <v>0.99283679999999996</v>
      </c>
      <c r="Y6007">
        <v>-2.6766769999999999E-2</v>
      </c>
      <c r="Z6007">
        <v>3.0419029999999999E-3</v>
      </c>
      <c r="AA6007">
        <v>0.99963709999999995</v>
      </c>
      <c r="AB6007">
        <v>26</v>
      </c>
      <c r="AC6007">
        <v>36.927399999999899</v>
      </c>
      <c r="AD6007">
        <v>-1.1066692666669999</v>
      </c>
      <c r="AE6007">
        <v>-2.2927599999999999</v>
      </c>
      <c r="AF6007">
        <v>-0.99301608576465195</v>
      </c>
      <c r="AG6007">
        <v>-1.1066692666669999</v>
      </c>
      <c r="AH6007">
        <v>36.952095850818601</v>
      </c>
      <c r="AI6007">
        <v>91.714805815148395</v>
      </c>
      <c r="AJ6007">
        <v>91.539342745715501</v>
      </c>
      <c r="AK6007">
        <v>36.981998128555198</v>
      </c>
    </row>
    <row r="6008" spans="1:37" x14ac:dyDescent="0.2">
      <c r="A6008" t="str">
        <f>"20200111155717694"</f>
        <v>20200111155717694</v>
      </c>
      <c r="B6008" t="str">
        <f>"1578729437688885"</f>
        <v>1578729437688885</v>
      </c>
      <c r="C6008" t="s">
        <v>37</v>
      </c>
      <c r="D6008">
        <v>4.5396960000000002</v>
      </c>
      <c r="E6008">
        <v>0.53276780000000001</v>
      </c>
      <c r="F6008" t="s">
        <v>99</v>
      </c>
      <c r="G6008">
        <v>-237.9453</v>
      </c>
      <c r="H6008" s="1">
        <v>-3.3152710000000001E-6</v>
      </c>
      <c r="I6008">
        <v>-64.540729999999996</v>
      </c>
      <c r="J6008">
        <v>-274.56920000000002</v>
      </c>
      <c r="K6008">
        <v>1.106679</v>
      </c>
      <c r="L6008">
        <v>-62.310419999999901</v>
      </c>
      <c r="M6008">
        <v>0.99626669999999995</v>
      </c>
      <c r="N6008">
        <v>0</v>
      </c>
      <c r="O6008">
        <v>-8.6330409999999996E-2</v>
      </c>
      <c r="P6008">
        <v>0.99861710000000004</v>
      </c>
      <c r="Q6008">
        <v>4.7477140000000001E-2</v>
      </c>
      <c r="R6008">
        <v>2.2586419999999999E-2</v>
      </c>
      <c r="S6008">
        <v>3.0121769999999999</v>
      </c>
      <c r="T6008">
        <v>-9.0689539999999999E-2</v>
      </c>
      <c r="U6008">
        <v>-0.18356320000000001</v>
      </c>
      <c r="V6008">
        <v>-0.1090894</v>
      </c>
      <c r="W6008">
        <v>4.6699049999999999E-2</v>
      </c>
      <c r="X6008">
        <v>0.99293439999999999</v>
      </c>
      <c r="Y6008">
        <v>-2.5519730000000001E-2</v>
      </c>
      <c r="Z6008">
        <v>2.9758050000000002E-3</v>
      </c>
      <c r="AA6008">
        <v>0.9996699</v>
      </c>
      <c r="AB6008">
        <v>26</v>
      </c>
      <c r="AC6008">
        <v>36.623899999999999</v>
      </c>
      <c r="AD6008">
        <v>-1.1066823152709999</v>
      </c>
      <c r="AE6008">
        <v>-2.23031000000001</v>
      </c>
      <c r="AF6008">
        <v>-0.93891843321956703</v>
      </c>
      <c r="AG6008">
        <v>-1.1066823152709999</v>
      </c>
      <c r="AH6008">
        <v>36.646372440886097</v>
      </c>
      <c r="AI6008">
        <v>91.729180107887302</v>
      </c>
      <c r="AJ6008">
        <v>91.467656778042596</v>
      </c>
      <c r="AK6008">
        <v>36.675099545158801</v>
      </c>
    </row>
    <row r="6009" spans="1:37" x14ac:dyDescent="0.2">
      <c r="A6009" t="str">
        <f>"20200111155717706"</f>
        <v>20200111155717706</v>
      </c>
      <c r="B6009" t="str">
        <f>"1578729437699621"</f>
        <v>1578729437699621</v>
      </c>
      <c r="C6009" t="s">
        <v>37</v>
      </c>
      <c r="D6009">
        <v>4.5484849999999897</v>
      </c>
      <c r="E6009">
        <v>0.53290579999999999</v>
      </c>
      <c r="F6009" t="s">
        <v>99</v>
      </c>
      <c r="G6009">
        <v>-237.8443</v>
      </c>
      <c r="H6009" s="1">
        <v>-3.27567499999999E-6</v>
      </c>
      <c r="I6009">
        <v>-64.511279999999999</v>
      </c>
      <c r="J6009">
        <v>-274.43799999999999</v>
      </c>
      <c r="K6009">
        <v>1.106692</v>
      </c>
      <c r="L6009">
        <v>-62.319459999999999</v>
      </c>
      <c r="M6009">
        <v>0.99646979999999996</v>
      </c>
      <c r="N6009">
        <v>0</v>
      </c>
      <c r="O6009">
        <v>-8.3952849999999996E-2</v>
      </c>
      <c r="P6009">
        <v>0.99855229999999995</v>
      </c>
      <c r="Q6009">
        <v>4.8049059999999998E-2</v>
      </c>
      <c r="R6009">
        <v>2.418387E-2</v>
      </c>
      <c r="S6009">
        <v>3.012543</v>
      </c>
      <c r="T6009">
        <v>-9.0781089999999995E-2</v>
      </c>
      <c r="U6009">
        <v>-0.18054200000000001</v>
      </c>
      <c r="V6009">
        <v>-0.108312799999999</v>
      </c>
      <c r="W6009">
        <v>4.7262520000000002E-2</v>
      </c>
      <c r="X6009">
        <v>0.99299280000000001</v>
      </c>
      <c r="Y6009">
        <v>-2.4142150000000001E-2</v>
      </c>
      <c r="Z6009">
        <v>2.886553E-3</v>
      </c>
      <c r="AA6009">
        <v>0.99970439999999905</v>
      </c>
      <c r="AB6009">
        <v>26</v>
      </c>
      <c r="AC6009">
        <v>36.593699999999899</v>
      </c>
      <c r="AD6009">
        <v>-1.1066952756749999</v>
      </c>
      <c r="AE6009">
        <v>-2.1918199999999999</v>
      </c>
      <c r="AF6009">
        <v>-0.88725430156035101</v>
      </c>
      <c r="AG6009">
        <v>-1.1066952756749999</v>
      </c>
      <c r="AH6009">
        <v>36.615154377575003</v>
      </c>
      <c r="AI6009">
        <v>91.730733620396293</v>
      </c>
      <c r="AJ6009">
        <v>91.388113232940697</v>
      </c>
      <c r="AK6009">
        <v>36.642618966477997</v>
      </c>
    </row>
    <row r="6010" spans="1:37" x14ac:dyDescent="0.2">
      <c r="A6010" t="str">
        <f>"20200111155717716"</f>
        <v>20200111155717716</v>
      </c>
      <c r="B6010" t="str">
        <f>"1578729437709382"</f>
        <v>1578729437709382</v>
      </c>
      <c r="C6010" t="s">
        <v>37</v>
      </c>
      <c r="D6010">
        <v>4.56717</v>
      </c>
      <c r="E6010">
        <v>0.53309300000000004</v>
      </c>
      <c r="F6010" t="s">
        <v>99</v>
      </c>
      <c r="G6010">
        <v>-237.53970000000001</v>
      </c>
      <c r="H6010" s="1">
        <v>-3.1669429999999998E-6</v>
      </c>
      <c r="I6010">
        <v>-64.482559999999907</v>
      </c>
      <c r="J6010">
        <v>-274.31139999999999</v>
      </c>
      <c r="K6010">
        <v>1.106703</v>
      </c>
      <c r="L6010">
        <v>-62.328029999999998</v>
      </c>
      <c r="M6010">
        <v>0.996660199999999</v>
      </c>
      <c r="N6010">
        <v>0</v>
      </c>
      <c r="O6010">
        <v>-8.1661929999999994E-2</v>
      </c>
      <c r="P6010">
        <v>0.99849310000000002</v>
      </c>
      <c r="Q6010">
        <v>4.8427360000000003E-2</v>
      </c>
      <c r="R6010">
        <v>2.5823369999999998E-2</v>
      </c>
      <c r="S6010">
        <v>3.0129700000000001</v>
      </c>
      <c r="T6010">
        <v>-9.0368390000000007E-2</v>
      </c>
      <c r="U6010">
        <v>-0.17663570000000001</v>
      </c>
      <c r="V6010">
        <v>-0.1076637</v>
      </c>
      <c r="W6010">
        <v>4.7634040000000002E-2</v>
      </c>
      <c r="X6010">
        <v>0.99304559999999997</v>
      </c>
      <c r="Y6010">
        <v>-2.3145929999999999E-2</v>
      </c>
      <c r="Z6010">
        <v>2.789873E-3</v>
      </c>
      <c r="AA6010">
        <v>0.99972819999999996</v>
      </c>
      <c r="AB6010">
        <v>27</v>
      </c>
      <c r="AC6010">
        <v>36.771699999999903</v>
      </c>
      <c r="AD6010">
        <v>-1.1067061669430001</v>
      </c>
      <c r="AE6010">
        <v>-2.1545299999999799</v>
      </c>
      <c r="AF6010">
        <v>-0.85474200917765497</v>
      </c>
      <c r="AG6010">
        <v>-1.1067061669430001</v>
      </c>
      <c r="AH6010">
        <v>36.791616604318698</v>
      </c>
      <c r="AI6010">
        <v>91.722495348305301</v>
      </c>
      <c r="AJ6010">
        <v>91.330854863219997</v>
      </c>
      <c r="AK6010">
        <v>36.818180764418301</v>
      </c>
    </row>
    <row r="6011" spans="1:37" x14ac:dyDescent="0.2">
      <c r="A6011" t="str">
        <f>"20200111155717727"</f>
        <v>20200111155717727</v>
      </c>
      <c r="B6011" t="str">
        <f>"1578729437719142"</f>
        <v>1578729437719142</v>
      </c>
      <c r="C6011" t="s">
        <v>37</v>
      </c>
      <c r="D6011">
        <v>4.6000449999999997</v>
      </c>
      <c r="E6011">
        <v>0.53310440000000003</v>
      </c>
      <c r="F6011" t="s">
        <v>99</v>
      </c>
      <c r="G6011">
        <v>-237.53630000000001</v>
      </c>
      <c r="H6011" s="1">
        <v>-3.1580379999999999E-6</v>
      </c>
      <c r="I6011">
        <v>-64.438909999999893</v>
      </c>
      <c r="J6011">
        <v>-274.18189999999998</v>
      </c>
      <c r="K6011">
        <v>1.1067039999999999</v>
      </c>
      <c r="L6011">
        <v>-62.336359999999999</v>
      </c>
      <c r="M6011">
        <v>0.99684719999999905</v>
      </c>
      <c r="N6011">
        <v>0</v>
      </c>
      <c r="O6011">
        <v>-7.9345059999999995E-2</v>
      </c>
      <c r="P6011">
        <v>0.99843969999999904</v>
      </c>
      <c r="Q6011">
        <v>4.8503919999999999E-2</v>
      </c>
      <c r="R6011">
        <v>2.7673300000000001E-2</v>
      </c>
      <c r="S6011">
        <v>3.0133969999999999</v>
      </c>
      <c r="T6011">
        <v>-9.0684890000000004E-2</v>
      </c>
      <c r="U6011">
        <v>-0.17297360000000001</v>
      </c>
      <c r="V6011">
        <v>-0.10719679999999999</v>
      </c>
      <c r="W6011">
        <v>4.7711669999999998E-2</v>
      </c>
      <c r="X6011">
        <v>0.99309239999999999</v>
      </c>
      <c r="Y6011">
        <v>-2.20425E-2</v>
      </c>
      <c r="Z6011">
        <v>2.7133869999999998E-3</v>
      </c>
      <c r="AA6011">
        <v>0.99975340000000001</v>
      </c>
      <c r="AB6011">
        <v>27</v>
      </c>
      <c r="AC6011">
        <v>36.645599999999902</v>
      </c>
      <c r="AD6011">
        <v>-1.1067071580379999</v>
      </c>
      <c r="AE6011">
        <v>-2.1025499999999901</v>
      </c>
      <c r="AF6011">
        <v>-0.81098901811786295</v>
      </c>
      <c r="AG6011">
        <v>-1.1067071580379999</v>
      </c>
      <c r="AH6011">
        <v>36.6635615759064</v>
      </c>
      <c r="AI6011">
        <v>91.728552966997398</v>
      </c>
      <c r="AJ6011">
        <v>91.267161994250401</v>
      </c>
      <c r="AK6011">
        <v>36.689225275977698</v>
      </c>
    </row>
    <row r="6012" spans="1:37" x14ac:dyDescent="0.2">
      <c r="A6012" t="str">
        <f>"20200111155717739"</f>
        <v>20200111155717739</v>
      </c>
      <c r="B6012" t="str">
        <f>"1578729437728903"</f>
        <v>1578729437728903</v>
      </c>
      <c r="C6012" t="s">
        <v>37</v>
      </c>
      <c r="D6012">
        <v>4.9768889999999999</v>
      </c>
      <c r="E6012">
        <v>0.53310440000000003</v>
      </c>
      <c r="F6012" t="s">
        <v>99</v>
      </c>
      <c r="G6012">
        <v>-237.66290000000001</v>
      </c>
      <c r="H6012" s="1">
        <v>-3.1878629999999899E-6</v>
      </c>
      <c r="I6012">
        <v>-64.364230000000006</v>
      </c>
      <c r="J6012">
        <v>-274.0446</v>
      </c>
      <c r="K6012">
        <v>1.1067069999999899</v>
      </c>
      <c r="L6012">
        <v>-62.345059999999997</v>
      </c>
      <c r="M6012">
        <v>0.99703940000000002</v>
      </c>
      <c r="N6012">
        <v>0</v>
      </c>
      <c r="O6012">
        <v>-7.6892989999999994E-2</v>
      </c>
      <c r="P6012">
        <v>0.99838229999999994</v>
      </c>
      <c r="Q6012">
        <v>4.8457699999999999E-2</v>
      </c>
      <c r="R6012">
        <v>2.974168E-2</v>
      </c>
      <c r="S6012">
        <v>3.0137939999999999</v>
      </c>
      <c r="T6012">
        <v>-9.1332670000000005E-2</v>
      </c>
      <c r="U6012">
        <v>-0.16735839999999999</v>
      </c>
      <c r="V6012">
        <v>-0.1068125</v>
      </c>
      <c r="W6012">
        <v>4.7669290000000003E-2</v>
      </c>
      <c r="X6012">
        <v>0.99313580000000001</v>
      </c>
      <c r="Y6012">
        <v>-2.144857E-2</v>
      </c>
      <c r="Z6012">
        <v>2.6496139999999998E-3</v>
      </c>
      <c r="AA6012">
        <v>0.9997665</v>
      </c>
      <c r="AB6012">
        <v>27</v>
      </c>
      <c r="AC6012">
        <v>36.381700000000002</v>
      </c>
      <c r="AD6012">
        <v>-1.1067101878629999</v>
      </c>
      <c r="AE6012">
        <v>-2.0191699999999999</v>
      </c>
      <c r="AF6012">
        <v>-0.783582756155627</v>
      </c>
      <c r="AG6012">
        <v>-1.1067101878629999</v>
      </c>
      <c r="AH6012">
        <v>36.3956715977587</v>
      </c>
      <c r="AI6012">
        <v>91.741295328751207</v>
      </c>
      <c r="AJ6012">
        <v>91.233362321050507</v>
      </c>
      <c r="AK6012">
        <v>36.420924211606298</v>
      </c>
    </row>
    <row r="6013" spans="1:37" x14ac:dyDescent="0.2">
      <c r="A6013" t="str">
        <f>"20200111155717750"</f>
        <v>20200111155717750</v>
      </c>
      <c r="B6013" t="str">
        <f>"1578729437739638"</f>
        <v>1578729437739638</v>
      </c>
      <c r="C6013" t="s">
        <v>37</v>
      </c>
      <c r="D6013">
        <v>5.0008189999999999</v>
      </c>
      <c r="E6013">
        <v>0.53042069999999997</v>
      </c>
      <c r="F6013" t="s">
        <v>99</v>
      </c>
      <c r="G6013">
        <v>-237.60040000000001</v>
      </c>
      <c r="H6013" s="1">
        <v>-3.1537439999999999E-6</v>
      </c>
      <c r="I6013">
        <v>-64.291820000000001</v>
      </c>
      <c r="J6013">
        <v>-273.90949999999998</v>
      </c>
      <c r="K6013">
        <v>1.1067069999999899</v>
      </c>
      <c r="L6013">
        <v>-62.353119999999997</v>
      </c>
      <c r="M6013">
        <v>0.99721970000000004</v>
      </c>
      <c r="N6013">
        <v>0</v>
      </c>
      <c r="O6013">
        <v>-7.4517570000000005E-2</v>
      </c>
      <c r="P6013">
        <v>0.99830049999999904</v>
      </c>
      <c r="Q6013">
        <v>4.8701719999999997E-2</v>
      </c>
      <c r="R6013">
        <v>3.200501E-2</v>
      </c>
      <c r="S6013">
        <v>3.0140989999999999</v>
      </c>
      <c r="T6013">
        <v>-9.1529730000000004E-2</v>
      </c>
      <c r="U6013">
        <v>-0.16101070000000001</v>
      </c>
      <c r="V6013">
        <v>-0.106699399999999</v>
      </c>
      <c r="W6013">
        <v>4.7926959999999998E-2</v>
      </c>
      <c r="X6013">
        <v>0.99313560000000001</v>
      </c>
      <c r="Y6013">
        <v>-2.1172750000000001E-2</v>
      </c>
      <c r="Z6013">
        <v>2.5792369999999998E-3</v>
      </c>
      <c r="AA6013">
        <v>0.99977249999999995</v>
      </c>
      <c r="AB6013">
        <v>27</v>
      </c>
      <c r="AC6013">
        <v>36.309099999999901</v>
      </c>
      <c r="AD6013">
        <v>-1.1067101537439901</v>
      </c>
      <c r="AE6013">
        <v>-1.9387000000000001</v>
      </c>
      <c r="AF6013">
        <v>-0.77164121762863402</v>
      </c>
      <c r="AG6013">
        <v>-1.1067101537439901</v>
      </c>
      <c r="AH6013">
        <v>36.318971012434503</v>
      </c>
      <c r="AI6013">
        <v>91.744980938822806</v>
      </c>
      <c r="AJ6013">
        <v>91.217136201923907</v>
      </c>
      <c r="AK6013">
        <v>36.3440214194192</v>
      </c>
    </row>
    <row r="6014" spans="1:37" x14ac:dyDescent="0.2">
      <c r="A6014" t="str">
        <f>"20200111155717764"</f>
        <v>20200111155717764</v>
      </c>
      <c r="B6014" t="str">
        <f>"1578729437759667"</f>
        <v>1578729437759667</v>
      </c>
      <c r="C6014" t="s">
        <v>37</v>
      </c>
      <c r="D6014">
        <v>4.590198</v>
      </c>
      <c r="E6014">
        <v>0.4367722</v>
      </c>
      <c r="F6014" t="s">
        <v>99</v>
      </c>
      <c r="G6014">
        <v>-237.60730000000001</v>
      </c>
      <c r="H6014" s="1">
        <v>-3.0956559999999999E-6</v>
      </c>
      <c r="I6014">
        <v>-63.950959999999903</v>
      </c>
      <c r="J6014">
        <v>-273.75049999999999</v>
      </c>
      <c r="K6014">
        <v>1.1067089999999999</v>
      </c>
      <c r="L6014">
        <v>-62.362340000000003</v>
      </c>
      <c r="M6014">
        <v>0.99742319999999995</v>
      </c>
      <c r="N6014">
        <v>0</v>
      </c>
      <c r="O6014">
        <v>-7.1742490000000006E-2</v>
      </c>
      <c r="P6014">
        <v>0.99819199999999997</v>
      </c>
      <c r="Q6014">
        <v>4.87777E-2</v>
      </c>
      <c r="R6014">
        <v>3.5123300000000003E-2</v>
      </c>
      <c r="S6014">
        <v>3.013855</v>
      </c>
      <c r="T6014">
        <v>-9.1880439999999994E-2</v>
      </c>
      <c r="U6014">
        <v>-0.1326599</v>
      </c>
      <c r="V6014">
        <v>-0.10703940000000001</v>
      </c>
      <c r="W6014">
        <v>4.8022219999999997E-2</v>
      </c>
      <c r="X6014">
        <v>0.99309439999999904</v>
      </c>
      <c r="Y6014">
        <v>-2.7766229999999999E-2</v>
      </c>
      <c r="Z6014">
        <v>2.6062439999999902E-3</v>
      </c>
      <c r="AA6014">
        <v>0.99961100000000003</v>
      </c>
      <c r="AB6014">
        <v>27</v>
      </c>
      <c r="AC6014">
        <v>36.143199999999901</v>
      </c>
      <c r="AD6014">
        <v>-1.1067120956559999</v>
      </c>
      <c r="AE6014">
        <v>-1.5886199999999899</v>
      </c>
      <c r="AF6014">
        <v>-1.0075338690540701</v>
      </c>
      <c r="AG6014">
        <v>-1.1067120956559999</v>
      </c>
      <c r="AH6014">
        <v>36.130227042354498</v>
      </c>
      <c r="AI6014">
        <v>91.7538083517545</v>
      </c>
      <c r="AJ6014">
        <v>91.597346222727197</v>
      </c>
      <c r="AK6014">
        <v>36.161211847669598</v>
      </c>
    </row>
    <row r="6015" spans="1:37" x14ac:dyDescent="0.2">
      <c r="A6015" t="str">
        <f>"20200111155717773"</f>
        <v>20200111155717773</v>
      </c>
      <c r="B6015" t="str">
        <f>"1578729437769427"</f>
        <v>1578729437769427</v>
      </c>
      <c r="C6015" t="s">
        <v>37</v>
      </c>
      <c r="D6015">
        <v>4.6306649999999996</v>
      </c>
      <c r="E6015">
        <v>0.43160730000000003</v>
      </c>
      <c r="F6015" t="s">
        <v>99</v>
      </c>
      <c r="G6015">
        <v>-239.523</v>
      </c>
      <c r="H6015" s="1">
        <v>-3.9910579999999999E-6</v>
      </c>
      <c r="I6015">
        <v>-55.205080000000002</v>
      </c>
      <c r="J6015">
        <v>-273.63900000000001</v>
      </c>
      <c r="K6015">
        <v>1.1067089999999999</v>
      </c>
      <c r="L6015">
        <v>-62.36853</v>
      </c>
      <c r="M6015">
        <v>0.9975598</v>
      </c>
      <c r="N6015">
        <v>0</v>
      </c>
      <c r="O6015">
        <v>-6.9816989999999995E-2</v>
      </c>
      <c r="P6015">
        <v>0.99810370000000004</v>
      </c>
      <c r="Q6015">
        <v>4.8995850000000001E-2</v>
      </c>
      <c r="R6015">
        <v>3.7263879999999999E-2</v>
      </c>
      <c r="S6015">
        <v>2.9881899999999999</v>
      </c>
      <c r="T6015">
        <v>-9.6619960000000005E-2</v>
      </c>
      <c r="U6015">
        <v>0.62484740000000005</v>
      </c>
      <c r="V6015">
        <v>-0.10725270000000001</v>
      </c>
      <c r="W6015">
        <v>4.8260360000000002E-2</v>
      </c>
      <c r="X6015">
        <v>0.99305980000000005</v>
      </c>
      <c r="Y6015">
        <v>-0.27234629999999999</v>
      </c>
      <c r="Z6015">
        <v>6.5902290000000004E-3</v>
      </c>
      <c r="AA6015">
        <v>0.9621767</v>
      </c>
      <c r="AB6015">
        <v>27</v>
      </c>
      <c r="AC6015">
        <v>34.116</v>
      </c>
      <c r="AD6015">
        <v>-1.106712991058</v>
      </c>
      <c r="AE6015">
        <v>7.1634500000000001</v>
      </c>
      <c r="AF6015">
        <v>-9.5182529156151396</v>
      </c>
      <c r="AG6015">
        <v>-1.106712991058</v>
      </c>
      <c r="AH6015">
        <v>33.498856764625302</v>
      </c>
      <c r="AI6015">
        <v>91.820212874956894</v>
      </c>
      <c r="AJ6015">
        <v>105.861791240606</v>
      </c>
      <c r="AK6015">
        <v>34.8424361482815</v>
      </c>
    </row>
    <row r="6016" spans="1:37" x14ac:dyDescent="0.2">
      <c r="A6016" t="str">
        <f>"20200111155717785"</f>
        <v>20200111155717785</v>
      </c>
      <c r="B6016" t="str">
        <f>"1578729437779186"</f>
        <v>1578729437779186</v>
      </c>
      <c r="C6016" t="s">
        <v>37</v>
      </c>
      <c r="D6016">
        <v>4.5963799999999999</v>
      </c>
      <c r="E6016">
        <v>0.42939169999999999</v>
      </c>
      <c r="F6016" t="s">
        <v>99</v>
      </c>
      <c r="G6016">
        <v>-236.48920000000001</v>
      </c>
      <c r="H6016" s="1">
        <v>-2.9021109999999998E-6</v>
      </c>
      <c r="I6016">
        <v>-54.006969999999903</v>
      </c>
      <c r="J6016">
        <v>-273.49970000000002</v>
      </c>
      <c r="K6016">
        <v>1.1067020000000001</v>
      </c>
      <c r="L6016">
        <v>-62.376040000000003</v>
      </c>
      <c r="M6016">
        <v>0.99772309999999997</v>
      </c>
      <c r="N6016">
        <v>0</v>
      </c>
      <c r="O6016">
        <v>-6.7445060000000001E-2</v>
      </c>
      <c r="P6016">
        <v>0.99796649999999998</v>
      </c>
      <c r="Q6016">
        <v>4.9289470000000002E-2</v>
      </c>
      <c r="R6016">
        <v>4.0417050000000003E-2</v>
      </c>
      <c r="S6016">
        <v>2.984985</v>
      </c>
      <c r="T6016">
        <v>-8.8924169999999997E-2</v>
      </c>
      <c r="U6016">
        <v>0.67184449999999996</v>
      </c>
      <c r="V6016">
        <v>-0.1080295</v>
      </c>
      <c r="W6016">
        <v>4.8581369999999999E-2</v>
      </c>
      <c r="X6016">
        <v>0.99295999999999995</v>
      </c>
      <c r="Y6016">
        <v>-0.28473130000000002</v>
      </c>
      <c r="Z6016">
        <v>6.1744290000000004E-3</v>
      </c>
      <c r="AA6016">
        <v>0.95858750000000004</v>
      </c>
      <c r="AB6016">
        <v>27</v>
      </c>
      <c r="AC6016">
        <v>37.0105</v>
      </c>
      <c r="AD6016">
        <v>-1.106704902111</v>
      </c>
      <c r="AE6016">
        <v>8.3690700000000007</v>
      </c>
      <c r="AF6016">
        <v>-10.836970087094</v>
      </c>
      <c r="AG6016">
        <v>-1.106704902111</v>
      </c>
      <c r="AH6016">
        <v>36.330869145643902</v>
      </c>
      <c r="AI6016">
        <v>91.672039643006599</v>
      </c>
      <c r="AJ6016">
        <v>106.60907717899001</v>
      </c>
      <c r="AK6016">
        <v>37.928838227486402</v>
      </c>
    </row>
    <row r="6017" spans="1:37" x14ac:dyDescent="0.2">
      <c r="A6017" t="str">
        <f>"20200111155717794"</f>
        <v>20200111155717794</v>
      </c>
      <c r="B6017" t="str">
        <f>"1578729437788946"</f>
        <v>1578729437788946</v>
      </c>
      <c r="C6017" t="s">
        <v>37</v>
      </c>
      <c r="D6017">
        <v>4.6423480000000001</v>
      </c>
      <c r="E6017">
        <v>0.42812849999999902</v>
      </c>
      <c r="F6017" t="s">
        <v>99</v>
      </c>
      <c r="G6017">
        <v>-235.9502</v>
      </c>
      <c r="H6017" s="1">
        <v>-2.8230220000000001E-6</v>
      </c>
      <c r="I6017">
        <v>-53.577359999999999</v>
      </c>
      <c r="J6017">
        <v>-273.3646</v>
      </c>
      <c r="K6017">
        <v>1.1066929999999999</v>
      </c>
      <c r="L6017">
        <v>-62.383000000000003</v>
      </c>
      <c r="M6017">
        <v>0.99787409999999999</v>
      </c>
      <c r="N6017">
        <v>0</v>
      </c>
      <c r="O6017">
        <v>-6.5171179999999995E-2</v>
      </c>
      <c r="P6017">
        <v>0.99780999999999997</v>
      </c>
      <c r="Q6017">
        <v>4.9888439999999999E-2</v>
      </c>
      <c r="R6017">
        <v>4.3431259999999999E-2</v>
      </c>
      <c r="S6017">
        <v>2.982208</v>
      </c>
      <c r="T6017">
        <v>-8.7895269999999998E-2</v>
      </c>
      <c r="U6017">
        <v>0.69879150000000001</v>
      </c>
      <c r="V6017">
        <v>-0.108768</v>
      </c>
      <c r="W6017">
        <v>4.9213380000000001E-2</v>
      </c>
      <c r="X6017">
        <v>0.99284819999999996</v>
      </c>
      <c r="Y6017">
        <v>-0.29096109999999997</v>
      </c>
      <c r="Z6017">
        <v>6.1269189999999998E-3</v>
      </c>
      <c r="AA6017">
        <v>0.95671530000000005</v>
      </c>
      <c r="AB6017">
        <v>27</v>
      </c>
      <c r="AC6017">
        <v>37.414400000000001</v>
      </c>
      <c r="AD6017">
        <v>-1.1066958230220001</v>
      </c>
      <c r="AE6017">
        <v>8.8056400000000004</v>
      </c>
      <c r="AF6017">
        <v>-11.215962411017101</v>
      </c>
      <c r="AG6017">
        <v>-1.1066958230220001</v>
      </c>
      <c r="AH6017">
        <v>36.7305363669523</v>
      </c>
      <c r="AI6017">
        <v>91.650612056026205</v>
      </c>
      <c r="AJ6017">
        <v>106.980469160563</v>
      </c>
      <c r="AK6017">
        <v>38.420761187853302</v>
      </c>
    </row>
    <row r="6018" spans="1:37" x14ac:dyDescent="0.2">
      <c r="A6018" t="str">
        <f>"20200111155717806"</f>
        <v>20200111155717806</v>
      </c>
      <c r="B6018" t="str">
        <f>"1578729437799682"</f>
        <v>1578729437799682</v>
      </c>
      <c r="C6018" t="s">
        <v>37</v>
      </c>
      <c r="D6018">
        <v>4.5936620000000001</v>
      </c>
      <c r="E6018">
        <v>0.42743049999999999</v>
      </c>
      <c r="F6018" t="s">
        <v>99</v>
      </c>
      <c r="G6018">
        <v>-235.83770000000001</v>
      </c>
      <c r="H6018" s="1">
        <v>-2.8473219999999898E-6</v>
      </c>
      <c r="I6018">
        <v>-53.342100000000002</v>
      </c>
      <c r="J6018">
        <v>-273.23329999999999</v>
      </c>
      <c r="K6018">
        <v>1.1066739999999999</v>
      </c>
      <c r="L6018">
        <v>-62.389469999999903</v>
      </c>
      <c r="M6018">
        <v>0.99801240000000002</v>
      </c>
      <c r="N6018">
        <v>0</v>
      </c>
      <c r="O6018">
        <v>-6.3018759999999993E-2</v>
      </c>
      <c r="P6018">
        <v>0.99764059999999899</v>
      </c>
      <c r="Q6018">
        <v>5.0384129999999999E-2</v>
      </c>
      <c r="R6018">
        <v>4.663511E-2</v>
      </c>
      <c r="S6018">
        <v>2.9797359999999999</v>
      </c>
      <c r="T6018">
        <v>-8.787441E-2</v>
      </c>
      <c r="U6018">
        <v>0.71786499999999998</v>
      </c>
      <c r="V6018">
        <v>-0.1098142</v>
      </c>
      <c r="W6018">
        <v>4.9748689999999998E-2</v>
      </c>
      <c r="X6018">
        <v>0.99270639999999999</v>
      </c>
      <c r="Y6018">
        <v>-0.2948673</v>
      </c>
      <c r="Z6018">
        <v>6.1201019999999997E-3</v>
      </c>
      <c r="AA6018">
        <v>0.9555186</v>
      </c>
      <c r="AB6018">
        <v>27</v>
      </c>
      <c r="AC6018">
        <v>37.395599999999902</v>
      </c>
      <c r="AD6018">
        <v>-1.1066768473219999</v>
      </c>
      <c r="AE6018">
        <v>9.0473699999999901</v>
      </c>
      <c r="AF6018">
        <v>-11.3765985597881</v>
      </c>
      <c r="AG6018">
        <v>-1.1066768473219999</v>
      </c>
      <c r="AH6018">
        <v>36.720734983729301</v>
      </c>
      <c r="AI6018">
        <v>91.648959207036299</v>
      </c>
      <c r="AJ6018">
        <v>107.213714111432</v>
      </c>
      <c r="AK6018">
        <v>38.458602499054201</v>
      </c>
    </row>
    <row r="6019" spans="1:37" x14ac:dyDescent="0.2">
      <c r="A6019" t="str">
        <f>"20200111155717817"</f>
        <v>20200111155717817</v>
      </c>
      <c r="B6019" t="str">
        <f>"1578729437809443"</f>
        <v>1578729437809443</v>
      </c>
      <c r="C6019" t="s">
        <v>37</v>
      </c>
      <c r="D6019">
        <v>4.6492990000000001</v>
      </c>
      <c r="E6019">
        <v>0.42699769999999998</v>
      </c>
      <c r="F6019" t="s">
        <v>99</v>
      </c>
      <c r="G6019">
        <v>-236.71299999999999</v>
      </c>
      <c r="H6019" s="1">
        <v>-3.13050799999999E-6</v>
      </c>
      <c r="I6019">
        <v>-53.397239999999996</v>
      </c>
      <c r="J6019">
        <v>-273.10140000000001</v>
      </c>
      <c r="K6019">
        <v>1.1066510000000001</v>
      </c>
      <c r="L6019">
        <v>-62.39584</v>
      </c>
      <c r="M6019">
        <v>0.99814519999999995</v>
      </c>
      <c r="N6019">
        <v>0</v>
      </c>
      <c r="O6019">
        <v>-6.0876909999999999E-2</v>
      </c>
      <c r="P6019">
        <v>0.99748599999999998</v>
      </c>
      <c r="Q6019">
        <v>5.0322489999999998E-2</v>
      </c>
      <c r="R6019">
        <v>4.9892619999999999E-2</v>
      </c>
      <c r="S6019">
        <v>2.9773559999999999</v>
      </c>
      <c r="T6019">
        <v>-9.0222839999999999E-2</v>
      </c>
      <c r="U6019">
        <v>0.73309329999999995</v>
      </c>
      <c r="V6019">
        <v>-0.1109219</v>
      </c>
      <c r="W6019">
        <v>4.9730110000000001E-2</v>
      </c>
      <c r="X6019">
        <v>0.99258409999999997</v>
      </c>
      <c r="Y6019">
        <v>-0.29759459999999999</v>
      </c>
      <c r="Z6019">
        <v>6.2614200000000002E-3</v>
      </c>
      <c r="AA6019">
        <v>0.95467179999999996</v>
      </c>
      <c r="AB6019">
        <v>27</v>
      </c>
      <c r="AC6019">
        <v>36.388399999999997</v>
      </c>
      <c r="AD6019">
        <v>-1.106654130508</v>
      </c>
      <c r="AE6019">
        <v>8.9985999999999908</v>
      </c>
      <c r="AF6019">
        <v>-11.187372687020501</v>
      </c>
      <c r="AG6019">
        <v>-1.106654130508</v>
      </c>
      <c r="AH6019">
        <v>35.741949873421703</v>
      </c>
      <c r="AI6019">
        <v>91.692522372132501</v>
      </c>
      <c r="AJ6019">
        <v>107.380327935276</v>
      </c>
      <c r="AK6019">
        <v>37.468239507041901</v>
      </c>
    </row>
    <row r="6020" spans="1:37" x14ac:dyDescent="0.2">
      <c r="A6020" t="str">
        <f>"20200111155717828"</f>
        <v>20200111155717828</v>
      </c>
      <c r="B6020" t="str">
        <f>"1578729437819203"</f>
        <v>1578729437819203</v>
      </c>
      <c r="C6020" t="s">
        <v>37</v>
      </c>
      <c r="D6020">
        <v>4.6425669999999997</v>
      </c>
      <c r="E6020">
        <v>0.42654160000000002</v>
      </c>
      <c r="F6020" t="s">
        <v>99</v>
      </c>
      <c r="G6020">
        <v>-237.6122</v>
      </c>
      <c r="H6020" s="1">
        <v>-3.4750189999999899E-6</v>
      </c>
      <c r="I6020">
        <v>-53.49306</v>
      </c>
      <c r="J6020">
        <v>-272.96269999999998</v>
      </c>
      <c r="K6020">
        <v>1.106606</v>
      </c>
      <c r="L6020">
        <v>-62.402099999999997</v>
      </c>
      <c r="M6020">
        <v>0.99827429999999995</v>
      </c>
      <c r="N6020">
        <v>0</v>
      </c>
      <c r="O6020">
        <v>-5.8721710000000003E-2</v>
      </c>
      <c r="P6020">
        <v>0.99735580000000001</v>
      </c>
      <c r="Q6020">
        <v>4.9825050000000003E-2</v>
      </c>
      <c r="R6020">
        <v>5.2906229999999999E-2</v>
      </c>
      <c r="S6020">
        <v>2.9749150000000002</v>
      </c>
      <c r="T6020">
        <v>-9.2766280000000007E-2</v>
      </c>
      <c r="U6020">
        <v>0.74627690000000002</v>
      </c>
      <c r="V6020">
        <v>-0.11176999999999999</v>
      </c>
      <c r="W6020">
        <v>4.92953E-2</v>
      </c>
      <c r="X6020">
        <v>0.99251069999999997</v>
      </c>
      <c r="Y6020">
        <v>-0.29969009999999902</v>
      </c>
      <c r="Z6020">
        <v>6.4054999999999997E-3</v>
      </c>
      <c r="AA6020">
        <v>0.9540151</v>
      </c>
      <c r="AB6020">
        <v>27</v>
      </c>
      <c r="AC6020">
        <v>35.350499999999897</v>
      </c>
      <c r="AD6020">
        <v>-1.1066094750190001</v>
      </c>
      <c r="AE6020">
        <v>8.9090399999999903</v>
      </c>
      <c r="AF6020">
        <v>-10.9594103374952</v>
      </c>
      <c r="AG6020">
        <v>-1.1066094750190001</v>
      </c>
      <c r="AH6020">
        <v>34.734340080908503</v>
      </c>
      <c r="AI6020">
        <v>91.7402683155114</v>
      </c>
      <c r="AJ6020">
        <v>107.51157469554499</v>
      </c>
      <c r="AK6020">
        <v>36.439094943919898</v>
      </c>
    </row>
    <row r="6021" spans="1:37" x14ac:dyDescent="0.2">
      <c r="A6021" t="str">
        <f>"20200111155717839"</f>
        <v>20200111155717839</v>
      </c>
      <c r="B6021" t="str">
        <f>"1578729437828963"</f>
        <v>1578729437828963</v>
      </c>
      <c r="C6021" t="s">
        <v>37</v>
      </c>
      <c r="D6021">
        <v>4.6397149999999998</v>
      </c>
      <c r="E6021">
        <v>0.42634949999999999</v>
      </c>
      <c r="F6021" t="s">
        <v>99</v>
      </c>
      <c r="G6021">
        <v>-238.1011</v>
      </c>
      <c r="H6021" s="1">
        <v>-3.6830579999999899E-6</v>
      </c>
      <c r="I6021">
        <v>-53.502650000000003</v>
      </c>
      <c r="J6021">
        <v>-272.82279999999997</v>
      </c>
      <c r="K6021">
        <v>1.106557</v>
      </c>
      <c r="L6021">
        <v>-62.408359999999902</v>
      </c>
      <c r="M6021">
        <v>0.99839840000000002</v>
      </c>
      <c r="N6021">
        <v>0</v>
      </c>
      <c r="O6021">
        <v>-5.6573739999999997E-2</v>
      </c>
      <c r="P6021">
        <v>0.99726319999999902</v>
      </c>
      <c r="Q6021">
        <v>4.8705699999999998E-2</v>
      </c>
      <c r="R6021">
        <v>5.5624899999999998E-2</v>
      </c>
      <c r="S6021">
        <v>2.9724119999999998</v>
      </c>
      <c r="T6021">
        <v>-9.435296E-2</v>
      </c>
      <c r="U6021">
        <v>0.75878909999999999</v>
      </c>
      <c r="V6021">
        <v>-0.1123285</v>
      </c>
      <c r="W6021">
        <v>4.8246560000000001E-2</v>
      </c>
      <c r="X6021">
        <v>0.99249920000000003</v>
      </c>
      <c r="Y6021">
        <v>-0.3015948</v>
      </c>
      <c r="Z6021">
        <v>6.4795649999999996E-3</v>
      </c>
      <c r="AA6021">
        <v>0.95341409999999904</v>
      </c>
      <c r="AB6021">
        <v>28</v>
      </c>
      <c r="AC6021">
        <v>34.721699999999899</v>
      </c>
      <c r="AD6021">
        <v>-1.1065606830579999</v>
      </c>
      <c r="AE6021">
        <v>8.9057099999999902</v>
      </c>
      <c r="AF6021">
        <v>-10.845447930453</v>
      </c>
      <c r="AG6021">
        <v>-1.1065606830579999</v>
      </c>
      <c r="AH6021">
        <v>34.129736650172703</v>
      </c>
      <c r="AI6021">
        <v>91.769853586386105</v>
      </c>
      <c r="AJ6021">
        <v>107.62875871656399</v>
      </c>
      <c r="AK6021">
        <v>35.828579949079803</v>
      </c>
    </row>
    <row r="6022" spans="1:37" x14ac:dyDescent="0.2">
      <c r="A6022" t="str">
        <f>"20200111155717852"</f>
        <v>20200111155717852</v>
      </c>
      <c r="B6022" t="str">
        <f>"1578729437849459"</f>
        <v>1578729437849459</v>
      </c>
      <c r="C6022" t="s">
        <v>37</v>
      </c>
      <c r="D6022">
        <v>4.7295319999999998</v>
      </c>
      <c r="E6022">
        <v>0.42621609999999999</v>
      </c>
      <c r="F6022" t="s">
        <v>99</v>
      </c>
      <c r="G6022">
        <v>-239.33019999999999</v>
      </c>
      <c r="H6022" s="1">
        <v>-4.1677979999999997E-6</v>
      </c>
      <c r="I6022">
        <v>-53.742469999999997</v>
      </c>
      <c r="J6022">
        <v>-272.6746</v>
      </c>
      <c r="K6022">
        <v>1.106484</v>
      </c>
      <c r="L6022">
        <v>-62.414549999999998</v>
      </c>
      <c r="M6022">
        <v>0.99851759999999901</v>
      </c>
      <c r="N6022">
        <v>0</v>
      </c>
      <c r="O6022">
        <v>-5.4425620000000001E-2</v>
      </c>
      <c r="P6022">
        <v>0.99716070000000001</v>
      </c>
      <c r="Q6022">
        <v>4.7383099999999997E-2</v>
      </c>
      <c r="R6022">
        <v>5.8527120000000002E-2</v>
      </c>
      <c r="S6022">
        <v>2.970154</v>
      </c>
      <c r="T6022">
        <v>-9.813094E-2</v>
      </c>
      <c r="U6022">
        <v>0.76849369999999995</v>
      </c>
      <c r="V6022">
        <v>-0.11306629999999999</v>
      </c>
      <c r="W6022">
        <v>4.7019140000000001E-2</v>
      </c>
      <c r="X6022">
        <v>0.99247430000000003</v>
      </c>
      <c r="Y6022">
        <v>-0.30262600000000001</v>
      </c>
      <c r="Z6022">
        <v>6.687971E-3</v>
      </c>
      <c r="AA6022">
        <v>0.95308599999999999</v>
      </c>
      <c r="AB6022">
        <v>28</v>
      </c>
      <c r="AC6022">
        <v>33.3444</v>
      </c>
      <c r="AD6022">
        <v>-1.1064881677980001</v>
      </c>
      <c r="AE6022">
        <v>8.6720799999999993</v>
      </c>
      <c r="AF6022">
        <v>-10.4632248621886</v>
      </c>
      <c r="AG6022">
        <v>-1.1064881677980001</v>
      </c>
      <c r="AH6022">
        <v>32.789175946939302</v>
      </c>
      <c r="AI6022">
        <v>91.841332920834205</v>
      </c>
      <c r="AJ6022">
        <v>107.69819841127899</v>
      </c>
      <c r="AK6022">
        <v>34.435932539449901</v>
      </c>
    </row>
    <row r="6023" spans="1:37" x14ac:dyDescent="0.2">
      <c r="A6023" t="str">
        <f>"20200111155717863"</f>
        <v>20200111155717863</v>
      </c>
      <c r="B6023" t="str">
        <f>"1578729437859218"</f>
        <v>1578729437859218</v>
      </c>
      <c r="C6023" t="s">
        <v>37</v>
      </c>
      <c r="D6023">
        <v>4.6853959999999999</v>
      </c>
      <c r="E6023">
        <v>0.42634119999999998</v>
      </c>
      <c r="F6023" t="s">
        <v>99</v>
      </c>
      <c r="G6023">
        <v>-239.2167</v>
      </c>
      <c r="H6023" s="1">
        <v>-4.1364930000000001E-6</v>
      </c>
      <c r="I6023">
        <v>-53.64443</v>
      </c>
      <c r="J6023">
        <v>-272.53410000000002</v>
      </c>
      <c r="K6023">
        <v>1.1064080000000001</v>
      </c>
      <c r="L6023">
        <v>-62.420259999999999</v>
      </c>
      <c r="M6023">
        <v>0.998623699999999</v>
      </c>
      <c r="N6023">
        <v>0</v>
      </c>
      <c r="O6023">
        <v>-5.2442629999999997E-2</v>
      </c>
      <c r="P6023">
        <v>0.99707359999999901</v>
      </c>
      <c r="Q6023">
        <v>4.6038910000000002E-2</v>
      </c>
      <c r="R6023">
        <v>6.1029819999999999E-2</v>
      </c>
      <c r="S6023">
        <v>2.96755999999999</v>
      </c>
      <c r="T6023">
        <v>-9.8140240000000004E-2</v>
      </c>
      <c r="U6023">
        <v>0.77786250000000001</v>
      </c>
      <c r="V6023">
        <v>-0.1135721</v>
      </c>
      <c r="W6023">
        <v>4.5774969999999998E-2</v>
      </c>
      <c r="X6023">
        <v>0.99247469999999904</v>
      </c>
      <c r="Y6023">
        <v>-0.3037531</v>
      </c>
      <c r="Z6023">
        <v>6.6453789999999999E-3</v>
      </c>
      <c r="AA6023">
        <v>0.95272760000000001</v>
      </c>
      <c r="AB6023">
        <v>28</v>
      </c>
      <c r="AC6023">
        <v>33.317399999999999</v>
      </c>
      <c r="AD6023">
        <v>-1.106412136493</v>
      </c>
      <c r="AE6023">
        <v>8.7758299999999902</v>
      </c>
      <c r="AF6023">
        <v>-10.500178209270199</v>
      </c>
      <c r="AG6023">
        <v>-1.106412136493</v>
      </c>
      <c r="AH6023">
        <v>32.777523989154801</v>
      </c>
      <c r="AI6023">
        <v>91.841198182578495</v>
      </c>
      <c r="AJ6023">
        <v>107.762699492363</v>
      </c>
      <c r="AK6023">
        <v>34.436085275504702</v>
      </c>
    </row>
    <row r="6024" spans="1:37" x14ac:dyDescent="0.2">
      <c r="A6024" t="str">
        <f>"20200111155717873"</f>
        <v>20200111155717873</v>
      </c>
      <c r="B6024" t="str">
        <f>"1578729437868978"</f>
        <v>1578729437868978</v>
      </c>
      <c r="C6024" t="s">
        <v>37</v>
      </c>
      <c r="D6024">
        <v>4.6964420000000002</v>
      </c>
      <c r="E6024">
        <v>0.426616</v>
      </c>
      <c r="F6024" t="s">
        <v>98</v>
      </c>
      <c r="G6024">
        <v>-240.5093</v>
      </c>
      <c r="H6024" s="1">
        <v>-8.7225369999999997E-7</v>
      </c>
      <c r="I6024">
        <v>-53.950240000000001</v>
      </c>
      <c r="J6024">
        <v>-272.39249999999998</v>
      </c>
      <c r="K6024">
        <v>1.1063270000000001</v>
      </c>
      <c r="L6024">
        <v>-62.425840000000001</v>
      </c>
      <c r="M6024">
        <v>0.99872269999999896</v>
      </c>
      <c r="N6024">
        <v>0</v>
      </c>
      <c r="O6024">
        <v>-5.0526679999999997E-2</v>
      </c>
      <c r="P6024">
        <v>0.99695719999999999</v>
      </c>
      <c r="Q6024">
        <v>4.5096190000000001E-2</v>
      </c>
      <c r="R6024">
        <v>6.3583689999999998E-2</v>
      </c>
      <c r="S6024">
        <v>2.9655459999999998</v>
      </c>
      <c r="T6024">
        <v>-0.102455399999999</v>
      </c>
      <c r="U6024">
        <v>0.78433229999999998</v>
      </c>
      <c r="V6024">
        <v>-0.114196399999999</v>
      </c>
      <c r="W6024">
        <v>4.4946130000000001E-2</v>
      </c>
      <c r="X6024">
        <v>0.99244089999999996</v>
      </c>
      <c r="Y6024">
        <v>-0.30401209999999901</v>
      </c>
      <c r="Z6024">
        <v>6.8792819999999996E-3</v>
      </c>
      <c r="AA6024">
        <v>0.95264329999999997</v>
      </c>
      <c r="AB6024">
        <v>28</v>
      </c>
      <c r="AC6024">
        <v>31.883199999999899</v>
      </c>
      <c r="AD6024">
        <v>-1.1063278722537</v>
      </c>
      <c r="AE6024">
        <v>8.4756</v>
      </c>
      <c r="AF6024">
        <v>-10.0644082675664</v>
      </c>
      <c r="AG6024">
        <v>-1.1063278722537</v>
      </c>
      <c r="AH6024">
        <v>31.378943963074299</v>
      </c>
      <c r="AI6024">
        <v>91.922836675640696</v>
      </c>
      <c r="AJ6024">
        <v>107.78300100107199</v>
      </c>
      <c r="AK6024">
        <v>32.972024496153502</v>
      </c>
    </row>
    <row r="6025" spans="1:37" x14ac:dyDescent="0.2">
      <c r="A6025" t="str">
        <f>"20200111155717887"</f>
        <v>20200111155717887</v>
      </c>
      <c r="B6025" t="str">
        <f>"1578729437878738"</f>
        <v>1578729437878738</v>
      </c>
      <c r="C6025" t="s">
        <v>37</v>
      </c>
      <c r="D6025">
        <v>4.7467809999999897</v>
      </c>
      <c r="E6025">
        <v>0.42668199999999901</v>
      </c>
      <c r="F6025" t="s">
        <v>98</v>
      </c>
      <c r="G6025">
        <v>-241.63839999999999</v>
      </c>
      <c r="H6025" s="1">
        <v>-1.1817949999999999E-6</v>
      </c>
      <c r="I6025">
        <v>-54.23095</v>
      </c>
      <c r="J6025">
        <v>-272.22250000000003</v>
      </c>
      <c r="K6025">
        <v>1.1062239999999901</v>
      </c>
      <c r="L6025">
        <v>-62.432219999999901</v>
      </c>
      <c r="M6025">
        <v>0.99882979999999999</v>
      </c>
      <c r="N6025">
        <v>0</v>
      </c>
      <c r="O6025">
        <v>-4.8355450000000001E-2</v>
      </c>
      <c r="P6025">
        <v>0.99679110000000004</v>
      </c>
      <c r="Q6025">
        <v>4.4582169999999997E-2</v>
      </c>
      <c r="R6025">
        <v>6.6482620000000006E-2</v>
      </c>
      <c r="S6025">
        <v>2.963654</v>
      </c>
      <c r="T6025">
        <v>-0.1066126</v>
      </c>
      <c r="U6025">
        <v>0.78970340000000006</v>
      </c>
      <c r="V6025">
        <v>-0.1149104</v>
      </c>
      <c r="W6025">
        <v>4.4590770000000002E-2</v>
      </c>
      <c r="X6025">
        <v>0.99237450000000005</v>
      </c>
      <c r="Y6025">
        <v>-0.3036894</v>
      </c>
      <c r="Z6025">
        <v>7.0784200000000002E-3</v>
      </c>
      <c r="AA6025">
        <v>0.95274479999999995</v>
      </c>
      <c r="AB6025">
        <v>28</v>
      </c>
      <c r="AC6025">
        <v>30.584099999999999</v>
      </c>
      <c r="AD6025">
        <v>-1.106225181795</v>
      </c>
      <c r="AE6025">
        <v>8.2012699999999903</v>
      </c>
      <c r="AF6025">
        <v>-9.6587959866473394</v>
      </c>
      <c r="AG6025">
        <v>-1.106225181795</v>
      </c>
      <c r="AH6025">
        <v>30.114990746070799</v>
      </c>
      <c r="AI6025">
        <v>92.003293754343005</v>
      </c>
      <c r="AJ6025">
        <v>107.78263024906001</v>
      </c>
      <c r="AK6025">
        <v>31.6453589282922</v>
      </c>
    </row>
    <row r="6026" spans="1:37" x14ac:dyDescent="0.2">
      <c r="A6026" t="str">
        <f>"20200111155717898"</f>
        <v>20200111155717898</v>
      </c>
      <c r="B6026" t="str">
        <f>"1578729437889475"</f>
        <v>1578729437889475</v>
      </c>
      <c r="C6026" t="s">
        <v>37</v>
      </c>
      <c r="D6026">
        <v>4.6770519999999998</v>
      </c>
      <c r="E6026">
        <v>0.42690739999999999</v>
      </c>
      <c r="F6026" t="s">
        <v>98</v>
      </c>
      <c r="G6026">
        <v>-242.16399999999999</v>
      </c>
      <c r="H6026" s="1">
        <v>-1.3323379999999999E-6</v>
      </c>
      <c r="I6026">
        <v>-54.337429999999998</v>
      </c>
      <c r="J6026">
        <v>-272.08519999999999</v>
      </c>
      <c r="K6026">
        <v>1.1061459999999901</v>
      </c>
      <c r="L6026">
        <v>-62.437289999999997</v>
      </c>
      <c r="M6026">
        <v>0.99891070000000004</v>
      </c>
      <c r="N6026">
        <v>0</v>
      </c>
      <c r="O6026">
        <v>-4.6654050000000002E-2</v>
      </c>
      <c r="P6026">
        <v>0.99661699999999998</v>
      </c>
      <c r="Q6026">
        <v>4.4722360000000003E-2</v>
      </c>
      <c r="R6026">
        <v>6.8951620000000005E-2</v>
      </c>
      <c r="S6026">
        <v>2.9613339999999999</v>
      </c>
      <c r="T6026">
        <v>-0.1089845</v>
      </c>
      <c r="U6026">
        <v>0.79748540000000001</v>
      </c>
      <c r="V6026">
        <v>-0.11566839999999901</v>
      </c>
      <c r="W6026">
        <v>4.486706E-2</v>
      </c>
      <c r="X6026">
        <v>0.99227399999999999</v>
      </c>
      <c r="Y6026">
        <v>-0.30457879999999998</v>
      </c>
      <c r="Z6026">
        <v>7.1933169999999899E-3</v>
      </c>
      <c r="AA6026">
        <v>0.95245999999999997</v>
      </c>
      <c r="AB6026">
        <v>28</v>
      </c>
      <c r="AC6026">
        <v>29.921199999999899</v>
      </c>
      <c r="AD6026">
        <v>-1.10614733233799</v>
      </c>
      <c r="AE6026">
        <v>8.0998599999999996</v>
      </c>
      <c r="AF6026">
        <v>-9.4749207740734391</v>
      </c>
      <c r="AG6026">
        <v>-1.10614733233799</v>
      </c>
      <c r="AH6026">
        <v>29.4731973181642</v>
      </c>
      <c r="AI6026">
        <v>92.046292194151306</v>
      </c>
      <c r="AJ6026">
        <v>107.821343400931</v>
      </c>
      <c r="AK6026">
        <v>30.978493277615101</v>
      </c>
    </row>
    <row r="6027" spans="1:37" x14ac:dyDescent="0.2">
      <c r="A6027" t="str">
        <f>"20200111155717908"</f>
        <v>20200111155717908</v>
      </c>
      <c r="B6027" t="str">
        <f>"1578729437899235"</f>
        <v>1578729437899235</v>
      </c>
      <c r="C6027" t="s">
        <v>37</v>
      </c>
      <c r="D6027">
        <v>4.7156449999999897</v>
      </c>
      <c r="E6027">
        <v>0.42707580000000001</v>
      </c>
      <c r="F6027" t="s">
        <v>98</v>
      </c>
      <c r="G6027">
        <v>-242.1181</v>
      </c>
      <c r="H6027" s="1">
        <v>-1.3243570000000001E-6</v>
      </c>
      <c r="I6027">
        <v>-54.308729999999997</v>
      </c>
      <c r="J6027">
        <v>-271.9522</v>
      </c>
      <c r="K6027">
        <v>1.106055</v>
      </c>
      <c r="L6027">
        <v>-62.441929999999999</v>
      </c>
      <c r="M6027">
        <v>0.99897899999999995</v>
      </c>
      <c r="N6027">
        <v>0</v>
      </c>
      <c r="O6027">
        <v>-4.5168960000000001E-2</v>
      </c>
      <c r="P6027">
        <v>0.9964539</v>
      </c>
      <c r="Q6027">
        <v>4.5033879999999998E-2</v>
      </c>
      <c r="R6027">
        <v>7.1075440000000004E-2</v>
      </c>
      <c r="S6027">
        <v>2.9595340000000001</v>
      </c>
      <c r="T6027">
        <v>-0.10924249999999899</v>
      </c>
      <c r="U6027">
        <v>0.8027649</v>
      </c>
      <c r="V6027">
        <v>-0.1162976</v>
      </c>
      <c r="W6027">
        <v>4.5339119999999997E-2</v>
      </c>
      <c r="X6027">
        <v>0.99217900000000003</v>
      </c>
      <c r="Y6027">
        <v>-0.30489129999999998</v>
      </c>
      <c r="Z6027">
        <v>7.1646519999999997E-3</v>
      </c>
      <c r="AA6027">
        <v>0.95236019999999899</v>
      </c>
      <c r="AB6027">
        <v>28</v>
      </c>
      <c r="AC6027">
        <v>29.834099999999999</v>
      </c>
      <c r="AD6027">
        <v>-1.1060563243570001</v>
      </c>
      <c r="AE6027">
        <v>8.1332000000000004</v>
      </c>
      <c r="AF6027">
        <v>-9.4603713966815199</v>
      </c>
      <c r="AG6027">
        <v>-1.1060563243570001</v>
      </c>
      <c r="AH6027">
        <v>29.3986701109195</v>
      </c>
      <c r="AI6027">
        <v>92.051115390289993</v>
      </c>
      <c r="AJ6027">
        <v>107.83796223765199</v>
      </c>
      <c r="AK6027">
        <v>30.903135631299101</v>
      </c>
    </row>
    <row r="6028" spans="1:37" x14ac:dyDescent="0.2">
      <c r="A6028" t="str">
        <f>"20200111155717919"</f>
        <v>20200111155717919</v>
      </c>
      <c r="B6028" t="str">
        <f>"1578729437908995"</f>
        <v>1578729437908995</v>
      </c>
      <c r="C6028" t="s">
        <v>37</v>
      </c>
      <c r="D6028">
        <v>4.7995999999999999</v>
      </c>
      <c r="E6028">
        <v>0.42717829999999901</v>
      </c>
      <c r="F6028" t="s">
        <v>98</v>
      </c>
      <c r="G6028">
        <v>-242.14619999999999</v>
      </c>
      <c r="H6028" s="1">
        <v>-1.3349750000000001E-6</v>
      </c>
      <c r="I6028">
        <v>-54.304699999999997</v>
      </c>
      <c r="J6028">
        <v>-271.82670000000002</v>
      </c>
      <c r="K6028">
        <v>1.1059699999999999</v>
      </c>
      <c r="L6028">
        <v>-62.446289999999998</v>
      </c>
      <c r="M6028">
        <v>0.9990405</v>
      </c>
      <c r="N6028">
        <v>0</v>
      </c>
      <c r="O6028">
        <v>-4.3779020000000002E-2</v>
      </c>
      <c r="P6028">
        <v>0.99630830000000004</v>
      </c>
      <c r="Q6028">
        <v>4.5506119999999997E-2</v>
      </c>
      <c r="R6028">
        <v>7.2793789999999997E-2</v>
      </c>
      <c r="S6028">
        <v>2.9580380000000002</v>
      </c>
      <c r="T6028">
        <v>-0.1097683</v>
      </c>
      <c r="U6028">
        <v>0.80755619999999995</v>
      </c>
      <c r="V6028">
        <v>-0.11661879999999999</v>
      </c>
      <c r="W6028">
        <v>4.5966470000000002E-2</v>
      </c>
      <c r="X6028">
        <v>0.99211249999999995</v>
      </c>
      <c r="Y6028">
        <v>-0.30512259999999902</v>
      </c>
      <c r="Z6028">
        <v>7.1546029999999998E-3</v>
      </c>
      <c r="AA6028">
        <v>0.95228619999999997</v>
      </c>
      <c r="AB6028">
        <v>28</v>
      </c>
      <c r="AC6028">
        <v>29.680499999999999</v>
      </c>
      <c r="AD6028">
        <v>-1.105971334975</v>
      </c>
      <c r="AE6028">
        <v>8.1415900000000008</v>
      </c>
      <c r="AF6028">
        <v>-9.4210026682284997</v>
      </c>
      <c r="AG6028">
        <v>-1.105971334975</v>
      </c>
      <c r="AH6028">
        <v>29.257830779755501</v>
      </c>
      <c r="AI6028">
        <v>92.060699996218005</v>
      </c>
      <c r="AJ6028">
        <v>107.848525116232</v>
      </c>
      <c r="AK6028">
        <v>30.757098787196501</v>
      </c>
    </row>
    <row r="6029" spans="1:37" x14ac:dyDescent="0.2">
      <c r="A6029" t="str">
        <f>"20200111155717929"</f>
        <v>20200111155717929</v>
      </c>
      <c r="B6029" t="str">
        <f>"1578729437918754"</f>
        <v>1578729437918754</v>
      </c>
      <c r="C6029" t="s">
        <v>37</v>
      </c>
      <c r="D6029">
        <v>4.71692</v>
      </c>
      <c r="E6029">
        <v>0.427490799999999</v>
      </c>
      <c r="F6029" t="s">
        <v>98</v>
      </c>
      <c r="G6029">
        <v>-241.8715</v>
      </c>
      <c r="H6029" s="1">
        <v>-1.263422E-6</v>
      </c>
      <c r="I6029">
        <v>-54.22231</v>
      </c>
      <c r="J6029">
        <v>-271.68889999999999</v>
      </c>
      <c r="K6029">
        <v>1.1058709999999901</v>
      </c>
      <c r="L6029">
        <v>-62.450899999999997</v>
      </c>
      <c r="M6029">
        <v>0.99909910000000002</v>
      </c>
      <c r="N6029">
        <v>0</v>
      </c>
      <c r="O6029">
        <v>-4.241578E-2</v>
      </c>
      <c r="P6029">
        <v>0.99617509999999998</v>
      </c>
      <c r="Q6029">
        <v>4.58077E-2</v>
      </c>
      <c r="R6029">
        <v>7.4410619999999997E-2</v>
      </c>
      <c r="S6029">
        <v>2.9568180000000002</v>
      </c>
      <c r="T6029">
        <v>-0.1091683</v>
      </c>
      <c r="U6029">
        <v>0.81176759999999903</v>
      </c>
      <c r="V6029">
        <v>-0.11686249999999999</v>
      </c>
      <c r="W6029">
        <v>4.6462789999999997E-2</v>
      </c>
      <c r="X6029">
        <v>0.99206070000000002</v>
      </c>
      <c r="Y6029">
        <v>-0.30518809999999902</v>
      </c>
      <c r="Z6029">
        <v>7.068726E-3</v>
      </c>
      <c r="AA6029">
        <v>0.9522659</v>
      </c>
      <c r="AB6029">
        <v>28</v>
      </c>
      <c r="AC6029">
        <v>29.8173999999999</v>
      </c>
      <c r="AD6029">
        <v>-1.10587226342199</v>
      </c>
      <c r="AE6029">
        <v>8.2285899999999899</v>
      </c>
      <c r="AF6029">
        <v>-9.4738048047801406</v>
      </c>
      <c r="AG6029">
        <v>-1.10587226342199</v>
      </c>
      <c r="AH6029">
        <v>29.4039594826287</v>
      </c>
      <c r="AI6029">
        <v>92.050167314047002</v>
      </c>
      <c r="AJ6029">
        <v>107.85867412846601</v>
      </c>
      <c r="AK6029">
        <v>30.912275299598299</v>
      </c>
    </row>
    <row r="6030" spans="1:37" x14ac:dyDescent="0.2">
      <c r="A6030" t="str">
        <f>"20200111155717942"</f>
        <v>20200111155717942</v>
      </c>
      <c r="B6030" t="str">
        <f>"1578729437929491"</f>
        <v>1578729437929491</v>
      </c>
      <c r="C6030" t="s">
        <v>37</v>
      </c>
      <c r="D6030">
        <v>4.7039519999999904</v>
      </c>
      <c r="E6030">
        <v>0.42780489999999999</v>
      </c>
      <c r="F6030" t="s">
        <v>98</v>
      </c>
      <c r="G6030">
        <v>-241.6386</v>
      </c>
      <c r="H6030" s="1">
        <v>-1.1968919999999999E-6</v>
      </c>
      <c r="I6030">
        <v>-54.1744699999999</v>
      </c>
      <c r="J6030">
        <v>-271.54480000000001</v>
      </c>
      <c r="K6030">
        <v>1.1057629999999901</v>
      </c>
      <c r="L6030">
        <v>-62.455659999999902</v>
      </c>
      <c r="M6030">
        <v>0.99915639999999994</v>
      </c>
      <c r="N6030">
        <v>0</v>
      </c>
      <c r="O6030">
        <v>-4.1040439999999997E-2</v>
      </c>
      <c r="P6030">
        <v>0.99607219999999996</v>
      </c>
      <c r="Q6030">
        <v>4.5686009999999999E-2</v>
      </c>
      <c r="R6030">
        <v>7.5849319999999998E-2</v>
      </c>
      <c r="S6030">
        <v>2.95571899999999</v>
      </c>
      <c r="T6030">
        <v>-0.1087726</v>
      </c>
      <c r="U6030">
        <v>0.81405640000000001</v>
      </c>
      <c r="V6030">
        <v>-0.11691509999999999</v>
      </c>
      <c r="W6030">
        <v>4.65514E-2</v>
      </c>
      <c r="X6030">
        <v>0.99205030000000005</v>
      </c>
      <c r="Y6030">
        <v>-0.30465599999999998</v>
      </c>
      <c r="Z6030">
        <v>6.9855539999999997E-3</v>
      </c>
      <c r="AA6030">
        <v>0.95243690000000003</v>
      </c>
      <c r="AB6030">
        <v>28</v>
      </c>
      <c r="AC6030">
        <v>29.906199999999998</v>
      </c>
      <c r="AD6030">
        <v>-1.10576419689199</v>
      </c>
      <c r="AE6030">
        <v>8.2811900000000005</v>
      </c>
      <c r="AF6030">
        <v>-9.4895286038207107</v>
      </c>
      <c r="AG6030">
        <v>-1.10576419689199</v>
      </c>
      <c r="AH6030">
        <v>29.503677295506499</v>
      </c>
      <c r="AI6030">
        <v>92.043375554299004</v>
      </c>
      <c r="AJ6030">
        <v>107.82980771014</v>
      </c>
      <c r="AK6030">
        <v>31.011946755069101</v>
      </c>
    </row>
    <row r="6031" spans="1:37" x14ac:dyDescent="0.2">
      <c r="A6031" t="str">
        <f>"20200111155717952"</f>
        <v>20200111155717952</v>
      </c>
      <c r="B6031" t="str">
        <f>"1578729437949012"</f>
        <v>1578729437949012</v>
      </c>
      <c r="C6031" t="s">
        <v>37</v>
      </c>
      <c r="D6031">
        <v>4.7561029999999898</v>
      </c>
      <c r="E6031">
        <v>0.42857790000000001</v>
      </c>
      <c r="F6031" t="s">
        <v>98</v>
      </c>
      <c r="G6031">
        <v>-241.77109999999999</v>
      </c>
      <c r="H6031" s="1">
        <v>-1.225839E-6</v>
      </c>
      <c r="I6031">
        <v>-54.235169999999997</v>
      </c>
      <c r="J6031">
        <v>-271.39609999999999</v>
      </c>
      <c r="K6031">
        <v>1.105645</v>
      </c>
      <c r="L6031">
        <v>-62.4604199999999</v>
      </c>
      <c r="M6031">
        <v>0.99920759999999897</v>
      </c>
      <c r="N6031">
        <v>0</v>
      </c>
      <c r="O6031">
        <v>-3.9769579999999999E-2</v>
      </c>
      <c r="P6031">
        <v>0.99597839999999904</v>
      </c>
      <c r="Q6031">
        <v>4.5494850000000003E-2</v>
      </c>
      <c r="R6031">
        <v>7.7186660000000004E-2</v>
      </c>
      <c r="S6031">
        <v>2.954742</v>
      </c>
      <c r="T6031">
        <v>-0.10973620000000001</v>
      </c>
      <c r="U6031">
        <v>0.81579590000000002</v>
      </c>
      <c r="V6031">
        <v>-0.1169688</v>
      </c>
      <c r="W6031">
        <v>4.6592840000000003E-2</v>
      </c>
      <c r="X6031">
        <v>0.99204210000000004</v>
      </c>
      <c r="Y6031">
        <v>-0.30404350000000002</v>
      </c>
      <c r="Z6031">
        <v>6.9915280000000003E-3</v>
      </c>
      <c r="AA6031">
        <v>0.95263249999999999</v>
      </c>
      <c r="AB6031">
        <v>29</v>
      </c>
      <c r="AC6031">
        <v>29.625</v>
      </c>
      <c r="AD6031">
        <v>-1.1056462258390001</v>
      </c>
      <c r="AE6031">
        <v>8.2252499999999902</v>
      </c>
      <c r="AF6031">
        <v>-9.3847817366834594</v>
      </c>
      <c r="AG6031">
        <v>-1.1056462258390001</v>
      </c>
      <c r="AH6031">
        <v>29.236639027446301</v>
      </c>
      <c r="AI6031">
        <v>92.062190270770003</v>
      </c>
      <c r="AJ6031">
        <v>107.796311486642</v>
      </c>
      <c r="AK6031">
        <v>30.725846504906801</v>
      </c>
    </row>
    <row r="6032" spans="1:37" x14ac:dyDescent="0.2">
      <c r="A6032" t="str">
        <f>"20200111155717964"</f>
        <v>20200111155717964</v>
      </c>
      <c r="B6032" t="str">
        <f>"1578729437958770"</f>
        <v>1578729437958770</v>
      </c>
      <c r="C6032" t="s">
        <v>37</v>
      </c>
      <c r="D6032">
        <v>4.8835879999999996</v>
      </c>
      <c r="E6032">
        <v>0.42866729999999997</v>
      </c>
      <c r="F6032" t="s">
        <v>98</v>
      </c>
      <c r="G6032">
        <v>-241.83250000000001</v>
      </c>
      <c r="H6032" s="1">
        <v>-1.2244009999999999E-6</v>
      </c>
      <c r="I6032">
        <v>-54.319069999999897</v>
      </c>
      <c r="J6032">
        <v>-271.25220000000002</v>
      </c>
      <c r="K6032">
        <v>1.105523</v>
      </c>
      <c r="L6032">
        <v>-62.465000000000003</v>
      </c>
      <c r="M6032">
        <v>0.99925140000000001</v>
      </c>
      <c r="N6032">
        <v>0</v>
      </c>
      <c r="O6032">
        <v>-3.8645390000000002E-2</v>
      </c>
      <c r="P6032">
        <v>0.99589559999999999</v>
      </c>
      <c r="Q6032">
        <v>4.5328809999999997E-2</v>
      </c>
      <c r="R6032">
        <v>7.8342659999999995E-2</v>
      </c>
      <c r="S6032">
        <v>2.9541019999999998</v>
      </c>
      <c r="T6032">
        <v>-0.110480199999999</v>
      </c>
      <c r="U6032">
        <v>0.81350710000000004</v>
      </c>
      <c r="V6032">
        <v>-0.1169873</v>
      </c>
      <c r="W6032">
        <v>4.6658570000000003E-2</v>
      </c>
      <c r="X6032">
        <v>0.99203680000000005</v>
      </c>
      <c r="Y6032">
        <v>-0.30233709999999903</v>
      </c>
      <c r="Z6032">
        <v>6.9684119999999898E-3</v>
      </c>
      <c r="AA6032">
        <v>0.95317559999999901</v>
      </c>
      <c r="AB6032">
        <v>29</v>
      </c>
      <c r="AC6032">
        <v>29.419699999999999</v>
      </c>
      <c r="AD6032">
        <v>-1.105524224401</v>
      </c>
      <c r="AE6032">
        <v>8.1459299999999999</v>
      </c>
      <c r="AF6032">
        <v>-9.2646315955178196</v>
      </c>
      <c r="AG6032">
        <v>-1.105524224401</v>
      </c>
      <c r="AH6032">
        <v>29.044826696624899</v>
      </c>
      <c r="AI6032">
        <v>92.076782652275</v>
      </c>
      <c r="AJ6032">
        <v>107.691486616679</v>
      </c>
      <c r="AK6032">
        <v>30.506680256107401</v>
      </c>
    </row>
    <row r="6033" spans="1:37" x14ac:dyDescent="0.2">
      <c r="A6033" t="str">
        <f>"20200111155717974"</f>
        <v>20200111155717974</v>
      </c>
      <c r="B6033" t="str">
        <f>"1578729437969505"</f>
        <v>1578729437969505</v>
      </c>
      <c r="C6033" t="s">
        <v>37</v>
      </c>
      <c r="D6033">
        <v>4.9126260000000004</v>
      </c>
      <c r="E6033">
        <v>0.42913699999999999</v>
      </c>
      <c r="F6033" t="s">
        <v>98</v>
      </c>
      <c r="G6033">
        <v>-241.64959999999999</v>
      </c>
      <c r="H6033" s="1">
        <v>-1.1715590000000001E-6</v>
      </c>
      <c r="I6033">
        <v>-54.283769999999997</v>
      </c>
      <c r="J6033">
        <v>-271.11360000000002</v>
      </c>
      <c r="K6033">
        <v>1.105402</v>
      </c>
      <c r="L6033">
        <v>-62.469329999999999</v>
      </c>
      <c r="M6033">
        <v>0.99928859999999997</v>
      </c>
      <c r="N6033">
        <v>0</v>
      </c>
      <c r="O6033">
        <v>-3.7656309999999998E-2</v>
      </c>
      <c r="P6033">
        <v>0.99580159999999995</v>
      </c>
      <c r="Q6033">
        <v>4.5149420000000003E-2</v>
      </c>
      <c r="R6033">
        <v>7.9629920000000007E-2</v>
      </c>
      <c r="S6033">
        <v>2.9531860000000001</v>
      </c>
      <c r="T6033">
        <v>-0.11028830000000001</v>
      </c>
      <c r="U6033">
        <v>0.8161621</v>
      </c>
      <c r="V6033">
        <v>-0.11727129999999999</v>
      </c>
      <c r="W6033">
        <v>4.6707150000000003E-2</v>
      </c>
      <c r="X6033">
        <v>0.99200089999999996</v>
      </c>
      <c r="Y6033">
        <v>-0.30226709999999901</v>
      </c>
      <c r="Z6033">
        <v>6.91998099999999E-3</v>
      </c>
      <c r="AA6033">
        <v>0.95319809999999905</v>
      </c>
      <c r="AB6033">
        <v>29</v>
      </c>
      <c r="AC6033">
        <v>29.463999999999999</v>
      </c>
      <c r="AD6033">
        <v>-1.105403171559</v>
      </c>
      <c r="AE6033">
        <v>8.1855600000000095</v>
      </c>
      <c r="AF6033">
        <v>-9.2771400154850205</v>
      </c>
      <c r="AG6033">
        <v>-1.105403171559</v>
      </c>
      <c r="AH6033">
        <v>29.096843659242001</v>
      </c>
      <c r="AI6033">
        <v>92.072930534808904</v>
      </c>
      <c r="AJ6033">
        <v>107.684187392994</v>
      </c>
      <c r="AK6033">
        <v>30.5599992468746</v>
      </c>
    </row>
    <row r="6034" spans="1:37" x14ac:dyDescent="0.2">
      <c r="A6034" t="str">
        <f>"20200111155717987"</f>
        <v>20200111155717987</v>
      </c>
      <c r="B6034" t="str">
        <f>"1578729437979266"</f>
        <v>1578729437979266</v>
      </c>
      <c r="C6034" t="s">
        <v>37</v>
      </c>
      <c r="D6034">
        <v>4.7392279999999998</v>
      </c>
      <c r="E6034">
        <v>0.42942570000000002</v>
      </c>
      <c r="F6034" t="s">
        <v>98</v>
      </c>
      <c r="G6034">
        <v>-241.59909999999999</v>
      </c>
      <c r="H6034" s="1">
        <v>-1.1474780000000001E-6</v>
      </c>
      <c r="I6034">
        <v>-54.309660000000001</v>
      </c>
      <c r="J6034">
        <v>-270.96339999999998</v>
      </c>
      <c r="K6034">
        <v>1.1052649999999999</v>
      </c>
      <c r="L6034">
        <v>-62.473999999999997</v>
      </c>
      <c r="M6034">
        <v>0.99932219999999905</v>
      </c>
      <c r="N6034">
        <v>0</v>
      </c>
      <c r="O6034">
        <v>-3.6743150000000002E-2</v>
      </c>
      <c r="P6034">
        <v>0.99570219999999898</v>
      </c>
      <c r="Q6034">
        <v>4.532108E-2</v>
      </c>
      <c r="R6034">
        <v>8.0766980000000002E-2</v>
      </c>
      <c r="S6034">
        <v>2.9523929999999998</v>
      </c>
      <c r="T6034">
        <v>-0.1105757</v>
      </c>
      <c r="U6034">
        <v>0.81622309999999998</v>
      </c>
      <c r="V6034">
        <v>-0.117479</v>
      </c>
      <c r="W6034">
        <v>4.7131550000000001E-2</v>
      </c>
      <c r="X6034">
        <v>0.99195630000000001</v>
      </c>
      <c r="Y6034">
        <v>-0.30147990000000002</v>
      </c>
      <c r="Z6034">
        <v>6.8916919999999996E-3</v>
      </c>
      <c r="AA6034">
        <v>0.95344759999999995</v>
      </c>
      <c r="AB6034">
        <v>29</v>
      </c>
      <c r="AC6034">
        <v>29.364299999999901</v>
      </c>
      <c r="AD6034">
        <v>-1.1052661474779999</v>
      </c>
      <c r="AE6034">
        <v>8.1643399999999904</v>
      </c>
      <c r="AF6034">
        <v>-9.2256340044960297</v>
      </c>
      <c r="AG6034">
        <v>-1.1052661474779999</v>
      </c>
      <c r="AH6034">
        <v>29.006341099681801</v>
      </c>
      <c r="AI6034">
        <v>92.079604129067405</v>
      </c>
      <c r="AJ6034">
        <v>107.643565624134</v>
      </c>
      <c r="AK6034">
        <v>30.458196926816999</v>
      </c>
    </row>
    <row r="6035" spans="1:37" x14ac:dyDescent="0.2">
      <c r="A6035" t="str">
        <f>"20200111155717996"</f>
        <v>20200111155717996</v>
      </c>
      <c r="B6035" t="str">
        <f>"1578729437989027"</f>
        <v>1578729437989027</v>
      </c>
      <c r="C6035" t="s">
        <v>37</v>
      </c>
      <c r="D6035">
        <v>4.7787879999999996</v>
      </c>
      <c r="E6035">
        <v>0.42979679999999998</v>
      </c>
      <c r="F6035" t="s">
        <v>98</v>
      </c>
      <c r="G6035">
        <v>-241.34299999999999</v>
      </c>
      <c r="H6035" s="1">
        <v>-1.069911E-6</v>
      </c>
      <c r="I6035">
        <v>-54.2735699999999</v>
      </c>
      <c r="J6035">
        <v>-270.83010000000002</v>
      </c>
      <c r="K6035">
        <v>1.105143</v>
      </c>
      <c r="L6035">
        <v>-62.478090000000002</v>
      </c>
      <c r="M6035">
        <v>0.99934940000000005</v>
      </c>
      <c r="N6035">
        <v>0</v>
      </c>
      <c r="O6035">
        <v>-3.5989119999999999E-2</v>
      </c>
      <c r="P6035">
        <v>0.99557899999999999</v>
      </c>
      <c r="Q6035">
        <v>4.5727730000000001E-2</v>
      </c>
      <c r="R6035">
        <v>8.2048479999999993E-2</v>
      </c>
      <c r="S6035">
        <v>2.9516909999999998</v>
      </c>
      <c r="T6035">
        <v>-0.1101403</v>
      </c>
      <c r="U6035">
        <v>0.81716919999999904</v>
      </c>
      <c r="V6035">
        <v>-0.117992</v>
      </c>
      <c r="W6035">
        <v>4.7763590000000002E-2</v>
      </c>
      <c r="X6035">
        <v>0.9918652</v>
      </c>
      <c r="Y6035">
        <v>-0.30110500000000001</v>
      </c>
      <c r="Z6035">
        <v>6.83133E-3</v>
      </c>
      <c r="AA6035">
        <v>0.95356659999999904</v>
      </c>
      <c r="AB6035">
        <v>29</v>
      </c>
      <c r="AC6035">
        <v>29.487100000000002</v>
      </c>
      <c r="AD6035">
        <v>-1.105144069911</v>
      </c>
      <c r="AE6035">
        <v>8.2045200000000094</v>
      </c>
      <c r="AF6035">
        <v>-9.2483652432866492</v>
      </c>
      <c r="AG6035">
        <v>-1.105144069911</v>
      </c>
      <c r="AH6035">
        <v>29.134739349647798</v>
      </c>
      <c r="AI6035">
        <v>92.070589749769695</v>
      </c>
      <c r="AJ6035">
        <v>107.61122299952601</v>
      </c>
      <c r="AK6035">
        <v>30.5873607893916</v>
      </c>
    </row>
    <row r="6036" spans="1:37" x14ac:dyDescent="0.2">
      <c r="A6036" t="str">
        <f>"20200111155718008"</f>
        <v>20200111155718008</v>
      </c>
      <c r="B6036" t="str">
        <f>"1578729437998786"</f>
        <v>1578729437998786</v>
      </c>
      <c r="C6036" t="s">
        <v>37</v>
      </c>
      <c r="D6036">
        <v>4.7922219999999998</v>
      </c>
      <c r="E6036">
        <v>0.43020799999999998</v>
      </c>
      <c r="F6036" t="s">
        <v>98</v>
      </c>
      <c r="G6036">
        <v>-241.36510000000001</v>
      </c>
      <c r="H6036" s="1">
        <v>-1.0678669999999999E-6</v>
      </c>
      <c r="I6036">
        <v>-54.309530000000002</v>
      </c>
      <c r="J6036">
        <v>-270.68700000000001</v>
      </c>
      <c r="K6036">
        <v>1.105002</v>
      </c>
      <c r="L6036">
        <v>-62.48254</v>
      </c>
      <c r="M6036">
        <v>0.9993708</v>
      </c>
      <c r="N6036">
        <v>0</v>
      </c>
      <c r="O6036">
        <v>-3.5369339999999999E-2</v>
      </c>
      <c r="P6036">
        <v>0.99545339999999904</v>
      </c>
      <c r="Q6036">
        <v>4.6236279999999998E-2</v>
      </c>
      <c r="R6036">
        <v>8.3277149999999994E-2</v>
      </c>
      <c r="S6036">
        <v>2.950958</v>
      </c>
      <c r="T6036">
        <v>-0.1106815</v>
      </c>
      <c r="U6036">
        <v>0.8180847</v>
      </c>
      <c r="V6036">
        <v>-0.1185831</v>
      </c>
      <c r="W6036">
        <v>4.8514219999999997E-2</v>
      </c>
      <c r="X6036">
        <v>0.99175820000000003</v>
      </c>
      <c r="Y6036">
        <v>-0.30084759999999999</v>
      </c>
      <c r="Z6036">
        <v>6.8386559999999898E-3</v>
      </c>
      <c r="AA6036">
        <v>0.95364769999999899</v>
      </c>
      <c r="AB6036">
        <v>29</v>
      </c>
      <c r="AC6036">
        <v>29.321899999999999</v>
      </c>
      <c r="AD6036">
        <v>-1.105003067867</v>
      </c>
      <c r="AE6036">
        <v>8.1730099999999908</v>
      </c>
      <c r="AF6036">
        <v>-9.1928817410806296</v>
      </c>
      <c r="AG6036">
        <v>-1.105003067867</v>
      </c>
      <c r="AH6036">
        <v>28.9762936302313</v>
      </c>
      <c r="AI6036">
        <v>92.081743996902702</v>
      </c>
      <c r="AJ6036">
        <v>107.601904255848</v>
      </c>
      <c r="AK6036">
        <v>30.419659745481599</v>
      </c>
    </row>
    <row r="6037" spans="1:37" x14ac:dyDescent="0.2">
      <c r="A6037" t="str">
        <f>"20200111155718019"</f>
        <v>20200111155718019</v>
      </c>
      <c r="B6037" t="str">
        <f>"1578729438009523"</f>
        <v>1578729438009523</v>
      </c>
      <c r="C6037" t="s">
        <v>37</v>
      </c>
      <c r="D6037">
        <v>4.8890390000000004</v>
      </c>
      <c r="E6037">
        <v>0.43049110000000002</v>
      </c>
      <c r="F6037" t="s">
        <v>98</v>
      </c>
      <c r="G6037">
        <v>-241.15649999999999</v>
      </c>
      <c r="H6037" s="1">
        <v>-1.0014409999999999E-6</v>
      </c>
      <c r="I6037">
        <v>-54.292380000000001</v>
      </c>
      <c r="J6037">
        <v>-270.5462</v>
      </c>
      <c r="K6037">
        <v>1.1048690000000001</v>
      </c>
      <c r="L6037">
        <v>-62.486879999999999</v>
      </c>
      <c r="M6037">
        <v>0.99939040000000001</v>
      </c>
      <c r="N6037">
        <v>0</v>
      </c>
      <c r="O6037">
        <v>-3.4797429999999997E-2</v>
      </c>
      <c r="P6037">
        <v>0.99532019999999899</v>
      </c>
      <c r="Q6037">
        <v>4.6539770000000001E-2</v>
      </c>
      <c r="R6037">
        <v>8.4687670000000007E-2</v>
      </c>
      <c r="S6037">
        <v>2.95037799999999</v>
      </c>
      <c r="T6037">
        <v>-0.1104001</v>
      </c>
      <c r="U6037">
        <v>0.81826779999999999</v>
      </c>
      <c r="V6037">
        <v>-0.1194023</v>
      </c>
      <c r="W6037">
        <v>4.9056210000000003E-2</v>
      </c>
      <c r="X6037">
        <v>0.99163330000000005</v>
      </c>
      <c r="Y6037">
        <v>-0.30040679999999997</v>
      </c>
      <c r="Z6037">
        <v>6.7933840000000004E-3</v>
      </c>
      <c r="AA6037">
        <v>0.95378700000000005</v>
      </c>
      <c r="AB6037">
        <v>29</v>
      </c>
      <c r="AC6037">
        <v>29.389700000000001</v>
      </c>
      <c r="AD6037">
        <v>-1.104870001441</v>
      </c>
      <c r="AE6037">
        <v>8.1944999999999997</v>
      </c>
      <c r="AF6037">
        <v>-9.20016276184524</v>
      </c>
      <c r="AG6037">
        <v>-1.104870001441</v>
      </c>
      <c r="AH6037">
        <v>29.048659523310501</v>
      </c>
      <c r="AI6037">
        <v>92.076635183634295</v>
      </c>
      <c r="AJ6037">
        <v>107.573805336566</v>
      </c>
      <c r="AK6037">
        <v>30.490791276477999</v>
      </c>
    </row>
    <row r="6038" spans="1:37" x14ac:dyDescent="0.2">
      <c r="A6038" t="str">
        <f>"20200111155718030"</f>
        <v>20200111155718030</v>
      </c>
      <c r="B6038" t="str">
        <f>"1578729438019284"</f>
        <v>1578729438019284</v>
      </c>
      <c r="C6038" t="s">
        <v>37</v>
      </c>
      <c r="D6038">
        <v>4.8526850000000001</v>
      </c>
      <c r="E6038">
        <v>0.43079679999999998</v>
      </c>
      <c r="F6038" t="s">
        <v>98</v>
      </c>
      <c r="G6038">
        <v>-240.9127</v>
      </c>
      <c r="H6038" s="1">
        <v>-9.3074439999999995E-7</v>
      </c>
      <c r="I6038">
        <v>-54.246269999999903</v>
      </c>
      <c r="J6038">
        <v>-270.39319999999998</v>
      </c>
      <c r="K6038">
        <v>1.1047129999999901</v>
      </c>
      <c r="L6038">
        <v>-62.491700000000002</v>
      </c>
      <c r="M6038">
        <v>0.99940409999999902</v>
      </c>
      <c r="N6038">
        <v>0</v>
      </c>
      <c r="O6038">
        <v>-3.4385350000000002E-2</v>
      </c>
      <c r="P6038">
        <v>0.99519990000000003</v>
      </c>
      <c r="Q6038">
        <v>4.6845499999999998E-2</v>
      </c>
      <c r="R6038">
        <v>8.592408E-2</v>
      </c>
      <c r="S6038">
        <v>2.9494630000000002</v>
      </c>
      <c r="T6038">
        <v>-0.109968899999999</v>
      </c>
      <c r="U6038">
        <v>0.82019039999999999</v>
      </c>
      <c r="V6038">
        <v>-0.1202037</v>
      </c>
      <c r="W6038">
        <v>4.961724E-2</v>
      </c>
      <c r="X6038">
        <v>0.99150849999999902</v>
      </c>
      <c r="Y6038">
        <v>-0.30066870000000001</v>
      </c>
      <c r="Z6038">
        <v>6.7580069999999999E-3</v>
      </c>
      <c r="AA6038">
        <v>0.95370469999999896</v>
      </c>
      <c r="AB6038">
        <v>29</v>
      </c>
      <c r="AC6038">
        <v>29.4804999999999</v>
      </c>
      <c r="AD6038">
        <v>-1.1047139307443901</v>
      </c>
      <c r="AE6038">
        <v>8.2454300000000007</v>
      </c>
      <c r="AF6038">
        <v>-9.2422195478027191</v>
      </c>
      <c r="AG6038">
        <v>-1.1047139307443901</v>
      </c>
      <c r="AH6038">
        <v>29.141591377447401</v>
      </c>
      <c r="AI6038">
        <v>92.069468484176497</v>
      </c>
      <c r="AJ6038">
        <v>107.596359745481</v>
      </c>
      <c r="AK6038">
        <v>30.5920146941761</v>
      </c>
    </row>
    <row r="6039" spans="1:37" x14ac:dyDescent="0.2">
      <c r="A6039" t="str">
        <f>"20200111155718043"</f>
        <v>20200111155718043</v>
      </c>
      <c r="B6039" t="str">
        <f>"1578729438038803"</f>
        <v>1578729438038803</v>
      </c>
      <c r="C6039" t="s">
        <v>37</v>
      </c>
      <c r="D6039">
        <v>4.7939259999999999</v>
      </c>
      <c r="E6039">
        <v>0.43137059999999999</v>
      </c>
      <c r="F6039" t="s">
        <v>98</v>
      </c>
      <c r="G6039">
        <v>-240.73910000000001</v>
      </c>
      <c r="H6039" s="1">
        <v>-8.7548269999999995E-7</v>
      </c>
      <c r="I6039">
        <v>-54.23198</v>
      </c>
      <c r="J6039">
        <v>-270.2396</v>
      </c>
      <c r="K6039">
        <v>1.1045579999999999</v>
      </c>
      <c r="L6039">
        <v>-62.496519999999997</v>
      </c>
      <c r="M6039">
        <v>0.9994151</v>
      </c>
      <c r="N6039">
        <v>0</v>
      </c>
      <c r="O6039">
        <v>-3.4042129999999997E-2</v>
      </c>
      <c r="P6039">
        <v>0.99508929999999995</v>
      </c>
      <c r="Q6039">
        <v>4.6697429999999998E-2</v>
      </c>
      <c r="R6039">
        <v>8.7273959999999998E-2</v>
      </c>
      <c r="S6039">
        <v>2.9487299999999999</v>
      </c>
      <c r="T6039">
        <v>-0.10985</v>
      </c>
      <c r="U6039">
        <v>0.82131960000000004</v>
      </c>
      <c r="V6039">
        <v>-0.1211874</v>
      </c>
      <c r="W6039">
        <v>4.9721059999999997E-2</v>
      </c>
      <c r="X6039">
        <v>0.99138359999999903</v>
      </c>
      <c r="Y6039">
        <v>-0.30074190000000001</v>
      </c>
      <c r="Z6039">
        <v>6.7407539999999998E-3</v>
      </c>
      <c r="AA6039">
        <v>0.95368180000000002</v>
      </c>
      <c r="AB6039">
        <v>29</v>
      </c>
      <c r="AC6039">
        <v>29.500499999999899</v>
      </c>
      <c r="AD6039">
        <v>-1.1045588754826901</v>
      </c>
      <c r="AE6039">
        <v>8.2645399999999896</v>
      </c>
      <c r="AF6039">
        <v>-9.2519884499475804</v>
      </c>
      <c r="AG6039">
        <v>-1.1045588754826901</v>
      </c>
      <c r="AH6039">
        <v>29.164147172739099</v>
      </c>
      <c r="AI6039">
        <v>92.067525951236306</v>
      </c>
      <c r="AJ6039">
        <v>107.601028172938</v>
      </c>
      <c r="AK6039">
        <v>30.616446901960401</v>
      </c>
    </row>
    <row r="6040" spans="1:37" x14ac:dyDescent="0.2">
      <c r="A6040" t="str">
        <f>"20200111155718055"</f>
        <v>20200111155718055</v>
      </c>
      <c r="B6040" t="str">
        <f>"1578729438049538"</f>
        <v>1578729438049538</v>
      </c>
      <c r="C6040" t="s">
        <v>37</v>
      </c>
      <c r="D6040">
        <v>4.7895050000000001</v>
      </c>
      <c r="E6040">
        <v>0.43170059999999899</v>
      </c>
      <c r="F6040" t="s">
        <v>98</v>
      </c>
      <c r="G6040">
        <v>-241.11949999999999</v>
      </c>
      <c r="H6040" s="1">
        <v>-9.6304729999999998E-7</v>
      </c>
      <c r="I6040">
        <v>-54.389449999999997</v>
      </c>
      <c r="J6040">
        <v>-270.07839999999999</v>
      </c>
      <c r="K6040">
        <v>1.1044020000000001</v>
      </c>
      <c r="L6040">
        <v>-62.501649999999998</v>
      </c>
      <c r="M6040">
        <v>0.99942219999999904</v>
      </c>
      <c r="N6040">
        <v>0</v>
      </c>
      <c r="O6040">
        <v>-3.3812139999999997E-2</v>
      </c>
      <c r="P6040">
        <v>0.99501019999999896</v>
      </c>
      <c r="Q6040">
        <v>4.6311749999999999E-2</v>
      </c>
      <c r="R6040">
        <v>8.8374350000000004E-2</v>
      </c>
      <c r="S6040">
        <v>2.9480590000000002</v>
      </c>
      <c r="T6040">
        <v>-0.1118236</v>
      </c>
      <c r="U6040">
        <v>0.82073969999999896</v>
      </c>
      <c r="V6040">
        <v>-0.1220348</v>
      </c>
      <c r="W6040">
        <v>4.9591049999999998E-2</v>
      </c>
      <c r="X6040">
        <v>0.99128619999999901</v>
      </c>
      <c r="Y6040">
        <v>-0.30039699999999903</v>
      </c>
      <c r="Z6040">
        <v>6.8484649999999998E-3</v>
      </c>
      <c r="AA6040">
        <v>0.95378969999999896</v>
      </c>
      <c r="AB6040">
        <v>29</v>
      </c>
      <c r="AC6040">
        <v>28.9589</v>
      </c>
      <c r="AD6040">
        <v>-1.1044029630473</v>
      </c>
      <c r="AE6040">
        <v>8.1121999999999996</v>
      </c>
      <c r="AF6040">
        <v>-9.0744918626763198</v>
      </c>
      <c r="AG6040">
        <v>-1.1044029630473</v>
      </c>
      <c r="AH6040">
        <v>28.629439210228401</v>
      </c>
      <c r="AI6040">
        <v>92.105975941221203</v>
      </c>
      <c r="AJ6040">
        <v>107.586723112716</v>
      </c>
      <c r="AK6040">
        <v>30.053467320140101</v>
      </c>
    </row>
    <row r="6041" spans="1:37" x14ac:dyDescent="0.2">
      <c r="A6041" t="str">
        <f>"20200111155718066"</f>
        <v>20200111155718066</v>
      </c>
      <c r="B6041" t="str">
        <f>"1578729438059298"</f>
        <v>1578729438059298</v>
      </c>
      <c r="C6041" t="s">
        <v>37</v>
      </c>
      <c r="D6041">
        <v>4.7705219999999997</v>
      </c>
      <c r="E6041">
        <v>0.43203409999999898</v>
      </c>
      <c r="F6041" t="s">
        <v>98</v>
      </c>
      <c r="G6041">
        <v>-241.4913</v>
      </c>
      <c r="H6041" s="1">
        <v>-1.050869E-6</v>
      </c>
      <c r="I6041">
        <v>-54.534930000000003</v>
      </c>
      <c r="J6041">
        <v>-269.94069999999999</v>
      </c>
      <c r="K6041">
        <v>1.1042730000000001</v>
      </c>
      <c r="L6041">
        <v>-62.506159999999902</v>
      </c>
      <c r="M6041">
        <v>0.99942450000000005</v>
      </c>
      <c r="N6041">
        <v>0</v>
      </c>
      <c r="O6041">
        <v>-3.3730719999999999E-2</v>
      </c>
      <c r="P6041">
        <v>0.99493240000000005</v>
      </c>
      <c r="Q6041">
        <v>4.6077769999999997E-2</v>
      </c>
      <c r="R6041">
        <v>8.9368400000000001E-2</v>
      </c>
      <c r="S6041">
        <v>2.9473880000000001</v>
      </c>
      <c r="T6041">
        <v>-0.11386639999999899</v>
      </c>
      <c r="U6041">
        <v>0.82138060000000002</v>
      </c>
      <c r="V6041">
        <v>-0.1229273</v>
      </c>
      <c r="W6041">
        <v>4.9567229999999997E-2</v>
      </c>
      <c r="X6041">
        <v>0.99117710000000003</v>
      </c>
      <c r="Y6041">
        <v>-0.30055949999999998</v>
      </c>
      <c r="Z6041">
        <v>6.9748099999999997E-3</v>
      </c>
      <c r="AA6041">
        <v>0.95373759999999996</v>
      </c>
      <c r="AB6041">
        <v>29</v>
      </c>
      <c r="AC6041">
        <v>28.449400000000001</v>
      </c>
      <c r="AD6041">
        <v>-1.1042740508690001</v>
      </c>
      <c r="AE6041">
        <v>7.9712299999999896</v>
      </c>
      <c r="AF6041">
        <v>-8.9138665707270501</v>
      </c>
      <c r="AG6041">
        <v>-1.1042740508690001</v>
      </c>
      <c r="AH6041">
        <v>28.1250441675923</v>
      </c>
      <c r="AI6041">
        <v>92.143476087202103</v>
      </c>
      <c r="AJ6041">
        <v>107.585333976835</v>
      </c>
      <c r="AK6041">
        <v>29.524473709943798</v>
      </c>
    </row>
    <row r="6042" spans="1:37" x14ac:dyDescent="0.2">
      <c r="A6042" t="str">
        <f>"20200111155718076"</f>
        <v>20200111155718076</v>
      </c>
      <c r="B6042" t="str">
        <f>"1578729438069058"</f>
        <v>1578729438069058</v>
      </c>
      <c r="C6042" t="s">
        <v>37</v>
      </c>
      <c r="D6042">
        <v>4.838444</v>
      </c>
      <c r="E6042">
        <v>0.43234869999999997</v>
      </c>
      <c r="F6042" t="s">
        <v>98</v>
      </c>
      <c r="G6042">
        <v>-241.7184</v>
      </c>
      <c r="H6042" s="1">
        <v>-1.1011360000000001E-6</v>
      </c>
      <c r="I6042">
        <v>-54.636419999999902</v>
      </c>
      <c r="J6042">
        <v>-269.79590000000002</v>
      </c>
      <c r="K6042">
        <v>1.1041430000000001</v>
      </c>
      <c r="L6042">
        <v>-62.510890000000003</v>
      </c>
      <c r="M6042">
        <v>0.999424599999999</v>
      </c>
      <c r="N6042">
        <v>0</v>
      </c>
      <c r="O6042">
        <v>-3.3700500000000001E-2</v>
      </c>
      <c r="P6042">
        <v>0.9948167</v>
      </c>
      <c r="Q6042">
        <v>4.6034079999999998E-2</v>
      </c>
      <c r="R6042">
        <v>9.066784E-2</v>
      </c>
      <c r="S6042">
        <v>2.9468380000000001</v>
      </c>
      <c r="T6042">
        <v>-0.11530319999999999</v>
      </c>
      <c r="U6042">
        <v>0.82171629999999996</v>
      </c>
      <c r="V6042">
        <v>-0.1241739</v>
      </c>
      <c r="W6042">
        <v>4.973963E-2</v>
      </c>
      <c r="X6042">
        <v>0.99101309999999998</v>
      </c>
      <c r="Y6042">
        <v>-0.30067139999999998</v>
      </c>
      <c r="Z6042">
        <v>7.0649049999999998E-3</v>
      </c>
      <c r="AA6042">
        <v>0.95370159999999904</v>
      </c>
      <c r="AB6042">
        <v>29</v>
      </c>
      <c r="AC6042">
        <v>28.077500000000001</v>
      </c>
      <c r="AD6042">
        <v>-1.104144101136</v>
      </c>
      <c r="AE6042">
        <v>7.8744699999999996</v>
      </c>
      <c r="AF6042">
        <v>-8.8036082635642607</v>
      </c>
      <c r="AG6042">
        <v>-1.104144101136</v>
      </c>
      <c r="AH6042">
        <v>27.756381801643801</v>
      </c>
      <c r="AI6042">
        <v>92.171515198019307</v>
      </c>
      <c r="AJ6042">
        <v>107.597684300491</v>
      </c>
      <c r="AK6042">
        <v>29.139996282995501</v>
      </c>
    </row>
    <row r="6043" spans="1:37" x14ac:dyDescent="0.2">
      <c r="A6043" t="str">
        <f>"20200111155718087"</f>
        <v>20200111155718087</v>
      </c>
      <c r="B6043" t="str">
        <f>"1578729438078819"</f>
        <v>1578729438078819</v>
      </c>
      <c r="C6043" t="s">
        <v>37</v>
      </c>
      <c r="D6043">
        <v>4.7918839999999996</v>
      </c>
      <c r="E6043">
        <v>0.43260859999999901</v>
      </c>
      <c r="F6043" t="s">
        <v>98</v>
      </c>
      <c r="G6043">
        <v>-241.6737</v>
      </c>
      <c r="H6043" s="1">
        <v>-1.0811900000000001E-6</v>
      </c>
      <c r="I6043">
        <v>-54.654169999999901</v>
      </c>
      <c r="J6043">
        <v>-269.65800000000002</v>
      </c>
      <c r="K6043">
        <v>1.1040209999999999</v>
      </c>
      <c r="L6043">
        <v>-62.515529999999998</v>
      </c>
      <c r="M6043">
        <v>0.99942030000000004</v>
      </c>
      <c r="N6043">
        <v>0</v>
      </c>
      <c r="O6043">
        <v>-3.3812429999999997E-2</v>
      </c>
      <c r="P6043">
        <v>0.9947165</v>
      </c>
      <c r="Q6043">
        <v>4.637981E-2</v>
      </c>
      <c r="R6043">
        <v>9.1589379999999998E-2</v>
      </c>
      <c r="S6043">
        <v>2.9459529999999998</v>
      </c>
      <c r="T6043">
        <v>-0.11566510000000001</v>
      </c>
      <c r="U6043">
        <v>0.8230286</v>
      </c>
      <c r="V6043">
        <v>-0.12518589999999999</v>
      </c>
      <c r="W6043">
        <v>5.0282550000000002E-2</v>
      </c>
      <c r="X6043">
        <v>0.99085829999999997</v>
      </c>
      <c r="Y6043">
        <v>-0.30124429999999902</v>
      </c>
      <c r="Z6043">
        <v>7.1040519999999996E-3</v>
      </c>
      <c r="AA6043">
        <v>0.95352049999999999</v>
      </c>
      <c r="AB6043">
        <v>29</v>
      </c>
      <c r="AC6043">
        <v>27.984300000000001</v>
      </c>
      <c r="AD6043">
        <v>-1.1040220811899999</v>
      </c>
      <c r="AE6043">
        <v>7.8613600000000101</v>
      </c>
      <c r="AF6043">
        <v>-8.7904085887852599</v>
      </c>
      <c r="AG6043">
        <v>-1.1040220811899999</v>
      </c>
      <c r="AH6043">
        <v>27.6625790493216</v>
      </c>
      <c r="AI6043">
        <v>92.178255510071807</v>
      </c>
      <c r="AJ6043">
        <v>107.628828691785</v>
      </c>
      <c r="AK6043">
        <v>29.046659490783298</v>
      </c>
    </row>
    <row r="6044" spans="1:37" x14ac:dyDescent="0.2">
      <c r="A6044" t="str">
        <f>"20200111155718097"</f>
        <v>20200111155718097</v>
      </c>
      <c r="B6044" t="str">
        <f>"1578729438089555"</f>
        <v>1578729438089555</v>
      </c>
      <c r="C6044" t="s">
        <v>37</v>
      </c>
      <c r="D6044">
        <v>4.8118819999999998</v>
      </c>
      <c r="E6044">
        <v>0.43284299999999998</v>
      </c>
      <c r="F6044" t="s">
        <v>98</v>
      </c>
      <c r="G6044">
        <v>-241.49099999999899</v>
      </c>
      <c r="H6044" s="1">
        <v>-1.0226749999999999E-6</v>
      </c>
      <c r="I6044">
        <v>-54.6404</v>
      </c>
      <c r="J6044">
        <v>-269.5197</v>
      </c>
      <c r="K6044">
        <v>1.103891</v>
      </c>
      <c r="L6044">
        <v>-62.520229999999998</v>
      </c>
      <c r="M6044">
        <v>0.99941489999999999</v>
      </c>
      <c r="N6044">
        <v>0</v>
      </c>
      <c r="O6044">
        <v>-3.3951670000000003E-2</v>
      </c>
      <c r="P6044">
        <v>0.99458760000000002</v>
      </c>
      <c r="Q6044">
        <v>4.6999350000000002E-2</v>
      </c>
      <c r="R6044">
        <v>9.2663889999999999E-2</v>
      </c>
      <c r="S6044">
        <v>2.9454959999999999</v>
      </c>
      <c r="T6044">
        <v>-0.11545039999999999</v>
      </c>
      <c r="U6044">
        <v>0.82351679999999905</v>
      </c>
      <c r="V6044">
        <v>-0.1263764</v>
      </c>
      <c r="W6044">
        <v>5.1099279999999997E-2</v>
      </c>
      <c r="X6044">
        <v>0.99066540000000003</v>
      </c>
      <c r="Y6044">
        <v>-0.30156270000000002</v>
      </c>
      <c r="Z6044">
        <v>7.1032619999999999E-3</v>
      </c>
      <c r="AA6044">
        <v>0.95341989999999999</v>
      </c>
      <c r="AB6044">
        <v>29</v>
      </c>
      <c r="AC6044">
        <v>28.028700000000001</v>
      </c>
      <c r="AD6044">
        <v>-1.103892022675</v>
      </c>
      <c r="AE6044">
        <v>7.8798300000000001</v>
      </c>
      <c r="AF6044">
        <v>-8.8142457650674793</v>
      </c>
      <c r="AG6044">
        <v>-1.103892022675</v>
      </c>
      <c r="AH6044">
        <v>27.705178324957199</v>
      </c>
      <c r="AI6044">
        <v>92.174420262695804</v>
      </c>
      <c r="AJ6044">
        <v>107.64817444088899</v>
      </c>
      <c r="AK6044">
        <v>29.094439537863799</v>
      </c>
    </row>
    <row r="6045" spans="1:37" x14ac:dyDescent="0.2">
      <c r="A6045" t="str">
        <f>"20200111155718109"</f>
        <v>20200111155718109</v>
      </c>
      <c r="B6045" t="str">
        <f>"1578729438099315"</f>
        <v>1578729438099315</v>
      </c>
      <c r="C6045" t="s">
        <v>37</v>
      </c>
      <c r="D6045">
        <v>4.7613830000000004</v>
      </c>
      <c r="E6045">
        <v>0.43309750000000002</v>
      </c>
      <c r="F6045" t="s">
        <v>98</v>
      </c>
      <c r="G6045">
        <v>-241.18180000000001</v>
      </c>
      <c r="H6045" s="1">
        <v>-9.3225029999999998E-7</v>
      </c>
      <c r="I6045">
        <v>-54.584789999999998</v>
      </c>
      <c r="J6045">
        <v>-269.37990000000002</v>
      </c>
      <c r="K6045">
        <v>1.103769</v>
      </c>
      <c r="L6045">
        <v>-62.525149999999996</v>
      </c>
      <c r="M6045">
        <v>0.99940429999999902</v>
      </c>
      <c r="N6045">
        <v>0</v>
      </c>
      <c r="O6045">
        <v>-3.4246459999999999E-2</v>
      </c>
      <c r="P6045">
        <v>0.99447090000000005</v>
      </c>
      <c r="Q6045">
        <v>4.749718E-2</v>
      </c>
      <c r="R6045">
        <v>9.3657560000000001E-2</v>
      </c>
      <c r="S6045">
        <v>2.94488499999999</v>
      </c>
      <c r="T6045">
        <v>-0.1147166</v>
      </c>
      <c r="U6045">
        <v>0.82464599999999899</v>
      </c>
      <c r="V6045">
        <v>-0.12764059999999999</v>
      </c>
      <c r="W6045">
        <v>5.1787399999999997E-2</v>
      </c>
      <c r="X6045">
        <v>0.99046749999999995</v>
      </c>
      <c r="Y6045">
        <v>-0.30223629999999901</v>
      </c>
      <c r="Z6045">
        <v>7.0833559999999999E-3</v>
      </c>
      <c r="AA6045">
        <v>0.95320669999999996</v>
      </c>
      <c r="AB6045">
        <v>29</v>
      </c>
      <c r="AC6045">
        <v>28.1981</v>
      </c>
      <c r="AD6045">
        <v>-1.1037699322503001</v>
      </c>
      <c r="AE6045">
        <v>7.9403599999999903</v>
      </c>
      <c r="AF6045">
        <v>-8.8887772995238894</v>
      </c>
      <c r="AG6045">
        <v>-1.1037699322503001</v>
      </c>
      <c r="AH6045">
        <v>27.870062098924699</v>
      </c>
      <c r="AI6045">
        <v>92.160834890641198</v>
      </c>
      <c r="AJ6045">
        <v>107.689375417646</v>
      </c>
      <c r="AK6045">
        <v>29.274033397224098</v>
      </c>
    </row>
    <row r="6046" spans="1:37" x14ac:dyDescent="0.2">
      <c r="A6046" t="str">
        <f>"20200111155718121"</f>
        <v>20200111155718121</v>
      </c>
      <c r="B6046" t="str">
        <f>"1578729438109076"</f>
        <v>1578729438109076</v>
      </c>
      <c r="C6046" t="s">
        <v>37</v>
      </c>
      <c r="D6046">
        <v>4.3130069999999998</v>
      </c>
      <c r="E6046">
        <v>0.43309750000000002</v>
      </c>
      <c r="F6046" t="s">
        <v>98</v>
      </c>
      <c r="G6046">
        <v>-240.9323</v>
      </c>
      <c r="H6046" s="1">
        <v>-8.5636160000000001E-7</v>
      </c>
      <c r="I6046">
        <v>-54.551000000000002</v>
      </c>
      <c r="J6046">
        <v>-269.21480000000003</v>
      </c>
      <c r="K6046">
        <v>1.1036239999999999</v>
      </c>
      <c r="L6046">
        <v>-62.531039999999997</v>
      </c>
      <c r="M6046">
        <v>0.99938989999999905</v>
      </c>
      <c r="N6046">
        <v>0</v>
      </c>
      <c r="O6046">
        <v>-3.4642199999999998E-2</v>
      </c>
      <c r="P6046">
        <v>0.99438349999999898</v>
      </c>
      <c r="Q6046">
        <v>4.8219430000000001E-2</v>
      </c>
      <c r="R6046">
        <v>9.4216220000000003E-2</v>
      </c>
      <c r="S6046">
        <v>2.9444270000000001</v>
      </c>
      <c r="T6046">
        <v>-0.11424429999999999</v>
      </c>
      <c r="U6046">
        <v>0.82534789999999902</v>
      </c>
      <c r="V6046">
        <v>-0.1285674</v>
      </c>
      <c r="W6046">
        <v>5.2733090000000003E-2</v>
      </c>
      <c r="X6046">
        <v>0.99029769999999995</v>
      </c>
      <c r="Y6046">
        <v>-0.30286419999999997</v>
      </c>
      <c r="Z6046">
        <v>7.0820800000000001E-3</v>
      </c>
      <c r="AA6046">
        <v>0.95300739999999995</v>
      </c>
      <c r="AB6046">
        <v>29</v>
      </c>
      <c r="AC6046">
        <v>28.282499999999999</v>
      </c>
      <c r="AD6046">
        <v>-1.1036248563616</v>
      </c>
      <c r="AE6046">
        <v>7.9800399999999998</v>
      </c>
      <c r="AF6046">
        <v>-8.9424154969581</v>
      </c>
      <c r="AG6046">
        <v>-1.1036248563616</v>
      </c>
      <c r="AH6046">
        <v>27.949655059268601</v>
      </c>
      <c r="AI6046">
        <v>92.153773719402906</v>
      </c>
      <c r="AJ6046">
        <v>107.741930385096</v>
      </c>
      <c r="AK6046">
        <v>29.366102919453098</v>
      </c>
    </row>
    <row r="6047" spans="1:37" x14ac:dyDescent="0.2">
      <c r="A6047" t="str">
        <f>"20200111155718131"</f>
        <v>20200111155718131</v>
      </c>
      <c r="B6047" t="str">
        <f>"1578729438118834"</f>
        <v>1578729438118834</v>
      </c>
      <c r="C6047" t="s">
        <v>37</v>
      </c>
      <c r="D6047">
        <v>4.3120699999999896</v>
      </c>
      <c r="E6047">
        <v>0.41743049999999998</v>
      </c>
      <c r="F6047" t="s">
        <v>98</v>
      </c>
      <c r="G6047">
        <v>-240.3827</v>
      </c>
      <c r="H6047" s="1">
        <v>-7.003263E-7</v>
      </c>
      <c r="I6047">
        <v>-54.434429999999999</v>
      </c>
      <c r="J6047">
        <v>-269.07240000000002</v>
      </c>
      <c r="K6047">
        <v>1.103499</v>
      </c>
      <c r="L6047">
        <v>-62.536290000000001</v>
      </c>
      <c r="M6047">
        <v>0.99937310000000001</v>
      </c>
      <c r="N6047">
        <v>0</v>
      </c>
      <c r="O6047">
        <v>-3.5106159999999997E-2</v>
      </c>
      <c r="P6047">
        <v>0.99430099999999999</v>
      </c>
      <c r="Q6047">
        <v>4.8970930000000003E-2</v>
      </c>
      <c r="R6047">
        <v>9.4697779999999995E-2</v>
      </c>
      <c r="S6047">
        <v>2.9440919999999999</v>
      </c>
      <c r="T6047">
        <v>-0.1126928</v>
      </c>
      <c r="U6047">
        <v>0.82675169999999998</v>
      </c>
      <c r="V6047">
        <v>-0.12948689999999999</v>
      </c>
      <c r="W6047">
        <v>5.3670660000000002E-2</v>
      </c>
      <c r="X6047">
        <v>0.9901276</v>
      </c>
      <c r="Y6047">
        <v>-0.30376140000000001</v>
      </c>
      <c r="Z6047">
        <v>7.0205909999999996E-3</v>
      </c>
      <c r="AA6047">
        <v>0.95272230000000002</v>
      </c>
      <c r="AB6047">
        <v>29</v>
      </c>
      <c r="AC6047">
        <v>28.689699999999998</v>
      </c>
      <c r="AD6047">
        <v>-1.1034997003263001</v>
      </c>
      <c r="AE6047">
        <v>8.1018599999999896</v>
      </c>
      <c r="AF6047">
        <v>-9.0916046525539205</v>
      </c>
      <c r="AG6047">
        <v>-1.1034997003263001</v>
      </c>
      <c r="AH6047">
        <v>28.3487445833495</v>
      </c>
      <c r="AI6047">
        <v>92.122773197588998</v>
      </c>
      <c r="AJ6047">
        <v>107.781343171164</v>
      </c>
      <c r="AK6047">
        <v>29.7913797296961</v>
      </c>
    </row>
    <row r="6048" spans="1:37" x14ac:dyDescent="0.2">
      <c r="A6048" t="str">
        <f>"20200111155718142"</f>
        <v>20200111155718142</v>
      </c>
      <c r="B6048" t="str">
        <f>"1578729438139331"</f>
        <v>1578729438139331</v>
      </c>
      <c r="C6048" t="s">
        <v>37</v>
      </c>
      <c r="D6048">
        <v>4.8154690000000002</v>
      </c>
      <c r="E6048">
        <v>0.42500059999999901</v>
      </c>
      <c r="F6048" t="s">
        <v>45</v>
      </c>
      <c r="G6048">
        <v>-145.86490000000001</v>
      </c>
      <c r="H6048">
        <v>0.63269619999999904</v>
      </c>
      <c r="I6048">
        <v>-22.65</v>
      </c>
      <c r="J6048">
        <v>-268.93549999999999</v>
      </c>
      <c r="K6048">
        <v>1.1033809999999999</v>
      </c>
      <c r="L6048">
        <v>-62.541469999999997</v>
      </c>
      <c r="M6048">
        <v>0.99935499999999899</v>
      </c>
      <c r="N6048">
        <v>0</v>
      </c>
      <c r="O6048">
        <v>-3.559673E-2</v>
      </c>
      <c r="P6048">
        <v>0.99426130000000001</v>
      </c>
      <c r="Q6048">
        <v>4.9341179999999998E-2</v>
      </c>
      <c r="R6048">
        <v>9.4920610000000002E-2</v>
      </c>
      <c r="S6048">
        <v>2.9274900000000001</v>
      </c>
      <c r="T6048">
        <v>-1.11866E-2</v>
      </c>
      <c r="U6048">
        <v>0.94772339999999999</v>
      </c>
      <c r="V6048">
        <v>-0.1301766</v>
      </c>
      <c r="W6048">
        <v>5.4216319999999998E-2</v>
      </c>
      <c r="X6048">
        <v>0.99000739999999998</v>
      </c>
      <c r="Y6048">
        <v>-0.34166409999999903</v>
      </c>
      <c r="Z6048">
        <v>7.6932499999999996E-4</v>
      </c>
      <c r="AA6048">
        <v>0.93982180000000004</v>
      </c>
      <c r="AB6048">
        <v>29</v>
      </c>
      <c r="AC6048">
        <v>123.070599999999</v>
      </c>
      <c r="AD6048">
        <v>-0.47068480000000001</v>
      </c>
      <c r="AE6048">
        <v>39.891469999999998</v>
      </c>
      <c r="AF6048">
        <v>-44.2465620902341</v>
      </c>
      <c r="AG6048">
        <v>-0.47068480000000001</v>
      </c>
      <c r="AH6048">
        <v>121.570969506503</v>
      </c>
      <c r="AI6048">
        <v>90.208453275198806</v>
      </c>
      <c r="AJ6048">
        <v>109.99931242725501</v>
      </c>
      <c r="AK6048">
        <v>129.373414686855</v>
      </c>
    </row>
    <row r="6049" spans="1:37" x14ac:dyDescent="0.2">
      <c r="A6049" t="str">
        <f>"20200111155718153"</f>
        <v>20200111155718153</v>
      </c>
      <c r="B6049" t="str">
        <f>"1578729438149089"</f>
        <v>1578729438149089</v>
      </c>
      <c r="C6049" t="s">
        <v>37</v>
      </c>
      <c r="D6049">
        <v>5.0236869999999998</v>
      </c>
      <c r="E6049">
        <v>0.43075740000000001</v>
      </c>
      <c r="F6049" t="s">
        <v>38</v>
      </c>
      <c r="G6049">
        <v>-190.58580000000001</v>
      </c>
      <c r="H6049" s="1">
        <v>-8.5048850000000005E-7</v>
      </c>
      <c r="I6049">
        <v>-38.791690000000003</v>
      </c>
      <c r="J6049">
        <v>-268.78199999999998</v>
      </c>
      <c r="K6049">
        <v>1.103253</v>
      </c>
      <c r="L6049">
        <v>-62.547419999999903</v>
      </c>
      <c r="M6049">
        <v>0.99933139999999998</v>
      </c>
      <c r="N6049">
        <v>0</v>
      </c>
      <c r="O6049">
        <v>-3.6236640000000001E-2</v>
      </c>
      <c r="P6049">
        <v>0.99431990000000003</v>
      </c>
      <c r="Q6049">
        <v>4.917904E-2</v>
      </c>
      <c r="R6049">
        <v>9.4390589999999996E-2</v>
      </c>
      <c r="S6049">
        <v>2.934418</v>
      </c>
      <c r="T6049">
        <v>-4.1324729999999997E-2</v>
      </c>
      <c r="U6049">
        <v>0.88949579999999995</v>
      </c>
      <c r="V6049">
        <v>-0.13026469999999901</v>
      </c>
      <c r="W6049">
        <v>5.4242980000000003E-2</v>
      </c>
      <c r="X6049">
        <v>0.98999429999999999</v>
      </c>
      <c r="Y6049">
        <v>-0.324546</v>
      </c>
      <c r="Z6049">
        <v>2.7346089999999998E-3</v>
      </c>
      <c r="AA6049">
        <v>0.94586589999999904</v>
      </c>
      <c r="AB6049">
        <v>29</v>
      </c>
      <c r="AC6049">
        <v>78.196199999999905</v>
      </c>
      <c r="AD6049">
        <v>-1.1032538504885001</v>
      </c>
      <c r="AE6049">
        <v>23.75573</v>
      </c>
      <c r="AF6049">
        <v>-26.568886941266602</v>
      </c>
      <c r="AG6049">
        <v>-1.1032538504885001</v>
      </c>
      <c r="AH6049">
        <v>77.269922842865</v>
      </c>
      <c r="AI6049">
        <v>90.773563105952604</v>
      </c>
      <c r="AJ6049">
        <v>108.9752823999</v>
      </c>
      <c r="AK6049">
        <v>81.717586225357493</v>
      </c>
    </row>
    <row r="6050" spans="1:37" x14ac:dyDescent="0.2">
      <c r="A6050" t="str">
        <f>"20200111155718164"</f>
        <v>20200111155718164</v>
      </c>
      <c r="B6050" t="str">
        <f>"1578729438158851"</f>
        <v>1578729438158851</v>
      </c>
      <c r="C6050" t="s">
        <v>37</v>
      </c>
      <c r="D6050">
        <v>4.8251660000000003</v>
      </c>
      <c r="E6050">
        <v>0.43075740000000001</v>
      </c>
      <c r="F6050" t="s">
        <v>100</v>
      </c>
      <c r="G6050">
        <v>-220.65629999999999</v>
      </c>
      <c r="H6050">
        <v>7.9985970000000003E-2</v>
      </c>
      <c r="I6050">
        <v>-48.750369999999997</v>
      </c>
      <c r="J6050">
        <v>-268.6327</v>
      </c>
      <c r="K6050">
        <v>1.103135</v>
      </c>
      <c r="L6050">
        <v>-62.553379999999997</v>
      </c>
      <c r="M6050">
        <v>0.99930540000000001</v>
      </c>
      <c r="N6050">
        <v>0</v>
      </c>
      <c r="O6050">
        <v>-3.6931390000000001E-2</v>
      </c>
      <c r="P6050">
        <v>0.99437880000000001</v>
      </c>
      <c r="Q6050">
        <v>4.8761579999999999E-2</v>
      </c>
      <c r="R6050">
        <v>9.3987639999999997E-2</v>
      </c>
      <c r="S6050">
        <v>2.9402159999999999</v>
      </c>
      <c r="T6050">
        <v>-6.2516089999999996E-2</v>
      </c>
      <c r="U6050">
        <v>0.84292599999999995</v>
      </c>
      <c r="V6050">
        <v>-0.13053589999999901</v>
      </c>
      <c r="W6050">
        <v>5.4003490000000001E-2</v>
      </c>
      <c r="X6050">
        <v>0.98997169999999901</v>
      </c>
      <c r="Y6050">
        <v>-0.31082769999999998</v>
      </c>
      <c r="Z6050">
        <v>4.0094279999999998E-3</v>
      </c>
      <c r="AA6050">
        <v>0.95045780000000002</v>
      </c>
      <c r="AB6050">
        <v>29</v>
      </c>
      <c r="AC6050">
        <v>47.976399999999998</v>
      </c>
      <c r="AD6050">
        <v>-1.0231490299999999</v>
      </c>
      <c r="AE6050">
        <v>13.80301</v>
      </c>
      <c r="AF6050">
        <v>-15.5589152245843</v>
      </c>
      <c r="AG6050">
        <v>-1.0231490299999999</v>
      </c>
      <c r="AH6050">
        <v>47.413983692148399</v>
      </c>
      <c r="AI6050">
        <v>91.174590706469303</v>
      </c>
      <c r="AJ6050">
        <v>108.167267658589</v>
      </c>
      <c r="AK6050">
        <v>49.912047908923803</v>
      </c>
    </row>
    <row r="6051" spans="1:37" x14ac:dyDescent="0.2">
      <c r="A6051" t="str">
        <f>"20200111155718175"</f>
        <v>20200111155718175</v>
      </c>
      <c r="B6051" t="str">
        <f>"1578729438169587"</f>
        <v>1578729438169587</v>
      </c>
      <c r="C6051" t="s">
        <v>37</v>
      </c>
      <c r="D6051">
        <v>4.852379</v>
      </c>
      <c r="E6051">
        <v>0.47050039999999999</v>
      </c>
      <c r="F6051" t="s">
        <v>100</v>
      </c>
      <c r="G6051">
        <v>-221.51130000000001</v>
      </c>
      <c r="H6051">
        <v>7.9986219999999997E-2</v>
      </c>
      <c r="I6051">
        <v>-49.06579</v>
      </c>
      <c r="J6051">
        <v>-268.48910000000001</v>
      </c>
      <c r="K6051">
        <v>1.1030260000000001</v>
      </c>
      <c r="L6051">
        <v>-62.559269999999998</v>
      </c>
      <c r="M6051">
        <v>0.99927779999999999</v>
      </c>
      <c r="N6051">
        <v>0</v>
      </c>
      <c r="O6051">
        <v>-3.764961E-2</v>
      </c>
      <c r="P6051">
        <v>0.99447419999999997</v>
      </c>
      <c r="Q6051">
        <v>4.8340550000000003E-2</v>
      </c>
      <c r="R6051">
        <v>9.3191259999999998E-2</v>
      </c>
      <c r="S6051">
        <v>2.9405519999999998</v>
      </c>
      <c r="T6051">
        <v>-6.3848260000000004E-2</v>
      </c>
      <c r="U6051">
        <v>0.84167479999999995</v>
      </c>
      <c r="V6051">
        <v>-0.13044040000000001</v>
      </c>
      <c r="W6051">
        <v>5.3749209999999999E-2</v>
      </c>
      <c r="X6051">
        <v>0.98999820000000005</v>
      </c>
      <c r="Y6051">
        <v>-0.31110490000000002</v>
      </c>
      <c r="Z6051">
        <v>4.1129000000000001E-3</v>
      </c>
      <c r="AA6051">
        <v>0.95036669999999901</v>
      </c>
      <c r="AB6051">
        <v>30</v>
      </c>
      <c r="AC6051">
        <v>46.977800000000002</v>
      </c>
      <c r="AD6051">
        <v>-1.02303978</v>
      </c>
      <c r="AE6051">
        <v>13.4934799999999</v>
      </c>
      <c r="AF6051">
        <v>-15.2459528620324</v>
      </c>
      <c r="AG6051">
        <v>-1.02303978</v>
      </c>
      <c r="AH6051">
        <v>46.416126191727798</v>
      </c>
      <c r="AI6051">
        <v>91.199595849022302</v>
      </c>
      <c r="AJ6051">
        <v>108.183408063161</v>
      </c>
      <c r="AK6051">
        <v>48.866578146102903</v>
      </c>
    </row>
    <row r="6052" spans="1:37" x14ac:dyDescent="0.2">
      <c r="A6052" t="str">
        <f>"20200111155718186"</f>
        <v>20200111155718186</v>
      </c>
      <c r="B6052" t="str">
        <f>"1578729438179346"</f>
        <v>1578729438179346</v>
      </c>
      <c r="C6052" t="s">
        <v>37</v>
      </c>
      <c r="D6052">
        <v>4.9041180000000004</v>
      </c>
      <c r="E6052">
        <v>0.473510499999999</v>
      </c>
      <c r="F6052" t="s">
        <v>98</v>
      </c>
      <c r="G6052">
        <v>-246.97980000000001</v>
      </c>
      <c r="H6052" s="1">
        <v>-2.2721759999999998E-6</v>
      </c>
      <c r="I6052">
        <v>-58.744750000000003</v>
      </c>
      <c r="J6052">
        <v>-268.34620000000001</v>
      </c>
      <c r="K6052">
        <v>1.102922</v>
      </c>
      <c r="L6052">
        <v>-62.565369999999902</v>
      </c>
      <c r="M6052">
        <v>0.99924679999999999</v>
      </c>
      <c r="N6052">
        <v>0</v>
      </c>
      <c r="O6052">
        <v>-3.8448889999999999E-2</v>
      </c>
      <c r="P6052">
        <v>0.99461100000000002</v>
      </c>
      <c r="Q6052">
        <v>4.7899789999999998E-2</v>
      </c>
      <c r="R6052">
        <v>9.1952439999999996E-2</v>
      </c>
      <c r="S6052">
        <v>2.9746700000000001</v>
      </c>
      <c r="T6052">
        <v>-0.1525456</v>
      </c>
      <c r="U6052">
        <v>0.52752690000000002</v>
      </c>
      <c r="V6052">
        <v>-0.1299864</v>
      </c>
      <c r="W6052">
        <v>5.3469250000000003E-2</v>
      </c>
      <c r="X6052">
        <v>0.99007299999999998</v>
      </c>
      <c r="Y6052">
        <v>-0.21202499999999999</v>
      </c>
      <c r="Z6052">
        <v>7.3474550000000001E-3</v>
      </c>
      <c r="AA6052">
        <v>0.97723660000000001</v>
      </c>
      <c r="AB6052">
        <v>30</v>
      </c>
      <c r="AC6052">
        <v>21.366399999999999</v>
      </c>
      <c r="AD6052">
        <v>-1.102924272176</v>
      </c>
      <c r="AE6052">
        <v>3.8206199999999901</v>
      </c>
      <c r="AF6052">
        <v>-4.6273725290211098</v>
      </c>
      <c r="AG6052">
        <v>-1.102924272176</v>
      </c>
      <c r="AH6052">
        <v>21.149092557857301</v>
      </c>
      <c r="AI6052">
        <v>92.916399974646097</v>
      </c>
      <c r="AJ6052">
        <v>102.34169473129499</v>
      </c>
      <c r="AK6052">
        <v>21.677479892582301</v>
      </c>
    </row>
    <row r="6053" spans="1:37" x14ac:dyDescent="0.2">
      <c r="A6053" t="str">
        <f>"20200111155718197"</f>
        <v>20200111155718197</v>
      </c>
      <c r="B6053" t="str">
        <f>"1578729438189107"</f>
        <v>1578729438189107</v>
      </c>
      <c r="C6053" t="s">
        <v>37</v>
      </c>
      <c r="D6053">
        <v>4.8630170000000001</v>
      </c>
      <c r="E6053">
        <v>0.47528350000000003</v>
      </c>
      <c r="F6053" t="s">
        <v>98</v>
      </c>
      <c r="G6053">
        <v>-248.55850000000001</v>
      </c>
      <c r="H6053" s="1">
        <v>-2.8616609999999899E-6</v>
      </c>
      <c r="I6053">
        <v>-59.239569999999901</v>
      </c>
      <c r="J6053">
        <v>-268.19729999999998</v>
      </c>
      <c r="K6053">
        <v>1.1028199999999999</v>
      </c>
      <c r="L6053">
        <v>-62.571779999999997</v>
      </c>
      <c r="M6053">
        <v>0.99921249999999995</v>
      </c>
      <c r="N6053">
        <v>0</v>
      </c>
      <c r="O6053">
        <v>-3.9309799999999999E-2</v>
      </c>
      <c r="P6053">
        <v>0.99475179999999996</v>
      </c>
      <c r="Q6053">
        <v>4.7651060000000002E-2</v>
      </c>
      <c r="R6053">
        <v>9.0545769999999998E-2</v>
      </c>
      <c r="S6053">
        <v>2.978027</v>
      </c>
      <c r="T6053">
        <v>-0.16598889999999999</v>
      </c>
      <c r="U6053">
        <v>0.50051880000000004</v>
      </c>
      <c r="V6053">
        <v>-0.12942519999999999</v>
      </c>
      <c r="W6053">
        <v>5.3385920000000003E-2</v>
      </c>
      <c r="X6053">
        <v>0.990151</v>
      </c>
      <c r="Y6053">
        <v>-0.20401659999999999</v>
      </c>
      <c r="Z6053">
        <v>7.8173719999999995E-3</v>
      </c>
      <c r="AA6053">
        <v>0.97893619999999903</v>
      </c>
      <c r="AB6053">
        <v>30</v>
      </c>
      <c r="AC6053">
        <v>19.6387999999999</v>
      </c>
      <c r="AD6053">
        <v>-1.1028228616610001</v>
      </c>
      <c r="AE6053">
        <v>3.3322100000000101</v>
      </c>
      <c r="AF6053">
        <v>-4.0891090747435497</v>
      </c>
      <c r="AG6053">
        <v>-1.1028228616610001</v>
      </c>
      <c r="AH6053">
        <v>19.433064030117901</v>
      </c>
      <c r="AI6053">
        <v>93.178582352715793</v>
      </c>
      <c r="AJ6053">
        <v>101.88283555517199</v>
      </c>
      <c r="AK6053">
        <v>19.8892184081731</v>
      </c>
    </row>
    <row r="6054" spans="1:37" x14ac:dyDescent="0.2">
      <c r="A6054" t="str">
        <f>"20200111155718209"</f>
        <v>20200111155718209</v>
      </c>
      <c r="B6054" t="str">
        <f>"1578729438198866"</f>
        <v>1578729438198866</v>
      </c>
      <c r="C6054" t="s">
        <v>37</v>
      </c>
      <c r="D6054">
        <v>4.8313449999999998</v>
      </c>
      <c r="E6054">
        <v>0.47643479999999999</v>
      </c>
      <c r="F6054" t="s">
        <v>98</v>
      </c>
      <c r="G6054">
        <v>-249.12270000000001</v>
      </c>
      <c r="H6054" s="1">
        <v>-3.060356E-6</v>
      </c>
      <c r="I6054">
        <v>-59.483800000000002</v>
      </c>
      <c r="J6054">
        <v>-268.04629999999997</v>
      </c>
      <c r="K6054">
        <v>1.1027309999999999</v>
      </c>
      <c r="L6054">
        <v>-62.57864</v>
      </c>
      <c r="M6054">
        <v>0.99917299999999998</v>
      </c>
      <c r="N6054">
        <v>0</v>
      </c>
      <c r="O6054">
        <v>-4.028122E-2</v>
      </c>
      <c r="P6054">
        <v>0.99486459999999999</v>
      </c>
      <c r="Q6054">
        <v>4.7430489999999999E-2</v>
      </c>
      <c r="R6054">
        <v>8.9414190000000004E-2</v>
      </c>
      <c r="S6054">
        <v>2.980194</v>
      </c>
      <c r="T6054">
        <v>-0.1723034</v>
      </c>
      <c r="U6054">
        <v>0.4824524</v>
      </c>
      <c r="V6054">
        <v>-0.1292489</v>
      </c>
      <c r="W6054">
        <v>5.333545E-2</v>
      </c>
      <c r="X6054">
        <v>0.99017679999999997</v>
      </c>
      <c r="Y6054">
        <v>-0.19905010000000001</v>
      </c>
      <c r="Z6054">
        <v>8.0256579999999998E-3</v>
      </c>
      <c r="AA6054">
        <v>0.97995639999999995</v>
      </c>
      <c r="AB6054">
        <v>30</v>
      </c>
      <c r="AC6054">
        <v>18.923599999999901</v>
      </c>
      <c r="AD6054">
        <v>-1.1027340603560001</v>
      </c>
      <c r="AE6054">
        <v>3.0948399999999898</v>
      </c>
      <c r="AF6054">
        <v>-3.8418992755069099</v>
      </c>
      <c r="AG6054">
        <v>-1.1027340603560001</v>
      </c>
      <c r="AH6054">
        <v>18.721657216082999</v>
      </c>
      <c r="AI6054">
        <v>93.302255925905698</v>
      </c>
      <c r="AJ6054">
        <v>101.596754827872</v>
      </c>
      <c r="AK6054">
        <v>19.143580160657599</v>
      </c>
    </row>
    <row r="6055" spans="1:37" x14ac:dyDescent="0.2">
      <c r="A6055" t="str">
        <f>"20200111155718220"</f>
        <v>20200111155718220</v>
      </c>
      <c r="B6055" t="str">
        <f>"1578729438209604"</f>
        <v>1578729438209604</v>
      </c>
      <c r="C6055" t="s">
        <v>37</v>
      </c>
      <c r="D6055">
        <v>4.8259509999999999</v>
      </c>
      <c r="E6055">
        <v>0.47707659999999902</v>
      </c>
      <c r="F6055" t="s">
        <v>98</v>
      </c>
      <c r="G6055">
        <v>-249.33539999999999</v>
      </c>
      <c r="H6055" s="1">
        <v>-3.12591299999999E-6</v>
      </c>
      <c r="I6055">
        <v>-59.628769999999903</v>
      </c>
      <c r="J6055">
        <v>-267.89999999999998</v>
      </c>
      <c r="K6055">
        <v>1.1026479999999901</v>
      </c>
      <c r="L6055">
        <v>-62.585329999999999</v>
      </c>
      <c r="M6055">
        <v>0.9991331</v>
      </c>
      <c r="N6055">
        <v>0</v>
      </c>
      <c r="O6055">
        <v>-4.1240739999999998E-2</v>
      </c>
      <c r="P6055">
        <v>0.99498120000000001</v>
      </c>
      <c r="Q6055">
        <v>4.7620559999999999E-2</v>
      </c>
      <c r="R6055">
        <v>8.800405E-2</v>
      </c>
      <c r="S6055">
        <v>2.98162799999999</v>
      </c>
      <c r="T6055">
        <v>-0.17572379999999899</v>
      </c>
      <c r="U6055">
        <v>0.47006229999999899</v>
      </c>
      <c r="V6055">
        <v>-0.1287818</v>
      </c>
      <c r="W6055">
        <v>5.3690179999999997E-2</v>
      </c>
      <c r="X6055">
        <v>0.9902185</v>
      </c>
      <c r="Y6055">
        <v>-0.195933</v>
      </c>
      <c r="Z6055">
        <v>8.1484330000000001E-3</v>
      </c>
      <c r="AA6055">
        <v>0.98058339999999999</v>
      </c>
      <c r="AB6055">
        <v>30</v>
      </c>
      <c r="AC6055">
        <v>18.564599999999899</v>
      </c>
      <c r="AD6055">
        <v>-1.1026511259129901</v>
      </c>
      <c r="AE6055">
        <v>2.9565600000000098</v>
      </c>
      <c r="AF6055">
        <v>-3.7069209476131801</v>
      </c>
      <c r="AG6055">
        <v>-1.1026511259129901</v>
      </c>
      <c r="AH6055">
        <v>18.363691633316499</v>
      </c>
      <c r="AI6055">
        <v>93.368427579895496</v>
      </c>
      <c r="AJ6055">
        <v>101.41244543138301</v>
      </c>
      <c r="AK6055">
        <v>18.766519997614601</v>
      </c>
    </row>
    <row r="6056" spans="1:37" x14ac:dyDescent="0.2">
      <c r="A6056" t="str">
        <f>"20200111155718231"</f>
        <v>20200111155718231</v>
      </c>
      <c r="B6056" t="str">
        <f>"1578729438219363"</f>
        <v>1578729438219363</v>
      </c>
      <c r="C6056" t="s">
        <v>37</v>
      </c>
      <c r="D6056">
        <v>4.8220289999999997</v>
      </c>
      <c r="E6056">
        <v>0.47748409999999902</v>
      </c>
      <c r="F6056" t="s">
        <v>98</v>
      </c>
      <c r="G6056">
        <v>-249.26480000000001</v>
      </c>
      <c r="H6056" s="1">
        <v>-3.0817460000000001E-6</v>
      </c>
      <c r="I6056">
        <v>-59.707050000000002</v>
      </c>
      <c r="J6056">
        <v>-267.75110000000001</v>
      </c>
      <c r="K6056">
        <v>1.102579</v>
      </c>
      <c r="L6056">
        <v>-62.592440000000003</v>
      </c>
      <c r="M6056">
        <v>0.99908829999999904</v>
      </c>
      <c r="N6056">
        <v>0</v>
      </c>
      <c r="O6056">
        <v>-4.2291009999999997E-2</v>
      </c>
      <c r="P6056">
        <v>0.99508479999999999</v>
      </c>
      <c r="Q6056">
        <v>4.7882460000000002E-2</v>
      </c>
      <c r="R6056">
        <v>8.668004E-2</v>
      </c>
      <c r="S6056">
        <v>2.9827880000000002</v>
      </c>
      <c r="T6056">
        <v>-0.17649289999999901</v>
      </c>
      <c r="U6056">
        <v>0.46069339999999998</v>
      </c>
      <c r="V6056">
        <v>-0.1284912</v>
      </c>
      <c r="W6056">
        <v>5.4129660000000003E-2</v>
      </c>
      <c r="X6056">
        <v>0.99023229999999995</v>
      </c>
      <c r="Y6056">
        <v>-0.19389619999999999</v>
      </c>
      <c r="Z6056">
        <v>8.1847580000000003E-3</v>
      </c>
      <c r="AA6056">
        <v>0.98098790000000002</v>
      </c>
      <c r="AB6056">
        <v>30</v>
      </c>
      <c r="AC6056">
        <v>18.4863</v>
      </c>
      <c r="AD6056">
        <v>-1.1025820817459999</v>
      </c>
      <c r="AE6056">
        <v>2.8853900000000001</v>
      </c>
      <c r="AF6056">
        <v>-3.6519439175733801</v>
      </c>
      <c r="AG6056">
        <v>-1.1025820817459999</v>
      </c>
      <c r="AH6056">
        <v>18.284236409225699</v>
      </c>
      <c r="AI6056">
        <v>93.384207552117601</v>
      </c>
      <c r="AJ6056">
        <v>101.295157422231</v>
      </c>
      <c r="AK6056">
        <v>18.6779464260004</v>
      </c>
    </row>
    <row r="6057" spans="1:37" x14ac:dyDescent="0.2">
      <c r="A6057" t="str">
        <f>"20200111155718243"</f>
        <v>20200111155718243</v>
      </c>
      <c r="B6057" t="str">
        <f>"1578729438238882"</f>
        <v>1578729438238882</v>
      </c>
      <c r="C6057" t="s">
        <v>37</v>
      </c>
      <c r="D6057">
        <v>4.8147799999999998</v>
      </c>
      <c r="E6057">
        <v>0.47792119999999999</v>
      </c>
      <c r="F6057" t="s">
        <v>98</v>
      </c>
      <c r="G6057">
        <v>-249.2962</v>
      </c>
      <c r="H6057" s="1">
        <v>-3.0811020000000001E-6</v>
      </c>
      <c r="I6057">
        <v>-59.786669999999901</v>
      </c>
      <c r="J6057">
        <v>-267.59320000000002</v>
      </c>
      <c r="K6057">
        <v>1.102511</v>
      </c>
      <c r="L6057">
        <v>-62.60013</v>
      </c>
      <c r="M6057">
        <v>0.99903829999999905</v>
      </c>
      <c r="N6057">
        <v>0</v>
      </c>
      <c r="O6057">
        <v>-4.343238E-2</v>
      </c>
      <c r="P6057">
        <v>0.99516569999999904</v>
      </c>
      <c r="Q6057">
        <v>4.8547159999999999E-2</v>
      </c>
      <c r="R6057">
        <v>8.5372749999999997E-2</v>
      </c>
      <c r="S6057">
        <v>2.98388699999999</v>
      </c>
      <c r="T6057">
        <v>-0.17827179999999901</v>
      </c>
      <c r="U6057">
        <v>0.45364379999999999</v>
      </c>
      <c r="V6057">
        <v>-0.12830530000000001</v>
      </c>
      <c r="W6057">
        <v>5.4985739999999998E-2</v>
      </c>
      <c r="X6057">
        <v>0.99020919999999901</v>
      </c>
      <c r="Y6057">
        <v>-0.19268979999999999</v>
      </c>
      <c r="Z6057">
        <v>8.2975489999999995E-3</v>
      </c>
      <c r="AA6057">
        <v>0.98122469999999995</v>
      </c>
      <c r="AB6057">
        <v>30</v>
      </c>
      <c r="AC6057">
        <v>18.297000000000001</v>
      </c>
      <c r="AD6057">
        <v>-1.102514081102</v>
      </c>
      <c r="AE6057">
        <v>2.8134600000000098</v>
      </c>
      <c r="AF6057">
        <v>-3.5927581733932401</v>
      </c>
      <c r="AG6057">
        <v>-1.102514081102</v>
      </c>
      <c r="AH6057">
        <v>18.093359385793899</v>
      </c>
      <c r="AI6057">
        <v>93.420375522496201</v>
      </c>
      <c r="AJ6057">
        <v>101.23100668511</v>
      </c>
      <c r="AK6057">
        <v>18.479531986904</v>
      </c>
    </row>
    <row r="6058" spans="1:37" x14ac:dyDescent="0.2">
      <c r="A6058" t="str">
        <f>"20200111155718254"</f>
        <v>20200111155718254</v>
      </c>
      <c r="B6058" t="str">
        <f>"1578729438249619"</f>
        <v>1578729438249619</v>
      </c>
      <c r="C6058" t="s">
        <v>37</v>
      </c>
      <c r="D6058">
        <v>4.8434929999999996</v>
      </c>
      <c r="E6058">
        <v>0.47800819999999999</v>
      </c>
      <c r="F6058" t="s">
        <v>98</v>
      </c>
      <c r="G6058">
        <v>-249.0222</v>
      </c>
      <c r="H6058" s="1">
        <v>-2.9570440000000002E-6</v>
      </c>
      <c r="I6058">
        <v>-59.8232199999999</v>
      </c>
      <c r="J6058">
        <v>-267.4418</v>
      </c>
      <c r="K6058">
        <v>1.102463</v>
      </c>
      <c r="L6058">
        <v>-62.607729999999997</v>
      </c>
      <c r="M6058">
        <v>0.99898729999999902</v>
      </c>
      <c r="N6058">
        <v>0</v>
      </c>
      <c r="O6058">
        <v>-4.4568770000000001E-2</v>
      </c>
      <c r="P6058">
        <v>0.99526179999999997</v>
      </c>
      <c r="Q6058">
        <v>4.8992569999999999E-2</v>
      </c>
      <c r="R6058">
        <v>8.3985569999999996E-2</v>
      </c>
      <c r="S6058">
        <v>2.9848939999999899</v>
      </c>
      <c r="T6058">
        <v>-0.17720569999999999</v>
      </c>
      <c r="U6058">
        <v>0.44631959999999998</v>
      </c>
      <c r="V6058">
        <v>-0.12803779999999901</v>
      </c>
      <c r="W6058">
        <v>5.5619920000000003E-2</v>
      </c>
      <c r="X6058">
        <v>0.99020839999999999</v>
      </c>
      <c r="Y6058">
        <v>-0.19140769999999999</v>
      </c>
      <c r="Z6058">
        <v>8.2760100000000003E-3</v>
      </c>
      <c r="AA6058">
        <v>0.98147569999999995</v>
      </c>
      <c r="AB6058">
        <v>30</v>
      </c>
      <c r="AC6058">
        <v>18.419599999999999</v>
      </c>
      <c r="AD6058">
        <v>-1.1024659570440001</v>
      </c>
      <c r="AE6058">
        <v>2.7845100000000098</v>
      </c>
      <c r="AF6058">
        <v>-3.5901236999206101</v>
      </c>
      <c r="AG6058">
        <v>-1.1024659570440001</v>
      </c>
      <c r="AH6058">
        <v>18.213402227192301</v>
      </c>
      <c r="AI6058">
        <v>93.398675281069899</v>
      </c>
      <c r="AJ6058">
        <v>101.150870403722</v>
      </c>
      <c r="AK6058">
        <v>18.5965706531249</v>
      </c>
    </row>
    <row r="6059" spans="1:37" x14ac:dyDescent="0.2">
      <c r="A6059" t="str">
        <f>"20200111155718265"</f>
        <v>20200111155718265</v>
      </c>
      <c r="B6059" t="str">
        <f>"1578729438259378"</f>
        <v>1578729438259378</v>
      </c>
      <c r="C6059" t="s">
        <v>37</v>
      </c>
      <c r="D6059">
        <v>4.8719199999999896</v>
      </c>
      <c r="E6059">
        <v>0.47790630000000001</v>
      </c>
      <c r="F6059" t="s">
        <v>98</v>
      </c>
      <c r="G6059">
        <v>-248.7535</v>
      </c>
      <c r="H6059" s="1">
        <v>-2.8381270000000001E-6</v>
      </c>
      <c r="I6059">
        <v>-59.843819999999901</v>
      </c>
      <c r="J6059">
        <v>-267.30130000000003</v>
      </c>
      <c r="K6059">
        <v>1.1024259999999999</v>
      </c>
      <c r="L6059">
        <v>-62.615019999999902</v>
      </c>
      <c r="M6059">
        <v>0.99893739999999998</v>
      </c>
      <c r="N6059">
        <v>0</v>
      </c>
      <c r="O6059">
        <v>-4.5651560000000001E-2</v>
      </c>
      <c r="P6059">
        <v>0.99536610000000003</v>
      </c>
      <c r="Q6059">
        <v>4.9473999999999997E-2</v>
      </c>
      <c r="R6059">
        <v>8.2454849999999996E-2</v>
      </c>
      <c r="S6059">
        <v>2.985687</v>
      </c>
      <c r="T6059">
        <v>-0.17613280000000001</v>
      </c>
      <c r="U6059">
        <v>0.44155879999999997</v>
      </c>
      <c r="V6059">
        <v>-0.12757550000000001</v>
      </c>
      <c r="W6059">
        <v>5.6290729999999997E-2</v>
      </c>
      <c r="X6059">
        <v>0.99023019999999995</v>
      </c>
      <c r="Y6059">
        <v>-0.1909062</v>
      </c>
      <c r="Z6059">
        <v>8.2736049999999998E-3</v>
      </c>
      <c r="AA6059">
        <v>0.98157340000000004</v>
      </c>
      <c r="AB6059">
        <v>30</v>
      </c>
      <c r="AC6059">
        <v>18.547799999999999</v>
      </c>
      <c r="AD6059">
        <v>-1.102428838127</v>
      </c>
      <c r="AE6059">
        <v>2.7711999999999999</v>
      </c>
      <c r="AF6059">
        <v>-3.6026143097243599</v>
      </c>
      <c r="AG6059">
        <v>-1.102428838127</v>
      </c>
      <c r="AH6059">
        <v>18.338578116867598</v>
      </c>
      <c r="AI6059">
        <v>93.375840837179993</v>
      </c>
      <c r="AJ6059">
        <v>101.11422460666</v>
      </c>
      <c r="AK6059">
        <v>18.7215818390493</v>
      </c>
    </row>
    <row r="6060" spans="1:37" x14ac:dyDescent="0.2">
      <c r="A6060" t="str">
        <f>"20200111155718275"</f>
        <v>20200111155718275</v>
      </c>
      <c r="B6060" t="str">
        <f>"1578729438269139"</f>
        <v>1578729438269139</v>
      </c>
      <c r="C6060" t="s">
        <v>37</v>
      </c>
      <c r="D6060">
        <v>4.8345469999999997</v>
      </c>
      <c r="E6060">
        <v>0.47787390000000002</v>
      </c>
      <c r="F6060" t="s">
        <v>98</v>
      </c>
      <c r="G6060">
        <v>-248.45249999999999</v>
      </c>
      <c r="H6060" s="1">
        <v>-2.7076710000000002E-6</v>
      </c>
      <c r="I6060">
        <v>-59.851329999999997</v>
      </c>
      <c r="J6060">
        <v>-267.14879999999999</v>
      </c>
      <c r="K6060">
        <v>1.1023959999999999</v>
      </c>
      <c r="L6060">
        <v>-62.623049999999999</v>
      </c>
      <c r="M6060">
        <v>0.99888060000000001</v>
      </c>
      <c r="N6060">
        <v>0</v>
      </c>
      <c r="O6060">
        <v>-4.6847920000000001E-2</v>
      </c>
      <c r="P6060">
        <v>0.99549969999999999</v>
      </c>
      <c r="Q6060">
        <v>4.9503390000000001E-2</v>
      </c>
      <c r="R6060">
        <v>8.0808359999999996E-2</v>
      </c>
      <c r="S6060">
        <v>2.986389</v>
      </c>
      <c r="T6060">
        <v>-0.17466770000000001</v>
      </c>
      <c r="U6060">
        <v>0.43786619999999998</v>
      </c>
      <c r="V6060">
        <v>-0.1271138</v>
      </c>
      <c r="W6060">
        <v>5.6537329999999997E-2</v>
      </c>
      <c r="X6060">
        <v>0.99027549999999998</v>
      </c>
      <c r="Y6060">
        <v>-0.19086529999999999</v>
      </c>
      <c r="Z6060">
        <v>8.2721240000000005E-3</v>
      </c>
      <c r="AA6060">
        <v>0.98158140000000005</v>
      </c>
      <c r="AB6060">
        <v>30</v>
      </c>
      <c r="AC6060">
        <v>18.696300000000001</v>
      </c>
      <c r="AD6060">
        <v>-1.102398707671</v>
      </c>
      <c r="AE6060">
        <v>2.77171999999999</v>
      </c>
      <c r="AF6060">
        <v>-3.6322215938967899</v>
      </c>
      <c r="AG6060">
        <v>-1.102398707671</v>
      </c>
      <c r="AH6060">
        <v>18.483041221558</v>
      </c>
      <c r="AI6060">
        <v>93.349382316586698</v>
      </c>
      <c r="AJ6060">
        <v>101.117888314227</v>
      </c>
      <c r="AK6060">
        <v>18.868787173945702</v>
      </c>
    </row>
    <row r="6061" spans="1:37" x14ac:dyDescent="0.2">
      <c r="A6061" t="str">
        <f>"20200111155718287"</f>
        <v>20200111155718287</v>
      </c>
      <c r="B6061" t="str">
        <f>"1578729438278898"</f>
        <v>1578729438278898</v>
      </c>
      <c r="C6061" t="s">
        <v>37</v>
      </c>
      <c r="D6061">
        <v>4.8604440000000002</v>
      </c>
      <c r="E6061">
        <v>0.47783209999999998</v>
      </c>
      <c r="F6061" t="s">
        <v>98</v>
      </c>
      <c r="G6061">
        <v>-248.3185</v>
      </c>
      <c r="H6061" s="1">
        <v>-2.6431250000000002E-6</v>
      </c>
      <c r="I6061">
        <v>-59.891199999999998</v>
      </c>
      <c r="J6061">
        <v>-267.00200000000001</v>
      </c>
      <c r="K6061">
        <v>1.102392</v>
      </c>
      <c r="L6061">
        <v>-62.631069999999902</v>
      </c>
      <c r="M6061">
        <v>0.99882329999999997</v>
      </c>
      <c r="N6061">
        <v>0</v>
      </c>
      <c r="O6061">
        <v>-4.8023370000000003E-2</v>
      </c>
      <c r="P6061">
        <v>0.99564710000000001</v>
      </c>
      <c r="Q6061">
        <v>4.9432669999999998E-2</v>
      </c>
      <c r="R6061">
        <v>7.9016169999999997E-2</v>
      </c>
      <c r="S6061">
        <v>2.9870909999999999</v>
      </c>
      <c r="T6061">
        <v>-0.17487649999999999</v>
      </c>
      <c r="U6061">
        <v>0.4333496</v>
      </c>
      <c r="V6061">
        <v>-0.1264892</v>
      </c>
      <c r="W6061">
        <v>5.6715380000000003E-2</v>
      </c>
      <c r="X6061">
        <v>0.99034529999999998</v>
      </c>
      <c r="Y6061">
        <v>-0.1905318</v>
      </c>
      <c r="Z6061">
        <v>8.3397079999999995E-3</v>
      </c>
      <c r="AA6061">
        <v>0.98164560000000001</v>
      </c>
      <c r="AB6061">
        <v>30</v>
      </c>
      <c r="AC6061">
        <v>18.683499999999999</v>
      </c>
      <c r="AD6061">
        <v>-1.102394643125</v>
      </c>
      <c r="AE6061">
        <v>2.73986999999999</v>
      </c>
      <c r="AF6061">
        <v>-3.6216307787558599</v>
      </c>
      <c r="AG6061">
        <v>-1.102394643125</v>
      </c>
      <c r="AH6061">
        <v>18.467421902089999</v>
      </c>
      <c r="AI6061">
        <v>93.352453854065004</v>
      </c>
      <c r="AJ6061">
        <v>101.095418982613</v>
      </c>
      <c r="AK6061">
        <v>18.851449683157401</v>
      </c>
    </row>
    <row r="6062" spans="1:37" x14ac:dyDescent="0.2">
      <c r="A6062" t="str">
        <f>"20200111155718297"</f>
        <v>20200111155718297</v>
      </c>
      <c r="B6062" t="str">
        <f>"1578729438289635"</f>
        <v>1578729438289635</v>
      </c>
      <c r="C6062" t="s">
        <v>37</v>
      </c>
      <c r="D6062">
        <v>4.8700349999999997</v>
      </c>
      <c r="E6062">
        <v>0.47775209999999901</v>
      </c>
      <c r="F6062" t="s">
        <v>98</v>
      </c>
      <c r="G6062">
        <v>-248.2089</v>
      </c>
      <c r="H6062" s="1">
        <v>-2.5881989999999998E-6</v>
      </c>
      <c r="I6062">
        <v>-59.935780000000001</v>
      </c>
      <c r="J6062">
        <v>-266.85660000000001</v>
      </c>
      <c r="K6062">
        <v>1.1023879999999999</v>
      </c>
      <c r="L6062">
        <v>-62.639099999999999</v>
      </c>
      <c r="M6062">
        <v>0.99876450000000006</v>
      </c>
      <c r="N6062">
        <v>0</v>
      </c>
      <c r="O6062">
        <v>-4.9195059999999999E-2</v>
      </c>
      <c r="P6062">
        <v>0.99577919999999998</v>
      </c>
      <c r="Q6062">
        <v>4.9431299999999997E-2</v>
      </c>
      <c r="R6062">
        <v>7.7334249999999993E-2</v>
      </c>
      <c r="S6062">
        <v>2.9877929999999999</v>
      </c>
      <c r="T6062">
        <v>-0.17526269999999999</v>
      </c>
      <c r="U6062">
        <v>0.42849729999999903</v>
      </c>
      <c r="V6062">
        <v>-0.1259702</v>
      </c>
      <c r="W6062">
        <v>5.6971510000000003E-2</v>
      </c>
      <c r="X6062">
        <v>0.99039669999999902</v>
      </c>
      <c r="Y6062">
        <v>-0.1900859</v>
      </c>
      <c r="Z6062">
        <v>8.4124769999999998E-3</v>
      </c>
      <c r="AA6062">
        <v>0.98173140000000003</v>
      </c>
      <c r="AB6062">
        <v>30</v>
      </c>
      <c r="AC6062">
        <v>18.6477</v>
      </c>
      <c r="AD6062">
        <v>-1.1023905881989999</v>
      </c>
      <c r="AE6062">
        <v>2.70331999999999</v>
      </c>
      <c r="AF6062">
        <v>-3.6051042398170301</v>
      </c>
      <c r="AG6062">
        <v>-1.1023905881989999</v>
      </c>
      <c r="AH6062">
        <v>18.429046910224201</v>
      </c>
      <c r="AI6062">
        <v>93.359715200744404</v>
      </c>
      <c r="AJ6062">
        <v>101.06846927306999</v>
      </c>
      <c r="AK6062">
        <v>18.810683443408902</v>
      </c>
    </row>
    <row r="6063" spans="1:37" x14ac:dyDescent="0.2">
      <c r="A6063" t="str">
        <f>"20200111155718310"</f>
        <v>20200111155718310</v>
      </c>
      <c r="B6063" t="str">
        <f>"1578729438299395"</f>
        <v>1578729438299395</v>
      </c>
      <c r="C6063" t="s">
        <v>37</v>
      </c>
      <c r="D6063">
        <v>4.9846729999999999</v>
      </c>
      <c r="E6063">
        <v>0.477475599999999</v>
      </c>
      <c r="F6063" t="s">
        <v>98</v>
      </c>
      <c r="G6063">
        <v>-248.18389999999999</v>
      </c>
      <c r="H6063" s="1">
        <v>-2.5680799999999999E-6</v>
      </c>
      <c r="I6063">
        <v>-59.98865</v>
      </c>
      <c r="J6063">
        <v>-266.70490000000001</v>
      </c>
      <c r="K6063">
        <v>1.102414</v>
      </c>
      <c r="L6063">
        <v>-62.647829999999999</v>
      </c>
      <c r="M6063">
        <v>0.99870049999999899</v>
      </c>
      <c r="N6063">
        <v>0</v>
      </c>
      <c r="O6063">
        <v>-5.0432749999999998E-2</v>
      </c>
      <c r="P6063">
        <v>0.99591049999999903</v>
      </c>
      <c r="Q6063">
        <v>4.9319000000000002E-2</v>
      </c>
      <c r="R6063">
        <v>7.5697680000000003E-2</v>
      </c>
      <c r="S6063">
        <v>2.988556</v>
      </c>
      <c r="T6063">
        <v>-0.17643729999999999</v>
      </c>
      <c r="U6063">
        <v>0.42419430000000002</v>
      </c>
      <c r="V6063">
        <v>-0.12556489999999901</v>
      </c>
      <c r="W6063">
        <v>5.7188120000000002E-2</v>
      </c>
      <c r="X6063">
        <v>0.99043579999999998</v>
      </c>
      <c r="Y6063">
        <v>-0.18987490000000001</v>
      </c>
      <c r="Z6063">
        <v>8.5339749999999992E-3</v>
      </c>
      <c r="AA6063">
        <v>0.98177119999999996</v>
      </c>
      <c r="AB6063">
        <v>30</v>
      </c>
      <c r="AC6063">
        <v>18.521000000000001</v>
      </c>
      <c r="AD6063">
        <v>-1.10241656808</v>
      </c>
      <c r="AE6063">
        <v>2.6591800000000001</v>
      </c>
      <c r="AF6063">
        <v>-3.57746730048822</v>
      </c>
      <c r="AG6063">
        <v>-1.10241656808</v>
      </c>
      <c r="AH6063">
        <v>18.299791271548798</v>
      </c>
      <c r="AI6063">
        <v>93.3835519718304</v>
      </c>
      <c r="AJ6063">
        <v>101.061376960931</v>
      </c>
      <c r="AK6063">
        <v>18.678756788338202</v>
      </c>
    </row>
    <row r="6064" spans="1:37" x14ac:dyDescent="0.2">
      <c r="A6064" t="str">
        <f>"20200111155718321"</f>
        <v>20200111155718321</v>
      </c>
      <c r="B6064" t="str">
        <f>"1578729438309156"</f>
        <v>1578729438309156</v>
      </c>
      <c r="C6064" t="s">
        <v>37</v>
      </c>
      <c r="D6064">
        <v>4.8999509999999997</v>
      </c>
      <c r="E6064">
        <v>0.47745199999999999</v>
      </c>
      <c r="F6064" t="s">
        <v>98</v>
      </c>
      <c r="G6064">
        <v>-247.9872</v>
      </c>
      <c r="H6064" s="1">
        <v>-2.4803000000000002E-6</v>
      </c>
      <c r="I6064">
        <v>-60.007800000000003</v>
      </c>
      <c r="J6064">
        <v>-266.55110000000002</v>
      </c>
      <c r="K6064">
        <v>1.1024449999999999</v>
      </c>
      <c r="L6064">
        <v>-62.656769999999902</v>
      </c>
      <c r="M6064">
        <v>0.99863349999999995</v>
      </c>
      <c r="N6064">
        <v>0</v>
      </c>
      <c r="O6064">
        <v>-5.1691760000000003E-2</v>
      </c>
      <c r="P6064">
        <v>0.99604009999999998</v>
      </c>
      <c r="Q6064">
        <v>4.9206809999999997E-2</v>
      </c>
      <c r="R6064">
        <v>7.4047269999999998E-2</v>
      </c>
      <c r="S6064">
        <v>2.9889830000000002</v>
      </c>
      <c r="T6064">
        <v>-0.17604210000000001</v>
      </c>
      <c r="U6064">
        <v>0.42156979999999999</v>
      </c>
      <c r="V6064">
        <v>-0.12516739999999901</v>
      </c>
      <c r="W6064">
        <v>5.7416149999999999E-2</v>
      </c>
      <c r="X6064">
        <v>0.99047289999999999</v>
      </c>
      <c r="Y6064">
        <v>-0.1902471</v>
      </c>
      <c r="Z6064">
        <v>8.5988839999999993E-3</v>
      </c>
      <c r="AA6064">
        <v>0.98169859999999898</v>
      </c>
      <c r="AB6064">
        <v>30</v>
      </c>
      <c r="AC6064">
        <v>18.5639</v>
      </c>
      <c r="AD6064">
        <v>-1.1024474802999999</v>
      </c>
      <c r="AE6064">
        <v>2.6489699999999901</v>
      </c>
      <c r="AF6064">
        <v>-3.59263978997698</v>
      </c>
      <c r="AG6064">
        <v>-1.1024474802999999</v>
      </c>
      <c r="AH6064">
        <v>18.338760276819201</v>
      </c>
      <c r="AI6064">
        <v>93.376211653150406</v>
      </c>
      <c r="AJ6064">
        <v>101.084108450236</v>
      </c>
      <c r="AK6064">
        <v>18.719844539899</v>
      </c>
    </row>
    <row r="6065" spans="1:37" x14ac:dyDescent="0.2">
      <c r="A6065" t="str">
        <f>"20200111155718332"</f>
        <v>20200111155718332</v>
      </c>
      <c r="B6065" t="str">
        <f>"1578729438329651"</f>
        <v>1578729438329651</v>
      </c>
      <c r="C6065" t="s">
        <v>37</v>
      </c>
      <c r="D6065">
        <v>5.0482250000000004</v>
      </c>
      <c r="E6065">
        <v>0.477051</v>
      </c>
      <c r="F6065" t="s">
        <v>98</v>
      </c>
      <c r="G6065">
        <v>-247.90129999999999</v>
      </c>
      <c r="H6065" s="1">
        <v>-2.4348899999999999E-6</v>
      </c>
      <c r="I6065">
        <v>-60.055999999999997</v>
      </c>
      <c r="J6065">
        <v>-266.39609999999999</v>
      </c>
      <c r="K6065">
        <v>1.1024879999999999</v>
      </c>
      <c r="L6065">
        <v>-62.666080000000001</v>
      </c>
      <c r="M6065">
        <v>0.99856339999999999</v>
      </c>
      <c r="N6065">
        <v>0</v>
      </c>
      <c r="O6065">
        <v>-5.2975849999999998E-2</v>
      </c>
      <c r="P6065">
        <v>0.99617089999999997</v>
      </c>
      <c r="Q6065">
        <v>4.902078E-2</v>
      </c>
      <c r="R6065">
        <v>7.2391609999999995E-2</v>
      </c>
      <c r="S6065">
        <v>2.9896240000000001</v>
      </c>
      <c r="T6065">
        <v>-0.1767251</v>
      </c>
      <c r="U6065">
        <v>0.41690059999999901</v>
      </c>
      <c r="V6065">
        <v>-0.12479169999999901</v>
      </c>
      <c r="W6065">
        <v>5.7590379999999997E-2</v>
      </c>
      <c r="X6065">
        <v>0.99051019999999901</v>
      </c>
      <c r="Y6065">
        <v>-0.189972</v>
      </c>
      <c r="Z6065">
        <v>8.6987200000000001E-3</v>
      </c>
      <c r="AA6065">
        <v>0.98175100000000004</v>
      </c>
      <c r="AB6065">
        <v>30</v>
      </c>
      <c r="AC6065">
        <v>18.494800000000001</v>
      </c>
      <c r="AD6065">
        <v>-1.10249043489</v>
      </c>
      <c r="AE6065">
        <v>2.61008</v>
      </c>
      <c r="AF6065">
        <v>-3.57377287210632</v>
      </c>
      <c r="AG6065">
        <v>-1.10249043489</v>
      </c>
      <c r="AH6065">
        <v>18.266909084508999</v>
      </c>
      <c r="AI6065">
        <v>93.389759755795396</v>
      </c>
      <c r="AJ6065">
        <v>101.06963584423001</v>
      </c>
      <c r="AK6065">
        <v>18.6458388173379</v>
      </c>
    </row>
    <row r="6066" spans="1:37" x14ac:dyDescent="0.2">
      <c r="A6066" t="str">
        <f>"20200111155718344"</f>
        <v>20200111155718344</v>
      </c>
      <c r="B6066" t="str">
        <f>"1578729438339411"</f>
        <v>1578729438339411</v>
      </c>
      <c r="C6066" t="s">
        <v>37</v>
      </c>
      <c r="D6066">
        <v>4.8875440000000001</v>
      </c>
      <c r="E6066">
        <v>0.47707860000000002</v>
      </c>
      <c r="F6066" t="s">
        <v>98</v>
      </c>
      <c r="G6066">
        <v>-247.80889999999999</v>
      </c>
      <c r="H6066" s="1">
        <v>-2.3900809999999999E-6</v>
      </c>
      <c r="I6066">
        <v>-60.085269999999902</v>
      </c>
      <c r="J6066">
        <v>-266.24889999999999</v>
      </c>
      <c r="K6066">
        <v>1.10253</v>
      </c>
      <c r="L6066">
        <v>-62.675049999999999</v>
      </c>
      <c r="M6066">
        <v>0.99849500000000002</v>
      </c>
      <c r="N6066">
        <v>0</v>
      </c>
      <c r="O6066">
        <v>-5.4199009999999999E-2</v>
      </c>
      <c r="P6066">
        <v>0.99629729999999905</v>
      </c>
      <c r="Q6066">
        <v>4.8689900000000001E-2</v>
      </c>
      <c r="R6066">
        <v>7.0860510000000002E-2</v>
      </c>
      <c r="S6066">
        <v>2.9900820000000001</v>
      </c>
      <c r="T6066">
        <v>-0.17735580000000001</v>
      </c>
      <c r="U6066">
        <v>0.41516110000000001</v>
      </c>
      <c r="V6066">
        <v>-0.1244813</v>
      </c>
      <c r="W6066">
        <v>5.7595609999999998E-2</v>
      </c>
      <c r="X6066">
        <v>0.99054889999999995</v>
      </c>
      <c r="Y6066">
        <v>-0.1905877</v>
      </c>
      <c r="Z6066">
        <v>8.8190879999999992E-3</v>
      </c>
      <c r="AA6066">
        <v>0.98163060000000002</v>
      </c>
      <c r="AB6066">
        <v>30</v>
      </c>
      <c r="AC6066">
        <v>18.440000000000001</v>
      </c>
      <c r="AD6066">
        <v>-1.102532390081</v>
      </c>
      <c r="AE6066">
        <v>2.5897800000000002</v>
      </c>
      <c r="AF6066">
        <v>-3.5729123262348401</v>
      </c>
      <c r="AG6066">
        <v>-1.102532390081</v>
      </c>
      <c r="AH6066">
        <v>18.208690989939001</v>
      </c>
      <c r="AI6066">
        <v>93.400331282209606</v>
      </c>
      <c r="AJ6066">
        <v>101.101542810696</v>
      </c>
      <c r="AK6066">
        <v>18.588644590965298</v>
      </c>
    </row>
    <row r="6067" spans="1:37" x14ac:dyDescent="0.2">
      <c r="A6067" t="str">
        <f>"20200111155718356"</f>
        <v>20200111155718356</v>
      </c>
      <c r="B6067" t="str">
        <f>"1578729438349170"</f>
        <v>1578729438349170</v>
      </c>
      <c r="C6067" t="s">
        <v>37</v>
      </c>
      <c r="D6067">
        <v>4.8917459999999897</v>
      </c>
      <c r="E6067">
        <v>0.47701660000000001</v>
      </c>
      <c r="F6067" t="s">
        <v>98</v>
      </c>
      <c r="G6067">
        <v>-247.72790000000001</v>
      </c>
      <c r="H6067" s="1">
        <v>-2.346748E-6</v>
      </c>
      <c r="I6067">
        <v>-60.133589999999998</v>
      </c>
      <c r="J6067">
        <v>-266.08390000000003</v>
      </c>
      <c r="K6067">
        <v>1.1025739999999999</v>
      </c>
      <c r="L6067">
        <v>-62.68533</v>
      </c>
      <c r="M6067">
        <v>0.99841610000000003</v>
      </c>
      <c r="N6067">
        <v>0</v>
      </c>
      <c r="O6067">
        <v>-5.5576779999999999E-2</v>
      </c>
      <c r="P6067">
        <v>0.99642350000000002</v>
      </c>
      <c r="Q6067">
        <v>4.8401779999999998E-2</v>
      </c>
      <c r="R6067">
        <v>6.9264359999999997E-2</v>
      </c>
      <c r="S6067">
        <v>2.9906619999999999</v>
      </c>
      <c r="T6067">
        <v>-0.178030299999999</v>
      </c>
      <c r="U6067">
        <v>0.41036990000000001</v>
      </c>
      <c r="V6067">
        <v>-0.1242601</v>
      </c>
      <c r="W6067">
        <v>5.7677020000000002E-2</v>
      </c>
      <c r="X6067">
        <v>0.99057199999999901</v>
      </c>
      <c r="Y6067">
        <v>-0.19036800000000001</v>
      </c>
      <c r="Z6067">
        <v>8.9269320000000003E-3</v>
      </c>
      <c r="AA6067">
        <v>0.98167219999999999</v>
      </c>
      <c r="AB6067">
        <v>30</v>
      </c>
      <c r="AC6067">
        <v>18.356000000000002</v>
      </c>
      <c r="AD6067">
        <v>-1.1025763467479901</v>
      </c>
      <c r="AE6067">
        <v>2.5517400000000001</v>
      </c>
      <c r="AF6067">
        <v>-3.5554175793970102</v>
      </c>
      <c r="AG6067">
        <v>-1.1025763467479901</v>
      </c>
      <c r="AH6067">
        <v>18.1216615642516</v>
      </c>
      <c r="AI6067">
        <v>93.416773550788605</v>
      </c>
      <c r="AJ6067">
        <v>101.100270752787</v>
      </c>
      <c r="AK6067">
        <v>18.500034773306901</v>
      </c>
    </row>
    <row r="6068" spans="1:37" x14ac:dyDescent="0.2">
      <c r="A6068" t="str">
        <f>"20200111155718366"</f>
        <v>20200111155718366</v>
      </c>
      <c r="B6068" t="str">
        <f>"1578729438358930"</f>
        <v>1578729438358930</v>
      </c>
      <c r="C6068" t="s">
        <v>37</v>
      </c>
      <c r="D6068">
        <v>4.9201459999999999</v>
      </c>
      <c r="E6068">
        <v>0.476942699999999</v>
      </c>
      <c r="F6068" t="s">
        <v>98</v>
      </c>
      <c r="G6068">
        <v>-247.68819999999999</v>
      </c>
      <c r="H6068" s="1">
        <v>-2.319847E-6</v>
      </c>
      <c r="I6068">
        <v>-60.189169999999997</v>
      </c>
      <c r="J6068">
        <v>-265.9357</v>
      </c>
      <c r="K6068">
        <v>1.1026119999999999</v>
      </c>
      <c r="L6068">
        <v>-62.694819999999901</v>
      </c>
      <c r="M6068">
        <v>0.9983438</v>
      </c>
      <c r="N6068">
        <v>0</v>
      </c>
      <c r="O6068">
        <v>-5.6810079999999999E-2</v>
      </c>
      <c r="P6068">
        <v>0.99652649999999998</v>
      </c>
      <c r="Q6068">
        <v>4.8482249999999998E-2</v>
      </c>
      <c r="R6068">
        <v>6.7709649999999996E-2</v>
      </c>
      <c r="S6068">
        <v>2.9912719999999999</v>
      </c>
      <c r="T6068">
        <v>-0.17928659999999999</v>
      </c>
      <c r="U6068">
        <v>0.40588379999999902</v>
      </c>
      <c r="V6068">
        <v>-0.12393510000000001</v>
      </c>
      <c r="W6068">
        <v>5.8071650000000002E-2</v>
      </c>
      <c r="X6068">
        <v>0.99058959999999996</v>
      </c>
      <c r="Y6068">
        <v>-0.19010070000000001</v>
      </c>
      <c r="Z6068">
        <v>9.0544900000000001E-3</v>
      </c>
      <c r="AA6068">
        <v>0.98172280000000001</v>
      </c>
      <c r="AB6068">
        <v>30</v>
      </c>
      <c r="AC6068">
        <v>18.247499999999999</v>
      </c>
      <c r="AD6068">
        <v>-1.102614319847</v>
      </c>
      <c r="AE6068">
        <v>2.5056499999999899</v>
      </c>
      <c r="AF6068">
        <v>-3.52565285512632</v>
      </c>
      <c r="AG6068">
        <v>-1.102614319847</v>
      </c>
      <c r="AH6068">
        <v>18.011129944969898</v>
      </c>
      <c r="AI6068">
        <v>93.438100086803004</v>
      </c>
      <c r="AJ6068">
        <v>101.075521710595</v>
      </c>
      <c r="AK6068">
        <v>18.3860487404929</v>
      </c>
    </row>
    <row r="6069" spans="1:37" x14ac:dyDescent="0.2">
      <c r="A6069" t="str">
        <f>"20200111155718376"</f>
        <v>20200111155718376</v>
      </c>
      <c r="B6069" t="str">
        <f>"1578729438368690"</f>
        <v>1578729438368690</v>
      </c>
      <c r="C6069" t="s">
        <v>37</v>
      </c>
      <c r="D6069">
        <v>4.9399480000000002</v>
      </c>
      <c r="E6069">
        <v>0.47683389999999998</v>
      </c>
      <c r="F6069" t="s">
        <v>98</v>
      </c>
      <c r="G6069">
        <v>-247.59039999999999</v>
      </c>
      <c r="H6069" s="1">
        <v>-2.2703690000000001E-6</v>
      </c>
      <c r="I6069">
        <v>-60.231669999999902</v>
      </c>
      <c r="J6069">
        <v>-265.79969999999997</v>
      </c>
      <c r="K6069">
        <v>1.102643</v>
      </c>
      <c r="L6069">
        <v>-62.703609999999998</v>
      </c>
      <c r="M6069">
        <v>0.99827619999999895</v>
      </c>
      <c r="N6069">
        <v>0</v>
      </c>
      <c r="O6069">
        <v>-5.7941739999999999E-2</v>
      </c>
      <c r="P6069">
        <v>0.99659640000000005</v>
      </c>
      <c r="Q6069">
        <v>4.8780370000000003E-2</v>
      </c>
      <c r="R6069">
        <v>6.6455719999999996E-2</v>
      </c>
      <c r="S6069">
        <v>2.9919129999999998</v>
      </c>
      <c r="T6069">
        <v>-0.1798237</v>
      </c>
      <c r="U6069">
        <v>0.40170289999999997</v>
      </c>
      <c r="V6069">
        <v>-0.12380670000000001</v>
      </c>
      <c r="W6069">
        <v>5.8653839999999999E-2</v>
      </c>
      <c r="X6069">
        <v>0.99057139999999999</v>
      </c>
      <c r="Y6069">
        <v>-0.18983420000000001</v>
      </c>
      <c r="Z6069">
        <v>9.1401950000000003E-3</v>
      </c>
      <c r="AA6069">
        <v>0.98177359999999902</v>
      </c>
      <c r="AB6069">
        <v>30</v>
      </c>
      <c r="AC6069">
        <v>18.209299999999899</v>
      </c>
      <c r="AD6069">
        <v>-1.102645270369</v>
      </c>
      <c r="AE6069">
        <v>2.47194</v>
      </c>
      <c r="AF6069">
        <v>-3.5102728228284001</v>
      </c>
      <c r="AG6069">
        <v>-1.102645270369</v>
      </c>
      <c r="AH6069">
        <v>17.970767794391001</v>
      </c>
      <c r="AI6069">
        <v>93.446169392213207</v>
      </c>
      <c r="AJ6069">
        <v>101.052554144225</v>
      </c>
      <c r="AK6069">
        <v>18.343563912252101</v>
      </c>
    </row>
    <row r="6070" spans="1:37" x14ac:dyDescent="0.2">
      <c r="A6070" t="str">
        <f>"20200111155718387"</f>
        <v>20200111155718387</v>
      </c>
      <c r="B6070" t="str">
        <f>"1578729438379426"</f>
        <v>1578729438379426</v>
      </c>
      <c r="C6070" t="s">
        <v>37</v>
      </c>
      <c r="D6070">
        <v>4.9084269999999997</v>
      </c>
      <c r="E6070">
        <v>0.47671659999999999</v>
      </c>
      <c r="F6070" t="s">
        <v>98</v>
      </c>
      <c r="G6070">
        <v>-247.37889999999999</v>
      </c>
      <c r="H6070" s="1">
        <v>-2.1762999999999998E-6</v>
      </c>
      <c r="I6070">
        <v>-60.250480000000003</v>
      </c>
      <c r="J6070">
        <v>-265.66739999999999</v>
      </c>
      <c r="K6070">
        <v>1.1026689999999999</v>
      </c>
      <c r="L6070">
        <v>-62.712429999999998</v>
      </c>
      <c r="M6070">
        <v>0.99821000000000004</v>
      </c>
      <c r="N6070">
        <v>0</v>
      </c>
      <c r="O6070">
        <v>-5.9030649999999997E-2</v>
      </c>
      <c r="P6070">
        <v>0.99665959999999998</v>
      </c>
      <c r="Q6070">
        <v>4.90914E-2</v>
      </c>
      <c r="R6070">
        <v>6.5267450000000005E-2</v>
      </c>
      <c r="S6070">
        <v>2.992432</v>
      </c>
      <c r="T6070">
        <v>-0.17912339999999999</v>
      </c>
      <c r="U6070">
        <v>0.39849849999999998</v>
      </c>
      <c r="V6070">
        <v>-0.123702399999999</v>
      </c>
      <c r="W6070">
        <v>5.9224100000000002E-2</v>
      </c>
      <c r="X6070">
        <v>0.990550499999999</v>
      </c>
      <c r="Y6070">
        <v>-0.18985160000000001</v>
      </c>
      <c r="Z6070">
        <v>9.1691229999999995E-3</v>
      </c>
      <c r="AA6070">
        <v>0.98177000000000003</v>
      </c>
      <c r="AB6070">
        <v>30</v>
      </c>
      <c r="AC6070">
        <v>18.288499999999999</v>
      </c>
      <c r="AD6070">
        <v>-1.1026711763000001</v>
      </c>
      <c r="AE6070">
        <v>2.4619499999999999</v>
      </c>
      <c r="AF6070">
        <v>-3.52470302897756</v>
      </c>
      <c r="AG6070">
        <v>-1.1026711763000001</v>
      </c>
      <c r="AH6070">
        <v>18.046830568985399</v>
      </c>
      <c r="AI6070">
        <v>93.431775138366902</v>
      </c>
      <c r="AJ6070">
        <v>101.051247337826</v>
      </c>
      <c r="AK6070">
        <v>18.420844409287898</v>
      </c>
    </row>
    <row r="6071" spans="1:37" x14ac:dyDescent="0.2">
      <c r="A6071" t="str">
        <f>"20200111155718397"</f>
        <v>20200111155718397</v>
      </c>
      <c r="B6071" t="str">
        <f>"1578729438389187"</f>
        <v>1578729438389187</v>
      </c>
      <c r="C6071" t="s">
        <v>37</v>
      </c>
      <c r="D6071">
        <v>4.8981329999999996</v>
      </c>
      <c r="E6071">
        <v>0.47656209999999999</v>
      </c>
      <c r="F6071" t="s">
        <v>98</v>
      </c>
      <c r="G6071">
        <v>-247.19290000000001</v>
      </c>
      <c r="H6071" s="1">
        <v>-2.0929969999999998E-6</v>
      </c>
      <c r="I6071">
        <v>-60.27028</v>
      </c>
      <c r="J6071">
        <v>-265.51960000000003</v>
      </c>
      <c r="K6071">
        <v>1.1027009999999999</v>
      </c>
      <c r="L6071">
        <v>-62.722319999999897</v>
      </c>
      <c r="M6071">
        <v>0.99813459999999998</v>
      </c>
      <c r="N6071">
        <v>0</v>
      </c>
      <c r="O6071">
        <v>-6.0245550000000002E-2</v>
      </c>
      <c r="P6071">
        <v>0.99674169999999995</v>
      </c>
      <c r="Q6071">
        <v>4.9269130000000001E-2</v>
      </c>
      <c r="R6071">
        <v>6.3864480000000001E-2</v>
      </c>
      <c r="S6071">
        <v>2.99295</v>
      </c>
      <c r="T6071">
        <v>-0.17863770000000001</v>
      </c>
      <c r="U6071">
        <v>0.39562989999999998</v>
      </c>
      <c r="V6071">
        <v>-0.1235101</v>
      </c>
      <c r="W6071">
        <v>5.9687709999999998E-2</v>
      </c>
      <c r="X6071">
        <v>0.99054660000000005</v>
      </c>
      <c r="Y6071">
        <v>-0.19009949999999901</v>
      </c>
      <c r="Z6071">
        <v>9.222839E-3</v>
      </c>
      <c r="AA6071">
        <v>0.98172150000000002</v>
      </c>
      <c r="AB6071">
        <v>30</v>
      </c>
      <c r="AC6071">
        <v>18.326699999999999</v>
      </c>
      <c r="AD6071">
        <v>-1.1027030929970001</v>
      </c>
      <c r="AE6071">
        <v>2.4520399999999798</v>
      </c>
      <c r="AF6071">
        <v>-3.5391541743411898</v>
      </c>
      <c r="AG6071">
        <v>-1.1027030929970001</v>
      </c>
      <c r="AH6071">
        <v>18.081366804770099</v>
      </c>
      <c r="AI6071">
        <v>93.425060569934004</v>
      </c>
      <c r="AJ6071">
        <v>101.07476654598</v>
      </c>
      <c r="AK6071">
        <v>18.457448141866902</v>
      </c>
    </row>
    <row r="6072" spans="1:37" x14ac:dyDescent="0.2">
      <c r="A6072" t="str">
        <f>"20200111155718409"</f>
        <v>20200111155718409</v>
      </c>
      <c r="B6072" t="str">
        <f>"1578729438398946"</f>
        <v>1578729438398946</v>
      </c>
      <c r="C6072" t="s">
        <v>37</v>
      </c>
      <c r="D6072">
        <v>4.9490489999999996</v>
      </c>
      <c r="E6072">
        <v>0.47654009999999902</v>
      </c>
      <c r="F6072" t="s">
        <v>98</v>
      </c>
      <c r="G6072">
        <v>-247.00409999999999</v>
      </c>
      <c r="H6072" s="1">
        <v>-2.0076379999999998E-6</v>
      </c>
      <c r="I6072">
        <v>-60.294829999999997</v>
      </c>
      <c r="J6072">
        <v>-265.37</v>
      </c>
      <c r="K6072">
        <v>1.102735</v>
      </c>
      <c r="L6072">
        <v>-62.732700000000001</v>
      </c>
      <c r="M6072">
        <v>0.99805779999999999</v>
      </c>
      <c r="N6072">
        <v>0</v>
      </c>
      <c r="O6072">
        <v>-6.1458800000000001E-2</v>
      </c>
      <c r="P6072">
        <v>0.99682689999999996</v>
      </c>
      <c r="Q6072">
        <v>4.941135E-2</v>
      </c>
      <c r="R6072">
        <v>6.2407240000000003E-2</v>
      </c>
      <c r="S6072">
        <v>2.9935</v>
      </c>
      <c r="T6072">
        <v>-0.1782801</v>
      </c>
      <c r="U6072">
        <v>0.39245609999999997</v>
      </c>
      <c r="V6072">
        <v>-0.1232642</v>
      </c>
      <c r="W6072">
        <v>6.009515E-2</v>
      </c>
      <c r="X6072">
        <v>0.99055260000000001</v>
      </c>
      <c r="Y6072">
        <v>-0.1902459</v>
      </c>
      <c r="Z6072">
        <v>9.27961699999999E-3</v>
      </c>
      <c r="AA6072">
        <v>0.98169259999999903</v>
      </c>
      <c r="AB6072">
        <v>30</v>
      </c>
      <c r="AC6072">
        <v>18.3659</v>
      </c>
      <c r="AD6072">
        <v>-1.1027370076380001</v>
      </c>
      <c r="AE6072">
        <v>2.43786999999999</v>
      </c>
      <c r="AF6072">
        <v>-3.5494908152627702</v>
      </c>
      <c r="AG6072">
        <v>-1.1027370076380001</v>
      </c>
      <c r="AH6072">
        <v>18.117157982692301</v>
      </c>
      <c r="AI6072">
        <v>93.4182969170257</v>
      </c>
      <c r="AJ6072">
        <v>101.084912009489</v>
      </c>
      <c r="AK6072">
        <v>18.494494513921701</v>
      </c>
    </row>
    <row r="6073" spans="1:37" x14ac:dyDescent="0.2">
      <c r="A6073" t="str">
        <f>"20200111155718421"</f>
        <v>20200111155718421</v>
      </c>
      <c r="B6073" t="str">
        <f>"1578729438409684"</f>
        <v>1578729438409684</v>
      </c>
      <c r="C6073" t="s">
        <v>37</v>
      </c>
      <c r="D6073">
        <v>5.1715239999999998</v>
      </c>
      <c r="E6073">
        <v>0.47654009999999902</v>
      </c>
      <c r="F6073" t="s">
        <v>98</v>
      </c>
      <c r="G6073">
        <v>-246.86510000000001</v>
      </c>
      <c r="H6073" s="1">
        <v>-1.9410440000000001E-6</v>
      </c>
      <c r="I6073">
        <v>-60.33408</v>
      </c>
      <c r="J6073">
        <v>-265.22030000000001</v>
      </c>
      <c r="K6073">
        <v>1.10277</v>
      </c>
      <c r="L6073">
        <v>-62.743069999999904</v>
      </c>
      <c r="M6073">
        <v>0.99797990000000003</v>
      </c>
      <c r="N6073">
        <v>0</v>
      </c>
      <c r="O6073">
        <v>-6.2668669999999996E-2</v>
      </c>
      <c r="P6073">
        <v>0.99691980000000002</v>
      </c>
      <c r="Q6073">
        <v>4.9377360000000002E-2</v>
      </c>
      <c r="R6073">
        <v>6.0935450000000002E-2</v>
      </c>
      <c r="S6073">
        <v>2.9941409999999999</v>
      </c>
      <c r="T6073">
        <v>-0.17842559999999999</v>
      </c>
      <c r="U6073">
        <v>0.38809199999999999</v>
      </c>
      <c r="V6073">
        <v>-0.12300229999999999</v>
      </c>
      <c r="W6073">
        <v>6.0321710000000001E-2</v>
      </c>
      <c r="X6073">
        <v>0.99057139999999999</v>
      </c>
      <c r="Y6073">
        <v>-0.189999799999999</v>
      </c>
      <c r="Z6073">
        <v>9.3505289999999998E-3</v>
      </c>
      <c r="AA6073">
        <v>0.98173960000000005</v>
      </c>
      <c r="AB6073">
        <v>30</v>
      </c>
      <c r="AC6073">
        <v>18.3552</v>
      </c>
      <c r="AD6073">
        <v>-1.102771941044</v>
      </c>
      <c r="AE6073">
        <v>2.4089899999999802</v>
      </c>
      <c r="AF6073">
        <v>-3.5420441739172501</v>
      </c>
      <c r="AG6073">
        <v>-1.102771941044</v>
      </c>
      <c r="AH6073">
        <v>18.1039000175249</v>
      </c>
      <c r="AI6073">
        <v>93.421074761025096</v>
      </c>
      <c r="AJ6073">
        <v>101.070131797431</v>
      </c>
      <c r="AK6073">
        <v>18.480080593127099</v>
      </c>
    </row>
    <row r="6074" spans="1:37" x14ac:dyDescent="0.2">
      <c r="A6074" t="str">
        <f>"20200111155718432"</f>
        <v>20200111155718432</v>
      </c>
      <c r="B6074" t="str">
        <f>"1578729438429203"</f>
        <v>1578729438429203</v>
      </c>
      <c r="C6074" t="s">
        <v>37</v>
      </c>
      <c r="D6074">
        <v>4.9035950000000001</v>
      </c>
      <c r="E6074">
        <v>0.52261789999999997</v>
      </c>
      <c r="F6074" t="s">
        <v>98</v>
      </c>
      <c r="G6074">
        <v>-246.73609999999999</v>
      </c>
      <c r="H6074" s="1">
        <v>-1.878304E-6</v>
      </c>
      <c r="I6074">
        <v>-60.375839999999997</v>
      </c>
      <c r="J6074">
        <v>-265.06939999999997</v>
      </c>
      <c r="K6074">
        <v>1.102805</v>
      </c>
      <c r="L6074">
        <v>-62.75385</v>
      </c>
      <c r="M6074">
        <v>0.99790049999999997</v>
      </c>
      <c r="N6074">
        <v>0</v>
      </c>
      <c r="O6074">
        <v>-6.38769E-2</v>
      </c>
      <c r="P6074">
        <v>0.99701890000000004</v>
      </c>
      <c r="Q6074">
        <v>4.9513130000000002E-2</v>
      </c>
      <c r="R6074">
        <v>5.917712E-2</v>
      </c>
      <c r="S6074">
        <v>2.9946899999999999</v>
      </c>
      <c r="T6074">
        <v>-0.17866399999999999</v>
      </c>
      <c r="U6074">
        <v>0.38351439999999998</v>
      </c>
      <c r="V6074">
        <v>-0.1224539</v>
      </c>
      <c r="W6074">
        <v>6.0698670000000003E-2</v>
      </c>
      <c r="X6074">
        <v>0.99061630000000001</v>
      </c>
      <c r="Y6074">
        <v>-0.18968660000000001</v>
      </c>
      <c r="Z6074">
        <v>9.4246469999999995E-3</v>
      </c>
      <c r="AA6074">
        <v>0.98179939999999999</v>
      </c>
      <c r="AB6074">
        <v>30</v>
      </c>
      <c r="AC6074">
        <v>18.333299999999898</v>
      </c>
      <c r="AD6074">
        <v>-1.1028068783039999</v>
      </c>
      <c r="AE6074">
        <v>2.37800999999999</v>
      </c>
      <c r="AF6074">
        <v>-3.5317265784854599</v>
      </c>
      <c r="AG6074">
        <v>-1.1028068783039999</v>
      </c>
      <c r="AH6074">
        <v>18.0796096189185</v>
      </c>
      <c r="AI6074">
        <v>93.425966486599904</v>
      </c>
      <c r="AJ6074">
        <v>101.053144588726</v>
      </c>
      <c r="AK6074">
        <v>18.4543100550659</v>
      </c>
    </row>
    <row r="6075" spans="1:37" x14ac:dyDescent="0.2">
      <c r="A6075" t="str">
        <f>"20200111155718443"</f>
        <v>20200111155718443</v>
      </c>
      <c r="B6075" t="str">
        <f>"1578729438438962"</f>
        <v>1578729438438962</v>
      </c>
      <c r="C6075" t="s">
        <v>37</v>
      </c>
      <c r="D6075">
        <v>5.0542720000000001</v>
      </c>
      <c r="E6075">
        <v>0.53319550000000004</v>
      </c>
      <c r="F6075" t="s">
        <v>99</v>
      </c>
      <c r="G6075">
        <v>-232.90020000000001</v>
      </c>
      <c r="H6075" s="1">
        <v>-8.3968580000000003E-7</v>
      </c>
      <c r="I6075">
        <v>-62.670059999999999</v>
      </c>
      <c r="J6075">
        <v>-264.91910000000001</v>
      </c>
      <c r="K6075">
        <v>1.1028389999999999</v>
      </c>
      <c r="L6075">
        <v>-62.764710000000001</v>
      </c>
      <c r="M6075">
        <v>0.9978207</v>
      </c>
      <c r="N6075">
        <v>0</v>
      </c>
      <c r="O6075">
        <v>-6.5073909999999999E-2</v>
      </c>
      <c r="P6075">
        <v>0.99712559999999995</v>
      </c>
      <c r="Q6075">
        <v>4.954327E-2</v>
      </c>
      <c r="R6075">
        <v>5.7325519999999998E-2</v>
      </c>
      <c r="S6075">
        <v>3.0136409999999998</v>
      </c>
      <c r="T6075">
        <v>-0.1033118</v>
      </c>
      <c r="U6075">
        <v>7.8430180000000002E-3</v>
      </c>
      <c r="V6075">
        <v>-0.12180290000000001</v>
      </c>
      <c r="W6075">
        <v>6.0957600000000001E-2</v>
      </c>
      <c r="X6075">
        <v>0.99068069999999897</v>
      </c>
      <c r="Y6075">
        <v>-6.759664E-2</v>
      </c>
      <c r="Z6075">
        <v>3.3874719999999999E-3</v>
      </c>
      <c r="AA6075">
        <v>0.99770700000000001</v>
      </c>
      <c r="AB6075">
        <v>30</v>
      </c>
      <c r="AC6075">
        <v>32.018900000000002</v>
      </c>
      <c r="AD6075">
        <v>-1.1028398396857999</v>
      </c>
      <c r="AE6075">
        <v>9.46500000000014E-2</v>
      </c>
      <c r="AF6075">
        <v>-2.1755876277210802</v>
      </c>
      <c r="AG6075">
        <v>-1.1028398396857999</v>
      </c>
      <c r="AH6075">
        <v>31.907014036340801</v>
      </c>
      <c r="AI6075">
        <v>91.975011501251501</v>
      </c>
      <c r="AJ6075">
        <v>93.900689280477295</v>
      </c>
      <c r="AK6075">
        <v>32.000109092831799</v>
      </c>
    </row>
    <row r="6076" spans="1:37" x14ac:dyDescent="0.2">
      <c r="A6076" t="str">
        <f>"20200111155718454"</f>
        <v>20200111155718454</v>
      </c>
      <c r="B6076" t="str">
        <f>"1578729438448722"</f>
        <v>1578729438448722</v>
      </c>
      <c r="C6076" t="s">
        <v>37</v>
      </c>
      <c r="D6076">
        <v>5.0928250000000004</v>
      </c>
      <c r="E6076">
        <v>0.53986099999999904</v>
      </c>
      <c r="F6076" t="s">
        <v>98</v>
      </c>
      <c r="G6076">
        <v>-240.5453</v>
      </c>
      <c r="H6076" s="1">
        <v>-2.779734E-8</v>
      </c>
      <c r="I6076">
        <v>-63.415599999999998</v>
      </c>
      <c r="J6076">
        <v>-264.76819999999998</v>
      </c>
      <c r="K6076">
        <v>1.1028709999999999</v>
      </c>
      <c r="L6076">
        <v>-62.775759999999998</v>
      </c>
      <c r="M6076">
        <v>0.99773969999999901</v>
      </c>
      <c r="N6076">
        <v>0</v>
      </c>
      <c r="O6076">
        <v>-6.6267919999999994E-2</v>
      </c>
      <c r="P6076">
        <v>0.99723030000000001</v>
      </c>
      <c r="Q6076">
        <v>4.9576999999999899E-2</v>
      </c>
      <c r="R6076">
        <v>5.5446509999999997E-2</v>
      </c>
      <c r="S6076">
        <v>3.0200809999999998</v>
      </c>
      <c r="T6076">
        <v>-0.1366491</v>
      </c>
      <c r="U6076">
        <v>-8.0657960000000001E-2</v>
      </c>
      <c r="V6076">
        <v>-0.1211232</v>
      </c>
      <c r="W6076">
        <v>6.120747E-2</v>
      </c>
      <c r="X6076">
        <v>0.99074859999999898</v>
      </c>
      <c r="Y6076">
        <v>-3.9501370000000001E-2</v>
      </c>
      <c r="Z6076">
        <v>3.8872629999999902E-3</v>
      </c>
      <c r="AA6076">
        <v>0.99921199999999999</v>
      </c>
      <c r="AB6076">
        <v>30</v>
      </c>
      <c r="AC6076">
        <v>24.2228999999999</v>
      </c>
      <c r="AD6076">
        <v>-1.1028710277973399</v>
      </c>
      <c r="AE6076">
        <v>-0.63983999999999897</v>
      </c>
      <c r="AF6076">
        <v>-0.96486863506601295</v>
      </c>
      <c r="AG6076">
        <v>-1.1028710277973399</v>
      </c>
      <c r="AH6076">
        <v>24.1619990342531</v>
      </c>
      <c r="AI6076">
        <v>92.611365343627597</v>
      </c>
      <c r="AJ6076">
        <v>92.286795169443707</v>
      </c>
      <c r="AK6076">
        <v>24.206393645442901</v>
      </c>
    </row>
    <row r="6077" spans="1:37" x14ac:dyDescent="0.2">
      <c r="A6077" t="str">
        <f>"20200111155718466"</f>
        <v>20200111155718466</v>
      </c>
      <c r="B6077" t="str">
        <f>"1578729438459459"</f>
        <v>1578729438459459</v>
      </c>
      <c r="C6077" t="s">
        <v>37</v>
      </c>
      <c r="D6077">
        <v>5.0670710000000003</v>
      </c>
      <c r="E6077">
        <v>0.544485</v>
      </c>
      <c r="F6077" t="s">
        <v>98</v>
      </c>
      <c r="G6077">
        <v>-242.7544</v>
      </c>
      <c r="H6077" s="1">
        <v>-1.074161E-6</v>
      </c>
      <c r="I6077">
        <v>-63.786450000000002</v>
      </c>
      <c r="J6077">
        <v>-264.62520000000001</v>
      </c>
      <c r="K6077">
        <v>1.102905</v>
      </c>
      <c r="L6077">
        <v>-62.786469999999902</v>
      </c>
      <c r="M6077">
        <v>0.99766239999999995</v>
      </c>
      <c r="N6077">
        <v>0</v>
      </c>
      <c r="O6077">
        <v>-6.7387080000000002E-2</v>
      </c>
      <c r="P6077">
        <v>0.99733109999999903</v>
      </c>
      <c r="Q6077">
        <v>4.9762279999999999E-2</v>
      </c>
      <c r="R6077">
        <v>5.3428370000000003E-2</v>
      </c>
      <c r="S6077">
        <v>3.0235599999999998</v>
      </c>
      <c r="T6077">
        <v>-0.15147769999999999</v>
      </c>
      <c r="U6077">
        <v>-0.13882449999999999</v>
      </c>
      <c r="V6077">
        <v>-0.1202298</v>
      </c>
      <c r="W6077">
        <v>6.1580589999999998E-2</v>
      </c>
      <c r="X6077">
        <v>0.99083429999999995</v>
      </c>
      <c r="Y6077">
        <v>-2.1447839999999999E-2</v>
      </c>
      <c r="Z6077">
        <v>3.9057809999999901E-3</v>
      </c>
      <c r="AA6077">
        <v>0.99976239999999905</v>
      </c>
      <c r="AB6077">
        <v>30</v>
      </c>
      <c r="AC6077">
        <v>21.870799999999999</v>
      </c>
      <c r="AD6077">
        <v>-1.1029060741609999</v>
      </c>
      <c r="AE6077">
        <v>-0.99998000000000697</v>
      </c>
      <c r="AF6077">
        <v>-0.47499216191338001</v>
      </c>
      <c r="AG6077">
        <v>-1.1029060741609999</v>
      </c>
      <c r="AH6077">
        <v>21.8330634779817</v>
      </c>
      <c r="AI6077">
        <v>92.891178467955797</v>
      </c>
      <c r="AJ6077">
        <v>91.246309466796205</v>
      </c>
      <c r="AK6077">
        <v>21.866062292874801</v>
      </c>
    </row>
    <row r="6078" spans="1:37" x14ac:dyDescent="0.2">
      <c r="A6078" t="str">
        <f>"20200111155718477"</f>
        <v>20200111155718477</v>
      </c>
      <c r="B6078" t="str">
        <f>"1578729438469218"</f>
        <v>1578729438469218</v>
      </c>
      <c r="C6078" t="s">
        <v>37</v>
      </c>
      <c r="D6078">
        <v>5.0454129999999999</v>
      </c>
      <c r="E6078">
        <v>0.54764740000000001</v>
      </c>
      <c r="F6078" t="s">
        <v>98</v>
      </c>
      <c r="G6078">
        <v>-243.76509999999999</v>
      </c>
      <c r="H6078" s="1">
        <v>-1.574489E-6</v>
      </c>
      <c r="I6078">
        <v>-64.037199999999999</v>
      </c>
      <c r="J6078">
        <v>-264.46769999999998</v>
      </c>
      <c r="K6078">
        <v>1.1029420000000001</v>
      </c>
      <c r="L6078">
        <v>-62.798310000000001</v>
      </c>
      <c r="M6078">
        <v>0.99757629999999997</v>
      </c>
      <c r="N6078">
        <v>0</v>
      </c>
      <c r="O6078">
        <v>-6.8613800000000003E-2</v>
      </c>
      <c r="P6078">
        <v>0.9974288</v>
      </c>
      <c r="Q6078">
        <v>4.9852210000000001E-2</v>
      </c>
      <c r="R6078">
        <v>5.1480959999999999E-2</v>
      </c>
      <c r="S6078">
        <v>3.025757</v>
      </c>
      <c r="T6078">
        <v>-0.15997629999999999</v>
      </c>
      <c r="U6078">
        <v>-0.181427</v>
      </c>
      <c r="V6078">
        <v>-0.119514699999999</v>
      </c>
      <c r="W6078">
        <v>6.1870429999999997E-2</v>
      </c>
      <c r="X6078">
        <v>0.99090279999999997</v>
      </c>
      <c r="Y6078">
        <v>-8.6757190000000001E-3</v>
      </c>
      <c r="Z6078">
        <v>3.847166E-3</v>
      </c>
      <c r="AA6078">
        <v>0.99995489999999998</v>
      </c>
      <c r="AB6078">
        <v>30</v>
      </c>
      <c r="AC6078">
        <v>20.702599999999901</v>
      </c>
      <c r="AD6078">
        <v>-1.1029435744889999</v>
      </c>
      <c r="AE6078">
        <v>-1.2388899999999901</v>
      </c>
      <c r="AF6078">
        <v>-0.18408846047743799</v>
      </c>
      <c r="AG6078">
        <v>-1.1029435744889999</v>
      </c>
      <c r="AH6078">
        <v>20.680326884213901</v>
      </c>
      <c r="AI6078">
        <v>93.052741926945799</v>
      </c>
      <c r="AJ6078">
        <v>90.510011922163102</v>
      </c>
      <c r="AK6078">
        <v>20.710535800112201</v>
      </c>
    </row>
    <row r="6079" spans="1:37" x14ac:dyDescent="0.2">
      <c r="A6079" t="str">
        <f>"20200111155718488"</f>
        <v>20200111155718488</v>
      </c>
      <c r="B6079" t="str">
        <f>"1578729438478979"</f>
        <v>1578729438478979</v>
      </c>
      <c r="C6079" t="s">
        <v>37</v>
      </c>
      <c r="D6079">
        <v>5.0408460000000002</v>
      </c>
      <c r="E6079">
        <v>0.55014689999999999</v>
      </c>
      <c r="F6079" t="s">
        <v>98</v>
      </c>
      <c r="G6079">
        <v>-244.2739</v>
      </c>
      <c r="H6079" s="1">
        <v>-1.840169E-6</v>
      </c>
      <c r="I6079">
        <v>-64.215469999999996</v>
      </c>
      <c r="J6079">
        <v>-264.32589999999999</v>
      </c>
      <c r="K6079">
        <v>1.102978</v>
      </c>
      <c r="L6079">
        <v>-62.809269999999998</v>
      </c>
      <c r="M6079">
        <v>0.99749929999999998</v>
      </c>
      <c r="N6079">
        <v>0</v>
      </c>
      <c r="O6079">
        <v>-6.969678E-2</v>
      </c>
      <c r="P6079">
        <v>0.99753009999999998</v>
      </c>
      <c r="Q6079">
        <v>4.9898610000000003E-2</v>
      </c>
      <c r="R6079">
        <v>4.9439419999999998E-2</v>
      </c>
      <c r="S6079">
        <v>3.0269469999999998</v>
      </c>
      <c r="T6079">
        <v>-0.1653249</v>
      </c>
      <c r="U6079">
        <v>-0.21243289999999901</v>
      </c>
      <c r="V6079">
        <v>-0.1185644</v>
      </c>
      <c r="W6079">
        <v>6.2076520000000003E-2</v>
      </c>
      <c r="X6079">
        <v>0.991004</v>
      </c>
      <c r="Y6079">
        <v>4.1007089999999999E-4</v>
      </c>
      <c r="Z6079">
        <v>3.7836359999999999E-3</v>
      </c>
      <c r="AA6079">
        <v>0.99999269999999996</v>
      </c>
      <c r="AB6079">
        <v>30</v>
      </c>
      <c r="AC6079">
        <v>20.0519999999999</v>
      </c>
      <c r="AD6079">
        <v>-1.1029798401690001</v>
      </c>
      <c r="AE6079">
        <v>-1.4061999999999899</v>
      </c>
      <c r="AF6079">
        <v>5.1086540102138703E-3</v>
      </c>
      <c r="AG6079">
        <v>-1.1029798401690001</v>
      </c>
      <c r="AH6079">
        <v>20.040905469044699</v>
      </c>
      <c r="AI6079">
        <v>93.1501768386766</v>
      </c>
      <c r="AJ6079">
        <v>89.985394656549303</v>
      </c>
      <c r="AK6079">
        <v>20.071235204773799</v>
      </c>
    </row>
    <row r="6080" spans="1:37" x14ac:dyDescent="0.2">
      <c r="A6080" t="str">
        <f>"20200111155718500"</f>
        <v>20200111155718500</v>
      </c>
      <c r="B6080" t="str">
        <f>"1578729438488739"</f>
        <v>1578729438488739</v>
      </c>
      <c r="C6080" t="s">
        <v>37</v>
      </c>
      <c r="D6080">
        <v>5.0290939999999997</v>
      </c>
      <c r="E6080">
        <v>0.55186190000000002</v>
      </c>
      <c r="F6080" t="s">
        <v>98</v>
      </c>
      <c r="G6080">
        <v>-244.78049999999999</v>
      </c>
      <c r="H6080" s="1">
        <v>-2.0929490000000002E-6</v>
      </c>
      <c r="I6080">
        <v>-64.348559999999907</v>
      </c>
      <c r="J6080">
        <v>-264.17239999999998</v>
      </c>
      <c r="K6080">
        <v>1.1030149999999901</v>
      </c>
      <c r="L6080">
        <v>-62.821169999999903</v>
      </c>
      <c r="M6080">
        <v>0.9974151</v>
      </c>
      <c r="N6080">
        <v>0</v>
      </c>
      <c r="O6080">
        <v>-7.086228E-2</v>
      </c>
      <c r="P6080">
        <v>0.99763670000000004</v>
      </c>
      <c r="Q6080">
        <v>4.9867229999999999E-2</v>
      </c>
      <c r="R6080">
        <v>4.7275900000000003E-2</v>
      </c>
      <c r="S6080">
        <v>3.0278019999999999</v>
      </c>
      <c r="T6080">
        <v>-0.17086419999999999</v>
      </c>
      <c r="U6080">
        <v>-0.23846439999999899</v>
      </c>
      <c r="V6080">
        <v>-0.1175761</v>
      </c>
      <c r="W6080">
        <v>6.2213579999999997E-2</v>
      </c>
      <c r="X6080">
        <v>0.99111319999999903</v>
      </c>
      <c r="Y6080">
        <v>7.7686730000000002E-3</v>
      </c>
      <c r="Z6080">
        <v>3.7658499999999998E-3</v>
      </c>
      <c r="AA6080">
        <v>0.99996269999999998</v>
      </c>
      <c r="AB6080">
        <v>30</v>
      </c>
      <c r="AC6080">
        <v>19.3919</v>
      </c>
      <c r="AD6080">
        <v>-1.103017092949</v>
      </c>
      <c r="AE6080">
        <v>-1.52738999999999</v>
      </c>
      <c r="AF6080">
        <v>0.14881965908415001</v>
      </c>
      <c r="AG6080">
        <v>-1.103017092949</v>
      </c>
      <c r="AH6080">
        <v>19.3890420365606</v>
      </c>
      <c r="AI6080">
        <v>93.255876386778795</v>
      </c>
      <c r="AJ6080">
        <v>89.560237637324306</v>
      </c>
      <c r="AK6080">
        <v>19.4209614873668</v>
      </c>
    </row>
    <row r="6081" spans="1:37" x14ac:dyDescent="0.2">
      <c r="A6081" t="str">
        <f>"20200111155718511"</f>
        <v>20200111155718511</v>
      </c>
      <c r="B6081" t="str">
        <f>"1578729438499475"</f>
        <v>1578729438499475</v>
      </c>
      <c r="C6081" t="s">
        <v>37</v>
      </c>
      <c r="D6081">
        <v>5.0375920000000001</v>
      </c>
      <c r="E6081">
        <v>0.55312499999999998</v>
      </c>
      <c r="F6081" t="s">
        <v>98</v>
      </c>
      <c r="G6081">
        <v>-245.11580000000001</v>
      </c>
      <c r="H6081" s="1">
        <v>-2.263454E-6</v>
      </c>
      <c r="I6081">
        <v>-64.448939999999993</v>
      </c>
      <c r="J6081">
        <v>-264.0215</v>
      </c>
      <c r="K6081">
        <v>1.103054</v>
      </c>
      <c r="L6081">
        <v>-62.833100000000002</v>
      </c>
      <c r="M6081">
        <v>0.99733320000000003</v>
      </c>
      <c r="N6081">
        <v>0</v>
      </c>
      <c r="O6081">
        <v>-7.1979509999999997E-2</v>
      </c>
      <c r="P6081">
        <v>0.99775519999999995</v>
      </c>
      <c r="Q6081">
        <v>4.9641780000000003E-2</v>
      </c>
      <c r="R6081">
        <v>4.4947529999999999E-2</v>
      </c>
      <c r="S6081">
        <v>3.028168</v>
      </c>
      <c r="T6081">
        <v>-0.17527290000000001</v>
      </c>
      <c r="U6081">
        <v>-0.25866699999999998</v>
      </c>
      <c r="V6081">
        <v>-0.1163781</v>
      </c>
      <c r="W6081">
        <v>6.2135049999999997E-2</v>
      </c>
      <c r="X6081">
        <v>0.99125949999999996</v>
      </c>
      <c r="Y6081">
        <v>1.3263270000000001E-2</v>
      </c>
      <c r="Z6081">
        <v>3.7667970000000001E-3</v>
      </c>
      <c r="AA6081">
        <v>0.99990489999999999</v>
      </c>
      <c r="AB6081">
        <v>30</v>
      </c>
      <c r="AC6081">
        <v>18.9057</v>
      </c>
      <c r="AD6081">
        <v>-1.103056263454</v>
      </c>
      <c r="AE6081">
        <v>-1.6158399999999999</v>
      </c>
      <c r="AF6081">
        <v>0.24988162093649099</v>
      </c>
      <c r="AG6081">
        <v>-1.103056263454</v>
      </c>
      <c r="AH6081">
        <v>18.9090667333749</v>
      </c>
      <c r="AI6081">
        <v>93.338262382724395</v>
      </c>
      <c r="AJ6081">
        <v>89.242885483121896</v>
      </c>
      <c r="AK6081">
        <v>18.942860889317998</v>
      </c>
    </row>
    <row r="6082" spans="1:37" x14ac:dyDescent="0.2">
      <c r="A6082" t="str">
        <f>"20200111155718522"</f>
        <v>20200111155718522</v>
      </c>
      <c r="B6082" t="str">
        <f>"1578729438518996"</f>
        <v>1578729438518996</v>
      </c>
      <c r="C6082" t="s">
        <v>37</v>
      </c>
      <c r="D6082">
        <v>5.0506570000000002</v>
      </c>
      <c r="E6082">
        <v>0.55519940000000001</v>
      </c>
      <c r="F6082" t="s">
        <v>98</v>
      </c>
      <c r="G6082">
        <v>-245.36189999999999</v>
      </c>
      <c r="H6082" s="1">
        <v>-2.391283E-6</v>
      </c>
      <c r="I6082">
        <v>-64.532489999999996</v>
      </c>
      <c r="J6082">
        <v>-263.87540000000001</v>
      </c>
      <c r="K6082">
        <v>1.103094</v>
      </c>
      <c r="L6082">
        <v>-62.844760000000001</v>
      </c>
      <c r="M6082">
        <v>0.99725370000000002</v>
      </c>
      <c r="N6082">
        <v>0</v>
      </c>
      <c r="O6082">
        <v>-7.3048600000000005E-2</v>
      </c>
      <c r="P6082">
        <v>0.9978591</v>
      </c>
      <c r="Q6082">
        <v>4.9519779999999999E-2</v>
      </c>
      <c r="R6082">
        <v>4.2725369999999999E-2</v>
      </c>
      <c r="S6082">
        <v>3.028076</v>
      </c>
      <c r="T6082">
        <v>-0.17900379999999999</v>
      </c>
      <c r="U6082">
        <v>-0.27578740000000002</v>
      </c>
      <c r="V6082">
        <v>-0.1152374</v>
      </c>
      <c r="W6082">
        <v>6.2148370000000001E-2</v>
      </c>
      <c r="X6082">
        <v>0.99139189999999999</v>
      </c>
      <c r="Y6082">
        <v>1.780141E-2</v>
      </c>
      <c r="Z6082">
        <v>3.7748459999999901E-3</v>
      </c>
      <c r="AA6082">
        <v>0.99983440000000001</v>
      </c>
      <c r="AB6082">
        <v>30</v>
      </c>
      <c r="AC6082">
        <v>18.513500000000001</v>
      </c>
      <c r="AD6082">
        <v>-1.1030963912830001</v>
      </c>
      <c r="AE6082">
        <v>-1.68772999999999</v>
      </c>
      <c r="AF6082">
        <v>0.32957396302390002</v>
      </c>
      <c r="AG6082">
        <v>-1.1030963912830001</v>
      </c>
      <c r="AH6082">
        <v>18.522112336657599</v>
      </c>
      <c r="AI6082">
        <v>93.407723341040494</v>
      </c>
      <c r="AJ6082">
        <v>88.980612778732393</v>
      </c>
      <c r="AK6082">
        <v>18.557857798176201</v>
      </c>
    </row>
    <row r="6083" spans="1:37" x14ac:dyDescent="0.2">
      <c r="A6083" t="str">
        <f>"20200111155718533"</f>
        <v>20200111155718533</v>
      </c>
      <c r="B6083" t="str">
        <f>"1578729438528755"</f>
        <v>1578729438528755</v>
      </c>
      <c r="C6083" t="s">
        <v>37</v>
      </c>
      <c r="D6083">
        <v>4.9751949999999896</v>
      </c>
      <c r="E6083">
        <v>0.55573669999999997</v>
      </c>
      <c r="F6083" t="s">
        <v>40</v>
      </c>
      <c r="G6083">
        <v>-262.93849999999998</v>
      </c>
      <c r="H6083">
        <v>1.0466329999999999</v>
      </c>
      <c r="I6083">
        <v>-62.937509999999897</v>
      </c>
      <c r="J6083">
        <v>-263.73469999999998</v>
      </c>
      <c r="K6083">
        <v>1.1031299999999999</v>
      </c>
      <c r="L6083">
        <v>-62.856110000000001</v>
      </c>
      <c r="M6083">
        <v>0.99717739999999999</v>
      </c>
      <c r="N6083">
        <v>0</v>
      </c>
      <c r="O6083">
        <v>-7.4058200000000005E-2</v>
      </c>
      <c r="P6083">
        <v>0.9979865</v>
      </c>
      <c r="Q6083">
        <v>4.8898879999999999E-2</v>
      </c>
      <c r="R6083">
        <v>4.0397269999999999E-2</v>
      </c>
      <c r="S6083">
        <v>3.0282589999999998</v>
      </c>
      <c r="T6083">
        <v>-0.18232989999999999</v>
      </c>
      <c r="U6083">
        <v>-0.29904169999999902</v>
      </c>
      <c r="V6083">
        <v>-0.1139366</v>
      </c>
      <c r="W6083">
        <v>6.1647220000000003E-2</v>
      </c>
      <c r="X6083">
        <v>0.9915735</v>
      </c>
      <c r="Y6083">
        <v>2.438589E-2</v>
      </c>
      <c r="Z6083">
        <v>3.705739E-3</v>
      </c>
      <c r="AA6083">
        <v>0.99969580000000002</v>
      </c>
      <c r="AB6083">
        <v>29</v>
      </c>
      <c r="AC6083">
        <v>0.79619999999999802</v>
      </c>
      <c r="AD6083">
        <v>-5.6496999999999999E-2</v>
      </c>
      <c r="AE6083">
        <v>-8.1399999999995004E-2</v>
      </c>
      <c r="AF6083">
        <v>2.20966883924592E-2</v>
      </c>
      <c r="AG6083">
        <v>-5.6496999999999999E-2</v>
      </c>
      <c r="AH6083">
        <v>0.79607519439986996</v>
      </c>
      <c r="AI6083">
        <v>94.057884719885294</v>
      </c>
      <c r="AJ6083">
        <v>88.410047189059497</v>
      </c>
      <c r="AK6083">
        <v>0.79838329753678094</v>
      </c>
    </row>
    <row r="6084" spans="1:37" x14ac:dyDescent="0.2">
      <c r="A6084" t="str">
        <f>"20200111155718544"</f>
        <v>20200111155718544</v>
      </c>
      <c r="B6084" t="str">
        <f>"1578729438539491"</f>
        <v>1578729438539491</v>
      </c>
      <c r="C6084" t="s">
        <v>37</v>
      </c>
      <c r="D6084">
        <v>5.0351160000000004</v>
      </c>
      <c r="E6084">
        <v>0.556284</v>
      </c>
      <c r="F6084" t="s">
        <v>98</v>
      </c>
      <c r="G6084">
        <v>-245.66460000000001</v>
      </c>
      <c r="H6084" s="1">
        <v>-2.56817499999999E-6</v>
      </c>
      <c r="I6084">
        <v>-64.709310000000002</v>
      </c>
      <c r="J6084">
        <v>-263.58839999999998</v>
      </c>
      <c r="K6084">
        <v>1.103167</v>
      </c>
      <c r="L6084">
        <v>-62.868099999999998</v>
      </c>
      <c r="M6084">
        <v>0.99709890000000001</v>
      </c>
      <c r="N6084">
        <v>0</v>
      </c>
      <c r="O6084">
        <v>-7.5087490000000007E-2</v>
      </c>
      <c r="P6084">
        <v>0.99808469999999905</v>
      </c>
      <c r="Q6084">
        <v>4.8771439999999999E-2</v>
      </c>
      <c r="R6084">
        <v>3.8060459999999997E-2</v>
      </c>
      <c r="S6084">
        <v>3.027679</v>
      </c>
      <c r="T6084">
        <v>-0.1848311</v>
      </c>
      <c r="U6084">
        <v>-0.31051640000000003</v>
      </c>
      <c r="V6084">
        <v>-0.112642899999999</v>
      </c>
      <c r="W6084">
        <v>6.163486E-2</v>
      </c>
      <c r="X6084">
        <v>0.99172209999999905</v>
      </c>
      <c r="Y6084">
        <v>2.7122489999999999E-2</v>
      </c>
      <c r="Z6084">
        <v>3.7354689999999999E-3</v>
      </c>
      <c r="AA6084">
        <v>0.99962510000000004</v>
      </c>
      <c r="AB6084">
        <v>29</v>
      </c>
      <c r="AC6084">
        <v>17.9237999999999</v>
      </c>
      <c r="AD6084">
        <v>-1.103169568175</v>
      </c>
      <c r="AE6084">
        <v>-1.84121</v>
      </c>
      <c r="AF6084">
        <v>0.48822331383026701</v>
      </c>
      <c r="AG6084">
        <v>-1.103169568175</v>
      </c>
      <c r="AH6084">
        <v>17.944189874752301</v>
      </c>
      <c r="AI6084">
        <v>93.516693487534894</v>
      </c>
      <c r="AJ6084">
        <v>88.441487965887603</v>
      </c>
      <c r="AK6084">
        <v>17.984696143151201</v>
      </c>
    </row>
    <row r="6085" spans="1:37" x14ac:dyDescent="0.2">
      <c r="A6085" t="str">
        <f>"20200111155718555"</f>
        <v>20200111155718555</v>
      </c>
      <c r="B6085" t="str">
        <f>"1578729438549251"</f>
        <v>1578729438549251</v>
      </c>
      <c r="C6085" t="s">
        <v>37</v>
      </c>
      <c r="D6085">
        <v>5.095936</v>
      </c>
      <c r="E6085">
        <v>0.55662959999999995</v>
      </c>
      <c r="F6085" t="s">
        <v>40</v>
      </c>
      <c r="G6085">
        <v>-262.67599999999999</v>
      </c>
      <c r="H6085">
        <v>1.0470360000000001</v>
      </c>
      <c r="I6085">
        <v>-62.965169999999901</v>
      </c>
      <c r="J6085">
        <v>-263.44200000000001</v>
      </c>
      <c r="K6085">
        <v>1.1032090000000001</v>
      </c>
      <c r="L6085">
        <v>-62.880159999999997</v>
      </c>
      <c r="M6085">
        <v>0.99702069999999998</v>
      </c>
      <c r="N6085">
        <v>0</v>
      </c>
      <c r="O6085">
        <v>-7.609784E-2</v>
      </c>
      <c r="P6085">
        <v>0.99819789999999997</v>
      </c>
      <c r="Q6085">
        <v>4.8260659999999997E-2</v>
      </c>
      <c r="R6085">
        <v>3.5665549999999997E-2</v>
      </c>
      <c r="S6085">
        <v>3.0271300000000001</v>
      </c>
      <c r="T6085">
        <v>-0.186227</v>
      </c>
      <c r="U6085">
        <v>-0.322052</v>
      </c>
      <c r="V6085">
        <v>-0.1112766</v>
      </c>
      <c r="W6085">
        <v>6.1232219999999997E-2</v>
      </c>
      <c r="X6085">
        <v>0.99190129999999999</v>
      </c>
      <c r="Y6085">
        <v>2.9893929999999999E-2</v>
      </c>
      <c r="Z6085">
        <v>3.7401489999999999E-3</v>
      </c>
      <c r="AA6085">
        <v>0.99954609999999899</v>
      </c>
      <c r="AB6085">
        <v>29</v>
      </c>
      <c r="AC6085">
        <v>0.766000000000019</v>
      </c>
      <c r="AD6085">
        <v>-5.6173000000000001E-2</v>
      </c>
      <c r="AE6085">
        <v>-8.5009999999996894E-2</v>
      </c>
      <c r="AF6085">
        <v>2.63280244699047E-2</v>
      </c>
      <c r="AG6085">
        <v>-5.6173000000000001E-2</v>
      </c>
      <c r="AH6085">
        <v>0.76617795373405695</v>
      </c>
      <c r="AI6085">
        <v>94.190722664117303</v>
      </c>
      <c r="AJ6085">
        <v>88.031930627613505</v>
      </c>
      <c r="AK6085">
        <v>0.76868538921303398</v>
      </c>
    </row>
    <row r="6086" spans="1:37" x14ac:dyDescent="0.2">
      <c r="A6086" t="str">
        <f>"20200111155718566"</f>
        <v>20200111155718566</v>
      </c>
      <c r="B6086" t="str">
        <f>"1578729438559011"</f>
        <v>1578729438559011</v>
      </c>
      <c r="C6086" t="s">
        <v>37</v>
      </c>
      <c r="D6086">
        <v>5.0400279999999897</v>
      </c>
      <c r="E6086">
        <v>0.55682379999999998</v>
      </c>
      <c r="F6086" t="s">
        <v>98</v>
      </c>
      <c r="G6086">
        <v>-245.74969999999999</v>
      </c>
      <c r="H6086" s="1">
        <v>-2.6179029999999998E-6</v>
      </c>
      <c r="I6086">
        <v>-64.821349999999995</v>
      </c>
      <c r="J6086">
        <v>-263.2962</v>
      </c>
      <c r="K6086">
        <v>1.103254</v>
      </c>
      <c r="L6086">
        <v>-62.892359999999996</v>
      </c>
      <c r="M6086">
        <v>0.99694479999999996</v>
      </c>
      <c r="N6086">
        <v>0</v>
      </c>
      <c r="O6086">
        <v>-7.7068440000000002E-2</v>
      </c>
      <c r="P6086">
        <v>0.99828439999999996</v>
      </c>
      <c r="Q6086">
        <v>4.8157079999999998E-2</v>
      </c>
      <c r="R6086">
        <v>3.3305880000000003E-2</v>
      </c>
      <c r="S6086">
        <v>3.026367</v>
      </c>
      <c r="T6086">
        <v>-0.1887105</v>
      </c>
      <c r="U6086">
        <v>-0.33206180000000002</v>
      </c>
      <c r="V6086">
        <v>-0.109903</v>
      </c>
      <c r="W6086">
        <v>6.122412E-2</v>
      </c>
      <c r="X6086">
        <v>0.99205489999999996</v>
      </c>
      <c r="Y6086">
        <v>3.2214710000000001E-2</v>
      </c>
      <c r="Z6086">
        <v>3.7780270000000002E-3</v>
      </c>
      <c r="AA6086">
        <v>0.99947379999999997</v>
      </c>
      <c r="AB6086">
        <v>29</v>
      </c>
      <c r="AC6086">
        <v>17.546500000000002</v>
      </c>
      <c r="AD6086">
        <v>-1.1032566179029999</v>
      </c>
      <c r="AE6086">
        <v>-1.92898999999999</v>
      </c>
      <c r="AF6086">
        <v>0.56864004933938295</v>
      </c>
      <c r="AG6086">
        <v>-1.1032566179029999</v>
      </c>
      <c r="AH6086">
        <v>17.57433220647</v>
      </c>
      <c r="AI6086">
        <v>93.590245826940205</v>
      </c>
      <c r="AJ6086">
        <v>88.146768152607706</v>
      </c>
      <c r="AK6086">
        <v>17.6181065717638</v>
      </c>
    </row>
    <row r="6087" spans="1:37" x14ac:dyDescent="0.2">
      <c r="A6087" t="str">
        <f>"20200111155718576"</f>
        <v>20200111155718576</v>
      </c>
      <c r="B6087" t="str">
        <f>"1578729438568770"</f>
        <v>1578729438568770</v>
      </c>
      <c r="C6087" t="s">
        <v>37</v>
      </c>
      <c r="D6087">
        <v>5.102525</v>
      </c>
      <c r="E6087">
        <v>0.55706060000000002</v>
      </c>
      <c r="F6087" t="s">
        <v>40</v>
      </c>
      <c r="G6087">
        <v>-262.41340000000002</v>
      </c>
      <c r="H6087">
        <v>1.0478809999999901</v>
      </c>
      <c r="I6087">
        <v>-62.991950000000003</v>
      </c>
      <c r="J6087">
        <v>-263.16000000000003</v>
      </c>
      <c r="K6087">
        <v>1.1032999999999999</v>
      </c>
      <c r="L6087">
        <v>-62.903779999999998</v>
      </c>
      <c r="M6087">
        <v>0.99687399999999904</v>
      </c>
      <c r="N6087">
        <v>0</v>
      </c>
      <c r="O6087">
        <v>-7.7962439999999994E-2</v>
      </c>
      <c r="P6087">
        <v>0.99838760000000004</v>
      </c>
      <c r="Q6087">
        <v>4.7511119999999997E-2</v>
      </c>
      <c r="R6087">
        <v>3.106453E-2</v>
      </c>
      <c r="S6087">
        <v>3.0256959999999999</v>
      </c>
      <c r="T6087">
        <v>-0.1896794</v>
      </c>
      <c r="U6087">
        <v>-0.34075929999999999</v>
      </c>
      <c r="V6087">
        <v>-0.10857449999999901</v>
      </c>
      <c r="W6087">
        <v>6.0663460000000002E-2</v>
      </c>
      <c r="X6087">
        <v>0.9922356</v>
      </c>
      <c r="Y6087">
        <v>3.4179029999999999E-2</v>
      </c>
      <c r="Z6087">
        <v>3.7917509999999999E-3</v>
      </c>
      <c r="AA6087">
        <v>0.99940849999999903</v>
      </c>
      <c r="AB6087">
        <v>29</v>
      </c>
      <c r="AC6087">
        <v>0.74660000000000004</v>
      </c>
      <c r="AD6087">
        <v>-5.54190000000001E-2</v>
      </c>
      <c r="AE6087">
        <v>-8.8169999999998E-2</v>
      </c>
      <c r="AF6087">
        <v>2.95295925505379E-2</v>
      </c>
      <c r="AG6087">
        <v>-5.54190000000001E-2</v>
      </c>
      <c r="AH6087">
        <v>0.74714167944686904</v>
      </c>
      <c r="AI6087">
        <v>94.238830606538002</v>
      </c>
      <c r="AJ6087">
        <v>87.736653018271397</v>
      </c>
      <c r="AK6087">
        <v>0.74977593423894895</v>
      </c>
    </row>
    <row r="6088" spans="1:37" x14ac:dyDescent="0.2">
      <c r="A6088" t="str">
        <f>"20200111155718588"</f>
        <v>20200111155718588</v>
      </c>
      <c r="B6088" t="str">
        <f>"1578729438579507"</f>
        <v>1578729438579507</v>
      </c>
      <c r="C6088" t="s">
        <v>37</v>
      </c>
      <c r="D6088">
        <v>5.1010999999999997</v>
      </c>
      <c r="E6088">
        <v>0.5572049</v>
      </c>
      <c r="F6088" t="s">
        <v>98</v>
      </c>
      <c r="G6088">
        <v>-245.85980000000001</v>
      </c>
      <c r="H6088" s="1">
        <v>-2.6698019999999999E-6</v>
      </c>
      <c r="I6088">
        <v>-64.902879999999996</v>
      </c>
      <c r="J6088">
        <v>-263.01549999999997</v>
      </c>
      <c r="K6088">
        <v>1.1033569999999999</v>
      </c>
      <c r="L6088">
        <v>-62.916080000000001</v>
      </c>
      <c r="M6088">
        <v>0.99680219999999897</v>
      </c>
      <c r="N6088">
        <v>0</v>
      </c>
      <c r="O6088">
        <v>-7.8859070000000003E-2</v>
      </c>
      <c r="P6088">
        <v>0.99848780000000004</v>
      </c>
      <c r="Q6088">
        <v>4.6866039999999998E-2</v>
      </c>
      <c r="R6088">
        <v>2.873786E-2</v>
      </c>
      <c r="S6088">
        <v>3.024902</v>
      </c>
      <c r="T6088">
        <v>-0.1929099</v>
      </c>
      <c r="U6088">
        <v>-0.34954829999999998</v>
      </c>
      <c r="V6088">
        <v>-0.1071653</v>
      </c>
      <c r="W6088">
        <v>6.0096570000000002E-2</v>
      </c>
      <c r="X6088">
        <v>0.99242330000000001</v>
      </c>
      <c r="Y6088">
        <v>3.6176300000000002E-2</v>
      </c>
      <c r="Z6088">
        <v>3.8497079999999999E-3</v>
      </c>
      <c r="AA6088">
        <v>0.99933799999999995</v>
      </c>
      <c r="AB6088">
        <v>29</v>
      </c>
      <c r="AC6088">
        <v>17.1556999999999</v>
      </c>
      <c r="AD6088">
        <v>-1.1033596698019901</v>
      </c>
      <c r="AE6088">
        <v>-1.9867999999999999</v>
      </c>
      <c r="AF6088">
        <v>0.62506508227478996</v>
      </c>
      <c r="AG6088">
        <v>-1.1033596698019901</v>
      </c>
      <c r="AH6088">
        <v>17.1887966832534</v>
      </c>
      <c r="AI6088">
        <v>93.670393716216495</v>
      </c>
      <c r="AJ6088">
        <v>87.917375032227895</v>
      </c>
      <c r="AK6088">
        <v>17.235511026257601</v>
      </c>
    </row>
    <row r="6089" spans="1:37" x14ac:dyDescent="0.2">
      <c r="A6089" t="str">
        <f>"20200111155718600"</f>
        <v>20200111155718600</v>
      </c>
      <c r="B6089" t="str">
        <f>"1578729438589267"</f>
        <v>1578729438589267</v>
      </c>
      <c r="C6089" t="s">
        <v>37</v>
      </c>
      <c r="D6089">
        <v>4.9956480000000001</v>
      </c>
      <c r="E6089">
        <v>0.55723310000000004</v>
      </c>
      <c r="F6089" t="s">
        <v>40</v>
      </c>
      <c r="G6089">
        <v>-262.15260000000001</v>
      </c>
      <c r="H6089">
        <v>1.0471809999999999</v>
      </c>
      <c r="I6089">
        <v>-63.0184199999999</v>
      </c>
      <c r="J6089">
        <v>-262.86669999999998</v>
      </c>
      <c r="K6089">
        <v>1.103413</v>
      </c>
      <c r="L6089">
        <v>-62.928800000000003</v>
      </c>
      <c r="M6089">
        <v>0.99672859999999996</v>
      </c>
      <c r="N6089">
        <v>0</v>
      </c>
      <c r="O6089">
        <v>-7.9768850000000002E-2</v>
      </c>
      <c r="P6089">
        <v>0.99857129999999905</v>
      </c>
      <c r="Q6089">
        <v>4.6482530000000001E-2</v>
      </c>
      <c r="R6089">
        <v>2.6363339999999999E-2</v>
      </c>
      <c r="S6089">
        <v>3.0241389999999999</v>
      </c>
      <c r="T6089">
        <v>-0.19674339999999901</v>
      </c>
      <c r="U6089">
        <v>-0.35775759999999901</v>
      </c>
      <c r="V6089">
        <v>-0.1057205</v>
      </c>
      <c r="W6089">
        <v>5.979052E-2</v>
      </c>
      <c r="X6089">
        <v>0.992596699999999</v>
      </c>
      <c r="Y6089">
        <v>3.7970499999999997E-2</v>
      </c>
      <c r="Z6089">
        <v>3.9268380000000002E-3</v>
      </c>
      <c r="AA6089">
        <v>0.99927119999999903</v>
      </c>
      <c r="AB6089">
        <v>29</v>
      </c>
      <c r="AC6089">
        <v>0.71409999999997298</v>
      </c>
      <c r="AD6089">
        <v>-5.6231999999999997E-2</v>
      </c>
      <c r="AE6089">
        <v>-8.9619999999989305E-2</v>
      </c>
      <c r="AF6089">
        <v>3.21702283670703E-2</v>
      </c>
      <c r="AG6089">
        <v>-5.6231999999999997E-2</v>
      </c>
      <c r="AH6089">
        <v>0.71461108089402103</v>
      </c>
      <c r="AI6089">
        <v>94.494740394543399</v>
      </c>
      <c r="AJ6089">
        <v>87.422409594605597</v>
      </c>
      <c r="AK6089">
        <v>0.71754160740246298</v>
      </c>
    </row>
    <row r="6090" spans="1:37" x14ac:dyDescent="0.2">
      <c r="A6090" t="str">
        <f>"20200111155718610"</f>
        <v>20200111155718610</v>
      </c>
      <c r="B6090" t="str">
        <f>"1578729438599026"</f>
        <v>1578729438599026</v>
      </c>
      <c r="C6090" t="s">
        <v>37</v>
      </c>
      <c r="D6090">
        <v>5.0317360000000004</v>
      </c>
      <c r="E6090">
        <v>0.55718699999999999</v>
      </c>
      <c r="F6090" t="s">
        <v>40</v>
      </c>
      <c r="G6090">
        <v>-261.89819999999997</v>
      </c>
      <c r="H6090">
        <v>1.0396669999999999</v>
      </c>
      <c r="I6090">
        <v>-63.045929999999998</v>
      </c>
      <c r="J6090">
        <v>-262.72129999999999</v>
      </c>
      <c r="K6090">
        <v>1.1034740000000001</v>
      </c>
      <c r="L6090">
        <v>-62.94135</v>
      </c>
      <c r="M6090">
        <v>0.99666109999999897</v>
      </c>
      <c r="N6090">
        <v>0</v>
      </c>
      <c r="O6090">
        <v>-8.0595200000000006E-2</v>
      </c>
      <c r="P6090">
        <v>0.99865849999999901</v>
      </c>
      <c r="Q6090">
        <v>4.5794349999999998E-2</v>
      </c>
      <c r="R6090">
        <v>2.41669999999999E-2</v>
      </c>
      <c r="S6090">
        <v>3.0231629999999998</v>
      </c>
      <c r="T6090">
        <v>-0.1989002</v>
      </c>
      <c r="U6090">
        <v>-0.36514279999999999</v>
      </c>
      <c r="V6090">
        <v>-0.10437299999999999</v>
      </c>
      <c r="W6090">
        <v>5.9166490000000002E-2</v>
      </c>
      <c r="X6090">
        <v>0.99277669999999996</v>
      </c>
      <c r="Y6090">
        <v>3.9586469999999999E-2</v>
      </c>
      <c r="Z6090">
        <v>3.9713159999999999E-3</v>
      </c>
      <c r="AA6090">
        <v>0.99920830000000005</v>
      </c>
      <c r="AB6090">
        <v>29</v>
      </c>
      <c r="AC6090">
        <v>0.82310000000001005</v>
      </c>
      <c r="AD6090">
        <v>-6.38070000000001E-2</v>
      </c>
      <c r="AE6090">
        <v>-0.104580000000005</v>
      </c>
      <c r="AF6090">
        <v>3.7673352487298799E-2</v>
      </c>
      <c r="AG6090">
        <v>-6.38070000000001E-2</v>
      </c>
      <c r="AH6090">
        <v>0.823978340621769</v>
      </c>
      <c r="AI6090">
        <v>94.423414693451505</v>
      </c>
      <c r="AJ6090">
        <v>87.382186170123802</v>
      </c>
      <c r="AK6090">
        <v>0.827303402960749</v>
      </c>
    </row>
    <row r="6091" spans="1:37" x14ac:dyDescent="0.2">
      <c r="A6091" t="str">
        <f>"20200111155718622"</f>
        <v>20200111155718622</v>
      </c>
      <c r="B6091" t="str">
        <f>"1578729438619522"</f>
        <v>1578729438619522</v>
      </c>
      <c r="C6091" t="s">
        <v>37</v>
      </c>
      <c r="D6091">
        <v>4.9533719999999999</v>
      </c>
      <c r="E6091">
        <v>0.55691829999999998</v>
      </c>
      <c r="F6091" t="s">
        <v>40</v>
      </c>
      <c r="G6091">
        <v>-261.89069999999998</v>
      </c>
      <c r="H6091">
        <v>1.047903</v>
      </c>
      <c r="I6091">
        <v>-63.043559999999999</v>
      </c>
      <c r="J6091">
        <v>-262.57089999999999</v>
      </c>
      <c r="K6091">
        <v>1.103532</v>
      </c>
      <c r="L6091">
        <v>-62.954409999999903</v>
      </c>
      <c r="M6091">
        <v>0.99659229999999999</v>
      </c>
      <c r="N6091">
        <v>0</v>
      </c>
      <c r="O6091">
        <v>-8.1427799999999995E-2</v>
      </c>
      <c r="P6091">
        <v>0.99874319999999905</v>
      </c>
      <c r="Q6091">
        <v>4.5094849999999999E-2</v>
      </c>
      <c r="R6091">
        <v>2.1875329999999998E-2</v>
      </c>
      <c r="S6091">
        <v>3.022278</v>
      </c>
      <c r="T6091">
        <v>-0.20209830000000001</v>
      </c>
      <c r="U6091">
        <v>-0.37139889999999998</v>
      </c>
      <c r="V6091">
        <v>-0.10293669999999901</v>
      </c>
      <c r="W6091">
        <v>5.8529589999999999E-2</v>
      </c>
      <c r="X6091">
        <v>0.99296439999999997</v>
      </c>
      <c r="Y6091">
        <v>4.0826460000000002E-2</v>
      </c>
      <c r="Z6091">
        <v>4.0494720000000001E-3</v>
      </c>
      <c r="AA6091">
        <v>0.99915799999999999</v>
      </c>
      <c r="AB6091">
        <v>29</v>
      </c>
      <c r="AC6091">
        <v>0.68020000000001302</v>
      </c>
      <c r="AD6091">
        <v>-5.5628999999999901E-2</v>
      </c>
      <c r="AE6091">
        <v>-8.9150000000003601E-2</v>
      </c>
      <c r="AF6091">
        <v>3.3243320354976298E-2</v>
      </c>
      <c r="AG6091">
        <v>-5.5628999999999901E-2</v>
      </c>
      <c r="AH6091">
        <v>0.68072460500954801</v>
      </c>
      <c r="AI6091">
        <v>94.666308938552206</v>
      </c>
      <c r="AJ6091">
        <v>87.204170463847504</v>
      </c>
      <c r="AK6091">
        <v>0.68380237777784103</v>
      </c>
    </row>
    <row r="6092" spans="1:37" x14ac:dyDescent="0.2">
      <c r="A6092" t="str">
        <f>"20200111155718633"</f>
        <v>20200111155718633</v>
      </c>
      <c r="B6092" t="str">
        <f>"1578729438629284"</f>
        <v>1578729438629284</v>
      </c>
      <c r="C6092" t="s">
        <v>37</v>
      </c>
      <c r="D6092">
        <v>5.043056</v>
      </c>
      <c r="E6092">
        <v>0.55681999999999998</v>
      </c>
      <c r="F6092" t="s">
        <v>40</v>
      </c>
      <c r="G6092">
        <v>-261.63729999999998</v>
      </c>
      <c r="H6092">
        <v>1.0395989999999999</v>
      </c>
      <c r="I6092">
        <v>-63.070790000000002</v>
      </c>
      <c r="J6092">
        <v>-262.4273</v>
      </c>
      <c r="K6092">
        <v>1.1035979999999901</v>
      </c>
      <c r="L6092">
        <v>-62.966949999999997</v>
      </c>
      <c r="M6092">
        <v>0.99652989999999997</v>
      </c>
      <c r="N6092">
        <v>0</v>
      </c>
      <c r="O6092">
        <v>-8.2177340000000001E-2</v>
      </c>
      <c r="P6092">
        <v>0.99881169999999997</v>
      </c>
      <c r="Q6092">
        <v>4.4504170000000003E-2</v>
      </c>
      <c r="R6092">
        <v>1.9866430000000001E-2</v>
      </c>
      <c r="S6092">
        <v>3.0213320000000001</v>
      </c>
      <c r="T6092">
        <v>-0.20680479999999901</v>
      </c>
      <c r="U6092">
        <v>-0.37619019999999997</v>
      </c>
      <c r="V6092">
        <v>-0.10169789999999999</v>
      </c>
      <c r="W6092">
        <v>5.7991679999999997E-2</v>
      </c>
      <c r="X6092">
        <v>0.993123599999999</v>
      </c>
      <c r="Y6092">
        <v>4.1677310000000002E-2</v>
      </c>
      <c r="Z6092">
        <v>4.166182E-3</v>
      </c>
      <c r="AA6092">
        <v>0.99912239999999997</v>
      </c>
      <c r="AB6092">
        <v>29</v>
      </c>
      <c r="AC6092">
        <v>0.79000000000002002</v>
      </c>
      <c r="AD6092">
        <v>-6.3998999999999903E-2</v>
      </c>
      <c r="AE6092">
        <v>-0.103840000000005</v>
      </c>
      <c r="AF6092">
        <v>3.8315751848842797E-2</v>
      </c>
      <c r="AG6092">
        <v>-6.3998999999999903E-2</v>
      </c>
      <c r="AH6092">
        <v>0.79076007767860401</v>
      </c>
      <c r="AI6092">
        <v>94.621665453035803</v>
      </c>
      <c r="AJ6092">
        <v>87.225940881900399</v>
      </c>
      <c r="AK6092">
        <v>0.79427040061367904</v>
      </c>
    </row>
    <row r="6093" spans="1:37" x14ac:dyDescent="0.2">
      <c r="A6093" t="str">
        <f>"20200111155718644"</f>
        <v>20200111155718644</v>
      </c>
      <c r="B6093" t="str">
        <f>"1578729438639041"</f>
        <v>1578729438639041</v>
      </c>
      <c r="C6093" t="s">
        <v>37</v>
      </c>
      <c r="D6093">
        <v>5.0801369999999997</v>
      </c>
      <c r="E6093">
        <v>0.5566738</v>
      </c>
      <c r="F6093" t="s">
        <v>40</v>
      </c>
      <c r="G6093">
        <v>-261.62950000000001</v>
      </c>
      <c r="H6093">
        <v>1.048254</v>
      </c>
      <c r="I6093">
        <v>-63.067839999999997</v>
      </c>
      <c r="J6093">
        <v>-262.2747</v>
      </c>
      <c r="K6093">
        <v>1.1036729999999999</v>
      </c>
      <c r="L6093">
        <v>-62.980379999999997</v>
      </c>
      <c r="M6093">
        <v>0.99646650000000003</v>
      </c>
      <c r="N6093">
        <v>0</v>
      </c>
      <c r="O6093">
        <v>-8.2929260000000005E-2</v>
      </c>
      <c r="P6093">
        <v>0.99885759999999901</v>
      </c>
      <c r="Q6093">
        <v>4.4255469999999998E-2</v>
      </c>
      <c r="R6093">
        <v>1.8030750000000002E-2</v>
      </c>
      <c r="S6093">
        <v>3.0204770000000001</v>
      </c>
      <c r="T6093">
        <v>-0.20944289999999999</v>
      </c>
      <c r="U6093">
        <v>-0.38143919999999998</v>
      </c>
      <c r="V6093">
        <v>-0.100633</v>
      </c>
      <c r="W6093">
        <v>5.7794119999999997E-2</v>
      </c>
      <c r="X6093">
        <v>0.9932436</v>
      </c>
      <c r="Y6093">
        <v>4.2669190000000003E-2</v>
      </c>
      <c r="Z6093">
        <v>4.237233E-3</v>
      </c>
      <c r="AA6093">
        <v>0.99908019999999997</v>
      </c>
      <c r="AB6093">
        <v>29</v>
      </c>
      <c r="AC6093">
        <v>0.64519999999998801</v>
      </c>
      <c r="AD6093">
        <v>-5.5418999999999802E-2</v>
      </c>
      <c r="AE6093">
        <v>-8.7460000000000093E-2</v>
      </c>
      <c r="AF6093">
        <v>3.34059672896386E-2</v>
      </c>
      <c r="AG6093">
        <v>-5.5418999999999802E-2</v>
      </c>
      <c r="AH6093">
        <v>0.64555395908423796</v>
      </c>
      <c r="AI6093">
        <v>94.900127787372398</v>
      </c>
      <c r="AJ6093">
        <v>87.0377143926342</v>
      </c>
      <c r="AK6093">
        <v>0.64878897825170501</v>
      </c>
    </row>
    <row r="6094" spans="1:37" x14ac:dyDescent="0.2">
      <c r="A6094" t="str">
        <f>"20200111155718654"</f>
        <v>20200111155718654</v>
      </c>
      <c r="B6094" t="str">
        <f>"1578729438648802"</f>
        <v>1578729438648802</v>
      </c>
      <c r="C6094" t="s">
        <v>37</v>
      </c>
      <c r="D6094">
        <v>5.0302030000000002</v>
      </c>
      <c r="E6094">
        <v>0.55653109999999995</v>
      </c>
      <c r="F6094" t="s">
        <v>40</v>
      </c>
      <c r="G6094">
        <v>-261.37599999999998</v>
      </c>
      <c r="H6094">
        <v>1.040932</v>
      </c>
      <c r="I6094">
        <v>-63.095309999999998</v>
      </c>
      <c r="J6094">
        <v>-262.13409999999999</v>
      </c>
      <c r="K6094">
        <v>1.103747</v>
      </c>
      <c r="L6094">
        <v>-62.992769999999901</v>
      </c>
      <c r="M6094">
        <v>0.99641080000000004</v>
      </c>
      <c r="N6094">
        <v>0</v>
      </c>
      <c r="O6094">
        <v>-8.3587839999999997E-2</v>
      </c>
      <c r="P6094">
        <v>0.99887879999999996</v>
      </c>
      <c r="Q6094">
        <v>4.446866E-2</v>
      </c>
      <c r="R6094">
        <v>1.623848E-2</v>
      </c>
      <c r="S6094">
        <v>3.0197449999999999</v>
      </c>
      <c r="T6094">
        <v>-0.210782899999999</v>
      </c>
      <c r="U6094">
        <v>-0.38589479999999998</v>
      </c>
      <c r="V6094">
        <v>-9.9513699999999997E-2</v>
      </c>
      <c r="W6094">
        <v>5.8049759999999999E-2</v>
      </c>
      <c r="X6094">
        <v>0.99334140000000004</v>
      </c>
      <c r="Y6094">
        <v>4.3490439999999998E-2</v>
      </c>
      <c r="Z6094">
        <v>4.2818029999999998E-3</v>
      </c>
      <c r="AA6094">
        <v>0.99904470000000001</v>
      </c>
      <c r="AB6094">
        <v>29</v>
      </c>
      <c r="AC6094">
        <v>0.75810000000001299</v>
      </c>
      <c r="AD6094">
        <v>-6.2814999999999996E-2</v>
      </c>
      <c r="AE6094">
        <v>-0.102540000000004</v>
      </c>
      <c r="AF6094">
        <v>3.8547592745394897E-2</v>
      </c>
      <c r="AG6094">
        <v>-6.2814999999999996E-2</v>
      </c>
      <c r="AH6094">
        <v>0.75890170187169004</v>
      </c>
      <c r="AI6094">
        <v>94.725574649632406</v>
      </c>
      <c r="AJ6094">
        <v>87.092221720733704</v>
      </c>
      <c r="AK6094">
        <v>0.76247192357175497</v>
      </c>
    </row>
    <row r="6095" spans="1:37" x14ac:dyDescent="0.2">
      <c r="A6095" t="str">
        <f>"20200111155718666"</f>
        <v>20200111155718666</v>
      </c>
      <c r="B6095" t="str">
        <f>"1578729438659538"</f>
        <v>1578729438659538</v>
      </c>
      <c r="C6095" t="s">
        <v>37</v>
      </c>
      <c r="D6095">
        <v>5.059552</v>
      </c>
      <c r="E6095">
        <v>0.55636109999999905</v>
      </c>
      <c r="F6095" t="s">
        <v>40</v>
      </c>
      <c r="G6095">
        <v>-261.36250000000001</v>
      </c>
      <c r="H6095">
        <v>1.049887</v>
      </c>
      <c r="I6095">
        <v>-63.092610000000001</v>
      </c>
      <c r="J6095">
        <v>-261.98939999999999</v>
      </c>
      <c r="K6095">
        <v>1.1038239999999999</v>
      </c>
      <c r="L6095">
        <v>-63.005619999999901</v>
      </c>
      <c r="M6095">
        <v>0.99635849999999904</v>
      </c>
      <c r="N6095">
        <v>0</v>
      </c>
      <c r="O6095">
        <v>-8.4200750000000005E-2</v>
      </c>
      <c r="P6095">
        <v>0.99890059999999903</v>
      </c>
      <c r="Q6095">
        <v>4.4520799999999999E-2</v>
      </c>
      <c r="R6095">
        <v>1.469352E-2</v>
      </c>
      <c r="S6095">
        <v>3.019104</v>
      </c>
      <c r="T6095">
        <v>-0.21077170000000001</v>
      </c>
      <c r="U6095">
        <v>-0.39031979999999999</v>
      </c>
      <c r="V6095">
        <v>-9.8597560000000001E-2</v>
      </c>
      <c r="W6095">
        <v>5.8139730000000001E-2</v>
      </c>
      <c r="X6095">
        <v>0.99342759999999997</v>
      </c>
      <c r="Y6095">
        <v>4.4342390000000002E-2</v>
      </c>
      <c r="Z6095">
        <v>4.2947519999999998E-3</v>
      </c>
      <c r="AA6095">
        <v>0.99900719999999998</v>
      </c>
      <c r="AB6095">
        <v>29</v>
      </c>
      <c r="AC6095">
        <v>0.62689999999997703</v>
      </c>
      <c r="AD6095">
        <v>-5.3936999999999902E-2</v>
      </c>
      <c r="AE6095">
        <v>-8.69900000000072E-2</v>
      </c>
      <c r="AF6095">
        <v>3.3646463617108498E-2</v>
      </c>
      <c r="AG6095">
        <v>-5.3936999999999902E-2</v>
      </c>
      <c r="AH6095">
        <v>0.62744176044507105</v>
      </c>
      <c r="AI6095">
        <v>94.906244091738898</v>
      </c>
      <c r="AJ6095">
        <v>86.930463051683503</v>
      </c>
      <c r="AK6095">
        <v>0.63065398376078496</v>
      </c>
    </row>
    <row r="6096" spans="1:37" x14ac:dyDescent="0.2">
      <c r="A6096" t="str">
        <f>"20200111155718677"</f>
        <v>20200111155718677</v>
      </c>
      <c r="B6096" t="str">
        <f>"1578729438669300"</f>
        <v>1578729438669300</v>
      </c>
      <c r="C6096" t="s">
        <v>37</v>
      </c>
      <c r="D6096">
        <v>5.0732019999999904</v>
      </c>
      <c r="E6096">
        <v>0.55621889999999996</v>
      </c>
      <c r="F6096" t="s">
        <v>40</v>
      </c>
      <c r="G6096">
        <v>-261.11430000000001</v>
      </c>
      <c r="H6096">
        <v>1.0427109999999999</v>
      </c>
      <c r="I6096">
        <v>-63.119759999999999</v>
      </c>
      <c r="J6096">
        <v>-261.84309999999999</v>
      </c>
      <c r="K6096">
        <v>1.103904</v>
      </c>
      <c r="L6096">
        <v>-63.018650000000001</v>
      </c>
      <c r="M6096">
        <v>0.9963071</v>
      </c>
      <c r="N6096">
        <v>0</v>
      </c>
      <c r="O6096">
        <v>-8.4796679999999999E-2</v>
      </c>
      <c r="P6096">
        <v>0.99891189999999996</v>
      </c>
      <c r="Q6096">
        <v>4.4659589999999999E-2</v>
      </c>
      <c r="R6096">
        <v>1.3451629999999999E-2</v>
      </c>
      <c r="S6096">
        <v>3.018494</v>
      </c>
      <c r="T6096">
        <v>-0.21077609999999999</v>
      </c>
      <c r="U6096">
        <v>-0.3937988</v>
      </c>
      <c r="V6096">
        <v>-9.7965570000000002E-2</v>
      </c>
      <c r="W6096">
        <v>5.831538E-2</v>
      </c>
      <c r="X6096">
        <v>0.99347980000000002</v>
      </c>
      <c r="Y6096">
        <v>4.4902879999999999E-2</v>
      </c>
      <c r="Z6096">
        <v>4.3170209999999999E-3</v>
      </c>
      <c r="AA6096">
        <v>0.99898199999999904</v>
      </c>
      <c r="AB6096">
        <v>29</v>
      </c>
      <c r="AC6096">
        <v>0.72879999999997802</v>
      </c>
      <c r="AD6096">
        <v>-6.1192999999999803E-2</v>
      </c>
      <c r="AE6096">
        <v>-0.10110999999999799</v>
      </c>
      <c r="AF6096">
        <v>3.8672834645910703E-2</v>
      </c>
      <c r="AG6096">
        <v>-6.1192999999999803E-2</v>
      </c>
      <c r="AH6096">
        <v>0.72970193158121299</v>
      </c>
      <c r="AI6096">
        <v>94.786936555449202</v>
      </c>
      <c r="AJ6096">
        <v>86.966269336891202</v>
      </c>
      <c r="AK6096">
        <v>0.73328376522455696</v>
      </c>
    </row>
    <row r="6097" spans="1:37" x14ac:dyDescent="0.2">
      <c r="A6097" t="str">
        <f>"20200111155718688"</f>
        <v>20200111155718688</v>
      </c>
      <c r="B6097" t="str">
        <f>"1578729438679059"</f>
        <v>1578729438679059</v>
      </c>
      <c r="C6097" t="s">
        <v>37</v>
      </c>
      <c r="D6097">
        <v>5.0307029999999999</v>
      </c>
      <c r="E6097">
        <v>0.55604089999999995</v>
      </c>
      <c r="F6097" t="s">
        <v>98</v>
      </c>
      <c r="G6097">
        <v>-246.03219999999999</v>
      </c>
      <c r="H6097" s="1">
        <v>-2.7627210000000002E-6</v>
      </c>
      <c r="I6097">
        <v>-65.095830000000007</v>
      </c>
      <c r="J6097">
        <v>-261.70440000000002</v>
      </c>
      <c r="K6097">
        <v>1.1039840000000001</v>
      </c>
      <c r="L6097">
        <v>-63.031009999999903</v>
      </c>
      <c r="M6097">
        <v>0.99626579999999998</v>
      </c>
      <c r="N6097">
        <v>0</v>
      </c>
      <c r="O6097">
        <v>-8.5271369999999999E-2</v>
      </c>
      <c r="P6097">
        <v>0.99892760000000003</v>
      </c>
      <c r="Q6097">
        <v>4.4650120000000001E-2</v>
      </c>
      <c r="R6097">
        <v>1.225175E-2</v>
      </c>
      <c r="S6097">
        <v>3.0180660000000001</v>
      </c>
      <c r="T6097">
        <v>-0.21071959999999901</v>
      </c>
      <c r="U6097">
        <v>-0.3965149</v>
      </c>
      <c r="V6097">
        <v>-9.7255800000000003E-2</v>
      </c>
      <c r="W6097">
        <v>5.8332040000000002E-2</v>
      </c>
      <c r="X6097">
        <v>0.99354849999999995</v>
      </c>
      <c r="Y6097">
        <v>4.5328899999999998E-2</v>
      </c>
      <c r="Z6097">
        <v>4.3341619999999999E-3</v>
      </c>
      <c r="AA6097">
        <v>0.99896269999999998</v>
      </c>
      <c r="AB6097">
        <v>29</v>
      </c>
      <c r="AC6097">
        <v>15.6722</v>
      </c>
      <c r="AD6097">
        <v>-1.103986762721</v>
      </c>
      <c r="AE6097">
        <v>-2.0648200000000099</v>
      </c>
      <c r="AF6097">
        <v>0.71728708828072496</v>
      </c>
      <c r="AG6097">
        <v>-1.103986762721</v>
      </c>
      <c r="AH6097">
        <v>15.7145467209596</v>
      </c>
      <c r="AI6097">
        <v>94.014405356892894</v>
      </c>
      <c r="AJ6097">
        <v>87.386560508623703</v>
      </c>
      <c r="AK6097">
        <v>15.7695994300585</v>
      </c>
    </row>
    <row r="6098" spans="1:37" x14ac:dyDescent="0.2">
      <c r="A6098" t="str">
        <f>"20200111155718700"</f>
        <v>20200111155718700</v>
      </c>
      <c r="B6098" t="str">
        <f>"1578729438689794"</f>
        <v>1578729438689794</v>
      </c>
      <c r="C6098" t="s">
        <v>37</v>
      </c>
      <c r="D6098">
        <v>5.05654</v>
      </c>
      <c r="E6098">
        <v>0.55583260000000001</v>
      </c>
      <c r="F6098" t="s">
        <v>40</v>
      </c>
      <c r="G6098">
        <v>-260.85300000000001</v>
      </c>
      <c r="H6098">
        <v>1.0443899999999999</v>
      </c>
      <c r="I6098">
        <v>-63.143680000000003</v>
      </c>
      <c r="J6098">
        <v>-261.55259999999998</v>
      </c>
      <c r="K6098">
        <v>1.104077</v>
      </c>
      <c r="L6098">
        <v>-63.044559999999997</v>
      </c>
      <c r="M6098">
        <v>0.99622259999999996</v>
      </c>
      <c r="N6098">
        <v>0</v>
      </c>
      <c r="O6098">
        <v>-8.5769059999999994E-2</v>
      </c>
      <c r="P6098">
        <v>0.99893469999999995</v>
      </c>
      <c r="Q6098">
        <v>4.4708039999999998E-2</v>
      </c>
      <c r="R6098">
        <v>1.143099E-2</v>
      </c>
      <c r="S6098">
        <v>3.0175480000000001</v>
      </c>
      <c r="T6098">
        <v>-0.2111306</v>
      </c>
      <c r="U6098">
        <v>-0.3989258</v>
      </c>
      <c r="V6098">
        <v>-9.6947359999999996E-2</v>
      </c>
      <c r="W6098">
        <v>5.8418209999999998E-2</v>
      </c>
      <c r="X6098">
        <v>0.99357359999999995</v>
      </c>
      <c r="Y6098">
        <v>4.563731E-2</v>
      </c>
      <c r="Z6098">
        <v>4.3667710000000002E-3</v>
      </c>
      <c r="AA6098">
        <v>0.99894850000000002</v>
      </c>
      <c r="AB6098">
        <v>29</v>
      </c>
      <c r="AC6098">
        <v>0.69959999999997502</v>
      </c>
      <c r="AD6098">
        <v>-5.9686999999999997E-2</v>
      </c>
      <c r="AE6098">
        <v>-9.91200000000063E-2</v>
      </c>
      <c r="AF6098">
        <v>3.8470608744146199E-2</v>
      </c>
      <c r="AG6098">
        <v>-5.9686999999999997E-2</v>
      </c>
      <c r="AH6098">
        <v>0.70052509858857204</v>
      </c>
      <c r="AI6098">
        <v>94.862731409675405</v>
      </c>
      <c r="AJ6098">
        <v>86.856655574912494</v>
      </c>
      <c r="AK6098">
        <v>0.70411500442660202</v>
      </c>
    </row>
    <row r="6099" spans="1:37" x14ac:dyDescent="0.2">
      <c r="A6099" t="str">
        <f>"20200111155718711"</f>
        <v>20200111155718711</v>
      </c>
      <c r="B6099" t="str">
        <f>"1578729438709315"</f>
        <v>1578729438709315</v>
      </c>
      <c r="C6099" t="s">
        <v>37</v>
      </c>
      <c r="D6099">
        <v>5.050243</v>
      </c>
      <c r="E6099">
        <v>0.55541189999999996</v>
      </c>
      <c r="F6099" t="s">
        <v>40</v>
      </c>
      <c r="G6099">
        <v>-260.5985</v>
      </c>
      <c r="H6099">
        <v>1.03728</v>
      </c>
      <c r="I6099">
        <v>-63.171039999999998</v>
      </c>
      <c r="J6099">
        <v>-261.40410000000003</v>
      </c>
      <c r="K6099">
        <v>1.1041719999999999</v>
      </c>
      <c r="L6099">
        <v>-63.057830000000003</v>
      </c>
      <c r="M6099">
        <v>0.99618799999999996</v>
      </c>
      <c r="N6099">
        <v>0</v>
      </c>
      <c r="O6099">
        <v>-8.6162890000000006E-2</v>
      </c>
      <c r="P6099">
        <v>0.99892150000000002</v>
      </c>
      <c r="Q6099">
        <v>4.5189500000000001E-2</v>
      </c>
      <c r="R6099">
        <v>1.0673510000000001E-2</v>
      </c>
      <c r="S6099">
        <v>3.0172729999999999</v>
      </c>
      <c r="T6099">
        <v>-0.211215299999999</v>
      </c>
      <c r="U6099">
        <v>-0.3998718</v>
      </c>
      <c r="V6099">
        <v>-9.6597219999999998E-2</v>
      </c>
      <c r="W6099">
        <v>5.8919920000000001E-2</v>
      </c>
      <c r="X6099">
        <v>0.99357809999999902</v>
      </c>
      <c r="Y6099">
        <v>4.5563190000000003E-2</v>
      </c>
      <c r="Z6099">
        <v>4.3986499999999996E-3</v>
      </c>
      <c r="AA6099">
        <v>0.99895179999999995</v>
      </c>
      <c r="AB6099">
        <v>29</v>
      </c>
      <c r="AC6099">
        <v>0.80560000000002596</v>
      </c>
      <c r="AD6099">
        <v>-6.6891999999999896E-2</v>
      </c>
      <c r="AE6099">
        <v>-0.113210000000002</v>
      </c>
      <c r="AF6099">
        <v>4.3078383748225597E-2</v>
      </c>
      <c r="AG6099">
        <v>-6.6891999999999896E-2</v>
      </c>
      <c r="AH6099">
        <v>0.80690333036675699</v>
      </c>
      <c r="AI6099">
        <v>94.732255216173797</v>
      </c>
      <c r="AJ6099">
        <v>86.944034656722593</v>
      </c>
      <c r="AK6099">
        <v>0.81081642272916699</v>
      </c>
    </row>
    <row r="6100" spans="1:37" x14ac:dyDescent="0.2">
      <c r="A6100" t="str">
        <f>"20200111155718722"</f>
        <v>20200111155718722</v>
      </c>
      <c r="B6100" t="str">
        <f>"1578729438719076"</f>
        <v>1578729438719076</v>
      </c>
      <c r="C6100" t="s">
        <v>37</v>
      </c>
      <c r="D6100">
        <v>4.9422239999999897</v>
      </c>
      <c r="E6100">
        <v>0.55539759999999905</v>
      </c>
      <c r="F6100" t="s">
        <v>40</v>
      </c>
      <c r="G6100">
        <v>-260.59039999999999</v>
      </c>
      <c r="H6100">
        <v>1.047515</v>
      </c>
      <c r="I6100">
        <v>-63.165489999999998</v>
      </c>
      <c r="J6100">
        <v>-261.2559</v>
      </c>
      <c r="K6100">
        <v>1.104276</v>
      </c>
      <c r="L6100">
        <v>-63.071080000000002</v>
      </c>
      <c r="M6100">
        <v>0.99615689999999901</v>
      </c>
      <c r="N6100">
        <v>0</v>
      </c>
      <c r="O6100">
        <v>-8.651607E-2</v>
      </c>
      <c r="P6100">
        <v>0.99891450000000004</v>
      </c>
      <c r="Q6100">
        <v>4.5442450000000002E-2</v>
      </c>
      <c r="R6100">
        <v>1.0253730000000001E-2</v>
      </c>
      <c r="S6100">
        <v>3.0169980000000001</v>
      </c>
      <c r="T6100">
        <v>-0.210038999999999</v>
      </c>
      <c r="U6100">
        <v>-0.39901729999999902</v>
      </c>
      <c r="V6100">
        <v>-9.6543089999999998E-2</v>
      </c>
      <c r="W6100">
        <v>5.9190769999999997E-2</v>
      </c>
      <c r="X6100">
        <v>0.99356719999999898</v>
      </c>
      <c r="Y6100">
        <v>4.4943990000000003E-2</v>
      </c>
      <c r="Z6100">
        <v>4.4204559999999997E-3</v>
      </c>
      <c r="AA6100">
        <v>0.99897969999999903</v>
      </c>
      <c r="AB6100">
        <v>29</v>
      </c>
      <c r="AC6100">
        <v>0.66550000000000797</v>
      </c>
      <c r="AD6100">
        <v>-5.6760999999999999E-2</v>
      </c>
      <c r="AE6100">
        <v>-9.4410000000003394E-2</v>
      </c>
      <c r="AF6100">
        <v>3.62158724782684E-2</v>
      </c>
      <c r="AG6100">
        <v>-5.6760999999999999E-2</v>
      </c>
      <c r="AH6100">
        <v>0.66642070879617499</v>
      </c>
      <c r="AI6100">
        <v>94.861161103574105</v>
      </c>
      <c r="AJ6100">
        <v>86.889386022105299</v>
      </c>
      <c r="AK6100">
        <v>0.66981337822766596</v>
      </c>
    </row>
    <row r="6101" spans="1:37" x14ac:dyDescent="0.2">
      <c r="A6101" t="str">
        <f>"20200111155718733"</f>
        <v>20200111155718733</v>
      </c>
      <c r="B6101" t="str">
        <f>"1578729438728834"</f>
        <v>1578729438728834</v>
      </c>
      <c r="C6101" t="s">
        <v>37</v>
      </c>
      <c r="D6101">
        <v>4.9523859999999997</v>
      </c>
      <c r="E6101">
        <v>0.55541580000000002</v>
      </c>
      <c r="F6101" t="s">
        <v>40</v>
      </c>
      <c r="G6101">
        <v>-260.3374</v>
      </c>
      <c r="H6101">
        <v>1.04091</v>
      </c>
      <c r="I6101">
        <v>-63.193199999999997</v>
      </c>
      <c r="J6101">
        <v>-261.11160000000001</v>
      </c>
      <c r="K6101">
        <v>1.1043719999999999</v>
      </c>
      <c r="L6101">
        <v>-63.083950000000002</v>
      </c>
      <c r="M6101">
        <v>0.9961314</v>
      </c>
      <c r="N6101">
        <v>0</v>
      </c>
      <c r="O6101">
        <v>-8.6802270000000001E-2</v>
      </c>
      <c r="P6101">
        <v>0.99890759999999901</v>
      </c>
      <c r="Q6101">
        <v>4.5667930000000002E-2</v>
      </c>
      <c r="R6101">
        <v>9.9076219999999996E-3</v>
      </c>
      <c r="S6101">
        <v>3.0168759999999999</v>
      </c>
      <c r="T6101">
        <v>-0.20806839999999999</v>
      </c>
      <c r="U6101">
        <v>-0.40048220000000001</v>
      </c>
      <c r="V6101">
        <v>-9.6496219999999994E-2</v>
      </c>
      <c r="W6101">
        <v>5.9431150000000002E-2</v>
      </c>
      <c r="X6101">
        <v>0.99355749999999998</v>
      </c>
      <c r="Y6101">
        <v>4.513723E-2</v>
      </c>
      <c r="Z6101">
        <v>4.3919839999999998E-3</v>
      </c>
      <c r="AA6101">
        <v>0.99897119999999995</v>
      </c>
      <c r="AB6101">
        <v>29</v>
      </c>
      <c r="AC6101">
        <v>0.77420000000000699</v>
      </c>
      <c r="AD6101">
        <v>-6.3461999999999893E-2</v>
      </c>
      <c r="AE6101">
        <v>-0.109249999999995</v>
      </c>
      <c r="AF6101">
        <v>4.1356483678372101E-2</v>
      </c>
      <c r="AG6101">
        <v>-6.3461999999999893E-2</v>
      </c>
      <c r="AH6101">
        <v>0.77565127359725505</v>
      </c>
      <c r="AI6101">
        <v>94.670785154760495</v>
      </c>
      <c r="AJ6101">
        <v>86.947970763498503</v>
      </c>
      <c r="AK6101">
        <v>0.779341184860189</v>
      </c>
    </row>
    <row r="6102" spans="1:37" x14ac:dyDescent="0.2">
      <c r="A6102" t="str">
        <f>"20200111155718745"</f>
        <v>20200111155718745</v>
      </c>
      <c r="B6102" t="str">
        <f>"1578729438739570"</f>
        <v>1578729438739570</v>
      </c>
      <c r="C6102" t="s">
        <v>37</v>
      </c>
      <c r="D6102">
        <v>4.9189679999999996</v>
      </c>
      <c r="E6102">
        <v>0.55538399999999999</v>
      </c>
      <c r="F6102" t="s">
        <v>40</v>
      </c>
      <c r="G6102">
        <v>-260.32350000000002</v>
      </c>
      <c r="H6102">
        <v>1.050433</v>
      </c>
      <c r="I6102">
        <v>-63.189149999999998</v>
      </c>
      <c r="J6102">
        <v>-260.96890000000002</v>
      </c>
      <c r="K6102">
        <v>1.1044670000000001</v>
      </c>
      <c r="L6102">
        <v>-63.096709999999902</v>
      </c>
      <c r="M6102">
        <v>0.99611159999999999</v>
      </c>
      <c r="N6102">
        <v>0</v>
      </c>
      <c r="O6102">
        <v>-8.7024249999999997E-2</v>
      </c>
      <c r="P6102">
        <v>0.99889760000000005</v>
      </c>
      <c r="Q6102">
        <v>4.5888890000000002E-2</v>
      </c>
      <c r="R6102">
        <v>9.9004130000000003E-3</v>
      </c>
      <c r="S6102">
        <v>3.0166629999999999</v>
      </c>
      <c r="T6102">
        <v>-0.20639299999999999</v>
      </c>
      <c r="U6102">
        <v>-0.40188600000000002</v>
      </c>
      <c r="V6102">
        <v>-9.6722279999999994E-2</v>
      </c>
      <c r="W6102">
        <v>5.9663910000000001E-2</v>
      </c>
      <c r="X6102">
        <v>0.99352149999999995</v>
      </c>
      <c r="Y6102">
        <v>4.5379019999999999E-2</v>
      </c>
      <c r="Z6102">
        <v>4.36363799999999E-3</v>
      </c>
      <c r="AA6102">
        <v>0.99896030000000002</v>
      </c>
      <c r="AB6102">
        <v>29</v>
      </c>
      <c r="AC6102">
        <v>0.64539999999999498</v>
      </c>
      <c r="AD6102">
        <v>-5.4034000000000103E-2</v>
      </c>
      <c r="AE6102">
        <v>-9.2440000000003394E-2</v>
      </c>
      <c r="AF6102">
        <v>3.5673469592847E-2</v>
      </c>
      <c r="AG6102">
        <v>-5.4034000000000103E-2</v>
      </c>
      <c r="AH6102">
        <v>0.64655547732841001</v>
      </c>
      <c r="AI6102">
        <v>94.7700060289243</v>
      </c>
      <c r="AJ6102">
        <v>86.841927694625099</v>
      </c>
      <c r="AK6102">
        <v>0.64978939268978497</v>
      </c>
    </row>
    <row r="6103" spans="1:37" x14ac:dyDescent="0.2">
      <c r="A6103" t="str">
        <f>"20200111155718756"</f>
        <v>20200111155718756</v>
      </c>
      <c r="B6103" t="str">
        <f>"1578729438749330"</f>
        <v>1578729438749330</v>
      </c>
      <c r="C6103" t="s">
        <v>37</v>
      </c>
      <c r="D6103">
        <v>4.9074849999999897</v>
      </c>
      <c r="E6103">
        <v>0.55536459999999999</v>
      </c>
      <c r="F6103" t="s">
        <v>40</v>
      </c>
      <c r="G6103">
        <v>-260.07619999999997</v>
      </c>
      <c r="H6103">
        <v>1.0438909999999999</v>
      </c>
      <c r="I6103">
        <v>-63.215709999999902</v>
      </c>
      <c r="J6103">
        <v>-260.82549999999998</v>
      </c>
      <c r="K6103">
        <v>1.104563</v>
      </c>
      <c r="L6103">
        <v>-63.109469999999902</v>
      </c>
      <c r="M6103">
        <v>0.99609509999999901</v>
      </c>
      <c r="N6103">
        <v>0</v>
      </c>
      <c r="O6103">
        <v>-8.7208439999999998E-2</v>
      </c>
      <c r="P6103">
        <v>0.99888399999999999</v>
      </c>
      <c r="Q6103">
        <v>4.6185339999999998E-2</v>
      </c>
      <c r="R6103">
        <v>9.9140469999999901E-3</v>
      </c>
      <c r="S6103">
        <v>3.016724</v>
      </c>
      <c r="T6103">
        <v>-0.204682</v>
      </c>
      <c r="U6103">
        <v>-0.40188600000000002</v>
      </c>
      <c r="V6103">
        <v>-9.6931299999999998E-2</v>
      </c>
      <c r="W6103">
        <v>5.997044E-2</v>
      </c>
      <c r="X6103">
        <v>0.99348269999999905</v>
      </c>
      <c r="Y6103">
        <v>4.5190889999999997E-2</v>
      </c>
      <c r="Z6103">
        <v>4.3461659999999899E-3</v>
      </c>
      <c r="AA6103">
        <v>0.99896890000000005</v>
      </c>
      <c r="AB6103">
        <v>29</v>
      </c>
      <c r="AC6103">
        <v>0.74930000000000496</v>
      </c>
      <c r="AD6103">
        <v>-6.0671999999999997E-2</v>
      </c>
      <c r="AE6103">
        <v>-0.106239999999999</v>
      </c>
      <c r="AF6103">
        <v>4.02251554063233E-2</v>
      </c>
      <c r="AG6103">
        <v>-6.0671999999999997E-2</v>
      </c>
      <c r="AH6103">
        <v>0.750884515168872</v>
      </c>
      <c r="AI6103">
        <v>94.612918066854206</v>
      </c>
      <c r="AJ6103">
        <v>86.933575425783403</v>
      </c>
      <c r="AK6103">
        <v>0.75440487129382705</v>
      </c>
    </row>
    <row r="6104" spans="1:37" x14ac:dyDescent="0.2">
      <c r="A6104" t="str">
        <f>"20200111155718767"</f>
        <v>20200111155718767</v>
      </c>
      <c r="B6104" t="str">
        <f>"1578729438759089"</f>
        <v>1578729438759089</v>
      </c>
      <c r="C6104" t="s">
        <v>37</v>
      </c>
      <c r="D6104">
        <v>4.8857470000000003</v>
      </c>
      <c r="E6104">
        <v>0.55535690000000004</v>
      </c>
      <c r="F6104" t="s">
        <v>98</v>
      </c>
      <c r="G6104">
        <v>-244.4051</v>
      </c>
      <c r="H6104" s="1">
        <v>-2.1841259999999998E-6</v>
      </c>
      <c r="I6104">
        <v>-65.296589999999995</v>
      </c>
      <c r="J6104">
        <v>-260.68090000000001</v>
      </c>
      <c r="K6104">
        <v>1.1046549999999999</v>
      </c>
      <c r="L6104">
        <v>-63.122309999999999</v>
      </c>
      <c r="M6104">
        <v>0.99608509999999995</v>
      </c>
      <c r="N6104">
        <v>0</v>
      </c>
      <c r="O6104">
        <v>-8.7317829999999999E-2</v>
      </c>
      <c r="P6104">
        <v>0.99885239999999997</v>
      </c>
      <c r="Q6104">
        <v>4.6766090000000003E-2</v>
      </c>
      <c r="R6104">
        <v>1.0347250000000001E-2</v>
      </c>
      <c r="S6104">
        <v>3.016724</v>
      </c>
      <c r="T6104">
        <v>-0.20292879999999899</v>
      </c>
      <c r="U6104">
        <v>-0.40182499999999999</v>
      </c>
      <c r="V6104">
        <v>-9.7481150000000003E-2</v>
      </c>
      <c r="W6104">
        <v>6.055779E-2</v>
      </c>
      <c r="X6104">
        <v>0.99339319999999898</v>
      </c>
      <c r="Y6104">
        <v>4.5060210000000003E-2</v>
      </c>
      <c r="Z6104">
        <v>4.3206800000000004E-3</v>
      </c>
      <c r="AA6104">
        <v>0.9989749</v>
      </c>
      <c r="AB6104">
        <v>29</v>
      </c>
      <c r="AC6104">
        <v>16.2758</v>
      </c>
      <c r="AD6104">
        <v>-1.104657184126</v>
      </c>
      <c r="AE6104">
        <v>-2.1742800000000102</v>
      </c>
      <c r="AF6104">
        <v>0.74131615370804504</v>
      </c>
      <c r="AG6104">
        <v>-1.104657184126</v>
      </c>
      <c r="AH6104">
        <v>16.3295910207063</v>
      </c>
      <c r="AI6104">
        <v>93.866054602067805</v>
      </c>
      <c r="AJ6104">
        <v>87.400722131546303</v>
      </c>
      <c r="AK6104">
        <v>16.3836918927854</v>
      </c>
    </row>
    <row r="6105" spans="1:37" x14ac:dyDescent="0.2">
      <c r="A6105" t="str">
        <f>"20200111155718777"</f>
        <v>20200111155718777</v>
      </c>
      <c r="B6105" t="str">
        <f>"1578729438768851"</f>
        <v>1578729438768851</v>
      </c>
      <c r="C6105" t="s">
        <v>37</v>
      </c>
      <c r="D6105">
        <v>4.8576319999999997</v>
      </c>
      <c r="E6105">
        <v>0.55532179999999998</v>
      </c>
      <c r="F6105" t="s">
        <v>40</v>
      </c>
      <c r="G6105">
        <v>-259.81459999999998</v>
      </c>
      <c r="H6105">
        <v>1.0471360000000001</v>
      </c>
      <c r="I6105">
        <v>-63.237609999999997</v>
      </c>
      <c r="J6105">
        <v>-260.54050000000001</v>
      </c>
      <c r="K6105">
        <v>1.1047450000000001</v>
      </c>
      <c r="L6105">
        <v>-63.134769999999897</v>
      </c>
      <c r="M6105">
        <v>0.99607699999999999</v>
      </c>
      <c r="N6105">
        <v>0</v>
      </c>
      <c r="O6105">
        <v>-8.7406310000000001E-2</v>
      </c>
      <c r="P6105">
        <v>0.99882209999999905</v>
      </c>
      <c r="Q6105">
        <v>4.7358289999999997E-2</v>
      </c>
      <c r="R6105">
        <v>1.0572979999999999E-2</v>
      </c>
      <c r="S6105">
        <v>3.0169679999999999</v>
      </c>
      <c r="T6105">
        <v>-0.20027629999999999</v>
      </c>
      <c r="U6105">
        <v>-0.40063480000000001</v>
      </c>
      <c r="V6105">
        <v>-9.7803000000000001E-2</v>
      </c>
      <c r="W6105">
        <v>6.1156540000000002E-2</v>
      </c>
      <c r="X6105">
        <v>0.99332489999999996</v>
      </c>
      <c r="Y6105">
        <v>4.4572420000000001E-2</v>
      </c>
      <c r="Z6105">
        <v>4.2860329999999999E-3</v>
      </c>
      <c r="AA6105">
        <v>0.99899699999999902</v>
      </c>
      <c r="AB6105">
        <v>29</v>
      </c>
      <c r="AC6105">
        <v>0.72590000000002397</v>
      </c>
      <c r="AD6105">
        <v>-5.7609E-2</v>
      </c>
      <c r="AE6105">
        <v>-0.10284</v>
      </c>
      <c r="AF6105">
        <v>3.8752761147588501E-2</v>
      </c>
      <c r="AG6105">
        <v>-5.7609E-2</v>
      </c>
      <c r="AH6105">
        <v>0.72761836021861404</v>
      </c>
      <c r="AI6105">
        <v>94.520555047305194</v>
      </c>
      <c r="AJ6105">
        <v>86.951322406948407</v>
      </c>
      <c r="AK6105">
        <v>0.73092342383096998</v>
      </c>
    </row>
    <row r="6106" spans="1:37" x14ac:dyDescent="0.2">
      <c r="A6106" t="str">
        <f>"20200111155718789"</f>
        <v>20200111155718789</v>
      </c>
      <c r="B6106" t="str">
        <f>"1578729438779586"</f>
        <v>1578729438779586</v>
      </c>
      <c r="C6106" t="s">
        <v>37</v>
      </c>
      <c r="D6106">
        <v>4.85046</v>
      </c>
      <c r="E6106">
        <v>0.55529869999999903</v>
      </c>
      <c r="F6106" t="s">
        <v>98</v>
      </c>
      <c r="G6106">
        <v>-243.66759999999999</v>
      </c>
      <c r="H6106" s="1">
        <v>-1.8873509999999901E-6</v>
      </c>
      <c r="I6106">
        <v>-65.370260000000002</v>
      </c>
      <c r="J6106">
        <v>-260.39780000000002</v>
      </c>
      <c r="K6106">
        <v>1.1048279999999999</v>
      </c>
      <c r="L6106">
        <v>-63.14734</v>
      </c>
      <c r="M6106">
        <v>0.99607670000000004</v>
      </c>
      <c r="N6106">
        <v>0</v>
      </c>
      <c r="O6106">
        <v>-8.7404969999999998E-2</v>
      </c>
      <c r="P6106">
        <v>0.9987935</v>
      </c>
      <c r="Q6106">
        <v>4.7805979999999998E-2</v>
      </c>
      <c r="R6106">
        <v>1.1224430000000001E-2</v>
      </c>
      <c r="S6106">
        <v>3.0171199999999998</v>
      </c>
      <c r="T6106">
        <v>-0.1975451</v>
      </c>
      <c r="U6106">
        <v>-0.39974979999999999</v>
      </c>
      <c r="V6106">
        <v>-9.8459530000000003E-2</v>
      </c>
      <c r="W6106">
        <v>6.160819E-2</v>
      </c>
      <c r="X6106">
        <v>0.99323220000000001</v>
      </c>
      <c r="Y6106">
        <v>4.4277299999999999E-2</v>
      </c>
      <c r="Z6106">
        <v>4.2371190000000001E-3</v>
      </c>
      <c r="AA6106">
        <v>0.99901030000000002</v>
      </c>
      <c r="AB6106">
        <v>29</v>
      </c>
      <c r="AC6106">
        <v>16.7302</v>
      </c>
      <c r="AD6106">
        <v>-1.1048298873510001</v>
      </c>
      <c r="AE6106">
        <v>-2.2229199999999998</v>
      </c>
      <c r="AF6106">
        <v>0.74875951101053195</v>
      </c>
      <c r="AG6106">
        <v>-1.1048298873510001</v>
      </c>
      <c r="AH6106">
        <v>16.788526737442002</v>
      </c>
      <c r="AI6106">
        <v>93.761399199376996</v>
      </c>
      <c r="AJ6106">
        <v>87.446330485284093</v>
      </c>
      <c r="AK6106">
        <v>16.841493992491198</v>
      </c>
    </row>
    <row r="6107" spans="1:37" x14ac:dyDescent="0.2">
      <c r="A6107" t="str">
        <f>"20200111155718801"</f>
        <v>20200111155718801</v>
      </c>
      <c r="B6107" t="str">
        <f>"1578729438789346"</f>
        <v>1578729438789346</v>
      </c>
      <c r="C6107" t="s">
        <v>37</v>
      </c>
      <c r="D6107">
        <v>4.8305720000000001</v>
      </c>
      <c r="E6107">
        <v>0.5552646</v>
      </c>
      <c r="F6107" t="s">
        <v>40</v>
      </c>
      <c r="G6107">
        <v>-259.55329999999998</v>
      </c>
      <c r="H6107">
        <v>1.0502129999999901</v>
      </c>
      <c r="I6107">
        <v>-63.258669999999903</v>
      </c>
      <c r="J6107">
        <v>-260.25290000000001</v>
      </c>
      <c r="K6107">
        <v>1.1049169999999999</v>
      </c>
      <c r="L6107">
        <v>-63.1601</v>
      </c>
      <c r="M6107">
        <v>0.99607829999999997</v>
      </c>
      <c r="N6107">
        <v>0</v>
      </c>
      <c r="O6107">
        <v>-8.7384899999999904E-2</v>
      </c>
      <c r="P6107">
        <v>0.99875800000000003</v>
      </c>
      <c r="Q6107">
        <v>4.8431699999999897E-2</v>
      </c>
      <c r="R6107">
        <v>1.1700439999999999E-2</v>
      </c>
      <c r="S6107">
        <v>3.0174259999999999</v>
      </c>
      <c r="T6107">
        <v>-0.19518089999999999</v>
      </c>
      <c r="U6107">
        <v>-0.39785769999999998</v>
      </c>
      <c r="V6107">
        <v>-9.8922640000000006E-2</v>
      </c>
      <c r="W6107">
        <v>6.223737E-2</v>
      </c>
      <c r="X6107">
        <v>0.993146999999999</v>
      </c>
      <c r="Y6107">
        <v>4.3667610000000003E-2</v>
      </c>
      <c r="Z6107">
        <v>4.2046369999999998E-3</v>
      </c>
      <c r="AA6107">
        <v>0.99903729999999902</v>
      </c>
      <c r="AB6107">
        <v>29</v>
      </c>
      <c r="AC6107">
        <v>0.69960000000003197</v>
      </c>
      <c r="AD6107">
        <v>-5.4704000000000003E-2</v>
      </c>
      <c r="AE6107">
        <v>-9.8569999999995106E-2</v>
      </c>
      <c r="AF6107">
        <v>3.6831704912652502E-2</v>
      </c>
      <c r="AG6107">
        <v>-5.4704000000000003E-2</v>
      </c>
      <c r="AH6107">
        <v>0.70133299530998106</v>
      </c>
      <c r="AI6107">
        <v>94.453929604406795</v>
      </c>
      <c r="AJ6107">
        <v>86.993775584544196</v>
      </c>
      <c r="AK6107">
        <v>0.70442676866601395</v>
      </c>
    </row>
    <row r="6108" spans="1:37" x14ac:dyDescent="0.2">
      <c r="A6108" t="str">
        <f>"20200111155718811"</f>
        <v>20200111155718811</v>
      </c>
      <c r="B6108" t="str">
        <f>"1578729438808867"</f>
        <v>1578729438808867</v>
      </c>
      <c r="C6108" t="s">
        <v>37</v>
      </c>
      <c r="D6108">
        <v>4.8553579999999998</v>
      </c>
      <c r="E6108">
        <v>0.55497079999999999</v>
      </c>
      <c r="F6108" t="s">
        <v>40</v>
      </c>
      <c r="G6108">
        <v>-259.30169999999998</v>
      </c>
      <c r="H6108">
        <v>1.044362</v>
      </c>
      <c r="I6108">
        <v>-63.285200000000003</v>
      </c>
      <c r="J6108">
        <v>-260.10759999999999</v>
      </c>
      <c r="K6108">
        <v>1.1050040000000001</v>
      </c>
      <c r="L6108">
        <v>-63.172789999999999</v>
      </c>
      <c r="M6108">
        <v>0.99608609999999898</v>
      </c>
      <c r="N6108">
        <v>0</v>
      </c>
      <c r="O6108">
        <v>-8.7290370000000006E-2</v>
      </c>
      <c r="P6108">
        <v>0.99869479999999999</v>
      </c>
      <c r="Q6108">
        <v>4.9560409999999999E-2</v>
      </c>
      <c r="R6108">
        <v>1.235667E-2</v>
      </c>
      <c r="S6108">
        <v>3.0177</v>
      </c>
      <c r="T6108">
        <v>-0.19210369999999999</v>
      </c>
      <c r="U6108">
        <v>-0.39645390000000003</v>
      </c>
      <c r="V6108">
        <v>-9.9488569999999998E-2</v>
      </c>
      <c r="W6108">
        <v>6.3366199999999998E-2</v>
      </c>
      <c r="X6108">
        <v>0.99301899999999999</v>
      </c>
      <c r="Y6108">
        <v>4.3291530000000002E-2</v>
      </c>
      <c r="Z6108">
        <v>4.1442190000000002E-3</v>
      </c>
      <c r="AA6108">
        <v>0.99905390000000005</v>
      </c>
      <c r="AB6108">
        <v>29</v>
      </c>
      <c r="AC6108">
        <v>0.80590000000000805</v>
      </c>
      <c r="AD6108">
        <v>-6.0642000000000001E-2</v>
      </c>
      <c r="AE6108">
        <v>-0.11241000000000401</v>
      </c>
      <c r="AF6108">
        <v>4.1396820357879303E-2</v>
      </c>
      <c r="AG6108">
        <v>-6.0642000000000001E-2</v>
      </c>
      <c r="AH6108">
        <v>0.80814790823046601</v>
      </c>
      <c r="AI6108">
        <v>94.285734217875998</v>
      </c>
      <c r="AJ6108">
        <v>87.067626119852406</v>
      </c>
      <c r="AK6108">
        <v>0.81147654955458803</v>
      </c>
    </row>
    <row r="6109" spans="1:37" x14ac:dyDescent="0.2">
      <c r="A6109" t="str">
        <f>"20200111155718823"</f>
        <v>20200111155718823</v>
      </c>
      <c r="B6109" t="str">
        <f>"1578729438819602"</f>
        <v>1578729438819602</v>
      </c>
      <c r="C6109" t="s">
        <v>37</v>
      </c>
      <c r="D6109">
        <v>4.8646979999999997</v>
      </c>
      <c r="E6109">
        <v>0.55482189999999998</v>
      </c>
      <c r="F6109" t="s">
        <v>98</v>
      </c>
      <c r="G6109">
        <v>-242.45079999999999</v>
      </c>
      <c r="H6109" s="1">
        <v>-1.3915209999999899E-6</v>
      </c>
      <c r="I6109">
        <v>-65.46866</v>
      </c>
      <c r="J6109">
        <v>-259.95949999999999</v>
      </c>
      <c r="K6109">
        <v>1.1051</v>
      </c>
      <c r="L6109">
        <v>-63.185699999999997</v>
      </c>
      <c r="M6109">
        <v>0.99609729999999996</v>
      </c>
      <c r="N6109">
        <v>0</v>
      </c>
      <c r="O6109">
        <v>-8.7158899999999997E-2</v>
      </c>
      <c r="P6109">
        <v>0.9986334</v>
      </c>
      <c r="Q6109">
        <v>5.064755E-2</v>
      </c>
      <c r="R6109">
        <v>1.288571E-2</v>
      </c>
      <c r="S6109">
        <v>3.0181879999999999</v>
      </c>
      <c r="T6109">
        <v>-0.1888852</v>
      </c>
      <c r="U6109">
        <v>-0.39245609999999997</v>
      </c>
      <c r="V6109">
        <v>-9.9891199999999902E-2</v>
      </c>
      <c r="W6109">
        <v>6.4453540000000004E-2</v>
      </c>
      <c r="X6109">
        <v>0.99290859999999903</v>
      </c>
      <c r="Y6109">
        <v>4.2100499999999999E-2</v>
      </c>
      <c r="Z6109">
        <v>4.1036309999999999E-3</v>
      </c>
      <c r="AA6109">
        <v>0.99910499999999902</v>
      </c>
      <c r="AB6109">
        <v>29</v>
      </c>
      <c r="AC6109">
        <v>17.508700000000001</v>
      </c>
      <c r="AD6109">
        <v>-1.105101391521</v>
      </c>
      <c r="AE6109">
        <v>-2.2829600000000001</v>
      </c>
      <c r="AF6109">
        <v>0.74516468538849001</v>
      </c>
      <c r="AG6109">
        <v>-1.105101391521</v>
      </c>
      <c r="AH6109">
        <v>17.572222127000298</v>
      </c>
      <c r="AI6109">
        <v>93.595318676978593</v>
      </c>
      <c r="AJ6109">
        <v>87.571779667374699</v>
      </c>
      <c r="AK6109">
        <v>17.622698714287001</v>
      </c>
    </row>
    <row r="6110" spans="1:37" x14ac:dyDescent="0.2">
      <c r="A6110" t="str">
        <f>"20200111155718834"</f>
        <v>20200111155718834</v>
      </c>
      <c r="B6110" t="str">
        <f>"1578729438829362"</f>
        <v>1578729438829362</v>
      </c>
      <c r="C6110" t="s">
        <v>37</v>
      </c>
      <c r="D6110">
        <v>4.9291830000000001</v>
      </c>
      <c r="E6110">
        <v>0.55483979999999999</v>
      </c>
      <c r="F6110" t="s">
        <v>40</v>
      </c>
      <c r="G6110">
        <v>-259.04000000000002</v>
      </c>
      <c r="H6110">
        <v>1.04867</v>
      </c>
      <c r="I6110">
        <v>-63.3046199999999</v>
      </c>
      <c r="J6110">
        <v>-259.8109</v>
      </c>
      <c r="K6110">
        <v>1.105186</v>
      </c>
      <c r="L6110">
        <v>-63.198609999999903</v>
      </c>
      <c r="M6110">
        <v>0.99611269999999996</v>
      </c>
      <c r="N6110">
        <v>0</v>
      </c>
      <c r="O6110">
        <v>-8.6980979999999999E-2</v>
      </c>
      <c r="P6110">
        <v>0.99856610000000001</v>
      </c>
      <c r="Q6110">
        <v>5.1763610000000002E-2</v>
      </c>
      <c r="R6110">
        <v>1.3657310000000001E-2</v>
      </c>
      <c r="S6110">
        <v>3.0185240000000002</v>
      </c>
      <c r="T6110">
        <v>-0.18522720000000001</v>
      </c>
      <c r="U6110">
        <v>-0.39010620000000001</v>
      </c>
      <c r="V6110">
        <v>-0.10048839999999901</v>
      </c>
      <c r="W6110">
        <v>6.5567929999999996E-2</v>
      </c>
      <c r="X6110">
        <v>0.99277539999999997</v>
      </c>
      <c r="Y6110">
        <v>4.1497279999999998E-2</v>
      </c>
      <c r="Z6110">
        <v>4.0317230000000001E-3</v>
      </c>
      <c r="AA6110">
        <v>0.99913050000000003</v>
      </c>
      <c r="AB6110">
        <v>29</v>
      </c>
      <c r="AC6110">
        <v>0.77089999999998304</v>
      </c>
      <c r="AD6110">
        <v>-5.6515999999999997E-2</v>
      </c>
      <c r="AE6110">
        <v>-0.106009999999997</v>
      </c>
      <c r="AF6110">
        <v>3.8345736957289503E-2</v>
      </c>
      <c r="AG6110">
        <v>-5.6515999999999997E-2</v>
      </c>
      <c r="AH6110">
        <v>0.773121342029646</v>
      </c>
      <c r="AI6110">
        <v>94.175831264435203</v>
      </c>
      <c r="AJ6110">
        <v>87.160536348546799</v>
      </c>
      <c r="AK6110">
        <v>0.77613211716853903</v>
      </c>
    </row>
    <row r="6111" spans="1:37" x14ac:dyDescent="0.2">
      <c r="A6111" t="str">
        <f>"20200111155718845"</f>
        <v>20200111155718845</v>
      </c>
      <c r="B6111" t="str">
        <f>"1578729438839121"</f>
        <v>1578729438839121</v>
      </c>
      <c r="C6111" t="s">
        <v>37</v>
      </c>
      <c r="D6111">
        <v>4.7300069999999996</v>
      </c>
      <c r="E6111">
        <v>0.55483979999999999</v>
      </c>
      <c r="F6111" t="s">
        <v>98</v>
      </c>
      <c r="G6111">
        <v>-241.27619999999999</v>
      </c>
      <c r="H6111" s="1">
        <v>-9.1828289999999997E-7</v>
      </c>
      <c r="I6111">
        <v>-65.583849999999998</v>
      </c>
      <c r="J6111">
        <v>-259.67160000000001</v>
      </c>
      <c r="K6111">
        <v>1.105264</v>
      </c>
      <c r="L6111">
        <v>-63.210599999999999</v>
      </c>
      <c r="M6111">
        <v>0.99613119999999999</v>
      </c>
      <c r="N6111">
        <v>0</v>
      </c>
      <c r="O6111">
        <v>-8.6766570000000001E-2</v>
      </c>
      <c r="P6111">
        <v>0.99851749999999995</v>
      </c>
      <c r="Q6111">
        <v>5.2509979999999998E-2</v>
      </c>
      <c r="R6111">
        <v>1.434625E-2</v>
      </c>
      <c r="S6111">
        <v>3.0189509999999999</v>
      </c>
      <c r="T6111">
        <v>-0.1800138</v>
      </c>
      <c r="U6111">
        <v>-0.38851929999999901</v>
      </c>
      <c r="V6111">
        <v>-0.10096869999999999</v>
      </c>
      <c r="W6111">
        <v>6.6312070000000001E-2</v>
      </c>
      <c r="X6111">
        <v>0.99267719999999904</v>
      </c>
      <c r="Y6111">
        <v>4.117328E-2</v>
      </c>
      <c r="Z6111">
        <v>3.9150230000000001E-3</v>
      </c>
      <c r="AA6111">
        <v>0.99914439999999904</v>
      </c>
      <c r="AB6111">
        <v>29</v>
      </c>
      <c r="AC6111">
        <v>18.395399999999999</v>
      </c>
      <c r="AD6111">
        <v>-1.1052649182829</v>
      </c>
      <c r="AE6111">
        <v>-2.3732499999999899</v>
      </c>
      <c r="AF6111">
        <v>0.76531957094260294</v>
      </c>
      <c r="AG6111">
        <v>-1.1052649182829</v>
      </c>
      <c r="AH6111">
        <v>18.466376848455301</v>
      </c>
      <c r="AI6111">
        <v>93.422297510224197</v>
      </c>
      <c r="AJ6111">
        <v>87.626794783045597</v>
      </c>
      <c r="AK6111">
        <v>18.515247729761001</v>
      </c>
    </row>
    <row r="6112" spans="1:37" x14ac:dyDescent="0.2">
      <c r="A6112" t="str">
        <f>"20200111155718856"</f>
        <v>20200111155718856</v>
      </c>
      <c r="B6112" t="str">
        <f>"1578729438848882"</f>
        <v>1578729438848882</v>
      </c>
      <c r="C6112" t="s">
        <v>37</v>
      </c>
      <c r="D6112">
        <v>4.7921399999999998</v>
      </c>
      <c r="E6112">
        <v>0.57127050000000001</v>
      </c>
      <c r="F6112" t="s">
        <v>98</v>
      </c>
      <c r="G6112">
        <v>-240.8451</v>
      </c>
      <c r="H6112" s="1">
        <v>-7.4359480000000005E-7</v>
      </c>
      <c r="I6112">
        <v>-65.622410000000002</v>
      </c>
      <c r="J6112">
        <v>-259.52789999999999</v>
      </c>
      <c r="K6112">
        <v>1.1053379999999999</v>
      </c>
      <c r="L6112">
        <v>-63.22296</v>
      </c>
      <c r="M6112">
        <v>0.99615209999999998</v>
      </c>
      <c r="N6112">
        <v>0</v>
      </c>
      <c r="O6112">
        <v>-8.652224E-2</v>
      </c>
      <c r="P6112">
        <v>0.99845300000000003</v>
      </c>
      <c r="Q6112">
        <v>5.3546139999999999E-2</v>
      </c>
      <c r="R6112">
        <v>1.497545E-2</v>
      </c>
      <c r="S6112">
        <v>3.0193479999999999</v>
      </c>
      <c r="T6112">
        <v>-0.17725959999999999</v>
      </c>
      <c r="U6112">
        <v>-0.3868103</v>
      </c>
      <c r="V6112">
        <v>-0.1013574</v>
      </c>
      <c r="W6112">
        <v>6.7344989999999993E-2</v>
      </c>
      <c r="X6112">
        <v>0.99256809999999995</v>
      </c>
      <c r="Y6112">
        <v>4.0843089999999999E-2</v>
      </c>
      <c r="Z6112">
        <v>3.8503439999999999E-3</v>
      </c>
      <c r="AA6112">
        <v>0.99915810000000005</v>
      </c>
      <c r="AB6112">
        <v>29</v>
      </c>
      <c r="AC6112">
        <v>18.682799999999901</v>
      </c>
      <c r="AD6112">
        <v>-1.1053387435948001</v>
      </c>
      <c r="AE6112">
        <v>-2.3994499999999999</v>
      </c>
      <c r="AF6112">
        <v>0.77115936327325296</v>
      </c>
      <c r="AG6112">
        <v>-1.1053387435948001</v>
      </c>
      <c r="AH6112">
        <v>18.755764601448099</v>
      </c>
      <c r="AI6112">
        <v>93.369886588743199</v>
      </c>
      <c r="AJ6112">
        <v>87.645560976984399</v>
      </c>
      <c r="AK6112">
        <v>18.804126310110501</v>
      </c>
    </row>
    <row r="6113" spans="1:37" x14ac:dyDescent="0.2">
      <c r="A6113" t="str">
        <f>"20200111155718867"</f>
        <v>20200111155718867</v>
      </c>
      <c r="B6113" t="str">
        <f>"1578729438859619"</f>
        <v>1578729438859619</v>
      </c>
      <c r="C6113" t="s">
        <v>37</v>
      </c>
      <c r="D6113">
        <v>4.7222730000000004</v>
      </c>
      <c r="E6113">
        <v>0.57240199999999997</v>
      </c>
      <c r="F6113" t="s">
        <v>99</v>
      </c>
      <c r="G6113">
        <v>-230.2364</v>
      </c>
      <c r="H6113" s="1">
        <v>-1.1804510000000001E-6</v>
      </c>
      <c r="I6113">
        <v>-68.245739999999998</v>
      </c>
      <c r="J6113">
        <v>-259.39139999999998</v>
      </c>
      <c r="K6113">
        <v>1.10541</v>
      </c>
      <c r="L6113">
        <v>-63.234559999999902</v>
      </c>
      <c r="M6113">
        <v>0.99617710000000004</v>
      </c>
      <c r="N6113">
        <v>0</v>
      </c>
      <c r="O6113">
        <v>-8.6234000000000005E-2</v>
      </c>
      <c r="P6113">
        <v>0.99842690000000001</v>
      </c>
      <c r="Q6113">
        <v>5.3821710000000002E-2</v>
      </c>
      <c r="R6113">
        <v>1.5716859999999999E-2</v>
      </c>
      <c r="S6113">
        <v>3.0185240000000002</v>
      </c>
      <c r="T6113">
        <v>-0.11390639999999901</v>
      </c>
      <c r="U6113">
        <v>-0.51760859999999997</v>
      </c>
      <c r="V6113">
        <v>-0.10181699999999901</v>
      </c>
      <c r="W6113">
        <v>6.7616640000000006E-2</v>
      </c>
      <c r="X6113">
        <v>0.99250260000000001</v>
      </c>
      <c r="Y6113">
        <v>8.3380960000000004E-2</v>
      </c>
      <c r="Z6113">
        <v>1.659523E-3</v>
      </c>
      <c r="AA6113">
        <v>0.99651630000000002</v>
      </c>
      <c r="AB6113">
        <v>29</v>
      </c>
      <c r="AC6113">
        <v>29.154999999999902</v>
      </c>
      <c r="AD6113">
        <v>-1.1054111804510001</v>
      </c>
      <c r="AE6113">
        <v>-5.0111800000000004</v>
      </c>
      <c r="AF6113">
        <v>2.4746566219389701</v>
      </c>
      <c r="AG6113">
        <v>-1.1054111804510001</v>
      </c>
      <c r="AH6113">
        <v>29.437446660121001</v>
      </c>
      <c r="AI6113">
        <v>92.142962681056503</v>
      </c>
      <c r="AJ6113">
        <v>85.194733044702502</v>
      </c>
      <c r="AK6113">
        <v>29.561954014270398</v>
      </c>
    </row>
    <row r="6114" spans="1:37" x14ac:dyDescent="0.2">
      <c r="A6114" t="str">
        <f>"20200111155718879"</f>
        <v>20200111155718879</v>
      </c>
      <c r="B6114" t="str">
        <f>"1578729438869378"</f>
        <v>1578729438869378</v>
      </c>
      <c r="C6114" t="s">
        <v>37</v>
      </c>
      <c r="D6114">
        <v>4.7086930000000002</v>
      </c>
      <c r="E6114">
        <v>0.57312479999999999</v>
      </c>
      <c r="F6114" t="s">
        <v>99</v>
      </c>
      <c r="G6114">
        <v>-232.50630000000001</v>
      </c>
      <c r="H6114" s="1">
        <v>-2.0607820000000002E-6</v>
      </c>
      <c r="I6114">
        <v>-67.903019999999998</v>
      </c>
      <c r="J6114">
        <v>-259.24689999999998</v>
      </c>
      <c r="K6114">
        <v>1.1054820000000001</v>
      </c>
      <c r="L6114">
        <v>-63.2468</v>
      </c>
      <c r="M6114">
        <v>0.99620429999999904</v>
      </c>
      <c r="N6114">
        <v>0</v>
      </c>
      <c r="O6114">
        <v>-8.5916759999999995E-2</v>
      </c>
      <c r="P6114">
        <v>0.99838839999999995</v>
      </c>
      <c r="Q6114">
        <v>5.4356799999999997E-2</v>
      </c>
      <c r="R6114">
        <v>1.6318780000000001E-2</v>
      </c>
      <c r="S6114">
        <v>3.0196529999999999</v>
      </c>
      <c r="T6114">
        <v>-0.124156399999999</v>
      </c>
      <c r="U6114">
        <v>-0.52435299999999996</v>
      </c>
      <c r="V6114">
        <v>-0.10210950000000001</v>
      </c>
      <c r="W6114">
        <v>6.8147079999999999E-2</v>
      </c>
      <c r="X6114">
        <v>0.99243619999999899</v>
      </c>
      <c r="Y6114">
        <v>8.5795490000000002E-2</v>
      </c>
      <c r="Z6114">
        <v>1.745545E-3</v>
      </c>
      <c r="AA6114">
        <v>0.99631119999999995</v>
      </c>
      <c r="AB6114">
        <v>29</v>
      </c>
      <c r="AC6114">
        <v>26.740599999999901</v>
      </c>
      <c r="AD6114">
        <v>-1.105484060782</v>
      </c>
      <c r="AE6114">
        <v>-4.6562199999999896</v>
      </c>
      <c r="AF6114">
        <v>2.3374320145109899</v>
      </c>
      <c r="AG6114">
        <v>-1.105484060782</v>
      </c>
      <c r="AH6114">
        <v>26.997006552068701</v>
      </c>
      <c r="AI6114">
        <v>92.336130065220104</v>
      </c>
      <c r="AJ6114">
        <v>85.051605477510094</v>
      </c>
      <c r="AK6114">
        <v>27.120546569041402</v>
      </c>
    </row>
    <row r="6115" spans="1:37" x14ac:dyDescent="0.2">
      <c r="A6115" t="str">
        <f>"20200111155718889"</f>
        <v>20200111155718889</v>
      </c>
      <c r="B6115" t="str">
        <f>"1578729438879139"</f>
        <v>1578729438879139</v>
      </c>
      <c r="C6115" t="s">
        <v>37</v>
      </c>
      <c r="D6115">
        <v>4.6338689999999998</v>
      </c>
      <c r="E6115">
        <v>0.573411</v>
      </c>
      <c r="F6115" t="s">
        <v>99</v>
      </c>
      <c r="G6115">
        <v>-233.6936</v>
      </c>
      <c r="H6115" s="1">
        <v>-2.43169199999999E-6</v>
      </c>
      <c r="I6115">
        <v>-67.716210000000004</v>
      </c>
      <c r="J6115">
        <v>-259.10539999999997</v>
      </c>
      <c r="K6115">
        <v>1.1055549999999901</v>
      </c>
      <c r="L6115">
        <v>-63.25864</v>
      </c>
      <c r="M6115">
        <v>0.99623639999999902</v>
      </c>
      <c r="N6115">
        <v>0</v>
      </c>
      <c r="O6115">
        <v>-8.5541290000000006E-2</v>
      </c>
      <c r="P6115">
        <v>0.99836519999999995</v>
      </c>
      <c r="Q6115">
        <v>5.4570349999999997E-2</v>
      </c>
      <c r="R6115">
        <v>1.7012820000000001E-2</v>
      </c>
      <c r="S6115">
        <v>3.0205690000000001</v>
      </c>
      <c r="T6115">
        <v>-0.13067529999999999</v>
      </c>
      <c r="U6115">
        <v>-0.52832029999999996</v>
      </c>
      <c r="V6115">
        <v>-0.102434999999999</v>
      </c>
      <c r="W6115">
        <v>6.8355449999999998E-2</v>
      </c>
      <c r="X6115">
        <v>0.9923883</v>
      </c>
      <c r="Y6115">
        <v>8.7388199999999999E-2</v>
      </c>
      <c r="Z6115">
        <v>1.7861260000000001E-3</v>
      </c>
      <c r="AA6115">
        <v>0.99617269999999902</v>
      </c>
      <c r="AB6115">
        <v>29</v>
      </c>
      <c r="AC6115">
        <v>25.4117999999999</v>
      </c>
      <c r="AD6115">
        <v>-1.1055574316919901</v>
      </c>
      <c r="AE6115">
        <v>-4.4575699999999996</v>
      </c>
      <c r="AF6115">
        <v>2.2631016208850401</v>
      </c>
      <c r="AG6115">
        <v>-1.1055574316919901</v>
      </c>
      <c r="AH6115">
        <v>25.652876695687699</v>
      </c>
      <c r="AI6115">
        <v>92.458203360892696</v>
      </c>
      <c r="AJ6115">
        <v>84.958407726782795</v>
      </c>
      <c r="AK6115">
        <v>25.7762287572364</v>
      </c>
    </row>
    <row r="6116" spans="1:37" x14ac:dyDescent="0.2">
      <c r="A6116" t="str">
        <f>"20200111155718901"</f>
        <v>20200111155718901</v>
      </c>
      <c r="B6116" t="str">
        <f>"1578729438899634"</f>
        <v>1578729438899634</v>
      </c>
      <c r="C6116" t="s">
        <v>37</v>
      </c>
      <c r="D6116">
        <v>4.6242710000000002</v>
      </c>
      <c r="E6116">
        <v>0.57382860000000002</v>
      </c>
      <c r="F6116" t="s">
        <v>99</v>
      </c>
      <c r="G6116">
        <v>-234.37540000000001</v>
      </c>
      <c r="H6116" s="1">
        <v>-2.6404880000000001E-6</v>
      </c>
      <c r="I6116">
        <v>-67.585239999999999</v>
      </c>
      <c r="J6116">
        <v>-258.95999999999998</v>
      </c>
      <c r="K6116">
        <v>1.105623</v>
      </c>
      <c r="L6116">
        <v>-63.27075</v>
      </c>
      <c r="M6116">
        <v>0.99627060000000001</v>
      </c>
      <c r="N6116">
        <v>0</v>
      </c>
      <c r="O6116">
        <v>-8.5140660000000007E-2</v>
      </c>
      <c r="P6116">
        <v>0.99835149999999995</v>
      </c>
      <c r="Q6116">
        <v>5.4457909999999998E-2</v>
      </c>
      <c r="R6116">
        <v>1.8139019999999999E-2</v>
      </c>
      <c r="S6116">
        <v>3.0213009999999998</v>
      </c>
      <c r="T6116">
        <v>-0.13506779999999999</v>
      </c>
      <c r="U6116">
        <v>-0.52859500000000004</v>
      </c>
      <c r="V6116">
        <v>-0.10316739999999899</v>
      </c>
      <c r="W6116">
        <v>6.8236989999999997E-2</v>
      </c>
      <c r="X6116">
        <v>0.9923206</v>
      </c>
      <c r="Y6116">
        <v>8.783473E-2</v>
      </c>
      <c r="Z6116">
        <v>1.818095E-3</v>
      </c>
      <c r="AA6116">
        <v>0.99613339999999995</v>
      </c>
      <c r="AB6116">
        <v>29</v>
      </c>
      <c r="AC6116">
        <v>24.584599999999899</v>
      </c>
      <c r="AD6116">
        <v>-1.105625640488</v>
      </c>
      <c r="AE6116">
        <v>-4.3144899999999904</v>
      </c>
      <c r="AF6116">
        <v>2.20114775159219</v>
      </c>
      <c r="AG6116">
        <v>-1.105625640488</v>
      </c>
      <c r="AH6116">
        <v>24.8140018977242</v>
      </c>
      <c r="AI6116">
        <v>92.541247853393102</v>
      </c>
      <c r="AJ6116">
        <v>84.930796026680198</v>
      </c>
      <c r="AK6116">
        <v>24.935960973291301</v>
      </c>
    </row>
    <row r="6117" spans="1:37" x14ac:dyDescent="0.2">
      <c r="A6117" t="str">
        <f>"20200111155718913"</f>
        <v>20200111155718913</v>
      </c>
      <c r="B6117" t="str">
        <f>"1578729438909395"</f>
        <v>1578729438909395</v>
      </c>
      <c r="C6117" t="s">
        <v>37</v>
      </c>
      <c r="D6117">
        <v>4.7317489999999998</v>
      </c>
      <c r="E6117">
        <v>0.57426169999999899</v>
      </c>
      <c r="F6117" t="s">
        <v>99</v>
      </c>
      <c r="G6117">
        <v>-234.83349999999999</v>
      </c>
      <c r="H6117" s="1">
        <v>-2.77965899999999E-6</v>
      </c>
      <c r="I6117">
        <v>-67.491129999999998</v>
      </c>
      <c r="J6117">
        <v>-258.80540000000002</v>
      </c>
      <c r="K6117">
        <v>1.1056900000000001</v>
      </c>
      <c r="L6117">
        <v>-63.28351</v>
      </c>
      <c r="M6117">
        <v>0.99631099999999995</v>
      </c>
      <c r="N6117">
        <v>0</v>
      </c>
      <c r="O6117">
        <v>-8.4664600000000007E-2</v>
      </c>
      <c r="P6117">
        <v>0.99834020000000001</v>
      </c>
      <c r="Q6117">
        <v>5.435239E-2</v>
      </c>
      <c r="R6117">
        <v>1.9047600000000001E-2</v>
      </c>
      <c r="S6117">
        <v>3.0221100000000001</v>
      </c>
      <c r="T6117">
        <v>-0.13849159999999999</v>
      </c>
      <c r="U6117">
        <v>-0.52865600000000001</v>
      </c>
      <c r="V6117">
        <v>-0.1036083</v>
      </c>
      <c r="W6117">
        <v>6.8125199999999997E-2</v>
      </c>
      <c r="X6117">
        <v>0.99228240000000001</v>
      </c>
      <c r="Y6117">
        <v>8.828387E-2</v>
      </c>
      <c r="Z6117">
        <v>1.8319300000000001E-3</v>
      </c>
      <c r="AA6117">
        <v>0.99609369999999997</v>
      </c>
      <c r="AB6117">
        <v>29</v>
      </c>
      <c r="AC6117">
        <v>23.971900000000002</v>
      </c>
      <c r="AD6117">
        <v>-1.1056927796589999</v>
      </c>
      <c r="AE6117">
        <v>-4.2076199999999897</v>
      </c>
      <c r="AF6117">
        <v>2.1582845873159302</v>
      </c>
      <c r="AG6117">
        <v>-1.1056927796589999</v>
      </c>
      <c r="AH6117">
        <v>24.192153669126299</v>
      </c>
      <c r="AI6117">
        <v>92.606521774317997</v>
      </c>
      <c r="AJ6117">
        <v>84.901897598140906</v>
      </c>
      <c r="AK6117">
        <v>24.313392359632999</v>
      </c>
    </row>
    <row r="6118" spans="1:37" x14ac:dyDescent="0.2">
      <c r="A6118" t="str">
        <f>"20200111155718925"</f>
        <v>20200111155718925</v>
      </c>
      <c r="B6118" t="str">
        <f>"1578729438919155"</f>
        <v>1578729438919155</v>
      </c>
      <c r="C6118" t="s">
        <v>37</v>
      </c>
      <c r="D6118">
        <v>4.5648780000000002</v>
      </c>
      <c r="E6118">
        <v>0.57422930000000005</v>
      </c>
      <c r="F6118" t="s">
        <v>99</v>
      </c>
      <c r="G6118">
        <v>-234.37710000000001</v>
      </c>
      <c r="H6118" s="1">
        <v>-2.6371889999999998E-6</v>
      </c>
      <c r="I6118">
        <v>-67.563389999999998</v>
      </c>
      <c r="J6118">
        <v>-258.6651</v>
      </c>
      <c r="K6118">
        <v>1.10575</v>
      </c>
      <c r="L6118">
        <v>-63.29495</v>
      </c>
      <c r="M6118">
        <v>0.99634990000000001</v>
      </c>
      <c r="N6118">
        <v>0</v>
      </c>
      <c r="O6118">
        <v>-8.4201780000000004E-2</v>
      </c>
      <c r="P6118">
        <v>0.99832559999999904</v>
      </c>
      <c r="Q6118">
        <v>5.4285020000000003E-2</v>
      </c>
      <c r="R6118">
        <v>1.997618E-2</v>
      </c>
      <c r="S6118">
        <v>3.0225979999999999</v>
      </c>
      <c r="T6118">
        <v>-0.136811299999999</v>
      </c>
      <c r="U6118">
        <v>-0.52957149999999997</v>
      </c>
      <c r="V6118">
        <v>-0.10407959999999999</v>
      </c>
      <c r="W6118">
        <v>6.8051929999999997E-2</v>
      </c>
      <c r="X6118">
        <v>0.99223799999999995</v>
      </c>
      <c r="Y6118">
        <v>8.9010889999999995E-2</v>
      </c>
      <c r="Z6118">
        <v>1.7724100000000001E-3</v>
      </c>
      <c r="AA6118">
        <v>0.996029099999999</v>
      </c>
      <c r="AB6118">
        <v>29</v>
      </c>
      <c r="AC6118">
        <v>24.287999999999901</v>
      </c>
      <c r="AD6118">
        <v>-1.1057526371890001</v>
      </c>
      <c r="AE6118">
        <v>-4.2684399999999902</v>
      </c>
      <c r="AF6118">
        <v>2.2035539339089198</v>
      </c>
      <c r="AG6118">
        <v>-1.1057526371890001</v>
      </c>
      <c r="AH6118">
        <v>24.5118920431776</v>
      </c>
      <c r="AI6118">
        <v>92.572550884410802</v>
      </c>
      <c r="AJ6118">
        <v>84.863070124293401</v>
      </c>
      <c r="AK6118">
        <v>24.635567587751801</v>
      </c>
    </row>
    <row r="6119" spans="1:37" x14ac:dyDescent="0.2">
      <c r="A6119" t="str">
        <f>"20200111155718934"</f>
        <v>20200111155718934</v>
      </c>
      <c r="B6119" t="str">
        <f>"1578729438928914"</f>
        <v>1578729438928914</v>
      </c>
      <c r="C6119" t="s">
        <v>37</v>
      </c>
      <c r="D6119">
        <v>4.5719339999999997</v>
      </c>
      <c r="E6119">
        <v>0.57425059999999895</v>
      </c>
      <c r="F6119" t="s">
        <v>99</v>
      </c>
      <c r="G6119">
        <v>-234.28739999999999</v>
      </c>
      <c r="H6119" s="1">
        <v>-2.6028349999999998E-6</v>
      </c>
      <c r="I6119">
        <v>-67.541780000000003</v>
      </c>
      <c r="J6119">
        <v>-258.52280000000002</v>
      </c>
      <c r="K6119">
        <v>1.105807</v>
      </c>
      <c r="L6119">
        <v>-63.3065199999999</v>
      </c>
      <c r="M6119">
        <v>0.99639179999999905</v>
      </c>
      <c r="N6119">
        <v>0</v>
      </c>
      <c r="O6119">
        <v>-8.3704909999999993E-2</v>
      </c>
      <c r="P6119">
        <v>0.99829709999999905</v>
      </c>
      <c r="Q6119">
        <v>5.4346159999999998E-2</v>
      </c>
      <c r="R6119">
        <v>2.1205709999999999E-2</v>
      </c>
      <c r="S6119">
        <v>3.0229949999999999</v>
      </c>
      <c r="T6119">
        <v>-0.13712060000000001</v>
      </c>
      <c r="U6119">
        <v>-0.52664180000000005</v>
      </c>
      <c r="V6119">
        <v>-0.1048163</v>
      </c>
      <c r="W6119">
        <v>6.8106169999999994E-2</v>
      </c>
      <c r="X6119">
        <v>0.99215679999999995</v>
      </c>
      <c r="Y6119">
        <v>8.8548600000000005E-2</v>
      </c>
      <c r="Z6119">
        <v>1.7645510000000001E-3</v>
      </c>
      <c r="AA6119">
        <v>0.99607029999999996</v>
      </c>
      <c r="AB6119">
        <v>29</v>
      </c>
      <c r="AC6119">
        <v>24.235399999999998</v>
      </c>
      <c r="AD6119">
        <v>-1.105809602835</v>
      </c>
      <c r="AE6119">
        <v>-4.23526000000001</v>
      </c>
      <c r="AF6119">
        <v>2.1871535941297902</v>
      </c>
      <c r="AG6119">
        <v>-1.105809602835</v>
      </c>
      <c r="AH6119">
        <v>24.455473026118799</v>
      </c>
      <c r="AI6119">
        <v>92.5787165499016</v>
      </c>
      <c r="AJ6119">
        <v>84.889399354594104</v>
      </c>
      <c r="AK6119">
        <v>24.577970149165299</v>
      </c>
    </row>
    <row r="6120" spans="1:37" x14ac:dyDescent="0.2">
      <c r="A6120" t="str">
        <f>"20200111155718946"</f>
        <v>20200111155718946</v>
      </c>
      <c r="B6120" t="str">
        <f>"1578729438939651"</f>
        <v>1578729438939651</v>
      </c>
      <c r="C6120" t="s">
        <v>37</v>
      </c>
      <c r="D6120">
        <v>4.6026739999999897</v>
      </c>
      <c r="E6120">
        <v>0.57463580000000003</v>
      </c>
      <c r="F6120" t="s">
        <v>99</v>
      </c>
      <c r="G6120">
        <v>-234.16290000000001</v>
      </c>
      <c r="H6120" s="1">
        <v>-2.556898E-6</v>
      </c>
      <c r="I6120">
        <v>-67.521649999999994</v>
      </c>
      <c r="J6120">
        <v>-258.3802</v>
      </c>
      <c r="K6120">
        <v>1.1058569999999901</v>
      </c>
      <c r="L6120">
        <v>-63.317929999999997</v>
      </c>
      <c r="M6120">
        <v>0.99643689999999996</v>
      </c>
      <c r="N6120">
        <v>0</v>
      </c>
      <c r="O6120">
        <v>-8.3164450000000001E-2</v>
      </c>
      <c r="P6120">
        <v>0.99824449999999998</v>
      </c>
      <c r="Q6120">
        <v>5.484866E-2</v>
      </c>
      <c r="R6120">
        <v>2.235291E-2</v>
      </c>
      <c r="S6120">
        <v>3.0237430000000001</v>
      </c>
      <c r="T6120">
        <v>-0.137262</v>
      </c>
      <c r="U6120">
        <v>-0.52322389999999996</v>
      </c>
      <c r="V6120">
        <v>-0.1054258</v>
      </c>
      <c r="W6120">
        <v>6.8601410000000002E-2</v>
      </c>
      <c r="X6120">
        <v>0.99205810000000005</v>
      </c>
      <c r="Y6120">
        <v>8.795422E-2</v>
      </c>
      <c r="Z6120">
        <v>1.755345E-3</v>
      </c>
      <c r="AA6120">
        <v>0.99612299999999998</v>
      </c>
      <c r="AB6120">
        <v>29</v>
      </c>
      <c r="AC6120">
        <v>24.217299999999899</v>
      </c>
      <c r="AD6120">
        <v>-1.1058595568979901</v>
      </c>
      <c r="AE6120">
        <v>-4.2037199999999899</v>
      </c>
      <c r="AF6120">
        <v>2.1705440852295399</v>
      </c>
      <c r="AG6120">
        <v>-1.1058595568979901</v>
      </c>
      <c r="AH6120">
        <v>24.433566566727499</v>
      </c>
      <c r="AI6120">
        <v>92.581278548441801</v>
      </c>
      <c r="AJ6120">
        <v>84.923483011367495</v>
      </c>
      <c r="AK6120">
        <v>24.5547014267372</v>
      </c>
    </row>
    <row r="6121" spans="1:37" x14ac:dyDescent="0.2">
      <c r="A6121" t="str">
        <f>"20200111155718957"</f>
        <v>20200111155718957</v>
      </c>
      <c r="B6121" t="str">
        <f>"1578729438949411"</f>
        <v>1578729438949411</v>
      </c>
      <c r="C6121" t="s">
        <v>37</v>
      </c>
      <c r="D6121">
        <v>4.5511689999999998</v>
      </c>
      <c r="E6121">
        <v>0.57471249999999996</v>
      </c>
      <c r="F6121" t="s">
        <v>99</v>
      </c>
      <c r="G6121">
        <v>-233.6481</v>
      </c>
      <c r="H6121" s="1">
        <v>-2.3945640000000002E-6</v>
      </c>
      <c r="I6121">
        <v>-67.594290000000001</v>
      </c>
      <c r="J6121">
        <v>-258.24009999999998</v>
      </c>
      <c r="K6121">
        <v>1.1059060000000001</v>
      </c>
      <c r="L6121">
        <v>-63.329129999999999</v>
      </c>
      <c r="M6121">
        <v>0.99648230000000004</v>
      </c>
      <c r="N6121">
        <v>0</v>
      </c>
      <c r="O6121">
        <v>-8.2617949999999996E-2</v>
      </c>
      <c r="P6121">
        <v>0.99819539999999995</v>
      </c>
      <c r="Q6121">
        <v>5.5217429999999998E-2</v>
      </c>
      <c r="R6121">
        <v>2.360841E-2</v>
      </c>
      <c r="S6121">
        <v>3.0244140000000002</v>
      </c>
      <c r="T6121">
        <v>-0.13523209999999999</v>
      </c>
      <c r="U6121">
        <v>-0.5229492</v>
      </c>
      <c r="V6121">
        <v>-0.1061375</v>
      </c>
      <c r="W6121">
        <v>6.8961990000000001E-2</v>
      </c>
      <c r="X6121">
        <v>0.99195719999999998</v>
      </c>
      <c r="Y6121">
        <v>8.8374759999999997E-2</v>
      </c>
      <c r="Z6121">
        <v>1.695626E-3</v>
      </c>
      <c r="AA6121">
        <v>0.99608589999999997</v>
      </c>
      <c r="AB6121">
        <v>29</v>
      </c>
      <c r="AC6121">
        <v>24.591999999999899</v>
      </c>
      <c r="AD6121">
        <v>-1.105908394564</v>
      </c>
      <c r="AE6121">
        <v>-4.2651599999999901</v>
      </c>
      <c r="AF6121">
        <v>2.2142874606378999</v>
      </c>
      <c r="AG6121">
        <v>-1.105908394564</v>
      </c>
      <c r="AH6121">
        <v>24.811612255720998</v>
      </c>
      <c r="AI6121">
        <v>92.542020796620406</v>
      </c>
      <c r="AJ6121">
        <v>84.9002060517616</v>
      </c>
      <c r="AK6121">
        <v>24.934758973444101</v>
      </c>
    </row>
    <row r="6122" spans="1:37" x14ac:dyDescent="0.2">
      <c r="A6122" t="str">
        <f>"20200111155718968"</f>
        <v>20200111155718968</v>
      </c>
      <c r="B6122" t="str">
        <f>"1578729438959170"</f>
        <v>1578729438959170</v>
      </c>
      <c r="C6122" t="s">
        <v>37</v>
      </c>
      <c r="D6122">
        <v>4.569572</v>
      </c>
      <c r="E6122">
        <v>0.57486649999999995</v>
      </c>
      <c r="F6122" t="s">
        <v>99</v>
      </c>
      <c r="G6122">
        <v>-233.24430000000001</v>
      </c>
      <c r="H6122" s="1">
        <v>-2.26276299999999E-6</v>
      </c>
      <c r="I6122">
        <v>-67.62585</v>
      </c>
      <c r="J6122">
        <v>-258.0942</v>
      </c>
      <c r="K6122">
        <v>1.1059600000000001</v>
      </c>
      <c r="L6122">
        <v>-63.340580000000003</v>
      </c>
      <c r="M6122">
        <v>0.99653359999999902</v>
      </c>
      <c r="N6122">
        <v>0</v>
      </c>
      <c r="O6122">
        <v>-8.1996490000000005E-2</v>
      </c>
      <c r="P6122">
        <v>0.99814329999999996</v>
      </c>
      <c r="Q6122">
        <v>5.569342E-2</v>
      </c>
      <c r="R6122">
        <v>2.4670040000000001E-2</v>
      </c>
      <c r="S6122">
        <v>3.025131</v>
      </c>
      <c r="T6122">
        <v>-0.13384289999999999</v>
      </c>
      <c r="U6122">
        <v>-0.52001949999999997</v>
      </c>
      <c r="V6122">
        <v>-0.106581</v>
      </c>
      <c r="W6122">
        <v>6.9431030000000005E-2</v>
      </c>
      <c r="X6122">
        <v>0.99187689999999995</v>
      </c>
      <c r="Y6122">
        <v>8.8019390000000003E-2</v>
      </c>
      <c r="Z6122">
        <v>1.6586870000000001E-3</v>
      </c>
      <c r="AA6122">
        <v>0.99611740000000004</v>
      </c>
      <c r="AB6122">
        <v>29</v>
      </c>
      <c r="AC6122">
        <v>24.849899999999899</v>
      </c>
      <c r="AD6122">
        <v>-1.1059622627629999</v>
      </c>
      <c r="AE6122">
        <v>-4.2852699999999899</v>
      </c>
      <c r="AF6122">
        <v>2.2287442160978599</v>
      </c>
      <c r="AG6122">
        <v>-1.1059622627629999</v>
      </c>
      <c r="AH6122">
        <v>25.069393760012399</v>
      </c>
      <c r="AI6122">
        <v>92.516113791391902</v>
      </c>
      <c r="AJ6122">
        <v>84.919590192742206</v>
      </c>
      <c r="AK6122">
        <v>25.192557567702298</v>
      </c>
    </row>
    <row r="6123" spans="1:37" x14ac:dyDescent="0.2">
      <c r="A6123" t="str">
        <f>"20200111155718980"</f>
        <v>20200111155718980</v>
      </c>
      <c r="B6123" t="str">
        <f>"1578729438968930"</f>
        <v>1578729438968930</v>
      </c>
      <c r="C6123" t="s">
        <v>37</v>
      </c>
      <c r="D6123">
        <v>4.5499450000000001</v>
      </c>
      <c r="E6123">
        <v>0.57512989999999997</v>
      </c>
      <c r="F6123" t="s">
        <v>99</v>
      </c>
      <c r="G6123">
        <v>-232.6046</v>
      </c>
      <c r="H6123" s="1">
        <v>-2.05292799999999E-6</v>
      </c>
      <c r="I6123">
        <v>-67.706379999999996</v>
      </c>
      <c r="J6123">
        <v>-257.95299999999997</v>
      </c>
      <c r="K6123">
        <v>1.106012</v>
      </c>
      <c r="L6123">
        <v>-63.351619999999997</v>
      </c>
      <c r="M6123">
        <v>0.99658359999999901</v>
      </c>
      <c r="N6123">
        <v>0</v>
      </c>
      <c r="O6123">
        <v>-8.1383280000000002E-2</v>
      </c>
      <c r="P6123">
        <v>0.99809619999999999</v>
      </c>
      <c r="Q6123">
        <v>5.6032800000000001E-2</v>
      </c>
      <c r="R6123">
        <v>2.5778780000000001E-2</v>
      </c>
      <c r="S6123">
        <v>3.0257419999999899</v>
      </c>
      <c r="T6123">
        <v>-0.13128329999999999</v>
      </c>
      <c r="U6123">
        <v>-0.51824950000000003</v>
      </c>
      <c r="V6123">
        <v>-0.1070798</v>
      </c>
      <c r="W6123">
        <v>6.9763030000000004E-2</v>
      </c>
      <c r="X6123">
        <v>0.99179989999999996</v>
      </c>
      <c r="Y6123">
        <v>8.8032330000000006E-2</v>
      </c>
      <c r="Z6123">
        <v>1.6002499999999999E-3</v>
      </c>
      <c r="AA6123">
        <v>0.99611629999999995</v>
      </c>
      <c r="AB6123">
        <v>29</v>
      </c>
      <c r="AC6123">
        <v>25.348399999999899</v>
      </c>
      <c r="AD6123">
        <v>-1.106014052928</v>
      </c>
      <c r="AE6123">
        <v>-4.3547600000000104</v>
      </c>
      <c r="AF6123">
        <v>2.27296857619175</v>
      </c>
      <c r="AG6123">
        <v>-1.106014052928</v>
      </c>
      <c r="AH6123">
        <v>25.571452177476001</v>
      </c>
      <c r="AI6123">
        <v>92.466894031835906</v>
      </c>
      <c r="AJ6123">
        <v>84.920501947877099</v>
      </c>
      <c r="AK6123">
        <v>25.696085688263299</v>
      </c>
    </row>
    <row r="6124" spans="1:37" x14ac:dyDescent="0.2">
      <c r="A6124" t="str">
        <f>"20200111155718992"</f>
        <v>20200111155718992</v>
      </c>
      <c r="B6124" t="str">
        <f>"1578729438989426"</f>
        <v>1578729438989426</v>
      </c>
      <c r="C6124" t="s">
        <v>37</v>
      </c>
      <c r="D6124">
        <v>4.5273099999999999</v>
      </c>
      <c r="E6124">
        <v>0.57552419999999904</v>
      </c>
      <c r="F6124" t="s">
        <v>99</v>
      </c>
      <c r="G6124">
        <v>-232.34549999999999</v>
      </c>
      <c r="H6124" s="1">
        <v>-1.9469279999999999E-6</v>
      </c>
      <c r="I6124">
        <v>-67.725849999999994</v>
      </c>
      <c r="J6124">
        <v>-257.7953</v>
      </c>
      <c r="K6124">
        <v>1.1060680000000001</v>
      </c>
      <c r="L6124">
        <v>-63.36374</v>
      </c>
      <c r="M6124">
        <v>0.99664299999999995</v>
      </c>
      <c r="N6124">
        <v>0</v>
      </c>
      <c r="O6124">
        <v>-8.0651909999999993E-2</v>
      </c>
      <c r="P6124">
        <v>0.99801469999999903</v>
      </c>
      <c r="Q6124">
        <v>5.6824090000000001E-2</v>
      </c>
      <c r="R6124">
        <v>2.7164520000000001E-2</v>
      </c>
      <c r="S6124">
        <v>3.0263819999999999</v>
      </c>
      <c r="T6124">
        <v>-0.13071259999999901</v>
      </c>
      <c r="U6124">
        <v>-0.51696779999999998</v>
      </c>
      <c r="V6124">
        <v>-0.107735999999999</v>
      </c>
      <c r="W6124">
        <v>7.0545040000000003E-2</v>
      </c>
      <c r="X6124">
        <v>0.99167349999999999</v>
      </c>
      <c r="Y6124">
        <v>8.8317489999999998E-2</v>
      </c>
      <c r="Z6124">
        <v>1.555762E-3</v>
      </c>
      <c r="AA6124">
        <v>0.99609119999999995</v>
      </c>
      <c r="AB6124">
        <v>29</v>
      </c>
      <c r="AC6124">
        <v>25.4498</v>
      </c>
      <c r="AD6124">
        <v>-1.106069946928</v>
      </c>
      <c r="AE6124">
        <v>-4.3621099999999897</v>
      </c>
      <c r="AF6124">
        <v>2.29091495772626</v>
      </c>
      <c r="AG6124">
        <v>-1.106069946928</v>
      </c>
      <c r="AH6124">
        <v>25.6716179660447</v>
      </c>
      <c r="AI6124">
        <v>92.457328136182198</v>
      </c>
      <c r="AJ6124">
        <v>84.900478071640407</v>
      </c>
      <c r="AK6124">
        <v>25.7973574434588</v>
      </c>
    </row>
    <row r="6125" spans="1:37" x14ac:dyDescent="0.2">
      <c r="A6125" t="str">
        <f>"20200111155719003"</f>
        <v>20200111155719003</v>
      </c>
      <c r="B6125" t="str">
        <f>"1578729438999187"</f>
        <v>1578729438999187</v>
      </c>
      <c r="C6125" t="s">
        <v>37</v>
      </c>
      <c r="D6125">
        <v>4.4468610000000002</v>
      </c>
      <c r="E6125">
        <v>0.57559659999999901</v>
      </c>
      <c r="F6125" t="s">
        <v>99</v>
      </c>
      <c r="G6125">
        <v>-231.53880000000001</v>
      </c>
      <c r="H6125" s="1">
        <v>-1.630871E-6</v>
      </c>
      <c r="I6125">
        <v>-67.838549999999998</v>
      </c>
      <c r="J6125">
        <v>-257.66419999999999</v>
      </c>
      <c r="K6125">
        <v>1.1061129999999999</v>
      </c>
      <c r="L6125">
        <v>-63.373719999999999</v>
      </c>
      <c r="M6125">
        <v>0.9966933</v>
      </c>
      <c r="N6125">
        <v>0</v>
      </c>
      <c r="O6125">
        <v>-8.0028559999999999E-2</v>
      </c>
      <c r="P6125">
        <v>0.99795900000000004</v>
      </c>
      <c r="Q6125">
        <v>5.7205569999999997E-2</v>
      </c>
      <c r="R6125">
        <v>2.8380099999999998E-2</v>
      </c>
      <c r="S6125">
        <v>3.027237</v>
      </c>
      <c r="T6125">
        <v>-0.12752449999999901</v>
      </c>
      <c r="U6125">
        <v>-0.51593020000000001</v>
      </c>
      <c r="V6125">
        <v>-0.1083298</v>
      </c>
      <c r="W6125">
        <v>7.0918399999999895E-2</v>
      </c>
      <c r="X6125">
        <v>0.99158219999999997</v>
      </c>
      <c r="Y6125">
        <v>8.8561639999999997E-2</v>
      </c>
      <c r="Z6125">
        <v>1.4864710000000001E-3</v>
      </c>
      <c r="AA6125">
        <v>0.9960696</v>
      </c>
      <c r="AB6125">
        <v>29</v>
      </c>
      <c r="AC6125">
        <v>26.1253999999999</v>
      </c>
      <c r="AD6125">
        <v>-1.1061146308709999</v>
      </c>
      <c r="AE6125">
        <v>-4.4648299999999903</v>
      </c>
      <c r="AF6125">
        <v>2.3554190678231399</v>
      </c>
      <c r="AG6125">
        <v>-1.1061146308709999</v>
      </c>
      <c r="AH6125">
        <v>26.353038382102099</v>
      </c>
      <c r="AI6125">
        <v>92.393929871327501</v>
      </c>
      <c r="AJ6125">
        <v>84.892508782518803</v>
      </c>
      <c r="AK6125">
        <v>26.481203154884</v>
      </c>
    </row>
    <row r="6126" spans="1:37" x14ac:dyDescent="0.2">
      <c r="A6126" t="str">
        <f>"20200111155719013"</f>
        <v>20200111155719013</v>
      </c>
      <c r="B6126" t="str">
        <f>"1578729439008946"</f>
        <v>1578729439008946</v>
      </c>
      <c r="C6126" t="s">
        <v>37</v>
      </c>
      <c r="D6126">
        <v>4.4901220000000004</v>
      </c>
      <c r="E6126">
        <v>0.57579820000000004</v>
      </c>
      <c r="F6126" t="s">
        <v>99</v>
      </c>
      <c r="G6126">
        <v>-231.10720000000001</v>
      </c>
      <c r="H6126" s="1">
        <v>-1.4548550000000001E-6</v>
      </c>
      <c r="I6126">
        <v>-67.872990000000001</v>
      </c>
      <c r="J6126">
        <v>-257.52030000000002</v>
      </c>
      <c r="K6126">
        <v>1.106158</v>
      </c>
      <c r="L6126">
        <v>-63.384549999999997</v>
      </c>
      <c r="M6126">
        <v>0.99674979999999902</v>
      </c>
      <c r="N6126">
        <v>0</v>
      </c>
      <c r="O6126">
        <v>-7.9320210000000002E-2</v>
      </c>
      <c r="P6126">
        <v>0.99788480000000002</v>
      </c>
      <c r="Q6126">
        <v>5.778105E-2</v>
      </c>
      <c r="R6126">
        <v>2.9795510000000001E-2</v>
      </c>
      <c r="S6126">
        <v>3.0279539999999998</v>
      </c>
      <c r="T6126">
        <v>-0.126115899999999</v>
      </c>
      <c r="U6126">
        <v>-0.51300049999999997</v>
      </c>
      <c r="V6126">
        <v>-0.10903789999999999</v>
      </c>
      <c r="W6126">
        <v>7.1485370000000006E-2</v>
      </c>
      <c r="X6126">
        <v>0.99146380000000001</v>
      </c>
      <c r="Y6126">
        <v>8.8293559999999993E-2</v>
      </c>
      <c r="Z6126">
        <v>1.446297E-3</v>
      </c>
      <c r="AA6126">
        <v>0.99609349999999997</v>
      </c>
      <c r="AB6126">
        <v>29</v>
      </c>
      <c r="AC6126">
        <v>26.4131</v>
      </c>
      <c r="AD6126">
        <v>-1.106159454855</v>
      </c>
      <c r="AE6126">
        <v>-4.4884399999999998</v>
      </c>
      <c r="AF6126">
        <v>2.3749462989038101</v>
      </c>
      <c r="AG6126">
        <v>-1.106159454855</v>
      </c>
      <c r="AH6126">
        <v>26.6405075213172</v>
      </c>
      <c r="AI6126">
        <v>92.368271661811207</v>
      </c>
      <c r="AJ6126">
        <v>84.905666439736905</v>
      </c>
      <c r="AK6126">
        <v>26.769023135998001</v>
      </c>
    </row>
    <row r="6127" spans="1:37" x14ac:dyDescent="0.2">
      <c r="A6127" t="str">
        <f>"20200111155719025"</f>
        <v>20200111155719025</v>
      </c>
      <c r="B6127" t="str">
        <f>"1578729439018706"</f>
        <v>1578729439018706</v>
      </c>
      <c r="C6127" t="s">
        <v>37</v>
      </c>
      <c r="D6127">
        <v>4.5239769999999897</v>
      </c>
      <c r="E6127">
        <v>0.57602600000000004</v>
      </c>
      <c r="F6127" t="s">
        <v>99</v>
      </c>
      <c r="G6127">
        <v>-230.5412</v>
      </c>
      <c r="H6127" s="1">
        <v>-1.2275449999999899E-6</v>
      </c>
      <c r="I6127">
        <v>-67.931179999999998</v>
      </c>
      <c r="J6127">
        <v>-257.37880000000001</v>
      </c>
      <c r="K6127">
        <v>1.1061969999999901</v>
      </c>
      <c r="L6127">
        <v>-63.39508</v>
      </c>
      <c r="M6127">
        <v>0.99680679999999999</v>
      </c>
      <c r="N6127">
        <v>0</v>
      </c>
      <c r="O6127">
        <v>-7.8600580000000003E-2</v>
      </c>
      <c r="P6127">
        <v>0.99781980000000003</v>
      </c>
      <c r="Q6127">
        <v>5.8072100000000001E-2</v>
      </c>
      <c r="R6127">
        <v>3.1365120000000003E-2</v>
      </c>
      <c r="S6127">
        <v>3.0288240000000002</v>
      </c>
      <c r="T6127">
        <v>-0.12418360000000001</v>
      </c>
      <c r="U6127">
        <v>-0.51043700000000003</v>
      </c>
      <c r="V6127">
        <v>-0.109888</v>
      </c>
      <c r="W6127">
        <v>7.1767869999999997E-2</v>
      </c>
      <c r="X6127">
        <v>0.99134959999999905</v>
      </c>
      <c r="Y6127">
        <v>8.8145710000000002E-2</v>
      </c>
      <c r="Z6127">
        <v>1.3977639999999999E-3</v>
      </c>
      <c r="AA6127">
        <v>0.99610659999999895</v>
      </c>
      <c r="AB6127">
        <v>29</v>
      </c>
      <c r="AC6127">
        <v>26.837599999999998</v>
      </c>
      <c r="AD6127">
        <v>-1.106198227545</v>
      </c>
      <c r="AE6127">
        <v>-4.5360999999999896</v>
      </c>
      <c r="AF6127">
        <v>2.4084252948104301</v>
      </c>
      <c r="AG6127">
        <v>-1.106198227545</v>
      </c>
      <c r="AH6127">
        <v>27.066421371076199</v>
      </c>
      <c r="AI6127">
        <v>92.331162023326499</v>
      </c>
      <c r="AJ6127">
        <v>84.915097055616101</v>
      </c>
      <c r="AK6127">
        <v>27.195870141548198</v>
      </c>
    </row>
    <row r="6128" spans="1:37" x14ac:dyDescent="0.2">
      <c r="A6128" t="str">
        <f>"20200111155719036"</f>
        <v>20200111155719036</v>
      </c>
      <c r="B6128" t="str">
        <f>"1578729439029442"</f>
        <v>1578729439029442</v>
      </c>
      <c r="C6128" t="s">
        <v>37</v>
      </c>
      <c r="D6128">
        <v>4.5060549999999999</v>
      </c>
      <c r="E6128">
        <v>0.57633380000000001</v>
      </c>
      <c r="F6128" t="s">
        <v>99</v>
      </c>
      <c r="G6128">
        <v>-230.1157</v>
      </c>
      <c r="H6128" s="1">
        <v>-1.053472E-6</v>
      </c>
      <c r="I6128">
        <v>-67.963049999999996</v>
      </c>
      <c r="J6128">
        <v>-257.23649999999998</v>
      </c>
      <c r="K6128">
        <v>1.1062339999999999</v>
      </c>
      <c r="L6128">
        <v>-63.40558</v>
      </c>
      <c r="M6128">
        <v>0.99686459999999999</v>
      </c>
      <c r="N6128">
        <v>0</v>
      </c>
      <c r="O6128">
        <v>-7.7861780000000005E-2</v>
      </c>
      <c r="P6128">
        <v>0.99774309999999999</v>
      </c>
      <c r="Q6128">
        <v>5.8484670000000002E-2</v>
      </c>
      <c r="R6128">
        <v>3.2986540000000002E-2</v>
      </c>
      <c r="S6128">
        <v>3.0296630000000002</v>
      </c>
      <c r="T6128">
        <v>-0.1229281</v>
      </c>
      <c r="U6128">
        <v>-0.50762940000000001</v>
      </c>
      <c r="V6128">
        <v>-0.1107701</v>
      </c>
      <c r="W6128">
        <v>7.2171669999999993E-2</v>
      </c>
      <c r="X6128">
        <v>0.99122209999999999</v>
      </c>
      <c r="Y6128">
        <v>8.7940690000000002E-2</v>
      </c>
      <c r="Z6128">
        <v>1.357935E-3</v>
      </c>
      <c r="AA6128">
        <v>0.99612479999999903</v>
      </c>
      <c r="AB6128">
        <v>29</v>
      </c>
      <c r="AC6128">
        <v>27.1207999999999</v>
      </c>
      <c r="AD6128">
        <v>-1.106235053472</v>
      </c>
      <c r="AE6128">
        <v>-4.5574699999999799</v>
      </c>
      <c r="AF6128">
        <v>2.4278197536449602</v>
      </c>
      <c r="AG6128">
        <v>-1.106235053472</v>
      </c>
      <c r="AH6128">
        <v>27.349084669468098</v>
      </c>
      <c r="AI6128">
        <v>92.307214243452506</v>
      </c>
      <c r="AJ6128">
        <v>84.927064364867306</v>
      </c>
      <c r="AK6128">
        <v>27.4789100403828</v>
      </c>
    </row>
    <row r="6129" spans="1:37" x14ac:dyDescent="0.2">
      <c r="A6129" t="str">
        <f>"20200111155719047"</f>
        <v>20200111155719047</v>
      </c>
      <c r="B6129" t="str">
        <f>"1578729439039203"</f>
        <v>1578729439039203</v>
      </c>
      <c r="C6129" t="s">
        <v>37</v>
      </c>
      <c r="D6129">
        <v>4.5194729999999996</v>
      </c>
      <c r="E6129">
        <v>0.57662639999999998</v>
      </c>
      <c r="F6129" t="s">
        <v>100</v>
      </c>
      <c r="G6129">
        <v>-229.6516</v>
      </c>
      <c r="H6129" s="1">
        <v>-4.3118909999999997E-6</v>
      </c>
      <c r="I6129">
        <v>-68.004450000000006</v>
      </c>
      <c r="J6129">
        <v>-257.10120000000001</v>
      </c>
      <c r="K6129">
        <v>1.106268</v>
      </c>
      <c r="L6129">
        <v>-63.41534</v>
      </c>
      <c r="M6129">
        <v>0.99692139999999996</v>
      </c>
      <c r="N6129">
        <v>0</v>
      </c>
      <c r="O6129">
        <v>-7.7131140000000001E-2</v>
      </c>
      <c r="P6129">
        <v>0.99766739999999998</v>
      </c>
      <c r="Q6129">
        <v>5.8580999999999897E-2</v>
      </c>
      <c r="R6129">
        <v>3.5049289999999997E-2</v>
      </c>
      <c r="S6129">
        <v>3.0305789999999999</v>
      </c>
      <c r="T6129">
        <v>-0.1215355</v>
      </c>
      <c r="U6129">
        <v>-0.50524899999999995</v>
      </c>
      <c r="V6129">
        <v>-0.112099399999999</v>
      </c>
      <c r="W6129">
        <v>7.2257730000000006E-2</v>
      </c>
      <c r="X6129">
        <v>0.99106640000000001</v>
      </c>
      <c r="Y6129">
        <v>8.7860240000000006E-2</v>
      </c>
      <c r="Z6129">
        <v>1.3149450000000001E-3</v>
      </c>
      <c r="AA6129">
        <v>0.99613200000000002</v>
      </c>
      <c r="AB6129">
        <v>29</v>
      </c>
      <c r="AC6129">
        <v>27.4496</v>
      </c>
      <c r="AD6129">
        <v>-1.1062723118910001</v>
      </c>
      <c r="AE6129">
        <v>-4.5891099999999998</v>
      </c>
      <c r="AF6129">
        <v>2.4541292777687298</v>
      </c>
      <c r="AG6129">
        <v>-1.1062723118910001</v>
      </c>
      <c r="AH6129">
        <v>27.678074941835298</v>
      </c>
      <c r="AI6129">
        <v>92.279916759883406</v>
      </c>
      <c r="AJ6129">
        <v>84.933011346242395</v>
      </c>
      <c r="AK6129">
        <v>27.8086752907417</v>
      </c>
    </row>
    <row r="6130" spans="1:37" x14ac:dyDescent="0.2">
      <c r="A6130" t="str">
        <f>"20200111155719057"</f>
        <v>20200111155719057</v>
      </c>
      <c r="B6130" t="str">
        <f>"1578729439048962"</f>
        <v>1578729439048962</v>
      </c>
      <c r="C6130" t="s">
        <v>37</v>
      </c>
      <c r="D6130">
        <v>4.4505929999999996</v>
      </c>
      <c r="E6130">
        <v>0.57679429999999998</v>
      </c>
      <c r="F6130" t="s">
        <v>100</v>
      </c>
      <c r="G6130">
        <v>-229.4743</v>
      </c>
      <c r="H6130" s="1">
        <v>-4.248928E-6</v>
      </c>
      <c r="I6130">
        <v>-67.984949999999998</v>
      </c>
      <c r="J6130">
        <v>-256.96120000000002</v>
      </c>
      <c r="K6130">
        <v>1.106301</v>
      </c>
      <c r="L6130">
        <v>-63.425449999999998</v>
      </c>
      <c r="M6130">
        <v>0.99698009999999904</v>
      </c>
      <c r="N6130">
        <v>0</v>
      </c>
      <c r="O6130">
        <v>-7.6367489999999996E-2</v>
      </c>
      <c r="P6130">
        <v>0.997556</v>
      </c>
      <c r="Q6130">
        <v>5.9006030000000001E-2</v>
      </c>
      <c r="R6130">
        <v>3.7422619999999997E-2</v>
      </c>
      <c r="S6130">
        <v>3.0317539999999998</v>
      </c>
      <c r="T6130">
        <v>-0.1214012</v>
      </c>
      <c r="U6130">
        <v>-0.50146480000000004</v>
      </c>
      <c r="V6130">
        <v>-0.113704</v>
      </c>
      <c r="W6130">
        <v>7.2671029999999998E-2</v>
      </c>
      <c r="X6130">
        <v>0.99085330000000005</v>
      </c>
      <c r="Y6130">
        <v>8.735047E-2</v>
      </c>
      <c r="Z6130">
        <v>1.2930939999999901E-3</v>
      </c>
      <c r="AA6130">
        <v>0.99617679999999997</v>
      </c>
      <c r="AB6130">
        <v>29</v>
      </c>
      <c r="AC6130">
        <v>27.486899999999999</v>
      </c>
      <c r="AD6130">
        <v>-1.1063052489280001</v>
      </c>
      <c r="AE6130">
        <v>-4.5594999999999999</v>
      </c>
      <c r="AF6130">
        <v>2.4430167401627698</v>
      </c>
      <c r="AG6130">
        <v>-1.1063052489280001</v>
      </c>
      <c r="AH6130">
        <v>27.711159034150299</v>
      </c>
      <c r="AI6130">
        <v>92.277366541663199</v>
      </c>
      <c r="AJ6130">
        <v>84.9618276978902</v>
      </c>
      <c r="AK6130">
        <v>27.8406281738127</v>
      </c>
    </row>
    <row r="6131" spans="1:37" x14ac:dyDescent="0.2">
      <c r="A6131" t="str">
        <f>"20200111155719068"</f>
        <v>20200111155719068</v>
      </c>
      <c r="B6131" t="str">
        <f>"1578729439059232"</f>
        <v>1578729439059232</v>
      </c>
      <c r="C6131" t="s">
        <v>37</v>
      </c>
      <c r="D6131">
        <v>4.5475649999999996</v>
      </c>
      <c r="E6131">
        <v>0.57701459999999904</v>
      </c>
      <c r="F6131" t="s">
        <v>100</v>
      </c>
      <c r="G6131">
        <v>-229.0103</v>
      </c>
      <c r="H6131" s="1">
        <v>-4.0920529999999999E-6</v>
      </c>
      <c r="I6131">
        <v>-67.992719999999906</v>
      </c>
      <c r="J6131">
        <v>-256.8184</v>
      </c>
      <c r="K6131">
        <v>1.1063319999999901</v>
      </c>
      <c r="L6131">
        <v>-63.435519999999997</v>
      </c>
      <c r="M6131">
        <v>0.99704179999999998</v>
      </c>
      <c r="N6131">
        <v>0</v>
      </c>
      <c r="O6131">
        <v>-7.5556529999999997E-2</v>
      </c>
      <c r="P6131">
        <v>0.99742719999999896</v>
      </c>
      <c r="Q6131">
        <v>5.9347629999999998E-2</v>
      </c>
      <c r="R6131">
        <v>4.0214769999999997E-2</v>
      </c>
      <c r="S6131">
        <v>3.03302</v>
      </c>
      <c r="T6131">
        <v>-0.1200478</v>
      </c>
      <c r="U6131">
        <v>-0.49560549999999998</v>
      </c>
      <c r="V6131">
        <v>-0.115677399999999</v>
      </c>
      <c r="W6131">
        <v>7.2998209999999994E-2</v>
      </c>
      <c r="X6131">
        <v>0.99060079999999995</v>
      </c>
      <c r="Y6131">
        <v>8.6220309999999994E-2</v>
      </c>
      <c r="Z6131">
        <v>1.268918E-3</v>
      </c>
      <c r="AA6131">
        <v>0.99627529999999997</v>
      </c>
      <c r="AB6131">
        <v>29</v>
      </c>
      <c r="AC6131">
        <v>27.8081</v>
      </c>
      <c r="AD6131">
        <v>-1.1063360920530001</v>
      </c>
      <c r="AE6131">
        <v>-4.5571999999999901</v>
      </c>
      <c r="AF6131">
        <v>2.4391185443763801</v>
      </c>
      <c r="AG6131">
        <v>-1.1063360920530001</v>
      </c>
      <c r="AH6131">
        <v>28.029750043079598</v>
      </c>
      <c r="AI6131">
        <v>92.251794207875307</v>
      </c>
      <c r="AJ6131">
        <v>85.026711029863804</v>
      </c>
      <c r="AK6131">
        <v>28.157417607082198</v>
      </c>
    </row>
    <row r="6132" spans="1:37" x14ac:dyDescent="0.2">
      <c r="A6132" t="str">
        <f>"20200111155719080"</f>
        <v>20200111155719080</v>
      </c>
      <c r="B6132" t="str">
        <f>"1578729439068991"</f>
        <v>1578729439068991</v>
      </c>
      <c r="C6132" t="s">
        <v>37</v>
      </c>
      <c r="D6132">
        <v>4.9543970000000002</v>
      </c>
      <c r="E6132">
        <v>0.57701459999999904</v>
      </c>
      <c r="F6132" t="s">
        <v>100</v>
      </c>
      <c r="G6132">
        <v>-228.71559999999999</v>
      </c>
      <c r="H6132" s="1">
        <v>-3.9879789999999998E-6</v>
      </c>
      <c r="I6132">
        <v>-67.964169999999996</v>
      </c>
      <c r="J6132">
        <v>-256.67559999999997</v>
      </c>
      <c r="K6132">
        <v>1.10636</v>
      </c>
      <c r="L6132">
        <v>-63.445529999999998</v>
      </c>
      <c r="M6132">
        <v>0.99710359999999998</v>
      </c>
      <c r="N6132">
        <v>0</v>
      </c>
      <c r="O6132">
        <v>-7.4737590000000007E-2</v>
      </c>
      <c r="P6132">
        <v>0.99726489999999901</v>
      </c>
      <c r="Q6132">
        <v>5.9737190000000003E-2</v>
      </c>
      <c r="R6132">
        <v>4.3525710000000002E-2</v>
      </c>
      <c r="S6132">
        <v>3.034592</v>
      </c>
      <c r="T6132">
        <v>-0.1194645</v>
      </c>
      <c r="U6132">
        <v>-0.4890137</v>
      </c>
      <c r="V6132">
        <v>-0.11815929999999999</v>
      </c>
      <c r="W6132">
        <v>7.3372010000000001E-2</v>
      </c>
      <c r="X6132">
        <v>0.99028019999999894</v>
      </c>
      <c r="Y6132">
        <v>8.484825E-2</v>
      </c>
      <c r="Z6132">
        <v>1.2573560000000001E-3</v>
      </c>
      <c r="AA6132">
        <v>0.99639310000000003</v>
      </c>
      <c r="AB6132">
        <v>29</v>
      </c>
      <c r="AC6132">
        <v>27.959999999999901</v>
      </c>
      <c r="AD6132">
        <v>-1.1063639879789999</v>
      </c>
      <c r="AE6132">
        <v>-4.5186399999999898</v>
      </c>
      <c r="AF6132">
        <v>2.4124481129933599</v>
      </c>
      <c r="AG6132">
        <v>-1.1063639879789999</v>
      </c>
      <c r="AH6132">
        <v>28.1765383057901</v>
      </c>
      <c r="AI6132">
        <v>92.240400115660407</v>
      </c>
      <c r="AJ6132">
        <v>85.1063250618393</v>
      </c>
      <c r="AK6132">
        <v>28.3012589484891</v>
      </c>
    </row>
    <row r="6133" spans="1:37" x14ac:dyDescent="0.2">
      <c r="A6133" t="str">
        <f>"20200111155719181"</f>
        <v>20200111155719181</v>
      </c>
      <c r="B6133" t="str">
        <f>"1578729439179280"</f>
        <v>1578729439179280</v>
      </c>
      <c r="C6133" t="s">
        <v>37</v>
      </c>
      <c r="D6133">
        <v>3.6072949999999899</v>
      </c>
      <c r="E6133">
        <v>0.321577</v>
      </c>
      <c r="F6133" t="s">
        <v>100</v>
      </c>
      <c r="G6133">
        <v>-228.27109999999999</v>
      </c>
      <c r="H6133" s="1">
        <v>-3.8316650000000002E-6</v>
      </c>
      <c r="I6133">
        <v>-67.926410000000004</v>
      </c>
      <c r="J6133">
        <v>-255.40280000000001</v>
      </c>
      <c r="K6133">
        <v>1.1065590000000001</v>
      </c>
      <c r="L6133">
        <v>-63.528230000000001</v>
      </c>
      <c r="M6133">
        <v>0.99766719999999898</v>
      </c>
      <c r="N6133">
        <v>0</v>
      </c>
      <c r="O6133">
        <v>-6.6789909999999994E-2</v>
      </c>
      <c r="P6133">
        <v>0.99497099999999905</v>
      </c>
      <c r="Q6133">
        <v>6.1025650000000001E-2</v>
      </c>
      <c r="R6133">
        <v>7.9427310000000001E-2</v>
      </c>
      <c r="S6133">
        <v>3.0362239999999998</v>
      </c>
      <c r="T6133">
        <v>-0.1182622</v>
      </c>
      <c r="U6133">
        <v>-0.47897339999999999</v>
      </c>
      <c r="V6133">
        <v>-0.14596099999999901</v>
      </c>
      <c r="W6133">
        <v>7.4478100000000005E-2</v>
      </c>
      <c r="X6133">
        <v>0.98648289999999905</v>
      </c>
      <c r="Y6133">
        <v>8.9480519999999994E-2</v>
      </c>
      <c r="Z6133">
        <v>8.4868610000000001E-4</v>
      </c>
      <c r="AA6133">
        <v>0.99598819999999999</v>
      </c>
      <c r="AB6133">
        <v>28</v>
      </c>
      <c r="AC6133">
        <v>27.131699999999999</v>
      </c>
      <c r="AD6133">
        <v>-1.106562831665</v>
      </c>
      <c r="AE6133">
        <v>-4.3981799999999902</v>
      </c>
      <c r="AF6133">
        <v>2.5718842515985201</v>
      </c>
      <c r="AG6133">
        <v>-1.106562831665</v>
      </c>
      <c r="AH6133">
        <v>27.320606181517899</v>
      </c>
      <c r="AI6133">
        <v>92.309177448541803</v>
      </c>
      <c r="AJ6133">
        <v>84.622186430798394</v>
      </c>
      <c r="AK6133">
        <v>27.463695891661001</v>
      </c>
    </row>
    <row r="6134" spans="1:37" x14ac:dyDescent="0.2">
      <c r="A6134" t="str">
        <f>"20200111155719192"</f>
        <v>20200111155719192</v>
      </c>
      <c r="B6134" t="str">
        <f>"1578729439189039"</f>
        <v>1578729439189039</v>
      </c>
      <c r="C6134" t="s">
        <v>37</v>
      </c>
      <c r="D6134">
        <v>3.61314</v>
      </c>
      <c r="E6134">
        <v>0.32183469999999997</v>
      </c>
      <c r="F6134" t="s">
        <v>50</v>
      </c>
      <c r="G6134">
        <v>-212.9999</v>
      </c>
      <c r="H6134">
        <v>10.154439999999999</v>
      </c>
      <c r="I6134">
        <v>-38.948360000000001</v>
      </c>
      <c r="J6134">
        <v>-255.2585</v>
      </c>
      <c r="K6134">
        <v>1.1065639999999899</v>
      </c>
      <c r="L6134">
        <v>-63.536900000000003</v>
      </c>
      <c r="M6134">
        <v>0.99773009999999995</v>
      </c>
      <c r="N6134">
        <v>0</v>
      </c>
      <c r="O6134">
        <v>-6.5842129999999999E-2</v>
      </c>
      <c r="P6134">
        <v>0.99480590000000002</v>
      </c>
      <c r="Q6134">
        <v>6.0516750000000001E-2</v>
      </c>
      <c r="R6134">
        <v>8.1848329999999997E-2</v>
      </c>
      <c r="S6134">
        <v>2.8462070000000002</v>
      </c>
      <c r="T6134">
        <v>0.60731999999999997</v>
      </c>
      <c r="U6134">
        <v>1.649872</v>
      </c>
      <c r="V6134">
        <v>-0.14742759999999999</v>
      </c>
      <c r="W6134">
        <v>7.3959300000000006E-2</v>
      </c>
      <c r="X6134">
        <v>0.98630370000000001</v>
      </c>
      <c r="Y6134">
        <v>-0.54693409999999998</v>
      </c>
      <c r="Z6134">
        <v>-6.6615250000000001E-2</v>
      </c>
      <c r="AA6134">
        <v>0.83452119999999996</v>
      </c>
      <c r="AB6134">
        <v>28</v>
      </c>
      <c r="AC6134">
        <v>42.258600000000001</v>
      </c>
      <c r="AD6134">
        <v>9.0478759999999898</v>
      </c>
      <c r="AE6134">
        <v>24.588539999999998</v>
      </c>
      <c r="AF6134">
        <v>-26.413266335188499</v>
      </c>
      <c r="AG6134">
        <v>9.0478759999999898</v>
      </c>
      <c r="AH6134">
        <v>39.205093946920798</v>
      </c>
      <c r="AI6134">
        <v>79.164753194523598</v>
      </c>
      <c r="AJ6134">
        <v>123.96894768281901</v>
      </c>
      <c r="AK6134">
        <v>48.130698000256203</v>
      </c>
    </row>
    <row r="6135" spans="1:37" x14ac:dyDescent="0.2">
      <c r="A6135" t="str">
        <f>"20200111155719204"</f>
        <v>20200111155719204</v>
      </c>
      <c r="B6135" t="str">
        <f>"1578729439198798"</f>
        <v>1578729439198798</v>
      </c>
      <c r="C6135" t="s">
        <v>37</v>
      </c>
      <c r="D6135">
        <v>3.5653949999999899</v>
      </c>
      <c r="E6135">
        <v>0.3225287</v>
      </c>
      <c r="F6135" t="s">
        <v>50</v>
      </c>
      <c r="G6135">
        <v>-213.0249</v>
      </c>
      <c r="H6135">
        <v>10.1593</v>
      </c>
      <c r="I6135">
        <v>-38.948360000000001</v>
      </c>
      <c r="J6135">
        <v>-255.1155</v>
      </c>
      <c r="K6135">
        <v>1.106568</v>
      </c>
      <c r="L6135">
        <v>-63.545349999999999</v>
      </c>
      <c r="M6135">
        <v>0.99779180000000001</v>
      </c>
      <c r="N6135">
        <v>0</v>
      </c>
      <c r="O6135">
        <v>-6.4899739999999997E-2</v>
      </c>
      <c r="P6135">
        <v>0.99466409999999905</v>
      </c>
      <c r="Q6135">
        <v>5.9780659999999999E-2</v>
      </c>
      <c r="R6135">
        <v>8.4082889999999993E-2</v>
      </c>
      <c r="S6135">
        <v>2.842438</v>
      </c>
      <c r="T6135">
        <v>0.60927410000000004</v>
      </c>
      <c r="U6135">
        <v>1.6548769999999999</v>
      </c>
      <c r="V6135">
        <v>-0.14871489999999901</v>
      </c>
      <c r="W6135">
        <v>7.3215080000000002E-2</v>
      </c>
      <c r="X6135">
        <v>0.98616599999999999</v>
      </c>
      <c r="Y6135">
        <v>-0.5476531</v>
      </c>
      <c r="Z6135">
        <v>-6.6758449999999997E-2</v>
      </c>
      <c r="AA6135">
        <v>0.83403799999999995</v>
      </c>
      <c r="AB6135">
        <v>28</v>
      </c>
      <c r="AC6135">
        <v>42.090600000000002</v>
      </c>
      <c r="AD6135">
        <v>9.0527320000000007</v>
      </c>
      <c r="AE6135">
        <v>24.596989999999899</v>
      </c>
      <c r="AF6135">
        <v>-26.367838870704901</v>
      </c>
      <c r="AG6135">
        <v>9.0527320000000007</v>
      </c>
      <c r="AH6135">
        <v>39.058516943251099</v>
      </c>
      <c r="AI6135">
        <v>79.126081479061895</v>
      </c>
      <c r="AJ6135">
        <v>124.02271571028299</v>
      </c>
      <c r="AK6135">
        <v>47.987317378464802</v>
      </c>
    </row>
    <row r="6136" spans="1:37" x14ac:dyDescent="0.2">
      <c r="A6136" t="str">
        <f>"20200111155719304"</f>
        <v>20200111155719304</v>
      </c>
      <c r="B6136" t="str">
        <f>"1578729439299327"</f>
        <v>1578729439299327</v>
      </c>
      <c r="C6136" t="s">
        <v>37</v>
      </c>
      <c r="D6136">
        <v>3.6772610000000001</v>
      </c>
      <c r="E6136">
        <v>0.32469969999999998</v>
      </c>
      <c r="F6136" t="s">
        <v>50</v>
      </c>
      <c r="G6136">
        <v>-212.94049999999999</v>
      </c>
      <c r="H6136">
        <v>10.14753</v>
      </c>
      <c r="I6136">
        <v>-38.948360000000001</v>
      </c>
      <c r="J6136">
        <v>-253.8595</v>
      </c>
      <c r="K6136">
        <v>1.1065609999999999</v>
      </c>
      <c r="L6136">
        <v>-63.61374</v>
      </c>
      <c r="M6136">
        <v>0.99829769999999896</v>
      </c>
      <c r="N6136">
        <v>0</v>
      </c>
      <c r="O6136">
        <v>-5.6589899999999999E-2</v>
      </c>
      <c r="P6136">
        <v>0.99445329999999998</v>
      </c>
      <c r="Q6136">
        <v>5.4413209999999997E-2</v>
      </c>
      <c r="R6136">
        <v>9.0013780000000002E-2</v>
      </c>
      <c r="S6136">
        <v>2.8395540000000001</v>
      </c>
      <c r="T6136">
        <v>0.60871009999999903</v>
      </c>
      <c r="U6136">
        <v>1.65606699999999</v>
      </c>
      <c r="V6136">
        <v>-0.14638209999999999</v>
      </c>
      <c r="W6136">
        <v>6.7864510000000003E-2</v>
      </c>
      <c r="X6136">
        <v>0.98689749999999998</v>
      </c>
      <c r="Y6136">
        <v>-0.5416204</v>
      </c>
      <c r="Z6136">
        <v>-6.4507439999999999E-2</v>
      </c>
      <c r="AA6136">
        <v>0.83814449999999996</v>
      </c>
      <c r="AB6136">
        <v>28</v>
      </c>
      <c r="AC6136">
        <v>40.918999999999997</v>
      </c>
      <c r="AD6136">
        <v>9.0409690000000005</v>
      </c>
      <c r="AE6136">
        <v>24.665379999999999</v>
      </c>
      <c r="AF6136">
        <v>-26.010317769675201</v>
      </c>
      <c r="AG6136">
        <v>9.0409690000000005</v>
      </c>
      <c r="AH6136">
        <v>38.093438099971898</v>
      </c>
      <c r="AI6136">
        <v>78.910376462480102</v>
      </c>
      <c r="AJ6136">
        <v>124.32538262945801</v>
      </c>
      <c r="AK6136">
        <v>47.004103833759402</v>
      </c>
    </row>
    <row r="6137" spans="1:37" x14ac:dyDescent="0.2">
      <c r="A6137" t="str">
        <f>"20200111155719326"</f>
        <v>20200111155719326</v>
      </c>
      <c r="B6137" t="str">
        <f>"1578729439318847"</f>
        <v>1578729439318847</v>
      </c>
      <c r="C6137" t="s">
        <v>37</v>
      </c>
      <c r="D6137">
        <v>3.6465749999999999</v>
      </c>
      <c r="E6137">
        <v>0.32608579999999998</v>
      </c>
      <c r="F6137" t="s">
        <v>50</v>
      </c>
      <c r="G6137">
        <v>-212.31599999999901</v>
      </c>
      <c r="H6137">
        <v>9.6338340000000002</v>
      </c>
      <c r="I6137">
        <v>-39.336120000000001</v>
      </c>
      <c r="J6137">
        <v>-253.58459999999999</v>
      </c>
      <c r="K6137">
        <v>1.1065499999999999</v>
      </c>
      <c r="L6137">
        <v>-63.627290000000002</v>
      </c>
      <c r="M6137">
        <v>0.99839809999999996</v>
      </c>
      <c r="N6137">
        <v>0</v>
      </c>
      <c r="O6137">
        <v>-5.4789669999999999E-2</v>
      </c>
      <c r="P6137">
        <v>0.99448110000000001</v>
      </c>
      <c r="Q6137">
        <v>5.2993110000000003E-2</v>
      </c>
      <c r="R6137">
        <v>9.0551270000000003E-2</v>
      </c>
      <c r="S6137">
        <v>2.8349299999999999</v>
      </c>
      <c r="T6137">
        <v>0.58190200000000003</v>
      </c>
      <c r="U6137">
        <v>1.6567080000000001</v>
      </c>
      <c r="V6137">
        <v>-0.14513319999999999</v>
      </c>
      <c r="W6137">
        <v>6.6453860000000003E-2</v>
      </c>
      <c r="X6137">
        <v>0.98717790000000005</v>
      </c>
      <c r="Y6137">
        <v>-0.54173329999999997</v>
      </c>
      <c r="Z6137">
        <v>-6.1465520000000003E-2</v>
      </c>
      <c r="AA6137">
        <v>0.83830009999999999</v>
      </c>
      <c r="AB6137">
        <v>28</v>
      </c>
      <c r="AC6137">
        <v>41.268599999999999</v>
      </c>
      <c r="AD6137">
        <v>8.5272839999999999</v>
      </c>
      <c r="AE6137">
        <v>24.291170000000001</v>
      </c>
      <c r="AF6137">
        <v>-25.701030616062901</v>
      </c>
      <c r="AG6137">
        <v>8.5272839999999999</v>
      </c>
      <c r="AH6137">
        <v>38.6499945220028</v>
      </c>
      <c r="AI6137">
        <v>79.589835308633695</v>
      </c>
      <c r="AJ6137">
        <v>123.622656499562</v>
      </c>
      <c r="AK6137">
        <v>47.191944478854701</v>
      </c>
    </row>
    <row r="6138" spans="1:37" x14ac:dyDescent="0.2">
      <c r="A6138" t="str">
        <f>"20200111155719337"</f>
        <v>20200111155719337</v>
      </c>
      <c r="B6138" t="str">
        <f>"1578729439329583"</f>
        <v>1578729439329583</v>
      </c>
      <c r="C6138" t="s">
        <v>37</v>
      </c>
      <c r="D6138">
        <v>4.3932449999999896</v>
      </c>
      <c r="E6138">
        <v>0.33454820000000002</v>
      </c>
      <c r="F6138" t="s">
        <v>50</v>
      </c>
      <c r="G6138">
        <v>-211.75739999999999</v>
      </c>
      <c r="H6138">
        <v>9.6167610000000003</v>
      </c>
      <c r="I6138">
        <v>-39.336109999999998</v>
      </c>
      <c r="J6138">
        <v>-253.44110000000001</v>
      </c>
      <c r="K6138">
        <v>1.106544</v>
      </c>
      <c r="L6138">
        <v>-63.634250000000002</v>
      </c>
      <c r="M6138">
        <v>0.99844889999999997</v>
      </c>
      <c r="N6138">
        <v>0</v>
      </c>
      <c r="O6138">
        <v>-5.385471E-2</v>
      </c>
      <c r="P6138">
        <v>0.99447890000000005</v>
      </c>
      <c r="Q6138">
        <v>5.2637209999999997E-2</v>
      </c>
      <c r="R6138">
        <v>9.0780540000000007E-2</v>
      </c>
      <c r="S6138">
        <v>2.8359380000000001</v>
      </c>
      <c r="T6138">
        <v>0.57700299999999904</v>
      </c>
      <c r="U6138">
        <v>1.646973</v>
      </c>
      <c r="V6138">
        <v>-0.14443420000000001</v>
      </c>
      <c r="W6138">
        <v>6.6103699999999904E-2</v>
      </c>
      <c r="X6138">
        <v>0.98730390000000001</v>
      </c>
      <c r="Y6138">
        <v>-0.53887419999999997</v>
      </c>
      <c r="Z6138">
        <v>-6.0541890000000001E-2</v>
      </c>
      <c r="AA6138">
        <v>0.84020790000000001</v>
      </c>
      <c r="AB6138">
        <v>28</v>
      </c>
      <c r="AC6138">
        <v>41.683700000000002</v>
      </c>
      <c r="AD6138">
        <v>8.5102169999999902</v>
      </c>
      <c r="AE6138">
        <v>24.29814</v>
      </c>
      <c r="AF6138">
        <v>-25.7081570633128</v>
      </c>
      <c r="AG6138">
        <v>8.5102169999999902</v>
      </c>
      <c r="AH6138">
        <v>39.0981218852396</v>
      </c>
      <c r="AI6138">
        <v>79.692281808220997</v>
      </c>
      <c r="AJ6138">
        <v>123.326088082128</v>
      </c>
      <c r="AK6138">
        <v>47.560448567397899</v>
      </c>
    </row>
    <row r="6139" spans="1:37" x14ac:dyDescent="0.2">
      <c r="A6139" t="str">
        <f>"20200111155719348"</f>
        <v>20200111155719348</v>
      </c>
      <c r="B6139" t="str">
        <f>"1578729439339343"</f>
        <v>1578729439339343</v>
      </c>
      <c r="C6139" t="s">
        <v>37</v>
      </c>
      <c r="D6139">
        <v>3.6299809999999999</v>
      </c>
      <c r="E6139">
        <v>0.33407120000000001</v>
      </c>
      <c r="F6139" t="s">
        <v>45</v>
      </c>
      <c r="G6139">
        <v>-157.3501</v>
      </c>
      <c r="H6139">
        <v>17.351779999999899</v>
      </c>
      <c r="I6139">
        <v>-10.250019999999999</v>
      </c>
      <c r="J6139">
        <v>-253.31299999999999</v>
      </c>
      <c r="K6139">
        <v>1.1065370000000001</v>
      </c>
      <c r="L6139">
        <v>-63.640230000000003</v>
      </c>
      <c r="M6139">
        <v>0.99849310000000002</v>
      </c>
      <c r="N6139">
        <v>0</v>
      </c>
      <c r="O6139">
        <v>-5.302896E-2</v>
      </c>
      <c r="P6139">
        <v>0.99448780000000003</v>
      </c>
      <c r="Q6139">
        <v>5.2038609999999999E-2</v>
      </c>
      <c r="R6139">
        <v>9.1029219999999994E-2</v>
      </c>
      <c r="S6139">
        <v>2.8468169999999899</v>
      </c>
      <c r="T6139">
        <v>0.48128490000000002</v>
      </c>
      <c r="U6139">
        <v>1.5815729999999999</v>
      </c>
      <c r="V6139">
        <v>-0.14386309999999999</v>
      </c>
      <c r="W6139">
        <v>6.5510349999999995E-2</v>
      </c>
      <c r="X6139">
        <v>0.9874269</v>
      </c>
      <c r="Y6139">
        <v>-0.52499700000000005</v>
      </c>
      <c r="Z6139">
        <v>-4.9501209999999997E-2</v>
      </c>
      <c r="AA6139">
        <v>0.84966339999999996</v>
      </c>
      <c r="AB6139">
        <v>28</v>
      </c>
      <c r="AC6139">
        <v>95.962900000000005</v>
      </c>
      <c r="AD6139">
        <v>16.245242999999999</v>
      </c>
      <c r="AE6139">
        <v>53.390210000000003</v>
      </c>
      <c r="AF6139">
        <v>-57.153642871897198</v>
      </c>
      <c r="AG6139">
        <v>16.245242999999999</v>
      </c>
      <c r="AH6139">
        <v>91.0047909895343</v>
      </c>
      <c r="AI6139">
        <v>81.403694762561102</v>
      </c>
      <c r="AJ6139">
        <v>122.13001030652499</v>
      </c>
      <c r="AK6139">
        <v>108.684491978875</v>
      </c>
    </row>
    <row r="6140" spans="1:37" x14ac:dyDescent="0.2">
      <c r="A6140" t="str">
        <f>"20200111155719359"</f>
        <v>20200111155719359</v>
      </c>
      <c r="B6140" t="str">
        <f>"1578729439349103"</f>
        <v>1578729439349103</v>
      </c>
      <c r="C6140" t="s">
        <v>37</v>
      </c>
      <c r="D6140">
        <v>3.5253169999999998</v>
      </c>
      <c r="E6140">
        <v>0.33297470000000001</v>
      </c>
      <c r="F6140" t="s">
        <v>45</v>
      </c>
      <c r="G6140">
        <v>-157.3501</v>
      </c>
      <c r="H6140">
        <v>17.73509</v>
      </c>
      <c r="I6140">
        <v>-10.16986</v>
      </c>
      <c r="J6140">
        <v>-253.17089999999999</v>
      </c>
      <c r="K6140">
        <v>1.106528</v>
      </c>
      <c r="L6140">
        <v>-63.646850000000001</v>
      </c>
      <c r="M6140">
        <v>0.99854149999999997</v>
      </c>
      <c r="N6140">
        <v>0</v>
      </c>
      <c r="O6140">
        <v>-5.2113949999999999E-2</v>
      </c>
      <c r="P6140">
        <v>0.99448400000000003</v>
      </c>
      <c r="Q6140">
        <v>5.1693499999999899E-2</v>
      </c>
      <c r="R6140">
        <v>9.1265570000000004E-2</v>
      </c>
      <c r="S6140">
        <v>2.8456730000000001</v>
      </c>
      <c r="T6140">
        <v>0.4931005</v>
      </c>
      <c r="U6140">
        <v>1.585602</v>
      </c>
      <c r="V6140">
        <v>-0.14319009999999999</v>
      </c>
      <c r="W6140">
        <v>6.5171569999999998E-2</v>
      </c>
      <c r="X6140">
        <v>0.98754709999999901</v>
      </c>
      <c r="Y6140">
        <v>-0.524983599999999</v>
      </c>
      <c r="Z6140">
        <v>-5.0554830000000002E-2</v>
      </c>
      <c r="AA6140">
        <v>0.84960959999999996</v>
      </c>
      <c r="AB6140">
        <v>28</v>
      </c>
      <c r="AC6140">
        <v>95.820800000000006</v>
      </c>
      <c r="AD6140">
        <v>16.628561999999999</v>
      </c>
      <c r="AE6140">
        <v>53.476990000000001</v>
      </c>
      <c r="AF6140">
        <v>-57.087495363515899</v>
      </c>
      <c r="AG6140">
        <v>16.628561999999999</v>
      </c>
      <c r="AH6140">
        <v>90.817925236489202</v>
      </c>
      <c r="AI6140">
        <v>81.188383380428107</v>
      </c>
      <c r="AJ6140">
        <v>122.153173496355</v>
      </c>
      <c r="AK6140">
        <v>108.551309275051</v>
      </c>
    </row>
    <row r="6141" spans="1:37" x14ac:dyDescent="0.2">
      <c r="A6141" t="str">
        <f>"20200111155719370"</f>
        <v>20200111155719370</v>
      </c>
      <c r="B6141" t="str">
        <f>"1578729439359579"</f>
        <v>1578729439359579</v>
      </c>
      <c r="C6141" t="s">
        <v>37</v>
      </c>
      <c r="D6141">
        <v>3.523101</v>
      </c>
      <c r="E6141">
        <v>0.33189289999999999</v>
      </c>
      <c r="F6141" t="s">
        <v>45</v>
      </c>
      <c r="G6141">
        <v>-157.3501</v>
      </c>
      <c r="H6141">
        <v>18.374469999999999</v>
      </c>
      <c r="I6141">
        <v>-9.9274079999999998</v>
      </c>
      <c r="J6141">
        <v>-253.03120000000001</v>
      </c>
      <c r="K6141">
        <v>1.1065149999999999</v>
      </c>
      <c r="L6141">
        <v>-63.653169999999903</v>
      </c>
      <c r="M6141">
        <v>0.99858740000000001</v>
      </c>
      <c r="N6141">
        <v>0</v>
      </c>
      <c r="O6141">
        <v>-5.1226500000000001E-2</v>
      </c>
      <c r="P6141">
        <v>0.99449730000000003</v>
      </c>
      <c r="Q6141">
        <v>5.128539E-2</v>
      </c>
      <c r="R6141">
        <v>9.1352749999999996E-2</v>
      </c>
      <c r="S6141">
        <v>2.8436889999999999</v>
      </c>
      <c r="T6141">
        <v>0.51246239999999998</v>
      </c>
      <c r="U6141">
        <v>1.5942379999999901</v>
      </c>
      <c r="V6141">
        <v>-0.14239660000000001</v>
      </c>
      <c r="W6141">
        <v>6.4771400000000007E-2</v>
      </c>
      <c r="X6141">
        <v>0.98768809999999996</v>
      </c>
      <c r="Y6141">
        <v>-0.52592479999999997</v>
      </c>
      <c r="Z6141">
        <v>-5.2440380000000002E-2</v>
      </c>
      <c r="AA6141">
        <v>0.84891299999999903</v>
      </c>
      <c r="AB6141">
        <v>28</v>
      </c>
      <c r="AC6141">
        <v>95.681100000000001</v>
      </c>
      <c r="AD6141">
        <v>17.267955000000001</v>
      </c>
      <c r="AE6141">
        <v>53.725761999999897</v>
      </c>
      <c r="AF6141">
        <v>-57.142082353884398</v>
      </c>
      <c r="AG6141">
        <v>17.267955000000001</v>
      </c>
      <c r="AH6141">
        <v>90.560425896997003</v>
      </c>
      <c r="AI6141">
        <v>80.839334834636404</v>
      </c>
      <c r="AJ6141">
        <v>122.25122584634801</v>
      </c>
      <c r="AK6141">
        <v>108.46469741010399</v>
      </c>
    </row>
    <row r="6142" spans="1:37" x14ac:dyDescent="0.2">
      <c r="A6142" t="str">
        <f>"20200111155719382"</f>
        <v>20200111155719382</v>
      </c>
      <c r="B6142" t="str">
        <f>"1578729439379098"</f>
        <v>1578729439379098</v>
      </c>
      <c r="C6142" t="s">
        <v>37</v>
      </c>
      <c r="D6142">
        <v>3.518221</v>
      </c>
      <c r="E6142">
        <v>0.33020339999999998</v>
      </c>
      <c r="F6142" t="s">
        <v>45</v>
      </c>
      <c r="G6142">
        <v>-157.3501</v>
      </c>
      <c r="H6142">
        <v>18.94614</v>
      </c>
      <c r="I6142">
        <v>-9.6997199999999992</v>
      </c>
      <c r="J6142">
        <v>-252.8903</v>
      </c>
      <c r="K6142">
        <v>1.106501</v>
      </c>
      <c r="L6142">
        <v>-63.659480000000002</v>
      </c>
      <c r="M6142">
        <v>0.99863269999999904</v>
      </c>
      <c r="N6142">
        <v>0</v>
      </c>
      <c r="O6142">
        <v>-5.0335489999999997E-2</v>
      </c>
      <c r="P6142">
        <v>0.99453060000000004</v>
      </c>
      <c r="Q6142">
        <v>5.0452619999999997E-2</v>
      </c>
      <c r="R6142">
        <v>9.1452229999999995E-2</v>
      </c>
      <c r="S6142">
        <v>2.8420559999999999</v>
      </c>
      <c r="T6142">
        <v>0.52989730000000002</v>
      </c>
      <c r="U6142">
        <v>1.6026</v>
      </c>
      <c r="V6142">
        <v>-0.1416105</v>
      </c>
      <c r="W6142">
        <v>6.3946279999999994E-2</v>
      </c>
      <c r="X6142">
        <v>0.98785489999999998</v>
      </c>
      <c r="Y6142">
        <v>-0.52679010000000004</v>
      </c>
      <c r="Z6142">
        <v>-5.4111560000000003E-2</v>
      </c>
      <c r="AA6142">
        <v>0.84827129999999995</v>
      </c>
      <c r="AB6142">
        <v>28</v>
      </c>
      <c r="AC6142">
        <v>95.540199999999999</v>
      </c>
      <c r="AD6142">
        <v>17.839638999999998</v>
      </c>
      <c r="AE6142">
        <v>53.959760000000003</v>
      </c>
      <c r="AF6142">
        <v>-57.189156490054899</v>
      </c>
      <c r="AG6142">
        <v>17.839638999999998</v>
      </c>
      <c r="AH6142">
        <v>90.315321910493495</v>
      </c>
      <c r="AI6142">
        <v>80.525636097206004</v>
      </c>
      <c r="AJ6142">
        <v>122.342667586396</v>
      </c>
      <c r="AK6142">
        <v>108.377625511405</v>
      </c>
    </row>
    <row r="6143" spans="1:37" x14ac:dyDescent="0.2">
      <c r="A6143" t="str">
        <f>"20200111155719393"</f>
        <v>20200111155719393</v>
      </c>
      <c r="B6143" t="str">
        <f>"1578729439388858"</f>
        <v>1578729439388858</v>
      </c>
      <c r="C6143" t="s">
        <v>37</v>
      </c>
      <c r="D6143">
        <v>4.3320790000000002</v>
      </c>
      <c r="E6143">
        <v>0.33377849999999998</v>
      </c>
      <c r="F6143" t="s">
        <v>45</v>
      </c>
      <c r="G6143">
        <v>-157.3501</v>
      </c>
      <c r="H6143">
        <v>20.136039999999898</v>
      </c>
      <c r="I6143">
        <v>-9.3006250000000001</v>
      </c>
      <c r="J6143">
        <v>-252.7475</v>
      </c>
      <c r="K6143">
        <v>1.1064829999999899</v>
      </c>
      <c r="L6143">
        <v>-63.66574</v>
      </c>
      <c r="M6143">
        <v>0.99867729999999999</v>
      </c>
      <c r="N6143">
        <v>0</v>
      </c>
      <c r="O6143">
        <v>-4.9442239999999998E-2</v>
      </c>
      <c r="P6143">
        <v>0.99451800000000001</v>
      </c>
      <c r="Q6143">
        <v>4.9724400000000002E-2</v>
      </c>
      <c r="R6143">
        <v>9.1985919999999999E-2</v>
      </c>
      <c r="S6143">
        <v>2.8392330000000001</v>
      </c>
      <c r="T6143">
        <v>0.56551300000000004</v>
      </c>
      <c r="U6143">
        <v>1.6154170000000001</v>
      </c>
      <c r="V6143">
        <v>-0.1412543</v>
      </c>
      <c r="W6143">
        <v>6.3224379999999997E-2</v>
      </c>
      <c r="X6143">
        <v>0.98795239999999995</v>
      </c>
      <c r="Y6143">
        <v>-0.52824150000000003</v>
      </c>
      <c r="Z6143">
        <v>-5.7652450000000001E-2</v>
      </c>
      <c r="AA6143">
        <v>0.84713459999999996</v>
      </c>
      <c r="AB6143">
        <v>28</v>
      </c>
      <c r="AC6143">
        <v>95.397400000000005</v>
      </c>
      <c r="AD6143">
        <v>19.029557</v>
      </c>
      <c r="AE6143">
        <v>54.365115000000003</v>
      </c>
      <c r="AF6143">
        <v>-57.294821071921902</v>
      </c>
      <c r="AG6143">
        <v>19.029557</v>
      </c>
      <c r="AH6143">
        <v>89.892470014982095</v>
      </c>
      <c r="AI6143">
        <v>79.878445130152102</v>
      </c>
      <c r="AJ6143">
        <v>122.512240258068</v>
      </c>
      <c r="AK6143">
        <v>108.284240435412</v>
      </c>
    </row>
    <row r="6144" spans="1:37" x14ac:dyDescent="0.2">
      <c r="A6144" t="str">
        <f>"20200111155719405"</f>
        <v>20200111155719405</v>
      </c>
      <c r="B6144" t="str">
        <f>"1578729439399593"</f>
        <v>1578729439399593</v>
      </c>
      <c r="C6144" t="s">
        <v>37</v>
      </c>
      <c r="D6144">
        <v>3.5363279999999899</v>
      </c>
      <c r="E6144">
        <v>0.33282080000000003</v>
      </c>
      <c r="F6144" t="s">
        <v>45</v>
      </c>
      <c r="G6144">
        <v>-157.3501</v>
      </c>
      <c r="H6144">
        <v>18.729600000000001</v>
      </c>
      <c r="I6144">
        <v>-10.34592</v>
      </c>
      <c r="J6144">
        <v>-252.60489999999999</v>
      </c>
      <c r="K6144">
        <v>1.106465</v>
      </c>
      <c r="L6144">
        <v>-63.671880000000002</v>
      </c>
      <c r="M6144">
        <v>0.99872050000000001</v>
      </c>
      <c r="N6144">
        <v>0</v>
      </c>
      <c r="O6144">
        <v>-4.8560800000000001E-2</v>
      </c>
      <c r="P6144">
        <v>0.99454900000000002</v>
      </c>
      <c r="Q6144">
        <v>4.8743889999999998E-2</v>
      </c>
      <c r="R6144">
        <v>9.2174729999999996E-2</v>
      </c>
      <c r="S6144">
        <v>2.8432770000000001</v>
      </c>
      <c r="T6144">
        <v>0.5252483</v>
      </c>
      <c r="U6144">
        <v>1.589172</v>
      </c>
      <c r="V6144">
        <v>-0.1405661</v>
      </c>
      <c r="W6144">
        <v>6.2252120000000001E-2</v>
      </c>
      <c r="X6144">
        <v>0.98811229999999906</v>
      </c>
      <c r="Y6144">
        <v>-0.52228030000000003</v>
      </c>
      <c r="Z6144">
        <v>-5.2989069999999999E-2</v>
      </c>
      <c r="AA6144">
        <v>0.85112600000000005</v>
      </c>
      <c r="AB6144">
        <v>28</v>
      </c>
      <c r="AC6144">
        <v>95.254800000000003</v>
      </c>
      <c r="AD6144">
        <v>17.623135000000001</v>
      </c>
      <c r="AE6144">
        <v>53.325960000000002</v>
      </c>
      <c r="AF6144">
        <v>-56.418803156323698</v>
      </c>
      <c r="AG6144">
        <v>17.623135000000001</v>
      </c>
      <c r="AH6144">
        <v>90.201821350719499</v>
      </c>
      <c r="AI6144">
        <v>80.5948087339126</v>
      </c>
      <c r="AJ6144">
        <v>122.024867059128</v>
      </c>
      <c r="AK6144">
        <v>107.842592753546</v>
      </c>
    </row>
    <row r="6145" spans="1:37" x14ac:dyDescent="0.2">
      <c r="A6145" t="str">
        <f>"20200111155719415"</f>
        <v>20200111155719415</v>
      </c>
      <c r="B6145" t="str">
        <f>"1578729439409355"</f>
        <v>1578729439409355</v>
      </c>
      <c r="C6145" t="s">
        <v>37</v>
      </c>
      <c r="D6145">
        <v>3.50729899999999</v>
      </c>
      <c r="E6145">
        <v>0.33208670000000001</v>
      </c>
      <c r="F6145" t="s">
        <v>45</v>
      </c>
      <c r="G6145">
        <v>-157.3501</v>
      </c>
      <c r="H6145">
        <v>19.182980000000001</v>
      </c>
      <c r="I6145">
        <v>-10.14894</v>
      </c>
      <c r="J6145">
        <v>-252.4759</v>
      </c>
      <c r="K6145">
        <v>1.106447</v>
      </c>
      <c r="L6145">
        <v>-63.677340000000001</v>
      </c>
      <c r="M6145">
        <v>0.9987587</v>
      </c>
      <c r="N6145">
        <v>0</v>
      </c>
      <c r="O6145">
        <v>-4.7770310000000003E-2</v>
      </c>
      <c r="P6145">
        <v>0.99457139999999999</v>
      </c>
      <c r="Q6145">
        <v>4.7915340000000001E-2</v>
      </c>
      <c r="R6145">
        <v>9.2367089999999999E-2</v>
      </c>
      <c r="S6145">
        <v>2.8419949999999998</v>
      </c>
      <c r="T6145">
        <v>0.5393249</v>
      </c>
      <c r="U6145">
        <v>1.5968929999999999</v>
      </c>
      <c r="V6145">
        <v>-0.1399715</v>
      </c>
      <c r="W6145">
        <v>6.1431149999999997E-2</v>
      </c>
      <c r="X6145">
        <v>0.98824809999999996</v>
      </c>
      <c r="Y6145">
        <v>-0.52313639999999995</v>
      </c>
      <c r="Z6145">
        <v>-5.431296E-2</v>
      </c>
      <c r="AA6145">
        <v>0.85051659999999996</v>
      </c>
      <c r="AB6145">
        <v>28</v>
      </c>
      <c r="AC6145">
        <v>95.125799999999998</v>
      </c>
      <c r="AD6145">
        <v>18.076533000000001</v>
      </c>
      <c r="AE6145">
        <v>53.528399999999998</v>
      </c>
      <c r="AF6145">
        <v>-56.463345123665498</v>
      </c>
      <c r="AG6145">
        <v>18.076533000000001</v>
      </c>
      <c r="AH6145">
        <v>89.991726768894793</v>
      </c>
      <c r="AI6145">
        <v>80.343575117079197</v>
      </c>
      <c r="AJ6145">
        <v>122.10531850560299</v>
      </c>
      <c r="AK6145">
        <v>107.76539924623999</v>
      </c>
    </row>
    <row r="6146" spans="1:37" x14ac:dyDescent="0.2">
      <c r="A6146" t="str">
        <f>"20200111155719426"</f>
        <v>20200111155719426</v>
      </c>
      <c r="B6146" t="str">
        <f>"1578729439419114"</f>
        <v>1578729439419114</v>
      </c>
      <c r="C6146" t="s">
        <v>37</v>
      </c>
      <c r="D6146">
        <v>3.5174199999999902</v>
      </c>
      <c r="E6146">
        <v>0.33141709999999902</v>
      </c>
      <c r="F6146" t="s">
        <v>45</v>
      </c>
      <c r="G6146">
        <v>-157.3501</v>
      </c>
      <c r="H6146">
        <v>19.380879999999902</v>
      </c>
      <c r="I6146">
        <v>-10.00456</v>
      </c>
      <c r="J6146">
        <v>-252.3355</v>
      </c>
      <c r="K6146">
        <v>1.1064240000000001</v>
      </c>
      <c r="L6146">
        <v>-63.683140000000002</v>
      </c>
      <c r="M6146">
        <v>0.99879869999999904</v>
      </c>
      <c r="N6146">
        <v>0</v>
      </c>
      <c r="O6146">
        <v>-4.6926809999999999E-2</v>
      </c>
      <c r="P6146">
        <v>0.99457039999999997</v>
      </c>
      <c r="Q6146">
        <v>4.7209210000000001E-2</v>
      </c>
      <c r="R6146">
        <v>9.2742320000000003E-2</v>
      </c>
      <c r="S6146">
        <v>2.841202</v>
      </c>
      <c r="T6146">
        <v>0.54581709999999894</v>
      </c>
      <c r="U6146">
        <v>1.6030879999999901</v>
      </c>
      <c r="V6146">
        <v>-0.1395063</v>
      </c>
      <c r="W6146">
        <v>6.0732929999999997E-2</v>
      </c>
      <c r="X6146">
        <v>0.98835689999999998</v>
      </c>
      <c r="Y6146">
        <v>-0.52375190000000005</v>
      </c>
      <c r="Z6146">
        <v>-5.4847769999999997E-2</v>
      </c>
      <c r="AA6146">
        <v>0.85010330000000001</v>
      </c>
      <c r="AB6146">
        <v>28</v>
      </c>
      <c r="AC6146">
        <v>94.985399999999998</v>
      </c>
      <c r="AD6146">
        <v>18.274456000000001</v>
      </c>
      <c r="AE6146">
        <v>53.678579999999997</v>
      </c>
      <c r="AF6146">
        <v>-56.492345855181199</v>
      </c>
      <c r="AG6146">
        <v>18.274456000000001</v>
      </c>
      <c r="AH6146">
        <v>89.841032797413504</v>
      </c>
      <c r="AI6146">
        <v>80.229749664912205</v>
      </c>
      <c r="AJ6146">
        <v>122.161820566153</v>
      </c>
      <c r="AK6146">
        <v>107.68821688756501</v>
      </c>
    </row>
    <row r="6147" spans="1:37" x14ac:dyDescent="0.2">
      <c r="A6147" t="str">
        <f>"20200111155719436"</f>
        <v>20200111155719436</v>
      </c>
      <c r="B6147" t="str">
        <f>"1578729439428875"</f>
        <v>1578729439428875</v>
      </c>
      <c r="C6147" t="s">
        <v>37</v>
      </c>
      <c r="D6147">
        <v>3.5659669999999899</v>
      </c>
      <c r="E6147">
        <v>0.33082329999999999</v>
      </c>
      <c r="F6147" t="s">
        <v>45</v>
      </c>
      <c r="G6147">
        <v>-157.3501</v>
      </c>
      <c r="H6147">
        <v>19.551159999999999</v>
      </c>
      <c r="I6147">
        <v>-9.8675990000000002</v>
      </c>
      <c r="J6147">
        <v>-252.20259999999999</v>
      </c>
      <c r="K6147">
        <v>1.1064049999999901</v>
      </c>
      <c r="L6147">
        <v>-63.688600000000001</v>
      </c>
      <c r="M6147">
        <v>0.99883549999999999</v>
      </c>
      <c r="N6147">
        <v>0</v>
      </c>
      <c r="O6147">
        <v>-4.6133859999999999E-2</v>
      </c>
      <c r="P6147">
        <v>0.99461330000000003</v>
      </c>
      <c r="Q6147">
        <v>4.6425130000000002E-2</v>
      </c>
      <c r="R6147">
        <v>9.2676889999999998E-2</v>
      </c>
      <c r="S6147">
        <v>2.8401489999999998</v>
      </c>
      <c r="T6147">
        <v>0.55151300000000003</v>
      </c>
      <c r="U6147">
        <v>1.6091309999999901</v>
      </c>
      <c r="V6147">
        <v>-0.13865259999999999</v>
      </c>
      <c r="W6147">
        <v>5.9958539999999998E-2</v>
      </c>
      <c r="X6147">
        <v>0.98852439999999997</v>
      </c>
      <c r="Y6147">
        <v>-0.52442509999999998</v>
      </c>
      <c r="Z6147">
        <v>-5.5320309999999998E-2</v>
      </c>
      <c r="AA6147">
        <v>0.84965749999999995</v>
      </c>
      <c r="AB6147">
        <v>28</v>
      </c>
      <c r="AC6147">
        <v>94.852500000000006</v>
      </c>
      <c r="AD6147">
        <v>18.444755000000001</v>
      </c>
      <c r="AE6147">
        <v>53.821001000000003</v>
      </c>
      <c r="AF6147">
        <v>-56.523234084604503</v>
      </c>
      <c r="AG6147">
        <v>18.444755000000001</v>
      </c>
      <c r="AH6147">
        <v>89.702408853686805</v>
      </c>
      <c r="AI6147">
        <v>80.131284773305097</v>
      </c>
      <c r="AJ6147">
        <v>122.21582757669</v>
      </c>
      <c r="AK6147">
        <v>107.61787552515101</v>
      </c>
    </row>
    <row r="6148" spans="1:37" x14ac:dyDescent="0.2">
      <c r="A6148" t="str">
        <f>"20200111155719449"</f>
        <v>20200111155719449</v>
      </c>
      <c r="B6148" t="str">
        <f>"1578729439439611"</f>
        <v>1578729439439611</v>
      </c>
      <c r="C6148" t="s">
        <v>37</v>
      </c>
      <c r="D6148">
        <v>3.5237940000000001</v>
      </c>
      <c r="E6148">
        <v>0.33025569999999999</v>
      </c>
      <c r="F6148" t="s">
        <v>45</v>
      </c>
      <c r="G6148">
        <v>-157.3501</v>
      </c>
      <c r="H6148">
        <v>19.707260000000002</v>
      </c>
      <c r="I6148">
        <v>-9.8060170000000006</v>
      </c>
      <c r="J6148">
        <v>-252.06200000000001</v>
      </c>
      <c r="K6148">
        <v>1.106382</v>
      </c>
      <c r="L6148">
        <v>-63.694180000000003</v>
      </c>
      <c r="M6148">
        <v>0.99887289999999995</v>
      </c>
      <c r="N6148">
        <v>0</v>
      </c>
      <c r="O6148">
        <v>-4.5319739999999997E-2</v>
      </c>
      <c r="P6148">
        <v>0.99461309999999903</v>
      </c>
      <c r="Q6148">
        <v>4.5561989999999997E-2</v>
      </c>
      <c r="R6148">
        <v>9.3108140000000006E-2</v>
      </c>
      <c r="S6148">
        <v>2.8399509999999899</v>
      </c>
      <c r="T6148">
        <v>0.55692200000000003</v>
      </c>
      <c r="U6148">
        <v>1.613281</v>
      </c>
      <c r="V6148">
        <v>-0.13827129999999899</v>
      </c>
      <c r="W6148">
        <v>5.9103660000000002E-2</v>
      </c>
      <c r="X6148">
        <v>0.98862929999999904</v>
      </c>
      <c r="Y6148">
        <v>-0.52455719999999995</v>
      </c>
      <c r="Z6148">
        <v>-5.5703519999999999E-2</v>
      </c>
      <c r="AA6148">
        <v>0.84955099999999995</v>
      </c>
      <c r="AB6148">
        <v>28</v>
      </c>
      <c r="AC6148">
        <v>94.7119</v>
      </c>
      <c r="AD6148">
        <v>18.600878000000002</v>
      </c>
      <c r="AE6148">
        <v>53.888162999999999</v>
      </c>
      <c r="AF6148">
        <v>-56.479820823535697</v>
      </c>
      <c r="AG6148">
        <v>18.600878000000002</v>
      </c>
      <c r="AH6148">
        <v>89.562456160467505</v>
      </c>
      <c r="AI6148">
        <v>80.036379807287403</v>
      </c>
      <c r="AJ6148">
        <v>122.236325465804</v>
      </c>
      <c r="AK6148">
        <v>107.505331849751</v>
      </c>
    </row>
    <row r="6149" spans="1:37" x14ac:dyDescent="0.2">
      <c r="A6149" t="str">
        <f>"20200111155719461"</f>
        <v>20200111155719461</v>
      </c>
      <c r="B6149" t="str">
        <f>"1578729439449371"</f>
        <v>1578729439449371</v>
      </c>
      <c r="C6149" t="s">
        <v>37</v>
      </c>
      <c r="D6149">
        <v>3.5241639999999999</v>
      </c>
      <c r="E6149">
        <v>0.32965549999999999</v>
      </c>
      <c r="F6149" t="s">
        <v>45</v>
      </c>
      <c r="G6149">
        <v>-157.3501</v>
      </c>
      <c r="H6149">
        <v>19.879899999999999</v>
      </c>
      <c r="I6149">
        <v>-9.6888330000000007</v>
      </c>
      <c r="J6149">
        <v>-251.91489999999999</v>
      </c>
      <c r="K6149">
        <v>1.106347</v>
      </c>
      <c r="L6149">
        <v>-63.699979999999996</v>
      </c>
      <c r="M6149">
        <v>0.99891090000000005</v>
      </c>
      <c r="N6149">
        <v>0</v>
      </c>
      <c r="O6149">
        <v>-4.4475849999999997E-2</v>
      </c>
      <c r="P6149">
        <v>0.99461359999999999</v>
      </c>
      <c r="Q6149">
        <v>4.4999119999999997E-2</v>
      </c>
      <c r="R6149">
        <v>9.3375440000000004E-2</v>
      </c>
      <c r="S6149">
        <v>2.8389279999999899</v>
      </c>
      <c r="T6149">
        <v>0.56272349999999904</v>
      </c>
      <c r="U6149">
        <v>1.6187739999999999</v>
      </c>
      <c r="V6149">
        <v>-0.13769729999999999</v>
      </c>
      <c r="W6149">
        <v>5.8550060000000001E-2</v>
      </c>
      <c r="X6149">
        <v>0.98874229999999996</v>
      </c>
      <c r="Y6149">
        <v>-0.52505290000000004</v>
      </c>
      <c r="Z6149">
        <v>-5.6157970000000001E-2</v>
      </c>
      <c r="AA6149">
        <v>0.84921480000000005</v>
      </c>
      <c r="AB6149">
        <v>28</v>
      </c>
      <c r="AC6149">
        <v>94.564800000000005</v>
      </c>
      <c r="AD6149">
        <v>18.773553</v>
      </c>
      <c r="AE6149">
        <v>54.011147000000001</v>
      </c>
      <c r="AF6149">
        <v>-56.485329422114198</v>
      </c>
      <c r="AG6149">
        <v>18.773553</v>
      </c>
      <c r="AH6149">
        <v>89.411643132819904</v>
      </c>
      <c r="AI6149">
        <v>79.934161954787101</v>
      </c>
      <c r="AJ6149">
        <v>122.282431669963</v>
      </c>
      <c r="AK6149">
        <v>107.412665267552</v>
      </c>
    </row>
    <row r="6150" spans="1:37" x14ac:dyDescent="0.2">
      <c r="A6150" t="str">
        <f>"20200111155719470"</f>
        <v>20200111155719470</v>
      </c>
      <c r="B6150" t="str">
        <f>"1578729439459131"</f>
        <v>1578729439459131</v>
      </c>
      <c r="C6150" t="s">
        <v>37</v>
      </c>
      <c r="D6150">
        <v>3.557366</v>
      </c>
      <c r="E6150">
        <v>0.32918900000000001</v>
      </c>
      <c r="F6150" t="s">
        <v>45</v>
      </c>
      <c r="G6150">
        <v>-157.3501</v>
      </c>
      <c r="H6150">
        <v>20.04626</v>
      </c>
      <c r="I6150">
        <v>-9.5837399999999899</v>
      </c>
      <c r="J6150">
        <v>-251.7867</v>
      </c>
      <c r="K6150">
        <v>1.106322</v>
      </c>
      <c r="L6150">
        <v>-63.704900000000002</v>
      </c>
      <c r="M6150">
        <v>0.99894229999999995</v>
      </c>
      <c r="N6150">
        <v>0</v>
      </c>
      <c r="O6150">
        <v>-4.3762950000000002E-2</v>
      </c>
      <c r="P6150">
        <v>0.99461840000000001</v>
      </c>
      <c r="Q6150">
        <v>4.4312560000000001E-2</v>
      </c>
      <c r="R6150">
        <v>9.3650910000000004E-2</v>
      </c>
      <c r="S6150">
        <v>2.8380429999999999</v>
      </c>
      <c r="T6150">
        <v>0.56841680000000006</v>
      </c>
      <c r="U6150">
        <v>1.624115</v>
      </c>
      <c r="V6150">
        <v>-0.13726099999999999</v>
      </c>
      <c r="W6150">
        <v>5.7872670000000001E-2</v>
      </c>
      <c r="X6150">
        <v>0.98884280000000002</v>
      </c>
      <c r="Y6150">
        <v>-0.52560509999999905</v>
      </c>
      <c r="Z6150">
        <v>-5.662702E-2</v>
      </c>
      <c r="AA6150">
        <v>0.84884190000000004</v>
      </c>
      <c r="AB6150">
        <v>28</v>
      </c>
      <c r="AC6150">
        <v>94.436599999999999</v>
      </c>
      <c r="AD6150">
        <v>18.939938000000001</v>
      </c>
      <c r="AE6150">
        <v>54.121160000000003</v>
      </c>
      <c r="AF6150">
        <v>-56.492037093266298</v>
      </c>
      <c r="AG6150">
        <v>18.939938000000001</v>
      </c>
      <c r="AH6150">
        <v>89.274273192909703</v>
      </c>
      <c r="AI6150">
        <v>79.836210339632004</v>
      </c>
      <c r="AJ6150">
        <v>122.32529725538799</v>
      </c>
      <c r="AK6150">
        <v>107.33111086965</v>
      </c>
    </row>
    <row r="6151" spans="1:37" x14ac:dyDescent="0.2">
      <c r="A6151" t="str">
        <f>"20200111155719483"</f>
        <v>20200111155719483</v>
      </c>
      <c r="B6151" t="str">
        <f>"1578729439479627"</f>
        <v>1578729439479627</v>
      </c>
      <c r="C6151" t="s">
        <v>37</v>
      </c>
      <c r="D6151">
        <v>3.5374629999999998</v>
      </c>
      <c r="E6151">
        <v>0.3282042</v>
      </c>
      <c r="F6151" t="s">
        <v>45</v>
      </c>
      <c r="G6151">
        <v>-157.3501</v>
      </c>
      <c r="H6151">
        <v>20.132059999999999</v>
      </c>
      <c r="I6151">
        <v>-9.509207</v>
      </c>
      <c r="J6151">
        <v>-251.63800000000001</v>
      </c>
      <c r="K6151">
        <v>1.106295</v>
      </c>
      <c r="L6151">
        <v>-63.710540000000002</v>
      </c>
      <c r="M6151">
        <v>0.99897780000000003</v>
      </c>
      <c r="N6151">
        <v>0</v>
      </c>
      <c r="O6151">
        <v>-4.2946520000000002E-2</v>
      </c>
      <c r="P6151">
        <v>0.99459869999999995</v>
      </c>
      <c r="Q6151">
        <v>4.3741460000000003E-2</v>
      </c>
      <c r="R6151">
        <v>9.4127399999999903E-2</v>
      </c>
      <c r="S6151">
        <v>2.8374329999999999</v>
      </c>
      <c r="T6151">
        <v>0.57164490000000001</v>
      </c>
      <c r="U6151">
        <v>1.6283570000000001</v>
      </c>
      <c r="V6151">
        <v>-0.13692209999999999</v>
      </c>
      <c r="W6151">
        <v>5.7310939999999998E-2</v>
      </c>
      <c r="X6151">
        <v>0.98892250000000004</v>
      </c>
      <c r="Y6151">
        <v>-0.52586440000000001</v>
      </c>
      <c r="Z6151">
        <v>-5.6806509999999998E-2</v>
      </c>
      <c r="AA6151">
        <v>0.84866929999999996</v>
      </c>
      <c r="AB6151">
        <v>28</v>
      </c>
      <c r="AC6151">
        <v>94.287899999999993</v>
      </c>
      <c r="AD6151">
        <v>19.025765</v>
      </c>
      <c r="AE6151">
        <v>54.201332999999998</v>
      </c>
      <c r="AF6151">
        <v>-56.472782254950303</v>
      </c>
      <c r="AG6151">
        <v>19.025765</v>
      </c>
      <c r="AH6151">
        <v>89.144745358388306</v>
      </c>
      <c r="AI6151">
        <v>79.779779728358506</v>
      </c>
      <c r="AJ6151">
        <v>122.35406865051</v>
      </c>
      <c r="AK6151">
        <v>107.228450023592</v>
      </c>
    </row>
    <row r="6152" spans="1:37" x14ac:dyDescent="0.2">
      <c r="A6152" t="str">
        <f>"20200111155719527"</f>
        <v>20200111155719527</v>
      </c>
      <c r="B6152" t="str">
        <f>"1578729439519642"</f>
        <v>1578729439519642</v>
      </c>
      <c r="C6152" t="s">
        <v>37</v>
      </c>
      <c r="D6152">
        <v>3.6416489999999899</v>
      </c>
      <c r="E6152">
        <v>0.32783849999999998</v>
      </c>
      <c r="F6152" t="s">
        <v>45</v>
      </c>
      <c r="G6152">
        <v>-157.3501</v>
      </c>
      <c r="H6152">
        <v>20.393809999999998</v>
      </c>
      <c r="I6152">
        <v>-9.2753700000000006</v>
      </c>
      <c r="J6152">
        <v>-251.0872</v>
      </c>
      <c r="K6152">
        <v>1.106204</v>
      </c>
      <c r="L6152">
        <v>-63.730530000000002</v>
      </c>
      <c r="M6152">
        <v>0.99909609999999904</v>
      </c>
      <c r="N6152">
        <v>0</v>
      </c>
      <c r="O6152">
        <v>-4.0102199999999998E-2</v>
      </c>
      <c r="P6152">
        <v>0.99437549999999997</v>
      </c>
      <c r="Q6152">
        <v>4.4510250000000001E-2</v>
      </c>
      <c r="R6152">
        <v>9.6106540000000004E-2</v>
      </c>
      <c r="S6152">
        <v>2.8358310000000002</v>
      </c>
      <c r="T6152">
        <v>0.58009639999999996</v>
      </c>
      <c r="U6152">
        <v>1.6372070000000001</v>
      </c>
      <c r="V6152">
        <v>-0.1360604</v>
      </c>
      <c r="W6152">
        <v>5.8111169999999997E-2</v>
      </c>
      <c r="X6152">
        <v>0.98899479999999995</v>
      </c>
      <c r="Y6152">
        <v>-0.52545949999999997</v>
      </c>
      <c r="Z6152">
        <v>-5.7043480000000001E-2</v>
      </c>
      <c r="AA6152">
        <v>0.8489042</v>
      </c>
      <c r="AB6152">
        <v>28</v>
      </c>
      <c r="AC6152">
        <v>93.737099999999998</v>
      </c>
      <c r="AD6152">
        <v>19.287606</v>
      </c>
      <c r="AE6152">
        <v>54.455159999999999</v>
      </c>
      <c r="AF6152">
        <v>-56.385880028513697</v>
      </c>
      <c r="AG6152">
        <v>19.287606</v>
      </c>
      <c r="AH6152">
        <v>88.6708037124735</v>
      </c>
      <c r="AI6152">
        <v>79.599074915501404</v>
      </c>
      <c r="AJ6152">
        <v>122.452334061447</v>
      </c>
      <c r="AK6152">
        <v>106.835811612105</v>
      </c>
    </row>
    <row r="6153" spans="1:37" x14ac:dyDescent="0.2">
      <c r="A6153" t="str">
        <f>"20200111155719538"</f>
        <v>20200111155719538</v>
      </c>
      <c r="B6153" t="str">
        <f>"1578729439529403"</f>
        <v>1578729439529403</v>
      </c>
      <c r="C6153" t="s">
        <v>37</v>
      </c>
      <c r="D6153">
        <v>3.728189</v>
      </c>
      <c r="E6153">
        <v>0.32783849999999998</v>
      </c>
      <c r="F6153" t="s">
        <v>45</v>
      </c>
      <c r="G6153">
        <v>-157.3501</v>
      </c>
      <c r="H6153">
        <v>20.506219999999999</v>
      </c>
      <c r="I6153">
        <v>-9.2381440000000001</v>
      </c>
      <c r="J6153">
        <v>-250.9511</v>
      </c>
      <c r="K6153">
        <v>1.1061829999999999</v>
      </c>
      <c r="L6153">
        <v>-63.735319999999902</v>
      </c>
      <c r="M6153">
        <v>0.99912259999999997</v>
      </c>
      <c r="N6153">
        <v>0</v>
      </c>
      <c r="O6153">
        <v>-3.9439219999999997E-2</v>
      </c>
      <c r="P6153">
        <v>0.99430160000000001</v>
      </c>
      <c r="Q6153">
        <v>4.5484339999999998E-2</v>
      </c>
      <c r="R6153">
        <v>9.641458E-2</v>
      </c>
      <c r="S6153">
        <v>2.8316349999999999</v>
      </c>
      <c r="T6153">
        <v>0.58603969999999905</v>
      </c>
      <c r="U6153">
        <v>1.646118</v>
      </c>
      <c r="V6153">
        <v>-0.13570639999999901</v>
      </c>
      <c r="W6153">
        <v>5.9093670000000001E-2</v>
      </c>
      <c r="X6153">
        <v>0.98898519999999901</v>
      </c>
      <c r="Y6153">
        <v>-0.52723659999999894</v>
      </c>
      <c r="Z6153">
        <v>-5.7692159999999999E-2</v>
      </c>
      <c r="AA6153">
        <v>0.84775780000000001</v>
      </c>
      <c r="AB6153">
        <v>28</v>
      </c>
      <c r="AC6153">
        <v>93.600999999999999</v>
      </c>
      <c r="AD6153">
        <v>19.400037000000001</v>
      </c>
      <c r="AE6153">
        <v>54.497176000000003</v>
      </c>
      <c r="AF6153">
        <v>-56.339188174369198</v>
      </c>
      <c r="AG6153">
        <v>19.400037000000001</v>
      </c>
      <c r="AH6153">
        <v>88.538107247484007</v>
      </c>
      <c r="AI6153">
        <v>79.526424646465699</v>
      </c>
      <c r="AJ6153">
        <v>122.46969819614201</v>
      </c>
      <c r="AK6153">
        <v>106.721422379554</v>
      </c>
    </row>
    <row r="6154" spans="1:37" x14ac:dyDescent="0.2">
      <c r="A6154" t="str">
        <f>"20200111155719549"</f>
        <v>20200111155719549</v>
      </c>
      <c r="B6154" t="str">
        <f>"1578729439539162"</f>
        <v>1578729439539162</v>
      </c>
      <c r="C6154" t="s">
        <v>37</v>
      </c>
      <c r="D6154">
        <v>4.5975299999999999</v>
      </c>
      <c r="E6154">
        <v>0.32783849999999998</v>
      </c>
      <c r="F6154" t="s">
        <v>45</v>
      </c>
      <c r="G6154">
        <v>-157.3501</v>
      </c>
      <c r="H6154">
        <v>20.549669999999999</v>
      </c>
      <c r="I6154">
        <v>-9.2685320000000004</v>
      </c>
      <c r="J6154">
        <v>-250.81630000000001</v>
      </c>
      <c r="K6154">
        <v>1.1061540000000001</v>
      </c>
      <c r="L6154">
        <v>-63.739930000000001</v>
      </c>
      <c r="M6154">
        <v>0.99914669999999906</v>
      </c>
      <c r="N6154">
        <v>0</v>
      </c>
      <c r="O6154">
        <v>-3.8824459999999998E-2</v>
      </c>
      <c r="P6154">
        <v>0.99422960000000005</v>
      </c>
      <c r="Q6154">
        <v>4.671463E-2</v>
      </c>
      <c r="R6154">
        <v>9.6567150000000004E-2</v>
      </c>
      <c r="S6154">
        <v>2.8305820000000002</v>
      </c>
      <c r="T6154">
        <v>0.58798839999999997</v>
      </c>
      <c r="U6154">
        <v>1.647125</v>
      </c>
      <c r="V6154">
        <v>-0.13524549999999999</v>
      </c>
      <c r="W6154">
        <v>6.033409E-2</v>
      </c>
      <c r="X6154">
        <v>0.9889734</v>
      </c>
      <c r="Y6154">
        <v>-0.52702990000000005</v>
      </c>
      <c r="Z6154">
        <v>-5.7756710000000003E-2</v>
      </c>
      <c r="AA6154">
        <v>0.84788189999999997</v>
      </c>
      <c r="AB6154">
        <v>28</v>
      </c>
      <c r="AC6154">
        <v>93.466200000000001</v>
      </c>
      <c r="AD6154">
        <v>19.443515999999999</v>
      </c>
      <c r="AE6154">
        <v>54.471398000000001</v>
      </c>
      <c r="AF6154">
        <v>-56.242620559038301</v>
      </c>
      <c r="AG6154">
        <v>19.443515999999999</v>
      </c>
      <c r="AH6154">
        <v>88.424267928723097</v>
      </c>
      <c r="AI6154">
        <v>79.488990092986498</v>
      </c>
      <c r="AJ6154">
        <v>122.458568392168</v>
      </c>
      <c r="AK6154">
        <v>106.58392862209899</v>
      </c>
    </row>
    <row r="6155" spans="1:37" x14ac:dyDescent="0.2">
      <c r="A6155" t="str">
        <f>"20200111155719560"</f>
        <v>20200111155719560</v>
      </c>
      <c r="B6155" t="str">
        <f>"1578729439548922"</f>
        <v>1578729439548922</v>
      </c>
      <c r="C6155" t="s">
        <v>37</v>
      </c>
      <c r="D6155">
        <v>4.5868820000000001</v>
      </c>
      <c r="E6155">
        <v>0.43724220000000003</v>
      </c>
      <c r="F6155" t="s">
        <v>45</v>
      </c>
      <c r="G6155">
        <v>-157.3501</v>
      </c>
      <c r="H6155">
        <v>20.618950000000002</v>
      </c>
      <c r="I6155">
        <v>-9.3078579999999995</v>
      </c>
      <c r="J6155">
        <v>-250.68109999999999</v>
      </c>
      <c r="K6155">
        <v>1.106131</v>
      </c>
      <c r="L6155">
        <v>-63.744540000000001</v>
      </c>
      <c r="M6155">
        <v>0.99917019999999901</v>
      </c>
      <c r="N6155">
        <v>0</v>
      </c>
      <c r="O6155">
        <v>-3.821604E-2</v>
      </c>
      <c r="P6155">
        <v>0.99416599999999999</v>
      </c>
      <c r="Q6155">
        <v>4.7809850000000001E-2</v>
      </c>
      <c r="R6155">
        <v>9.6687410000000001E-2</v>
      </c>
      <c r="S6155">
        <v>2.8296199999999998</v>
      </c>
      <c r="T6155">
        <v>0.59073439999999999</v>
      </c>
      <c r="U6155">
        <v>1.647888</v>
      </c>
      <c r="V6155">
        <v>-0.13475770000000001</v>
      </c>
      <c r="W6155">
        <v>6.1439720000000003E-2</v>
      </c>
      <c r="X6155">
        <v>0.98897190000000001</v>
      </c>
      <c r="Y6155">
        <v>-0.52673890000000001</v>
      </c>
      <c r="Z6155">
        <v>-5.788985E-2</v>
      </c>
      <c r="AA6155">
        <v>0.84805359999999996</v>
      </c>
      <c r="AB6155">
        <v>28</v>
      </c>
      <c r="AC6155">
        <v>93.331000000000003</v>
      </c>
      <c r="AD6155">
        <v>19.512819</v>
      </c>
      <c r="AE6155">
        <v>54.436681999999998</v>
      </c>
      <c r="AF6155">
        <v>-56.133210545467499</v>
      </c>
      <c r="AG6155">
        <v>19.512819</v>
      </c>
      <c r="AH6155">
        <v>88.302256490097406</v>
      </c>
      <c r="AI6155">
        <v>79.436434414361898</v>
      </c>
      <c r="AJ6155">
        <v>122.443873600058</v>
      </c>
      <c r="AK6155">
        <v>106.437662191122</v>
      </c>
    </row>
    <row r="6156" spans="1:37" x14ac:dyDescent="0.2">
      <c r="A6156" t="str">
        <f>"20200111155719571"</f>
        <v>20200111155719571</v>
      </c>
      <c r="B6156" t="str">
        <f>"1578729439559659"</f>
        <v>1578729439559659</v>
      </c>
      <c r="C6156" t="s">
        <v>37</v>
      </c>
      <c r="D6156">
        <v>4.7127089999999896</v>
      </c>
      <c r="E6156">
        <v>0.44259989999999999</v>
      </c>
      <c r="F6156" t="s">
        <v>100</v>
      </c>
      <c r="G6156">
        <v>-229.05699999999999</v>
      </c>
      <c r="H6156" s="1">
        <v>-3.5476269999999998E-6</v>
      </c>
      <c r="I6156">
        <v>-57.922369999999901</v>
      </c>
      <c r="J6156">
        <v>-250.5411</v>
      </c>
      <c r="K6156">
        <v>1.1060969999999899</v>
      </c>
      <c r="L6156">
        <v>-63.749209999999998</v>
      </c>
      <c r="M6156">
        <v>0.99919249999999904</v>
      </c>
      <c r="N6156">
        <v>0</v>
      </c>
      <c r="O6156">
        <v>-3.7630259999999999E-2</v>
      </c>
      <c r="P6156">
        <v>0.99413059999999998</v>
      </c>
      <c r="Q6156">
        <v>4.8697869999999997E-2</v>
      </c>
      <c r="R6156">
        <v>9.6608910000000006E-2</v>
      </c>
      <c r="S6156">
        <v>2.9476619999999998</v>
      </c>
      <c r="T6156">
        <v>-0.1507811</v>
      </c>
      <c r="U6156">
        <v>0.79364009999999996</v>
      </c>
      <c r="V6156">
        <v>-0.13409370000000001</v>
      </c>
      <c r="W6156">
        <v>6.2341599999999997E-2</v>
      </c>
      <c r="X6156">
        <v>0.98900569999999899</v>
      </c>
      <c r="Y6156">
        <v>-0.29573359999999999</v>
      </c>
      <c r="Z6156">
        <v>9.3191190000000007E-3</v>
      </c>
      <c r="AA6156">
        <v>0.95522499999999999</v>
      </c>
      <c r="AB6156">
        <v>28</v>
      </c>
      <c r="AC6156">
        <v>21.484099999999899</v>
      </c>
      <c r="AD6156">
        <v>-1.1061005476269901</v>
      </c>
      <c r="AE6156">
        <v>5.8268399999999998</v>
      </c>
      <c r="AF6156">
        <v>-6.6149121296324997</v>
      </c>
      <c r="AG6156">
        <v>-1.1061005476269901</v>
      </c>
      <c r="AH6156">
        <v>21.197256201087601</v>
      </c>
      <c r="AI6156">
        <v>92.851670944674098</v>
      </c>
      <c r="AJ6156">
        <v>107.33129185704099</v>
      </c>
      <c r="AK6156">
        <v>22.232952825901599</v>
      </c>
    </row>
    <row r="6157" spans="1:37" x14ac:dyDescent="0.2">
      <c r="A6157" t="str">
        <f>"20200111155719584"</f>
        <v>20200111155719584</v>
      </c>
      <c r="B6157" t="str">
        <f>"1578729439579178"</f>
        <v>1578729439579178</v>
      </c>
      <c r="C6157" t="s">
        <v>37</v>
      </c>
      <c r="D6157">
        <v>4.6530170000000002</v>
      </c>
      <c r="E6157">
        <v>0.44772219999999902</v>
      </c>
      <c r="F6157" t="s">
        <v>100</v>
      </c>
      <c r="G6157">
        <v>-226.62819999999999</v>
      </c>
      <c r="H6157" s="1">
        <v>-2.5619629999999998E-6</v>
      </c>
      <c r="I6157">
        <v>-57.667940000000002</v>
      </c>
      <c r="J6157">
        <v>-250.39699999999999</v>
      </c>
      <c r="K6157">
        <v>1.1060570000000001</v>
      </c>
      <c r="L6157">
        <v>-63.753999999999998</v>
      </c>
      <c r="M6157">
        <v>0.99921409999999999</v>
      </c>
      <c r="N6157">
        <v>0</v>
      </c>
      <c r="O6157">
        <v>-3.7049650000000003E-2</v>
      </c>
      <c r="P6157">
        <v>0.99410189999999998</v>
      </c>
      <c r="Q6157">
        <v>4.9656520000000003E-2</v>
      </c>
      <c r="R6157">
        <v>9.6414340000000001E-2</v>
      </c>
      <c r="S6157">
        <v>2.9514469999999999</v>
      </c>
      <c r="T6157">
        <v>-0.13652010000000001</v>
      </c>
      <c r="U6157">
        <v>0.75057980000000002</v>
      </c>
      <c r="V6157">
        <v>-0.1333182</v>
      </c>
      <c r="W6157">
        <v>6.3314800000000004E-2</v>
      </c>
      <c r="X6157">
        <v>0.98904879999999995</v>
      </c>
      <c r="Y6157">
        <v>-0.28188419999999997</v>
      </c>
      <c r="Z6157">
        <v>8.1017950000000002E-3</v>
      </c>
      <c r="AA6157">
        <v>0.95941419999999999</v>
      </c>
      <c r="AB6157">
        <v>28</v>
      </c>
      <c r="AC6157">
        <v>23.768799999999999</v>
      </c>
      <c r="AD6157">
        <v>-1.106059561963</v>
      </c>
      <c r="AE6157">
        <v>6.08605999999999</v>
      </c>
      <c r="AF6157">
        <v>-6.9484731888871503</v>
      </c>
      <c r="AG6157">
        <v>-1.106059561963</v>
      </c>
      <c r="AH6157">
        <v>23.4792547320423</v>
      </c>
      <c r="AI6157">
        <v>92.586371452374706</v>
      </c>
      <c r="AJ6157">
        <v>106.485643427197</v>
      </c>
      <c r="AK6157">
        <v>24.510814963673202</v>
      </c>
    </row>
    <row r="6158" spans="1:37" x14ac:dyDescent="0.2">
      <c r="A6158" t="str">
        <f>"20200111155719594"</f>
        <v>20200111155719594</v>
      </c>
      <c r="B6158" t="str">
        <f>"1578729439588937"</f>
        <v>1578729439588937</v>
      </c>
      <c r="C6158" t="s">
        <v>37</v>
      </c>
      <c r="D6158">
        <v>4.6387640000000001</v>
      </c>
      <c r="E6158">
        <v>0.44918379999999902</v>
      </c>
      <c r="F6158" t="s">
        <v>100</v>
      </c>
      <c r="G6158">
        <v>-227.20140000000001</v>
      </c>
      <c r="H6158" s="1">
        <v>-2.6932380000000001E-6</v>
      </c>
      <c r="I6158">
        <v>-58.186360000000001</v>
      </c>
      <c r="J6158">
        <v>-250.24969999999999</v>
      </c>
      <c r="K6158">
        <v>1.1060110000000001</v>
      </c>
      <c r="L6158">
        <v>-63.758789999999998</v>
      </c>
      <c r="M6158">
        <v>0.99923490000000004</v>
      </c>
      <c r="N6158">
        <v>0</v>
      </c>
      <c r="O6158">
        <v>-3.648962E-2</v>
      </c>
      <c r="P6158">
        <v>0.99409879999999995</v>
      </c>
      <c r="Q6158">
        <v>5.0173919999999997E-2</v>
      </c>
      <c r="R6158">
        <v>9.6179479999999998E-2</v>
      </c>
      <c r="S6158">
        <v>2.9560240000000002</v>
      </c>
      <c r="T6158">
        <v>-0.1409551</v>
      </c>
      <c r="U6158">
        <v>0.70953369999999905</v>
      </c>
      <c r="V6158">
        <v>-0.1325218</v>
      </c>
      <c r="W6158">
        <v>6.3848260000000004E-2</v>
      </c>
      <c r="X6158">
        <v>0.98912149999999999</v>
      </c>
      <c r="Y6158">
        <v>-0.26840190000000003</v>
      </c>
      <c r="Z6158">
        <v>8.0226080000000005E-3</v>
      </c>
      <c r="AA6158">
        <v>0.96327359999999995</v>
      </c>
      <c r="AB6158">
        <v>28</v>
      </c>
      <c r="AC6158">
        <v>23.048299999999902</v>
      </c>
      <c r="AD6158">
        <v>-1.106013693238</v>
      </c>
      <c r="AE6158">
        <v>5.5724299999999998</v>
      </c>
      <c r="AF6158">
        <v>-6.3959105412951702</v>
      </c>
      <c r="AG6158">
        <v>-1.106013693238</v>
      </c>
      <c r="AH6158">
        <v>22.7800321672369</v>
      </c>
      <c r="AI6158">
        <v>92.676308118026</v>
      </c>
      <c r="AJ6158">
        <v>105.683057514849</v>
      </c>
      <c r="AK6158">
        <v>23.686722092392401</v>
      </c>
    </row>
    <row r="6159" spans="1:37" x14ac:dyDescent="0.2">
      <c r="A6159" t="str">
        <f>"20200111155719605"</f>
        <v>20200111155719605</v>
      </c>
      <c r="B6159" t="str">
        <f>"1578729439598698"</f>
        <v>1578729439598698</v>
      </c>
      <c r="C6159" t="s">
        <v>37</v>
      </c>
      <c r="D6159">
        <v>4.5958600000000001</v>
      </c>
      <c r="E6159">
        <v>0.45008109999999901</v>
      </c>
      <c r="F6159" t="s">
        <v>100</v>
      </c>
      <c r="G6159">
        <v>-227.02279999999999</v>
      </c>
      <c r="H6159" s="1">
        <v>-2.59491699999999E-6</v>
      </c>
      <c r="I6159">
        <v>-58.284399999999998</v>
      </c>
      <c r="J6159">
        <v>-250.12299999999999</v>
      </c>
      <c r="K6159">
        <v>1.1059649999999901</v>
      </c>
      <c r="L6159">
        <v>-63.762909999999998</v>
      </c>
      <c r="M6159">
        <v>0.99925079999999999</v>
      </c>
      <c r="N6159">
        <v>0</v>
      </c>
      <c r="O6159">
        <v>-3.604769E-2</v>
      </c>
      <c r="P6159">
        <v>0.99407659999999998</v>
      </c>
      <c r="Q6159">
        <v>5.0945919999999999E-2</v>
      </c>
      <c r="R6159">
        <v>9.6002829999999997E-2</v>
      </c>
      <c r="S6159">
        <v>2.9574739999999999</v>
      </c>
      <c r="T6159">
        <v>-0.14082819999999999</v>
      </c>
      <c r="U6159">
        <v>0.697052</v>
      </c>
      <c r="V6159">
        <v>-0.13190099999999999</v>
      </c>
      <c r="W6159">
        <v>6.4635310000000001E-2</v>
      </c>
      <c r="X6159">
        <v>0.98915339999999996</v>
      </c>
      <c r="Y6159">
        <v>-0.26402389999999998</v>
      </c>
      <c r="Z6159">
        <v>7.8918430000000008E-3</v>
      </c>
      <c r="AA6159">
        <v>0.96448389999999995</v>
      </c>
      <c r="AB6159">
        <v>28</v>
      </c>
      <c r="AC6159">
        <v>23.100200000000001</v>
      </c>
      <c r="AD6159">
        <v>-1.10596759491699</v>
      </c>
      <c r="AE6159">
        <v>5.47851</v>
      </c>
      <c r="AF6159">
        <v>-6.2940810667073004</v>
      </c>
      <c r="AG6159">
        <v>-1.10596759491699</v>
      </c>
      <c r="AH6159">
        <v>22.838114350464298</v>
      </c>
      <c r="AI6159">
        <v>92.672962956423802</v>
      </c>
      <c r="AJ6159">
        <v>105.40796605984301</v>
      </c>
      <c r="AK6159">
        <v>23.715355529280401</v>
      </c>
    </row>
    <row r="6160" spans="1:37" x14ac:dyDescent="0.2">
      <c r="A6160" t="str">
        <f>"20200111155719616"</f>
        <v>20200111155719616</v>
      </c>
      <c r="B6160" t="str">
        <f>"1578729439609435"</f>
        <v>1578729439609435</v>
      </c>
      <c r="C6160" t="s">
        <v>37</v>
      </c>
      <c r="D6160">
        <v>4.6645180000000002</v>
      </c>
      <c r="E6160">
        <v>0.45060699999999998</v>
      </c>
      <c r="F6160" t="s">
        <v>100</v>
      </c>
      <c r="G6160">
        <v>-226.81780000000001</v>
      </c>
      <c r="H6160" s="1">
        <v>-2.4963990000000001E-6</v>
      </c>
      <c r="I6160">
        <v>-58.332269999999902</v>
      </c>
      <c r="J6160">
        <v>-249.98070000000001</v>
      </c>
      <c r="K6160">
        <v>1.1059129999999999</v>
      </c>
      <c r="L6160">
        <v>-63.767490000000002</v>
      </c>
      <c r="M6160">
        <v>0.99926800000000005</v>
      </c>
      <c r="N6160">
        <v>0</v>
      </c>
      <c r="O6160">
        <v>-3.5571899999999997E-2</v>
      </c>
      <c r="P6160">
        <v>0.99406689999999998</v>
      </c>
      <c r="Q6160">
        <v>5.1300239999999997E-2</v>
      </c>
      <c r="R6160">
        <v>9.5914849999999996E-2</v>
      </c>
      <c r="S6160">
        <v>2.9584809999999999</v>
      </c>
      <c r="T6160">
        <v>-0.14039689999999999</v>
      </c>
      <c r="U6160">
        <v>0.68939209999999995</v>
      </c>
      <c r="V6160">
        <v>-0.1313337</v>
      </c>
      <c r="W6160">
        <v>6.5006460000000002E-2</v>
      </c>
      <c r="X6160">
        <v>0.98920450000000004</v>
      </c>
      <c r="Y6160">
        <v>-0.26112849999999999</v>
      </c>
      <c r="Z6160">
        <v>7.7773E-3</v>
      </c>
      <c r="AA6160">
        <v>0.96527269999999898</v>
      </c>
      <c r="AB6160">
        <v>28</v>
      </c>
      <c r="AC6160">
        <v>23.1629</v>
      </c>
      <c r="AD6160">
        <v>-1.1059154963989899</v>
      </c>
      <c r="AE6160">
        <v>5.4352200000000002</v>
      </c>
      <c r="AF6160">
        <v>-6.2423221198707601</v>
      </c>
      <c r="AG6160">
        <v>-1.1059154963989899</v>
      </c>
      <c r="AH6160">
        <v>22.905387447705099</v>
      </c>
      <c r="AI6160">
        <v>92.667081227822607</v>
      </c>
      <c r="AJ6160">
        <v>105.24440424427701</v>
      </c>
      <c r="AK6160">
        <v>23.766497610352399</v>
      </c>
    </row>
    <row r="6161" spans="1:37" x14ac:dyDescent="0.2">
      <c r="A6161" t="str">
        <f>"20200111155719627"</f>
        <v>20200111155719627</v>
      </c>
      <c r="B6161" t="str">
        <f>"1578729439619193"</f>
        <v>1578729439619193</v>
      </c>
      <c r="C6161" t="s">
        <v>37</v>
      </c>
      <c r="D6161">
        <v>4.6236439999999996</v>
      </c>
      <c r="E6161">
        <v>0.45115109999999897</v>
      </c>
      <c r="F6161" t="s">
        <v>100</v>
      </c>
      <c r="G6161">
        <v>-226.4813</v>
      </c>
      <c r="H6161" s="1">
        <v>-2.35283899999999E-6</v>
      </c>
      <c r="I6161">
        <v>-58.328669999999903</v>
      </c>
      <c r="J6161">
        <v>-249.84829999999999</v>
      </c>
      <c r="K6161">
        <v>1.1058509999999999</v>
      </c>
      <c r="L6161">
        <v>-63.77176</v>
      </c>
      <c r="M6161">
        <v>0.99928130000000004</v>
      </c>
      <c r="N6161">
        <v>0</v>
      </c>
      <c r="O6161">
        <v>-3.519332E-2</v>
      </c>
      <c r="P6161">
        <v>0.99405309999999902</v>
      </c>
      <c r="Q6161">
        <v>5.1583749999999998E-2</v>
      </c>
      <c r="R6161">
        <v>9.5905999999999894E-2</v>
      </c>
      <c r="S6161">
        <v>2.9589999999999899</v>
      </c>
      <c r="T6161">
        <v>-0.13925479999999901</v>
      </c>
      <c r="U6161">
        <v>0.68484500000000004</v>
      </c>
      <c r="V6161">
        <v>-0.13094059999999999</v>
      </c>
      <c r="W6161">
        <v>6.5307680000000007E-2</v>
      </c>
      <c r="X6161">
        <v>0.98923680000000003</v>
      </c>
      <c r="Y6161">
        <v>-0.25932500000000003</v>
      </c>
      <c r="Z6161">
        <v>7.6546289999999996E-3</v>
      </c>
      <c r="AA6161">
        <v>0.96575979999999995</v>
      </c>
      <c r="AB6161">
        <v>28</v>
      </c>
      <c r="AC6161">
        <v>23.366999999999901</v>
      </c>
      <c r="AD6161">
        <v>-1.105853352839</v>
      </c>
      <c r="AE6161">
        <v>5.4430899999999998</v>
      </c>
      <c r="AF6161">
        <v>-6.2488860444060403</v>
      </c>
      <c r="AG6161">
        <v>-1.105853352839</v>
      </c>
      <c r="AH6161">
        <v>23.111843059468999</v>
      </c>
      <c r="AI6161">
        <v>92.644577468121497</v>
      </c>
      <c r="AJ6161">
        <v>105.12964886857</v>
      </c>
      <c r="AK6161">
        <v>23.967243855718699</v>
      </c>
    </row>
    <row r="6162" spans="1:37" x14ac:dyDescent="0.2">
      <c r="A6162" t="str">
        <f>"20200111155719638"</f>
        <v>20200111155719638</v>
      </c>
      <c r="B6162" t="str">
        <f>"1578729439628956"</f>
        <v>1578729439628956</v>
      </c>
      <c r="C6162" t="s">
        <v>37</v>
      </c>
      <c r="D6162">
        <v>4.6014809999999997</v>
      </c>
      <c r="E6162">
        <v>0.45158609999999999</v>
      </c>
      <c r="F6162" t="s">
        <v>100</v>
      </c>
      <c r="G6162">
        <v>-226.59379999999999</v>
      </c>
      <c r="H6162" s="1">
        <v>-2.3793639999999999E-6</v>
      </c>
      <c r="I6162">
        <v>-58.426960000000001</v>
      </c>
      <c r="J6162">
        <v>-249.71250000000001</v>
      </c>
      <c r="K6162">
        <v>1.1057920000000001</v>
      </c>
      <c r="L6162">
        <v>-63.776119999999999</v>
      </c>
      <c r="M6162">
        <v>0.99929449999999997</v>
      </c>
      <c r="N6162">
        <v>0</v>
      </c>
      <c r="O6162">
        <v>-3.4818139999999997E-2</v>
      </c>
      <c r="P6162">
        <v>0.99403889999999995</v>
      </c>
      <c r="Q6162">
        <v>5.1740429999999997E-2</v>
      </c>
      <c r="R6162">
        <v>9.5967469999999999E-2</v>
      </c>
      <c r="S6162">
        <v>2.959625</v>
      </c>
      <c r="T6162">
        <v>-0.14074300000000001</v>
      </c>
      <c r="U6162">
        <v>0.68023679999999997</v>
      </c>
      <c r="V6162">
        <v>-0.13062019999999999</v>
      </c>
      <c r="W6162">
        <v>6.5482280000000004E-2</v>
      </c>
      <c r="X6162">
        <v>0.98926759999999903</v>
      </c>
      <c r="Y6162">
        <v>-0.25748510000000002</v>
      </c>
      <c r="Z6162">
        <v>7.6752819999999899E-3</v>
      </c>
      <c r="AA6162">
        <v>0.96625179999999999</v>
      </c>
      <c r="AB6162">
        <v>28</v>
      </c>
      <c r="AC6162">
        <v>23.1187</v>
      </c>
      <c r="AD6162">
        <v>-1.1057943793639999</v>
      </c>
      <c r="AE6162">
        <v>5.3491599999999897</v>
      </c>
      <c r="AF6162">
        <v>-6.1376176582768496</v>
      </c>
      <c r="AG6162">
        <v>-1.1057943793639999</v>
      </c>
      <c r="AH6162">
        <v>22.868752316162301</v>
      </c>
      <c r="AI6162">
        <v>92.673841080945706</v>
      </c>
      <c r="AJ6162">
        <v>105.02326567188</v>
      </c>
      <c r="AK6162">
        <v>23.703859690493498</v>
      </c>
    </row>
    <row r="6163" spans="1:37" x14ac:dyDescent="0.2">
      <c r="A6163" t="str">
        <f>"20200111155719649"</f>
        <v>20200111155719649</v>
      </c>
      <c r="B6163" t="str">
        <f>"1578729439638714"</f>
        <v>1578729439638714</v>
      </c>
      <c r="C6163" t="s">
        <v>37</v>
      </c>
      <c r="D6163">
        <v>4.6178949999999999</v>
      </c>
      <c r="E6163">
        <v>0.45190969999999903</v>
      </c>
      <c r="F6163" t="s">
        <v>100</v>
      </c>
      <c r="G6163">
        <v>-226.62899999999999</v>
      </c>
      <c r="H6163" s="1">
        <v>-2.37856899999999E-6</v>
      </c>
      <c r="I6163">
        <v>-58.499009999999998</v>
      </c>
      <c r="J6163">
        <v>-249.58</v>
      </c>
      <c r="K6163">
        <v>1.105723</v>
      </c>
      <c r="L6163">
        <v>-63.780329999999999</v>
      </c>
      <c r="M6163">
        <v>0.99930439999999998</v>
      </c>
      <c r="N6163">
        <v>0</v>
      </c>
      <c r="O6163">
        <v>-3.4534860000000001E-2</v>
      </c>
      <c r="P6163">
        <v>0.99401019999999896</v>
      </c>
      <c r="Q6163">
        <v>5.1889959999999999E-2</v>
      </c>
      <c r="R6163">
        <v>9.6183399999999905E-2</v>
      </c>
      <c r="S6163">
        <v>2.9600520000000001</v>
      </c>
      <c r="T6163">
        <v>-0.1417986</v>
      </c>
      <c r="U6163">
        <v>0.67669679999999999</v>
      </c>
      <c r="V6163">
        <v>-0.13054369999999901</v>
      </c>
      <c r="W6163">
        <v>6.5651210000000002E-2</v>
      </c>
      <c r="X6163">
        <v>0.98926650000000005</v>
      </c>
      <c r="Y6163">
        <v>-0.25607960000000002</v>
      </c>
      <c r="Z6163">
        <v>7.6860840000000001E-3</v>
      </c>
      <c r="AA6163">
        <v>0.96662519999999996</v>
      </c>
      <c r="AB6163">
        <v>28</v>
      </c>
      <c r="AC6163">
        <v>22.951000000000001</v>
      </c>
      <c r="AD6163">
        <v>-1.105725378569</v>
      </c>
      <c r="AE6163">
        <v>5.28132</v>
      </c>
      <c r="AF6163">
        <v>-6.0575041830820702</v>
      </c>
      <c r="AG6163">
        <v>-1.105725378569</v>
      </c>
      <c r="AH6163">
        <v>22.704849469568401</v>
      </c>
      <c r="AI6163">
        <v>92.694015555100606</v>
      </c>
      <c r="AJ6163">
        <v>104.938196635491</v>
      </c>
      <c r="AK6163">
        <v>23.525011689192201</v>
      </c>
    </row>
    <row r="6164" spans="1:37" x14ac:dyDescent="0.2">
      <c r="A6164" t="str">
        <f>"20200111155719662"</f>
        <v>20200111155719662</v>
      </c>
      <c r="B6164" t="str">
        <f>"1578729439649450"</f>
        <v>1578729439649450</v>
      </c>
      <c r="C6164" t="s">
        <v>37</v>
      </c>
      <c r="D6164">
        <v>4.6437280000000003</v>
      </c>
      <c r="E6164">
        <v>0.45221489999999998</v>
      </c>
      <c r="F6164" t="s">
        <v>100</v>
      </c>
      <c r="G6164">
        <v>-226.80709999999999</v>
      </c>
      <c r="H6164" s="1">
        <v>-2.4348130000000001E-6</v>
      </c>
      <c r="I6164">
        <v>-58.590139999999998</v>
      </c>
      <c r="J6164">
        <v>-249.43780000000001</v>
      </c>
      <c r="K6164">
        <v>1.1056509999999999</v>
      </c>
      <c r="L6164">
        <v>-63.784909999999897</v>
      </c>
      <c r="M6164">
        <v>0.99931419999999904</v>
      </c>
      <c r="N6164">
        <v>0</v>
      </c>
      <c r="O6164">
        <v>-3.4252409999999997E-2</v>
      </c>
      <c r="P6164">
        <v>0.99399130000000002</v>
      </c>
      <c r="Q6164">
        <v>5.2075589999999998E-2</v>
      </c>
      <c r="R6164">
        <v>9.6279580000000003E-2</v>
      </c>
      <c r="S6164">
        <v>2.9602970000000002</v>
      </c>
      <c r="T6164">
        <v>-0.14373540000000001</v>
      </c>
      <c r="U6164">
        <v>0.67468260000000002</v>
      </c>
      <c r="V6164">
        <v>-0.13034809999999999</v>
      </c>
      <c r="W6164">
        <v>6.5858650000000005E-2</v>
      </c>
      <c r="X6164">
        <v>0.98927860000000001</v>
      </c>
      <c r="Y6164">
        <v>-0.25515650000000001</v>
      </c>
      <c r="Z6164">
        <v>7.7552289999999998E-3</v>
      </c>
      <c r="AA6164">
        <v>0.96686859999999997</v>
      </c>
      <c r="AB6164">
        <v>28</v>
      </c>
      <c r="AC6164">
        <v>22.630700000000001</v>
      </c>
      <c r="AD6164">
        <v>-1.105653434813</v>
      </c>
      <c r="AE6164">
        <v>5.1947699999999903</v>
      </c>
      <c r="AF6164">
        <v>-5.9534546401265498</v>
      </c>
      <c r="AG6164">
        <v>-1.105653434813</v>
      </c>
      <c r="AH6164">
        <v>22.3887013316157</v>
      </c>
      <c r="AI6164">
        <v>92.7324197937713</v>
      </c>
      <c r="AJ6164">
        <v>104.89111343816199</v>
      </c>
      <c r="AK6164">
        <v>23.193103263389499</v>
      </c>
    </row>
    <row r="6165" spans="1:37" x14ac:dyDescent="0.2">
      <c r="A6165" t="str">
        <f>"20200111155719671"</f>
        <v>20200111155719671</v>
      </c>
      <c r="B6165" t="str">
        <f>"1578729439668971"</f>
        <v>1578729439668971</v>
      </c>
      <c r="C6165" t="s">
        <v>37</v>
      </c>
      <c r="D6165">
        <v>4.6831690000000004</v>
      </c>
      <c r="E6165">
        <v>0.45259880000000002</v>
      </c>
      <c r="F6165" t="s">
        <v>100</v>
      </c>
      <c r="G6165">
        <v>-227.03139999999999</v>
      </c>
      <c r="H6165" s="1">
        <v>-2.5076119999999998E-6</v>
      </c>
      <c r="I6165">
        <v>-58.695999999999998</v>
      </c>
      <c r="J6165">
        <v>-249.30350000000001</v>
      </c>
      <c r="K6165">
        <v>1.1055790000000001</v>
      </c>
      <c r="L6165">
        <v>-63.789219999999901</v>
      </c>
      <c r="M6165">
        <v>0.99932109999999996</v>
      </c>
      <c r="N6165">
        <v>0</v>
      </c>
      <c r="O6165">
        <v>-3.4050900000000002E-2</v>
      </c>
      <c r="P6165">
        <v>0.99400339999999998</v>
      </c>
      <c r="Q6165">
        <v>5.1921519999999999E-2</v>
      </c>
      <c r="R6165">
        <v>9.6236539999999995E-2</v>
      </c>
      <c r="S6165">
        <v>2.9606779999999899</v>
      </c>
      <c r="T6165">
        <v>-0.146095899999999</v>
      </c>
      <c r="U6165">
        <v>0.67242429999999997</v>
      </c>
      <c r="V6165">
        <v>-0.13009399999999999</v>
      </c>
      <c r="W6165">
        <v>6.5726859999999998E-2</v>
      </c>
      <c r="X6165">
        <v>0.9893208</v>
      </c>
      <c r="Y6165">
        <v>-0.2542238</v>
      </c>
      <c r="Z6165">
        <v>7.8495649999999993E-3</v>
      </c>
      <c r="AA6165">
        <v>0.96711360000000002</v>
      </c>
      <c r="AB6165">
        <v>28</v>
      </c>
      <c r="AC6165">
        <v>22.272099999999998</v>
      </c>
      <c r="AD6165">
        <v>-1.1055815076119999</v>
      </c>
      <c r="AE6165">
        <v>5.0932199999999801</v>
      </c>
      <c r="AF6165">
        <v>-5.8350622900011597</v>
      </c>
      <c r="AG6165">
        <v>-1.1055815076119999</v>
      </c>
      <c r="AH6165">
        <v>22.034139770843399</v>
      </c>
      <c r="AI6165">
        <v>92.776891832162704</v>
      </c>
      <c r="AJ6165">
        <v>104.832544906178</v>
      </c>
      <c r="AK6165">
        <v>22.8204640145469</v>
      </c>
    </row>
    <row r="6166" spans="1:37" x14ac:dyDescent="0.2">
      <c r="A6166" t="str">
        <f>"20200111155719683"</f>
        <v>20200111155719683</v>
      </c>
      <c r="B6166" t="str">
        <f>"1578729439679706"</f>
        <v>1578729439679706</v>
      </c>
      <c r="C6166" t="s">
        <v>37</v>
      </c>
      <c r="D6166">
        <v>4.6449049999999996</v>
      </c>
      <c r="E6166">
        <v>0.45279540000000001</v>
      </c>
      <c r="F6166" t="s">
        <v>100</v>
      </c>
      <c r="G6166">
        <v>-227.5078</v>
      </c>
      <c r="H6166" s="1">
        <v>-2.6750409999999999E-6</v>
      </c>
      <c r="I6166">
        <v>-58.863190000000003</v>
      </c>
      <c r="J6166">
        <v>-249.1643</v>
      </c>
      <c r="K6166">
        <v>1.1055029999999999</v>
      </c>
      <c r="L6166">
        <v>-63.793729999999996</v>
      </c>
      <c r="M6166">
        <v>0.99932690000000002</v>
      </c>
      <c r="N6166">
        <v>0</v>
      </c>
      <c r="O6166">
        <v>-3.387888E-2</v>
      </c>
      <c r="P6166">
        <v>0.99404409999999899</v>
      </c>
      <c r="Q6166">
        <v>5.1687699999999899E-2</v>
      </c>
      <c r="R6166">
        <v>9.5941879999999993E-2</v>
      </c>
      <c r="S6166">
        <v>2.961166</v>
      </c>
      <c r="T6166">
        <v>-0.15020459999999999</v>
      </c>
      <c r="U6166">
        <v>0.66925049999999997</v>
      </c>
      <c r="V6166">
        <v>-0.12961839999999999</v>
      </c>
      <c r="W6166">
        <v>6.5516080000000004E-2</v>
      </c>
      <c r="X6166">
        <v>0.98939719999999998</v>
      </c>
      <c r="Y6166">
        <v>-0.25301950000000001</v>
      </c>
      <c r="Z6166">
        <v>8.0309200000000004E-3</v>
      </c>
      <c r="AA6166">
        <v>0.96742779999999995</v>
      </c>
      <c r="AB6166">
        <v>28</v>
      </c>
      <c r="AC6166">
        <v>21.656499999999902</v>
      </c>
      <c r="AD6166">
        <v>-1.1055056750409999</v>
      </c>
      <c r="AE6166">
        <v>4.9305399999999997</v>
      </c>
      <c r="AF6166">
        <v>-5.6474884846400499</v>
      </c>
      <c r="AG6166">
        <v>-1.1055056750409999</v>
      </c>
      <c r="AH6166">
        <v>21.423931910517599</v>
      </c>
      <c r="AI6166">
        <v>92.856513992527098</v>
      </c>
      <c r="AJ6166">
        <v>104.76760059945001</v>
      </c>
      <c r="AK6166">
        <v>22.183352485325202</v>
      </c>
    </row>
    <row r="6167" spans="1:37" x14ac:dyDescent="0.2">
      <c r="A6167" t="str">
        <f>"20200111155719694"</f>
        <v>20200111155719694</v>
      </c>
      <c r="B6167" t="str">
        <f>"1578729439689466"</f>
        <v>1578729439689466</v>
      </c>
      <c r="C6167" t="s">
        <v>37</v>
      </c>
      <c r="D6167">
        <v>4.7930650000000004</v>
      </c>
      <c r="E6167">
        <v>0.45284099999999999</v>
      </c>
      <c r="F6167" t="s">
        <v>100</v>
      </c>
      <c r="G6167">
        <v>-227.70820000000001</v>
      </c>
      <c r="H6167" s="1">
        <v>-2.738864E-6</v>
      </c>
      <c r="I6167">
        <v>-58.963250000000002</v>
      </c>
      <c r="J6167">
        <v>-249.0222</v>
      </c>
      <c r="K6167">
        <v>1.1054329999999899</v>
      </c>
      <c r="L6167">
        <v>-63.798340000000003</v>
      </c>
      <c r="M6167">
        <v>0.99933139999999998</v>
      </c>
      <c r="N6167">
        <v>0</v>
      </c>
      <c r="O6167">
        <v>-3.37504E-2</v>
      </c>
      <c r="P6167">
        <v>0.99407979999999996</v>
      </c>
      <c r="Q6167">
        <v>5.1216230000000001E-2</v>
      </c>
      <c r="R6167">
        <v>9.5826040000000001E-2</v>
      </c>
      <c r="S6167">
        <v>2.9615779999999998</v>
      </c>
      <c r="T6167">
        <v>-0.15259220000000001</v>
      </c>
      <c r="U6167">
        <v>0.66674800000000001</v>
      </c>
      <c r="V6167">
        <v>-0.12936410000000001</v>
      </c>
      <c r="W6167">
        <v>6.5067369999999999E-2</v>
      </c>
      <c r="X6167">
        <v>0.98946009999999995</v>
      </c>
      <c r="Y6167">
        <v>-0.25207819999999997</v>
      </c>
      <c r="Z6167">
        <v>8.1275719999999996E-3</v>
      </c>
      <c r="AA6167">
        <v>0.96767269999999905</v>
      </c>
      <c r="AB6167">
        <v>27</v>
      </c>
      <c r="AC6167">
        <v>21.314</v>
      </c>
      <c r="AD6167">
        <v>-1.1054357388639999</v>
      </c>
      <c r="AE6167">
        <v>4.8350900000000001</v>
      </c>
      <c r="AF6167">
        <v>-5.5375954196351698</v>
      </c>
      <c r="AG6167">
        <v>-1.1054357388639999</v>
      </c>
      <c r="AH6167">
        <v>21.084712436163301</v>
      </c>
      <c r="AI6167">
        <v>92.902901853378097</v>
      </c>
      <c r="AJ6167">
        <v>104.7155703893</v>
      </c>
      <c r="AK6167">
        <v>21.827781603269301</v>
      </c>
    </row>
    <row r="6168" spans="1:37" x14ac:dyDescent="0.2">
      <c r="A6168" t="str">
        <f>"20200111155719713"</f>
        <v>20200111155719713</v>
      </c>
      <c r="B6168" t="str">
        <f>"1578729439708987"</f>
        <v>1578729439708987</v>
      </c>
      <c r="C6168" t="s">
        <v>37</v>
      </c>
      <c r="D6168">
        <v>4.7496330000000002</v>
      </c>
      <c r="E6168">
        <v>0.45257249999999999</v>
      </c>
      <c r="F6168" t="s">
        <v>100</v>
      </c>
      <c r="G6168">
        <v>-227.88849999999999</v>
      </c>
      <c r="H6168" s="1">
        <v>-2.7982749999999999E-6</v>
      </c>
      <c r="I6168">
        <v>-59.04448</v>
      </c>
      <c r="J6168">
        <v>-248.7961</v>
      </c>
      <c r="K6168">
        <v>1.105315</v>
      </c>
      <c r="L6168">
        <v>-63.805790000000002</v>
      </c>
      <c r="M6168">
        <v>0.99933419999999895</v>
      </c>
      <c r="N6168">
        <v>0</v>
      </c>
      <c r="O6168">
        <v>-3.3665439999999998E-2</v>
      </c>
      <c r="P6168">
        <v>0.99413009999999902</v>
      </c>
      <c r="Q6168">
        <v>5.0854879999999998E-2</v>
      </c>
      <c r="R6168">
        <v>9.5495750000000004E-2</v>
      </c>
      <c r="S6168">
        <v>2.9616389999999999</v>
      </c>
      <c r="T6168">
        <v>-0.1549141</v>
      </c>
      <c r="U6168">
        <v>0.66619869999999903</v>
      </c>
      <c r="V6168">
        <v>-0.12893279999999999</v>
      </c>
      <c r="W6168">
        <v>6.4741439999999997E-2</v>
      </c>
      <c r="X6168">
        <v>0.98953769999999996</v>
      </c>
      <c r="Y6168">
        <v>-0.25181029999999999</v>
      </c>
      <c r="Z6168">
        <v>8.2397719999999994E-3</v>
      </c>
      <c r="AA6168">
        <v>0.96774150000000003</v>
      </c>
      <c r="AB6168">
        <v>27</v>
      </c>
      <c r="AC6168">
        <v>20.907599999999999</v>
      </c>
      <c r="AD6168">
        <v>-1.105317798275</v>
      </c>
      <c r="AE6168">
        <v>4.7613099999999902</v>
      </c>
      <c r="AF6168">
        <v>-5.4480676864789404</v>
      </c>
      <c r="AG6168">
        <v>-1.105317798275</v>
      </c>
      <c r="AH6168">
        <v>20.6804888396391</v>
      </c>
      <c r="AI6168">
        <v>92.958642723123603</v>
      </c>
      <c r="AJ6168">
        <v>104.758677612409</v>
      </c>
      <c r="AK6168">
        <v>21.414616214120599</v>
      </c>
    </row>
    <row r="6169" spans="1:37" x14ac:dyDescent="0.2">
      <c r="A6169" t="str">
        <f>"20200111155719724"</f>
        <v>20200111155719724</v>
      </c>
      <c r="B6169" t="str">
        <f>"1578729439718747"</f>
        <v>1578729439718747</v>
      </c>
      <c r="C6169" t="s">
        <v>37</v>
      </c>
      <c r="D6169">
        <v>4.7232539999999998</v>
      </c>
      <c r="E6169">
        <v>0.45264919999999997</v>
      </c>
      <c r="F6169" t="s">
        <v>100</v>
      </c>
      <c r="G6169">
        <v>-227.4239</v>
      </c>
      <c r="H6169" s="1">
        <v>-2.6110009999999999E-6</v>
      </c>
      <c r="I6169">
        <v>-58.99006</v>
      </c>
      <c r="J6169">
        <v>-248.67009999999999</v>
      </c>
      <c r="K6169">
        <v>1.105248</v>
      </c>
      <c r="L6169">
        <v>-63.809939999999997</v>
      </c>
      <c r="M6169">
        <v>0.9993339</v>
      </c>
      <c r="N6169">
        <v>0</v>
      </c>
      <c r="O6169">
        <v>-3.3678819999999998E-2</v>
      </c>
      <c r="P6169">
        <v>0.99417699999999998</v>
      </c>
      <c r="Q6169">
        <v>5.0386970000000003E-2</v>
      </c>
      <c r="R6169">
        <v>9.525496E-2</v>
      </c>
      <c r="S6169">
        <v>2.9614560000000001</v>
      </c>
      <c r="T6169">
        <v>-0.15315979999999901</v>
      </c>
      <c r="U6169">
        <v>0.66729740000000004</v>
      </c>
      <c r="V6169">
        <v>-0.1286968</v>
      </c>
      <c r="W6169">
        <v>6.4293180000000005E-2</v>
      </c>
      <c r="X6169">
        <v>0.98959769999999903</v>
      </c>
      <c r="Y6169">
        <v>-0.25218560000000001</v>
      </c>
      <c r="Z6169">
        <v>8.1570110000000005E-3</v>
      </c>
      <c r="AA6169">
        <v>0.96764450000000002</v>
      </c>
      <c r="AB6169">
        <v>27</v>
      </c>
      <c r="AC6169">
        <v>21.246199999999899</v>
      </c>
      <c r="AD6169">
        <v>-1.1052506110010001</v>
      </c>
      <c r="AE6169">
        <v>4.8198800000000004</v>
      </c>
      <c r="AF6169">
        <v>-5.5185594681484202</v>
      </c>
      <c r="AG6169">
        <v>-1.1052506110010001</v>
      </c>
      <c r="AH6169">
        <v>21.017706845225799</v>
      </c>
      <c r="AI6169">
        <v>92.911702549964005</v>
      </c>
      <c r="AJ6169">
        <v>104.711903441166</v>
      </c>
      <c r="AK6169">
        <v>21.758218643732299</v>
      </c>
    </row>
    <row r="6170" spans="1:37" x14ac:dyDescent="0.2">
      <c r="A6170" t="str">
        <f>"20200111155719734"</f>
        <v>20200111155719734</v>
      </c>
      <c r="B6170" t="str">
        <f>"1578729439729483"</f>
        <v>1578729439729483</v>
      </c>
      <c r="C6170" t="s">
        <v>37</v>
      </c>
      <c r="D6170">
        <v>4.7402930000000003</v>
      </c>
      <c r="E6170">
        <v>0.45272230000000002</v>
      </c>
      <c r="F6170" t="s">
        <v>100</v>
      </c>
      <c r="G6170">
        <v>-227.72559999999999</v>
      </c>
      <c r="H6170" s="1">
        <v>-2.716379E-6</v>
      </c>
      <c r="I6170">
        <v>-59.098869999999998</v>
      </c>
      <c r="J6170">
        <v>-248.53809999999999</v>
      </c>
      <c r="K6170">
        <v>1.1051759999999999</v>
      </c>
      <c r="L6170">
        <v>-63.814390000000003</v>
      </c>
      <c r="M6170">
        <v>0.99933189999999905</v>
      </c>
      <c r="N6170">
        <v>0</v>
      </c>
      <c r="O6170">
        <v>-3.3735899999999999E-2</v>
      </c>
      <c r="P6170">
        <v>0.99425569999999897</v>
      </c>
      <c r="Q6170">
        <v>4.9856699999999997E-2</v>
      </c>
      <c r="R6170">
        <v>9.4710719999999998E-2</v>
      </c>
      <c r="S6170">
        <v>2.9616549999999999</v>
      </c>
      <c r="T6170">
        <v>-0.15628800000000001</v>
      </c>
      <c r="U6170">
        <v>0.66616819999999999</v>
      </c>
      <c r="V6170">
        <v>-0.1282008</v>
      </c>
      <c r="W6170">
        <v>6.3784480000000005E-2</v>
      </c>
      <c r="X6170">
        <v>0.98969499999999999</v>
      </c>
      <c r="Y6170">
        <v>-0.2518611</v>
      </c>
      <c r="Z6170">
        <v>8.317718E-3</v>
      </c>
      <c r="AA6170">
        <v>0.96772769999999997</v>
      </c>
      <c r="AB6170">
        <v>27</v>
      </c>
      <c r="AC6170">
        <v>20.8125</v>
      </c>
      <c r="AD6170">
        <v>-1.1051787163789999</v>
      </c>
      <c r="AE6170">
        <v>4.7155199999999997</v>
      </c>
      <c r="AF6170">
        <v>-5.4005482973619303</v>
      </c>
      <c r="AG6170">
        <v>-1.1051787163789999</v>
      </c>
      <c r="AH6170">
        <v>20.5863380938465</v>
      </c>
      <c r="AI6170">
        <v>92.972581443085105</v>
      </c>
      <c r="AJ6170">
        <v>104.69954065811601</v>
      </c>
      <c r="AK6170">
        <v>21.311608527312799</v>
      </c>
    </row>
    <row r="6171" spans="1:37" x14ac:dyDescent="0.2">
      <c r="A6171" t="str">
        <f>"20200111155719744"</f>
        <v>20200111155719744</v>
      </c>
      <c r="B6171" t="str">
        <f>"1578729439739242"</f>
        <v>1578729439739242</v>
      </c>
      <c r="C6171" t="s">
        <v>37</v>
      </c>
      <c r="D6171">
        <v>4.7633089999999996</v>
      </c>
      <c r="E6171">
        <v>0.45284239999999998</v>
      </c>
      <c r="F6171" t="s">
        <v>100</v>
      </c>
      <c r="G6171">
        <v>-227.99850000000001</v>
      </c>
      <c r="H6171" s="1">
        <v>-2.808835E-6</v>
      </c>
      <c r="I6171">
        <v>-59.210079999999998</v>
      </c>
      <c r="J6171">
        <v>-248.42449999999999</v>
      </c>
      <c r="K6171">
        <v>1.105116</v>
      </c>
      <c r="L6171">
        <v>-63.818269999999998</v>
      </c>
      <c r="M6171">
        <v>0.99932869999999996</v>
      </c>
      <c r="N6171">
        <v>0</v>
      </c>
      <c r="O6171">
        <v>-3.3831239999999999E-2</v>
      </c>
      <c r="P6171">
        <v>0.99430099999999999</v>
      </c>
      <c r="Q6171">
        <v>4.9476369999999999E-2</v>
      </c>
      <c r="R6171">
        <v>9.4434950000000004E-2</v>
      </c>
      <c r="S6171">
        <v>2.9620820000000001</v>
      </c>
      <c r="T6171">
        <v>-0.1593812</v>
      </c>
      <c r="U6171">
        <v>0.66400150000000002</v>
      </c>
      <c r="V6171">
        <v>-0.12801170000000001</v>
      </c>
      <c r="W6171">
        <v>6.3422829999999999E-2</v>
      </c>
      <c r="X6171">
        <v>0.98974269999999998</v>
      </c>
      <c r="Y6171">
        <v>-0.25123529999999999</v>
      </c>
      <c r="Z6171">
        <v>8.4700360000000002E-3</v>
      </c>
      <c r="AA6171">
        <v>0.967888999999999</v>
      </c>
      <c r="AB6171">
        <v>27</v>
      </c>
      <c r="AC6171">
        <v>20.425999999999899</v>
      </c>
      <c r="AD6171">
        <v>-1.1051188088349999</v>
      </c>
      <c r="AE6171">
        <v>4.6081899999999898</v>
      </c>
      <c r="AF6171">
        <v>-5.2819443114864404</v>
      </c>
      <c r="AG6171">
        <v>-1.1051188088349999</v>
      </c>
      <c r="AH6171">
        <v>20.202117409759499</v>
      </c>
      <c r="AI6171">
        <v>93.0295015250327</v>
      </c>
      <c r="AJ6171">
        <v>104.652274402735</v>
      </c>
      <c r="AK6171">
        <v>20.9104225478346</v>
      </c>
    </row>
    <row r="6172" spans="1:37" x14ac:dyDescent="0.2">
      <c r="A6172" t="str">
        <f>"20200111155719753"</f>
        <v>20200111155719753</v>
      </c>
      <c r="B6172" t="str">
        <f>"1578729439749002"</f>
        <v>1578729439749002</v>
      </c>
      <c r="C6172" t="s">
        <v>37</v>
      </c>
      <c r="D6172">
        <v>4.7318160000000002</v>
      </c>
      <c r="E6172">
        <v>0.45290740000000002</v>
      </c>
      <c r="F6172" t="s">
        <v>100</v>
      </c>
      <c r="G6172">
        <v>-228.16640000000001</v>
      </c>
      <c r="H6172" s="1">
        <v>-2.863646E-6</v>
      </c>
      <c r="I6172">
        <v>-59.288089999999997</v>
      </c>
      <c r="J6172">
        <v>-248.3006</v>
      </c>
      <c r="K6172">
        <v>1.1050489999999999</v>
      </c>
      <c r="L6172">
        <v>-63.822539999999996</v>
      </c>
      <c r="M6172">
        <v>0.99932389999999904</v>
      </c>
      <c r="N6172">
        <v>0</v>
      </c>
      <c r="O6172">
        <v>-3.3969720000000002E-2</v>
      </c>
      <c r="P6172">
        <v>0.99433660000000001</v>
      </c>
      <c r="Q6172">
        <v>4.9529429999999999E-2</v>
      </c>
      <c r="R6172">
        <v>9.4029749999999995E-2</v>
      </c>
      <c r="S6172">
        <v>2.962326</v>
      </c>
      <c r="T6172">
        <v>-0.16160099999999999</v>
      </c>
      <c r="U6172">
        <v>0.66244510000000001</v>
      </c>
      <c r="V6172">
        <v>-0.12773499999999999</v>
      </c>
      <c r="W6172">
        <v>6.3495640000000006E-2</v>
      </c>
      <c r="X6172">
        <v>0.98977380000000004</v>
      </c>
      <c r="Y6172">
        <v>-0.25085740000000001</v>
      </c>
      <c r="Z6172">
        <v>8.584922E-3</v>
      </c>
      <c r="AA6172">
        <v>0.96798600000000001</v>
      </c>
      <c r="AB6172">
        <v>27</v>
      </c>
      <c r="AC6172">
        <v>20.1342</v>
      </c>
      <c r="AD6172">
        <v>-1.1050518636460001</v>
      </c>
      <c r="AE6172">
        <v>4.5344499999999996</v>
      </c>
      <c r="AF6172">
        <v>-5.2009427921965603</v>
      </c>
      <c r="AG6172">
        <v>-1.1050518636460001</v>
      </c>
      <c r="AH6172">
        <v>19.911444544567399</v>
      </c>
      <c r="AI6172">
        <v>93.073645589564094</v>
      </c>
      <c r="AJ6172">
        <v>104.638796684978</v>
      </c>
      <c r="AK6172">
        <v>20.609138007215002</v>
      </c>
    </row>
    <row r="6173" spans="1:37" x14ac:dyDescent="0.2">
      <c r="A6173" t="str">
        <f>"20200111155719763"</f>
        <v>20200111155719763</v>
      </c>
      <c r="B6173" t="str">
        <f>"1578729439758762"</f>
        <v>1578729439758762</v>
      </c>
      <c r="C6173" t="s">
        <v>37</v>
      </c>
      <c r="D6173">
        <v>4.8048769999999896</v>
      </c>
      <c r="E6173">
        <v>0.45284940000000001</v>
      </c>
      <c r="F6173" t="s">
        <v>100</v>
      </c>
      <c r="G6173">
        <v>-228.1078</v>
      </c>
      <c r="H6173" s="1">
        <v>-2.8318589999999999E-6</v>
      </c>
      <c r="I6173">
        <v>-59.318049999999999</v>
      </c>
      <c r="J6173">
        <v>-248.1859</v>
      </c>
      <c r="K6173">
        <v>1.104994</v>
      </c>
      <c r="L6173">
        <v>-63.826540000000001</v>
      </c>
      <c r="M6173">
        <v>0.99931829999999999</v>
      </c>
      <c r="N6173">
        <v>0</v>
      </c>
      <c r="O6173">
        <v>-3.4136859999999998E-2</v>
      </c>
      <c r="P6173">
        <v>0.99435839999999998</v>
      </c>
      <c r="Q6173">
        <v>4.970049E-2</v>
      </c>
      <c r="R6173">
        <v>9.370995E-2</v>
      </c>
      <c r="S6173">
        <v>2.9626459999999999</v>
      </c>
      <c r="T6173">
        <v>-0.16213089999999999</v>
      </c>
      <c r="U6173">
        <v>0.6608887</v>
      </c>
      <c r="V6173">
        <v>-0.12757199999999999</v>
      </c>
      <c r="W6173">
        <v>6.3684560000000001E-2</v>
      </c>
      <c r="X6173">
        <v>0.98978259999999996</v>
      </c>
      <c r="Y6173">
        <v>-0.25051020000000002</v>
      </c>
      <c r="Z6173">
        <v>8.61227E-3</v>
      </c>
      <c r="AA6173">
        <v>0.96807559999999904</v>
      </c>
      <c r="AB6173">
        <v>27</v>
      </c>
      <c r="AC6173">
        <v>20.078099999999999</v>
      </c>
      <c r="AD6173">
        <v>-1.104996831859</v>
      </c>
      <c r="AE6173">
        <v>4.5084900000000001</v>
      </c>
      <c r="AF6173">
        <v>-5.1764068700272103</v>
      </c>
      <c r="AG6173">
        <v>-1.104996831859</v>
      </c>
      <c r="AH6173">
        <v>19.855222975295899</v>
      </c>
      <c r="AI6173">
        <v>93.082551785575404</v>
      </c>
      <c r="AJ6173">
        <v>104.61218322721599</v>
      </c>
      <c r="AK6173">
        <v>20.548627338126501</v>
      </c>
    </row>
    <row r="6174" spans="1:37" x14ac:dyDescent="0.2">
      <c r="A6174" t="str">
        <f>"20200111155719772"</f>
        <v>20200111155719772</v>
      </c>
      <c r="B6174" t="str">
        <f>"1578729439769647"</f>
        <v>1578729439769647</v>
      </c>
      <c r="C6174" t="s">
        <v>37</v>
      </c>
      <c r="D6174">
        <v>4.7725239999999998</v>
      </c>
      <c r="E6174">
        <v>0.45281569999999999</v>
      </c>
      <c r="F6174" t="s">
        <v>100</v>
      </c>
      <c r="G6174">
        <v>-228.0068</v>
      </c>
      <c r="H6174" s="1">
        <v>-2.7861479999999999E-6</v>
      </c>
      <c r="I6174">
        <v>-59.328769999999999</v>
      </c>
      <c r="J6174">
        <v>-248.0675</v>
      </c>
      <c r="K6174">
        <v>1.104932</v>
      </c>
      <c r="L6174">
        <v>-63.8307199999999</v>
      </c>
      <c r="M6174">
        <v>0.99931119999999996</v>
      </c>
      <c r="N6174">
        <v>0</v>
      </c>
      <c r="O6174">
        <v>-3.4344939999999997E-2</v>
      </c>
      <c r="P6174">
        <v>0.99438539999999997</v>
      </c>
      <c r="Q6174">
        <v>4.9975199999999997E-2</v>
      </c>
      <c r="R6174">
        <v>9.3274739999999995E-2</v>
      </c>
      <c r="S6174">
        <v>2.9628749999999999</v>
      </c>
      <c r="T6174">
        <v>-0.16224479999999999</v>
      </c>
      <c r="U6174">
        <v>0.6604004</v>
      </c>
      <c r="V6174">
        <v>-0.12733410000000001</v>
      </c>
      <c r="W6174">
        <v>6.3978640000000003E-2</v>
      </c>
      <c r="X6174">
        <v>0.98979430000000002</v>
      </c>
      <c r="Y6174">
        <v>-0.25054299999999902</v>
      </c>
      <c r="Z6174">
        <v>8.6299669999999901E-3</v>
      </c>
      <c r="AA6174">
        <v>0.96806700000000001</v>
      </c>
      <c r="AB6174">
        <v>27</v>
      </c>
      <c r="AC6174">
        <v>20.060700000000001</v>
      </c>
      <c r="AD6174">
        <v>-1.1049347861479999</v>
      </c>
      <c r="AE6174">
        <v>4.5019499999999901</v>
      </c>
      <c r="AF6174">
        <v>-5.1734027775017104</v>
      </c>
      <c r="AG6174">
        <v>-1.1049347861479999</v>
      </c>
      <c r="AH6174">
        <v>19.8369331913267</v>
      </c>
      <c r="AI6174">
        <v>93.085148658818397</v>
      </c>
      <c r="AJ6174">
        <v>104.616954412024</v>
      </c>
      <c r="AK6174">
        <v>20.530194729155902</v>
      </c>
    </row>
    <row r="6175" spans="1:37" x14ac:dyDescent="0.2">
      <c r="A6175" t="str">
        <f>"20200111155719784"</f>
        <v>20200111155719784</v>
      </c>
      <c r="B6175" t="str">
        <f>"1578729439779407"</f>
        <v>1578729439779407</v>
      </c>
      <c r="C6175" t="s">
        <v>37</v>
      </c>
      <c r="D6175">
        <v>4.8178109999999998</v>
      </c>
      <c r="E6175">
        <v>0.45287919999999998</v>
      </c>
      <c r="F6175" t="s">
        <v>100</v>
      </c>
      <c r="G6175">
        <v>-227.88919999999999</v>
      </c>
      <c r="H6175" s="1">
        <v>-2.7332010000000002E-6</v>
      </c>
      <c r="I6175">
        <v>-59.340179999999997</v>
      </c>
      <c r="J6175">
        <v>-247.9348</v>
      </c>
      <c r="K6175">
        <v>1.1048659999999999</v>
      </c>
      <c r="L6175">
        <v>-63.835479999999997</v>
      </c>
      <c r="M6175">
        <v>0.99930169999999996</v>
      </c>
      <c r="N6175">
        <v>0</v>
      </c>
      <c r="O6175">
        <v>-3.4616939999999999E-2</v>
      </c>
      <c r="P6175">
        <v>0.99441109999999899</v>
      </c>
      <c r="Q6175">
        <v>5.022977E-2</v>
      </c>
      <c r="R6175">
        <v>9.2862379999999994E-2</v>
      </c>
      <c r="S6175">
        <v>2.963257</v>
      </c>
      <c r="T6175">
        <v>-0.16226409999999999</v>
      </c>
      <c r="U6175">
        <v>0.65945430000000005</v>
      </c>
      <c r="V6175">
        <v>-0.12718080000000001</v>
      </c>
      <c r="W6175">
        <v>6.4254149999999996E-2</v>
      </c>
      <c r="X6175">
        <v>0.98979619999999902</v>
      </c>
      <c r="Y6175">
        <v>-0.25048530000000002</v>
      </c>
      <c r="Z6175">
        <v>8.6433699999999992E-3</v>
      </c>
      <c r="AA6175">
        <v>0.96808179999999999</v>
      </c>
      <c r="AB6175">
        <v>27</v>
      </c>
      <c r="AC6175">
        <v>20.0456</v>
      </c>
      <c r="AD6175">
        <v>-1.1048687332009901</v>
      </c>
      <c r="AE6175">
        <v>4.4953000000000003</v>
      </c>
      <c r="AF6175">
        <v>-5.17163221892881</v>
      </c>
      <c r="AG6175">
        <v>-1.1048687332009901</v>
      </c>
      <c r="AH6175">
        <v>19.820623200254602</v>
      </c>
      <c r="AI6175">
        <v>93.087403946455197</v>
      </c>
      <c r="AJ6175">
        <v>104.623674836985</v>
      </c>
      <c r="AK6175">
        <v>20.513985930870099</v>
      </c>
    </row>
    <row r="6176" spans="1:37" x14ac:dyDescent="0.2">
      <c r="A6176" t="str">
        <f>"20200111155719795"</f>
        <v>20200111155719795</v>
      </c>
      <c r="B6176" t="str">
        <f>"1578729439789168"</f>
        <v>1578729439789168</v>
      </c>
      <c r="C6176" t="s">
        <v>37</v>
      </c>
      <c r="D6176">
        <v>4.789669</v>
      </c>
      <c r="E6176">
        <v>0.452984099999999</v>
      </c>
      <c r="F6176" t="s">
        <v>100</v>
      </c>
      <c r="G6176">
        <v>-227.80439999999999</v>
      </c>
      <c r="H6176" s="1">
        <v>-2.69063899999999E-6</v>
      </c>
      <c r="I6176">
        <v>-59.368009999999998</v>
      </c>
      <c r="J6176">
        <v>-247.79900000000001</v>
      </c>
      <c r="K6176">
        <v>1.1047990000000001</v>
      </c>
      <c r="L6176">
        <v>-63.840419999999902</v>
      </c>
      <c r="M6176">
        <v>0.99929089999999998</v>
      </c>
      <c r="N6176">
        <v>0</v>
      </c>
      <c r="O6176">
        <v>-3.4933440000000003E-2</v>
      </c>
      <c r="P6176">
        <v>0.99446119999999905</v>
      </c>
      <c r="Q6176">
        <v>5.0609830000000001E-2</v>
      </c>
      <c r="R6176">
        <v>9.2117260000000006E-2</v>
      </c>
      <c r="S6176">
        <v>2.9636689999999999</v>
      </c>
      <c r="T6176">
        <v>-0.16266240000000001</v>
      </c>
      <c r="U6176">
        <v>0.65771480000000004</v>
      </c>
      <c r="V6176">
        <v>-0.12673999999999999</v>
      </c>
      <c r="W6176">
        <v>6.4655770000000001E-2</v>
      </c>
      <c r="X6176">
        <v>0.9898266</v>
      </c>
      <c r="Y6176">
        <v>-0.25021979999999999</v>
      </c>
      <c r="Z6176">
        <v>8.6739009999999995E-3</v>
      </c>
      <c r="AA6176">
        <v>0.96815019999999996</v>
      </c>
      <c r="AB6176">
        <v>27</v>
      </c>
      <c r="AC6176">
        <v>19.994599999999998</v>
      </c>
      <c r="AD6176">
        <v>-1.1048016906389999</v>
      </c>
      <c r="AE6176">
        <v>4.4724099999999902</v>
      </c>
      <c r="AF6176">
        <v>-5.1532450118972504</v>
      </c>
      <c r="AG6176">
        <v>-1.1048016906389999</v>
      </c>
      <c r="AH6176">
        <v>19.7686615279598</v>
      </c>
      <c r="AI6176">
        <v>93.095500210704103</v>
      </c>
      <c r="AJ6176">
        <v>104.610569464257</v>
      </c>
      <c r="AK6176">
        <v>20.459142199401299</v>
      </c>
    </row>
    <row r="6177" spans="1:37" x14ac:dyDescent="0.2">
      <c r="A6177" t="str">
        <f>"20200111155719805"</f>
        <v>20200111155719805</v>
      </c>
      <c r="B6177" t="str">
        <f>"1578729439798928"</f>
        <v>1578729439798928</v>
      </c>
      <c r="C6177" t="s">
        <v>37</v>
      </c>
      <c r="D6177">
        <v>4.8499080000000001</v>
      </c>
      <c r="E6177">
        <v>0.45303859999999901</v>
      </c>
      <c r="F6177" t="s">
        <v>100</v>
      </c>
      <c r="G6177">
        <v>-227.61940000000001</v>
      </c>
      <c r="H6177" s="1">
        <v>-2.6077159999999899E-6</v>
      </c>
      <c r="I6177">
        <v>-59.384250000000002</v>
      </c>
      <c r="J6177">
        <v>-247.66669999999999</v>
      </c>
      <c r="K6177">
        <v>1.104733</v>
      </c>
      <c r="L6177">
        <v>-63.845369999999903</v>
      </c>
      <c r="M6177">
        <v>0.99927840000000001</v>
      </c>
      <c r="N6177">
        <v>0</v>
      </c>
      <c r="O6177">
        <v>-3.5289439999999998E-2</v>
      </c>
      <c r="P6177">
        <v>0.99444290000000002</v>
      </c>
      <c r="Q6177">
        <v>5.1383129999999999E-2</v>
      </c>
      <c r="R6177">
        <v>9.1885040000000001E-2</v>
      </c>
      <c r="S6177">
        <v>2.96434</v>
      </c>
      <c r="T6177">
        <v>-0.16229299999999999</v>
      </c>
      <c r="U6177">
        <v>0.65460209999999996</v>
      </c>
      <c r="V6177">
        <v>-0.12684860000000001</v>
      </c>
      <c r="W6177">
        <v>6.5448489999999998E-2</v>
      </c>
      <c r="X6177">
        <v>0.98976049999999904</v>
      </c>
      <c r="Y6177">
        <v>-0.24955140000000001</v>
      </c>
      <c r="Z6177">
        <v>8.6544859999999994E-3</v>
      </c>
      <c r="AA6177">
        <v>0.96832289999999999</v>
      </c>
      <c r="AB6177">
        <v>27</v>
      </c>
      <c r="AC6177">
        <v>20.0472999999999</v>
      </c>
      <c r="AD6177">
        <v>-1.104735607716</v>
      </c>
      <c r="AE6177">
        <v>4.4611199999999904</v>
      </c>
      <c r="AF6177">
        <v>-5.1509645691122099</v>
      </c>
      <c r="AG6177">
        <v>-1.104735607716</v>
      </c>
      <c r="AH6177">
        <v>19.8200167638282</v>
      </c>
      <c r="AI6177">
        <v>93.087904564082805</v>
      </c>
      <c r="AJ6177">
        <v>104.56815122043</v>
      </c>
      <c r="AK6177">
        <v>20.508192052778199</v>
      </c>
    </row>
    <row r="6178" spans="1:37" x14ac:dyDescent="0.2">
      <c r="A6178" t="str">
        <f>"20200111155719816"</f>
        <v>20200111155719816</v>
      </c>
      <c r="B6178" t="str">
        <f>"1578729439809663"</f>
        <v>1578729439809663</v>
      </c>
      <c r="C6178" t="s">
        <v>37</v>
      </c>
      <c r="D6178">
        <v>4.9080120000000003</v>
      </c>
      <c r="E6178">
        <v>0.45302369999999997</v>
      </c>
      <c r="F6178" t="s">
        <v>100</v>
      </c>
      <c r="G6178">
        <v>-227.30860000000001</v>
      </c>
      <c r="H6178" s="1">
        <v>-2.4799709999999998E-6</v>
      </c>
      <c r="I6178">
        <v>-59.358980000000003</v>
      </c>
      <c r="J6178">
        <v>-247.53210000000001</v>
      </c>
      <c r="K6178">
        <v>1.1046670000000001</v>
      </c>
      <c r="L6178">
        <v>-63.850459999999998</v>
      </c>
      <c r="M6178">
        <v>0.99926479999999995</v>
      </c>
      <c r="N6178">
        <v>0</v>
      </c>
      <c r="O6178">
        <v>-3.5672870000000002E-2</v>
      </c>
      <c r="P6178">
        <v>0.99445269999999997</v>
      </c>
      <c r="Q6178">
        <v>5.1973390000000001E-2</v>
      </c>
      <c r="R6178">
        <v>9.1450749999999997E-2</v>
      </c>
      <c r="S6178">
        <v>2.964737</v>
      </c>
      <c r="T6178">
        <v>-0.1608822</v>
      </c>
      <c r="U6178">
        <v>0.65335080000000001</v>
      </c>
      <c r="V6178">
        <v>-0.12678310000000001</v>
      </c>
      <c r="W6178">
        <v>6.6058019999999995E-2</v>
      </c>
      <c r="X6178">
        <v>0.98972850000000001</v>
      </c>
      <c r="Y6178">
        <v>-0.2495126</v>
      </c>
      <c r="Z6178">
        <v>8.5981670000000003E-3</v>
      </c>
      <c r="AA6178">
        <v>0.96833340000000001</v>
      </c>
      <c r="AB6178">
        <v>27</v>
      </c>
      <c r="AC6178">
        <v>20.223500000000001</v>
      </c>
      <c r="AD6178">
        <v>-1.104669479971</v>
      </c>
      <c r="AE6178">
        <v>4.4914799999999904</v>
      </c>
      <c r="AF6178">
        <v>-5.1953495719730096</v>
      </c>
      <c r="AG6178">
        <v>-1.104669479971</v>
      </c>
      <c r="AH6178">
        <v>19.9935356672358</v>
      </c>
      <c r="AI6178">
        <v>93.061000137327198</v>
      </c>
      <c r="AJ6178">
        <v>104.566244460851</v>
      </c>
      <c r="AK6178">
        <v>20.687035077845501</v>
      </c>
    </row>
    <row r="6179" spans="1:37" x14ac:dyDescent="0.2">
      <c r="A6179" t="str">
        <f>"20200111155719828"</f>
        <v>20200111155719828</v>
      </c>
      <c r="B6179" t="str">
        <f>"1578729439819424"</f>
        <v>1578729439819424</v>
      </c>
      <c r="C6179" t="s">
        <v>37</v>
      </c>
      <c r="D6179">
        <v>4.8413069999999996</v>
      </c>
      <c r="E6179">
        <v>0.45304090000000002</v>
      </c>
      <c r="F6179" t="s">
        <v>100</v>
      </c>
      <c r="G6179">
        <v>-227.05199999999999</v>
      </c>
      <c r="H6179" s="1">
        <v>-2.3727970000000001E-6</v>
      </c>
      <c r="I6179">
        <v>-59.345779999999998</v>
      </c>
      <c r="J6179">
        <v>-247.40029999999999</v>
      </c>
      <c r="K6179">
        <v>1.1046049999999901</v>
      </c>
      <c r="L6179">
        <v>-63.855559999999997</v>
      </c>
      <c r="M6179">
        <v>0.99924930000000001</v>
      </c>
      <c r="N6179">
        <v>0</v>
      </c>
      <c r="O6179">
        <v>-3.6102870000000002E-2</v>
      </c>
      <c r="P6179">
        <v>0.99447469999999905</v>
      </c>
      <c r="Q6179">
        <v>5.2420689999999999E-2</v>
      </c>
      <c r="R6179">
        <v>9.0951480000000001E-2</v>
      </c>
      <c r="S6179">
        <v>2.9651179999999999</v>
      </c>
      <c r="T6179">
        <v>-0.15993489999999999</v>
      </c>
      <c r="U6179">
        <v>0.65219119999999997</v>
      </c>
      <c r="V6179">
        <v>-0.12670129999999999</v>
      </c>
      <c r="W6179">
        <v>6.6522380000000006E-2</v>
      </c>
      <c r="X6179">
        <v>0.98970780000000003</v>
      </c>
      <c r="Y6179">
        <v>-0.24954599999999999</v>
      </c>
      <c r="Z6179">
        <v>8.5707140000000001E-3</v>
      </c>
      <c r="AA6179">
        <v>0.96832499999999999</v>
      </c>
      <c r="AB6179">
        <v>27</v>
      </c>
      <c r="AC6179">
        <v>20.348299999999899</v>
      </c>
      <c r="AD6179">
        <v>-1.1046073727969901</v>
      </c>
      <c r="AE6179">
        <v>4.5097799999999904</v>
      </c>
      <c r="AF6179">
        <v>-5.2268622764217296</v>
      </c>
      <c r="AG6179">
        <v>-1.1046073727969901</v>
      </c>
      <c r="AH6179">
        <v>20.115697051671201</v>
      </c>
      <c r="AI6179">
        <v>93.042283662979102</v>
      </c>
      <c r="AJ6179">
        <v>104.565627821438</v>
      </c>
      <c r="AK6179">
        <v>20.813013106692001</v>
      </c>
    </row>
    <row r="6180" spans="1:37" x14ac:dyDescent="0.2">
      <c r="A6180" t="str">
        <f>"20200111155719838"</f>
        <v>20200111155719838</v>
      </c>
      <c r="B6180" t="str">
        <f>"1578729439829184"</f>
        <v>1578729439829184</v>
      </c>
      <c r="C6180" t="s">
        <v>37</v>
      </c>
      <c r="D6180">
        <v>4.8449210000000003</v>
      </c>
      <c r="E6180">
        <v>0.45316960000000001</v>
      </c>
      <c r="F6180" t="s">
        <v>100</v>
      </c>
      <c r="G6180">
        <v>-226.8887</v>
      </c>
      <c r="H6180" s="1">
        <v>-2.3004839999999998E-6</v>
      </c>
      <c r="I6180">
        <v>-59.356079999999999</v>
      </c>
      <c r="J6180">
        <v>-247.268</v>
      </c>
      <c r="K6180">
        <v>1.1045469999999999</v>
      </c>
      <c r="L6180">
        <v>-63.860779999999998</v>
      </c>
      <c r="M6180">
        <v>0.99923320000000004</v>
      </c>
      <c r="N6180">
        <v>0</v>
      </c>
      <c r="O6180">
        <v>-3.6544180000000002E-2</v>
      </c>
      <c r="P6180">
        <v>0.99453279999999999</v>
      </c>
      <c r="Q6180">
        <v>5.2390430000000002E-2</v>
      </c>
      <c r="R6180">
        <v>9.03312E-2</v>
      </c>
      <c r="S6180">
        <v>2.9655909999999999</v>
      </c>
      <c r="T6180">
        <v>-0.15970609999999999</v>
      </c>
      <c r="U6180">
        <v>0.65054319999999999</v>
      </c>
      <c r="V6180">
        <v>-0.1265116</v>
      </c>
      <c r="W6180">
        <v>6.6509059999999995E-2</v>
      </c>
      <c r="X6180">
        <v>0.98973299999999997</v>
      </c>
      <c r="Y6180">
        <v>-0.2494286</v>
      </c>
      <c r="Z6180">
        <v>8.5780240000000001E-3</v>
      </c>
      <c r="AA6180">
        <v>0.96835519999999997</v>
      </c>
      <c r="AB6180">
        <v>27</v>
      </c>
      <c r="AC6180">
        <v>20.379300000000001</v>
      </c>
      <c r="AD6180">
        <v>-1.1045493004839999</v>
      </c>
      <c r="AE6180">
        <v>4.5046999999999997</v>
      </c>
      <c r="AF6180">
        <v>-5.2318556994169301</v>
      </c>
      <c r="AG6180">
        <v>-1.1045493004839999</v>
      </c>
      <c r="AH6180">
        <v>20.144627845780501</v>
      </c>
      <c r="AI6180">
        <v>93.037855701500604</v>
      </c>
      <c r="AJ6180">
        <v>104.55890296029099</v>
      </c>
      <c r="AK6180">
        <v>20.842225751145602</v>
      </c>
    </row>
    <row r="6181" spans="1:37" x14ac:dyDescent="0.2">
      <c r="A6181" t="str">
        <f>"20200111155719849"</f>
        <v>20200111155719849</v>
      </c>
      <c r="B6181" t="str">
        <f>"1578729439838944"</f>
        <v>1578729439838944</v>
      </c>
      <c r="C6181" t="s">
        <v>37</v>
      </c>
      <c r="D6181">
        <v>4.5041399999999996</v>
      </c>
      <c r="E6181">
        <v>0.45316960000000001</v>
      </c>
      <c r="F6181" t="s">
        <v>100</v>
      </c>
      <c r="G6181">
        <v>-226.91650000000001</v>
      </c>
      <c r="H6181" s="1">
        <v>-2.299018E-6</v>
      </c>
      <c r="I6181">
        <v>-59.416469999999997</v>
      </c>
      <c r="J6181">
        <v>-247.12870000000001</v>
      </c>
      <c r="K6181">
        <v>1.1044959999999999</v>
      </c>
      <c r="L6181">
        <v>-63.866390000000003</v>
      </c>
      <c r="M6181">
        <v>0.99921419999999905</v>
      </c>
      <c r="N6181">
        <v>0</v>
      </c>
      <c r="O6181">
        <v>-3.7065559999999997E-2</v>
      </c>
      <c r="P6181">
        <v>0.99456329999999904</v>
      </c>
      <c r="Q6181">
        <v>5.2456599999999999E-2</v>
      </c>
      <c r="R6181">
        <v>8.9958179999999999E-2</v>
      </c>
      <c r="S6181">
        <v>2.9661409999999999</v>
      </c>
      <c r="T6181">
        <v>-0.16098270000000001</v>
      </c>
      <c r="U6181">
        <v>0.64773559999999997</v>
      </c>
      <c r="V6181">
        <v>-0.12664839999999999</v>
      </c>
      <c r="W6181">
        <v>6.6588990000000001E-2</v>
      </c>
      <c r="X6181">
        <v>0.98971010000000004</v>
      </c>
      <c r="Y6181">
        <v>-0.24901509999999999</v>
      </c>
      <c r="Z6181">
        <v>8.66269699999999E-3</v>
      </c>
      <c r="AA6181">
        <v>0.96846089999999996</v>
      </c>
      <c r="AB6181">
        <v>27</v>
      </c>
      <c r="AC6181">
        <v>20.212199999999999</v>
      </c>
      <c r="AD6181">
        <v>-1.1044982990179999</v>
      </c>
      <c r="AE6181">
        <v>4.4499199999999997</v>
      </c>
      <c r="AF6181">
        <v>-5.18135520767723</v>
      </c>
      <c r="AG6181">
        <v>-1.1044982990179999</v>
      </c>
      <c r="AH6181">
        <v>19.9764592899046</v>
      </c>
      <c r="AI6181">
        <v>93.063493705959701</v>
      </c>
      <c r="AJ6181">
        <v>104.540564105123</v>
      </c>
      <c r="AK6181">
        <v>20.667009557308401</v>
      </c>
    </row>
    <row r="6182" spans="1:37" x14ac:dyDescent="0.2">
      <c r="A6182" t="str">
        <f>"20200111155719862"</f>
        <v>20200111155719862</v>
      </c>
      <c r="B6182" t="str">
        <f>"1578729439859440"</f>
        <v>1578729439859440</v>
      </c>
      <c r="C6182" t="s">
        <v>37</v>
      </c>
      <c r="D6182">
        <v>4.900703</v>
      </c>
      <c r="E6182">
        <v>0.45541189999999998</v>
      </c>
      <c r="F6182" t="s">
        <v>100</v>
      </c>
      <c r="G6182">
        <v>-226.7569</v>
      </c>
      <c r="H6182" s="1">
        <v>-2.2283579999999998E-6</v>
      </c>
      <c r="I6182">
        <v>-59.426409999999997</v>
      </c>
      <c r="J6182">
        <v>-246.98599999999999</v>
      </c>
      <c r="K6182">
        <v>1.10444599999999</v>
      </c>
      <c r="L6182">
        <v>-63.872219999999999</v>
      </c>
      <c r="M6182">
        <v>0.99919369999999996</v>
      </c>
      <c r="N6182">
        <v>0</v>
      </c>
      <c r="O6182">
        <v>-3.7612890000000003E-2</v>
      </c>
      <c r="P6182">
        <v>0.99463840000000003</v>
      </c>
      <c r="Q6182">
        <v>5.2627430000000003E-2</v>
      </c>
      <c r="R6182">
        <v>8.9021909999999996E-2</v>
      </c>
      <c r="S6182">
        <v>2.9663849999999998</v>
      </c>
      <c r="T6182">
        <v>-0.16082839999999901</v>
      </c>
      <c r="U6182">
        <v>0.6465149</v>
      </c>
      <c r="V6182">
        <v>-0.12625039999999901</v>
      </c>
      <c r="W6182">
        <v>6.6772629999999999E-2</v>
      </c>
      <c r="X6182">
        <v>0.98974859999999898</v>
      </c>
      <c r="Y6182">
        <v>-0.24914839999999999</v>
      </c>
      <c r="Z6182">
        <v>8.6870009999999998E-3</v>
      </c>
      <c r="AA6182">
        <v>0.96842629999999996</v>
      </c>
      <c r="AB6182">
        <v>27</v>
      </c>
      <c r="AC6182">
        <v>20.229099999999899</v>
      </c>
      <c r="AD6182">
        <v>-1.1044482283579899</v>
      </c>
      <c r="AE6182">
        <v>4.4458099999999998</v>
      </c>
      <c r="AF6182">
        <v>-5.1888589344414298</v>
      </c>
      <c r="AG6182">
        <v>-1.1044482283579899</v>
      </c>
      <c r="AH6182">
        <v>19.9907031081623</v>
      </c>
      <c r="AI6182">
        <v>93.061035005045994</v>
      </c>
      <c r="AJ6182">
        <v>104.55079325291101</v>
      </c>
      <c r="AK6182">
        <v>20.682656349931101</v>
      </c>
    </row>
    <row r="6183" spans="1:37" x14ac:dyDescent="0.2">
      <c r="A6183" t="str">
        <f>"20200111155719873"</f>
        <v>20200111155719873</v>
      </c>
      <c r="B6183" t="str">
        <f>"1578729439869200"</f>
        <v>1578729439869200</v>
      </c>
      <c r="C6183" t="s">
        <v>37</v>
      </c>
      <c r="D6183">
        <v>4.9184779999999897</v>
      </c>
      <c r="E6183">
        <v>0.54693009999999997</v>
      </c>
      <c r="F6183" t="s">
        <v>100</v>
      </c>
      <c r="G6183">
        <v>-226.0164</v>
      </c>
      <c r="H6183" s="1">
        <v>-1.9051369999999999E-6</v>
      </c>
      <c r="I6183">
        <v>-59.451509999999999</v>
      </c>
      <c r="J6183">
        <v>-246.85120000000001</v>
      </c>
      <c r="K6183">
        <v>1.1044129999999901</v>
      </c>
      <c r="L6183">
        <v>-63.877839999999999</v>
      </c>
      <c r="M6183">
        <v>0.99917299999999998</v>
      </c>
      <c r="N6183">
        <v>0</v>
      </c>
      <c r="O6183">
        <v>-3.816083E-2</v>
      </c>
      <c r="P6183">
        <v>0.99466549999999998</v>
      </c>
      <c r="Q6183">
        <v>5.2891340000000002E-2</v>
      </c>
      <c r="R6183">
        <v>8.8562230000000006E-2</v>
      </c>
      <c r="S6183">
        <v>2.968445</v>
      </c>
      <c r="T6183">
        <v>-0.15634500000000001</v>
      </c>
      <c r="U6183">
        <v>0.6257935</v>
      </c>
      <c r="V6183">
        <v>-0.12632869999999999</v>
      </c>
      <c r="W6183">
        <v>6.7046679999999997E-2</v>
      </c>
      <c r="X6183">
        <v>0.98972000000000004</v>
      </c>
      <c r="Y6183">
        <v>-0.2431007</v>
      </c>
      <c r="Z6183">
        <v>8.3166200000000003E-3</v>
      </c>
      <c r="AA6183">
        <v>0.96996539999999998</v>
      </c>
      <c r="AB6183">
        <v>27</v>
      </c>
      <c r="AC6183">
        <v>20.834800000000001</v>
      </c>
      <c r="AD6183">
        <v>-1.10441490513699</v>
      </c>
      <c r="AE6183">
        <v>4.4263300000000001</v>
      </c>
      <c r="AF6183">
        <v>-5.2042651017151202</v>
      </c>
      <c r="AG6183">
        <v>-1.10441490513699</v>
      </c>
      <c r="AH6183">
        <v>20.595321099210501</v>
      </c>
      <c r="AI6183">
        <v>92.976148930111506</v>
      </c>
      <c r="AJ6183">
        <v>104.181298210517</v>
      </c>
      <c r="AK6183">
        <v>21.271374161327799</v>
      </c>
    </row>
    <row r="6184" spans="1:37" x14ac:dyDescent="0.2">
      <c r="A6184" t="str">
        <f>"20200111155719884"</f>
        <v>20200111155719884</v>
      </c>
      <c r="B6184" t="str">
        <f>"1578729439878959"</f>
        <v>1578729439878959</v>
      </c>
      <c r="C6184" t="s">
        <v>37</v>
      </c>
      <c r="D6184">
        <v>4.9413499999999999</v>
      </c>
      <c r="E6184">
        <v>0.54966939999999997</v>
      </c>
      <c r="F6184" t="s">
        <v>100</v>
      </c>
      <c r="G6184">
        <v>-222.9178</v>
      </c>
      <c r="H6184" s="1">
        <v>-1.3271819999999999E-6</v>
      </c>
      <c r="I6184">
        <v>-64.689219999999906</v>
      </c>
      <c r="J6184">
        <v>-246.71340000000001</v>
      </c>
      <c r="K6184">
        <v>1.104384</v>
      </c>
      <c r="L6184">
        <v>-63.883669999999903</v>
      </c>
      <c r="M6184">
        <v>0.99915080000000001</v>
      </c>
      <c r="N6184">
        <v>0</v>
      </c>
      <c r="O6184">
        <v>-3.8735970000000002E-2</v>
      </c>
      <c r="P6184">
        <v>0.99470820000000004</v>
      </c>
      <c r="Q6184">
        <v>5.3449179999999999E-2</v>
      </c>
      <c r="R6184">
        <v>8.7744139999999998E-2</v>
      </c>
      <c r="S6184">
        <v>3.0326840000000002</v>
      </c>
      <c r="T6184">
        <v>-0.1399446</v>
      </c>
      <c r="U6184">
        <v>-0.10281369999999999</v>
      </c>
      <c r="V6184">
        <v>-0.12607760000000001</v>
      </c>
      <c r="W6184">
        <v>6.7611879999999999E-2</v>
      </c>
      <c r="X6184">
        <v>0.98971359999999997</v>
      </c>
      <c r="Y6184">
        <v>-4.814296E-3</v>
      </c>
      <c r="Z6184">
        <v>1.8965620000000001E-3</v>
      </c>
      <c r="AA6184">
        <v>0.99998659999999995</v>
      </c>
      <c r="AB6184">
        <v>27</v>
      </c>
      <c r="AC6184">
        <v>23.7956</v>
      </c>
      <c r="AD6184">
        <v>-1.1043853271820001</v>
      </c>
      <c r="AE6184">
        <v>-0.80554999999999599</v>
      </c>
      <c r="AF6184">
        <v>-0.11664029016307099</v>
      </c>
      <c r="AG6184">
        <v>-1.1043853271820001</v>
      </c>
      <c r="AH6184">
        <v>23.757828210640898</v>
      </c>
      <c r="AI6184">
        <v>92.661452817853998</v>
      </c>
      <c r="AJ6184">
        <v>90.281294341977301</v>
      </c>
      <c r="AK6184">
        <v>23.7837691124538</v>
      </c>
    </row>
    <row r="6185" spans="1:37" x14ac:dyDescent="0.2">
      <c r="A6185" t="str">
        <f>"20200111155719895"</f>
        <v>20200111155719895</v>
      </c>
      <c r="B6185" t="str">
        <f>"1578729439888719"</f>
        <v>1578729439888719</v>
      </c>
      <c r="C6185" t="s">
        <v>37</v>
      </c>
      <c r="D6185">
        <v>5.0386829999999998</v>
      </c>
      <c r="E6185">
        <v>0.55148140000000001</v>
      </c>
      <c r="F6185" t="s">
        <v>100</v>
      </c>
      <c r="G6185">
        <v>-224.59889999999999</v>
      </c>
      <c r="H6185" s="1">
        <v>-2.0749529999999998E-6</v>
      </c>
      <c r="I6185">
        <v>-64.808840000000004</v>
      </c>
      <c r="J6185">
        <v>-246.57910000000001</v>
      </c>
      <c r="K6185">
        <v>1.104366</v>
      </c>
      <c r="L6185">
        <v>-63.889429999999997</v>
      </c>
      <c r="M6185">
        <v>0.99912839999999903</v>
      </c>
      <c r="N6185">
        <v>0</v>
      </c>
      <c r="O6185">
        <v>-3.9310749999999998E-2</v>
      </c>
      <c r="P6185">
        <v>0.99472479999999996</v>
      </c>
      <c r="Q6185">
        <v>5.421028E-2</v>
      </c>
      <c r="R6185">
        <v>8.708776E-2</v>
      </c>
      <c r="S6185">
        <v>3.0353240000000001</v>
      </c>
      <c r="T6185">
        <v>-0.15158260000000001</v>
      </c>
      <c r="U6185">
        <v>-0.1269836</v>
      </c>
      <c r="V6185">
        <v>-0.12598699999999999</v>
      </c>
      <c r="W6185">
        <v>6.837828E-2</v>
      </c>
      <c r="X6185">
        <v>0.98967249999999996</v>
      </c>
      <c r="Y6185">
        <v>2.531869E-3</v>
      </c>
      <c r="Z6185">
        <v>1.8973389999999901E-3</v>
      </c>
      <c r="AA6185">
        <v>0.99999499999999997</v>
      </c>
      <c r="AB6185">
        <v>27</v>
      </c>
      <c r="AC6185">
        <v>21.9802</v>
      </c>
      <c r="AD6185">
        <v>-1.104368074953</v>
      </c>
      <c r="AE6185">
        <v>-0.91940999999999895</v>
      </c>
      <c r="AF6185">
        <v>5.4418735298729599E-2</v>
      </c>
      <c r="AG6185">
        <v>-1.104368074953</v>
      </c>
      <c r="AH6185">
        <v>21.9440533472856</v>
      </c>
      <c r="AI6185">
        <v>92.881058254280902</v>
      </c>
      <c r="AJ6185">
        <v>89.857913329953902</v>
      </c>
      <c r="AK6185">
        <v>21.971892671143401</v>
      </c>
    </row>
    <row r="6186" spans="1:37" x14ac:dyDescent="0.2">
      <c r="A6186" t="str">
        <f>"20200111155719906"</f>
        <v>20200111155719906</v>
      </c>
      <c r="B6186" t="str">
        <f>"1578729439899457"</f>
        <v>1578729439899457</v>
      </c>
      <c r="C6186" t="s">
        <v>37</v>
      </c>
      <c r="D6186">
        <v>4.9305709999999996</v>
      </c>
      <c r="E6186">
        <v>0.55252539999999895</v>
      </c>
      <c r="F6186" t="s">
        <v>100</v>
      </c>
      <c r="G6186">
        <v>-225.06389999999999</v>
      </c>
      <c r="H6186" s="1">
        <v>-2.2958850000000001E-6</v>
      </c>
      <c r="I6186">
        <v>-64.905369999999905</v>
      </c>
      <c r="J6186">
        <v>-246.44799999999901</v>
      </c>
      <c r="K6186">
        <v>1.1043529999999999</v>
      </c>
      <c r="L6186">
        <v>-63.895169999999901</v>
      </c>
      <c r="M6186">
        <v>0.99910580000000004</v>
      </c>
      <c r="N6186">
        <v>0</v>
      </c>
      <c r="O6186">
        <v>-3.9882519999999998E-2</v>
      </c>
      <c r="P6186">
        <v>0.99476189999999998</v>
      </c>
      <c r="Q6186">
        <v>5.4692739999999997E-2</v>
      </c>
      <c r="R6186">
        <v>8.6357359999999994E-2</v>
      </c>
      <c r="S6186">
        <v>3.0369259999999998</v>
      </c>
      <c r="T6186">
        <v>-0.15588440000000001</v>
      </c>
      <c r="U6186">
        <v>-0.1434021</v>
      </c>
      <c r="V6186">
        <v>-0.1258213</v>
      </c>
      <c r="W6186">
        <v>6.8863999999999995E-2</v>
      </c>
      <c r="X6186">
        <v>0.98965990000000004</v>
      </c>
      <c r="Y6186">
        <v>7.3300669999999896E-3</v>
      </c>
      <c r="Z6186">
        <v>1.8560899999999999E-3</v>
      </c>
      <c r="AA6186">
        <v>0.99997139999999995</v>
      </c>
      <c r="AB6186">
        <v>27</v>
      </c>
      <c r="AC6186">
        <v>21.384099999999901</v>
      </c>
      <c r="AD6186">
        <v>-1.104355295885</v>
      </c>
      <c r="AE6186">
        <v>-1.01019999999999</v>
      </c>
      <c r="AF6186">
        <v>0.156045036625061</v>
      </c>
      <c r="AG6186">
        <v>-1.104355295885</v>
      </c>
      <c r="AH6186">
        <v>21.350559423701501</v>
      </c>
      <c r="AI6186">
        <v>92.960900058071303</v>
      </c>
      <c r="AJ6186">
        <v>89.581249247664104</v>
      </c>
      <c r="AK6186">
        <v>21.3796711475648</v>
      </c>
    </row>
    <row r="6187" spans="1:37" x14ac:dyDescent="0.2">
      <c r="A6187" t="str">
        <f>"20200111155719917"</f>
        <v>20200111155719917</v>
      </c>
      <c r="B6187" t="str">
        <f>"1578729439909215"</f>
        <v>1578729439909215</v>
      </c>
      <c r="C6187" t="s">
        <v>37</v>
      </c>
      <c r="D6187">
        <v>4.9553890000000003</v>
      </c>
      <c r="E6187">
        <v>0.55351870000000003</v>
      </c>
      <c r="F6187" t="s">
        <v>100</v>
      </c>
      <c r="G6187">
        <v>-225.38220000000001</v>
      </c>
      <c r="H6187" s="1">
        <v>-2.4452579999999998E-6</v>
      </c>
      <c r="I6187">
        <v>-64.962990000000005</v>
      </c>
      <c r="J6187">
        <v>-246.31540000000001</v>
      </c>
      <c r="K6187">
        <v>1.104341</v>
      </c>
      <c r="L6187">
        <v>-63.901029999999999</v>
      </c>
      <c r="M6187">
        <v>0.99908229999999998</v>
      </c>
      <c r="N6187">
        <v>0</v>
      </c>
      <c r="O6187">
        <v>-4.0465559999999998E-2</v>
      </c>
      <c r="P6187">
        <v>0.9948148</v>
      </c>
      <c r="Q6187">
        <v>5.5309270000000001E-2</v>
      </c>
      <c r="R6187">
        <v>8.534949E-2</v>
      </c>
      <c r="S6187">
        <v>3.0379330000000002</v>
      </c>
      <c r="T6187">
        <v>-0.1592605</v>
      </c>
      <c r="U6187">
        <v>-0.15399170000000001</v>
      </c>
      <c r="V6187">
        <v>-0.12539120000000001</v>
      </c>
      <c r="W6187">
        <v>6.9482390000000005E-2</v>
      </c>
      <c r="X6187">
        <v>0.98967129999999903</v>
      </c>
      <c r="Y6187">
        <v>1.020691E-2</v>
      </c>
      <c r="Z6187">
        <v>1.8505959999999999E-3</v>
      </c>
      <c r="AA6187">
        <v>0.99994620000000001</v>
      </c>
      <c r="AB6187">
        <v>27</v>
      </c>
      <c r="AC6187">
        <v>20.933199999999999</v>
      </c>
      <c r="AD6187">
        <v>-1.1043434452580001</v>
      </c>
      <c r="AE6187">
        <v>-1.06195999999999</v>
      </c>
      <c r="AF6187">
        <v>0.21334062704169099</v>
      </c>
      <c r="AG6187">
        <v>-1.1043434452580001</v>
      </c>
      <c r="AH6187">
        <v>20.901006610979501</v>
      </c>
      <c r="AI6187">
        <v>93.024359057920606</v>
      </c>
      <c r="AJ6187">
        <v>89.415191178470593</v>
      </c>
      <c r="AK6187">
        <v>20.9312485537877</v>
      </c>
    </row>
    <row r="6188" spans="1:37" x14ac:dyDescent="0.2">
      <c r="A6188" t="str">
        <f>"20200111155719928"</f>
        <v>20200111155719928</v>
      </c>
      <c r="B6188" t="str">
        <f>"1578729439918976"</f>
        <v>1578729439918976</v>
      </c>
      <c r="C6188" t="s">
        <v>37</v>
      </c>
      <c r="D6188">
        <v>4.9088669999999999</v>
      </c>
      <c r="E6188">
        <v>0.55392909999999995</v>
      </c>
      <c r="F6188" t="s">
        <v>100</v>
      </c>
      <c r="G6188">
        <v>-225.14840000000001</v>
      </c>
      <c r="H6188" s="1">
        <v>-2.3642460000000002E-6</v>
      </c>
      <c r="I6188">
        <v>-65.049639999999997</v>
      </c>
      <c r="J6188">
        <v>-246.18020000000001</v>
      </c>
      <c r="K6188">
        <v>1.1043369999999999</v>
      </c>
      <c r="L6188">
        <v>-63.907139999999998</v>
      </c>
      <c r="M6188">
        <v>0.9990578</v>
      </c>
      <c r="N6188">
        <v>0</v>
      </c>
      <c r="O6188">
        <v>-4.1064690000000001E-2</v>
      </c>
      <c r="P6188">
        <v>0.99487930000000002</v>
      </c>
      <c r="Q6188">
        <v>5.5832359999999998E-2</v>
      </c>
      <c r="R6188">
        <v>8.4249050000000006E-2</v>
      </c>
      <c r="S6188">
        <v>3.038589</v>
      </c>
      <c r="T6188">
        <v>-0.15853239999999999</v>
      </c>
      <c r="U6188">
        <v>-0.16488649999999999</v>
      </c>
      <c r="V6188">
        <v>-0.12488589999999999</v>
      </c>
      <c r="W6188">
        <v>7.0005629999999999E-2</v>
      </c>
      <c r="X6188">
        <v>0.98969830000000003</v>
      </c>
      <c r="Y6188">
        <v>1.316811E-2</v>
      </c>
      <c r="Z6188">
        <v>1.795582E-3</v>
      </c>
      <c r="AA6188">
        <v>0.99991169999999996</v>
      </c>
      <c r="AB6188">
        <v>27</v>
      </c>
      <c r="AC6188">
        <v>21.0318</v>
      </c>
      <c r="AD6188">
        <v>-1.104339364246</v>
      </c>
      <c r="AE6188">
        <v>-1.1424999999999901</v>
      </c>
      <c r="AF6188">
        <v>0.27702504297890101</v>
      </c>
      <c r="AG6188">
        <v>-1.104339364246</v>
      </c>
      <c r="AH6188">
        <v>21.003239386325699</v>
      </c>
      <c r="AI6188">
        <v>93.009549293061497</v>
      </c>
      <c r="AJ6188">
        <v>89.244333449400401</v>
      </c>
      <c r="AK6188">
        <v>21.034076471886401</v>
      </c>
    </row>
    <row r="6189" spans="1:37" x14ac:dyDescent="0.2">
      <c r="A6189" t="str">
        <f>"20200111155719939"</f>
        <v>20200111155719939</v>
      </c>
      <c r="B6189" t="str">
        <f>"1578729439929712"</f>
        <v>1578729439929712</v>
      </c>
      <c r="C6189" t="s">
        <v>37</v>
      </c>
      <c r="D6189">
        <v>4.9500080000000004</v>
      </c>
      <c r="E6189">
        <v>0.55441269999999998</v>
      </c>
      <c r="F6189" t="s">
        <v>100</v>
      </c>
      <c r="G6189">
        <v>-225.21129999999999</v>
      </c>
      <c r="H6189" s="1">
        <v>-2.4002330000000002E-6</v>
      </c>
      <c r="I6189">
        <v>-65.090130000000002</v>
      </c>
      <c r="J6189">
        <v>-246.04740000000001</v>
      </c>
      <c r="K6189">
        <v>1.104331</v>
      </c>
      <c r="L6189">
        <v>-63.913179999999997</v>
      </c>
      <c r="M6189">
        <v>0.99903349999999902</v>
      </c>
      <c r="N6189">
        <v>0</v>
      </c>
      <c r="O6189">
        <v>-4.1653660000000002E-2</v>
      </c>
      <c r="P6189">
        <v>0.99497150000000001</v>
      </c>
      <c r="Q6189">
        <v>5.6152529999999999E-2</v>
      </c>
      <c r="R6189">
        <v>8.2939699999999894E-2</v>
      </c>
      <c r="S6189">
        <v>3.0389400000000002</v>
      </c>
      <c r="T6189">
        <v>-0.16004789999999999</v>
      </c>
      <c r="U6189">
        <v>-0.17144779999999901</v>
      </c>
      <c r="V6189">
        <v>-0.12416389999999999</v>
      </c>
      <c r="W6189">
        <v>7.0325769999999996E-2</v>
      </c>
      <c r="X6189">
        <v>0.98976640000000005</v>
      </c>
      <c r="Y6189">
        <v>1.4724030000000001E-2</v>
      </c>
      <c r="Z6189">
        <v>1.802409E-3</v>
      </c>
      <c r="AA6189">
        <v>0.99988999999999995</v>
      </c>
      <c r="AB6189">
        <v>27</v>
      </c>
      <c r="AC6189">
        <v>20.836099999999998</v>
      </c>
      <c r="AD6189">
        <v>-1.1043334002330001</v>
      </c>
      <c r="AE6189">
        <v>-1.1769499999999899</v>
      </c>
      <c r="AF6189">
        <v>0.307083108266412</v>
      </c>
      <c r="AG6189">
        <v>-1.1043334002330001</v>
      </c>
      <c r="AH6189">
        <v>20.8087740315482</v>
      </c>
      <c r="AI6189">
        <v>93.037539385993099</v>
      </c>
      <c r="AJ6189">
        <v>89.154525444274</v>
      </c>
      <c r="AK6189">
        <v>20.8403197909794</v>
      </c>
    </row>
    <row r="6190" spans="1:37" x14ac:dyDescent="0.2">
      <c r="A6190" t="str">
        <f>"20200111155719951"</f>
        <v>20200111155719951</v>
      </c>
      <c r="B6190" t="str">
        <f>"1578729439939472"</f>
        <v>1578729439939472</v>
      </c>
      <c r="C6190" t="s">
        <v>37</v>
      </c>
      <c r="D6190">
        <v>4.9298699999999904</v>
      </c>
      <c r="E6190">
        <v>0.55470600000000003</v>
      </c>
      <c r="F6190" t="s">
        <v>100</v>
      </c>
      <c r="G6190">
        <v>-225.1328</v>
      </c>
      <c r="H6190" s="1">
        <v>-2.3790719999999999E-6</v>
      </c>
      <c r="I6190">
        <v>-65.146379999999994</v>
      </c>
      <c r="J6190">
        <v>-245.90629999999999</v>
      </c>
      <c r="K6190">
        <v>1.1043319999999901</v>
      </c>
      <c r="L6190">
        <v>-63.919739999999997</v>
      </c>
      <c r="M6190">
        <v>0.99900730000000004</v>
      </c>
      <c r="N6190">
        <v>0</v>
      </c>
      <c r="O6190">
        <v>-4.2278410000000002E-2</v>
      </c>
      <c r="P6190">
        <v>0.99509919999999996</v>
      </c>
      <c r="Q6190">
        <v>5.5954780000000003E-2</v>
      </c>
      <c r="R6190">
        <v>8.1527089999999997E-2</v>
      </c>
      <c r="S6190">
        <v>3.0391539999999999</v>
      </c>
      <c r="T6190">
        <v>-0.1604737</v>
      </c>
      <c r="U6190">
        <v>-0.1791992</v>
      </c>
      <c r="V6190">
        <v>-0.123377399999999</v>
      </c>
      <c r="W6190">
        <v>7.0126450000000007E-2</v>
      </c>
      <c r="X6190">
        <v>0.98987899999999995</v>
      </c>
      <c r="Y6190">
        <v>1.6634940000000001E-2</v>
      </c>
      <c r="Z6190">
        <v>1.7894370000000001E-3</v>
      </c>
      <c r="AA6190">
        <v>0.99985999999999997</v>
      </c>
      <c r="AB6190">
        <v>27</v>
      </c>
      <c r="AC6190">
        <v>20.773499999999899</v>
      </c>
      <c r="AD6190">
        <v>-1.1043343790719999</v>
      </c>
      <c r="AE6190">
        <v>-1.22664</v>
      </c>
      <c r="AF6190">
        <v>0.34621094092198801</v>
      </c>
      <c r="AG6190">
        <v>-1.1043343790719999</v>
      </c>
      <c r="AH6190">
        <v>20.748355168899099</v>
      </c>
      <c r="AI6190">
        <v>93.046278527796105</v>
      </c>
      <c r="AJ6190">
        <v>89.044040606059298</v>
      </c>
      <c r="AK6190">
        <v>20.780607754615801</v>
      </c>
    </row>
    <row r="6191" spans="1:37" x14ac:dyDescent="0.2">
      <c r="A6191" t="str">
        <f>"20200111155719962"</f>
        <v>20200111155719962</v>
      </c>
      <c r="B6191" t="str">
        <f>"1578729439958992"</f>
        <v>1578729439958992</v>
      </c>
      <c r="C6191" t="s">
        <v>37</v>
      </c>
      <c r="D6191">
        <v>4.8932580000000003</v>
      </c>
      <c r="E6191">
        <v>0.55521109999999996</v>
      </c>
      <c r="F6191" t="s">
        <v>100</v>
      </c>
      <c r="G6191">
        <v>-225.3081</v>
      </c>
      <c r="H6191" s="1">
        <v>-2.45598899999999E-6</v>
      </c>
      <c r="I6191">
        <v>-65.178330000000003</v>
      </c>
      <c r="J6191">
        <v>-245.76900000000001</v>
      </c>
      <c r="K6191">
        <v>1.104331</v>
      </c>
      <c r="L6191">
        <v>-63.92615</v>
      </c>
      <c r="M6191">
        <v>0.99898149999999997</v>
      </c>
      <c r="N6191">
        <v>0</v>
      </c>
      <c r="O6191">
        <v>-4.2883940000000002E-2</v>
      </c>
      <c r="P6191">
        <v>0.99523899999999998</v>
      </c>
      <c r="Q6191">
        <v>5.5365610000000003E-2</v>
      </c>
      <c r="R6191">
        <v>8.0212950000000005E-2</v>
      </c>
      <c r="S6191">
        <v>3.0391689999999998</v>
      </c>
      <c r="T6191">
        <v>-0.1629398</v>
      </c>
      <c r="U6191">
        <v>-0.18569949999999999</v>
      </c>
      <c r="V6191">
        <v>-0.12267260000000001</v>
      </c>
      <c r="W6191">
        <v>6.953616E-2</v>
      </c>
      <c r="X6191">
        <v>0.9900082</v>
      </c>
      <c r="Y6191">
        <v>1.8159189999999999E-2</v>
      </c>
      <c r="Z6191">
        <v>1.8083249999999999E-3</v>
      </c>
      <c r="AA6191">
        <v>0.99983349999999904</v>
      </c>
      <c r="AB6191">
        <v>27</v>
      </c>
      <c r="AC6191">
        <v>20.460899999999999</v>
      </c>
      <c r="AD6191">
        <v>-1.1043334559889999</v>
      </c>
      <c r="AE6191">
        <v>-1.2521800000000001</v>
      </c>
      <c r="AF6191">
        <v>0.372416597226357</v>
      </c>
      <c r="AG6191">
        <v>-1.1043334559889999</v>
      </c>
      <c r="AH6191">
        <v>20.4364664728317</v>
      </c>
      <c r="AI6191">
        <v>93.092594011393601</v>
      </c>
      <c r="AJ6191">
        <v>88.956006521130107</v>
      </c>
      <c r="AK6191">
        <v>20.469670451648199</v>
      </c>
    </row>
    <row r="6192" spans="1:37" x14ac:dyDescent="0.2">
      <c r="A6192" t="str">
        <f>"20200111155719973"</f>
        <v>20200111155719973</v>
      </c>
      <c r="B6192" t="str">
        <f>"1578729439968752"</f>
        <v>1578729439968752</v>
      </c>
      <c r="C6192" t="s">
        <v>37</v>
      </c>
      <c r="D6192">
        <v>4.8952070000000001</v>
      </c>
      <c r="E6192">
        <v>0.55546530000000005</v>
      </c>
      <c r="F6192" t="s">
        <v>100</v>
      </c>
      <c r="G6192">
        <v>-225.82579999999999</v>
      </c>
      <c r="H6192" s="1">
        <v>-2.6346659999999999E-6</v>
      </c>
      <c r="I6192">
        <v>-65.196919999999906</v>
      </c>
      <c r="J6192">
        <v>-245.63560000000001</v>
      </c>
      <c r="K6192">
        <v>1.1043319999999901</v>
      </c>
      <c r="L6192">
        <v>-63.93253</v>
      </c>
      <c r="M6192">
        <v>0.99895639999999997</v>
      </c>
      <c r="N6192">
        <v>0</v>
      </c>
      <c r="O6192">
        <v>-4.346858E-2</v>
      </c>
      <c r="P6192">
        <v>0.99538700000000002</v>
      </c>
      <c r="Q6192">
        <v>5.4841180000000003E-2</v>
      </c>
      <c r="R6192">
        <v>7.8723840000000003E-2</v>
      </c>
      <c r="S6192">
        <v>3.0393219999999999</v>
      </c>
      <c r="T6192">
        <v>-0.16829939999999999</v>
      </c>
      <c r="U6192">
        <v>-0.19366459999999999</v>
      </c>
      <c r="V6192">
        <v>-0.12177249999999901</v>
      </c>
      <c r="W6192">
        <v>6.9009070000000006E-2</v>
      </c>
      <c r="X6192">
        <v>0.99015620000000004</v>
      </c>
      <c r="Y6192">
        <v>2.0181190000000002E-2</v>
      </c>
      <c r="Z6192">
        <v>1.8438300000000001E-3</v>
      </c>
      <c r="AA6192">
        <v>0.99979470000000004</v>
      </c>
      <c r="AB6192">
        <v>27</v>
      </c>
      <c r="AC6192">
        <v>19.809799999999999</v>
      </c>
      <c r="AD6192">
        <v>-1.1043346346659999</v>
      </c>
      <c r="AE6192">
        <v>-1.2643899999999799</v>
      </c>
      <c r="AF6192">
        <v>0.40076571188647703</v>
      </c>
      <c r="AG6192">
        <v>-1.1043346346659999</v>
      </c>
      <c r="AH6192">
        <v>19.7848025613267</v>
      </c>
      <c r="AI6192">
        <v>93.194127816888894</v>
      </c>
      <c r="AJ6192">
        <v>88.839561628767797</v>
      </c>
      <c r="AK6192">
        <v>19.819651372610601</v>
      </c>
    </row>
    <row r="6193" spans="1:37" x14ac:dyDescent="0.2">
      <c r="A6193" t="str">
        <f>"20200111155719985"</f>
        <v>20200111155719985</v>
      </c>
      <c r="B6193" t="str">
        <f>"1578729439979488"</f>
        <v>1578729439979488</v>
      </c>
      <c r="C6193" t="s">
        <v>37</v>
      </c>
      <c r="D6193">
        <v>4.9047589999999897</v>
      </c>
      <c r="E6193">
        <v>0.55564939999999996</v>
      </c>
      <c r="F6193" t="s">
        <v>100</v>
      </c>
      <c r="G6193">
        <v>-225.96809999999999</v>
      </c>
      <c r="H6193" s="1">
        <v>-2.68740999999999E-6</v>
      </c>
      <c r="I6193">
        <v>-65.229249999999993</v>
      </c>
      <c r="J6193">
        <v>-245.4967</v>
      </c>
      <c r="K6193">
        <v>1.1043350000000001</v>
      </c>
      <c r="L6193">
        <v>-63.939209999999903</v>
      </c>
      <c r="M6193">
        <v>0.99892990000000004</v>
      </c>
      <c r="N6193">
        <v>0</v>
      </c>
      <c r="O6193">
        <v>-4.4072489999999999E-2</v>
      </c>
      <c r="P6193">
        <v>0.99552680000000005</v>
      </c>
      <c r="Q6193">
        <v>5.4120149999999999E-2</v>
      </c>
      <c r="R6193">
        <v>7.7445780000000006E-2</v>
      </c>
      <c r="S6193">
        <v>3.0391539999999999</v>
      </c>
      <c r="T6193">
        <v>-0.17064949999999901</v>
      </c>
      <c r="U6193">
        <v>-0.20037839999999901</v>
      </c>
      <c r="V6193">
        <v>-0.1211033</v>
      </c>
      <c r="W6193">
        <v>6.8285520000000002E-2</v>
      </c>
      <c r="X6193">
        <v>0.99028839999999996</v>
      </c>
      <c r="Y6193">
        <v>2.1779110000000001E-2</v>
      </c>
      <c r="Z6193">
        <v>1.8584999999999999E-3</v>
      </c>
      <c r="AA6193">
        <v>0.99976109999999896</v>
      </c>
      <c r="AB6193">
        <v>27</v>
      </c>
      <c r="AC6193">
        <v>19.528600000000001</v>
      </c>
      <c r="AD6193">
        <v>-1.1043376874099999</v>
      </c>
      <c r="AE6193">
        <v>-1.2900399999999901</v>
      </c>
      <c r="AF6193">
        <v>0.42666908583090002</v>
      </c>
      <c r="AG6193">
        <v>-1.1043376874099999</v>
      </c>
      <c r="AH6193">
        <v>19.504380306082702</v>
      </c>
      <c r="AI6193">
        <v>93.239852623245099</v>
      </c>
      <c r="AJ6193">
        <v>88.746823068075599</v>
      </c>
      <c r="AK6193">
        <v>19.540277873176301</v>
      </c>
    </row>
    <row r="6194" spans="1:37" x14ac:dyDescent="0.2">
      <c r="A6194" t="str">
        <f>"20200111155719996"</f>
        <v>20200111155719996</v>
      </c>
      <c r="B6194" t="str">
        <f>"1578729439989248"</f>
        <v>1578729439989248</v>
      </c>
      <c r="C6194" t="s">
        <v>37</v>
      </c>
      <c r="D6194">
        <v>4.9381300000000001</v>
      </c>
      <c r="E6194">
        <v>0.55567690000000003</v>
      </c>
      <c r="F6194" t="s">
        <v>100</v>
      </c>
      <c r="G6194">
        <v>-226.23990000000001</v>
      </c>
      <c r="H6194" s="1">
        <v>-2.7818920000000002E-6</v>
      </c>
      <c r="I6194">
        <v>-65.244320000000002</v>
      </c>
      <c r="J6194">
        <v>-245.35849999999999</v>
      </c>
      <c r="K6194">
        <v>1.10433799999999</v>
      </c>
      <c r="L6194">
        <v>-63.945889999999999</v>
      </c>
      <c r="M6194">
        <v>0.99890330000000005</v>
      </c>
      <c r="N6194">
        <v>0</v>
      </c>
      <c r="O6194">
        <v>-4.4668989999999999E-2</v>
      </c>
      <c r="P6194">
        <v>0.99562280000000003</v>
      </c>
      <c r="Q6194">
        <v>5.3591390000000003E-2</v>
      </c>
      <c r="R6194">
        <v>7.6571959999999994E-2</v>
      </c>
      <c r="S6194">
        <v>3.0389560000000002</v>
      </c>
      <c r="T6194">
        <v>-0.17427779999999901</v>
      </c>
      <c r="U6194">
        <v>-0.20596309999999901</v>
      </c>
      <c r="V6194">
        <v>-0.1208287</v>
      </c>
      <c r="W6194">
        <v>6.7754129999999996E-2</v>
      </c>
      <c r="X6194">
        <v>0.99035839999999997</v>
      </c>
      <c r="Y6194">
        <v>2.3015899999999999E-2</v>
      </c>
      <c r="Z6194">
        <v>1.8966320000000001E-3</v>
      </c>
      <c r="AA6194">
        <v>0.99973330000000005</v>
      </c>
      <c r="AB6194">
        <v>27</v>
      </c>
      <c r="AC6194">
        <v>19.118599999999901</v>
      </c>
      <c r="AD6194">
        <v>-1.1043407818919999</v>
      </c>
      <c r="AE6194">
        <v>-1.29842999999999</v>
      </c>
      <c r="AF6194">
        <v>0.44157451545654702</v>
      </c>
      <c r="AG6194">
        <v>-1.1043407818919999</v>
      </c>
      <c r="AH6194">
        <v>19.0941027274765</v>
      </c>
      <c r="AI6194">
        <v>93.3092310549671</v>
      </c>
      <c r="AJ6194">
        <v>88.6752010562642</v>
      </c>
      <c r="AK6194">
        <v>19.1311085821673</v>
      </c>
    </row>
    <row r="6195" spans="1:37" x14ac:dyDescent="0.2">
      <c r="A6195" t="str">
        <f>"20200111155720007"</f>
        <v>20200111155720007</v>
      </c>
      <c r="B6195" t="str">
        <f>"1578729439999007"</f>
        <v>1578729439999007</v>
      </c>
      <c r="C6195" t="s">
        <v>37</v>
      </c>
      <c r="D6195">
        <v>4.8993260000000003</v>
      </c>
      <c r="E6195">
        <v>0.55571090000000001</v>
      </c>
      <c r="F6195" t="s">
        <v>100</v>
      </c>
      <c r="G6195">
        <v>-226.40880000000001</v>
      </c>
      <c r="H6195" s="1">
        <v>-2.8401970000000001E-6</v>
      </c>
      <c r="I6195">
        <v>-65.250419999999906</v>
      </c>
      <c r="J6195">
        <v>-245.22649999999999</v>
      </c>
      <c r="K6195">
        <v>1.104341</v>
      </c>
      <c r="L6195">
        <v>-63.952419999999996</v>
      </c>
      <c r="M6195">
        <v>0.99887819999999905</v>
      </c>
      <c r="N6195">
        <v>0</v>
      </c>
      <c r="O6195">
        <v>-4.5230300000000001E-2</v>
      </c>
      <c r="P6195">
        <v>0.99572870000000002</v>
      </c>
      <c r="Q6195">
        <v>5.297338E-2</v>
      </c>
      <c r="R6195">
        <v>7.5620359999999998E-2</v>
      </c>
      <c r="S6195">
        <v>3.038818</v>
      </c>
      <c r="T6195">
        <v>-0.177094899999999</v>
      </c>
      <c r="U6195">
        <v>-0.209198</v>
      </c>
      <c r="V6195">
        <v>-0.1204418</v>
      </c>
      <c r="W6195">
        <v>6.7133289999999998E-2</v>
      </c>
      <c r="X6195">
        <v>0.99044779999999999</v>
      </c>
      <c r="Y6195">
        <v>2.3517710000000001E-2</v>
      </c>
      <c r="Z6195">
        <v>1.9452460000000001E-3</v>
      </c>
      <c r="AA6195">
        <v>0.99972150000000004</v>
      </c>
      <c r="AB6195">
        <v>27</v>
      </c>
      <c r="AC6195">
        <v>18.817699999999899</v>
      </c>
      <c r="AD6195">
        <v>-1.104343840197</v>
      </c>
      <c r="AE6195">
        <v>-1.2979999999999901</v>
      </c>
      <c r="AF6195">
        <v>0.44393575115165501</v>
      </c>
      <c r="AG6195">
        <v>-1.104343840197</v>
      </c>
      <c r="AH6195">
        <v>18.7927350849031</v>
      </c>
      <c r="AI6195">
        <v>93.362148773139893</v>
      </c>
      <c r="AJ6195">
        <v>88.646768814080303</v>
      </c>
      <c r="AK6195">
        <v>18.830388903044</v>
      </c>
    </row>
    <row r="6196" spans="1:37" x14ac:dyDescent="0.2">
      <c r="A6196" t="str">
        <f>"20200111155720017"</f>
        <v>20200111155720017</v>
      </c>
      <c r="B6196" t="str">
        <f>"1578729440009744"</f>
        <v>1578729440009744</v>
      </c>
      <c r="C6196" t="s">
        <v>37</v>
      </c>
      <c r="D6196">
        <v>4.9393739999999999</v>
      </c>
      <c r="E6196">
        <v>0.55575079999999999</v>
      </c>
      <c r="F6196" t="s">
        <v>100</v>
      </c>
      <c r="G6196">
        <v>-226.56299999999999</v>
      </c>
      <c r="H6196" s="1">
        <v>-2.8937919999999999E-6</v>
      </c>
      <c r="I6196">
        <v>-65.25873</v>
      </c>
      <c r="J6196">
        <v>-245.09739999999999</v>
      </c>
      <c r="K6196">
        <v>1.1043459999999901</v>
      </c>
      <c r="L6196">
        <v>-63.958799999999997</v>
      </c>
      <c r="M6196">
        <v>0.99885330000000006</v>
      </c>
      <c r="N6196">
        <v>0</v>
      </c>
      <c r="O6196">
        <v>-4.5777180000000001E-2</v>
      </c>
      <c r="P6196">
        <v>0.9958226</v>
      </c>
      <c r="Q6196">
        <v>5.2449429999999998E-2</v>
      </c>
      <c r="R6196">
        <v>7.4744500000000005E-2</v>
      </c>
      <c r="S6196">
        <v>3.0385740000000001</v>
      </c>
      <c r="T6196">
        <v>-0.1797967</v>
      </c>
      <c r="U6196">
        <v>-0.212677</v>
      </c>
      <c r="V6196">
        <v>-0.1201163</v>
      </c>
      <c r="W6196">
        <v>6.660613E-2</v>
      </c>
      <c r="X6196">
        <v>0.99052289999999998</v>
      </c>
      <c r="Y6196">
        <v>2.411603E-2</v>
      </c>
      <c r="Z6196">
        <v>1.989514E-3</v>
      </c>
      <c r="AA6196">
        <v>0.99970720000000002</v>
      </c>
      <c r="AB6196">
        <v>27</v>
      </c>
      <c r="AC6196">
        <v>18.534400000000002</v>
      </c>
      <c r="AD6196">
        <v>-1.1043488937920001</v>
      </c>
      <c r="AE6196">
        <v>-1.29993</v>
      </c>
      <c r="AF6196">
        <v>0.44844673851167599</v>
      </c>
      <c r="AG6196">
        <v>-1.1043488937920001</v>
      </c>
      <c r="AH6196">
        <v>18.509089365400602</v>
      </c>
      <c r="AI6196">
        <v>93.413517938052195</v>
      </c>
      <c r="AJ6196">
        <v>88.612083010709597</v>
      </c>
      <c r="AK6196">
        <v>18.547427856521999</v>
      </c>
    </row>
    <row r="6197" spans="1:37" x14ac:dyDescent="0.2">
      <c r="A6197" t="str">
        <f>"20200111155720029"</f>
        <v>20200111155720029</v>
      </c>
      <c r="B6197" t="str">
        <f>"1578729440019503"</f>
        <v>1578729440019503</v>
      </c>
      <c r="C6197" t="s">
        <v>37</v>
      </c>
      <c r="D6197">
        <v>4.9421339999999896</v>
      </c>
      <c r="E6197">
        <v>0.55573399999999995</v>
      </c>
      <c r="F6197" t="s">
        <v>100</v>
      </c>
      <c r="G6197">
        <v>-226.65950000000001</v>
      </c>
      <c r="H6197" s="1">
        <v>-2.9278969999999899E-6</v>
      </c>
      <c r="I6197">
        <v>-65.268299999999996</v>
      </c>
      <c r="J6197">
        <v>-244.96729999999999</v>
      </c>
      <c r="K6197">
        <v>1.1043479999999899</v>
      </c>
      <c r="L6197">
        <v>-63.965389999999999</v>
      </c>
      <c r="M6197">
        <v>0.99882819999999894</v>
      </c>
      <c r="N6197">
        <v>0</v>
      </c>
      <c r="O6197">
        <v>-4.6318779999999997E-2</v>
      </c>
      <c r="P6197">
        <v>0.99591289999999999</v>
      </c>
      <c r="Q6197">
        <v>5.1979329999999997E-2</v>
      </c>
      <c r="R6197">
        <v>7.3861780000000002E-2</v>
      </c>
      <c r="S6197">
        <v>3.0383450000000001</v>
      </c>
      <c r="T6197">
        <v>-0.18198310000000001</v>
      </c>
      <c r="U6197">
        <v>-0.215789799999999</v>
      </c>
      <c r="V6197">
        <v>-0.1197781</v>
      </c>
      <c r="W6197">
        <v>6.6132239999999995E-2</v>
      </c>
      <c r="X6197">
        <v>0.99059560000000002</v>
      </c>
      <c r="Y6197">
        <v>2.4599349999999999E-2</v>
      </c>
      <c r="Z6197">
        <v>2.0316039999999998E-3</v>
      </c>
      <c r="AA6197">
        <v>0.99969529999999995</v>
      </c>
      <c r="AB6197">
        <v>27</v>
      </c>
      <c r="AC6197">
        <v>18.307799999999901</v>
      </c>
      <c r="AD6197">
        <v>-1.1043509278969901</v>
      </c>
      <c r="AE6197">
        <v>-1.30290999999999</v>
      </c>
      <c r="AF6197">
        <v>0.45179725502108498</v>
      </c>
      <c r="AG6197">
        <v>-1.1043509278969901</v>
      </c>
      <c r="AH6197">
        <v>18.282313718698902</v>
      </c>
      <c r="AI6197">
        <v>93.455723130959598</v>
      </c>
      <c r="AJ6197">
        <v>88.584380033542999</v>
      </c>
      <c r="AK6197">
        <v>18.321209202465798</v>
      </c>
    </row>
    <row r="6198" spans="1:37" x14ac:dyDescent="0.2">
      <c r="A6198" t="str">
        <f>"20200111155720040"</f>
        <v>20200111155720040</v>
      </c>
      <c r="B6198" t="str">
        <f>"1578729440029264"</f>
        <v>1578729440029264</v>
      </c>
      <c r="C6198" t="s">
        <v>37</v>
      </c>
      <c r="D6198">
        <v>4.9226470000000004</v>
      </c>
      <c r="E6198">
        <v>0.55571029999999999</v>
      </c>
      <c r="F6198" t="s">
        <v>100</v>
      </c>
      <c r="G6198">
        <v>-226.7124</v>
      </c>
      <c r="H6198" s="1">
        <v>-2.9471659999999998E-6</v>
      </c>
      <c r="I6198">
        <v>-65.277769999999904</v>
      </c>
      <c r="J6198">
        <v>-244.83529999999999</v>
      </c>
      <c r="K6198">
        <v>1.1043529999999999</v>
      </c>
      <c r="L6198">
        <v>-63.972079999999998</v>
      </c>
      <c r="M6198">
        <v>0.99880279999999999</v>
      </c>
      <c r="N6198">
        <v>0</v>
      </c>
      <c r="O6198">
        <v>-4.6866819999999997E-2</v>
      </c>
      <c r="P6198">
        <v>0.99598629999999999</v>
      </c>
      <c r="Q6198">
        <v>5.1771659999999997E-2</v>
      </c>
      <c r="R6198">
        <v>7.3015990000000003E-2</v>
      </c>
      <c r="S6198">
        <v>3.0381009999999899</v>
      </c>
      <c r="T6198">
        <v>-0.18379279999999901</v>
      </c>
      <c r="U6198">
        <v>-0.21841430000000001</v>
      </c>
      <c r="V6198">
        <v>-0.1194827</v>
      </c>
      <c r="W6198">
        <v>6.5920980000000004E-2</v>
      </c>
      <c r="X6198">
        <v>0.99064540000000001</v>
      </c>
      <c r="Y6198">
        <v>2.4916919999999999E-2</v>
      </c>
      <c r="Z6198">
        <v>2.075304E-3</v>
      </c>
      <c r="AA6198">
        <v>0.9996874</v>
      </c>
      <c r="AB6198">
        <v>27</v>
      </c>
      <c r="AC6198">
        <v>18.122899999999898</v>
      </c>
      <c r="AD6198">
        <v>-1.1043559471660001</v>
      </c>
      <c r="AE6198">
        <v>-1.30568999999998</v>
      </c>
      <c r="AF6198">
        <v>0.45313486829337302</v>
      </c>
      <c r="AG6198">
        <v>-1.1043559471660001</v>
      </c>
      <c r="AH6198">
        <v>18.0973270226526</v>
      </c>
      <c r="AI6198">
        <v>93.490947378460007</v>
      </c>
      <c r="AJ6198">
        <v>88.565683660286496</v>
      </c>
      <c r="AK6198">
        <v>18.136652905973001</v>
      </c>
    </row>
    <row r="6199" spans="1:37" x14ac:dyDescent="0.2">
      <c r="A6199" t="str">
        <f>"20200111155720051"</f>
        <v>20200111155720051</v>
      </c>
      <c r="B6199" t="str">
        <f>"1578729440039024"</f>
        <v>1578729440039024</v>
      </c>
      <c r="C6199" t="s">
        <v>37</v>
      </c>
      <c r="D6199">
        <v>4.894196</v>
      </c>
      <c r="E6199">
        <v>0.55572279999999996</v>
      </c>
      <c r="F6199" t="s">
        <v>40</v>
      </c>
      <c r="G6199">
        <v>-243.88239999999999</v>
      </c>
      <c r="H6199">
        <v>1.046373</v>
      </c>
      <c r="I6199">
        <v>-64.041519999999906</v>
      </c>
      <c r="J6199">
        <v>-244.6943</v>
      </c>
      <c r="K6199">
        <v>1.1043620000000001</v>
      </c>
      <c r="L6199">
        <v>-63.979340000000001</v>
      </c>
      <c r="M6199">
        <v>0.99877569999999904</v>
      </c>
      <c r="N6199">
        <v>0</v>
      </c>
      <c r="O6199">
        <v>-4.744247E-2</v>
      </c>
      <c r="P6199">
        <v>0.9960542</v>
      </c>
      <c r="Q6199">
        <v>5.1626970000000001E-2</v>
      </c>
      <c r="R6199">
        <v>7.2185429999999995E-2</v>
      </c>
      <c r="S6199">
        <v>3.0378880000000001</v>
      </c>
      <c r="T6199">
        <v>-0.1848003</v>
      </c>
      <c r="U6199">
        <v>-0.22085569999999999</v>
      </c>
      <c r="V6199">
        <v>-0.11922969999999999</v>
      </c>
      <c r="W6199">
        <v>6.5771590000000005E-2</v>
      </c>
      <c r="X6199">
        <v>0.99068579999999995</v>
      </c>
      <c r="Y6199">
        <v>2.5146080000000001E-2</v>
      </c>
      <c r="Z6199">
        <v>2.1146609999999999E-3</v>
      </c>
      <c r="AA6199">
        <v>0.9996815</v>
      </c>
      <c r="AB6199">
        <v>27</v>
      </c>
      <c r="AC6199">
        <v>0.81190000000000795</v>
      </c>
      <c r="AD6199">
        <v>-5.7988999999999999E-2</v>
      </c>
      <c r="AE6199">
        <v>-6.2179999999990798E-2</v>
      </c>
      <c r="AF6199">
        <v>2.3468623203000399E-2</v>
      </c>
      <c r="AG6199">
        <v>-5.7988999999999999E-2</v>
      </c>
      <c r="AH6199">
        <v>0.80982872103733705</v>
      </c>
      <c r="AI6199">
        <v>94.094046504109798</v>
      </c>
      <c r="AJ6199">
        <v>88.340047974745502</v>
      </c>
      <c r="AK6199">
        <v>0.81224137903274296</v>
      </c>
    </row>
    <row r="6200" spans="1:37" x14ac:dyDescent="0.2">
      <c r="A6200" t="str">
        <f>"20200111155720063"</f>
        <v>20200111155720063</v>
      </c>
      <c r="B6200" t="str">
        <f>"1578729440059521"</f>
        <v>1578729440059521</v>
      </c>
      <c r="C6200" t="s">
        <v>37</v>
      </c>
      <c r="D6200">
        <v>4.9225589999999997</v>
      </c>
      <c r="E6200">
        <v>0.55578479999999997</v>
      </c>
      <c r="F6200" t="s">
        <v>100</v>
      </c>
      <c r="G6200">
        <v>-226.5986</v>
      </c>
      <c r="H6200" s="1">
        <v>-2.9128529999999999E-6</v>
      </c>
      <c r="I6200">
        <v>-65.310630000000003</v>
      </c>
      <c r="J6200">
        <v>-244.56010000000001</v>
      </c>
      <c r="K6200">
        <v>1.104376</v>
      </c>
      <c r="L6200">
        <v>-63.9863</v>
      </c>
      <c r="M6200">
        <v>0.99874959999999902</v>
      </c>
      <c r="N6200">
        <v>0</v>
      </c>
      <c r="O6200">
        <v>-4.7987149999999999E-2</v>
      </c>
      <c r="P6200">
        <v>0.9961042</v>
      </c>
      <c r="Q6200">
        <v>5.1760479999999998E-2</v>
      </c>
      <c r="R6200">
        <v>7.1395529999999999E-2</v>
      </c>
      <c r="S6200">
        <v>3.037674</v>
      </c>
      <c r="T6200">
        <v>-0.18538689999999999</v>
      </c>
      <c r="U6200">
        <v>-0.22348019999999999</v>
      </c>
      <c r="V6200">
        <v>-0.11898540000000001</v>
      </c>
      <c r="W6200">
        <v>6.5900520000000004E-2</v>
      </c>
      <c r="X6200">
        <v>0.99070659999999899</v>
      </c>
      <c r="Y6200">
        <v>2.546578E-2</v>
      </c>
      <c r="Z6200">
        <v>2.144806E-3</v>
      </c>
      <c r="AA6200">
        <v>0.99967340000000005</v>
      </c>
      <c r="AB6200">
        <v>27</v>
      </c>
      <c r="AC6200">
        <v>17.961500000000001</v>
      </c>
      <c r="AD6200">
        <v>-1.1043789128529999</v>
      </c>
      <c r="AE6200">
        <v>-1.32433</v>
      </c>
      <c r="AF6200">
        <v>0.45907198698519303</v>
      </c>
      <c r="AG6200">
        <v>-1.1043789128529999</v>
      </c>
      <c r="AH6200">
        <v>17.936916369506999</v>
      </c>
      <c r="AI6200">
        <v>93.522112570538198</v>
      </c>
      <c r="AJ6200">
        <v>88.533909288676696</v>
      </c>
      <c r="AK6200">
        <v>17.976745220397301</v>
      </c>
    </row>
    <row r="6201" spans="1:37" x14ac:dyDescent="0.2">
      <c r="A6201" t="str">
        <f>"20200111155720073"</f>
        <v>20200111155720073</v>
      </c>
      <c r="B6201" t="str">
        <f>"1578729440069279"</f>
        <v>1578729440069279</v>
      </c>
      <c r="C6201" t="s">
        <v>37</v>
      </c>
      <c r="D6201">
        <v>4.8967289999999997</v>
      </c>
      <c r="E6201">
        <v>0.55574509999999999</v>
      </c>
      <c r="F6201" t="s">
        <v>40</v>
      </c>
      <c r="G6201">
        <v>-243.6309</v>
      </c>
      <c r="H6201">
        <v>1.0476379999999901</v>
      </c>
      <c r="I6201">
        <v>-64.055750000000003</v>
      </c>
      <c r="J6201">
        <v>-244.42750000000001</v>
      </c>
      <c r="K6201">
        <v>1.1043860000000001</v>
      </c>
      <c r="L6201">
        <v>-63.993259999999999</v>
      </c>
      <c r="M6201">
        <v>0.9987239</v>
      </c>
      <c r="N6201">
        <v>0</v>
      </c>
      <c r="O6201">
        <v>-4.8519550000000002E-2</v>
      </c>
      <c r="P6201">
        <v>0.99612309999999904</v>
      </c>
      <c r="Q6201">
        <v>5.1934769999999998E-2</v>
      </c>
      <c r="R6201">
        <v>7.1005200000000004E-2</v>
      </c>
      <c r="S6201">
        <v>3.037582</v>
      </c>
      <c r="T6201">
        <v>-0.1853754</v>
      </c>
      <c r="U6201">
        <v>-0.2264099</v>
      </c>
      <c r="V6201">
        <v>-0.11912629999999901</v>
      </c>
      <c r="W6201">
        <v>6.607085E-2</v>
      </c>
      <c r="X6201">
        <v>0.99067830000000001</v>
      </c>
      <c r="Y6201">
        <v>2.5894170000000001E-2</v>
      </c>
      <c r="Z6201">
        <v>2.1639649999999999E-3</v>
      </c>
      <c r="AA6201">
        <v>0.9996623</v>
      </c>
      <c r="AB6201">
        <v>27</v>
      </c>
      <c r="AC6201">
        <v>0.79660000000001197</v>
      </c>
      <c r="AD6201">
        <v>-5.6748000000000201E-2</v>
      </c>
      <c r="AE6201">
        <v>-6.2490000000003897E-2</v>
      </c>
      <c r="AF6201">
        <v>2.3642668385583099E-2</v>
      </c>
      <c r="AG6201">
        <v>-5.6748000000000201E-2</v>
      </c>
      <c r="AH6201">
        <v>0.79468567098819398</v>
      </c>
      <c r="AI6201">
        <v>94.0827216417279</v>
      </c>
      <c r="AJ6201">
        <v>88.295897726827903</v>
      </c>
      <c r="AK6201">
        <v>0.797059989553074</v>
      </c>
    </row>
    <row r="6202" spans="1:37" x14ac:dyDescent="0.2">
      <c r="A6202" t="str">
        <f>"20200111155720085"</f>
        <v>20200111155720085</v>
      </c>
      <c r="B6202" t="str">
        <f>"1578729440079039"</f>
        <v>1578729440079039</v>
      </c>
      <c r="C6202" t="s">
        <v>37</v>
      </c>
      <c r="D6202">
        <v>4.9025790000000002</v>
      </c>
      <c r="E6202">
        <v>0.55572650000000001</v>
      </c>
      <c r="F6202" t="s">
        <v>100</v>
      </c>
      <c r="G6202">
        <v>-226.31620000000001</v>
      </c>
      <c r="H6202" s="1">
        <v>-2.8217730000000001E-6</v>
      </c>
      <c r="I6202">
        <v>-65.348320000000001</v>
      </c>
      <c r="J6202">
        <v>-244.2893</v>
      </c>
      <c r="K6202">
        <v>1.1043959999999999</v>
      </c>
      <c r="L6202">
        <v>-64.000579999999999</v>
      </c>
      <c r="M6202">
        <v>0.99869699999999995</v>
      </c>
      <c r="N6202">
        <v>0</v>
      </c>
      <c r="O6202">
        <v>-4.9069229999999998E-2</v>
      </c>
      <c r="P6202">
        <v>0.996150599999999</v>
      </c>
      <c r="Q6202">
        <v>5.1896909999999997E-2</v>
      </c>
      <c r="R6202">
        <v>7.0647249999999995E-2</v>
      </c>
      <c r="S6202">
        <v>3.0375369999999999</v>
      </c>
      <c r="T6202">
        <v>-0.18522230000000001</v>
      </c>
      <c r="U6202">
        <v>-0.22726439999999901</v>
      </c>
      <c r="V6202">
        <v>-0.11931749999999899</v>
      </c>
      <c r="W6202">
        <v>6.6028020000000007E-2</v>
      </c>
      <c r="X6202">
        <v>0.99065820000000004</v>
      </c>
      <c r="Y6202">
        <v>2.5626179999999998E-2</v>
      </c>
      <c r="Z6202">
        <v>2.203722E-3</v>
      </c>
      <c r="AA6202">
        <v>0.99966919999999904</v>
      </c>
      <c r="AB6202">
        <v>27</v>
      </c>
      <c r="AC6202">
        <v>17.973099999999899</v>
      </c>
      <c r="AD6202">
        <v>-1.1043988217730001</v>
      </c>
      <c r="AE6202">
        <v>-1.3477399999999999</v>
      </c>
      <c r="AF6202">
        <v>0.462367288142705</v>
      </c>
      <c r="AG6202">
        <v>-1.1043988217730001</v>
      </c>
      <c r="AH6202">
        <v>17.950187182274899</v>
      </c>
      <c r="AI6202">
        <v>93.519563628439201</v>
      </c>
      <c r="AJ6202">
        <v>88.524481263541006</v>
      </c>
      <c r="AK6202">
        <v>17.9900722662635</v>
      </c>
    </row>
    <row r="6203" spans="1:37" x14ac:dyDescent="0.2">
      <c r="A6203" t="str">
        <f>"20200111155720095"</f>
        <v>20200111155720095</v>
      </c>
      <c r="B6203" t="str">
        <f>"1578729440088799"</f>
        <v>1578729440088799</v>
      </c>
      <c r="C6203" t="s">
        <v>37</v>
      </c>
      <c r="D6203">
        <v>4.9062299999999999</v>
      </c>
      <c r="E6203">
        <v>0.55569480000000004</v>
      </c>
      <c r="F6203" t="s">
        <v>100</v>
      </c>
      <c r="G6203">
        <v>-226.1824</v>
      </c>
      <c r="H6203" s="1">
        <v>-2.7779039999999998E-6</v>
      </c>
      <c r="I6203">
        <v>-65.360819999999904</v>
      </c>
      <c r="J6203">
        <v>-244.15770000000001</v>
      </c>
      <c r="K6203">
        <v>1.1044069999999999</v>
      </c>
      <c r="L6203">
        <v>-64.007570000000001</v>
      </c>
      <c r="M6203">
        <v>0.99867129999999904</v>
      </c>
      <c r="N6203">
        <v>0</v>
      </c>
      <c r="O6203">
        <v>-4.9589359999999999E-2</v>
      </c>
      <c r="P6203">
        <v>0.99619880000000005</v>
      </c>
      <c r="Q6203">
        <v>5.1865729999999999E-2</v>
      </c>
      <c r="R6203">
        <v>6.9984359999999995E-2</v>
      </c>
      <c r="S6203">
        <v>3.037445</v>
      </c>
      <c r="T6203">
        <v>-0.18526289999999901</v>
      </c>
      <c r="U6203">
        <v>-0.22817989999999999</v>
      </c>
      <c r="V6203">
        <v>-0.11917509999999901</v>
      </c>
      <c r="W6203">
        <v>6.5993309999999999E-2</v>
      </c>
      <c r="X6203">
        <v>0.99067769999999999</v>
      </c>
      <c r="Y6203">
        <v>2.5408770000000001E-2</v>
      </c>
      <c r="Z6203">
        <v>2.24245E-3</v>
      </c>
      <c r="AA6203">
        <v>0.99967459999999997</v>
      </c>
      <c r="AB6203">
        <v>27</v>
      </c>
      <c r="AC6203">
        <v>17.975300000000001</v>
      </c>
      <c r="AD6203">
        <v>-1.1044097779040001</v>
      </c>
      <c r="AE6203">
        <v>-1.3532499999999801</v>
      </c>
      <c r="AF6203">
        <v>0.45839288300429998</v>
      </c>
      <c r="AG6203">
        <v>-1.1044097779040001</v>
      </c>
      <c r="AH6203">
        <v>17.952904959782899</v>
      </c>
      <c r="AI6203">
        <v>93.519087252293005</v>
      </c>
      <c r="AJ6203">
        <v>88.537380309722593</v>
      </c>
      <c r="AK6203">
        <v>17.9926829985891</v>
      </c>
    </row>
    <row r="6204" spans="1:37" x14ac:dyDescent="0.2">
      <c r="A6204" t="str">
        <f>"20200111155720107"</f>
        <v>20200111155720107</v>
      </c>
      <c r="B6204" t="str">
        <f>"1578729440099537"</f>
        <v>1578729440099537</v>
      </c>
      <c r="C6204" t="s">
        <v>37</v>
      </c>
      <c r="D6204">
        <v>4.9014879999999996</v>
      </c>
      <c r="E6204">
        <v>0.55564550000000001</v>
      </c>
      <c r="F6204" t="s">
        <v>100</v>
      </c>
      <c r="G6204">
        <v>-226.0778</v>
      </c>
      <c r="H6204" s="1">
        <v>-2.7443749999999999E-6</v>
      </c>
      <c r="I6204">
        <v>-65.376219999999904</v>
      </c>
      <c r="J6204">
        <v>-244.03</v>
      </c>
      <c r="K6204">
        <v>1.1044129999999901</v>
      </c>
      <c r="L6204">
        <v>-64.014469999999903</v>
      </c>
      <c r="M6204">
        <v>0.99864660000000005</v>
      </c>
      <c r="N6204">
        <v>0</v>
      </c>
      <c r="O6204">
        <v>-5.0086249999999999E-2</v>
      </c>
      <c r="P6204">
        <v>0.99623059999999997</v>
      </c>
      <c r="Q6204">
        <v>5.1579300000000002E-2</v>
      </c>
      <c r="R6204">
        <v>6.9745020000000005E-2</v>
      </c>
      <c r="S6204">
        <v>3.0372469999999998</v>
      </c>
      <c r="T6204">
        <v>-0.1855299</v>
      </c>
      <c r="U6204">
        <v>-0.2299194</v>
      </c>
      <c r="V6204">
        <v>-0.119433399999999</v>
      </c>
      <c r="W6204">
        <v>6.5703059999999994E-2</v>
      </c>
      <c r="X6204">
        <v>0.99066580000000004</v>
      </c>
      <c r="Y6204">
        <v>2.5486459999999999E-2</v>
      </c>
      <c r="Z6204">
        <v>2.2736229999999998E-3</v>
      </c>
      <c r="AA6204">
        <v>0.99967260000000002</v>
      </c>
      <c r="AB6204">
        <v>27</v>
      </c>
      <c r="AC6204">
        <v>17.952200000000001</v>
      </c>
      <c r="AD6204">
        <v>-1.10441574437499</v>
      </c>
      <c r="AE6204">
        <v>-1.36175</v>
      </c>
      <c r="AF6204">
        <v>0.45906638539942801</v>
      </c>
      <c r="AG6204">
        <v>-1.10441574437499</v>
      </c>
      <c r="AH6204">
        <v>17.930402634111001</v>
      </c>
      <c r="AI6204">
        <v>93.523505259384095</v>
      </c>
      <c r="AJ6204">
        <v>88.533394809443806</v>
      </c>
      <c r="AK6204">
        <v>17.970248042360499</v>
      </c>
    </row>
    <row r="6205" spans="1:37" x14ac:dyDescent="0.2">
      <c r="A6205" t="str">
        <f>"20200111155720119"</f>
        <v>20200111155720119</v>
      </c>
      <c r="B6205" t="str">
        <f>"1578729440109296"</f>
        <v>1578729440109296</v>
      </c>
      <c r="C6205" t="s">
        <v>37</v>
      </c>
      <c r="D6205">
        <v>4.8890570000000002</v>
      </c>
      <c r="E6205">
        <v>0.55562309999999904</v>
      </c>
      <c r="F6205" t="s">
        <v>100</v>
      </c>
      <c r="G6205">
        <v>-226.02289999999999</v>
      </c>
      <c r="H6205" s="1">
        <v>-2.7261180000000001E-6</v>
      </c>
      <c r="I6205">
        <v>-65.379490000000004</v>
      </c>
      <c r="J6205">
        <v>-243.89150000000001</v>
      </c>
      <c r="K6205">
        <v>1.1044209999999901</v>
      </c>
      <c r="L6205">
        <v>-64.021999999999906</v>
      </c>
      <c r="M6205">
        <v>0.99861959999999905</v>
      </c>
      <c r="N6205">
        <v>0</v>
      </c>
      <c r="O6205">
        <v>-5.0623660000000001E-2</v>
      </c>
      <c r="P6205">
        <v>0.99628050000000001</v>
      </c>
      <c r="Q6205">
        <v>5.1135170000000001E-2</v>
      </c>
      <c r="R6205">
        <v>6.9358699999999995E-2</v>
      </c>
      <c r="S6205">
        <v>3.03709399999999</v>
      </c>
      <c r="T6205">
        <v>-0.1862711</v>
      </c>
      <c r="U6205">
        <v>-0.2302246</v>
      </c>
      <c r="V6205">
        <v>-0.1195857</v>
      </c>
      <c r="W6205">
        <v>6.5254850000000003E-2</v>
      </c>
      <c r="X6205">
        <v>0.99067709999999998</v>
      </c>
      <c r="Y6205">
        <v>2.505433E-2</v>
      </c>
      <c r="Z6205">
        <v>2.328835E-3</v>
      </c>
      <c r="AA6205">
        <v>0.9996834</v>
      </c>
      <c r="AB6205">
        <v>27</v>
      </c>
      <c r="AC6205">
        <v>17.868600000000001</v>
      </c>
      <c r="AD6205">
        <v>-1.1044237261180001</v>
      </c>
      <c r="AE6205">
        <v>-1.3574900000000101</v>
      </c>
      <c r="AF6205">
        <v>0.449379544469798</v>
      </c>
      <c r="AG6205">
        <v>-1.1044237261180001</v>
      </c>
      <c r="AH6205">
        <v>17.8466251291539</v>
      </c>
      <c r="AI6205">
        <v>93.540067088414105</v>
      </c>
      <c r="AJ6205">
        <v>88.557592175007798</v>
      </c>
      <c r="AK6205">
        <v>17.886411664790302</v>
      </c>
    </row>
    <row r="6206" spans="1:37" x14ac:dyDescent="0.2">
      <c r="A6206" t="str">
        <f>"20200111155720130"</f>
        <v>20200111155720130</v>
      </c>
      <c r="B6206" t="str">
        <f>"1578729440119057"</f>
        <v>1578729440119057</v>
      </c>
      <c r="C6206" t="s">
        <v>37</v>
      </c>
      <c r="D6206">
        <v>4.9389510000000003</v>
      </c>
      <c r="E6206">
        <v>0.55562109999999998</v>
      </c>
      <c r="F6206" t="s">
        <v>40</v>
      </c>
      <c r="G6206">
        <v>-242.9265</v>
      </c>
      <c r="H6206">
        <v>1.0447280000000001</v>
      </c>
      <c r="I6206">
        <v>-64.095730000000003</v>
      </c>
      <c r="J6206">
        <v>-243.7422</v>
      </c>
      <c r="K6206">
        <v>1.1044339999999999</v>
      </c>
      <c r="L6206">
        <v>-64.030209999999997</v>
      </c>
      <c r="M6206">
        <v>0.998590599999999</v>
      </c>
      <c r="N6206">
        <v>0</v>
      </c>
      <c r="O6206">
        <v>-5.1190600000000003E-2</v>
      </c>
      <c r="P6206">
        <v>0.99633119999999997</v>
      </c>
      <c r="Q6206">
        <v>5.0718890000000003E-2</v>
      </c>
      <c r="R6206">
        <v>6.8933869999999994E-2</v>
      </c>
      <c r="S6206">
        <v>3.0369419999999998</v>
      </c>
      <c r="T6206">
        <v>-0.1877269</v>
      </c>
      <c r="U6206">
        <v>-0.23114009999999999</v>
      </c>
      <c r="V6206">
        <v>-0.1197298</v>
      </c>
      <c r="W6206">
        <v>6.4833749999999996E-2</v>
      </c>
      <c r="X6206">
        <v>0.99068729999999905</v>
      </c>
      <c r="Y6206">
        <v>2.4792519999999998E-2</v>
      </c>
      <c r="Z6206">
        <v>2.3900560000000002E-3</v>
      </c>
      <c r="AA6206">
        <v>0.99968979999999996</v>
      </c>
      <c r="AB6206">
        <v>27</v>
      </c>
      <c r="AC6206">
        <v>0.81569999999999199</v>
      </c>
      <c r="AD6206">
        <v>-5.9705999999999801E-2</v>
      </c>
      <c r="AE6206">
        <v>-6.5520000000006406E-2</v>
      </c>
      <c r="AF6206">
        <v>2.3548452034348501E-2</v>
      </c>
      <c r="AG6206">
        <v>-5.9705999999999801E-2</v>
      </c>
      <c r="AH6206">
        <v>0.81365333298376197</v>
      </c>
      <c r="AI6206">
        <v>94.195100272281394</v>
      </c>
      <c r="AJ6206">
        <v>88.342229622870704</v>
      </c>
      <c r="AK6206">
        <v>0.81618079020814904</v>
      </c>
    </row>
    <row r="6207" spans="1:37" x14ac:dyDescent="0.2">
      <c r="A6207" t="str">
        <f>"20200111155720141"</f>
        <v>20200111155720141</v>
      </c>
      <c r="B6207" t="str">
        <f>"1578729440129793"</f>
        <v>1578729440129793</v>
      </c>
      <c r="C6207" t="s">
        <v>37</v>
      </c>
      <c r="D6207">
        <v>4.8890320000000003</v>
      </c>
      <c r="E6207">
        <v>0.55558450000000004</v>
      </c>
      <c r="F6207" t="s">
        <v>100</v>
      </c>
      <c r="G6207">
        <v>-225.9753</v>
      </c>
      <c r="H6207" s="1">
        <v>-2.7113059999999999E-6</v>
      </c>
      <c r="I6207">
        <v>-65.389849999999996</v>
      </c>
      <c r="J6207">
        <v>-243.62129999999999</v>
      </c>
      <c r="K6207">
        <v>1.1044419999999999</v>
      </c>
      <c r="L6207">
        <v>-64.036900000000003</v>
      </c>
      <c r="M6207">
        <v>0.99856710000000004</v>
      </c>
      <c r="N6207">
        <v>0</v>
      </c>
      <c r="O6207">
        <v>-5.1647440000000003E-2</v>
      </c>
      <c r="P6207">
        <v>0.99636999999999998</v>
      </c>
      <c r="Q6207">
        <v>5.0309180000000002E-2</v>
      </c>
      <c r="R6207">
        <v>6.8674689999999997E-2</v>
      </c>
      <c r="S6207">
        <v>3.036743</v>
      </c>
      <c r="T6207">
        <v>-0.1887712</v>
      </c>
      <c r="U6207">
        <v>-0.232391399999999</v>
      </c>
      <c r="V6207">
        <v>-0.1199291</v>
      </c>
      <c r="W6207">
        <v>6.4420229999999995E-2</v>
      </c>
      <c r="X6207">
        <v>0.99069019999999997</v>
      </c>
      <c r="Y6207">
        <v>2.4751140000000001E-2</v>
      </c>
      <c r="Z6207">
        <v>2.4329970000000001E-3</v>
      </c>
      <c r="AA6207">
        <v>0.99969069999999904</v>
      </c>
      <c r="AB6207">
        <v>27</v>
      </c>
      <c r="AC6207">
        <v>17.645999999999901</v>
      </c>
      <c r="AD6207">
        <v>-1.1044447113060001</v>
      </c>
      <c r="AE6207">
        <v>-1.3529499999999901</v>
      </c>
      <c r="AF6207">
        <v>0.43797808791134402</v>
      </c>
      <c r="AG6207">
        <v>-1.1044447113060001</v>
      </c>
      <c r="AH6207">
        <v>17.623692758977899</v>
      </c>
      <c r="AI6207">
        <v>93.584828712941601</v>
      </c>
      <c r="AJ6207">
        <v>88.576397575090397</v>
      </c>
      <c r="AK6207">
        <v>17.663696368220101</v>
      </c>
    </row>
    <row r="6208" spans="1:37" x14ac:dyDescent="0.2">
      <c r="A6208" t="str">
        <f>"20200111155720152"</f>
        <v>20200111155720152</v>
      </c>
      <c r="B6208" t="str">
        <f>"1578729440149312"</f>
        <v>1578729440149312</v>
      </c>
      <c r="C6208" t="s">
        <v>37</v>
      </c>
      <c r="D6208">
        <v>4.876976</v>
      </c>
      <c r="E6208">
        <v>0.55557049999999997</v>
      </c>
      <c r="F6208" t="s">
        <v>40</v>
      </c>
      <c r="G6208">
        <v>-242.6867</v>
      </c>
      <c r="H6208">
        <v>1.0458969999999901</v>
      </c>
      <c r="I6208">
        <v>-64.108669999999904</v>
      </c>
      <c r="J6208">
        <v>-243.49350000000001</v>
      </c>
      <c r="K6208">
        <v>1.104452</v>
      </c>
      <c r="L6208">
        <v>-64.044039999999995</v>
      </c>
      <c r="M6208">
        <v>0.998542499999999</v>
      </c>
      <c r="N6208">
        <v>0</v>
      </c>
      <c r="O6208">
        <v>-5.2123330000000002E-2</v>
      </c>
      <c r="P6208">
        <v>0.99641049999999998</v>
      </c>
      <c r="Q6208">
        <v>4.9926619999999998E-2</v>
      </c>
      <c r="R6208">
        <v>6.8364789999999995E-2</v>
      </c>
      <c r="S6208">
        <v>3.0366059999999999</v>
      </c>
      <c r="T6208">
        <v>-0.19018599999999999</v>
      </c>
      <c r="U6208">
        <v>-0.23287959999999999</v>
      </c>
      <c r="V6208">
        <v>-0.12009599999999999</v>
      </c>
      <c r="W6208">
        <v>6.4033839999999995E-2</v>
      </c>
      <c r="X6208">
        <v>0.99069499999999999</v>
      </c>
      <c r="Y6208">
        <v>2.444027E-2</v>
      </c>
      <c r="Z6208">
        <v>2.4906749999999999E-3</v>
      </c>
      <c r="AA6208">
        <v>0.99969819999999998</v>
      </c>
      <c r="AB6208">
        <v>27</v>
      </c>
      <c r="AC6208">
        <v>0.80680000000000895</v>
      </c>
      <c r="AD6208">
        <v>-5.85550000000001E-2</v>
      </c>
      <c r="AE6208">
        <v>-6.4629999999993901E-2</v>
      </c>
      <c r="AF6208">
        <v>2.23678340835455E-2</v>
      </c>
      <c r="AG6208">
        <v>-5.85550000000001E-2</v>
      </c>
      <c r="AH6208">
        <v>0.804859641764332</v>
      </c>
      <c r="AI6208">
        <v>94.1594407805419</v>
      </c>
      <c r="AJ6208">
        <v>88.408104174001906</v>
      </c>
      <c r="AK6208">
        <v>0.80729675520690503</v>
      </c>
    </row>
    <row r="6209" spans="1:37" x14ac:dyDescent="0.2">
      <c r="A6209" t="str">
        <f>"20200111155720163"</f>
        <v>20200111155720163</v>
      </c>
      <c r="B6209" t="str">
        <f>"1578729440159071"</f>
        <v>1578729440159071</v>
      </c>
      <c r="C6209" t="s">
        <v>37</v>
      </c>
      <c r="D6209">
        <v>4.9487459999999999</v>
      </c>
      <c r="E6209">
        <v>0.55559360000000002</v>
      </c>
      <c r="F6209" t="s">
        <v>100</v>
      </c>
      <c r="G6209">
        <v>-225.95699999999999</v>
      </c>
      <c r="H6209" s="1">
        <v>-2.7056419999999999E-6</v>
      </c>
      <c r="I6209">
        <v>-65.393940000000001</v>
      </c>
      <c r="J6209">
        <v>-243.35550000000001</v>
      </c>
      <c r="K6209">
        <v>1.104463</v>
      </c>
      <c r="L6209">
        <v>-64.051789999999997</v>
      </c>
      <c r="M6209">
        <v>0.99851569999999901</v>
      </c>
      <c r="N6209">
        <v>0</v>
      </c>
      <c r="O6209">
        <v>-5.2631869999999997E-2</v>
      </c>
      <c r="P6209">
        <v>0.99645149999999905</v>
      </c>
      <c r="Q6209">
        <v>4.9432490000000003E-2</v>
      </c>
      <c r="R6209">
        <v>6.8125530000000004E-2</v>
      </c>
      <c r="S6209">
        <v>3.0364230000000001</v>
      </c>
      <c r="T6209">
        <v>-0.1912345</v>
      </c>
      <c r="U6209">
        <v>-0.2337341</v>
      </c>
      <c r="V6209">
        <v>-0.12036669999999999</v>
      </c>
      <c r="W6209">
        <v>6.3535599999999998E-2</v>
      </c>
      <c r="X6209">
        <v>0.99069419999999897</v>
      </c>
      <c r="Y6209">
        <v>2.4217450000000001E-2</v>
      </c>
      <c r="Z6209">
        <v>2.5433829999999902E-3</v>
      </c>
      <c r="AA6209">
        <v>0.99970349999999997</v>
      </c>
      <c r="AB6209">
        <v>27</v>
      </c>
      <c r="AC6209">
        <v>17.398499999999999</v>
      </c>
      <c r="AD6209">
        <v>-1.104465705642</v>
      </c>
      <c r="AE6209">
        <v>-1.34215</v>
      </c>
      <c r="AF6209">
        <v>0.42279024709448398</v>
      </c>
      <c r="AG6209">
        <v>-1.104465705642</v>
      </c>
      <c r="AH6209">
        <v>17.375422591632201</v>
      </c>
      <c r="AI6209">
        <v>93.6360295803876</v>
      </c>
      <c r="AJ6209">
        <v>88.606116340856502</v>
      </c>
      <c r="AK6209">
        <v>17.4156224788487</v>
      </c>
    </row>
    <row r="6210" spans="1:37" x14ac:dyDescent="0.2">
      <c r="A6210" t="str">
        <f>"20200111155720174"</f>
        <v>20200111155720174</v>
      </c>
      <c r="B6210" t="str">
        <f>"1578729440168831"</f>
        <v>1578729440168831</v>
      </c>
      <c r="C6210" t="s">
        <v>37</v>
      </c>
      <c r="D6210">
        <v>4.8645680000000002</v>
      </c>
      <c r="E6210">
        <v>0.55554380000000003</v>
      </c>
      <c r="F6210" t="s">
        <v>40</v>
      </c>
      <c r="G6210">
        <v>-242.44589999999999</v>
      </c>
      <c r="H6210">
        <v>1.04671</v>
      </c>
      <c r="I6210">
        <v>-64.122140000000002</v>
      </c>
      <c r="J6210">
        <v>-243.21960000000001</v>
      </c>
      <c r="K6210">
        <v>1.1044750000000001</v>
      </c>
      <c r="L6210">
        <v>-64.059479999999994</v>
      </c>
      <c r="M6210">
        <v>0.99848959999999998</v>
      </c>
      <c r="N6210">
        <v>0</v>
      </c>
      <c r="O6210">
        <v>-5.3125739999999998E-2</v>
      </c>
      <c r="P6210">
        <v>0.996480699999999</v>
      </c>
      <c r="Q6210">
        <v>4.9317739999999999E-2</v>
      </c>
      <c r="R6210">
        <v>6.7778450000000004E-2</v>
      </c>
      <c r="S6210">
        <v>3.0362849999999999</v>
      </c>
      <c r="T6210">
        <v>-0.19275120000000001</v>
      </c>
      <c r="U6210">
        <v>-0.23455809999999999</v>
      </c>
      <c r="V6210">
        <v>-0.1205141</v>
      </c>
      <c r="W6210">
        <v>6.3415699999999894E-2</v>
      </c>
      <c r="X6210">
        <v>0.99068400000000001</v>
      </c>
      <c r="Y6210">
        <v>2.3998439999999999E-2</v>
      </c>
      <c r="Z6210">
        <v>2.601744E-3</v>
      </c>
      <c r="AA6210">
        <v>0.99970859999999995</v>
      </c>
      <c r="AB6210">
        <v>27</v>
      </c>
      <c r="AC6210">
        <v>0.77370000000001904</v>
      </c>
      <c r="AD6210">
        <v>-5.7764999999999997E-2</v>
      </c>
      <c r="AE6210">
        <v>-6.2659999999993901E-2</v>
      </c>
      <c r="AF6210">
        <v>2.1345867465665899E-2</v>
      </c>
      <c r="AG6210">
        <v>-5.7764999999999997E-2</v>
      </c>
      <c r="AH6210">
        <v>0.77166298284271595</v>
      </c>
      <c r="AI6210">
        <v>94.279420957027497</v>
      </c>
      <c r="AJ6210">
        <v>88.415478862692595</v>
      </c>
      <c r="AK6210">
        <v>0.77411639975689694</v>
      </c>
    </row>
    <row r="6211" spans="1:37" x14ac:dyDescent="0.2">
      <c r="A6211" t="str">
        <f>"20200111155720186"</f>
        <v>20200111155720186</v>
      </c>
      <c r="B6211" t="str">
        <f>"1578729440179567"</f>
        <v>1578729440179567</v>
      </c>
      <c r="C6211" t="s">
        <v>37</v>
      </c>
      <c r="D6211">
        <v>4.8641079999999999</v>
      </c>
      <c r="E6211">
        <v>0.55550650000000001</v>
      </c>
      <c r="F6211" t="s">
        <v>100</v>
      </c>
      <c r="G6211">
        <v>-225.8665</v>
      </c>
      <c r="H6211" s="1">
        <v>-2.6762579999999998E-6</v>
      </c>
      <c r="I6211">
        <v>-65.404439999999994</v>
      </c>
      <c r="J6211">
        <v>-243.0848</v>
      </c>
      <c r="K6211">
        <v>1.1044879999999999</v>
      </c>
      <c r="L6211">
        <v>-64.0672</v>
      </c>
      <c r="M6211">
        <v>0.99846399999999902</v>
      </c>
      <c r="N6211">
        <v>0</v>
      </c>
      <c r="O6211">
        <v>-5.3604550000000001E-2</v>
      </c>
      <c r="P6211">
        <v>0.99651469999999898</v>
      </c>
      <c r="Q6211">
        <v>4.9288289999999998E-2</v>
      </c>
      <c r="R6211">
        <v>6.7298170000000004E-2</v>
      </c>
      <c r="S6211">
        <v>3.0361630000000002</v>
      </c>
      <c r="T6211">
        <v>-0.19324359999999999</v>
      </c>
      <c r="U6211">
        <v>-0.235321</v>
      </c>
      <c r="V6211">
        <v>-0.12051389999999999</v>
      </c>
      <c r="W6211">
        <v>6.3381430000000002E-2</v>
      </c>
      <c r="X6211">
        <v>0.99068619999999996</v>
      </c>
      <c r="Y6211">
        <v>2.3773539999999999E-2</v>
      </c>
      <c r="Z6211">
        <v>2.6459280000000001E-3</v>
      </c>
      <c r="AA6211">
        <v>0.99971390000000004</v>
      </c>
      <c r="AB6211">
        <v>27</v>
      </c>
      <c r="AC6211">
        <v>17.218299999999999</v>
      </c>
      <c r="AD6211">
        <v>-1.104490676258</v>
      </c>
      <c r="AE6211">
        <v>-1.33724</v>
      </c>
      <c r="AF6211">
        <v>0.41056796184352201</v>
      </c>
      <c r="AG6211">
        <v>-1.104490676258</v>
      </c>
      <c r="AH6211">
        <v>17.194900046215601</v>
      </c>
      <c r="AI6211">
        <v>93.674221850716904</v>
      </c>
      <c r="AJ6211">
        <v>88.632190802468699</v>
      </c>
      <c r="AK6211">
        <v>17.2352271033653</v>
      </c>
    </row>
    <row r="6212" spans="1:37" x14ac:dyDescent="0.2">
      <c r="A6212" t="str">
        <f>"20200111155720197"</f>
        <v>20200111155720197</v>
      </c>
      <c r="B6212" t="str">
        <f>"1578729440189327"</f>
        <v>1578729440189327</v>
      </c>
      <c r="C6212" t="s">
        <v>37</v>
      </c>
      <c r="D6212">
        <v>4.8615649999999997</v>
      </c>
      <c r="E6212">
        <v>0.55550350000000004</v>
      </c>
      <c r="F6212" t="s">
        <v>100</v>
      </c>
      <c r="G6212">
        <v>-225.74719999999999</v>
      </c>
      <c r="H6212" s="1">
        <v>-2.6373679999999999E-6</v>
      </c>
      <c r="I6212">
        <v>-65.417299999999997</v>
      </c>
      <c r="J6212">
        <v>-242.95179999999999</v>
      </c>
      <c r="K6212">
        <v>1.1045020000000001</v>
      </c>
      <c r="L6212">
        <v>-64.074860000000001</v>
      </c>
      <c r="M6212">
        <v>0.99843899999999997</v>
      </c>
      <c r="N6212">
        <v>0</v>
      </c>
      <c r="O6212">
        <v>-5.4071679999999997E-2</v>
      </c>
      <c r="P6212">
        <v>0.99653630000000004</v>
      </c>
      <c r="Q6212">
        <v>4.9154400000000001E-2</v>
      </c>
      <c r="R6212">
        <v>6.7078509999999994E-2</v>
      </c>
      <c r="S6212">
        <v>3.0360109999999998</v>
      </c>
      <c r="T6212">
        <v>-0.19340940000000001</v>
      </c>
      <c r="U6212">
        <v>-0.23641970000000001</v>
      </c>
      <c r="V6212">
        <v>-0.12076149999999999</v>
      </c>
      <c r="W6212">
        <v>6.3241989999999998E-2</v>
      </c>
      <c r="X6212">
        <v>0.99066500000000002</v>
      </c>
      <c r="Y6212">
        <v>2.3670549999999999E-2</v>
      </c>
      <c r="Z6212">
        <v>2.6811750000000001E-3</v>
      </c>
      <c r="AA6212">
        <v>0.99971620000000005</v>
      </c>
      <c r="AB6212">
        <v>27</v>
      </c>
      <c r="AC6212">
        <v>17.204599999999999</v>
      </c>
      <c r="AD6212">
        <v>-1.1045046373680001</v>
      </c>
      <c r="AE6212">
        <v>-1.3424399999999901</v>
      </c>
      <c r="AF6212">
        <v>0.40842985915188301</v>
      </c>
      <c r="AG6212">
        <v>-1.1045046373680001</v>
      </c>
      <c r="AH6212">
        <v>17.181636741967299</v>
      </c>
      <c r="AI6212">
        <v>93.677105982676906</v>
      </c>
      <c r="AJ6212">
        <v>88.638261233637706</v>
      </c>
      <c r="AK6212">
        <v>17.221944912719199</v>
      </c>
    </row>
    <row r="6213" spans="1:37" x14ac:dyDescent="0.2">
      <c r="A6213" t="str">
        <f>"20200111155720208"</f>
        <v>20200111155720208</v>
      </c>
      <c r="B6213" t="str">
        <f>"1578729440199088"</f>
        <v>1578729440199088</v>
      </c>
      <c r="C6213" t="s">
        <v>37</v>
      </c>
      <c r="D6213">
        <v>4.8448919999999998</v>
      </c>
      <c r="E6213">
        <v>0.55550529999999998</v>
      </c>
      <c r="F6213" t="s">
        <v>100</v>
      </c>
      <c r="G6213">
        <v>-225.6463</v>
      </c>
      <c r="H6213" s="1">
        <v>-2.6041589999999999E-6</v>
      </c>
      <c r="I6213">
        <v>-65.425640000000001</v>
      </c>
      <c r="J6213">
        <v>-242.8192</v>
      </c>
      <c r="K6213">
        <v>1.104517</v>
      </c>
      <c r="L6213">
        <v>-64.082520000000002</v>
      </c>
      <c r="M6213">
        <v>0.99841460000000004</v>
      </c>
      <c r="N6213">
        <v>0</v>
      </c>
      <c r="O6213">
        <v>-5.4518240000000003E-2</v>
      </c>
      <c r="P6213">
        <v>0.9965733</v>
      </c>
      <c r="Q6213">
        <v>4.9057299999999998E-2</v>
      </c>
      <c r="R6213">
        <v>6.6598130000000005E-2</v>
      </c>
      <c r="S6213">
        <v>3.0359340000000001</v>
      </c>
      <c r="T6213">
        <v>-0.19376559999999901</v>
      </c>
      <c r="U6213">
        <v>-0.23696900000000001</v>
      </c>
      <c r="V6213">
        <v>-0.1207302</v>
      </c>
      <c r="W6213">
        <v>6.3138250000000007E-2</v>
      </c>
      <c r="X6213">
        <v>0.99067539999999998</v>
      </c>
      <c r="Y6213">
        <v>2.3406799999999998E-2</v>
      </c>
      <c r="Z6213">
        <v>2.7229120000000001E-3</v>
      </c>
      <c r="AA6213">
        <v>0.99972229999999995</v>
      </c>
      <c r="AB6213">
        <v>27</v>
      </c>
      <c r="AC6213">
        <v>17.172899999999998</v>
      </c>
      <c r="AD6213">
        <v>-1.104519604159</v>
      </c>
      <c r="AE6213">
        <v>-1.3431199999999901</v>
      </c>
      <c r="AF6213">
        <v>0.40313647859648499</v>
      </c>
      <c r="AG6213">
        <v>-1.104519604159</v>
      </c>
      <c r="AH6213">
        <v>17.150072464930702</v>
      </c>
      <c r="AI6213">
        <v>93.683927758465003</v>
      </c>
      <c r="AJ6213">
        <v>88.653430417186598</v>
      </c>
      <c r="AK6213">
        <v>17.1903306579228</v>
      </c>
    </row>
    <row r="6214" spans="1:37" x14ac:dyDescent="0.2">
      <c r="A6214" t="str">
        <f>"20200111155720219"</f>
        <v>20200111155720219</v>
      </c>
      <c r="B6214" t="str">
        <f>"1578729440209825"</f>
        <v>1578729440209825</v>
      </c>
      <c r="C6214" t="s">
        <v>37</v>
      </c>
      <c r="D6214">
        <v>4.8442720000000001</v>
      </c>
      <c r="E6214">
        <v>0.55554630000000005</v>
      </c>
      <c r="F6214" t="s">
        <v>100</v>
      </c>
      <c r="G6214">
        <v>-225.52719999999999</v>
      </c>
      <c r="H6214" s="1">
        <v>-2.56570499999999E-6</v>
      </c>
      <c r="I6214">
        <v>-65.441329999999994</v>
      </c>
      <c r="J6214">
        <v>-242.6919</v>
      </c>
      <c r="K6214">
        <v>1.104533</v>
      </c>
      <c r="L6214">
        <v>-64.089939999999999</v>
      </c>
      <c r="M6214">
        <v>0.99839140000000004</v>
      </c>
      <c r="N6214">
        <v>0</v>
      </c>
      <c r="O6214">
        <v>-5.4942629999999999E-2</v>
      </c>
      <c r="P6214">
        <v>0.99660590000000004</v>
      </c>
      <c r="Q6214">
        <v>4.8917049999999997E-2</v>
      </c>
      <c r="R6214">
        <v>6.6211279999999997E-2</v>
      </c>
      <c r="S6214">
        <v>3.035828</v>
      </c>
      <c r="T6214">
        <v>-0.19391240000000001</v>
      </c>
      <c r="U6214">
        <v>-0.23855589999999999</v>
      </c>
      <c r="V6214">
        <v>-0.12077010000000001</v>
      </c>
      <c r="W6214">
        <v>6.2991690000000003E-2</v>
      </c>
      <c r="X6214">
        <v>0.99067989999999995</v>
      </c>
      <c r="Y6214">
        <v>2.3504750000000001E-2</v>
      </c>
      <c r="Z6214">
        <v>2.74886099999999E-3</v>
      </c>
      <c r="AA6214">
        <v>0.99971989999999999</v>
      </c>
      <c r="AB6214">
        <v>27</v>
      </c>
      <c r="AC6214">
        <v>17.1647</v>
      </c>
      <c r="AD6214">
        <v>-1.104535565705</v>
      </c>
      <c r="AE6214">
        <v>-1.3513900000000001</v>
      </c>
      <c r="AF6214">
        <v>0.40451746679487999</v>
      </c>
      <c r="AG6214">
        <v>-1.104535565705</v>
      </c>
      <c r="AH6214">
        <v>17.142477324798101</v>
      </c>
      <c r="AI6214">
        <v>93.685600703479494</v>
      </c>
      <c r="AJ6214">
        <v>88.648220871026197</v>
      </c>
      <c r="AK6214">
        <v>17.1827867945821</v>
      </c>
    </row>
    <row r="6215" spans="1:37" x14ac:dyDescent="0.2">
      <c r="A6215" t="str">
        <f>"20200111155720231"</f>
        <v>20200111155720231</v>
      </c>
      <c r="B6215" t="str">
        <f>"1578729440219584"</f>
        <v>1578729440219584</v>
      </c>
      <c r="C6215" t="s">
        <v>37</v>
      </c>
      <c r="D6215">
        <v>4.8704599999999996</v>
      </c>
      <c r="E6215">
        <v>0.5555561</v>
      </c>
      <c r="F6215" t="s">
        <v>40</v>
      </c>
      <c r="G6215">
        <v>-241.73759999999999</v>
      </c>
      <c r="H6215">
        <v>1.0434920000000001</v>
      </c>
      <c r="I6215">
        <v>-64.165530000000004</v>
      </c>
      <c r="J6215">
        <v>-242.5538</v>
      </c>
      <c r="K6215">
        <v>1.1045559999999901</v>
      </c>
      <c r="L6215">
        <v>-64.098050000000001</v>
      </c>
      <c r="M6215">
        <v>0.99836749999999996</v>
      </c>
      <c r="N6215">
        <v>0</v>
      </c>
      <c r="O6215">
        <v>-5.5374630000000001E-2</v>
      </c>
      <c r="P6215">
        <v>0.99662539999999999</v>
      </c>
      <c r="Q6215">
        <v>4.8726079999999998E-2</v>
      </c>
      <c r="R6215">
        <v>6.6059660000000006E-2</v>
      </c>
      <c r="S6215">
        <v>3.0357059999999998</v>
      </c>
      <c r="T6215">
        <v>-0.19416129999999901</v>
      </c>
      <c r="U6215">
        <v>-0.24008179999999901</v>
      </c>
      <c r="V6215">
        <v>-0.1210527</v>
      </c>
      <c r="W6215">
        <v>6.2792280000000006E-2</v>
      </c>
      <c r="X6215">
        <v>0.99065800000000004</v>
      </c>
      <c r="Y6215">
        <v>2.3575579999999999E-2</v>
      </c>
      <c r="Z6215">
        <v>2.7776680000000001E-3</v>
      </c>
      <c r="AA6215">
        <v>0.999718199999999</v>
      </c>
      <c r="AB6215">
        <v>27</v>
      </c>
      <c r="AC6215">
        <v>0.81620000000000903</v>
      </c>
      <c r="AD6215">
        <v>-6.1063999999999702E-2</v>
      </c>
      <c r="AE6215">
        <v>-6.7480000000003301E-2</v>
      </c>
      <c r="AF6215">
        <v>2.20526421027048E-2</v>
      </c>
      <c r="AG6215">
        <v>-6.1063999999999702E-2</v>
      </c>
      <c r="AH6215">
        <v>0.814158324886044</v>
      </c>
      <c r="AI6215">
        <v>94.287735336949098</v>
      </c>
      <c r="AJ6215">
        <v>88.4484412774231</v>
      </c>
      <c r="AK6215">
        <v>0.81674286596269696</v>
      </c>
    </row>
    <row r="6216" spans="1:37" x14ac:dyDescent="0.2">
      <c r="A6216" t="str">
        <f>"20200111155720243"</f>
        <v>20200111155720243</v>
      </c>
      <c r="B6216" t="str">
        <f>"1578729440239103"</f>
        <v>1578729440239103</v>
      </c>
      <c r="C6216" t="s">
        <v>37</v>
      </c>
      <c r="D6216">
        <v>4.833488</v>
      </c>
      <c r="E6216">
        <v>0.55558180000000001</v>
      </c>
      <c r="F6216" t="s">
        <v>100</v>
      </c>
      <c r="G6216">
        <v>-225.328</v>
      </c>
      <c r="H6216" s="1">
        <v>-2.5009000000000001E-6</v>
      </c>
      <c r="I6216">
        <v>-65.463700000000003</v>
      </c>
      <c r="J6216">
        <v>-242.4117</v>
      </c>
      <c r="K6216">
        <v>1.1045849999999999</v>
      </c>
      <c r="L6216">
        <v>-64.106409999999997</v>
      </c>
      <c r="M6216">
        <v>0.99834349999999905</v>
      </c>
      <c r="N6216">
        <v>0</v>
      </c>
      <c r="O6216">
        <v>-5.5806109999999999E-2</v>
      </c>
      <c r="P6216">
        <v>0.99668230000000002</v>
      </c>
      <c r="Q6216">
        <v>4.8359760000000002E-2</v>
      </c>
      <c r="R6216">
        <v>6.5465449999999994E-2</v>
      </c>
      <c r="S6216">
        <v>3.0356290000000001</v>
      </c>
      <c r="T6216">
        <v>-0.19465099999999999</v>
      </c>
      <c r="U6216">
        <v>-0.2406616</v>
      </c>
      <c r="V6216">
        <v>-0.1208958</v>
      </c>
      <c r="W6216">
        <v>6.2416310000000003E-2</v>
      </c>
      <c r="X6216">
        <v>0.99070100000000005</v>
      </c>
      <c r="Y6216">
        <v>2.333694E-2</v>
      </c>
      <c r="Z6216">
        <v>2.8198699999999999E-3</v>
      </c>
      <c r="AA6216">
        <v>0.99972369999999899</v>
      </c>
      <c r="AB6216">
        <v>27</v>
      </c>
      <c r="AC6216">
        <v>17.083699999999901</v>
      </c>
      <c r="AD6216">
        <v>-1.1045875008999999</v>
      </c>
      <c r="AE6216">
        <v>-1.3572900000000001</v>
      </c>
      <c r="AF6216">
        <v>0.40004423771224001</v>
      </c>
      <c r="AG6216">
        <v>-1.1045875008999999</v>
      </c>
      <c r="AH6216">
        <v>17.061943087123499</v>
      </c>
      <c r="AI6216">
        <v>93.7031355729479</v>
      </c>
      <c r="AJ6216">
        <v>88.656855932414899</v>
      </c>
      <c r="AK6216">
        <v>17.102340507881099</v>
      </c>
    </row>
    <row r="6217" spans="1:37" x14ac:dyDescent="0.2">
      <c r="A6217" t="str">
        <f>"20200111155720253"</f>
        <v>20200111155720253</v>
      </c>
      <c r="B6217" t="str">
        <f>"1578729440248863"</f>
        <v>1578729440248863</v>
      </c>
      <c r="C6217" t="s">
        <v>37</v>
      </c>
      <c r="D6217">
        <v>4.8360859999999999</v>
      </c>
      <c r="E6217">
        <v>0.55556430000000001</v>
      </c>
      <c r="F6217" t="s">
        <v>40</v>
      </c>
      <c r="G6217">
        <v>-241.49860000000001</v>
      </c>
      <c r="H6217">
        <v>1.045639</v>
      </c>
      <c r="I6217">
        <v>-64.179649999999995</v>
      </c>
      <c r="J6217">
        <v>-242.28450000000001</v>
      </c>
      <c r="K6217">
        <v>1.1046119999999999</v>
      </c>
      <c r="L6217">
        <v>-64.113950000000003</v>
      </c>
      <c r="M6217">
        <v>0.99832310000000002</v>
      </c>
      <c r="N6217">
        <v>0</v>
      </c>
      <c r="O6217">
        <v>-5.6172989999999999E-2</v>
      </c>
      <c r="P6217">
        <v>0.99670110000000001</v>
      </c>
      <c r="Q6217">
        <v>4.8138920000000002E-2</v>
      </c>
      <c r="R6217">
        <v>6.5344369999999999E-2</v>
      </c>
      <c r="S6217">
        <v>3.0354459999999999</v>
      </c>
      <c r="T6217">
        <v>-0.19589019999999999</v>
      </c>
      <c r="U6217">
        <v>-0.24276729999999899</v>
      </c>
      <c r="V6217">
        <v>-0.12114510000000001</v>
      </c>
      <c r="W6217">
        <v>6.2186449999999997E-2</v>
      </c>
      <c r="X6217">
        <v>0.99068500000000004</v>
      </c>
      <c r="Y6217">
        <v>2.3664379999999999E-2</v>
      </c>
      <c r="Z6217">
        <v>2.8508840000000001E-3</v>
      </c>
      <c r="AA6217">
        <v>0.99971589999999999</v>
      </c>
      <c r="AB6217">
        <v>27</v>
      </c>
      <c r="AC6217">
        <v>0.78589999999999705</v>
      </c>
      <c r="AD6217">
        <v>-5.8973000000000102E-2</v>
      </c>
      <c r="AE6217">
        <v>-6.5699999999992501E-2</v>
      </c>
      <c r="AF6217">
        <v>2.1326320804982798E-2</v>
      </c>
      <c r="AG6217">
        <v>-5.8973000000000102E-2</v>
      </c>
      <c r="AH6217">
        <v>0.78396605014423104</v>
      </c>
      <c r="AI6217">
        <v>94.300326187921101</v>
      </c>
      <c r="AJ6217">
        <v>88.441760455997596</v>
      </c>
      <c r="AK6217">
        <v>0.78647021206579903</v>
      </c>
    </row>
    <row r="6218" spans="1:37" x14ac:dyDescent="0.2">
      <c r="A6218" t="str">
        <f>"20200111155720265"</f>
        <v>20200111155720265</v>
      </c>
      <c r="B6218" t="str">
        <f>"1578729440259600"</f>
        <v>1578729440259600</v>
      </c>
      <c r="C6218" t="s">
        <v>37</v>
      </c>
      <c r="D6218">
        <v>4.759379</v>
      </c>
      <c r="E6218">
        <v>0.55562999999999996</v>
      </c>
      <c r="F6218" t="s">
        <v>100</v>
      </c>
      <c r="G6218">
        <v>-225.20249999999999</v>
      </c>
      <c r="H6218" s="1">
        <v>-2.4606199999999999E-6</v>
      </c>
      <c r="I6218">
        <v>-65.481719999999996</v>
      </c>
      <c r="J6218">
        <v>-242.1499</v>
      </c>
      <c r="K6218">
        <v>1.104644</v>
      </c>
      <c r="L6218">
        <v>-64.121949999999998</v>
      </c>
      <c r="M6218">
        <v>0.99830259999999904</v>
      </c>
      <c r="N6218">
        <v>0</v>
      </c>
      <c r="O6218">
        <v>-5.653511E-2</v>
      </c>
      <c r="P6218">
        <v>0.99673809999999996</v>
      </c>
      <c r="Q6218">
        <v>4.7808099999999999E-2</v>
      </c>
      <c r="R6218">
        <v>6.5019900000000005E-2</v>
      </c>
      <c r="S6218">
        <v>3.0353240000000001</v>
      </c>
      <c r="T6218">
        <v>-0.19628129999999999</v>
      </c>
      <c r="U6218">
        <v>-0.24304200000000001</v>
      </c>
      <c r="V6218">
        <v>-0.1211874</v>
      </c>
      <c r="W6218">
        <v>6.1844740000000002E-2</v>
      </c>
      <c r="X6218">
        <v>0.99070119999999895</v>
      </c>
      <c r="Y6218">
        <v>2.3396400000000001E-2</v>
      </c>
      <c r="Z6218">
        <v>2.888612E-3</v>
      </c>
      <c r="AA6218">
        <v>0.99972209999999995</v>
      </c>
      <c r="AB6218">
        <v>27</v>
      </c>
      <c r="AC6218">
        <v>16.947399999999998</v>
      </c>
      <c r="AD6218">
        <v>-1.1046464606199999</v>
      </c>
      <c r="AE6218">
        <v>-1.3597699999999899</v>
      </c>
      <c r="AF6218">
        <v>0.39769904875769402</v>
      </c>
      <c r="AG6218">
        <v>-1.1046464606199999</v>
      </c>
      <c r="AH6218">
        <v>16.9257217234384</v>
      </c>
      <c r="AI6218">
        <v>93.733049475575797</v>
      </c>
      <c r="AJ6218">
        <v>88.653984430974802</v>
      </c>
      <c r="AK6218">
        <v>16.966392197388899</v>
      </c>
    </row>
    <row r="6219" spans="1:37" x14ac:dyDescent="0.2">
      <c r="A6219" t="str">
        <f>"20200111155720276"</f>
        <v>20200111155720276</v>
      </c>
      <c r="B6219" t="str">
        <f>"1578729440269359"</f>
        <v>1578729440269359</v>
      </c>
      <c r="C6219" t="s">
        <v>37</v>
      </c>
      <c r="D6219">
        <v>4.9865269999999997</v>
      </c>
      <c r="E6219">
        <v>0.55562999999999996</v>
      </c>
      <c r="F6219" t="s">
        <v>40</v>
      </c>
      <c r="G6219">
        <v>-241.2576</v>
      </c>
      <c r="H6219">
        <v>1.0466340000000001</v>
      </c>
      <c r="I6219">
        <v>-64.193950000000001</v>
      </c>
      <c r="J6219">
        <v>-242.01859999999999</v>
      </c>
      <c r="K6219">
        <v>1.104676</v>
      </c>
      <c r="L6219">
        <v>-64.129760000000005</v>
      </c>
      <c r="M6219">
        <v>0.99828359999999905</v>
      </c>
      <c r="N6219">
        <v>0</v>
      </c>
      <c r="O6219">
        <v>-5.687002E-2</v>
      </c>
      <c r="P6219">
        <v>0.99678060000000002</v>
      </c>
      <c r="Q6219">
        <v>4.7461150000000001E-2</v>
      </c>
      <c r="R6219">
        <v>6.4623620000000007E-2</v>
      </c>
      <c r="S6219">
        <v>3.0352169999999998</v>
      </c>
      <c r="T6219">
        <v>-0.19730909999999999</v>
      </c>
      <c r="U6219">
        <v>-0.244506799999999</v>
      </c>
      <c r="V6219">
        <v>-0.1211329</v>
      </c>
      <c r="W6219">
        <v>6.1486840000000001E-2</v>
      </c>
      <c r="X6219">
        <v>0.99073009999999995</v>
      </c>
      <c r="Y6219">
        <v>2.35442999999999E-2</v>
      </c>
      <c r="Z6219">
        <v>2.9206089999999998E-3</v>
      </c>
      <c r="AA6219">
        <v>0.99971849999999995</v>
      </c>
      <c r="AB6219">
        <v>27</v>
      </c>
      <c r="AC6219">
        <v>0.76099999999999501</v>
      </c>
      <c r="AD6219">
        <v>-5.8041999999999899E-2</v>
      </c>
      <c r="AE6219">
        <v>-6.4189999999996403E-2</v>
      </c>
      <c r="AF6219">
        <v>2.0684299287501401E-2</v>
      </c>
      <c r="AG6219">
        <v>-5.8041999999999899E-2</v>
      </c>
      <c r="AH6219">
        <v>0.75903471531587097</v>
      </c>
      <c r="AI6219">
        <v>94.371177417484404</v>
      </c>
      <c r="AJ6219">
        <v>88.439030786952102</v>
      </c>
      <c r="AK6219">
        <v>0.76153162314880896</v>
      </c>
    </row>
    <row r="6220" spans="1:37" x14ac:dyDescent="0.2">
      <c r="A6220" t="str">
        <f>"20200111155720286"</f>
        <v>20200111155720286</v>
      </c>
      <c r="B6220" t="str">
        <f>"1578729440279120"</f>
        <v>1578729440279120</v>
      </c>
      <c r="C6220" t="s">
        <v>37</v>
      </c>
      <c r="D6220">
        <v>4.7595789999999996</v>
      </c>
      <c r="E6220">
        <v>0.59048769999999995</v>
      </c>
      <c r="F6220" t="s">
        <v>100</v>
      </c>
      <c r="G6220">
        <v>-225.11340000000001</v>
      </c>
      <c r="H6220" s="1">
        <v>-2.4325640000000001E-6</v>
      </c>
      <c r="I6220">
        <v>-65.49879</v>
      </c>
      <c r="J6220">
        <v>-241.89080000000001</v>
      </c>
      <c r="K6220">
        <v>1.104708</v>
      </c>
      <c r="L6220">
        <v>-64.137389999999996</v>
      </c>
      <c r="M6220">
        <v>0.99826769999999998</v>
      </c>
      <c r="N6220">
        <v>0</v>
      </c>
      <c r="O6220">
        <v>-5.7149499999999999E-2</v>
      </c>
      <c r="P6220">
        <v>0.99682999999999899</v>
      </c>
      <c r="Q6220">
        <v>4.6957249999999999E-2</v>
      </c>
      <c r="R6220">
        <v>6.4227300000000001E-2</v>
      </c>
      <c r="S6220">
        <v>3.0350649999999999</v>
      </c>
      <c r="T6220">
        <v>-0.1983269</v>
      </c>
      <c r="U6220">
        <v>-0.2457886</v>
      </c>
      <c r="V6220">
        <v>-0.121024299999999</v>
      </c>
      <c r="W6220">
        <v>6.0969500000000003E-2</v>
      </c>
      <c r="X6220">
        <v>0.99077530000000003</v>
      </c>
      <c r="Y6220">
        <v>2.3688919999999999E-2</v>
      </c>
      <c r="Z6220">
        <v>2.9491890000000001E-3</v>
      </c>
      <c r="AA6220">
        <v>0.99971499999999902</v>
      </c>
      <c r="AB6220">
        <v>27</v>
      </c>
      <c r="AC6220">
        <v>16.7774</v>
      </c>
      <c r="AD6220">
        <v>-1.104710432564</v>
      </c>
      <c r="AE6220">
        <v>-1.3613999999999999</v>
      </c>
      <c r="AF6220">
        <v>0.398544141148308</v>
      </c>
      <c r="AG6220">
        <v>-1.104710432564</v>
      </c>
      <c r="AH6220">
        <v>16.755614949702998</v>
      </c>
      <c r="AI6220">
        <v>93.771031509652701</v>
      </c>
      <c r="AJ6220">
        <v>88.637436321418207</v>
      </c>
      <c r="AK6220">
        <v>16.7967215525819</v>
      </c>
    </row>
    <row r="6221" spans="1:37" x14ac:dyDescent="0.2">
      <c r="A6221" t="str">
        <f>"20200111155720297"</f>
        <v>20200111155720297</v>
      </c>
      <c r="B6221" t="str">
        <f>"1578729440288879"</f>
        <v>1578729440288879</v>
      </c>
      <c r="C6221" t="s">
        <v>37</v>
      </c>
      <c r="D6221">
        <v>4.7493739999999898</v>
      </c>
      <c r="E6221">
        <v>0.59401389999999998</v>
      </c>
      <c r="F6221" t="s">
        <v>100</v>
      </c>
      <c r="G6221">
        <v>-220.37700000000001</v>
      </c>
      <c r="H6221" s="1">
        <v>-9.3742759999999997E-7</v>
      </c>
      <c r="I6221">
        <v>-67.838390000000004</v>
      </c>
      <c r="J6221">
        <v>-241.76140000000001</v>
      </c>
      <c r="K6221">
        <v>1.1047480000000001</v>
      </c>
      <c r="L6221">
        <v>-64.145110000000003</v>
      </c>
      <c r="M6221">
        <v>0.99825219999999903</v>
      </c>
      <c r="N6221">
        <v>0</v>
      </c>
      <c r="O6221">
        <v>-5.7419499999999998E-2</v>
      </c>
      <c r="P6221">
        <v>0.99686649999999999</v>
      </c>
      <c r="Q6221">
        <v>4.650431E-2</v>
      </c>
      <c r="R6221">
        <v>6.3990089999999999E-2</v>
      </c>
      <c r="S6221">
        <v>3.0507200000000001</v>
      </c>
      <c r="T6221">
        <v>-0.1566505</v>
      </c>
      <c r="U6221">
        <v>-0.52481080000000002</v>
      </c>
      <c r="V6221">
        <v>-0.12106459999999999</v>
      </c>
      <c r="W6221">
        <v>6.0502099999999899E-2</v>
      </c>
      <c r="X6221">
        <v>0.99079910000000004</v>
      </c>
      <c r="Y6221">
        <v>0.1125941</v>
      </c>
      <c r="Z6221" s="1">
        <v>5.268236E-5</v>
      </c>
      <c r="AA6221">
        <v>0.99364110000000005</v>
      </c>
      <c r="AB6221">
        <v>26</v>
      </c>
      <c r="AC6221">
        <v>21.384399999999999</v>
      </c>
      <c r="AD6221">
        <v>-1.1047489374276001</v>
      </c>
      <c r="AE6221">
        <v>-3.6932800000000001</v>
      </c>
      <c r="AF6221">
        <v>2.4528270337461202</v>
      </c>
      <c r="AG6221">
        <v>-1.1047489374276001</v>
      </c>
      <c r="AH6221">
        <v>21.505465255717201</v>
      </c>
      <c r="AI6221">
        <v>92.9218242238817</v>
      </c>
      <c r="AJ6221">
        <v>83.4931913720133</v>
      </c>
      <c r="AK6221">
        <v>21.673067769401801</v>
      </c>
    </row>
    <row r="6222" spans="1:37" x14ac:dyDescent="0.2">
      <c r="A6222" t="str">
        <f>"20200111155720310"</f>
        <v>20200111155720310</v>
      </c>
      <c r="B6222" t="str">
        <f>"1578729440299617"</f>
        <v>1578729440299617</v>
      </c>
      <c r="C6222" t="s">
        <v>37</v>
      </c>
      <c r="D6222">
        <v>4.721622</v>
      </c>
      <c r="E6222">
        <v>0.5956051</v>
      </c>
      <c r="F6222" t="s">
        <v>101</v>
      </c>
      <c r="G6222">
        <v>-218.91</v>
      </c>
      <c r="H6222" s="1">
        <v>-4.2943370000000001E-6</v>
      </c>
      <c r="I6222">
        <v>-68.290400000000005</v>
      </c>
      <c r="J6222">
        <v>-241.63079999999999</v>
      </c>
      <c r="K6222">
        <v>1.104806</v>
      </c>
      <c r="L6222">
        <v>-64.152889999999999</v>
      </c>
      <c r="M6222">
        <v>0.99824099999999905</v>
      </c>
      <c r="N6222">
        <v>0</v>
      </c>
      <c r="O6222">
        <v>-5.7614989999999998E-2</v>
      </c>
      <c r="P6222">
        <v>0.99691749999999901</v>
      </c>
      <c r="Q6222">
        <v>4.562592E-2</v>
      </c>
      <c r="R6222">
        <v>6.3826430000000003E-2</v>
      </c>
      <c r="S6222">
        <v>3.0518489999999998</v>
      </c>
      <c r="T6222">
        <v>-0.147541899999999</v>
      </c>
      <c r="U6222">
        <v>-0.55361939999999998</v>
      </c>
      <c r="V6222">
        <v>-0.12110750000000001</v>
      </c>
      <c r="W6222">
        <v>5.9605360000000003E-2</v>
      </c>
      <c r="X6222">
        <v>0.99084819999999996</v>
      </c>
      <c r="Y6222">
        <v>0.1214276</v>
      </c>
      <c r="Z6222">
        <v>-1.529604E-4</v>
      </c>
      <c r="AA6222">
        <v>0.99260029999999999</v>
      </c>
      <c r="AB6222">
        <v>26</v>
      </c>
      <c r="AC6222">
        <v>22.720800000000001</v>
      </c>
      <c r="AD6222">
        <v>-1.104810294337</v>
      </c>
      <c r="AE6222">
        <v>-4.1375099999999998</v>
      </c>
      <c r="AF6222">
        <v>2.8150068716307901</v>
      </c>
      <c r="AG6222">
        <v>-1.104810294337</v>
      </c>
      <c r="AH6222">
        <v>22.869119378041699</v>
      </c>
      <c r="AI6222">
        <v>92.745130224940297</v>
      </c>
      <c r="AJ6222">
        <v>82.982644269441806</v>
      </c>
      <c r="AK6222">
        <v>23.068192183197201</v>
      </c>
    </row>
    <row r="6223" spans="1:37" x14ac:dyDescent="0.2">
      <c r="A6223" t="str">
        <f>"20200111155720321"</f>
        <v>20200111155720321</v>
      </c>
      <c r="B6223" t="str">
        <f>"1578729440309378"</f>
        <v>1578729440309378</v>
      </c>
      <c r="C6223" t="s">
        <v>37</v>
      </c>
      <c r="D6223">
        <v>4.7293310000000002</v>
      </c>
      <c r="E6223">
        <v>0.59669159999999999</v>
      </c>
      <c r="F6223" t="s">
        <v>101</v>
      </c>
      <c r="G6223">
        <v>-218.32</v>
      </c>
      <c r="H6223" s="1">
        <v>-4.1275809999999998E-6</v>
      </c>
      <c r="I6223">
        <v>-68.482219999999998</v>
      </c>
      <c r="J6223">
        <v>-241.4871</v>
      </c>
      <c r="K6223">
        <v>1.1048750000000001</v>
      </c>
      <c r="L6223">
        <v>-64.161439999999999</v>
      </c>
      <c r="M6223">
        <v>0.99823009999999901</v>
      </c>
      <c r="N6223">
        <v>0</v>
      </c>
      <c r="O6223">
        <v>-5.7804120000000001E-2</v>
      </c>
      <c r="P6223">
        <v>0.99697880000000005</v>
      </c>
      <c r="Q6223">
        <v>4.463462E-2</v>
      </c>
      <c r="R6223">
        <v>6.357003E-2</v>
      </c>
      <c r="S6223">
        <v>3.0521849999999899</v>
      </c>
      <c r="T6223">
        <v>-0.14465729999999999</v>
      </c>
      <c r="U6223">
        <v>-0.56686400000000003</v>
      </c>
      <c r="V6223">
        <v>-0.12105339999999901</v>
      </c>
      <c r="W6223">
        <v>5.8592899999999899E-2</v>
      </c>
      <c r="X6223">
        <v>0.9909152</v>
      </c>
      <c r="Y6223">
        <v>0.125385</v>
      </c>
      <c r="Z6223">
        <v>-2.34066699999999E-4</v>
      </c>
      <c r="AA6223">
        <v>0.99210810000000005</v>
      </c>
      <c r="AB6223">
        <v>26</v>
      </c>
      <c r="AC6223">
        <v>23.167100000000001</v>
      </c>
      <c r="AD6223">
        <v>-1.1048791275809999</v>
      </c>
      <c r="AE6223">
        <v>-4.3207799999999903</v>
      </c>
      <c r="AF6223">
        <v>2.9677461133132401</v>
      </c>
      <c r="AG6223">
        <v>-1.1048791275809999</v>
      </c>
      <c r="AH6223">
        <v>23.326865536643801</v>
      </c>
      <c r="AI6223">
        <v>92.690141400353198</v>
      </c>
      <c r="AJ6223">
        <v>82.749531081535494</v>
      </c>
      <c r="AK6223">
        <v>23.540835385438399</v>
      </c>
    </row>
    <row r="6224" spans="1:37" x14ac:dyDescent="0.2">
      <c r="A6224" t="str">
        <f>"20200111155720330"</f>
        <v>20200111155720330</v>
      </c>
      <c r="B6224" t="str">
        <f>"1578729440319136"</f>
        <v>1578729440319136</v>
      </c>
      <c r="C6224" t="s">
        <v>37</v>
      </c>
      <c r="D6224">
        <v>4.7002610000000002</v>
      </c>
      <c r="E6224">
        <v>0.59750459999999905</v>
      </c>
      <c r="F6224" t="s">
        <v>101</v>
      </c>
      <c r="G6224">
        <v>-217.9247</v>
      </c>
      <c r="H6224" s="1">
        <v>-4.0156549999999998E-6</v>
      </c>
      <c r="I6224">
        <v>-68.609729999999999</v>
      </c>
      <c r="J6224">
        <v>-241.36840000000001</v>
      </c>
      <c r="K6224">
        <v>1.1049359999999999</v>
      </c>
      <c r="L6224">
        <v>-64.168490000000006</v>
      </c>
      <c r="M6224">
        <v>0.99822459999999902</v>
      </c>
      <c r="N6224">
        <v>0</v>
      </c>
      <c r="O6224">
        <v>-5.7897480000000001E-2</v>
      </c>
      <c r="P6224">
        <v>0.99702459999999904</v>
      </c>
      <c r="Q6224">
        <v>4.3791440000000001E-2</v>
      </c>
      <c r="R6224">
        <v>6.3436800000000002E-2</v>
      </c>
      <c r="S6224">
        <v>3.0522459999999998</v>
      </c>
      <c r="T6224">
        <v>-0.14312449999999999</v>
      </c>
      <c r="U6224">
        <v>-0.57623290000000005</v>
      </c>
      <c r="V6224">
        <v>-0.12102549999999999</v>
      </c>
      <c r="W6224">
        <v>5.7729860000000001E-2</v>
      </c>
      <c r="X6224">
        <v>0.99096930000000005</v>
      </c>
      <c r="Y6224">
        <v>0.12822900000000001</v>
      </c>
      <c r="Z6224">
        <v>-2.9331680000000001E-4</v>
      </c>
      <c r="AA6224">
        <v>0.99174449999999903</v>
      </c>
      <c r="AB6224">
        <v>26</v>
      </c>
      <c r="AC6224">
        <v>23.4437</v>
      </c>
      <c r="AD6224">
        <v>-1.104940015655</v>
      </c>
      <c r="AE6224">
        <v>-4.4412399999999899</v>
      </c>
      <c r="AF6224">
        <v>3.0697417927672901</v>
      </c>
      <c r="AG6224">
        <v>-1.104940015655</v>
      </c>
      <c r="AH6224">
        <v>23.610896104083</v>
      </c>
      <c r="AI6224">
        <v>92.657036345196602</v>
      </c>
      <c r="AJ6224">
        <v>82.592311599017805</v>
      </c>
      <c r="AK6224">
        <v>23.835239078940699</v>
      </c>
    </row>
    <row r="6225" spans="1:37" x14ac:dyDescent="0.2">
      <c r="A6225" t="str">
        <f>"20200111155720342"</f>
        <v>20200111155720342</v>
      </c>
      <c r="B6225" t="str">
        <f>"1578729440339631"</f>
        <v>1578729440339631</v>
      </c>
      <c r="C6225" t="s">
        <v>37</v>
      </c>
      <c r="D6225">
        <v>4.6751360000000002</v>
      </c>
      <c r="E6225">
        <v>0.59868310000000002</v>
      </c>
      <c r="F6225" t="s">
        <v>101</v>
      </c>
      <c r="G6225">
        <v>-217.5121</v>
      </c>
      <c r="H6225" s="1">
        <v>-3.8958969999999902E-6</v>
      </c>
      <c r="I6225">
        <v>-68.726150000000004</v>
      </c>
      <c r="J6225">
        <v>-241.24270000000001</v>
      </c>
      <c r="K6225">
        <v>1.105003</v>
      </c>
      <c r="L6225">
        <v>-64.175899999999999</v>
      </c>
      <c r="M6225">
        <v>0.99822049999999996</v>
      </c>
      <c r="N6225">
        <v>0</v>
      </c>
      <c r="O6225">
        <v>-5.7968949999999998E-2</v>
      </c>
      <c r="P6225">
        <v>0.9970734</v>
      </c>
      <c r="Q6225">
        <v>4.2680210000000003E-2</v>
      </c>
      <c r="R6225">
        <v>6.3429040000000006E-2</v>
      </c>
      <c r="S6225">
        <v>3.0522610000000001</v>
      </c>
      <c r="T6225">
        <v>-0.14136969999999999</v>
      </c>
      <c r="U6225">
        <v>-0.58312989999999998</v>
      </c>
      <c r="V6225">
        <v>-0.1211023</v>
      </c>
      <c r="W6225">
        <v>5.6597309999999998E-2</v>
      </c>
      <c r="X6225">
        <v>0.99102520000000005</v>
      </c>
      <c r="Y6225">
        <v>0.13031960000000001</v>
      </c>
      <c r="Z6225">
        <v>-3.3439299999999999E-4</v>
      </c>
      <c r="AA6225">
        <v>0.99147199999999902</v>
      </c>
      <c r="AB6225">
        <v>26</v>
      </c>
      <c r="AC6225">
        <v>23.730599999999999</v>
      </c>
      <c r="AD6225">
        <v>-1.1050068958970001</v>
      </c>
      <c r="AE6225">
        <v>-4.5502500000000001</v>
      </c>
      <c r="AF6225">
        <v>3.1602151437839598</v>
      </c>
      <c r="AG6225">
        <v>-1.1050068958970001</v>
      </c>
      <c r="AH6225">
        <v>23.904492273074599</v>
      </c>
      <c r="AI6225">
        <v>92.623868009411197</v>
      </c>
      <c r="AJ6225">
        <v>82.469069847962501</v>
      </c>
      <c r="AK6225">
        <v>24.1377867839714</v>
      </c>
    </row>
    <row r="6226" spans="1:37" x14ac:dyDescent="0.2">
      <c r="A6226" t="str">
        <f>"20200111155720353"</f>
        <v>20200111155720353</v>
      </c>
      <c r="B6226" t="str">
        <f>"1578729440349391"</f>
        <v>1578729440349391</v>
      </c>
      <c r="C6226" t="s">
        <v>37</v>
      </c>
      <c r="D6226">
        <v>4.6692519999999904</v>
      </c>
      <c r="E6226">
        <v>0.59907679999999996</v>
      </c>
      <c r="F6226" t="s">
        <v>101</v>
      </c>
      <c r="G6226">
        <v>-217.32320000000001</v>
      </c>
      <c r="H6226" s="1">
        <v>-3.8480810000000002E-6</v>
      </c>
      <c r="I6226">
        <v>-68.818849999999998</v>
      </c>
      <c r="J6226">
        <v>-241.11070000000001</v>
      </c>
      <c r="K6226">
        <v>1.105075</v>
      </c>
      <c r="L6226">
        <v>-64.183619999999905</v>
      </c>
      <c r="M6226">
        <v>0.99821970000000004</v>
      </c>
      <c r="N6226">
        <v>0</v>
      </c>
      <c r="O6226">
        <v>-5.7982739999999998E-2</v>
      </c>
      <c r="P6226">
        <v>0.99711340000000004</v>
      </c>
      <c r="Q6226">
        <v>4.1516400000000002E-2</v>
      </c>
      <c r="R6226">
        <v>6.3572190000000001E-2</v>
      </c>
      <c r="S6226">
        <v>3.0525509999999998</v>
      </c>
      <c r="T6226">
        <v>-0.14101849999999999</v>
      </c>
      <c r="U6226">
        <v>-0.59252930000000004</v>
      </c>
      <c r="V6226">
        <v>-0.121272</v>
      </c>
      <c r="W6226">
        <v>5.5409479999999997E-2</v>
      </c>
      <c r="X6226">
        <v>0.99107160000000005</v>
      </c>
      <c r="Y6226">
        <v>0.13322919999999999</v>
      </c>
      <c r="Z6226">
        <v>-3.9941699999999903E-4</v>
      </c>
      <c r="AA6226">
        <v>0.991085199999999</v>
      </c>
      <c r="AB6226">
        <v>26</v>
      </c>
      <c r="AC6226">
        <v>23.787499999999898</v>
      </c>
      <c r="AD6226">
        <v>-1.1050788480810001</v>
      </c>
      <c r="AE6226">
        <v>-4.63523</v>
      </c>
      <c r="AF6226">
        <v>3.2412914602915799</v>
      </c>
      <c r="AG6226">
        <v>-1.1050788480810001</v>
      </c>
      <c r="AH6226">
        <v>23.966429458216201</v>
      </c>
      <c r="AI6226">
        <v>92.616222642405006</v>
      </c>
      <c r="AJ6226">
        <v>82.297879841784507</v>
      </c>
      <c r="AK6226">
        <v>24.2098515188897</v>
      </c>
    </row>
    <row r="6227" spans="1:37" x14ac:dyDescent="0.2">
      <c r="A6227" t="str">
        <f>"20200111155720365"</f>
        <v>20200111155720365</v>
      </c>
      <c r="B6227" t="str">
        <f>"1578729440359152"</f>
        <v>1578729440359152</v>
      </c>
      <c r="C6227" t="s">
        <v>37</v>
      </c>
      <c r="D6227">
        <v>4.6887509999999999</v>
      </c>
      <c r="E6227">
        <v>0.59939259999999905</v>
      </c>
      <c r="F6227" t="s">
        <v>101</v>
      </c>
      <c r="G6227">
        <v>-217.55090000000001</v>
      </c>
      <c r="H6227" s="1">
        <v>-3.9180859999999998E-6</v>
      </c>
      <c r="I6227">
        <v>-68.776730000000001</v>
      </c>
      <c r="J6227">
        <v>-240.97399999999999</v>
      </c>
      <c r="K6227">
        <v>1.1051580000000001</v>
      </c>
      <c r="L6227">
        <v>-64.191590000000005</v>
      </c>
      <c r="M6227">
        <v>0.99822250000000001</v>
      </c>
      <c r="N6227">
        <v>0</v>
      </c>
      <c r="O6227">
        <v>-5.7934670000000001E-2</v>
      </c>
      <c r="P6227">
        <v>0.99711879999999997</v>
      </c>
      <c r="Q6227">
        <v>4.0998649999999998E-2</v>
      </c>
      <c r="R6227">
        <v>6.3821119999999995E-2</v>
      </c>
      <c r="S6227">
        <v>3.0525820000000001</v>
      </c>
      <c r="T6227">
        <v>-0.1431819</v>
      </c>
      <c r="U6227">
        <v>-0.59512330000000002</v>
      </c>
      <c r="V6227">
        <v>-0.1214846</v>
      </c>
      <c r="W6227">
        <v>5.486576E-2</v>
      </c>
      <c r="X6227">
        <v>0.99107579999999995</v>
      </c>
      <c r="Y6227">
        <v>0.13408320000000001</v>
      </c>
      <c r="Z6227">
        <v>-4.275716E-4</v>
      </c>
      <c r="AA6227">
        <v>0.99097000000000002</v>
      </c>
      <c r="AB6227">
        <v>26</v>
      </c>
      <c r="AC6227">
        <v>23.423100000000002</v>
      </c>
      <c r="AD6227">
        <v>-1.105161918086</v>
      </c>
      <c r="AE6227">
        <v>-4.5851399999999902</v>
      </c>
      <c r="AF6227">
        <v>3.2134053476882598</v>
      </c>
      <c r="AG6227">
        <v>-1.105161918086</v>
      </c>
      <c r="AH6227">
        <v>23.598818115344098</v>
      </c>
      <c r="AI6227">
        <v>92.656791370909701</v>
      </c>
      <c r="AJ6227">
        <v>82.245835244334998</v>
      </c>
      <c r="AK6227">
        <v>23.8422224894164</v>
      </c>
    </row>
    <row r="6228" spans="1:37" x14ac:dyDescent="0.2">
      <c r="A6228" t="str">
        <f>"20200111155720375"</f>
        <v>20200111155720375</v>
      </c>
      <c r="B6228" t="str">
        <f>"1578729440368911"</f>
        <v>1578729440368911</v>
      </c>
      <c r="C6228" t="s">
        <v>37</v>
      </c>
      <c r="D6228">
        <v>4.695265</v>
      </c>
      <c r="E6228">
        <v>0.59966919999999901</v>
      </c>
      <c r="F6228" t="s">
        <v>101</v>
      </c>
      <c r="G6228">
        <v>-217.69880000000001</v>
      </c>
      <c r="H6228" s="1">
        <v>-3.9621429999999999E-6</v>
      </c>
      <c r="I6228">
        <v>-68.741399999999999</v>
      </c>
      <c r="J6228">
        <v>-240.84479999999999</v>
      </c>
      <c r="K6228">
        <v>1.10524</v>
      </c>
      <c r="L6228">
        <v>-64.199039999999997</v>
      </c>
      <c r="M6228">
        <v>0.99822809999999995</v>
      </c>
      <c r="N6228">
        <v>0</v>
      </c>
      <c r="O6228">
        <v>-5.7839080000000001E-2</v>
      </c>
      <c r="P6228">
        <v>0.99712029999999996</v>
      </c>
      <c r="Q6228">
        <v>4.0868969999999998E-2</v>
      </c>
      <c r="R6228">
        <v>6.3883930000000005E-2</v>
      </c>
      <c r="S6228">
        <v>3.0528409999999999</v>
      </c>
      <c r="T6228">
        <v>-0.14495549999999999</v>
      </c>
      <c r="U6228">
        <v>-0.59677119999999995</v>
      </c>
      <c r="V6228">
        <v>-0.1214634</v>
      </c>
      <c r="W6228">
        <v>5.471007E-2</v>
      </c>
      <c r="X6228">
        <v>0.99108700000000005</v>
      </c>
      <c r="Y6228">
        <v>0.13467479999999901</v>
      </c>
      <c r="Z6228">
        <v>-4.5119689999999999E-4</v>
      </c>
      <c r="AA6228">
        <v>0.99088969999999899</v>
      </c>
      <c r="AB6228">
        <v>26</v>
      </c>
      <c r="AC6228">
        <v>23.145999999999901</v>
      </c>
      <c r="AD6228">
        <v>-1.1052439621429999</v>
      </c>
      <c r="AE6228">
        <v>-4.5423600000000004</v>
      </c>
      <c r="AF6228">
        <v>3.1888786539823899</v>
      </c>
      <c r="AG6228">
        <v>-1.1052439621429999</v>
      </c>
      <c r="AH6228">
        <v>23.3187970864752</v>
      </c>
      <c r="AI6228">
        <v>92.688638088057502</v>
      </c>
      <c r="AJ6228">
        <v>82.213022262553906</v>
      </c>
      <c r="AK6228">
        <v>23.561765826140501</v>
      </c>
    </row>
    <row r="6229" spans="1:37" x14ac:dyDescent="0.2">
      <c r="A6229" t="str">
        <f>"20200111155720387"</f>
        <v>20200111155720387</v>
      </c>
      <c r="B6229" t="str">
        <f>"1578729440379648"</f>
        <v>1578729440379648</v>
      </c>
      <c r="C6229" t="s">
        <v>37</v>
      </c>
      <c r="D6229">
        <v>4.6385239999999897</v>
      </c>
      <c r="E6229">
        <v>0.5999932</v>
      </c>
      <c r="F6229" t="s">
        <v>101</v>
      </c>
      <c r="G6229">
        <v>-217.7167</v>
      </c>
      <c r="H6229" s="1">
        <v>-3.9672150000000001E-6</v>
      </c>
      <c r="I6229">
        <v>-68.735559999999893</v>
      </c>
      <c r="J6229">
        <v>-240.7175</v>
      </c>
      <c r="K6229">
        <v>1.1053360000000001</v>
      </c>
      <c r="L6229">
        <v>-64.206329999999994</v>
      </c>
      <c r="M6229">
        <v>0.99823919999999999</v>
      </c>
      <c r="N6229">
        <v>0</v>
      </c>
      <c r="O6229">
        <v>-5.7648739999999997E-2</v>
      </c>
      <c r="P6229">
        <v>0.99712060000000002</v>
      </c>
      <c r="Q6229">
        <v>4.0284859999999999E-2</v>
      </c>
      <c r="R6229">
        <v>6.4250399999999999E-2</v>
      </c>
      <c r="S6229">
        <v>3.0530089999999999</v>
      </c>
      <c r="T6229">
        <v>-0.14589649999999901</v>
      </c>
      <c r="U6229">
        <v>-0.5988464</v>
      </c>
      <c r="V6229">
        <v>-0.121652199999999</v>
      </c>
      <c r="W6229">
        <v>5.4098239999999999E-2</v>
      </c>
      <c r="X6229">
        <v>0.99109749999999996</v>
      </c>
      <c r="Y6229">
        <v>0.13549990000000001</v>
      </c>
      <c r="Z6229">
        <v>-4.8256919999999998E-4</v>
      </c>
      <c r="AA6229">
        <v>0.99077729999999997</v>
      </c>
      <c r="AB6229">
        <v>26</v>
      </c>
      <c r="AC6229">
        <v>23.000800000000002</v>
      </c>
      <c r="AD6229">
        <v>-1.1053399672149999</v>
      </c>
      <c r="AE6229">
        <v>-4.5292299999999797</v>
      </c>
      <c r="AF6229">
        <v>3.1885107887089301</v>
      </c>
      <c r="AG6229">
        <v>-1.1053399672149999</v>
      </c>
      <c r="AH6229">
        <v>23.1721534577649</v>
      </c>
      <c r="AI6229">
        <v>92.705553411074902</v>
      </c>
      <c r="AJ6229">
        <v>82.165245768409903</v>
      </c>
      <c r="AK6229">
        <v>23.416598244899799</v>
      </c>
    </row>
    <row r="6230" spans="1:37" x14ac:dyDescent="0.2">
      <c r="A6230" t="str">
        <f>"20200111155720399"</f>
        <v>20200111155720399</v>
      </c>
      <c r="B6230" t="str">
        <f>"1578729440389407"</f>
        <v>1578729440389407</v>
      </c>
      <c r="C6230" t="s">
        <v>37</v>
      </c>
      <c r="D6230">
        <v>4.6726609999999997</v>
      </c>
      <c r="E6230">
        <v>0.60023130000000002</v>
      </c>
      <c r="F6230" t="s">
        <v>101</v>
      </c>
      <c r="G6230">
        <v>-217.7456</v>
      </c>
      <c r="H6230" s="1">
        <v>-3.9747649999999997E-6</v>
      </c>
      <c r="I6230">
        <v>-68.722809999999996</v>
      </c>
      <c r="J6230">
        <v>-240.57689999999999</v>
      </c>
      <c r="K6230">
        <v>1.10544</v>
      </c>
      <c r="L6230">
        <v>-64.214290000000005</v>
      </c>
      <c r="M6230">
        <v>0.99825339999999996</v>
      </c>
      <c r="N6230">
        <v>0</v>
      </c>
      <c r="O6230">
        <v>-5.740137E-2</v>
      </c>
      <c r="P6230">
        <v>0.9971238</v>
      </c>
      <c r="Q6230">
        <v>3.958337E-2</v>
      </c>
      <c r="R6230">
        <v>6.4633280000000001E-2</v>
      </c>
      <c r="S6230">
        <v>3.053299</v>
      </c>
      <c r="T6230">
        <v>-0.1469152</v>
      </c>
      <c r="U6230">
        <v>-0.60031129999999999</v>
      </c>
      <c r="V6230">
        <v>-0.1218016</v>
      </c>
      <c r="W6230">
        <v>5.336544E-2</v>
      </c>
      <c r="X6230">
        <v>0.99111879999999997</v>
      </c>
      <c r="Y6230">
        <v>0.1361831</v>
      </c>
      <c r="Z6230">
        <v>-5.1388490000000002E-4</v>
      </c>
      <c r="AA6230">
        <v>0.990683599999999</v>
      </c>
      <c r="AB6230">
        <v>26</v>
      </c>
      <c r="AC6230">
        <v>22.831299999999999</v>
      </c>
      <c r="AD6230">
        <v>-1.105443974765</v>
      </c>
      <c r="AE6230">
        <v>-4.5085199999999901</v>
      </c>
      <c r="AF6230">
        <v>3.18322662354639</v>
      </c>
      <c r="AG6230">
        <v>-1.105443974765</v>
      </c>
      <c r="AH6230">
        <v>23.0005720503387</v>
      </c>
      <c r="AI6230">
        <v>92.725668607759303</v>
      </c>
      <c r="AJ6230">
        <v>82.120448721385799</v>
      </c>
      <c r="AK6230">
        <v>23.246101883133498</v>
      </c>
    </row>
    <row r="6231" spans="1:37" x14ac:dyDescent="0.2">
      <c r="A6231" t="str">
        <f>"20200111155720408"</f>
        <v>20200111155720408</v>
      </c>
      <c r="B6231" t="str">
        <f>"1578729440399169"</f>
        <v>1578729440399169</v>
      </c>
      <c r="C6231" t="s">
        <v>37</v>
      </c>
      <c r="D6231">
        <v>4.6974980000000004</v>
      </c>
      <c r="E6231">
        <v>0.60029650000000001</v>
      </c>
      <c r="F6231" t="s">
        <v>101</v>
      </c>
      <c r="G6231">
        <v>-217.977</v>
      </c>
      <c r="H6231" s="1">
        <v>-4.0429900000000002E-6</v>
      </c>
      <c r="I6231">
        <v>-68.663390000000007</v>
      </c>
      <c r="J6231">
        <v>-240.45529999999999</v>
      </c>
      <c r="K6231">
        <v>1.1055489999999999</v>
      </c>
      <c r="L6231">
        <v>-64.220979999999997</v>
      </c>
      <c r="M6231">
        <v>0.99827369999999904</v>
      </c>
      <c r="N6231">
        <v>0</v>
      </c>
      <c r="O6231">
        <v>-5.7046119999999999E-2</v>
      </c>
      <c r="P6231">
        <v>0.99708439999999998</v>
      </c>
      <c r="Q6231">
        <v>3.9113040000000002E-2</v>
      </c>
      <c r="R6231">
        <v>6.5523209999999998E-2</v>
      </c>
      <c r="S6231">
        <v>3.053528</v>
      </c>
      <c r="T6231">
        <v>-0.14935899999999999</v>
      </c>
      <c r="U6231">
        <v>-0.60113530000000004</v>
      </c>
      <c r="V6231">
        <v>-0.1223489</v>
      </c>
      <c r="W6231">
        <v>5.2862140000000002E-2</v>
      </c>
      <c r="X6231">
        <v>0.99107839999999903</v>
      </c>
      <c r="Y6231">
        <v>0.13677500000000001</v>
      </c>
      <c r="Z6231">
        <v>-5.5383940000000001E-4</v>
      </c>
      <c r="AA6231">
        <v>0.99060199999999998</v>
      </c>
      <c r="AB6231">
        <v>26</v>
      </c>
      <c r="AC6231">
        <v>22.478299999999901</v>
      </c>
      <c r="AD6231">
        <v>-1.10555304298999</v>
      </c>
      <c r="AE6231">
        <v>-4.44240999999999</v>
      </c>
      <c r="AF6231">
        <v>3.1454265316191399</v>
      </c>
      <c r="AG6231">
        <v>-1.10555304298999</v>
      </c>
      <c r="AH6231">
        <v>22.6424222271548</v>
      </c>
      <c r="AI6231">
        <v>92.768792998748907</v>
      </c>
      <c r="AJ6231">
        <v>82.091234388817895</v>
      </c>
      <c r="AK6231">
        <v>22.8865733544677</v>
      </c>
    </row>
    <row r="6232" spans="1:37" x14ac:dyDescent="0.2">
      <c r="A6232" t="str">
        <f>"20200111155720419"</f>
        <v>20200111155720419</v>
      </c>
      <c r="B6232" t="str">
        <f>"1578729440408928"</f>
        <v>1578729440408928</v>
      </c>
      <c r="C6232" t="s">
        <v>37</v>
      </c>
      <c r="D6232">
        <v>4.7183999999999999</v>
      </c>
      <c r="E6232">
        <v>0.60035399999999906</v>
      </c>
      <c r="F6232" t="s">
        <v>101</v>
      </c>
      <c r="G6232">
        <v>-218.15469999999999</v>
      </c>
      <c r="H6232" s="1">
        <v>-4.0912459999999999E-6</v>
      </c>
      <c r="I6232">
        <v>-68.594560000000001</v>
      </c>
      <c r="J6232">
        <v>-240.3297</v>
      </c>
      <c r="K6232">
        <v>1.105661</v>
      </c>
      <c r="L6232">
        <v>-64.22784</v>
      </c>
      <c r="M6232">
        <v>0.9982955</v>
      </c>
      <c r="N6232">
        <v>0</v>
      </c>
      <c r="O6232">
        <v>-5.6663650000000003E-2</v>
      </c>
      <c r="P6232">
        <v>0.99703199999999903</v>
      </c>
      <c r="Q6232">
        <v>3.9310070000000003E-2</v>
      </c>
      <c r="R6232">
        <v>6.6195660000000003E-2</v>
      </c>
      <c r="S6232">
        <v>3.0540620000000001</v>
      </c>
      <c r="T6232">
        <v>-0.15140509999999999</v>
      </c>
      <c r="U6232">
        <v>-0.59896850000000001</v>
      </c>
      <c r="V6232">
        <v>-0.122651199999999</v>
      </c>
      <c r="W6232">
        <v>5.3025469999999998E-2</v>
      </c>
      <c r="X6232">
        <v>0.99103229999999998</v>
      </c>
      <c r="Y6232">
        <v>0.13644229999999999</v>
      </c>
      <c r="Z6232">
        <v>-5.7188119999999996E-4</v>
      </c>
      <c r="AA6232">
        <v>0.99064789999999903</v>
      </c>
      <c r="AB6232">
        <v>26</v>
      </c>
      <c r="AC6232">
        <v>22.175000000000001</v>
      </c>
      <c r="AD6232">
        <v>-1.105665091246</v>
      </c>
      <c r="AE6232">
        <v>-4.3667199999999999</v>
      </c>
      <c r="AF6232">
        <v>3.0956547228089599</v>
      </c>
      <c r="AG6232">
        <v>-1.105665091246</v>
      </c>
      <c r="AH6232">
        <v>22.333372993759699</v>
      </c>
      <c r="AI6232">
        <v>92.807447597461504</v>
      </c>
      <c r="AJ6232">
        <v>82.108449468703697</v>
      </c>
      <c r="AK6232">
        <v>22.573992175404999</v>
      </c>
    </row>
    <row r="6233" spans="1:37" x14ac:dyDescent="0.2">
      <c r="A6233" t="str">
        <f>"20200111155720430"</f>
        <v>20200111155720430</v>
      </c>
      <c r="B6233" t="str">
        <f>"1578729440419664"</f>
        <v>1578729440419664</v>
      </c>
      <c r="C6233" t="s">
        <v>37</v>
      </c>
      <c r="D6233">
        <v>4.6999379999999897</v>
      </c>
      <c r="E6233">
        <v>0.60037929999999995</v>
      </c>
      <c r="F6233" t="s">
        <v>101</v>
      </c>
      <c r="G6233">
        <v>-217.97219999999999</v>
      </c>
      <c r="H6233" s="1">
        <v>-4.0301190000000001E-6</v>
      </c>
      <c r="I6233">
        <v>-68.600070000000002</v>
      </c>
      <c r="J6233">
        <v>-240.196</v>
      </c>
      <c r="K6233">
        <v>1.105791</v>
      </c>
      <c r="L6233">
        <v>-64.234949999999998</v>
      </c>
      <c r="M6233">
        <v>0.99832589999999999</v>
      </c>
      <c r="N6233">
        <v>0</v>
      </c>
      <c r="O6233">
        <v>-5.612412E-2</v>
      </c>
      <c r="P6233">
        <v>0.99696799999999997</v>
      </c>
      <c r="Q6233">
        <v>3.9643449999999997E-2</v>
      </c>
      <c r="R6233">
        <v>6.6955650000000005E-2</v>
      </c>
      <c r="S6233">
        <v>3.054535</v>
      </c>
      <c r="T6233">
        <v>-0.15105869999999999</v>
      </c>
      <c r="U6233">
        <v>-0.59735109999999902</v>
      </c>
      <c r="V6233">
        <v>-0.12288689999999999</v>
      </c>
      <c r="W6233">
        <v>5.3320689999999997E-2</v>
      </c>
      <c r="X6233">
        <v>0.99098719999999996</v>
      </c>
      <c r="Y6233">
        <v>0.13644339999999999</v>
      </c>
      <c r="Z6233">
        <v>-5.9684509999999996E-4</v>
      </c>
      <c r="AA6233">
        <v>0.99064769999999902</v>
      </c>
      <c r="AB6233">
        <v>26</v>
      </c>
      <c r="AC6233">
        <v>22.223800000000001</v>
      </c>
      <c r="AD6233">
        <v>-1.1057950301189901</v>
      </c>
      <c r="AE6233">
        <v>-4.3651200000000001</v>
      </c>
      <c r="AF6233">
        <v>3.1034271997839502</v>
      </c>
      <c r="AG6233">
        <v>-1.1057950301189901</v>
      </c>
      <c r="AH6233">
        <v>22.380425606572</v>
      </c>
      <c r="AI6233">
        <v>92.801862088415007</v>
      </c>
      <c r="AJ6233">
        <v>82.105308556947406</v>
      </c>
      <c r="AK6233">
        <v>22.6216156223268</v>
      </c>
    </row>
    <row r="6234" spans="1:37" x14ac:dyDescent="0.2">
      <c r="A6234" t="str">
        <f>"20200111155720443"</f>
        <v>20200111155720443</v>
      </c>
      <c r="B6234" t="str">
        <f>"1578729440439183"</f>
        <v>1578729440439183</v>
      </c>
      <c r="C6234" t="s">
        <v>37</v>
      </c>
      <c r="D6234">
        <v>4.7074350000000003</v>
      </c>
      <c r="E6234">
        <v>0.60042390000000001</v>
      </c>
      <c r="F6234" t="s">
        <v>101</v>
      </c>
      <c r="G6234">
        <v>-217.78200000000001</v>
      </c>
      <c r="H6234" s="1">
        <v>-3.9657339999999997E-6</v>
      </c>
      <c r="I6234">
        <v>-68.601959999999906</v>
      </c>
      <c r="J6234">
        <v>-240.0651</v>
      </c>
      <c r="K6234">
        <v>1.105917</v>
      </c>
      <c r="L6234">
        <v>-64.241789999999995</v>
      </c>
      <c r="M6234">
        <v>0.99835849999999904</v>
      </c>
      <c r="N6234">
        <v>0</v>
      </c>
      <c r="O6234">
        <v>-5.5542920000000003E-2</v>
      </c>
      <c r="P6234">
        <v>0.99693050000000005</v>
      </c>
      <c r="Q6234">
        <v>3.9487309999999998E-2</v>
      </c>
      <c r="R6234">
        <v>6.7603289999999996E-2</v>
      </c>
      <c r="S6234">
        <v>3.0550989999999998</v>
      </c>
      <c r="T6234">
        <v>-0.15072349999999901</v>
      </c>
      <c r="U6234">
        <v>-0.59524540000000004</v>
      </c>
      <c r="V6234">
        <v>-0.12297039999999999</v>
      </c>
      <c r="W6234">
        <v>5.312737E-2</v>
      </c>
      <c r="X6234">
        <v>0.99098719999999996</v>
      </c>
      <c r="Y6234">
        <v>0.136327799999999</v>
      </c>
      <c r="Z6234">
        <v>-6.2090089999999995E-4</v>
      </c>
      <c r="AA6234">
        <v>0.99066359999999998</v>
      </c>
      <c r="AB6234">
        <v>26</v>
      </c>
      <c r="AC6234">
        <v>22.283099999999902</v>
      </c>
      <c r="AD6234">
        <v>-1.1059209657339999</v>
      </c>
      <c r="AE6234">
        <v>-4.3601699999999797</v>
      </c>
      <c r="AF6234">
        <v>3.1082746558650598</v>
      </c>
      <c r="AG6234">
        <v>-1.1059209657339999</v>
      </c>
      <c r="AH6234">
        <v>22.437665018567198</v>
      </c>
      <c r="AI6234">
        <v>92.795095803700306</v>
      </c>
      <c r="AJ6234">
        <v>82.113049729344198</v>
      </c>
      <c r="AK6234">
        <v>22.678916288133799</v>
      </c>
    </row>
    <row r="6235" spans="1:37" x14ac:dyDescent="0.2">
      <c r="A6235" t="str">
        <f>"20200111155720452"</f>
        <v>20200111155720452</v>
      </c>
      <c r="B6235" t="str">
        <f>"1578729440448944"</f>
        <v>1578729440448944</v>
      </c>
      <c r="C6235" t="s">
        <v>37</v>
      </c>
      <c r="D6235">
        <v>4.7027830000000002</v>
      </c>
      <c r="E6235">
        <v>0.60049189999999997</v>
      </c>
      <c r="F6235" t="s">
        <v>101</v>
      </c>
      <c r="G6235">
        <v>-217.79509999999999</v>
      </c>
      <c r="H6235" s="1">
        <v>-3.9641969999999901E-6</v>
      </c>
      <c r="I6235">
        <v>-68.568169999999995</v>
      </c>
      <c r="J6235">
        <v>-239.93340000000001</v>
      </c>
      <c r="K6235">
        <v>1.106052</v>
      </c>
      <c r="L6235">
        <v>-64.248469999999998</v>
      </c>
      <c r="M6235">
        <v>0.99839650000000002</v>
      </c>
      <c r="N6235">
        <v>0</v>
      </c>
      <c r="O6235">
        <v>-5.485512E-2</v>
      </c>
      <c r="P6235">
        <v>0.99688679999999996</v>
      </c>
      <c r="Q6235">
        <v>3.9590569999999999E-2</v>
      </c>
      <c r="R6235">
        <v>6.8185140000000005E-2</v>
      </c>
      <c r="S6235">
        <v>3.05549599999999</v>
      </c>
      <c r="T6235">
        <v>-0.15173490000000001</v>
      </c>
      <c r="U6235">
        <v>-0.59359740000000005</v>
      </c>
      <c r="V6235">
        <v>-0.1228831</v>
      </c>
      <c r="W6235">
        <v>5.3193070000000002E-2</v>
      </c>
      <c r="X6235">
        <v>0.99099459999999995</v>
      </c>
      <c r="Y6235">
        <v>0.13646900000000001</v>
      </c>
      <c r="Z6235">
        <v>-6.6217039999999895E-4</v>
      </c>
      <c r="AA6235">
        <v>0.99064409999999903</v>
      </c>
      <c r="AB6235">
        <v>26</v>
      </c>
      <c r="AC6235">
        <v>22.138300000000001</v>
      </c>
      <c r="AD6235">
        <v>-1.106055964197</v>
      </c>
      <c r="AE6235">
        <v>-4.3196999999999903</v>
      </c>
      <c r="AF6235">
        <v>3.0912438105234998</v>
      </c>
      <c r="AG6235">
        <v>-1.106055964197</v>
      </c>
      <c r="AH6235">
        <v>22.288347266045601</v>
      </c>
      <c r="AI6235">
        <v>92.814071456094297</v>
      </c>
      <c r="AJ6235">
        <v>82.103833497863604</v>
      </c>
      <c r="AK6235">
        <v>22.528860866539102</v>
      </c>
    </row>
    <row r="6236" spans="1:37" x14ac:dyDescent="0.2">
      <c r="A6236" t="str">
        <f>"20200111155720465"</f>
        <v>20200111155720465</v>
      </c>
      <c r="B6236" t="str">
        <f>"1578729440459679"</f>
        <v>1578729440459679</v>
      </c>
      <c r="C6236" t="s">
        <v>37</v>
      </c>
      <c r="D6236">
        <v>4.704663</v>
      </c>
      <c r="E6236">
        <v>0.60056100000000001</v>
      </c>
      <c r="F6236" t="s">
        <v>101</v>
      </c>
      <c r="G6236">
        <v>-217.7629</v>
      </c>
      <c r="H6236" s="1">
        <v>-3.9491269999999997E-6</v>
      </c>
      <c r="I6236">
        <v>-68.544979999999995</v>
      </c>
      <c r="J6236">
        <v>-239.8005</v>
      </c>
      <c r="K6236">
        <v>1.10619</v>
      </c>
      <c r="L6236">
        <v>-64.255039999999994</v>
      </c>
      <c r="M6236">
        <v>0.99843969999999904</v>
      </c>
      <c r="N6236">
        <v>0</v>
      </c>
      <c r="O6236">
        <v>-5.406267E-2</v>
      </c>
      <c r="P6236">
        <v>0.99681469999999905</v>
      </c>
      <c r="Q6236">
        <v>3.9995089999999997E-2</v>
      </c>
      <c r="R6236">
        <v>6.8997820000000001E-2</v>
      </c>
      <c r="S6236">
        <v>3.0559080000000001</v>
      </c>
      <c r="T6236">
        <v>-0.15245500000000001</v>
      </c>
      <c r="U6236">
        <v>-0.59222410000000003</v>
      </c>
      <c r="V6236">
        <v>-0.1229218</v>
      </c>
      <c r="W6236">
        <v>5.3558290000000001E-2</v>
      </c>
      <c r="X6236">
        <v>0.99097009999999996</v>
      </c>
      <c r="Y6236">
        <v>0.136799</v>
      </c>
      <c r="Z6236">
        <v>-7.1239559999999999E-4</v>
      </c>
      <c r="AA6236">
        <v>0.990598599999999</v>
      </c>
      <c r="AB6236">
        <v>26</v>
      </c>
      <c r="AC6236">
        <v>22.037600000000001</v>
      </c>
      <c r="AD6236">
        <v>-1.1061939491270001</v>
      </c>
      <c r="AE6236">
        <v>-4.2899399999999996</v>
      </c>
      <c r="AF6236">
        <v>3.0846486591481699</v>
      </c>
      <c r="AG6236">
        <v>-1.1061939491270001</v>
      </c>
      <c r="AH6236">
        <v>22.183459931498799</v>
      </c>
      <c r="AI6236">
        <v>92.827569622544303</v>
      </c>
      <c r="AJ6236">
        <v>82.083683512904898</v>
      </c>
      <c r="AK6236">
        <v>22.424197130240401</v>
      </c>
    </row>
    <row r="6237" spans="1:37" x14ac:dyDescent="0.2">
      <c r="A6237" t="str">
        <f>"20200111155720476"</f>
        <v>20200111155720476</v>
      </c>
      <c r="B6237" t="str">
        <f>"1578729440469440"</f>
        <v>1578729440469440</v>
      </c>
      <c r="C6237" t="s">
        <v>37</v>
      </c>
      <c r="D6237">
        <v>4.7137000000000002</v>
      </c>
      <c r="E6237">
        <v>0.60055630000000004</v>
      </c>
      <c r="F6237" t="s">
        <v>101</v>
      </c>
      <c r="G6237">
        <v>-217.60749999999999</v>
      </c>
      <c r="H6237" s="1">
        <v>-3.8953019999999901E-6</v>
      </c>
      <c r="I6237">
        <v>-68.539749999999998</v>
      </c>
      <c r="J6237">
        <v>-239.66759999999999</v>
      </c>
      <c r="K6237">
        <v>1.106331</v>
      </c>
      <c r="L6237">
        <v>-64.261409999999998</v>
      </c>
      <c r="M6237">
        <v>0.99848630000000005</v>
      </c>
      <c r="N6237">
        <v>0</v>
      </c>
      <c r="O6237">
        <v>-5.3195739999999998E-2</v>
      </c>
      <c r="P6237">
        <v>0.99675820000000004</v>
      </c>
      <c r="Q6237">
        <v>4.0754680000000001E-2</v>
      </c>
      <c r="R6237">
        <v>6.9372149999999994E-2</v>
      </c>
      <c r="S6237">
        <v>3.0565340000000001</v>
      </c>
      <c r="T6237">
        <v>-0.15235000000000001</v>
      </c>
      <c r="U6237">
        <v>-0.59011840000000004</v>
      </c>
      <c r="V6237">
        <v>-0.12245199999999901</v>
      </c>
      <c r="W6237">
        <v>5.4280599999999998E-2</v>
      </c>
      <c r="X6237">
        <v>0.99098899999999901</v>
      </c>
      <c r="Y6237">
        <v>0.13696229999999901</v>
      </c>
      <c r="Z6237">
        <v>-7.5846559999999895E-4</v>
      </c>
      <c r="AA6237">
        <v>0.99057600000000001</v>
      </c>
      <c r="AB6237">
        <v>26</v>
      </c>
      <c r="AC6237">
        <v>22.060099999999998</v>
      </c>
      <c r="AD6237">
        <v>-1.106334895302</v>
      </c>
      <c r="AE6237">
        <v>-4.27834</v>
      </c>
      <c r="AF6237">
        <v>3.0911703359153</v>
      </c>
      <c r="AG6237">
        <v>-1.106334895302</v>
      </c>
      <c r="AH6237">
        <v>22.202652751454298</v>
      </c>
      <c r="AI6237">
        <v>92.825421890148704</v>
      </c>
      <c r="AJ6237">
        <v>82.073929663066906</v>
      </c>
      <c r="AK6237">
        <v>22.444088311799799</v>
      </c>
    </row>
    <row r="6238" spans="1:37" x14ac:dyDescent="0.2">
      <c r="A6238" t="str">
        <f>"20200111155720487"</f>
        <v>20200111155720487</v>
      </c>
      <c r="B6238" t="str">
        <f>"1578729440479200"</f>
        <v>1578729440479200</v>
      </c>
      <c r="C6238" t="s">
        <v>37</v>
      </c>
      <c r="D6238">
        <v>4.6486769999999904</v>
      </c>
      <c r="E6238">
        <v>0.60072099999999995</v>
      </c>
      <c r="F6238" t="s">
        <v>101</v>
      </c>
      <c r="G6238">
        <v>-217.14619999999999</v>
      </c>
      <c r="H6238" s="1">
        <v>-3.749069E-6</v>
      </c>
      <c r="I6238">
        <v>-68.600269999999995</v>
      </c>
      <c r="J6238">
        <v>-239.53980000000001</v>
      </c>
      <c r="K6238">
        <v>1.1064689999999999</v>
      </c>
      <c r="L6238">
        <v>-64.267269999999996</v>
      </c>
      <c r="M6238">
        <v>0.99853780000000003</v>
      </c>
      <c r="N6238">
        <v>0</v>
      </c>
      <c r="O6238">
        <v>-5.2219000000000002E-2</v>
      </c>
      <c r="P6238">
        <v>0.99668310000000004</v>
      </c>
      <c r="Q6238">
        <v>4.1309350000000002E-2</v>
      </c>
      <c r="R6238">
        <v>7.011618E-2</v>
      </c>
      <c r="S6238">
        <v>3.05687</v>
      </c>
      <c r="T6238">
        <v>-0.15016470000000001</v>
      </c>
      <c r="U6238">
        <v>-0.58892819999999901</v>
      </c>
      <c r="V6238">
        <v>-0.12224059999999901</v>
      </c>
      <c r="W6238">
        <v>5.4798140000000002E-2</v>
      </c>
      <c r="X6238">
        <v>0.99098660000000005</v>
      </c>
      <c r="Y6238">
        <v>0.1375402</v>
      </c>
      <c r="Z6238">
        <v>-8.0894750000000003E-4</v>
      </c>
      <c r="AA6238">
        <v>0.99049589999999998</v>
      </c>
      <c r="AB6238">
        <v>26</v>
      </c>
      <c r="AC6238">
        <v>22.393599999999999</v>
      </c>
      <c r="AD6238">
        <v>-1.1064727490690001</v>
      </c>
      <c r="AE6238">
        <v>-4.3329999999999904</v>
      </c>
      <c r="AF6238">
        <v>3.1501882337907698</v>
      </c>
      <c r="AG6238">
        <v>-1.1064727490690001</v>
      </c>
      <c r="AH6238">
        <v>22.5362946444755</v>
      </c>
      <c r="AI6238">
        <v>92.783793020933302</v>
      </c>
      <c r="AJ6238">
        <v>82.042590731591204</v>
      </c>
      <c r="AK6238">
        <v>22.782285753527098</v>
      </c>
    </row>
    <row r="6239" spans="1:37" x14ac:dyDescent="0.2">
      <c r="A6239" t="str">
        <f>"20200111155720500"</f>
        <v>20200111155720500</v>
      </c>
      <c r="B6239" t="str">
        <f>"1578729440488960"</f>
        <v>1578729440488960</v>
      </c>
      <c r="C6239" t="s">
        <v>37</v>
      </c>
      <c r="D6239">
        <v>4.6422689999999998</v>
      </c>
      <c r="E6239">
        <v>0.60072099999999995</v>
      </c>
      <c r="F6239" t="s">
        <v>101</v>
      </c>
      <c r="G6239">
        <v>-216.72579999999999</v>
      </c>
      <c r="H6239" s="1">
        <v>-3.6155029999999998E-6</v>
      </c>
      <c r="I6239">
        <v>-68.653890000000004</v>
      </c>
      <c r="J6239">
        <v>-239.3997</v>
      </c>
      <c r="K6239">
        <v>1.1066199999999999</v>
      </c>
      <c r="L6239">
        <v>-64.273560000000003</v>
      </c>
      <c r="M6239">
        <v>0.99859580000000003</v>
      </c>
      <c r="N6239">
        <v>0</v>
      </c>
      <c r="O6239">
        <v>-5.1096580000000003E-2</v>
      </c>
      <c r="P6239">
        <v>0.99663690000000005</v>
      </c>
      <c r="Q6239">
        <v>4.1270389999999997E-2</v>
      </c>
      <c r="R6239">
        <v>7.0792469999999996E-2</v>
      </c>
      <c r="S6239">
        <v>3.05748</v>
      </c>
      <c r="T6239">
        <v>-0.14828649999999999</v>
      </c>
      <c r="U6239">
        <v>-0.58789060000000004</v>
      </c>
      <c r="V6239">
        <v>-0.1218182</v>
      </c>
      <c r="W6239">
        <v>5.4720060000000001E-2</v>
      </c>
      <c r="X6239">
        <v>0.99104289999999995</v>
      </c>
      <c r="Y6239">
        <v>0.138293</v>
      </c>
      <c r="Z6239">
        <v>-8.7051279999999999E-4</v>
      </c>
      <c r="AA6239">
        <v>0.99039100000000002</v>
      </c>
      <c r="AB6239">
        <v>26</v>
      </c>
      <c r="AC6239">
        <v>22.6739</v>
      </c>
      <c r="AD6239">
        <v>-1.106623615503</v>
      </c>
      <c r="AE6239">
        <v>-4.3803299999999998</v>
      </c>
      <c r="AF6239">
        <v>3.20856695451134</v>
      </c>
      <c r="AG6239">
        <v>-1.106623615503</v>
      </c>
      <c r="AH6239">
        <v>22.8157250414672</v>
      </c>
      <c r="AI6239">
        <v>92.7498064627368</v>
      </c>
      <c r="AJ6239">
        <v>81.995011047709895</v>
      </c>
      <c r="AK6239">
        <v>23.0667905634009</v>
      </c>
    </row>
    <row r="6240" spans="1:37" x14ac:dyDescent="0.2">
      <c r="A6240" t="str">
        <f>"20200111155720512"</f>
        <v>20200111155720512</v>
      </c>
      <c r="B6240" t="str">
        <f>"1578729440509456"</f>
        <v>1578729440509456</v>
      </c>
      <c r="C6240" t="s">
        <v>37</v>
      </c>
      <c r="D6240">
        <v>4.6489750000000001</v>
      </c>
      <c r="E6240">
        <v>0.60883469999999995</v>
      </c>
      <c r="F6240" t="s">
        <v>101</v>
      </c>
      <c r="G6240">
        <v>-216.60599999999999</v>
      </c>
      <c r="H6240" s="1">
        <v>-3.5722519999999899E-6</v>
      </c>
      <c r="I6240">
        <v>-68.639799999999994</v>
      </c>
      <c r="J6240">
        <v>-239.25149999999999</v>
      </c>
      <c r="K6240">
        <v>1.106778</v>
      </c>
      <c r="L6240">
        <v>-64.279750000000007</v>
      </c>
      <c r="M6240">
        <v>0.99866499999999903</v>
      </c>
      <c r="N6240">
        <v>0</v>
      </c>
      <c r="O6240">
        <v>-4.972298E-2</v>
      </c>
      <c r="P6240">
        <v>0.99655839999999996</v>
      </c>
      <c r="Q6240">
        <v>4.12912E-2</v>
      </c>
      <c r="R6240">
        <v>7.1878650000000002E-2</v>
      </c>
      <c r="S6240">
        <v>3.0578609999999999</v>
      </c>
      <c r="T6240">
        <v>-0.14845749999999999</v>
      </c>
      <c r="U6240">
        <v>-0.58575440000000001</v>
      </c>
      <c r="V6240">
        <v>-0.1215561</v>
      </c>
      <c r="W6240">
        <v>5.4699600000000001E-2</v>
      </c>
      <c r="X6240">
        <v>0.99107619999999896</v>
      </c>
      <c r="Y6240">
        <v>0.13896240000000001</v>
      </c>
      <c r="Z6240">
        <v>-9.5338490000000003E-4</v>
      </c>
      <c r="AA6240">
        <v>0.99029719999999999</v>
      </c>
      <c r="AB6240">
        <v>26</v>
      </c>
      <c r="AC6240">
        <v>22.645499999999998</v>
      </c>
      <c r="AD6240">
        <v>-1.106781572252</v>
      </c>
      <c r="AE6240">
        <v>-4.3600499999999798</v>
      </c>
      <c r="AF6240">
        <v>3.2211245063814302</v>
      </c>
      <c r="AG6240">
        <v>-1.106781572252</v>
      </c>
      <c r="AH6240">
        <v>22.781825448553601</v>
      </c>
      <c r="AI6240">
        <v>92.753995255592102</v>
      </c>
      <c r="AJ6240">
        <v>81.952288945306293</v>
      </c>
      <c r="AK6240">
        <v>23.035020714179002</v>
      </c>
    </row>
    <row r="6241" spans="1:37" x14ac:dyDescent="0.2">
      <c r="A6241" t="str">
        <f>"20200111155720522"</f>
        <v>20200111155720522</v>
      </c>
      <c r="B6241" t="str">
        <f>"1578729440519215"</f>
        <v>1578729440519215</v>
      </c>
      <c r="C6241" t="s">
        <v>37</v>
      </c>
      <c r="D6241">
        <v>4.6592609999999999</v>
      </c>
      <c r="E6241">
        <v>0.60898609999999997</v>
      </c>
      <c r="F6241" t="s">
        <v>75</v>
      </c>
      <c r="G6241">
        <v>-208.8219</v>
      </c>
      <c r="H6241">
        <v>7.9986650000000006E-2</v>
      </c>
      <c r="I6241">
        <v>-70.716399999999993</v>
      </c>
      <c r="J6241">
        <v>-239.1387</v>
      </c>
      <c r="K6241">
        <v>1.1068929999999999</v>
      </c>
      <c r="L6241">
        <v>-64.284269999999907</v>
      </c>
      <c r="M6241">
        <v>0.99871889999999997</v>
      </c>
      <c r="N6241">
        <v>0</v>
      </c>
      <c r="O6241">
        <v>-4.8630060000000003E-2</v>
      </c>
      <c r="P6241">
        <v>0.99651409999999996</v>
      </c>
      <c r="Q6241">
        <v>4.136012E-2</v>
      </c>
      <c r="R6241">
        <v>7.2450909999999993E-2</v>
      </c>
      <c r="S6241">
        <v>3.06134</v>
      </c>
      <c r="T6241">
        <v>-0.103299399999999</v>
      </c>
      <c r="U6241">
        <v>-0.64755249999999998</v>
      </c>
      <c r="V6241">
        <v>-0.12105580000000001</v>
      </c>
      <c r="W6241">
        <v>5.474006E-2</v>
      </c>
      <c r="X6241">
        <v>0.99113519999999899</v>
      </c>
      <c r="Y6241">
        <v>0.1590599</v>
      </c>
      <c r="Z6241">
        <v>-1.0333479999999999E-3</v>
      </c>
      <c r="AA6241">
        <v>0.98726840000000005</v>
      </c>
      <c r="AB6241">
        <v>26</v>
      </c>
      <c r="AC6241">
        <v>30.316800000000001</v>
      </c>
      <c r="AD6241">
        <v>-1.02690635</v>
      </c>
      <c r="AE6241">
        <v>-6.4321299999999999</v>
      </c>
      <c r="AF6241">
        <v>4.94463747778605</v>
      </c>
      <c r="AG6241">
        <v>-1.02690635</v>
      </c>
      <c r="AH6241">
        <v>30.560196560535701</v>
      </c>
      <c r="AI6241">
        <v>91.899881470681905</v>
      </c>
      <c r="AJ6241">
        <v>80.809197546006104</v>
      </c>
      <c r="AK6241">
        <v>30.974660454264399</v>
      </c>
    </row>
    <row r="6242" spans="1:37" x14ac:dyDescent="0.2">
      <c r="A6242" t="str">
        <f>"20200111155720532"</f>
        <v>20200111155720532</v>
      </c>
      <c r="B6242" t="str">
        <f>"1578729440528975"</f>
        <v>1578729440528975</v>
      </c>
      <c r="C6242" t="s">
        <v>37</v>
      </c>
      <c r="D6242">
        <v>4.6245959999999897</v>
      </c>
      <c r="E6242">
        <v>0.60918809999999901</v>
      </c>
      <c r="F6242" t="s">
        <v>75</v>
      </c>
      <c r="G6242">
        <v>-208.41460000000001</v>
      </c>
      <c r="H6242">
        <v>7.9986769999999999E-2</v>
      </c>
      <c r="I6242">
        <v>-70.777349999999998</v>
      </c>
      <c r="J6242">
        <v>-239.0128</v>
      </c>
      <c r="K6242">
        <v>1.1070180000000001</v>
      </c>
      <c r="L6242">
        <v>-64.289090000000002</v>
      </c>
      <c r="M6242">
        <v>0.99878210000000001</v>
      </c>
      <c r="N6242">
        <v>0</v>
      </c>
      <c r="O6242">
        <v>-4.7311430000000002E-2</v>
      </c>
      <c r="P6242">
        <v>0.99645499999999998</v>
      </c>
      <c r="Q6242">
        <v>4.1332199999999902E-2</v>
      </c>
      <c r="R6242">
        <v>7.3275190000000004E-2</v>
      </c>
      <c r="S6242">
        <v>3.061798</v>
      </c>
      <c r="T6242">
        <v>-0.1023358</v>
      </c>
      <c r="U6242">
        <v>-0.64706419999999998</v>
      </c>
      <c r="V6242">
        <v>-0.1205831</v>
      </c>
      <c r="W6242">
        <v>5.4682929999999998E-2</v>
      </c>
      <c r="X6242">
        <v>0.99119599999999997</v>
      </c>
      <c r="Y6242">
        <v>0.160182399999999</v>
      </c>
      <c r="Z6242">
        <v>-1.085566E-3</v>
      </c>
      <c r="AA6242">
        <v>0.98708680000000004</v>
      </c>
      <c r="AB6242">
        <v>26</v>
      </c>
      <c r="AC6242">
        <v>30.598199999999899</v>
      </c>
      <c r="AD6242">
        <v>-1.02703123</v>
      </c>
      <c r="AE6242">
        <v>-6.4882599999999897</v>
      </c>
      <c r="AF6242">
        <v>5.0277858461505698</v>
      </c>
      <c r="AG6242">
        <v>-1.02703123</v>
      </c>
      <c r="AH6242">
        <v>30.837680700679499</v>
      </c>
      <c r="AI6242">
        <v>91.882657767068693</v>
      </c>
      <c r="AJ6242">
        <v>80.739953803063401</v>
      </c>
      <c r="AK6242">
        <v>31.261733391787601</v>
      </c>
    </row>
    <row r="6243" spans="1:37" x14ac:dyDescent="0.2">
      <c r="A6243" t="str">
        <f>"20200111155720544"</f>
        <v>20200111155720544</v>
      </c>
      <c r="B6243" t="str">
        <f>"1578729440539712"</f>
        <v>1578729440539712</v>
      </c>
      <c r="C6243" t="s">
        <v>37</v>
      </c>
      <c r="D6243">
        <v>4.6436739999999999</v>
      </c>
      <c r="E6243">
        <v>0.60917290000000002</v>
      </c>
      <c r="F6243" t="s">
        <v>75</v>
      </c>
      <c r="G6243">
        <v>-208.4462</v>
      </c>
      <c r="H6243">
        <v>7.9986749999999995E-2</v>
      </c>
      <c r="I6243">
        <v>-70.736580000000004</v>
      </c>
      <c r="J6243">
        <v>-238.88939999999999</v>
      </c>
      <c r="K6243">
        <v>1.107132</v>
      </c>
      <c r="L6243">
        <v>-64.293610000000001</v>
      </c>
      <c r="M6243">
        <v>0.99884530000000005</v>
      </c>
      <c r="N6243">
        <v>0</v>
      </c>
      <c r="O6243">
        <v>-4.5957659999999997E-2</v>
      </c>
      <c r="P6243">
        <v>0.99639249999999902</v>
      </c>
      <c r="Q6243">
        <v>4.123156E-2</v>
      </c>
      <c r="R6243">
        <v>7.4175550000000007E-2</v>
      </c>
      <c r="S6243">
        <v>3.062424</v>
      </c>
      <c r="T6243">
        <v>-0.1028969</v>
      </c>
      <c r="U6243">
        <v>-0.64596560000000003</v>
      </c>
      <c r="V6243">
        <v>-0.12015000000000001</v>
      </c>
      <c r="W6243">
        <v>5.4554850000000002E-2</v>
      </c>
      <c r="X6243">
        <v>0.99125560000000001</v>
      </c>
      <c r="Y6243">
        <v>0.16113849999999999</v>
      </c>
      <c r="Z6243">
        <v>-1.152054E-3</v>
      </c>
      <c r="AA6243">
        <v>0.98693109999999995</v>
      </c>
      <c r="AB6243">
        <v>26</v>
      </c>
      <c r="AC6243">
        <v>30.443199999999901</v>
      </c>
      <c r="AD6243">
        <v>-1.02714525</v>
      </c>
      <c r="AE6243">
        <v>-6.4429699999999999</v>
      </c>
      <c r="AF6243">
        <v>5.03144351886327</v>
      </c>
      <c r="AG6243">
        <v>-1.02714525</v>
      </c>
      <c r="AH6243">
        <v>30.673738826753301</v>
      </c>
      <c r="AI6243">
        <v>91.892624243444502</v>
      </c>
      <c r="AJ6243">
        <v>80.684672423192097</v>
      </c>
      <c r="AK6243">
        <v>31.100622258404801</v>
      </c>
    </row>
    <row r="6244" spans="1:37" x14ac:dyDescent="0.2">
      <c r="A6244" t="str">
        <f>"20200111155720554"</f>
        <v>20200111155720554</v>
      </c>
      <c r="B6244" t="str">
        <f>"1578729440549472"</f>
        <v>1578729440549472</v>
      </c>
      <c r="C6244" t="s">
        <v>37</v>
      </c>
      <c r="D6244">
        <v>4.633756</v>
      </c>
      <c r="E6244">
        <v>0.60910739999999997</v>
      </c>
      <c r="F6244" t="s">
        <v>75</v>
      </c>
      <c r="G6244">
        <v>-208.3415</v>
      </c>
      <c r="H6244">
        <v>7.9986769999999999E-2</v>
      </c>
      <c r="I6244">
        <v>-70.706450000000004</v>
      </c>
      <c r="J6244">
        <v>-238.7552</v>
      </c>
      <c r="K6244">
        <v>1.107246</v>
      </c>
      <c r="L6244">
        <v>-64.298220000000001</v>
      </c>
      <c r="M6244">
        <v>0.99891540000000001</v>
      </c>
      <c r="N6244">
        <v>0</v>
      </c>
      <c r="O6244">
        <v>-4.4406019999999997E-2</v>
      </c>
      <c r="P6244">
        <v>0.99634739999999999</v>
      </c>
      <c r="Q6244">
        <v>4.0842530000000002E-2</v>
      </c>
      <c r="R6244">
        <v>7.4992139999999999E-2</v>
      </c>
      <c r="S6244">
        <v>3.0629879999999998</v>
      </c>
      <c r="T6244">
        <v>-0.10299030000000001</v>
      </c>
      <c r="U6244">
        <v>-0.64300539999999995</v>
      </c>
      <c r="V6244">
        <v>-0.1194366</v>
      </c>
      <c r="W6244">
        <v>5.414062E-2</v>
      </c>
      <c r="X6244">
        <v>0.99136449999999998</v>
      </c>
      <c r="Y6244">
        <v>0.16172020000000001</v>
      </c>
      <c r="Z6244">
        <v>-1.2141070000000001E-3</v>
      </c>
      <c r="AA6244">
        <v>0.98683589999999999</v>
      </c>
      <c r="AB6244">
        <v>26</v>
      </c>
      <c r="AC6244">
        <v>30.413699999999999</v>
      </c>
      <c r="AD6244">
        <v>-1.0272592300000001</v>
      </c>
      <c r="AE6244">
        <v>-6.4082299999999996</v>
      </c>
      <c r="AF6244">
        <v>5.0457120153411097</v>
      </c>
      <c r="AG6244">
        <v>-1.0272592300000001</v>
      </c>
      <c r="AH6244">
        <v>30.634821359098801</v>
      </c>
      <c r="AI6244">
        <v>91.895032631337003</v>
      </c>
      <c r="AJ6244">
        <v>80.647063117069095</v>
      </c>
      <c r="AK6244">
        <v>31.064557794555402</v>
      </c>
    </row>
    <row r="6245" spans="1:37" x14ac:dyDescent="0.2">
      <c r="A6245" t="str">
        <f>"20200111155720566"</f>
        <v>20200111155720566</v>
      </c>
      <c r="B6245" t="str">
        <f>"1578729440559231"</f>
        <v>1578729440559231</v>
      </c>
      <c r="C6245" t="s">
        <v>37</v>
      </c>
      <c r="D6245">
        <v>4.6230869999999999</v>
      </c>
      <c r="E6245">
        <v>0.60918090000000003</v>
      </c>
      <c r="F6245" t="s">
        <v>75</v>
      </c>
      <c r="G6245">
        <v>-208.8561</v>
      </c>
      <c r="H6245">
        <v>7.9986619999999994E-2</v>
      </c>
      <c r="I6245">
        <v>-70.543520000000001</v>
      </c>
      <c r="J6245">
        <v>-238.6293</v>
      </c>
      <c r="K6245">
        <v>1.107342</v>
      </c>
      <c r="L6245">
        <v>-64.302219999999906</v>
      </c>
      <c r="M6245">
        <v>0.9989825</v>
      </c>
      <c r="N6245">
        <v>0</v>
      </c>
      <c r="O6245">
        <v>-4.286736E-2</v>
      </c>
      <c r="P6245">
        <v>0.99630769999999902</v>
      </c>
      <c r="Q6245">
        <v>4.029112E-2</v>
      </c>
      <c r="R6245">
        <v>7.5814399999999907E-2</v>
      </c>
      <c r="S6245">
        <v>3.0634610000000002</v>
      </c>
      <c r="T6245">
        <v>-0.1052529</v>
      </c>
      <c r="U6245">
        <v>-0.63989259999999903</v>
      </c>
      <c r="V6245">
        <v>-0.118738699999999</v>
      </c>
      <c r="W6245">
        <v>5.3568749999999998E-2</v>
      </c>
      <c r="X6245">
        <v>0.99147949999999996</v>
      </c>
      <c r="Y6245">
        <v>0.1622449</v>
      </c>
      <c r="Z6245">
        <v>-1.301747E-3</v>
      </c>
      <c r="AA6245">
        <v>0.98674959999999901</v>
      </c>
      <c r="AB6245">
        <v>26</v>
      </c>
      <c r="AC6245">
        <v>29.773199999999999</v>
      </c>
      <c r="AD6245">
        <v>-1.0273553799999999</v>
      </c>
      <c r="AE6245">
        <v>-6.2413000000000096</v>
      </c>
      <c r="AF6245">
        <v>4.95348820589696</v>
      </c>
      <c r="AG6245">
        <v>-1.0273553799999999</v>
      </c>
      <c r="AH6245">
        <v>29.979207899614799</v>
      </c>
      <c r="AI6245">
        <v>91.936461519962194</v>
      </c>
      <c r="AJ6245">
        <v>80.617742548778807</v>
      </c>
      <c r="AK6245">
        <v>30.403049366323401</v>
      </c>
    </row>
    <row r="6246" spans="1:37" x14ac:dyDescent="0.2">
      <c r="A6246" t="str">
        <f>"20200111155720576"</f>
        <v>20200111155720576</v>
      </c>
      <c r="B6246" t="str">
        <f>"1578729440568991"</f>
        <v>1578729440568991</v>
      </c>
      <c r="C6246" t="s">
        <v>37</v>
      </c>
      <c r="D6246">
        <v>4.6370629999999897</v>
      </c>
      <c r="E6246">
        <v>0.60935340000000005</v>
      </c>
      <c r="F6246" t="s">
        <v>75</v>
      </c>
      <c r="G6246">
        <v>-209.29249999999999</v>
      </c>
      <c r="H6246">
        <v>7.6266509999999996E-2</v>
      </c>
      <c r="I6246">
        <v>-70.409930000000003</v>
      </c>
      <c r="J6246">
        <v>-238.5008</v>
      </c>
      <c r="K6246">
        <v>1.107434</v>
      </c>
      <c r="L6246">
        <v>-64.306179999999998</v>
      </c>
      <c r="M6246">
        <v>0.99905029999999995</v>
      </c>
      <c r="N6246">
        <v>0</v>
      </c>
      <c r="O6246">
        <v>-4.1258429999999999E-2</v>
      </c>
      <c r="P6246">
        <v>0.99625919999999901</v>
      </c>
      <c r="Q6246">
        <v>3.9347060000000003E-2</v>
      </c>
      <c r="R6246">
        <v>7.6940129999999995E-2</v>
      </c>
      <c r="S6246">
        <v>3.0640259999999899</v>
      </c>
      <c r="T6246">
        <v>-0.107688899999999</v>
      </c>
      <c r="U6246">
        <v>-0.6379089</v>
      </c>
      <c r="V6246">
        <v>-0.1182711</v>
      </c>
      <c r="W6246">
        <v>5.2604529999999997E-2</v>
      </c>
      <c r="X6246">
        <v>0.991587</v>
      </c>
      <c r="Y6246">
        <v>0.16318079999999999</v>
      </c>
      <c r="Z6246">
        <v>-1.4037450000000001E-3</v>
      </c>
      <c r="AA6246">
        <v>0.98659519999999901</v>
      </c>
      <c r="AB6246">
        <v>26</v>
      </c>
      <c r="AC6246">
        <v>29.208300000000001</v>
      </c>
      <c r="AD6246">
        <v>-1.0311674900000001</v>
      </c>
      <c r="AE6246">
        <v>-6.1037499999999998</v>
      </c>
      <c r="AF6246">
        <v>4.8875080876097003</v>
      </c>
      <c r="AG6246">
        <v>-1.0311674900000001</v>
      </c>
      <c r="AH6246">
        <v>29.4001702079408</v>
      </c>
      <c r="AI6246">
        <v>91.9815687284446</v>
      </c>
      <c r="AJ6246">
        <v>80.561419807611799</v>
      </c>
      <c r="AK6246">
        <v>29.8214863807084</v>
      </c>
    </row>
    <row r="6247" spans="1:37" x14ac:dyDescent="0.2">
      <c r="A6247" t="str">
        <f>"20200111155720587"</f>
        <v>20200111155720587</v>
      </c>
      <c r="B6247" t="str">
        <f>"1578729440579727"</f>
        <v>1578729440579727</v>
      </c>
      <c r="C6247" t="s">
        <v>37</v>
      </c>
      <c r="D6247">
        <v>4.670668</v>
      </c>
      <c r="E6247">
        <v>0.60932299999999995</v>
      </c>
      <c r="F6247" t="s">
        <v>75</v>
      </c>
      <c r="G6247">
        <v>-209.16890000000001</v>
      </c>
      <c r="H6247">
        <v>6.0298199999999899E-2</v>
      </c>
      <c r="I6247">
        <v>-70.393950000000004</v>
      </c>
      <c r="J6247">
        <v>-238.3776</v>
      </c>
      <c r="K6247">
        <v>1.107507</v>
      </c>
      <c r="L6247">
        <v>-64.309569999999994</v>
      </c>
      <c r="M6247">
        <v>0.99911609999999995</v>
      </c>
      <c r="N6247">
        <v>0</v>
      </c>
      <c r="O6247">
        <v>-3.963291E-2</v>
      </c>
      <c r="P6247">
        <v>0.99621299999999902</v>
      </c>
      <c r="Q6247">
        <v>3.8528439999999997E-2</v>
      </c>
      <c r="R6247">
        <v>7.7944349999999996E-2</v>
      </c>
      <c r="S6247">
        <v>3.0647279999999899</v>
      </c>
      <c r="T6247">
        <v>-0.10940950000000001</v>
      </c>
      <c r="U6247">
        <v>-0.63607789999999997</v>
      </c>
      <c r="V6247">
        <v>-0.1176634</v>
      </c>
      <c r="W6247">
        <v>5.177168E-2</v>
      </c>
      <c r="X6247">
        <v>0.99170309999999995</v>
      </c>
      <c r="Y6247">
        <v>0.16417179999999901</v>
      </c>
      <c r="Z6247">
        <v>-1.5006710000000001E-3</v>
      </c>
      <c r="AA6247">
        <v>0.98643060000000005</v>
      </c>
      <c r="AB6247">
        <v>26</v>
      </c>
      <c r="AC6247">
        <v>29.2087</v>
      </c>
      <c r="AD6247">
        <v>-1.0472087999999999</v>
      </c>
      <c r="AE6247">
        <v>-6.0843800000000003</v>
      </c>
      <c r="AF6247">
        <v>4.9158031763600603</v>
      </c>
      <c r="AG6247">
        <v>-1.0472087999999999</v>
      </c>
      <c r="AH6247">
        <v>29.390703779795398</v>
      </c>
      <c r="AI6247">
        <v>92.012685790435199</v>
      </c>
      <c r="AJ6247">
        <v>80.504767251721802</v>
      </c>
      <c r="AK6247">
        <v>29.817364669118401</v>
      </c>
    </row>
    <row r="6248" spans="1:37" x14ac:dyDescent="0.2">
      <c r="A6248" t="str">
        <f>"20200111155720599"</f>
        <v>20200111155720599</v>
      </c>
      <c r="B6248" t="str">
        <f>"1578729440589488"</f>
        <v>1578729440589488</v>
      </c>
      <c r="C6248" t="s">
        <v>37</v>
      </c>
      <c r="D6248">
        <v>4.6533379999999998</v>
      </c>
      <c r="E6248">
        <v>0.60940519999999998</v>
      </c>
      <c r="F6248" t="s">
        <v>75</v>
      </c>
      <c r="G6248">
        <v>-208.96250000000001</v>
      </c>
      <c r="H6248">
        <v>3.2044969999999999E-2</v>
      </c>
      <c r="I6248">
        <v>-70.38364</v>
      </c>
      <c r="J6248">
        <v>-238.24870000000001</v>
      </c>
      <c r="K6248">
        <v>1.1075820000000001</v>
      </c>
      <c r="L6248">
        <v>-64.312989999999999</v>
      </c>
      <c r="M6248">
        <v>0.99918269999999998</v>
      </c>
      <c r="N6248">
        <v>0</v>
      </c>
      <c r="O6248">
        <v>-3.7915600000000001E-2</v>
      </c>
      <c r="P6248">
        <v>0.99613929999999995</v>
      </c>
      <c r="Q6248">
        <v>3.812231E-2</v>
      </c>
      <c r="R6248">
        <v>7.9078910000000002E-2</v>
      </c>
      <c r="S6248">
        <v>3.065277</v>
      </c>
      <c r="T6248">
        <v>-0.11207149999999901</v>
      </c>
      <c r="U6248">
        <v>-0.63296509999999995</v>
      </c>
      <c r="V6248">
        <v>-0.11709609999999999</v>
      </c>
      <c r="W6248">
        <v>5.1350710000000001E-2</v>
      </c>
      <c r="X6248">
        <v>0.99179209999999995</v>
      </c>
      <c r="Y6248">
        <v>0.16486619999999999</v>
      </c>
      <c r="Z6248">
        <v>-1.611557E-3</v>
      </c>
      <c r="AA6248">
        <v>0.98631460000000004</v>
      </c>
      <c r="AB6248">
        <v>26</v>
      </c>
      <c r="AC6248">
        <v>29.286200000000001</v>
      </c>
      <c r="AD6248">
        <v>-1.07553703</v>
      </c>
      <c r="AE6248">
        <v>-6.0706499999999997</v>
      </c>
      <c r="AF6248">
        <v>4.9493707931773399</v>
      </c>
      <c r="AG6248">
        <v>-1.07553703</v>
      </c>
      <c r="AH6248">
        <v>29.457239361534501</v>
      </c>
      <c r="AI6248">
        <v>92.062163843587001</v>
      </c>
      <c r="AJ6248">
        <v>80.462315167685404</v>
      </c>
      <c r="AK6248">
        <v>29.889496515565401</v>
      </c>
    </row>
    <row r="6249" spans="1:37" x14ac:dyDescent="0.2">
      <c r="A6249" t="str">
        <f>"20200111155720609"</f>
        <v>20200111155720609</v>
      </c>
      <c r="B6249" t="str">
        <f>"1578729440599248"</f>
        <v>1578729440599248</v>
      </c>
      <c r="C6249" t="s">
        <v>37</v>
      </c>
      <c r="D6249">
        <v>4.5986320000000003</v>
      </c>
      <c r="E6249">
        <v>0.60957419999999995</v>
      </c>
      <c r="F6249" t="s">
        <v>75</v>
      </c>
      <c r="G6249">
        <v>-208.72219999999999</v>
      </c>
      <c r="H6249">
        <v>1.129837E-2</v>
      </c>
      <c r="I6249">
        <v>-70.38364</v>
      </c>
      <c r="J6249">
        <v>-238.1234</v>
      </c>
      <c r="K6249">
        <v>1.1076379999999999</v>
      </c>
      <c r="L6249">
        <v>-64.315860000000001</v>
      </c>
      <c r="M6249">
        <v>0.9992472</v>
      </c>
      <c r="N6249">
        <v>0</v>
      </c>
      <c r="O6249">
        <v>-3.6175390000000002E-2</v>
      </c>
      <c r="P6249">
        <v>0.99606019999999895</v>
      </c>
      <c r="Q6249">
        <v>3.8053480000000001E-2</v>
      </c>
      <c r="R6249">
        <v>8.0102060000000003E-2</v>
      </c>
      <c r="S6249">
        <v>3.0660099999999999</v>
      </c>
      <c r="T6249">
        <v>-0.1138371</v>
      </c>
      <c r="U6249">
        <v>-0.63037109999999996</v>
      </c>
      <c r="V6249">
        <v>-0.11639380000000001</v>
      </c>
      <c r="W6249">
        <v>5.1273569999999997E-2</v>
      </c>
      <c r="X6249">
        <v>0.99187879999999995</v>
      </c>
      <c r="Y6249">
        <v>0.165732399999999</v>
      </c>
      <c r="Z6249">
        <v>-1.7163650000000001E-3</v>
      </c>
      <c r="AA6249">
        <v>0.98616930000000003</v>
      </c>
      <c r="AB6249">
        <v>26</v>
      </c>
      <c r="AC6249">
        <v>29.401199999999999</v>
      </c>
      <c r="AD6249">
        <v>-1.0963396299999999</v>
      </c>
      <c r="AE6249">
        <v>-6.0677799999999902</v>
      </c>
      <c r="AF6249">
        <v>4.9934437047372802</v>
      </c>
      <c r="AG6249">
        <v>-1.0963396299999999</v>
      </c>
      <c r="AH6249">
        <v>29.562051939206899</v>
      </c>
      <c r="AI6249">
        <v>92.094261021836402</v>
      </c>
      <c r="AJ6249">
        <v>80.412442377964098</v>
      </c>
      <c r="AK6249">
        <v>30.000855912341098</v>
      </c>
    </row>
    <row r="6250" spans="1:37" x14ac:dyDescent="0.2">
      <c r="A6250" t="str">
        <f>"20200111155720620"</f>
        <v>20200111155720620</v>
      </c>
      <c r="B6250" t="str">
        <f>"1578729440609008"</f>
        <v>1578729440609008</v>
      </c>
      <c r="C6250" t="s">
        <v>37</v>
      </c>
      <c r="D6250">
        <v>4.6484690000000004</v>
      </c>
      <c r="E6250">
        <v>0.60975239999999997</v>
      </c>
      <c r="F6250" t="s">
        <v>75</v>
      </c>
      <c r="G6250">
        <v>-208.53099999999901</v>
      </c>
      <c r="H6250">
        <v>2.8501530000000001E-2</v>
      </c>
      <c r="I6250">
        <v>-70.38364</v>
      </c>
      <c r="J6250">
        <v>-237.9941</v>
      </c>
      <c r="K6250">
        <v>1.1076900000000001</v>
      </c>
      <c r="L6250">
        <v>-64.318730000000002</v>
      </c>
      <c r="M6250">
        <v>0.99931080000000005</v>
      </c>
      <c r="N6250">
        <v>0</v>
      </c>
      <c r="O6250">
        <v>-3.4369160000000003E-2</v>
      </c>
      <c r="P6250">
        <v>0.99595859999999903</v>
      </c>
      <c r="Q6250">
        <v>3.7952779999999998E-2</v>
      </c>
      <c r="R6250">
        <v>8.1401009999999996E-2</v>
      </c>
      <c r="S6250">
        <v>3.0667110000000002</v>
      </c>
      <c r="T6250">
        <v>-0.11183269999999999</v>
      </c>
      <c r="U6250">
        <v>-0.62881469999999995</v>
      </c>
      <c r="V6250">
        <v>-0.11590109999999899</v>
      </c>
      <c r="W6250">
        <v>5.1163559999999997E-2</v>
      </c>
      <c r="X6250">
        <v>0.991942199999999</v>
      </c>
      <c r="Y6250">
        <v>0.1669911</v>
      </c>
      <c r="Z6250">
        <v>-1.7736E-3</v>
      </c>
      <c r="AA6250">
        <v>0.98595679999999997</v>
      </c>
      <c r="AB6250">
        <v>26</v>
      </c>
      <c r="AC6250">
        <v>29.463100000000001</v>
      </c>
      <c r="AD6250">
        <v>-1.0791884700000001</v>
      </c>
      <c r="AE6250">
        <v>-6.0649099999999896</v>
      </c>
      <c r="AF6250">
        <v>5.04211484663265</v>
      </c>
      <c r="AG6250">
        <v>-1.0791884700000001</v>
      </c>
      <c r="AH6250">
        <v>29.6160373219553</v>
      </c>
      <c r="AI6250">
        <v>92.057319675659201</v>
      </c>
      <c r="AJ6250">
        <v>80.338062804764405</v>
      </c>
      <c r="AK6250">
        <v>30.061557453596201</v>
      </c>
    </row>
    <row r="6251" spans="1:37" x14ac:dyDescent="0.2">
      <c r="A6251" t="str">
        <f>"20200111155720631"</f>
        <v>20200111155720631</v>
      </c>
      <c r="B6251" t="str">
        <f>"1578729440629504"</f>
        <v>1578729440629504</v>
      </c>
      <c r="C6251" t="s">
        <v>37</v>
      </c>
      <c r="D6251">
        <v>4.6395499999999998</v>
      </c>
      <c r="E6251">
        <v>0.61002800000000001</v>
      </c>
      <c r="F6251" t="s">
        <v>75</v>
      </c>
      <c r="G6251">
        <v>-208.2936</v>
      </c>
      <c r="H6251">
        <v>3.6272100000000002E-2</v>
      </c>
      <c r="I6251">
        <v>-70.38364</v>
      </c>
      <c r="J6251">
        <v>-237.8647</v>
      </c>
      <c r="K6251">
        <v>1.107728</v>
      </c>
      <c r="L6251">
        <v>-64.32123</v>
      </c>
      <c r="M6251">
        <v>0.99937260000000006</v>
      </c>
      <c r="N6251">
        <v>0</v>
      </c>
      <c r="O6251">
        <v>-3.2524829999999998E-2</v>
      </c>
      <c r="P6251">
        <v>0.99583770000000005</v>
      </c>
      <c r="Q6251">
        <v>3.813312E-2</v>
      </c>
      <c r="R6251">
        <v>8.2785090000000006E-2</v>
      </c>
      <c r="S6251">
        <v>3.0675659999999998</v>
      </c>
      <c r="T6251">
        <v>-0.11065949999999999</v>
      </c>
      <c r="U6251">
        <v>-0.62640379999999996</v>
      </c>
      <c r="V6251">
        <v>-0.115454</v>
      </c>
      <c r="W6251">
        <v>5.1338809999999999E-2</v>
      </c>
      <c r="X6251">
        <v>0.99198519999999901</v>
      </c>
      <c r="Y6251">
        <v>0.16801279999999999</v>
      </c>
      <c r="Z6251">
        <v>-1.8385929999999999E-3</v>
      </c>
      <c r="AA6251">
        <v>0.98578310000000002</v>
      </c>
      <c r="AB6251">
        <v>26</v>
      </c>
      <c r="AC6251">
        <v>29.571100000000001</v>
      </c>
      <c r="AD6251">
        <v>-1.0714558999999999</v>
      </c>
      <c r="AE6251">
        <v>-6.0624099999999999</v>
      </c>
      <c r="AF6251">
        <v>5.0908983997684203</v>
      </c>
      <c r="AG6251">
        <v>-1.0714558999999999</v>
      </c>
      <c r="AH6251">
        <v>29.715211930423902</v>
      </c>
      <c r="AI6251">
        <v>92.035417430828304</v>
      </c>
      <c r="AJ6251">
        <v>80.278299262755695</v>
      </c>
      <c r="AK6251">
        <v>30.1671855553749</v>
      </c>
    </row>
    <row r="6252" spans="1:37" x14ac:dyDescent="0.2">
      <c r="A6252" t="str">
        <f>"20200111155720644"</f>
        <v>20200111155720644</v>
      </c>
      <c r="B6252" t="str">
        <f>"1578729440639263"</f>
        <v>1578729440639263</v>
      </c>
      <c r="C6252" t="s">
        <v>37</v>
      </c>
      <c r="D6252">
        <v>4.6346080000000001</v>
      </c>
      <c r="E6252">
        <v>0.61025309999999999</v>
      </c>
      <c r="F6252" t="s">
        <v>75</v>
      </c>
      <c r="G6252">
        <v>-207.9485</v>
      </c>
      <c r="H6252">
        <v>7.6130240000000002E-2</v>
      </c>
      <c r="I6252">
        <v>-70.409779999999998</v>
      </c>
      <c r="J6252">
        <v>-237.73390000000001</v>
      </c>
      <c r="K6252">
        <v>1.1077589999999999</v>
      </c>
      <c r="L6252">
        <v>-64.323549999999997</v>
      </c>
      <c r="M6252">
        <v>0.99943169999999903</v>
      </c>
      <c r="N6252">
        <v>0</v>
      </c>
      <c r="O6252">
        <v>-3.0651250000000001E-2</v>
      </c>
      <c r="P6252">
        <v>0.99565780000000004</v>
      </c>
      <c r="Q6252">
        <v>3.8489429999999998E-2</v>
      </c>
      <c r="R6252">
        <v>8.4761520000000007E-2</v>
      </c>
      <c r="S6252">
        <v>3.0685419999999999</v>
      </c>
      <c r="T6252">
        <v>-0.1058124</v>
      </c>
      <c r="U6252">
        <v>-0.624511699999999</v>
      </c>
      <c r="V6252">
        <v>-0.1155692</v>
      </c>
      <c r="W6252">
        <v>5.168644E-2</v>
      </c>
      <c r="X6252">
        <v>0.9919538</v>
      </c>
      <c r="Y6252">
        <v>0.16922110000000001</v>
      </c>
      <c r="Z6252">
        <v>-1.8420929999999999E-3</v>
      </c>
      <c r="AA6252">
        <v>0.98557640000000002</v>
      </c>
      <c r="AB6252">
        <v>26</v>
      </c>
      <c r="AC6252">
        <v>29.785399999999999</v>
      </c>
      <c r="AD6252">
        <v>-1.03162876</v>
      </c>
      <c r="AE6252">
        <v>-6.0862299999999996</v>
      </c>
      <c r="AF6252">
        <v>5.16437325173258</v>
      </c>
      <c r="AG6252">
        <v>-1.03162876</v>
      </c>
      <c r="AH6252">
        <v>29.9235133771063</v>
      </c>
      <c r="AI6252">
        <v>91.945776827675203</v>
      </c>
      <c r="AJ6252">
        <v>80.2080229324756</v>
      </c>
      <c r="AK6252">
        <v>30.383410964069402</v>
      </c>
    </row>
    <row r="6253" spans="1:37" x14ac:dyDescent="0.2">
      <c r="A6253" t="str">
        <f>"20200111155720653"</f>
        <v>20200111155720653</v>
      </c>
      <c r="B6253" t="str">
        <f>"1578729440649024"</f>
        <v>1578729440649024</v>
      </c>
      <c r="C6253" t="s">
        <v>37</v>
      </c>
      <c r="D6253">
        <v>4.611116</v>
      </c>
      <c r="E6253">
        <v>0.6103556</v>
      </c>
      <c r="F6253" t="s">
        <v>75</v>
      </c>
      <c r="G6253">
        <v>-207.1388</v>
      </c>
      <c r="H6253">
        <v>7.9987089999999997E-2</v>
      </c>
      <c r="I6253">
        <v>-70.506810000000002</v>
      </c>
      <c r="J6253">
        <v>-237.60489999999999</v>
      </c>
      <c r="K6253">
        <v>1.1077779999999999</v>
      </c>
      <c r="L6253">
        <v>-64.325559999999996</v>
      </c>
      <c r="M6253">
        <v>0.99948719999999902</v>
      </c>
      <c r="N6253">
        <v>0</v>
      </c>
      <c r="O6253">
        <v>-2.8788970000000001E-2</v>
      </c>
      <c r="P6253">
        <v>0.99547580000000002</v>
      </c>
      <c r="Q6253">
        <v>3.8812649999999997E-2</v>
      </c>
      <c r="R6253">
        <v>8.6727570000000004E-2</v>
      </c>
      <c r="S6253">
        <v>3.06988499999999</v>
      </c>
      <c r="T6253">
        <v>-0.1031257</v>
      </c>
      <c r="U6253">
        <v>-0.62042240000000004</v>
      </c>
      <c r="V6253">
        <v>-0.115684199999999</v>
      </c>
      <c r="W6253">
        <v>5.2004059999999998E-2</v>
      </c>
      <c r="X6253">
        <v>0.99192369999999996</v>
      </c>
      <c r="Y6253">
        <v>0.1697149</v>
      </c>
      <c r="Z6253">
        <v>-1.864824E-3</v>
      </c>
      <c r="AA6253">
        <v>0.98549149999999996</v>
      </c>
      <c r="AB6253">
        <v>26</v>
      </c>
      <c r="AC6253">
        <v>30.466099999999901</v>
      </c>
      <c r="AD6253">
        <v>-1.02779091</v>
      </c>
      <c r="AE6253">
        <v>-6.1812500000000004</v>
      </c>
      <c r="AF6253">
        <v>5.29572488759222</v>
      </c>
      <c r="AG6253">
        <v>-1.02779091</v>
      </c>
      <c r="AH6253">
        <v>30.597992571610199</v>
      </c>
      <c r="AI6253">
        <v>91.895688153447793</v>
      </c>
      <c r="AJ6253">
        <v>80.180847568815594</v>
      </c>
      <c r="AK6253">
        <v>31.0698922697208</v>
      </c>
    </row>
    <row r="6254" spans="1:37" x14ac:dyDescent="0.2">
      <c r="A6254" t="str">
        <f>"20200111155720666"</f>
        <v>20200111155720666</v>
      </c>
      <c r="B6254" t="str">
        <f>"1578729440659761"</f>
        <v>1578729440659761</v>
      </c>
      <c r="C6254" t="s">
        <v>37</v>
      </c>
      <c r="D6254">
        <v>4.6459599999999996</v>
      </c>
      <c r="E6254">
        <v>0.61049770000000003</v>
      </c>
      <c r="F6254" t="s">
        <v>75</v>
      </c>
      <c r="G6254">
        <v>-206.56360000000001</v>
      </c>
      <c r="H6254">
        <v>7.9987240000000001E-2</v>
      </c>
      <c r="I6254">
        <v>-70.544169999999994</v>
      </c>
      <c r="J6254">
        <v>-237.4744</v>
      </c>
      <c r="K6254">
        <v>1.1077900000000001</v>
      </c>
      <c r="L6254">
        <v>-64.327330000000003</v>
      </c>
      <c r="M6254">
        <v>0.99953979999999998</v>
      </c>
      <c r="N6254">
        <v>0</v>
      </c>
      <c r="O6254">
        <v>-2.690068E-2</v>
      </c>
      <c r="P6254">
        <v>0.99526970000000003</v>
      </c>
      <c r="Q6254">
        <v>3.895672E-2</v>
      </c>
      <c r="R6254">
        <v>8.8999259999999997E-2</v>
      </c>
      <c r="S6254">
        <v>3.0712130000000002</v>
      </c>
      <c r="T6254">
        <v>-0.101689</v>
      </c>
      <c r="U6254">
        <v>-0.6152649</v>
      </c>
      <c r="V6254">
        <v>-0.1160759</v>
      </c>
      <c r="W6254">
        <v>5.2143109999999999E-2</v>
      </c>
      <c r="X6254">
        <v>0.99187069999999999</v>
      </c>
      <c r="Y6254">
        <v>0.16990439999999901</v>
      </c>
      <c r="Z6254">
        <v>-1.9032750000000001E-3</v>
      </c>
      <c r="AA6254">
        <v>0.98545869999999902</v>
      </c>
      <c r="AB6254">
        <v>26</v>
      </c>
      <c r="AC6254">
        <v>30.910799999999899</v>
      </c>
      <c r="AD6254">
        <v>-1.0278027599999999</v>
      </c>
      <c r="AE6254">
        <v>-6.2168399999999897</v>
      </c>
      <c r="AF6254">
        <v>5.3772724919752202</v>
      </c>
      <c r="AG6254">
        <v>-1.0278027599999999</v>
      </c>
      <c r="AH6254">
        <v>31.033887970514499</v>
      </c>
      <c r="AI6254">
        <v>91.869040496571301</v>
      </c>
      <c r="AJ6254">
        <v>80.169903893694695</v>
      </c>
      <c r="AK6254">
        <v>31.513070947352301</v>
      </c>
    </row>
    <row r="6255" spans="1:37" x14ac:dyDescent="0.2">
      <c r="A6255" t="str">
        <f>"20200111155720676"</f>
        <v>20200111155720676</v>
      </c>
      <c r="B6255" t="str">
        <f>"1578729440669519"</f>
        <v>1578729440669519</v>
      </c>
      <c r="C6255" t="s">
        <v>37</v>
      </c>
      <c r="D6255">
        <v>4.6470310000000001</v>
      </c>
      <c r="E6255">
        <v>0.61054160000000002</v>
      </c>
      <c r="F6255" t="s">
        <v>75</v>
      </c>
      <c r="G6255">
        <v>-206.071</v>
      </c>
      <c r="H6255">
        <v>7.9987370000000002E-2</v>
      </c>
      <c r="I6255">
        <v>-70.556529999999995</v>
      </c>
      <c r="J6255">
        <v>-237.3467</v>
      </c>
      <c r="K6255">
        <v>1.107796</v>
      </c>
      <c r="L6255">
        <v>-64.328859999999906</v>
      </c>
      <c r="M6255">
        <v>0.99958780000000003</v>
      </c>
      <c r="N6255">
        <v>0</v>
      </c>
      <c r="O6255">
        <v>-2.505309E-2</v>
      </c>
      <c r="P6255">
        <v>0.99503140000000001</v>
      </c>
      <c r="Q6255">
        <v>3.9704870000000003E-2</v>
      </c>
      <c r="R6255">
        <v>9.1303419999999996E-2</v>
      </c>
      <c r="S6255">
        <v>3.0726779999999998</v>
      </c>
      <c r="T6255">
        <v>-0.10056569999999999</v>
      </c>
      <c r="U6255">
        <v>-0.60949709999999901</v>
      </c>
      <c r="V6255">
        <v>-0.1165443</v>
      </c>
      <c r="W6255">
        <v>5.2886420000000003E-2</v>
      </c>
      <c r="X6255">
        <v>0.9917764</v>
      </c>
      <c r="Y6255">
        <v>0.16985699999999901</v>
      </c>
      <c r="Z6255">
        <v>-1.9407350000000001E-3</v>
      </c>
      <c r="AA6255">
        <v>0.98546679999999998</v>
      </c>
      <c r="AB6255">
        <v>26</v>
      </c>
      <c r="AC6255">
        <v>31.275700000000001</v>
      </c>
      <c r="AD6255">
        <v>-1.02780863</v>
      </c>
      <c r="AE6255">
        <v>-6.2276700000000096</v>
      </c>
      <c r="AF6255">
        <v>5.4364376747516996</v>
      </c>
      <c r="AG6255">
        <v>-1.02780863</v>
      </c>
      <c r="AH6255">
        <v>31.389312446844698</v>
      </c>
      <c r="AI6255">
        <v>91.847926398100995</v>
      </c>
      <c r="AJ6255">
        <v>80.174191722699902</v>
      </c>
      <c r="AK6255">
        <v>31.8731890631766</v>
      </c>
    </row>
    <row r="6256" spans="1:37" x14ac:dyDescent="0.2">
      <c r="A6256" t="str">
        <f>"20200111155720688"</f>
        <v>20200111155720688</v>
      </c>
      <c r="B6256" t="str">
        <f>"1578729440679280"</f>
        <v>1578729440679280</v>
      </c>
      <c r="C6256" t="s">
        <v>37</v>
      </c>
      <c r="D6256">
        <v>4.6444130000000001</v>
      </c>
      <c r="E6256">
        <v>0.61061219999999905</v>
      </c>
      <c r="F6256" t="s">
        <v>75</v>
      </c>
      <c r="G6256">
        <v>-205.4288</v>
      </c>
      <c r="H6256">
        <v>7.9987539999999996E-2</v>
      </c>
      <c r="I6256">
        <v>-70.585619999999906</v>
      </c>
      <c r="J6256">
        <v>-237.22710000000001</v>
      </c>
      <c r="K6256">
        <v>1.107788</v>
      </c>
      <c r="L6256">
        <v>-64.329989999999995</v>
      </c>
      <c r="M6256">
        <v>0.9996294</v>
      </c>
      <c r="N6256">
        <v>0</v>
      </c>
      <c r="O6256">
        <v>-2.333124E-2</v>
      </c>
      <c r="P6256">
        <v>0.99479200000000001</v>
      </c>
      <c r="Q6256">
        <v>4.0389000000000001E-2</v>
      </c>
      <c r="R6256">
        <v>9.3584089999999995E-2</v>
      </c>
      <c r="S6256">
        <v>3.0742340000000001</v>
      </c>
      <c r="T6256">
        <v>-9.899521E-2</v>
      </c>
      <c r="U6256">
        <v>-0.60263059999999902</v>
      </c>
      <c r="V6256">
        <v>-0.1171127</v>
      </c>
      <c r="W6256">
        <v>5.3567339999999998E-2</v>
      </c>
      <c r="X6256">
        <v>0.99167289999999997</v>
      </c>
      <c r="Y6256">
        <v>0.169342299999999</v>
      </c>
      <c r="Z6256">
        <v>-1.9565279999999999E-3</v>
      </c>
      <c r="AA6256">
        <v>0.98555539999999997</v>
      </c>
      <c r="AB6256">
        <v>26</v>
      </c>
      <c r="AC6256">
        <v>31.798300000000001</v>
      </c>
      <c r="AD6256">
        <v>-1.0278004599999999</v>
      </c>
      <c r="AE6256">
        <v>-6.2556299999999796</v>
      </c>
      <c r="AF6256">
        <v>5.5064216159722204</v>
      </c>
      <c r="AG6256">
        <v>-1.0278004599999999</v>
      </c>
      <c r="AH6256">
        <v>31.903519340167101</v>
      </c>
      <c r="AI6256">
        <v>91.818330410117994</v>
      </c>
      <c r="AJ6256">
        <v>80.207451842980802</v>
      </c>
      <c r="AK6256">
        <v>32.391535917378803</v>
      </c>
    </row>
    <row r="6257" spans="1:37" x14ac:dyDescent="0.2">
      <c r="A6257" t="str">
        <f>"20200111155720699"</f>
        <v>20200111155720699</v>
      </c>
      <c r="B6257" t="str">
        <f>"1578729440689040"</f>
        <v>1578729440689040</v>
      </c>
      <c r="C6257" t="s">
        <v>37</v>
      </c>
      <c r="D6257">
        <v>4.6347379999999996</v>
      </c>
      <c r="E6257">
        <v>0.61067939999999998</v>
      </c>
      <c r="F6257" t="s">
        <v>75</v>
      </c>
      <c r="G6257">
        <v>-204.74039999999999</v>
      </c>
      <c r="H6257">
        <v>7.9987660000000002E-2</v>
      </c>
      <c r="I6257">
        <v>-70.625479999999996</v>
      </c>
      <c r="J6257">
        <v>-237.09389999999999</v>
      </c>
      <c r="K6257">
        <v>1.107777</v>
      </c>
      <c r="L6257">
        <v>-64.331119999999999</v>
      </c>
      <c r="M6257">
        <v>0.99967220000000001</v>
      </c>
      <c r="N6257">
        <v>0</v>
      </c>
      <c r="O6257">
        <v>-2.1415E-2</v>
      </c>
      <c r="P6257">
        <v>0.99452439999999998</v>
      </c>
      <c r="Q6257">
        <v>4.0517919999999999E-2</v>
      </c>
      <c r="R6257">
        <v>9.6330780000000005E-2</v>
      </c>
      <c r="S6257">
        <v>3.075745</v>
      </c>
      <c r="T6257">
        <v>-9.7309110000000004E-2</v>
      </c>
      <c r="U6257">
        <v>-0.59603879999999998</v>
      </c>
      <c r="V6257">
        <v>-0.11794979999999999</v>
      </c>
      <c r="W6257">
        <v>5.3692080000000003E-2</v>
      </c>
      <c r="X6257">
        <v>0.99156699999999998</v>
      </c>
      <c r="Y6257">
        <v>0.1691068</v>
      </c>
      <c r="Z6257">
        <v>-1.9789719999999998E-3</v>
      </c>
      <c r="AA6257">
        <v>0.98559580000000002</v>
      </c>
      <c r="AB6257">
        <v>26</v>
      </c>
      <c r="AC6257">
        <v>32.353499999999997</v>
      </c>
      <c r="AD6257">
        <v>-1.02778934</v>
      </c>
      <c r="AE6257">
        <v>-6.2943600000000099</v>
      </c>
      <c r="AF6257">
        <v>5.5945578492849002</v>
      </c>
      <c r="AG6257">
        <v>-1.02778934</v>
      </c>
      <c r="AH6257">
        <v>32.449333247008703</v>
      </c>
      <c r="AI6257">
        <v>91.787801853894393</v>
      </c>
      <c r="AJ6257">
        <v>80.217858372992097</v>
      </c>
      <c r="AK6257">
        <v>32.944114142466198</v>
      </c>
    </row>
    <row r="6258" spans="1:37" x14ac:dyDescent="0.2">
      <c r="A6258" t="str">
        <f>"20200111155720710"</f>
        <v>20200111155720710</v>
      </c>
      <c r="B6258" t="str">
        <f>"1578729440699776"</f>
        <v>1578729440699776</v>
      </c>
      <c r="C6258" t="s">
        <v>37</v>
      </c>
      <c r="D6258">
        <v>4.6293419999999896</v>
      </c>
      <c r="E6258">
        <v>0.61076229999999998</v>
      </c>
      <c r="F6258" t="s">
        <v>75</v>
      </c>
      <c r="G6258">
        <v>-204.8468</v>
      </c>
      <c r="H6258">
        <v>7.9987669999999997E-2</v>
      </c>
      <c r="I6258">
        <v>-70.491330000000005</v>
      </c>
      <c r="J6258">
        <v>-236.9614</v>
      </c>
      <c r="K6258">
        <v>1.1077539999999999</v>
      </c>
      <c r="L6258">
        <v>-64.331879999999998</v>
      </c>
      <c r="M6258">
        <v>0.99971080000000001</v>
      </c>
      <c r="N6258">
        <v>0</v>
      </c>
      <c r="O6258">
        <v>-1.9533760000000001E-2</v>
      </c>
      <c r="P6258">
        <v>0.9942763</v>
      </c>
      <c r="Q6258">
        <v>4.0004539999999998E-2</v>
      </c>
      <c r="R6258">
        <v>9.9068080000000003E-2</v>
      </c>
      <c r="S6258">
        <v>3.0774539999999999</v>
      </c>
      <c r="T6258">
        <v>-9.8085399999999906E-2</v>
      </c>
      <c r="U6258">
        <v>-0.58789060000000004</v>
      </c>
      <c r="V6258">
        <v>-0.11880879999999901</v>
      </c>
      <c r="W6258">
        <v>5.3176880000000003E-2</v>
      </c>
      <c r="X6258">
        <v>0.99149219999999905</v>
      </c>
      <c r="Y6258">
        <v>0.16834109999999999</v>
      </c>
      <c r="Z6258">
        <v>-2.0414109999999999E-3</v>
      </c>
      <c r="AA6258">
        <v>0.98572669999999996</v>
      </c>
      <c r="AB6258">
        <v>26</v>
      </c>
      <c r="AC6258">
        <v>32.114600000000003</v>
      </c>
      <c r="AD6258">
        <v>-1.02776633</v>
      </c>
      <c r="AE6258">
        <v>-6.1594499999999996</v>
      </c>
      <c r="AF6258">
        <v>5.5254355741422296</v>
      </c>
      <c r="AG6258">
        <v>-1.02776633</v>
      </c>
      <c r="AH6258">
        <v>32.196994242285697</v>
      </c>
      <c r="AI6258">
        <v>91.8020033196741</v>
      </c>
      <c r="AJ6258">
        <v>80.262134330889197</v>
      </c>
      <c r="AK6258">
        <v>32.683836680396901</v>
      </c>
    </row>
    <row r="6259" spans="1:37" x14ac:dyDescent="0.2">
      <c r="A6259" t="str">
        <f>"20200111155720724"</f>
        <v>20200111155720724</v>
      </c>
      <c r="B6259" t="str">
        <f>"1578729440719295"</f>
        <v>1578729440719295</v>
      </c>
      <c r="C6259" t="s">
        <v>37</v>
      </c>
      <c r="D6259">
        <v>4.6463469999999996</v>
      </c>
      <c r="E6259">
        <v>0.61099919999999996</v>
      </c>
      <c r="F6259" t="s">
        <v>75</v>
      </c>
      <c r="G6259">
        <v>-204.8031</v>
      </c>
      <c r="H6259">
        <v>5.4991379999999999E-2</v>
      </c>
      <c r="I6259">
        <v>-70.388630000000006</v>
      </c>
      <c r="J6259">
        <v>-236.82749999999999</v>
      </c>
      <c r="K6259">
        <v>1.107728</v>
      </c>
      <c r="L6259">
        <v>-64.332520000000002</v>
      </c>
      <c r="M6259">
        <v>0.99974609999999997</v>
      </c>
      <c r="N6259">
        <v>0</v>
      </c>
      <c r="O6259">
        <v>-1.764218E-2</v>
      </c>
      <c r="P6259">
        <v>0.99402250000000003</v>
      </c>
      <c r="Q6259">
        <v>3.9409729999999997E-2</v>
      </c>
      <c r="R6259">
        <v>0.1018158</v>
      </c>
      <c r="S6259">
        <v>3.0791169999999899</v>
      </c>
      <c r="T6259">
        <v>-0.1008005</v>
      </c>
      <c r="U6259">
        <v>-0.57992549999999998</v>
      </c>
      <c r="V6259">
        <v>-0.1196673</v>
      </c>
      <c r="W6259">
        <v>5.258119E-2</v>
      </c>
      <c r="X6259">
        <v>0.99142070000000004</v>
      </c>
      <c r="Y6259">
        <v>0.16764200000000001</v>
      </c>
      <c r="Z6259">
        <v>-2.1472459999999998E-3</v>
      </c>
      <c r="AA6259">
        <v>0.98584559999999999</v>
      </c>
      <c r="AB6259">
        <v>26</v>
      </c>
      <c r="AC6259">
        <v>32.024399999999901</v>
      </c>
      <c r="AD6259">
        <v>-1.0527366199999999</v>
      </c>
      <c r="AE6259">
        <v>-6.0561100000000003</v>
      </c>
      <c r="AF6259">
        <v>5.4844095344332997</v>
      </c>
      <c r="AG6259">
        <v>-1.0527366199999999</v>
      </c>
      <c r="AH6259">
        <v>32.092785340943998</v>
      </c>
      <c r="AI6259">
        <v>91.851965530858905</v>
      </c>
      <c r="AJ6259">
        <v>80.302273644002398</v>
      </c>
      <c r="AK6259">
        <v>32.5750498583254</v>
      </c>
    </row>
    <row r="6260" spans="1:37" x14ac:dyDescent="0.2">
      <c r="A6260" t="str">
        <f>"20200111155720732"</f>
        <v>20200111155720732</v>
      </c>
      <c r="B6260" t="str">
        <f>"1578729440729055"</f>
        <v>1578729440729055</v>
      </c>
      <c r="C6260" t="s">
        <v>37</v>
      </c>
      <c r="D6260">
        <v>4.6222370000000002</v>
      </c>
      <c r="E6260">
        <v>0.61113289999999998</v>
      </c>
      <c r="F6260" t="s">
        <v>75</v>
      </c>
      <c r="G6260">
        <v>-204.30240000000001</v>
      </c>
      <c r="H6260">
        <v>4.2985419999999998E-3</v>
      </c>
      <c r="I6260">
        <v>-70.383629999999997</v>
      </c>
      <c r="J6260">
        <v>-236.7056</v>
      </c>
      <c r="K6260">
        <v>1.107702</v>
      </c>
      <c r="L6260">
        <v>-64.332819999999998</v>
      </c>
      <c r="M6260">
        <v>0.99977459999999996</v>
      </c>
      <c r="N6260">
        <v>0</v>
      </c>
      <c r="O6260">
        <v>-1.593669E-2</v>
      </c>
      <c r="P6260">
        <v>0.9937994</v>
      </c>
      <c r="Q6260">
        <v>3.8724179999999997E-2</v>
      </c>
      <c r="R6260">
        <v>0.104227099999999</v>
      </c>
      <c r="S6260">
        <v>3.0808869999999899</v>
      </c>
      <c r="T6260">
        <v>-0.10452060000000001</v>
      </c>
      <c r="U6260">
        <v>-0.57318119999999995</v>
      </c>
      <c r="V6260">
        <v>-0.1203751</v>
      </c>
      <c r="W6260">
        <v>5.1895959999999998E-2</v>
      </c>
      <c r="X6260">
        <v>0.99137109999999995</v>
      </c>
      <c r="Y6260">
        <v>0.1671291</v>
      </c>
      <c r="Z6260">
        <v>-2.274313E-3</v>
      </c>
      <c r="AA6260">
        <v>0.98593240000000004</v>
      </c>
      <c r="AB6260">
        <v>26</v>
      </c>
      <c r="AC6260">
        <v>32.403199999999998</v>
      </c>
      <c r="AD6260">
        <v>-1.1034034580000001</v>
      </c>
      <c r="AE6260">
        <v>-6.05081000000001</v>
      </c>
      <c r="AF6260">
        <v>5.5273974651556799</v>
      </c>
      <c r="AG6260">
        <v>-1.1034034580000001</v>
      </c>
      <c r="AH6260">
        <v>32.459153366177901</v>
      </c>
      <c r="AI6260">
        <v>91.919331727736903</v>
      </c>
      <c r="AJ6260">
        <v>80.335929491408095</v>
      </c>
      <c r="AK6260">
        <v>32.944897316245999</v>
      </c>
    </row>
    <row r="6261" spans="1:37" x14ac:dyDescent="0.2">
      <c r="A6261" t="str">
        <f>"20200111155720744"</f>
        <v>20200111155720744</v>
      </c>
      <c r="B6261" t="str">
        <f>"1578729440738815"</f>
        <v>1578729440738815</v>
      </c>
      <c r="C6261" t="s">
        <v>37</v>
      </c>
      <c r="D6261">
        <v>4.6307299999999998</v>
      </c>
      <c r="E6261">
        <v>0.6112919</v>
      </c>
      <c r="F6261" t="s">
        <v>75</v>
      </c>
      <c r="G6261">
        <v>-204.84360000000001</v>
      </c>
      <c r="H6261" s="1">
        <v>-4.5818699999999997E-6</v>
      </c>
      <c r="I6261">
        <v>-70.192160000000001</v>
      </c>
      <c r="J6261">
        <v>-236.5744</v>
      </c>
      <c r="K6261">
        <v>1.1076729999999999</v>
      </c>
      <c r="L6261">
        <v>-64.332949999999997</v>
      </c>
      <c r="M6261">
        <v>0.99980199999999997</v>
      </c>
      <c r="N6261">
        <v>0</v>
      </c>
      <c r="O6261">
        <v>-1.4119659999999999E-2</v>
      </c>
      <c r="P6261">
        <v>0.99358139999999995</v>
      </c>
      <c r="Q6261">
        <v>3.8236069999999997E-2</v>
      </c>
      <c r="R6261">
        <v>0.1064616</v>
      </c>
      <c r="S6261">
        <v>3.0823360000000002</v>
      </c>
      <c r="T6261">
        <v>-0.107159899999999</v>
      </c>
      <c r="U6261">
        <v>-0.56683349999999999</v>
      </c>
      <c r="V6261">
        <v>-0.1207969</v>
      </c>
      <c r="W6261">
        <v>5.141167E-2</v>
      </c>
      <c r="X6261">
        <v>0.99134500000000003</v>
      </c>
      <c r="Y6261">
        <v>0.16686909999999999</v>
      </c>
      <c r="Z6261">
        <v>-2.3891670000000002E-3</v>
      </c>
      <c r="AA6261">
        <v>0.98597619999999897</v>
      </c>
      <c r="AB6261">
        <v>26</v>
      </c>
      <c r="AC6261">
        <v>31.730799999999899</v>
      </c>
      <c r="AD6261">
        <v>-1.10767758187</v>
      </c>
      <c r="AE6261">
        <v>-5.85921</v>
      </c>
      <c r="AF6261">
        <v>5.40418519319363</v>
      </c>
      <c r="AG6261">
        <v>-1.10767758187</v>
      </c>
      <c r="AH6261">
        <v>31.772932260409601</v>
      </c>
      <c r="AI6261">
        <v>91.968407056032106</v>
      </c>
      <c r="AJ6261">
        <v>80.347070663356902</v>
      </c>
      <c r="AK6261">
        <v>32.248277343949603</v>
      </c>
    </row>
    <row r="6262" spans="1:37" x14ac:dyDescent="0.2">
      <c r="A6262" t="str">
        <f>"20200111155720754"</f>
        <v>20200111155720754</v>
      </c>
      <c r="B6262" t="str">
        <f>"1578729440749552"</f>
        <v>1578729440749552</v>
      </c>
      <c r="C6262" t="s">
        <v>37</v>
      </c>
      <c r="D6262">
        <v>4.6131859999999998</v>
      </c>
      <c r="E6262">
        <v>0.6114754</v>
      </c>
      <c r="F6262" t="s">
        <v>75</v>
      </c>
      <c r="G6262">
        <v>-205.19049999999999</v>
      </c>
      <c r="H6262" s="1">
        <v>-4.3895029999999999E-6</v>
      </c>
      <c r="I6262">
        <v>-70.043400000000005</v>
      </c>
      <c r="J6262">
        <v>-236.4529</v>
      </c>
      <c r="K6262">
        <v>1.1076459999999999</v>
      </c>
      <c r="L6262">
        <v>-64.332920000000001</v>
      </c>
      <c r="M6262">
        <v>0.99982420000000005</v>
      </c>
      <c r="N6262">
        <v>0</v>
      </c>
      <c r="O6262">
        <v>-1.2452110000000001E-2</v>
      </c>
      <c r="P6262">
        <v>0.99338749999999998</v>
      </c>
      <c r="Q6262">
        <v>3.8059839999999998E-2</v>
      </c>
      <c r="R6262">
        <v>0.108319899999999</v>
      </c>
      <c r="S6262">
        <v>3.08371</v>
      </c>
      <c r="T6262">
        <v>-0.1088378</v>
      </c>
      <c r="U6262">
        <v>-0.56109619999999905</v>
      </c>
      <c r="V6262">
        <v>-0.1209937</v>
      </c>
      <c r="W6262">
        <v>5.1239760000000002E-2</v>
      </c>
      <c r="X6262">
        <v>0.99132989999999999</v>
      </c>
      <c r="Y6262">
        <v>0.16665669999999999</v>
      </c>
      <c r="Z6262">
        <v>-2.4805019999999999E-3</v>
      </c>
      <c r="AA6262">
        <v>0.98601190000000005</v>
      </c>
      <c r="AB6262">
        <v>26</v>
      </c>
      <c r="AC6262">
        <v>31.2624</v>
      </c>
      <c r="AD6262">
        <v>-1.1076503895029901</v>
      </c>
      <c r="AE6262">
        <v>-5.7104799999999996</v>
      </c>
      <c r="AF6262">
        <v>5.3142602851253704</v>
      </c>
      <c r="AG6262">
        <v>-1.1076503895029901</v>
      </c>
      <c r="AH6262">
        <v>31.293075248461999</v>
      </c>
      <c r="AI6262">
        <v>91.998605425339804</v>
      </c>
      <c r="AJ6262">
        <v>80.361853529518697</v>
      </c>
      <c r="AK6262">
        <v>31.760428370368899</v>
      </c>
    </row>
    <row r="6263" spans="1:37" x14ac:dyDescent="0.2">
      <c r="A6263" t="str">
        <f>"20200111155720776"</f>
        <v>20200111155720776</v>
      </c>
      <c r="B6263" t="str">
        <f>"1578729440769072"</f>
        <v>1578729440769072</v>
      </c>
      <c r="C6263" t="s">
        <v>37</v>
      </c>
      <c r="D6263">
        <v>4.5782920000000003</v>
      </c>
      <c r="E6263">
        <v>0.6114754</v>
      </c>
      <c r="F6263" t="s">
        <v>75</v>
      </c>
      <c r="G6263">
        <v>-205.29519999999999</v>
      </c>
      <c r="H6263" s="1">
        <v>-4.3264300000000002E-6</v>
      </c>
      <c r="I6263">
        <v>-69.956630000000004</v>
      </c>
      <c r="J6263">
        <v>-236.19630000000001</v>
      </c>
      <c r="K6263">
        <v>1.1075820000000001</v>
      </c>
      <c r="L6263">
        <v>-64.332149999999999</v>
      </c>
      <c r="M6263">
        <v>0.99986119999999901</v>
      </c>
      <c r="N6263">
        <v>0</v>
      </c>
      <c r="O6263">
        <v>-8.9925119999999994E-3</v>
      </c>
      <c r="P6263">
        <v>0.99302669999999904</v>
      </c>
      <c r="Q6263">
        <v>3.7389829999999999E-2</v>
      </c>
      <c r="R6263">
        <v>0.1118045</v>
      </c>
      <c r="S6263">
        <v>3.0848689999999999</v>
      </c>
      <c r="T6263">
        <v>-0.10966629999999999</v>
      </c>
      <c r="U6263">
        <v>-0.55679319999999999</v>
      </c>
      <c r="V6263">
        <v>-0.12103129999999999</v>
      </c>
      <c r="W6263">
        <v>5.0583999999999997E-2</v>
      </c>
      <c r="X6263">
        <v>0.99135899999999999</v>
      </c>
      <c r="Y6263">
        <v>0.16866639999999999</v>
      </c>
      <c r="Z6263">
        <v>-2.6560939999999999E-3</v>
      </c>
      <c r="AA6263">
        <v>0.98566960000000003</v>
      </c>
      <c r="AB6263">
        <v>26</v>
      </c>
      <c r="AC6263">
        <v>30.9011</v>
      </c>
      <c r="AD6263">
        <v>-1.1075863264300001</v>
      </c>
      <c r="AE6263">
        <v>-5.6244800000000001</v>
      </c>
      <c r="AF6263">
        <v>5.3397066627002303</v>
      </c>
      <c r="AG6263">
        <v>-1.1075863264300001</v>
      </c>
      <c r="AH6263">
        <v>30.9119938401167</v>
      </c>
      <c r="AI6263">
        <v>92.022126007332503</v>
      </c>
      <c r="AJ6263">
        <v>80.199499309259394</v>
      </c>
      <c r="AK6263">
        <v>31.389338602232399</v>
      </c>
    </row>
    <row r="6264" spans="1:37" x14ac:dyDescent="0.2">
      <c r="A6264" t="str">
        <f>"20200111155720788"</f>
        <v>20200111155720788</v>
      </c>
      <c r="B6264" t="str">
        <f>"1578729440778832"</f>
        <v>1578729440778832</v>
      </c>
      <c r="C6264" t="s">
        <v>37</v>
      </c>
      <c r="D6264">
        <v>4.6260279999999998</v>
      </c>
      <c r="E6264">
        <v>0.61870329999999996</v>
      </c>
      <c r="F6264" t="s">
        <v>75</v>
      </c>
      <c r="G6264">
        <v>-205.4742</v>
      </c>
      <c r="H6264" s="1">
        <v>-4.2077369999999999E-6</v>
      </c>
      <c r="I6264">
        <v>-69.767539999999997</v>
      </c>
      <c r="J6264">
        <v>-236.07380000000001</v>
      </c>
      <c r="K6264">
        <v>1.1075459999999999</v>
      </c>
      <c r="L6264">
        <v>-64.331450000000004</v>
      </c>
      <c r="M6264">
        <v>0.99987440000000005</v>
      </c>
      <c r="N6264">
        <v>0</v>
      </c>
      <c r="O6264">
        <v>-7.3820019999999899E-3</v>
      </c>
      <c r="P6264">
        <v>0.99290480000000003</v>
      </c>
      <c r="Q6264">
        <v>3.695346E-2</v>
      </c>
      <c r="R6264">
        <v>0.11302479999999999</v>
      </c>
      <c r="S6264">
        <v>3.0867610000000001</v>
      </c>
      <c r="T6264">
        <v>-0.1112831</v>
      </c>
      <c r="U6264">
        <v>-0.54611209999999999</v>
      </c>
      <c r="V6264">
        <v>-0.1206458</v>
      </c>
      <c r="W6264">
        <v>5.0157769999999997E-2</v>
      </c>
      <c r="X6264">
        <v>0.99142770000000002</v>
      </c>
      <c r="Y6264">
        <v>0.16684019999999999</v>
      </c>
      <c r="Z6264">
        <v>-2.719338E-3</v>
      </c>
      <c r="AA6264">
        <v>0.98598019999999997</v>
      </c>
      <c r="AB6264">
        <v>26</v>
      </c>
      <c r="AC6264">
        <v>30.599599999999999</v>
      </c>
      <c r="AD6264">
        <v>-1.1075502077370001</v>
      </c>
      <c r="AE6264">
        <v>-5.4360899999999903</v>
      </c>
      <c r="AF6264">
        <v>5.2034250214095996</v>
      </c>
      <c r="AG6264">
        <v>-1.1075502077370001</v>
      </c>
      <c r="AH6264">
        <v>30.6000374744646</v>
      </c>
      <c r="AI6264">
        <v>92.043572126736507</v>
      </c>
      <c r="AJ6264">
        <v>80.349373020179598</v>
      </c>
      <c r="AK6264">
        <v>31.0590500958211</v>
      </c>
    </row>
    <row r="6265" spans="1:37" x14ac:dyDescent="0.2">
      <c r="A6265" t="str">
        <f>"20200111155720801"</f>
        <v>20200111155720801</v>
      </c>
      <c r="B6265" t="str">
        <f>"1578729440789569"</f>
        <v>1578729440789569</v>
      </c>
      <c r="C6265" t="s">
        <v>37</v>
      </c>
      <c r="D6265">
        <v>4.6508560000000001</v>
      </c>
      <c r="E6265">
        <v>0.61893860000000001</v>
      </c>
      <c r="F6265" t="s">
        <v>75</v>
      </c>
      <c r="G6265">
        <v>-203.66159999999999</v>
      </c>
      <c r="H6265">
        <v>7.9987619999999995E-2</v>
      </c>
      <c r="I6265">
        <v>-70.616010000000003</v>
      </c>
      <c r="J6265">
        <v>-235.9426</v>
      </c>
      <c r="K6265">
        <v>1.107507</v>
      </c>
      <c r="L6265">
        <v>-64.330600000000004</v>
      </c>
      <c r="M6265">
        <v>0.99988569999999999</v>
      </c>
      <c r="N6265">
        <v>0</v>
      </c>
      <c r="O6265">
        <v>-5.6665069999999899E-3</v>
      </c>
      <c r="P6265">
        <v>0.99277389999999999</v>
      </c>
      <c r="Q6265">
        <v>3.6148039999999999E-2</v>
      </c>
      <c r="R6265">
        <v>0.1144265</v>
      </c>
      <c r="S6265">
        <v>3.0933839999999999</v>
      </c>
      <c r="T6265">
        <v>-9.8069190000000001E-2</v>
      </c>
      <c r="U6265">
        <v>-0.59979249999999995</v>
      </c>
      <c r="V6265">
        <v>-0.1203357</v>
      </c>
      <c r="W6265">
        <v>4.9362919999999998E-2</v>
      </c>
      <c r="X6265">
        <v>0.99150519999999998</v>
      </c>
      <c r="Y6265">
        <v>0.184697</v>
      </c>
      <c r="Z6265">
        <v>-2.7220569999999999E-3</v>
      </c>
      <c r="AA6265">
        <v>0.98279169999999905</v>
      </c>
      <c r="AB6265">
        <v>26</v>
      </c>
      <c r="AC6265">
        <v>32.280999999999999</v>
      </c>
      <c r="AD6265">
        <v>-1.02751938</v>
      </c>
      <c r="AE6265">
        <v>-6.2854099999999899</v>
      </c>
      <c r="AF6265">
        <v>6.0964194395133697</v>
      </c>
      <c r="AG6265">
        <v>-1.02751938</v>
      </c>
      <c r="AH6265">
        <v>32.284586192556297</v>
      </c>
      <c r="AI6265">
        <v>91.791297327543703</v>
      </c>
      <c r="AJ6265">
        <v>79.306539751433903</v>
      </c>
      <c r="AK6265">
        <v>32.871212811263099</v>
      </c>
    </row>
    <row r="6266" spans="1:37" x14ac:dyDescent="0.2">
      <c r="A6266" t="str">
        <f>"20200111155720811"</f>
        <v>20200111155720811</v>
      </c>
      <c r="B6266" t="str">
        <f>"1578729440799327"</f>
        <v>1578729440799327</v>
      </c>
      <c r="C6266" t="s">
        <v>37</v>
      </c>
      <c r="D6266">
        <v>4.6184190000000003</v>
      </c>
      <c r="E6266">
        <v>0.61928760000000005</v>
      </c>
      <c r="F6266" t="s">
        <v>75</v>
      </c>
      <c r="G6266">
        <v>-204.33949999999999</v>
      </c>
      <c r="H6266">
        <v>7.9987639999999999E-2</v>
      </c>
      <c r="I6266">
        <v>-70.431449999999998</v>
      </c>
      <c r="J6266">
        <v>-235.8167</v>
      </c>
      <c r="K6266">
        <v>1.1074649999999999</v>
      </c>
      <c r="L6266">
        <v>-64.329470000000001</v>
      </c>
      <c r="M6266">
        <v>0.99989349999999999</v>
      </c>
      <c r="N6266">
        <v>0</v>
      </c>
      <c r="O6266">
        <v>-4.0596399999999998E-3</v>
      </c>
      <c r="P6266">
        <v>0.99268449999999997</v>
      </c>
      <c r="Q6266">
        <v>3.5077560000000001E-2</v>
      </c>
      <c r="R6266">
        <v>0.11552939999999901</v>
      </c>
      <c r="S6266">
        <v>3.0943450000000001</v>
      </c>
      <c r="T6266">
        <v>-0.1006073</v>
      </c>
      <c r="U6266">
        <v>-0.59735109999999902</v>
      </c>
      <c r="V6266">
        <v>-0.119833199999999</v>
      </c>
      <c r="W6266">
        <v>4.8305130000000002E-2</v>
      </c>
      <c r="X6266">
        <v>0.99161819999999901</v>
      </c>
      <c r="Y6266">
        <v>0.18546609999999999</v>
      </c>
      <c r="Z6266">
        <v>-2.8559559999999898E-3</v>
      </c>
      <c r="AA6266">
        <v>0.98264649999999998</v>
      </c>
      <c r="AB6266">
        <v>26</v>
      </c>
      <c r="AC6266">
        <v>31.4772</v>
      </c>
      <c r="AD6266">
        <v>-1.02747736</v>
      </c>
      <c r="AE6266">
        <v>-6.1019799999999904</v>
      </c>
      <c r="AF6266">
        <v>5.9680024679145296</v>
      </c>
      <c r="AG6266">
        <v>-1.02747736</v>
      </c>
      <c r="AH6266">
        <v>31.469398703369901</v>
      </c>
      <c r="AI6266">
        <v>91.837320794151395</v>
      </c>
      <c r="AJ6266">
        <v>79.261685973455002</v>
      </c>
      <c r="AK6266">
        <v>32.046775468586603</v>
      </c>
    </row>
    <row r="6267" spans="1:37" x14ac:dyDescent="0.2">
      <c r="A6267" t="str">
        <f>"20200111155720822"</f>
        <v>20200111155720822</v>
      </c>
      <c r="B6267" t="str">
        <f>"1578729440818848"</f>
        <v>1578729440818848</v>
      </c>
      <c r="C6267" t="s">
        <v>37</v>
      </c>
      <c r="D6267">
        <v>4.6363830000000004</v>
      </c>
      <c r="E6267">
        <v>0.62018359999999995</v>
      </c>
      <c r="F6267" t="s">
        <v>75</v>
      </c>
      <c r="G6267">
        <v>-204.3956</v>
      </c>
      <c r="H6267">
        <v>5.390466E-2</v>
      </c>
      <c r="I6267">
        <v>-70.387540000000001</v>
      </c>
      <c r="J6267">
        <v>-235.6865</v>
      </c>
      <c r="K6267">
        <v>1.1074200000000001</v>
      </c>
      <c r="L6267">
        <v>-64.328220000000002</v>
      </c>
      <c r="M6267">
        <v>0.99989899999999998</v>
      </c>
      <c r="N6267">
        <v>0</v>
      </c>
      <c r="O6267">
        <v>-2.4126270000000001E-3</v>
      </c>
      <c r="P6267">
        <v>0.99258199999999996</v>
      </c>
      <c r="Q6267">
        <v>3.3855749999999997E-2</v>
      </c>
      <c r="R6267">
        <v>0.116769699999999</v>
      </c>
      <c r="S6267">
        <v>3.0952449999999998</v>
      </c>
      <c r="T6267">
        <v>-0.1037846</v>
      </c>
      <c r="U6267">
        <v>-0.59677119999999995</v>
      </c>
      <c r="V6267">
        <v>-0.1194273</v>
      </c>
      <c r="W6267">
        <v>4.7096289999999999E-2</v>
      </c>
      <c r="X6267">
        <v>0.99172530000000003</v>
      </c>
      <c r="Y6267">
        <v>0.18684629999999999</v>
      </c>
      <c r="Z6267">
        <v>-3.0229379999999902E-3</v>
      </c>
      <c r="AA6267">
        <v>0.98238449999999899</v>
      </c>
      <c r="AB6267">
        <v>26</v>
      </c>
      <c r="AC6267">
        <v>31.290899999999901</v>
      </c>
      <c r="AD6267">
        <v>-1.0535153399999999</v>
      </c>
      <c r="AE6267">
        <v>-6.0593199999999996</v>
      </c>
      <c r="AF6267">
        <v>5.9772709640424004</v>
      </c>
      <c r="AG6267">
        <v>-1.0535153399999999</v>
      </c>
      <c r="AH6267">
        <v>31.271262479256102</v>
      </c>
      <c r="AI6267">
        <v>91.895254564072005</v>
      </c>
      <c r="AJ6267">
        <v>79.178860031188407</v>
      </c>
      <c r="AK6267">
        <v>31.854819412386099</v>
      </c>
    </row>
    <row r="6268" spans="1:37" x14ac:dyDescent="0.2">
      <c r="A6268" t="str">
        <f>"20200111155720833"</f>
        <v>20200111155720833</v>
      </c>
      <c r="B6268" t="str">
        <f>"1578729440829583"</f>
        <v>1578729440829583</v>
      </c>
      <c r="C6268" t="s">
        <v>37</v>
      </c>
      <c r="D6268">
        <v>4.6477889999999897</v>
      </c>
      <c r="E6268">
        <v>0.62066169999999998</v>
      </c>
      <c r="F6268" t="s">
        <v>75</v>
      </c>
      <c r="G6268">
        <v>-204.43969999999999</v>
      </c>
      <c r="H6268">
        <v>1.2014220000000001E-2</v>
      </c>
      <c r="I6268">
        <v>-70.383629999999997</v>
      </c>
      <c r="J6268">
        <v>-235.5566</v>
      </c>
      <c r="K6268">
        <v>1.1073709999999899</v>
      </c>
      <c r="L6268">
        <v>-64.326719999999995</v>
      </c>
      <c r="M6268">
        <v>0.99990159999999995</v>
      </c>
      <c r="N6268">
        <v>0</v>
      </c>
      <c r="O6268">
        <v>-7.9782249999999996E-4</v>
      </c>
      <c r="P6268">
        <v>0.99248639999999999</v>
      </c>
      <c r="Q6268">
        <v>3.2419829999999997E-2</v>
      </c>
      <c r="R6268">
        <v>0.117982399999999</v>
      </c>
      <c r="S6268">
        <v>3.0967410000000002</v>
      </c>
      <c r="T6268">
        <v>-0.10856150000000001</v>
      </c>
      <c r="U6268">
        <v>-0.600128199999999</v>
      </c>
      <c r="V6268">
        <v>-0.1190247</v>
      </c>
      <c r="W6268">
        <v>4.567351E-2</v>
      </c>
      <c r="X6268">
        <v>0.99184019999999995</v>
      </c>
      <c r="Y6268">
        <v>0.18935879999999999</v>
      </c>
      <c r="Z6268">
        <v>-3.2598670000000001E-3</v>
      </c>
      <c r="AA6268">
        <v>0.98190250000000001</v>
      </c>
      <c r="AB6268">
        <v>26</v>
      </c>
      <c r="AC6268">
        <v>31.116900000000001</v>
      </c>
      <c r="AD6268">
        <v>-1.0953567799999999</v>
      </c>
      <c r="AE6268">
        <v>-6.05691000000001</v>
      </c>
      <c r="AF6268">
        <v>6.0248867644536901</v>
      </c>
      <c r="AG6268">
        <v>-1.0953567799999999</v>
      </c>
      <c r="AH6268">
        <v>31.0846110060446</v>
      </c>
      <c r="AI6268">
        <v>91.981306006396295</v>
      </c>
      <c r="AJ6268">
        <v>79.030817931324805</v>
      </c>
      <c r="AK6268">
        <v>31.682047099218298</v>
      </c>
    </row>
    <row r="6269" spans="1:37" x14ac:dyDescent="0.2">
      <c r="A6269" t="str">
        <f>"20200111155720846"</f>
        <v>20200111155720846</v>
      </c>
      <c r="B6269" t="str">
        <f>"1578729440839344"</f>
        <v>1578729440839344</v>
      </c>
      <c r="C6269" t="s">
        <v>37</v>
      </c>
      <c r="D6269">
        <v>4.6487119999999997</v>
      </c>
      <c r="E6269">
        <v>0.62066169999999998</v>
      </c>
      <c r="F6269" t="s">
        <v>75</v>
      </c>
      <c r="G6269">
        <v>-204.93860000000001</v>
      </c>
      <c r="H6269" s="1">
        <v>-4.5581859999999999E-6</v>
      </c>
      <c r="I6269">
        <v>-70.258759999999995</v>
      </c>
      <c r="J6269">
        <v>-235.42429999999999</v>
      </c>
      <c r="K6269">
        <v>1.1073189999999999</v>
      </c>
      <c r="L6269">
        <v>-64.325069999999997</v>
      </c>
      <c r="M6269">
        <v>0.9999017</v>
      </c>
      <c r="N6269">
        <v>0</v>
      </c>
      <c r="O6269">
        <v>8.140151E-4</v>
      </c>
      <c r="P6269">
        <v>0.99238369999999998</v>
      </c>
      <c r="Q6269">
        <v>3.1256190000000003E-2</v>
      </c>
      <c r="R6269">
        <v>0.11915480000000001</v>
      </c>
      <c r="S6269">
        <v>3.097702</v>
      </c>
      <c r="T6269">
        <v>-0.112036</v>
      </c>
      <c r="U6269">
        <v>-0.60015869999999905</v>
      </c>
      <c r="V6269">
        <v>-0.11858579999999901</v>
      </c>
      <c r="W6269">
        <v>4.4523599999999899E-2</v>
      </c>
      <c r="X6269">
        <v>0.99194509999999902</v>
      </c>
      <c r="Y6269">
        <v>0.19088459999999999</v>
      </c>
      <c r="Z6269">
        <v>-3.4481849999999999E-3</v>
      </c>
      <c r="AA6269">
        <v>0.98160639999999999</v>
      </c>
      <c r="AB6269">
        <v>26</v>
      </c>
      <c r="AC6269">
        <v>30.485699999999898</v>
      </c>
      <c r="AD6269">
        <v>-1.1073235581859999</v>
      </c>
      <c r="AE6269">
        <v>-5.9336899999999897</v>
      </c>
      <c r="AF6269">
        <v>5.9509415532437604</v>
      </c>
      <c r="AG6269">
        <v>-1.1073235581859999</v>
      </c>
      <c r="AH6269">
        <v>30.4421617717571</v>
      </c>
      <c r="AI6269">
        <v>92.044531904397999</v>
      </c>
      <c r="AJ6269">
        <v>78.939103496955894</v>
      </c>
      <c r="AK6269">
        <v>31.038123077442499</v>
      </c>
    </row>
    <row r="6270" spans="1:37" x14ac:dyDescent="0.2">
      <c r="A6270" t="str">
        <f>"20200111155720855"</f>
        <v>20200111155720855</v>
      </c>
      <c r="B6270" t="str">
        <f>"1578729440849104"</f>
        <v>1578729440849104</v>
      </c>
      <c r="C6270" t="s">
        <v>37</v>
      </c>
      <c r="D6270">
        <v>4.6482669999999997</v>
      </c>
      <c r="E6270">
        <v>0.62430289999999999</v>
      </c>
      <c r="F6270" t="s">
        <v>75</v>
      </c>
      <c r="G6270">
        <v>-205.62549999999999</v>
      </c>
      <c r="H6270" s="1">
        <v>-4.228605E-6</v>
      </c>
      <c r="I6270">
        <v>-70.063190000000006</v>
      </c>
      <c r="J6270">
        <v>-235.29750000000001</v>
      </c>
      <c r="K6270">
        <v>1.1072649999999999</v>
      </c>
      <c r="L6270">
        <v>-64.323329999999999</v>
      </c>
      <c r="M6270">
        <v>0.99989910000000004</v>
      </c>
      <c r="N6270">
        <v>0</v>
      </c>
      <c r="O6270">
        <v>2.337156E-3</v>
      </c>
      <c r="P6270">
        <v>0.99225209999999997</v>
      </c>
      <c r="Q6270">
        <v>2.999872E-2</v>
      </c>
      <c r="R6270">
        <v>0.12056509999999999</v>
      </c>
      <c r="S6270">
        <v>3.098312</v>
      </c>
      <c r="T6270">
        <v>-0.115133399999999</v>
      </c>
      <c r="U6270">
        <v>-0.59661869999999995</v>
      </c>
      <c r="V6270">
        <v>-0.1184735</v>
      </c>
      <c r="W6270">
        <v>4.3277400000000001E-2</v>
      </c>
      <c r="X6270">
        <v>0.99201360000000005</v>
      </c>
      <c r="Y6270">
        <v>0.19125449999999999</v>
      </c>
      <c r="Z6270">
        <v>-3.6060269999999999E-3</v>
      </c>
      <c r="AA6270">
        <v>0.98153389999999996</v>
      </c>
      <c r="AB6270">
        <v>26</v>
      </c>
      <c r="AC6270">
        <v>29.672000000000001</v>
      </c>
      <c r="AD6270">
        <v>-1.1072692286049901</v>
      </c>
      <c r="AE6270">
        <v>-5.7398600000000002</v>
      </c>
      <c r="AF6270">
        <v>5.8014118355632602</v>
      </c>
      <c r="AG6270">
        <v>-1.1072692286049901</v>
      </c>
      <c r="AH6270">
        <v>29.618744667521199</v>
      </c>
      <c r="AI6270">
        <v>92.101064985563298</v>
      </c>
      <c r="AJ6270">
        <v>78.9177993015971</v>
      </c>
      <c r="AK6270">
        <v>30.201861864962002</v>
      </c>
    </row>
    <row r="6271" spans="1:37" x14ac:dyDescent="0.2">
      <c r="A6271" t="str">
        <f>"20200111155720868"</f>
        <v>20200111155720868</v>
      </c>
      <c r="B6271" t="str">
        <f>"1578729440858864"</f>
        <v>1578729440858864</v>
      </c>
      <c r="C6271" t="s">
        <v>37</v>
      </c>
      <c r="D6271">
        <v>4.6382909999999997</v>
      </c>
      <c r="E6271">
        <v>0.62408599999999903</v>
      </c>
      <c r="F6271" t="s">
        <v>75</v>
      </c>
      <c r="G6271">
        <v>-206.14670000000001</v>
      </c>
      <c r="H6271" s="1">
        <v>-4.0551980000000001E-6</v>
      </c>
      <c r="I6271">
        <v>-70.159689999999998</v>
      </c>
      <c r="J6271">
        <v>-235.16909999999999</v>
      </c>
      <c r="K6271">
        <v>1.107205</v>
      </c>
      <c r="L6271">
        <v>-64.321290000000005</v>
      </c>
      <c r="M6271">
        <v>0.99989470000000003</v>
      </c>
      <c r="N6271">
        <v>0</v>
      </c>
      <c r="O6271">
        <v>3.8196020000000001E-3</v>
      </c>
      <c r="P6271">
        <v>0.99211439999999995</v>
      </c>
      <c r="Q6271">
        <v>2.863858E-2</v>
      </c>
      <c r="R6271">
        <v>0.122021</v>
      </c>
      <c r="S6271">
        <v>3.1024780000000001</v>
      </c>
      <c r="T6271">
        <v>-0.11784509999999999</v>
      </c>
      <c r="U6271">
        <v>-0.62115480000000001</v>
      </c>
      <c r="V6271">
        <v>-0.11844539999999899</v>
      </c>
      <c r="W6271">
        <v>4.193061E-2</v>
      </c>
      <c r="X6271">
        <v>0.99207479999999904</v>
      </c>
      <c r="Y6271">
        <v>0.1999194</v>
      </c>
      <c r="Z6271">
        <v>-3.901903E-3</v>
      </c>
      <c r="AA6271">
        <v>0.97980460000000003</v>
      </c>
      <c r="AB6271">
        <v>26</v>
      </c>
      <c r="AC6271">
        <v>29.022399999999902</v>
      </c>
      <c r="AD6271">
        <v>-1.1072090551980001</v>
      </c>
      <c r="AE6271">
        <v>-5.8383999999999903</v>
      </c>
      <c r="AF6271">
        <v>5.9409119857811801</v>
      </c>
      <c r="AG6271">
        <v>-1.1072090551980001</v>
      </c>
      <c r="AH6271">
        <v>28.959376585923</v>
      </c>
      <c r="AI6271">
        <v>92.144907295551704</v>
      </c>
      <c r="AJ6271">
        <v>78.406823945748997</v>
      </c>
      <c r="AK6271">
        <v>29.5832019795021</v>
      </c>
    </row>
    <row r="6272" spans="1:37" x14ac:dyDescent="0.2">
      <c r="A6272" t="str">
        <f>"20200111155720879"</f>
        <v>20200111155720879</v>
      </c>
      <c r="B6272" t="str">
        <f>"1578729440869600"</f>
        <v>1578729440869600</v>
      </c>
      <c r="C6272" t="s">
        <v>37</v>
      </c>
      <c r="D6272">
        <v>4.649921</v>
      </c>
      <c r="E6272">
        <v>0.6244229</v>
      </c>
      <c r="F6272" t="s">
        <v>75</v>
      </c>
      <c r="G6272">
        <v>-206.09649999999999</v>
      </c>
      <c r="H6272" s="1">
        <v>-4.0544380000000003E-6</v>
      </c>
      <c r="I6272">
        <v>-70.084789999999998</v>
      </c>
      <c r="J6272">
        <v>-235.0411</v>
      </c>
      <c r="K6272">
        <v>1.107145</v>
      </c>
      <c r="L6272">
        <v>-64.319239999999994</v>
      </c>
      <c r="M6272">
        <v>0.9998882</v>
      </c>
      <c r="N6272">
        <v>0</v>
      </c>
      <c r="O6272">
        <v>5.2799569999999896E-3</v>
      </c>
      <c r="P6272">
        <v>0.99199820000000005</v>
      </c>
      <c r="Q6272">
        <v>2.7330799999999999E-2</v>
      </c>
      <c r="R6272">
        <v>0.1232591</v>
      </c>
      <c r="S6272">
        <v>3.1029360000000001</v>
      </c>
      <c r="T6272">
        <v>-0.11817319999999901</v>
      </c>
      <c r="U6272">
        <v>-0.61514279999999999</v>
      </c>
      <c r="V6272">
        <v>-0.1182218</v>
      </c>
      <c r="W6272">
        <v>4.0638050000000002E-2</v>
      </c>
      <c r="X6272">
        <v>0.99215529999999996</v>
      </c>
      <c r="Y6272">
        <v>0.19949510000000001</v>
      </c>
      <c r="Z6272">
        <v>-3.9600059999999899E-3</v>
      </c>
      <c r="AA6272">
        <v>0.97989079999999995</v>
      </c>
      <c r="AB6272">
        <v>26</v>
      </c>
      <c r="AC6272">
        <v>28.944600000000001</v>
      </c>
      <c r="AD6272">
        <v>-1.107149054438</v>
      </c>
      <c r="AE6272">
        <v>-5.7655499999999904</v>
      </c>
      <c r="AF6272">
        <v>5.9099938434064603</v>
      </c>
      <c r="AG6272">
        <v>-1.107149054438</v>
      </c>
      <c r="AH6272">
        <v>28.873119263425099</v>
      </c>
      <c r="AI6272">
        <v>92.151386207022</v>
      </c>
      <c r="AJ6272">
        <v>78.432005764748894</v>
      </c>
      <c r="AK6272">
        <v>29.4925553700898</v>
      </c>
    </row>
    <row r="6273" spans="1:37" x14ac:dyDescent="0.2">
      <c r="A6273" t="str">
        <f>"20200111155720889"</f>
        <v>20200111155720889</v>
      </c>
      <c r="B6273" t="str">
        <f>"1578729440879360"</f>
        <v>1578729440879360</v>
      </c>
      <c r="C6273" t="s">
        <v>37</v>
      </c>
      <c r="D6273">
        <v>4.700043</v>
      </c>
      <c r="E6273">
        <v>0.6244229</v>
      </c>
      <c r="F6273" t="s">
        <v>75</v>
      </c>
      <c r="G6273">
        <v>-206.06379999999999</v>
      </c>
      <c r="H6273" s="1">
        <v>-4.0585250000000002E-6</v>
      </c>
      <c r="I6273">
        <v>-70.053159999999906</v>
      </c>
      <c r="J6273">
        <v>-234.9213</v>
      </c>
      <c r="K6273">
        <v>1.1070709999999999</v>
      </c>
      <c r="L6273">
        <v>-64.31711</v>
      </c>
      <c r="M6273">
        <v>0.99988049999999995</v>
      </c>
      <c r="N6273">
        <v>0</v>
      </c>
      <c r="O6273">
        <v>6.566339E-3</v>
      </c>
      <c r="P6273">
        <v>0.99185249999999903</v>
      </c>
      <c r="Q6273">
        <v>2.6191740000000002E-2</v>
      </c>
      <c r="R6273">
        <v>0.124671399999999</v>
      </c>
      <c r="S6273">
        <v>3.10379</v>
      </c>
      <c r="T6273">
        <v>-0.118588</v>
      </c>
      <c r="U6273">
        <v>-0.61416630000000005</v>
      </c>
      <c r="V6273">
        <v>-0.1183463</v>
      </c>
      <c r="W6273">
        <v>3.9514090000000002E-2</v>
      </c>
      <c r="X6273">
        <v>0.99218589999999995</v>
      </c>
      <c r="Y6273">
        <v>0.200405</v>
      </c>
      <c r="Z6273">
        <v>-4.0388300000000002E-3</v>
      </c>
      <c r="AA6273">
        <v>0.97970480000000004</v>
      </c>
      <c r="AB6273">
        <v>26</v>
      </c>
      <c r="AC6273">
        <v>28.857500000000002</v>
      </c>
      <c r="AD6273">
        <v>-1.107075058525</v>
      </c>
      <c r="AE6273">
        <v>-5.7360499999999899</v>
      </c>
      <c r="AF6273">
        <v>5.9170555174971202</v>
      </c>
      <c r="AG6273">
        <v>-1.107075058525</v>
      </c>
      <c r="AH6273">
        <v>28.778464090810001</v>
      </c>
      <c r="AI6273">
        <v>92.1579216113619</v>
      </c>
      <c r="AJ6273">
        <v>78.381498312682893</v>
      </c>
      <c r="AK6273">
        <v>29.401312157936001</v>
      </c>
    </row>
    <row r="6274" spans="1:37" x14ac:dyDescent="0.2">
      <c r="A6274" t="str">
        <f>"20200111155720900"</f>
        <v>20200111155720900</v>
      </c>
      <c r="B6274" t="str">
        <f>"1578729440889120"</f>
        <v>1578729440889120</v>
      </c>
      <c r="C6274" t="s">
        <v>37</v>
      </c>
      <c r="D6274">
        <v>5.0488369999999998</v>
      </c>
      <c r="E6274">
        <v>0.59119719999999998</v>
      </c>
      <c r="F6274" t="s">
        <v>75</v>
      </c>
      <c r="G6274">
        <v>-206.61760000000001</v>
      </c>
      <c r="H6274" s="1">
        <v>-3.8002730000000002E-6</v>
      </c>
      <c r="I6274">
        <v>-69.877480000000006</v>
      </c>
      <c r="J6274">
        <v>-234.8021</v>
      </c>
      <c r="K6274">
        <v>1.1069979999999999</v>
      </c>
      <c r="L6274">
        <v>-64.314970000000002</v>
      </c>
      <c r="M6274">
        <v>0.99987150000000002</v>
      </c>
      <c r="N6274">
        <v>0</v>
      </c>
      <c r="O6274">
        <v>7.8302800000000002E-3</v>
      </c>
      <c r="P6274">
        <v>0.99173239999999996</v>
      </c>
      <c r="Q6274">
        <v>2.466807E-2</v>
      </c>
      <c r="R6274">
        <v>0.12593089999999901</v>
      </c>
      <c r="S6274">
        <v>3.1045229999999999</v>
      </c>
      <c r="T6274">
        <v>-0.1214305</v>
      </c>
      <c r="U6274">
        <v>-0.60989380000000004</v>
      </c>
      <c r="V6274">
        <v>-0.118337699999999</v>
      </c>
      <c r="W6274">
        <v>3.8006989999999997E-2</v>
      </c>
      <c r="X6274">
        <v>0.99224579999999996</v>
      </c>
      <c r="Y6274">
        <v>0.20029359999999999</v>
      </c>
      <c r="Z6274">
        <v>-4.1819730000000003E-3</v>
      </c>
      <c r="AA6274">
        <v>0.97972700000000001</v>
      </c>
      <c r="AB6274">
        <v>26</v>
      </c>
      <c r="AC6274">
        <v>28.1844999999999</v>
      </c>
      <c r="AD6274">
        <v>-1.107001800273</v>
      </c>
      <c r="AE6274">
        <v>-5.5625099999999996</v>
      </c>
      <c r="AF6274">
        <v>5.7744793563369097</v>
      </c>
      <c r="AG6274">
        <v>-1.107001800273</v>
      </c>
      <c r="AH6274">
        <v>28.098353830322601</v>
      </c>
      <c r="AI6274">
        <v>92.209998488991801</v>
      </c>
      <c r="AJ6274">
        <v>78.386860321811696</v>
      </c>
      <c r="AK6274">
        <v>28.7069251714037</v>
      </c>
    </row>
    <row r="6275" spans="1:37" x14ac:dyDescent="0.2">
      <c r="A6275" t="str">
        <f>"20200111155720911"</f>
        <v>20200111155720911</v>
      </c>
      <c r="B6275" t="str">
        <f>"1578729440909616"</f>
        <v>1578729440909616</v>
      </c>
      <c r="C6275" t="s">
        <v>37</v>
      </c>
      <c r="D6275">
        <v>4.860735</v>
      </c>
      <c r="E6275">
        <v>0.56738299999999997</v>
      </c>
      <c r="F6275" t="s">
        <v>40</v>
      </c>
      <c r="G6275">
        <v>-233.86369999999999</v>
      </c>
      <c r="H6275">
        <v>1.0480989999999999</v>
      </c>
      <c r="I6275">
        <v>-64.419869999999904</v>
      </c>
      <c r="J6275">
        <v>-234.66980000000001</v>
      </c>
      <c r="K6275">
        <v>1.1069069999999901</v>
      </c>
      <c r="L6275">
        <v>-64.312380000000005</v>
      </c>
      <c r="M6275">
        <v>0.99986049999999904</v>
      </c>
      <c r="N6275">
        <v>0</v>
      </c>
      <c r="O6275">
        <v>9.1517089999999992E-3</v>
      </c>
      <c r="P6275">
        <v>0.99158709999999906</v>
      </c>
      <c r="Q6275">
        <v>2.3386469999999999E-2</v>
      </c>
      <c r="R6275">
        <v>0.1273117</v>
      </c>
      <c r="S6275">
        <v>3.073334</v>
      </c>
      <c r="T6275">
        <v>-0.1928744</v>
      </c>
      <c r="U6275">
        <v>-0.34292600000000001</v>
      </c>
      <c r="V6275">
        <v>-0.11839429999999999</v>
      </c>
      <c r="W6275">
        <v>3.6745680000000003E-2</v>
      </c>
      <c r="X6275">
        <v>0.99228649999999996</v>
      </c>
      <c r="Y6275">
        <v>0.11973389999999901</v>
      </c>
      <c r="Z6275">
        <v>-4.3139509999999999E-3</v>
      </c>
      <c r="AA6275">
        <v>0.99279669999999898</v>
      </c>
      <c r="AB6275">
        <v>25</v>
      </c>
      <c r="AC6275">
        <v>0.80610000000001403</v>
      </c>
      <c r="AD6275">
        <v>-5.8807999999999902E-2</v>
      </c>
      <c r="AE6275">
        <v>-0.107489999999984</v>
      </c>
      <c r="AF6275">
        <v>0.114265884003297</v>
      </c>
      <c r="AG6275">
        <v>-5.8807999999999902E-2</v>
      </c>
      <c r="AH6275">
        <v>0.80089433426981405</v>
      </c>
      <c r="AI6275">
        <v>94.157620553817296</v>
      </c>
      <c r="AJ6275">
        <v>81.880245455922505</v>
      </c>
      <c r="AK6275">
        <v>0.81113920369844295</v>
      </c>
    </row>
    <row r="6276" spans="1:37" x14ac:dyDescent="0.2">
      <c r="A6276" t="str">
        <f>"20200111155720923"</f>
        <v>20200111155720923</v>
      </c>
      <c r="B6276" t="str">
        <f>"1578729440919375"</f>
        <v>1578729440919375</v>
      </c>
      <c r="C6276" t="s">
        <v>37</v>
      </c>
      <c r="D6276">
        <v>4.8917830000000002</v>
      </c>
      <c r="E6276">
        <v>0.56288769999999999</v>
      </c>
      <c r="F6276" t="s">
        <v>40</v>
      </c>
      <c r="G6276">
        <v>-233.86349999999999</v>
      </c>
      <c r="H6276">
        <v>1.0512410000000001</v>
      </c>
      <c r="I6276">
        <v>-64.352289999999996</v>
      </c>
      <c r="J6276">
        <v>-234.54589999999999</v>
      </c>
      <c r="K6276">
        <v>1.1068169999999999</v>
      </c>
      <c r="L6276">
        <v>-64.309910000000002</v>
      </c>
      <c r="M6276">
        <v>0.99984869999999904</v>
      </c>
      <c r="N6276">
        <v>0</v>
      </c>
      <c r="O6276">
        <v>1.034463E-2</v>
      </c>
      <c r="P6276">
        <v>0.99145910000000004</v>
      </c>
      <c r="Q6276">
        <v>2.1545229999999999E-2</v>
      </c>
      <c r="R6276">
        <v>0.1286263</v>
      </c>
      <c r="S6276">
        <v>3.0497130000000001</v>
      </c>
      <c r="T6276">
        <v>-0.2105428</v>
      </c>
      <c r="U6276">
        <v>-0.1502686</v>
      </c>
      <c r="V6276">
        <v>-0.118510899999999</v>
      </c>
      <c r="W6276">
        <v>3.4923910000000002E-2</v>
      </c>
      <c r="X6276">
        <v>0.99233839999999995</v>
      </c>
      <c r="Y6276">
        <v>5.9378210000000001E-2</v>
      </c>
      <c r="Z6276">
        <v>-2.7589579999999902E-3</v>
      </c>
      <c r="AA6276">
        <v>0.9982318</v>
      </c>
      <c r="AB6276">
        <v>25</v>
      </c>
      <c r="AC6276">
        <v>0.68240000000000101</v>
      </c>
      <c r="AD6276">
        <v>-5.5575999999999799E-2</v>
      </c>
      <c r="AE6276">
        <v>-4.2379999999994297E-2</v>
      </c>
      <c r="AF6276">
        <v>4.9113092361449402E-2</v>
      </c>
      <c r="AG6276">
        <v>-5.5575999999999799E-2</v>
      </c>
      <c r="AH6276">
        <v>0.677448916077946</v>
      </c>
      <c r="AI6276">
        <v>94.677660284109606</v>
      </c>
      <c r="AJ6276">
        <v>85.853475575616798</v>
      </c>
      <c r="AK6276">
        <v>0.68149675091851203</v>
      </c>
    </row>
    <row r="6277" spans="1:37" x14ac:dyDescent="0.2">
      <c r="A6277" t="str">
        <f>"20200111155720934"</f>
        <v>20200111155720934</v>
      </c>
      <c r="B6277" t="str">
        <f>"1578729440929136"</f>
        <v>1578729440929136</v>
      </c>
      <c r="C6277" t="s">
        <v>37</v>
      </c>
      <c r="D6277">
        <v>4.7476050000000001</v>
      </c>
      <c r="E6277">
        <v>0.5598535</v>
      </c>
      <c r="F6277" t="s">
        <v>40</v>
      </c>
      <c r="G6277">
        <v>-233.6446</v>
      </c>
      <c r="H6277">
        <v>1.041436</v>
      </c>
      <c r="I6277">
        <v>-64.342799999999997</v>
      </c>
      <c r="J6277">
        <v>-234.41650000000001</v>
      </c>
      <c r="K6277">
        <v>1.1067149999999999</v>
      </c>
      <c r="L6277">
        <v>-64.307220000000001</v>
      </c>
      <c r="M6277">
        <v>0.99983599999999995</v>
      </c>
      <c r="N6277">
        <v>0</v>
      </c>
      <c r="O6277">
        <v>1.152399E-2</v>
      </c>
      <c r="P6277">
        <v>0.99131329999999995</v>
      </c>
      <c r="Q6277">
        <v>2.0282330000000001E-2</v>
      </c>
      <c r="R6277">
        <v>0.12994919999999999</v>
      </c>
      <c r="S6277">
        <v>3.0449830000000002</v>
      </c>
      <c r="T6277">
        <v>-0.22091620000000001</v>
      </c>
      <c r="U6277">
        <v>-0.11059569999999901</v>
      </c>
      <c r="V6277">
        <v>-0.1186508</v>
      </c>
      <c r="W6277">
        <v>3.368343E-2</v>
      </c>
      <c r="X6277">
        <v>0.99236449999999998</v>
      </c>
      <c r="Y6277">
        <v>4.7656440000000001E-2</v>
      </c>
      <c r="Z6277">
        <v>-2.5607379999999999E-3</v>
      </c>
      <c r="AA6277">
        <v>0.99886049999999904</v>
      </c>
      <c r="AB6277">
        <v>25</v>
      </c>
      <c r="AC6277">
        <v>0.77190000000001602</v>
      </c>
      <c r="AD6277">
        <v>-6.5278999999999796E-2</v>
      </c>
      <c r="AE6277">
        <v>-3.55799999999959E-2</v>
      </c>
      <c r="AF6277">
        <v>4.4158721280775901E-2</v>
      </c>
      <c r="AG6277">
        <v>-6.5278999999999796E-2</v>
      </c>
      <c r="AH6277">
        <v>0.76597208475814305</v>
      </c>
      <c r="AI6277">
        <v>94.863153618543905</v>
      </c>
      <c r="AJ6277">
        <v>86.700518239822898</v>
      </c>
      <c r="AK6277">
        <v>0.77001595771444198</v>
      </c>
    </row>
    <row r="6278" spans="1:37" x14ac:dyDescent="0.2">
      <c r="A6278" t="str">
        <f>"20200111155720945"</f>
        <v>20200111155720945</v>
      </c>
      <c r="B6278" t="str">
        <f>"1578729440938895"</f>
        <v>1578729440938895</v>
      </c>
      <c r="C6278" t="s">
        <v>37</v>
      </c>
      <c r="D6278">
        <v>4.781129</v>
      </c>
      <c r="E6278">
        <v>0.55767389999999994</v>
      </c>
      <c r="F6278" t="s">
        <v>40</v>
      </c>
      <c r="G6278">
        <v>-233.6386</v>
      </c>
      <c r="H6278">
        <v>1.0478989999999999</v>
      </c>
      <c r="I6278">
        <v>-64.328469999999996</v>
      </c>
      <c r="J6278">
        <v>-234.28899999999999</v>
      </c>
      <c r="K6278">
        <v>1.1066129999999901</v>
      </c>
      <c r="L6278">
        <v>-64.304469999999995</v>
      </c>
      <c r="M6278">
        <v>0.99982299999999902</v>
      </c>
      <c r="N6278">
        <v>0</v>
      </c>
      <c r="O6278">
        <v>1.2602E-2</v>
      </c>
      <c r="P6278">
        <v>0.99119690000000005</v>
      </c>
      <c r="Q6278">
        <v>1.8633730000000001E-2</v>
      </c>
      <c r="R6278">
        <v>0.13107829999999901</v>
      </c>
      <c r="S6278">
        <v>3.0417939999999999</v>
      </c>
      <c r="T6278">
        <v>-0.23003189999999901</v>
      </c>
      <c r="U6278">
        <v>-8.2489010000000001E-2</v>
      </c>
      <c r="V6278">
        <v>-0.11869639999999999</v>
      </c>
      <c r="W6278">
        <v>3.2059240000000003E-2</v>
      </c>
      <c r="X6278">
        <v>0.99241290000000004</v>
      </c>
      <c r="Y6278">
        <v>3.9556189999999998E-2</v>
      </c>
      <c r="Z6278">
        <v>-2.4448809999999999E-3</v>
      </c>
      <c r="AA6278">
        <v>0.99921439999999995</v>
      </c>
      <c r="AB6278">
        <v>25</v>
      </c>
      <c r="AC6278">
        <v>0.65040000000001896</v>
      </c>
      <c r="AD6278">
        <v>-5.8713999999999898E-2</v>
      </c>
      <c r="AE6278">
        <v>-2.4000000000000899E-2</v>
      </c>
      <c r="AF6278">
        <v>3.1935336606311503E-2</v>
      </c>
      <c r="AG6278">
        <v>-5.8713999999999898E-2</v>
      </c>
      <c r="AH6278">
        <v>0.64479833161268096</v>
      </c>
      <c r="AI6278">
        <v>95.196551931603693</v>
      </c>
      <c r="AJ6278">
        <v>87.164592419451097</v>
      </c>
      <c r="AK6278">
        <v>0.64825310486773202</v>
      </c>
    </row>
    <row r="6279" spans="1:37" x14ac:dyDescent="0.2">
      <c r="A6279" t="str">
        <f>"20200111155720955"</f>
        <v>20200111155720955</v>
      </c>
      <c r="B6279" t="str">
        <f>"1578729440949631"</f>
        <v>1578729440949631</v>
      </c>
      <c r="C6279" t="s">
        <v>37</v>
      </c>
      <c r="D6279">
        <v>4.831575</v>
      </c>
      <c r="E6279">
        <v>0.55636059999999998</v>
      </c>
      <c r="F6279" t="s">
        <v>40</v>
      </c>
      <c r="G6279">
        <v>-233.4194</v>
      </c>
      <c r="H6279">
        <v>1.039045</v>
      </c>
      <c r="I6279">
        <v>-64.322140000000005</v>
      </c>
      <c r="J6279">
        <v>-234.16659999999999</v>
      </c>
      <c r="K6279">
        <v>1.1065129999999901</v>
      </c>
      <c r="L6279">
        <v>-64.301819999999907</v>
      </c>
      <c r="M6279">
        <v>0.99981019999999898</v>
      </c>
      <c r="N6279">
        <v>0</v>
      </c>
      <c r="O6279">
        <v>1.359136E-2</v>
      </c>
      <c r="P6279">
        <v>0.99104459999999905</v>
      </c>
      <c r="Q6279">
        <v>1.78724E-2</v>
      </c>
      <c r="R6279">
        <v>0.13232920000000001</v>
      </c>
      <c r="S6279">
        <v>3.0392759999999899</v>
      </c>
      <c r="T6279">
        <v>-0.236113299999999</v>
      </c>
      <c r="U6279">
        <v>-6.1737060000000003E-2</v>
      </c>
      <c r="V6279">
        <v>-0.118956199999999</v>
      </c>
      <c r="W6279">
        <v>3.1320519999999998E-2</v>
      </c>
      <c r="X6279">
        <v>0.99240539999999999</v>
      </c>
      <c r="Y6279">
        <v>3.3754289999999999E-2</v>
      </c>
      <c r="Z6279">
        <v>-2.363328E-3</v>
      </c>
      <c r="AA6279">
        <v>0.99942739999999997</v>
      </c>
      <c r="AB6279">
        <v>25</v>
      </c>
      <c r="AC6279">
        <v>0.74719999999999198</v>
      </c>
      <c r="AD6279">
        <v>-6.7467999999999806E-2</v>
      </c>
      <c r="AE6279">
        <v>-2.03200000000123E-2</v>
      </c>
      <c r="AF6279">
        <v>3.0228304626728701E-2</v>
      </c>
      <c r="AG6279">
        <v>-6.7467999999999806E-2</v>
      </c>
      <c r="AH6279">
        <v>0.74081926821980404</v>
      </c>
      <c r="AI6279">
        <v>95.199391681823499</v>
      </c>
      <c r="AJ6279">
        <v>87.663405771899093</v>
      </c>
      <c r="AK6279">
        <v>0.74449907292778505</v>
      </c>
    </row>
    <row r="6280" spans="1:37" x14ac:dyDescent="0.2">
      <c r="A6280" t="str">
        <f>"20200111155720967"</f>
        <v>20200111155720967</v>
      </c>
      <c r="B6280" t="str">
        <f>"1578729440959391"</f>
        <v>1578729440959391</v>
      </c>
      <c r="C6280" t="s">
        <v>37</v>
      </c>
      <c r="D6280">
        <v>4.7742789999999999</v>
      </c>
      <c r="E6280">
        <v>0.55529200000000001</v>
      </c>
      <c r="F6280" t="s">
        <v>40</v>
      </c>
      <c r="G6280">
        <v>-233.41220000000001</v>
      </c>
      <c r="H6280">
        <v>1.047131</v>
      </c>
      <c r="I6280">
        <v>-64.313590000000005</v>
      </c>
      <c r="J6280">
        <v>-234.03960000000001</v>
      </c>
      <c r="K6280">
        <v>1.1063989999999999</v>
      </c>
      <c r="L6280">
        <v>-64.29898</v>
      </c>
      <c r="M6280">
        <v>0.99979750000000001</v>
      </c>
      <c r="N6280">
        <v>0</v>
      </c>
      <c r="O6280">
        <v>1.449786E-2</v>
      </c>
      <c r="P6280">
        <v>0.99081919999999901</v>
      </c>
      <c r="Q6280">
        <v>1.7752159999999999E-2</v>
      </c>
      <c r="R6280">
        <v>0.13402420000000001</v>
      </c>
      <c r="S6280">
        <v>3.03775</v>
      </c>
      <c r="T6280">
        <v>-0.23911009999999999</v>
      </c>
      <c r="U6280">
        <v>-4.7424319999999999E-2</v>
      </c>
      <c r="V6280">
        <v>-0.1197458</v>
      </c>
      <c r="W6280">
        <v>3.1223770000000001E-2</v>
      </c>
      <c r="X6280">
        <v>0.99231340000000001</v>
      </c>
      <c r="Y6280">
        <v>2.9968109999999999E-2</v>
      </c>
      <c r="Z6280">
        <v>-2.3169969999999999E-3</v>
      </c>
      <c r="AA6280">
        <v>0.9995482</v>
      </c>
      <c r="AB6280">
        <v>25</v>
      </c>
      <c r="AC6280">
        <v>0.62739999999999396</v>
      </c>
      <c r="AD6280">
        <v>-5.92679999999998E-2</v>
      </c>
      <c r="AE6280">
        <v>-1.46100000000046E-2</v>
      </c>
      <c r="AF6280">
        <v>2.34957489622203E-2</v>
      </c>
      <c r="AG6280">
        <v>-5.92679999999998E-2</v>
      </c>
      <c r="AH6280">
        <v>0.62157835710878695</v>
      </c>
      <c r="AI6280">
        <v>95.442868242083506</v>
      </c>
      <c r="AJ6280">
        <v>87.835242155023096</v>
      </c>
      <c r="AK6280">
        <v>0.62483949944714201</v>
      </c>
    </row>
    <row r="6281" spans="1:37" x14ac:dyDescent="0.2">
      <c r="A6281" t="str">
        <f>"20200111155720978"</f>
        <v>20200111155720978</v>
      </c>
      <c r="B6281" t="str">
        <f>"1578729440969152"</f>
        <v>1578729440969152</v>
      </c>
      <c r="C6281" t="s">
        <v>37</v>
      </c>
      <c r="D6281">
        <v>4.8047190000000004</v>
      </c>
      <c r="E6281">
        <v>0.55464029999999998</v>
      </c>
      <c r="F6281" t="s">
        <v>40</v>
      </c>
      <c r="G6281">
        <v>-233.19309999999999</v>
      </c>
      <c r="H6281">
        <v>1.0392600000000001</v>
      </c>
      <c r="I6281">
        <v>-64.308569999999904</v>
      </c>
      <c r="J6281">
        <v>-233.9109</v>
      </c>
      <c r="K6281">
        <v>1.106285</v>
      </c>
      <c r="L6281">
        <v>-64.296139999999994</v>
      </c>
      <c r="M6281">
        <v>0.99978429999999996</v>
      </c>
      <c r="N6281">
        <v>0</v>
      </c>
      <c r="O6281">
        <v>1.5382109999999999E-2</v>
      </c>
      <c r="P6281">
        <v>0.99061529999999998</v>
      </c>
      <c r="Q6281">
        <v>1.7997289999999999E-2</v>
      </c>
      <c r="R6281">
        <v>0.13549079999999999</v>
      </c>
      <c r="S6281">
        <v>3.0366819999999999</v>
      </c>
      <c r="T6281">
        <v>-0.24087439999999999</v>
      </c>
      <c r="U6281">
        <v>-3.3721920000000002E-2</v>
      </c>
      <c r="V6281">
        <v>-0.12032909999999999</v>
      </c>
      <c r="W6281">
        <v>3.1494479999999998E-2</v>
      </c>
      <c r="X6281">
        <v>0.99223430000000001</v>
      </c>
      <c r="Y6281">
        <v>2.6354430000000002E-2</v>
      </c>
      <c r="Z6281">
        <v>-2.2618569999999999E-3</v>
      </c>
      <c r="AA6281">
        <v>0.99965009999999999</v>
      </c>
      <c r="AB6281">
        <v>25</v>
      </c>
      <c r="AC6281">
        <v>0.71780000000001098</v>
      </c>
      <c r="AD6281">
        <v>-6.7024999999999793E-2</v>
      </c>
      <c r="AE6281">
        <v>-1.2429999999980601E-2</v>
      </c>
      <c r="AF6281">
        <v>2.32680694198883E-2</v>
      </c>
      <c r="AG6281">
        <v>-6.7024999999999793E-2</v>
      </c>
      <c r="AH6281">
        <v>0.71132366844410999</v>
      </c>
      <c r="AI6281">
        <v>95.3799836930841</v>
      </c>
      <c r="AJ6281">
        <v>88.126468944878994</v>
      </c>
      <c r="AK6281">
        <v>0.71485321218297404</v>
      </c>
    </row>
    <row r="6282" spans="1:37" x14ac:dyDescent="0.2">
      <c r="A6282" t="str">
        <f>"20200111155720989"</f>
        <v>20200111155720989</v>
      </c>
      <c r="B6282" t="str">
        <f>"1578729440978911"</f>
        <v>1578729440978911</v>
      </c>
      <c r="C6282" t="s">
        <v>37</v>
      </c>
      <c r="D6282">
        <v>4.8303440000000002</v>
      </c>
      <c r="E6282">
        <v>0.55412240000000001</v>
      </c>
      <c r="F6282" t="s">
        <v>40</v>
      </c>
      <c r="G6282">
        <v>-232.97069999999999</v>
      </c>
      <c r="H6282">
        <v>1.03186</v>
      </c>
      <c r="I6282">
        <v>-64.303690000000003</v>
      </c>
      <c r="J6282">
        <v>-233.785</v>
      </c>
      <c r="K6282">
        <v>1.106171</v>
      </c>
      <c r="L6282">
        <v>-64.293269999999893</v>
      </c>
      <c r="M6282">
        <v>0.99977309999999997</v>
      </c>
      <c r="N6282">
        <v>0</v>
      </c>
      <c r="O6282">
        <v>1.6098709999999999E-2</v>
      </c>
      <c r="P6282">
        <v>0.99036539999999995</v>
      </c>
      <c r="Q6282">
        <v>1.9018050000000002E-2</v>
      </c>
      <c r="R6282">
        <v>0.13716679999999901</v>
      </c>
      <c r="S6282">
        <v>3.0361020000000001</v>
      </c>
      <c r="T6282">
        <v>-0.24033939999999901</v>
      </c>
      <c r="U6282">
        <v>-2.4169920000000001E-2</v>
      </c>
      <c r="V6282">
        <v>-0.1212912</v>
      </c>
      <c r="W6282">
        <v>3.2541550000000002E-2</v>
      </c>
      <c r="X6282">
        <v>0.99208339999999995</v>
      </c>
      <c r="Y6282">
        <v>2.393408E-2</v>
      </c>
      <c r="Z6282">
        <v>-2.2182970000000002E-3</v>
      </c>
      <c r="AA6282">
        <v>0.99971109999999896</v>
      </c>
      <c r="AB6282">
        <v>25</v>
      </c>
      <c r="AC6282">
        <v>0.81430000000000202</v>
      </c>
      <c r="AD6282">
        <v>-7.4311000000000002E-2</v>
      </c>
      <c r="AE6282">
        <v>-1.0420000000010501E-2</v>
      </c>
      <c r="AF6282">
        <v>2.3334805578210101E-2</v>
      </c>
      <c r="AG6282">
        <v>-7.4311000000000002E-2</v>
      </c>
      <c r="AH6282">
        <v>0.80730460747965904</v>
      </c>
      <c r="AI6282">
        <v>95.256974645404199</v>
      </c>
      <c r="AJ6282">
        <v>88.344350186938897</v>
      </c>
      <c r="AK6282">
        <v>0.81105324555805802</v>
      </c>
    </row>
    <row r="6283" spans="1:37" x14ac:dyDescent="0.2">
      <c r="A6283" t="str">
        <f>"20200111155721002"</f>
        <v>20200111155721002</v>
      </c>
      <c r="B6283" t="str">
        <f>"1578729440999408"</f>
        <v>1578729440999408</v>
      </c>
      <c r="C6283" t="s">
        <v>37</v>
      </c>
      <c r="D6283">
        <v>5.0310809999999897</v>
      </c>
      <c r="E6283">
        <v>0.55269889999999999</v>
      </c>
      <c r="F6283" t="s">
        <v>40</v>
      </c>
      <c r="G6283">
        <v>-232.9639</v>
      </c>
      <c r="H6283">
        <v>1.0422359999999999</v>
      </c>
      <c r="I6283">
        <v>-64.297419999999903</v>
      </c>
      <c r="J6283">
        <v>-233.64940000000001</v>
      </c>
      <c r="K6283">
        <v>1.1060479999999999</v>
      </c>
      <c r="L6283">
        <v>-64.290189999999996</v>
      </c>
      <c r="M6283">
        <v>0.99976129999999996</v>
      </c>
      <c r="N6283">
        <v>0</v>
      </c>
      <c r="O6283">
        <v>1.682283E-2</v>
      </c>
      <c r="P6283">
        <v>0.99009290000000005</v>
      </c>
      <c r="Q6283">
        <v>1.9918640000000001E-2</v>
      </c>
      <c r="R6283">
        <v>0.138994799999999</v>
      </c>
      <c r="S6283">
        <v>3.035812</v>
      </c>
      <c r="T6283">
        <v>-0.23640169999999999</v>
      </c>
      <c r="U6283">
        <v>-1.5136719999999999E-2</v>
      </c>
      <c r="V6283">
        <v>-0.122396699999999</v>
      </c>
      <c r="W6283">
        <v>3.3470399999999997E-2</v>
      </c>
      <c r="X6283">
        <v>0.99191669999999998</v>
      </c>
      <c r="Y6283">
        <v>2.1692940000000001E-2</v>
      </c>
      <c r="Z6283">
        <v>-2.15146E-3</v>
      </c>
      <c r="AA6283">
        <v>0.99976239999999905</v>
      </c>
      <c r="AB6283">
        <v>25</v>
      </c>
      <c r="AC6283">
        <v>0.68550000000001798</v>
      </c>
      <c r="AD6283">
        <v>-6.3811999999999702E-2</v>
      </c>
      <c r="AE6283">
        <v>-7.2299999999927396E-3</v>
      </c>
      <c r="AF6283">
        <v>1.86009798866398E-2</v>
      </c>
      <c r="AG6283">
        <v>-6.3811999999999702E-2</v>
      </c>
      <c r="AH6283">
        <v>0.67939474415328704</v>
      </c>
      <c r="AI6283">
        <v>95.363753414277596</v>
      </c>
      <c r="AJ6283">
        <v>88.431704873661204</v>
      </c>
      <c r="AK6283">
        <v>0.68263840075097904</v>
      </c>
    </row>
    <row r="6284" spans="1:37" x14ac:dyDescent="0.2">
      <c r="A6284" t="str">
        <f>"20200111155721014"</f>
        <v>20200111155721014</v>
      </c>
      <c r="B6284" t="str">
        <f>"1578729441009167"</f>
        <v>1578729441009167</v>
      </c>
      <c r="C6284" t="s">
        <v>37</v>
      </c>
      <c r="D6284">
        <v>4.9318109999999997</v>
      </c>
      <c r="E6284">
        <v>0.55201230000000001</v>
      </c>
      <c r="F6284" t="s">
        <v>40</v>
      </c>
      <c r="G6284">
        <v>-232.74260000000001</v>
      </c>
      <c r="H6284">
        <v>1.0363020000000001</v>
      </c>
      <c r="I6284">
        <v>-64.290000000000006</v>
      </c>
      <c r="J6284">
        <v>-233.51609999999999</v>
      </c>
      <c r="K6284">
        <v>1.105928</v>
      </c>
      <c r="L6284">
        <v>-64.287169999999904</v>
      </c>
      <c r="M6284">
        <v>0.9997509</v>
      </c>
      <c r="N6284">
        <v>0</v>
      </c>
      <c r="O6284">
        <v>1.7428030000000001E-2</v>
      </c>
      <c r="P6284">
        <v>0.9898363</v>
      </c>
      <c r="Q6284">
        <v>2.1032490000000001E-2</v>
      </c>
      <c r="R6284">
        <v>0.14064769999999999</v>
      </c>
      <c r="S6284">
        <v>3.0344849999999899</v>
      </c>
      <c r="T6284">
        <v>-0.233359499999999</v>
      </c>
      <c r="U6284">
        <v>1.525879E-3</v>
      </c>
      <c r="V6284">
        <v>-0.1234446</v>
      </c>
      <c r="W6284">
        <v>3.461272E-2</v>
      </c>
      <c r="X6284">
        <v>0.99174759999999995</v>
      </c>
      <c r="Y6284">
        <v>1.6825819999999998E-2</v>
      </c>
      <c r="Z6284">
        <v>-1.9843809999999999E-3</v>
      </c>
      <c r="AA6284">
        <v>0.99985650000000004</v>
      </c>
      <c r="AB6284">
        <v>25</v>
      </c>
      <c r="AC6284">
        <v>0.77349999999998398</v>
      </c>
      <c r="AD6284">
        <v>-6.9625999999999896E-2</v>
      </c>
      <c r="AE6284">
        <v>-2.8300000000171998E-3</v>
      </c>
      <c r="AF6284">
        <v>1.6180361224541601E-2</v>
      </c>
      <c r="AG6284">
        <v>-6.9625999999999896E-2</v>
      </c>
      <c r="AH6284">
        <v>0.76711763863868698</v>
      </c>
      <c r="AI6284">
        <v>95.184987596447399</v>
      </c>
      <c r="AJ6284">
        <v>88.7916729868369</v>
      </c>
      <c r="AK6284">
        <v>0.77044081893157301</v>
      </c>
    </row>
    <row r="6285" spans="1:37" x14ac:dyDescent="0.2">
      <c r="A6285" t="str">
        <f>"20200111155721025"</f>
        <v>20200111155721025</v>
      </c>
      <c r="B6285" t="str">
        <f>"1578729441018928"</f>
        <v>1578729441018928</v>
      </c>
      <c r="C6285" t="s">
        <v>37</v>
      </c>
      <c r="D6285">
        <v>4.8856209999999898</v>
      </c>
      <c r="E6285">
        <v>0.55137619999999998</v>
      </c>
      <c r="F6285" t="s">
        <v>40</v>
      </c>
      <c r="G6285">
        <v>-232.72450000000001</v>
      </c>
      <c r="H6285">
        <v>1.04542</v>
      </c>
      <c r="I6285">
        <v>-64.284359999999893</v>
      </c>
      <c r="J6285">
        <v>-233.3895</v>
      </c>
      <c r="K6285">
        <v>1.105818</v>
      </c>
      <c r="L6285">
        <v>-64.284329999999997</v>
      </c>
      <c r="M6285">
        <v>0.99974240000000003</v>
      </c>
      <c r="N6285">
        <v>0</v>
      </c>
      <c r="O6285">
        <v>1.791537E-2</v>
      </c>
      <c r="P6285">
        <v>0.98958060000000003</v>
      </c>
      <c r="Q6285">
        <v>2.1727280000000002E-2</v>
      </c>
      <c r="R6285">
        <v>0.14233219999999999</v>
      </c>
      <c r="S6285">
        <v>3.0340579999999999</v>
      </c>
      <c r="T6285">
        <v>-0.23187240000000001</v>
      </c>
      <c r="U6285">
        <v>1.177979E-2</v>
      </c>
      <c r="V6285">
        <v>-0.12464160000000001</v>
      </c>
      <c r="W6285">
        <v>3.5333730000000001E-2</v>
      </c>
      <c r="X6285">
        <v>0.99157249999999997</v>
      </c>
      <c r="Y6285">
        <v>1.394221E-2</v>
      </c>
      <c r="Z6285">
        <v>-1.8991939999999899E-3</v>
      </c>
      <c r="AA6285">
        <v>0.99990100000000004</v>
      </c>
      <c r="AB6285">
        <v>25</v>
      </c>
      <c r="AC6285">
        <v>0.66499999999999204</v>
      </c>
      <c r="AD6285">
        <v>-6.0397999999999903E-2</v>
      </c>
      <c r="AE6285" s="1">
        <v>-2.99999999811007E-5</v>
      </c>
      <c r="AF6285">
        <v>1.18471458419914E-2</v>
      </c>
      <c r="AG6285">
        <v>-6.0397999999999903E-2</v>
      </c>
      <c r="AH6285">
        <v>0.65945288050219897</v>
      </c>
      <c r="AI6285">
        <v>95.232169299504505</v>
      </c>
      <c r="AJ6285">
        <v>88.970785533519106</v>
      </c>
      <c r="AK6285">
        <v>0.66231893742459802</v>
      </c>
    </row>
    <row r="6286" spans="1:37" x14ac:dyDescent="0.2">
      <c r="A6286" t="str">
        <f>"20200111155721035"</f>
        <v>20200111155721035</v>
      </c>
      <c r="B6286" t="str">
        <f>"1578729441029664"</f>
        <v>1578729441029664</v>
      </c>
      <c r="C6286" t="s">
        <v>37</v>
      </c>
      <c r="D6286">
        <v>4.8873819999999997</v>
      </c>
      <c r="E6286">
        <v>0.55092280000000005</v>
      </c>
      <c r="F6286" t="s">
        <v>40</v>
      </c>
      <c r="G6286">
        <v>-232.51400000000001</v>
      </c>
      <c r="H6286">
        <v>1.0388729999999999</v>
      </c>
      <c r="I6286">
        <v>-64.277919999999995</v>
      </c>
      <c r="J6286">
        <v>-233.27209999999999</v>
      </c>
      <c r="K6286">
        <v>1.1057139999999901</v>
      </c>
      <c r="L6286">
        <v>-64.281710000000004</v>
      </c>
      <c r="M6286">
        <v>0.99973529999999999</v>
      </c>
      <c r="N6286">
        <v>0</v>
      </c>
      <c r="O6286">
        <v>1.8313900000000001E-2</v>
      </c>
      <c r="P6286">
        <v>0.98935550000000005</v>
      </c>
      <c r="Q6286">
        <v>2.17813E-2</v>
      </c>
      <c r="R6286">
        <v>0.1438797</v>
      </c>
      <c r="S6286">
        <v>3.0335540000000001</v>
      </c>
      <c r="T6286">
        <v>-0.2320207</v>
      </c>
      <c r="U6286">
        <v>2.18810999999999E-2</v>
      </c>
      <c r="V6286">
        <v>-0.12578829999999999</v>
      </c>
      <c r="W6286">
        <v>3.5412840000000001E-2</v>
      </c>
      <c r="X6286">
        <v>0.99142489999999905</v>
      </c>
      <c r="Y6286">
        <v>1.1017910000000001E-2</v>
      </c>
      <c r="Z6286">
        <v>-1.8194589999999901E-3</v>
      </c>
      <c r="AA6286">
        <v>0.99993770000000004</v>
      </c>
      <c r="AB6286">
        <v>25</v>
      </c>
      <c r="AC6286">
        <v>0.75809999999998401</v>
      </c>
      <c r="AD6286">
        <v>-6.68409999999999E-2</v>
      </c>
      <c r="AE6286">
        <v>3.7900000000092799E-3</v>
      </c>
      <c r="AF6286">
        <v>1.0017874866508999E-2</v>
      </c>
      <c r="AG6286">
        <v>-6.68409999999999E-2</v>
      </c>
      <c r="AH6286">
        <v>0.75219498732125001</v>
      </c>
      <c r="AI6286">
        <v>95.077589732663498</v>
      </c>
      <c r="AJ6286">
        <v>89.236969102020197</v>
      </c>
      <c r="AK6286">
        <v>0.75522538096190595</v>
      </c>
    </row>
    <row r="6287" spans="1:37" x14ac:dyDescent="0.2">
      <c r="A6287" t="str">
        <f>"20200111155721047"</f>
        <v>20200111155721047</v>
      </c>
      <c r="B6287" t="str">
        <f>"1578729441039423"</f>
        <v>1578729441039423</v>
      </c>
      <c r="C6287" t="s">
        <v>37</v>
      </c>
      <c r="D6287">
        <v>4.9979209999999998</v>
      </c>
      <c r="E6287">
        <v>0.5505951</v>
      </c>
      <c r="F6287" t="s">
        <v>101</v>
      </c>
      <c r="G6287">
        <v>-218.94159999999999</v>
      </c>
      <c r="H6287" s="1">
        <v>-3.5687299999999998E-6</v>
      </c>
      <c r="I6287">
        <v>-64.139189999999999</v>
      </c>
      <c r="J6287">
        <v>-233.1438</v>
      </c>
      <c r="K6287">
        <v>1.1055999999999999</v>
      </c>
      <c r="L6287">
        <v>-64.278869999999998</v>
      </c>
      <c r="M6287">
        <v>0.99972929999999904</v>
      </c>
      <c r="N6287">
        <v>0</v>
      </c>
      <c r="O6287">
        <v>1.8638020000000002E-2</v>
      </c>
      <c r="P6287">
        <v>0.98914809999999997</v>
      </c>
      <c r="Q6287">
        <v>2.1709309999999999E-2</v>
      </c>
      <c r="R6287">
        <v>0.14530960000000001</v>
      </c>
      <c r="S6287">
        <v>3.0330659999999998</v>
      </c>
      <c r="T6287">
        <v>-0.23402600000000001</v>
      </c>
      <c r="U6287">
        <v>3.015137E-2</v>
      </c>
      <c r="V6287">
        <v>-0.1268899</v>
      </c>
      <c r="W6287">
        <v>3.5368040000000003E-2</v>
      </c>
      <c r="X6287">
        <v>0.991286</v>
      </c>
      <c r="Y6287">
        <v>8.6192349999999994E-3</v>
      </c>
      <c r="Z6287">
        <v>-1.767972E-3</v>
      </c>
      <c r="AA6287">
        <v>0.99996130000000005</v>
      </c>
      <c r="AB6287">
        <v>25</v>
      </c>
      <c r="AC6287">
        <v>14.202199999999999</v>
      </c>
      <c r="AD6287">
        <v>-1.1056035687299901</v>
      </c>
      <c r="AE6287">
        <v>0.139679999999998</v>
      </c>
      <c r="AF6287">
        <v>0.12431751115482401</v>
      </c>
      <c r="AG6287">
        <v>-1.1056035687299901</v>
      </c>
      <c r="AH6287">
        <v>14.116793719537799</v>
      </c>
      <c r="AI6287">
        <v>94.477995195546498</v>
      </c>
      <c r="AJ6287">
        <v>89.495446010748907</v>
      </c>
      <c r="AK6287">
        <v>14.160567750438201</v>
      </c>
    </row>
    <row r="6288" spans="1:37" x14ac:dyDescent="0.2">
      <c r="A6288" t="str">
        <f>"20200111155721056"</f>
        <v>20200111155721056</v>
      </c>
      <c r="B6288" t="str">
        <f>"1578729441049184"</f>
        <v>1578729441049184</v>
      </c>
      <c r="C6288" t="s">
        <v>37</v>
      </c>
      <c r="D6288">
        <v>4.9254030000000002</v>
      </c>
      <c r="E6288">
        <v>0.55019929999999995</v>
      </c>
      <c r="F6288" t="s">
        <v>40</v>
      </c>
      <c r="G6288">
        <v>-232.28720000000001</v>
      </c>
      <c r="H6288">
        <v>1.0398069999999999</v>
      </c>
      <c r="I6288">
        <v>-64.268649999999994</v>
      </c>
      <c r="J6288">
        <v>-233.02330000000001</v>
      </c>
      <c r="K6288">
        <v>1.1054949999999999</v>
      </c>
      <c r="L6288">
        <v>-64.276250000000005</v>
      </c>
      <c r="M6288">
        <v>0.99972430000000001</v>
      </c>
      <c r="N6288">
        <v>0</v>
      </c>
      <c r="O6288">
        <v>1.8907219999999999E-2</v>
      </c>
      <c r="P6288">
        <v>0.98894579999999999</v>
      </c>
      <c r="Q6288">
        <v>2.1469430000000001E-2</v>
      </c>
      <c r="R6288">
        <v>0.14671629999999899</v>
      </c>
      <c r="S6288">
        <v>3.032578</v>
      </c>
      <c r="T6288">
        <v>-0.23282220000000001</v>
      </c>
      <c r="U6288">
        <v>3.701782E-2</v>
      </c>
      <c r="V6288">
        <v>-0.12802379999999999</v>
      </c>
      <c r="W6288">
        <v>3.5154089999999999E-2</v>
      </c>
      <c r="X6288">
        <v>0.99114789999999997</v>
      </c>
      <c r="Y6288">
        <v>6.6288909999999996E-3</v>
      </c>
      <c r="Z6288">
        <v>-1.703504E-3</v>
      </c>
      <c r="AA6288">
        <v>0.99997659999999999</v>
      </c>
      <c r="AB6288">
        <v>25</v>
      </c>
      <c r="AC6288">
        <v>0.73609999999999298</v>
      </c>
      <c r="AD6288">
        <v>-6.5688000000000094E-2</v>
      </c>
      <c r="AE6288">
        <v>7.6000000000106998E-3</v>
      </c>
      <c r="AF6288">
        <v>6.2703843135818397E-3</v>
      </c>
      <c r="AG6288">
        <v>-6.5688000000000094E-2</v>
      </c>
      <c r="AH6288">
        <v>0.73029707326242099</v>
      </c>
      <c r="AI6288">
        <v>95.139561438156093</v>
      </c>
      <c r="AJ6288">
        <v>89.508066316871094</v>
      </c>
      <c r="AK6288">
        <v>0.73327215021375103</v>
      </c>
    </row>
    <row r="6289" spans="1:37" x14ac:dyDescent="0.2">
      <c r="A6289" t="str">
        <f>"20200111155721069"</f>
        <v>20200111155721069</v>
      </c>
      <c r="B6289" t="str">
        <f>"1578729441058943"</f>
        <v>1578729441058943</v>
      </c>
      <c r="C6289" t="s">
        <v>37</v>
      </c>
      <c r="D6289">
        <v>5.0338570000000002</v>
      </c>
      <c r="E6289">
        <v>0.55013639999999997</v>
      </c>
      <c r="F6289" t="s">
        <v>101</v>
      </c>
      <c r="G6289">
        <v>-218.7371</v>
      </c>
      <c r="H6289" s="1">
        <v>-3.4862970000000001E-6</v>
      </c>
      <c r="I6289">
        <v>-64.066829999999996</v>
      </c>
      <c r="J6289">
        <v>-232.8974</v>
      </c>
      <c r="K6289">
        <v>1.1053899999999901</v>
      </c>
      <c r="L6289">
        <v>-64.273560000000003</v>
      </c>
      <c r="M6289">
        <v>0.99972129999999904</v>
      </c>
      <c r="N6289">
        <v>0</v>
      </c>
      <c r="O6289">
        <v>1.9063719999999999E-2</v>
      </c>
      <c r="P6289">
        <v>0.98872090000000001</v>
      </c>
      <c r="Q6289">
        <v>2.177254E-2</v>
      </c>
      <c r="R6289">
        <v>0.14817929999999899</v>
      </c>
      <c r="S6289">
        <v>3.0320429999999998</v>
      </c>
      <c r="T6289">
        <v>-0.23462549999999999</v>
      </c>
      <c r="U6289">
        <v>4.4433590000000002E-2</v>
      </c>
      <c r="V6289">
        <v>-0.1293271</v>
      </c>
      <c r="W6289">
        <v>3.5482890000000003E-2</v>
      </c>
      <c r="X6289">
        <v>0.99096689999999998</v>
      </c>
      <c r="Y6289">
        <v>4.3431290000000003E-3</v>
      </c>
      <c r="Z6289">
        <v>-1.6407119999999999E-3</v>
      </c>
      <c r="AA6289">
        <v>0.99998920000000002</v>
      </c>
      <c r="AB6289">
        <v>25</v>
      </c>
      <c r="AC6289">
        <v>14.160299999999999</v>
      </c>
      <c r="AD6289">
        <v>-1.1053934862969901</v>
      </c>
      <c r="AE6289">
        <v>0.206729999999993</v>
      </c>
      <c r="AF6289">
        <v>6.2898535299111699E-2</v>
      </c>
      <c r="AG6289">
        <v>-1.1053934862969901</v>
      </c>
      <c r="AH6289">
        <v>14.075909946136701</v>
      </c>
      <c r="AI6289">
        <v>94.490227379736595</v>
      </c>
      <c r="AJ6289">
        <v>89.743974163119901</v>
      </c>
      <c r="AK6289">
        <v>14.1193870899923</v>
      </c>
    </row>
    <row r="6290" spans="1:37" x14ac:dyDescent="0.2">
      <c r="A6290" t="str">
        <f>"20200111155721080"</f>
        <v>20200111155721080</v>
      </c>
      <c r="B6290" t="str">
        <f>"1578729441069213"</f>
        <v>1578729441069213</v>
      </c>
      <c r="C6290" t="s">
        <v>37</v>
      </c>
      <c r="D6290">
        <v>4.8729319999999996</v>
      </c>
      <c r="E6290">
        <v>0.54986420000000003</v>
      </c>
      <c r="F6290" t="s">
        <v>40</v>
      </c>
      <c r="G6290">
        <v>-232.06059999999999</v>
      </c>
      <c r="H6290">
        <v>1.040851</v>
      </c>
      <c r="I6290">
        <v>-64.260009999999994</v>
      </c>
      <c r="J6290">
        <v>-232.76859999999999</v>
      </c>
      <c r="K6290">
        <v>1.1052879999999901</v>
      </c>
      <c r="L6290">
        <v>-64.270870000000002</v>
      </c>
      <c r="M6290">
        <v>0.99971889999999997</v>
      </c>
      <c r="N6290">
        <v>0</v>
      </c>
      <c r="O6290">
        <v>1.9195799999999999E-2</v>
      </c>
      <c r="P6290">
        <v>0.98847510000000005</v>
      </c>
      <c r="Q6290">
        <v>2.2335290000000001E-2</v>
      </c>
      <c r="R6290">
        <v>0.149727</v>
      </c>
      <c r="S6290">
        <v>3.0319820000000002</v>
      </c>
      <c r="T6290">
        <v>-0.23382249999999999</v>
      </c>
      <c r="U6290">
        <v>4.943848E-2</v>
      </c>
      <c r="V6290">
        <v>-0.13073940000000001</v>
      </c>
      <c r="W6290">
        <v>3.6070930000000001E-2</v>
      </c>
      <c r="X6290">
        <v>0.99076039999999999</v>
      </c>
      <c r="Y6290">
        <v>2.8292450000000002E-3</v>
      </c>
      <c r="Z6290">
        <v>-1.5870050000000001E-3</v>
      </c>
      <c r="AA6290">
        <v>0.99999479999999996</v>
      </c>
      <c r="AB6290">
        <v>25</v>
      </c>
      <c r="AC6290">
        <v>0.70799999999999796</v>
      </c>
      <c r="AD6290">
        <v>-6.44369999999998E-2</v>
      </c>
      <c r="AE6290">
        <v>1.0860000000008E-2</v>
      </c>
      <c r="AF6290">
        <v>2.7114890312958102E-3</v>
      </c>
      <c r="AG6290">
        <v>-6.44369999999998E-2</v>
      </c>
      <c r="AH6290">
        <v>0.70226231706943698</v>
      </c>
      <c r="AI6290">
        <v>95.242530643369193</v>
      </c>
      <c r="AJ6290">
        <v>89.778777670530999</v>
      </c>
      <c r="AK6290">
        <v>0.70521758423730596</v>
      </c>
    </row>
    <row r="6291" spans="1:37" x14ac:dyDescent="0.2">
      <c r="A6291" t="str">
        <f>"20200111155721091"</f>
        <v>20200111155721091</v>
      </c>
      <c r="B6291" t="str">
        <f>"1578729441078973"</f>
        <v>1578729441078973</v>
      </c>
      <c r="C6291" t="s">
        <v>37</v>
      </c>
      <c r="D6291">
        <v>4.9165539999999996</v>
      </c>
      <c r="E6291">
        <v>0.54966819999999905</v>
      </c>
      <c r="F6291" t="s">
        <v>40</v>
      </c>
      <c r="G6291">
        <v>-231.84110000000001</v>
      </c>
      <c r="H6291">
        <v>1.0339969999999901</v>
      </c>
      <c r="I6291">
        <v>-64.253799999999998</v>
      </c>
      <c r="J6291">
        <v>-232.64510000000001</v>
      </c>
      <c r="K6291">
        <v>1.105202</v>
      </c>
      <c r="L6291">
        <v>-64.268339999999995</v>
      </c>
      <c r="M6291">
        <v>0.99971829999999995</v>
      </c>
      <c r="N6291">
        <v>0</v>
      </c>
      <c r="O6291">
        <v>1.9230520000000001E-2</v>
      </c>
      <c r="P6291">
        <v>0.98820750000000002</v>
      </c>
      <c r="Q6291">
        <v>2.3144950000000001E-2</v>
      </c>
      <c r="R6291">
        <v>0.1513621</v>
      </c>
      <c r="S6291">
        <v>3.0317229999999999</v>
      </c>
      <c r="T6291">
        <v>-0.23296710000000001</v>
      </c>
      <c r="U6291">
        <v>5.6274409999999997E-2</v>
      </c>
      <c r="V6291">
        <v>-0.13233719999999999</v>
      </c>
      <c r="W6291">
        <v>3.6902459999999998E-2</v>
      </c>
      <c r="X6291">
        <v>0.9905176</v>
      </c>
      <c r="Y6291">
        <v>6.1535949999999996E-4</v>
      </c>
      <c r="Z6291">
        <v>-1.4990470000000001E-3</v>
      </c>
      <c r="AA6291">
        <v>0.99999869999999902</v>
      </c>
      <c r="AB6291">
        <v>25</v>
      </c>
      <c r="AC6291">
        <v>0.80400000000000205</v>
      </c>
      <c r="AD6291">
        <v>-7.1205000000000102E-2</v>
      </c>
      <c r="AE6291">
        <v>1.4540000000010799E-2</v>
      </c>
      <c r="AF6291">
        <v>9.1832305522605504E-4</v>
      </c>
      <c r="AG6291">
        <v>-7.1205000000000102E-2</v>
      </c>
      <c r="AH6291">
        <v>0.79787486074907099</v>
      </c>
      <c r="AI6291">
        <v>95.099751972294598</v>
      </c>
      <c r="AJ6291">
        <v>89.934054806525694</v>
      </c>
      <c r="AK6291">
        <v>0.80104637116560495</v>
      </c>
    </row>
    <row r="6292" spans="1:37" x14ac:dyDescent="0.2">
      <c r="A6292" t="str">
        <f>"20200111155721103"</f>
        <v>20200111155721103</v>
      </c>
      <c r="B6292" t="str">
        <f>"1578729441099469"</f>
        <v>1578729441099469</v>
      </c>
      <c r="C6292" t="s">
        <v>37</v>
      </c>
      <c r="D6292">
        <v>4.9319809999999897</v>
      </c>
      <c r="E6292">
        <v>0.54940630000000001</v>
      </c>
      <c r="F6292" t="s">
        <v>101</v>
      </c>
      <c r="G6292">
        <v>-218.14510000000001</v>
      </c>
      <c r="H6292" s="1">
        <v>-3.2672789999999899E-6</v>
      </c>
      <c r="I6292">
        <v>-63.967739999999999</v>
      </c>
      <c r="J6292">
        <v>-232.5164</v>
      </c>
      <c r="K6292">
        <v>1.1051150000000001</v>
      </c>
      <c r="L6292">
        <v>-64.265720000000002</v>
      </c>
      <c r="M6292">
        <v>0.999718199999999</v>
      </c>
      <c r="N6292">
        <v>0</v>
      </c>
      <c r="O6292">
        <v>1.923445E-2</v>
      </c>
      <c r="P6292">
        <v>0.9879848</v>
      </c>
      <c r="Q6292">
        <v>2.383563E-2</v>
      </c>
      <c r="R6292">
        <v>0.152702</v>
      </c>
      <c r="S6292">
        <v>3.03160099999999</v>
      </c>
      <c r="T6292">
        <v>-0.2310721</v>
      </c>
      <c r="U6292">
        <v>6.283569E-2</v>
      </c>
      <c r="V6292">
        <v>-0.1336697</v>
      </c>
      <c r="W6292">
        <v>3.7614830000000002E-2</v>
      </c>
      <c r="X6292">
        <v>0.99031190000000002</v>
      </c>
      <c r="Y6292">
        <v>-1.537737E-3</v>
      </c>
      <c r="Z6292">
        <v>-1.4052800000000001E-3</v>
      </c>
      <c r="AA6292">
        <v>0.999997899999999</v>
      </c>
      <c r="AB6292">
        <v>25</v>
      </c>
      <c r="AC6292">
        <v>14.3712999999999</v>
      </c>
      <c r="AD6292">
        <v>-1.1051182672790001</v>
      </c>
      <c r="AE6292">
        <v>0.29798000000000202</v>
      </c>
      <c r="AF6292">
        <v>-2.1347875438844199E-2</v>
      </c>
      <c r="AG6292">
        <v>-1.1051182672790001</v>
      </c>
      <c r="AH6292">
        <v>14.2899095104013</v>
      </c>
      <c r="AI6292">
        <v>94.422194666287197</v>
      </c>
      <c r="AJ6292">
        <v>90.085594821534798</v>
      </c>
      <c r="AK6292">
        <v>14.3325941801168</v>
      </c>
    </row>
    <row r="6293" spans="1:37" x14ac:dyDescent="0.2">
      <c r="A6293" t="str">
        <f>"20200111155721114"</f>
        <v>20200111155721114</v>
      </c>
      <c r="B6293" t="str">
        <f>"1578729441109227"</f>
        <v>1578729441109227</v>
      </c>
      <c r="C6293" t="s">
        <v>37</v>
      </c>
      <c r="D6293">
        <v>4.7643399999999998</v>
      </c>
      <c r="E6293">
        <v>0.54940630000000001</v>
      </c>
      <c r="F6293" t="s">
        <v>40</v>
      </c>
      <c r="G6293">
        <v>-231.61349999999999</v>
      </c>
      <c r="H6293">
        <v>1.0361530000000001</v>
      </c>
      <c r="I6293">
        <v>-64.245289999999997</v>
      </c>
      <c r="J6293">
        <v>-232.38390000000001</v>
      </c>
      <c r="K6293">
        <v>1.105037</v>
      </c>
      <c r="L6293">
        <v>-64.263149999999996</v>
      </c>
      <c r="M6293">
        <v>0.99971929999999998</v>
      </c>
      <c r="N6293">
        <v>0</v>
      </c>
      <c r="O6293">
        <v>1.9181900000000002E-2</v>
      </c>
      <c r="P6293">
        <v>0.98774430000000002</v>
      </c>
      <c r="Q6293">
        <v>2.4586690000000001E-2</v>
      </c>
      <c r="R6293">
        <v>0.15413289999999999</v>
      </c>
      <c r="S6293">
        <v>3.0314030000000001</v>
      </c>
      <c r="T6293">
        <v>-0.23148469999999999</v>
      </c>
      <c r="U6293">
        <v>6.8969730000000007E-2</v>
      </c>
      <c r="V6293">
        <v>-0.13514979999999999</v>
      </c>
      <c r="W6293">
        <v>3.8384849999999998E-2</v>
      </c>
      <c r="X6293">
        <v>0.9900814</v>
      </c>
      <c r="Y6293">
        <v>-3.6082079999999999E-3</v>
      </c>
      <c r="Z6293">
        <v>-1.324902E-3</v>
      </c>
      <c r="AA6293">
        <v>0.99999259999999901</v>
      </c>
      <c r="AB6293">
        <v>25</v>
      </c>
      <c r="AC6293">
        <v>0.77040000000002296</v>
      </c>
      <c r="AD6293">
        <v>-6.8883999999999904E-2</v>
      </c>
      <c r="AE6293">
        <v>1.78599999999988E-2</v>
      </c>
      <c r="AF6293">
        <v>-3.05315247539305E-3</v>
      </c>
      <c r="AG6293">
        <v>-6.8883999999999904E-2</v>
      </c>
      <c r="AH6293">
        <v>0.76449221787661104</v>
      </c>
      <c r="AI6293">
        <v>95.148648910228104</v>
      </c>
      <c r="AJ6293">
        <v>90.228820930978998</v>
      </c>
      <c r="AK6293">
        <v>0.76759538716040898</v>
      </c>
    </row>
    <row r="6294" spans="1:37" x14ac:dyDescent="0.2">
      <c r="A6294" t="str">
        <f>"20200111155721126"</f>
        <v>20200111155721126</v>
      </c>
      <c r="B6294" t="str">
        <f>"1578729441118989"</f>
        <v>1578729441118989</v>
      </c>
      <c r="C6294" t="s">
        <v>37</v>
      </c>
      <c r="D6294">
        <v>4.9845110000000004</v>
      </c>
      <c r="E6294">
        <v>0.50797619999999999</v>
      </c>
      <c r="F6294" t="s">
        <v>101</v>
      </c>
      <c r="G6294">
        <v>-217.77</v>
      </c>
      <c r="H6294" s="1">
        <v>-3.1292469999999999E-6</v>
      </c>
      <c r="I6294">
        <v>-63.909280000000003</v>
      </c>
      <c r="J6294">
        <v>-232.25389999999999</v>
      </c>
      <c r="K6294">
        <v>1.10497</v>
      </c>
      <c r="L6294">
        <v>-64.260679999999994</v>
      </c>
      <c r="M6294">
        <v>0.99972129999999904</v>
      </c>
      <c r="N6294">
        <v>0</v>
      </c>
      <c r="O6294">
        <v>1.9083860000000001E-2</v>
      </c>
      <c r="P6294">
        <v>0.9875507</v>
      </c>
      <c r="Q6294">
        <v>2.4639609999999999E-2</v>
      </c>
      <c r="R6294">
        <v>0.15535979999999999</v>
      </c>
      <c r="S6294">
        <v>3.0314640000000002</v>
      </c>
      <c r="T6294">
        <v>-0.22922619999999999</v>
      </c>
      <c r="U6294">
        <v>7.3394780000000007E-2</v>
      </c>
      <c r="V6294">
        <v>-0.13647119999999999</v>
      </c>
      <c r="W6294">
        <v>3.8451560000000003E-2</v>
      </c>
      <c r="X6294">
        <v>0.98989749999999999</v>
      </c>
      <c r="Y6294">
        <v>-5.1591179999999999E-3</v>
      </c>
      <c r="Z6294">
        <v>-1.2460139999999999E-3</v>
      </c>
      <c r="AA6294">
        <v>0.99998589999999998</v>
      </c>
      <c r="AB6294">
        <v>25</v>
      </c>
      <c r="AC6294">
        <v>14.483899999999901</v>
      </c>
      <c r="AD6294">
        <v>-1.104973129247</v>
      </c>
      <c r="AE6294">
        <v>0.35140000000000499</v>
      </c>
      <c r="AF6294">
        <v>-7.4467423202102506E-2</v>
      </c>
      <c r="AG6294">
        <v>-1.104973129247</v>
      </c>
      <c r="AH6294">
        <v>14.4041836448047</v>
      </c>
      <c r="AI6294">
        <v>94.386621693827806</v>
      </c>
      <c r="AJ6294">
        <v>90.296207765348697</v>
      </c>
      <c r="AK6294">
        <v>14.446695729014801</v>
      </c>
    </row>
    <row r="6295" spans="1:37" x14ac:dyDescent="0.2">
      <c r="A6295" t="str">
        <f>"20200111155721136"</f>
        <v>20200111155721136</v>
      </c>
      <c r="B6295" t="str">
        <f>"1578729441129724"</f>
        <v>1578729441129724</v>
      </c>
      <c r="C6295" t="s">
        <v>37</v>
      </c>
      <c r="D6295">
        <v>4.9092699999999896</v>
      </c>
      <c r="E6295">
        <v>0.49175799999999997</v>
      </c>
      <c r="F6295" t="s">
        <v>101</v>
      </c>
      <c r="G6295">
        <v>-218.7038</v>
      </c>
      <c r="H6295" s="1">
        <v>-3.183696E-6</v>
      </c>
      <c r="I6295">
        <v>-62.424859999999903</v>
      </c>
      <c r="J6295">
        <v>-232.13419999999999</v>
      </c>
      <c r="K6295">
        <v>1.104914</v>
      </c>
      <c r="L6295">
        <v>-64.258390000000006</v>
      </c>
      <c r="M6295">
        <v>0.99972359999999905</v>
      </c>
      <c r="N6295">
        <v>0</v>
      </c>
      <c r="O6295">
        <v>1.8971399999999999E-2</v>
      </c>
      <c r="P6295">
        <v>0.987380699999999</v>
      </c>
      <c r="Q6295">
        <v>2.4222489999999999E-2</v>
      </c>
      <c r="R6295">
        <v>0.1565019</v>
      </c>
      <c r="S6295">
        <v>2.9803769999999998</v>
      </c>
      <c r="T6295">
        <v>-0.2430406</v>
      </c>
      <c r="U6295">
        <v>0.40377809999999997</v>
      </c>
      <c r="V6295">
        <v>-0.13772319999999999</v>
      </c>
      <c r="W6295">
        <v>3.8043680000000003E-2</v>
      </c>
      <c r="X6295">
        <v>0.98973989999999901</v>
      </c>
      <c r="Y6295">
        <v>-0.11511349999999999</v>
      </c>
      <c r="Z6295">
        <v>3.1275029999999998E-3</v>
      </c>
      <c r="AA6295">
        <v>0.99334739999999999</v>
      </c>
      <c r="AB6295">
        <v>25</v>
      </c>
      <c r="AC6295">
        <v>13.430399999999899</v>
      </c>
      <c r="AD6295">
        <v>-1.1049171836959999</v>
      </c>
      <c r="AE6295">
        <v>1.8335300000000101</v>
      </c>
      <c r="AF6295">
        <v>-1.56796357303153</v>
      </c>
      <c r="AG6295">
        <v>-1.1049171836959999</v>
      </c>
      <c r="AH6295">
        <v>13.3739075998194</v>
      </c>
      <c r="AI6295">
        <v>94.6909167583879</v>
      </c>
      <c r="AJ6295">
        <v>96.686859455574904</v>
      </c>
      <c r="AK6295">
        <v>13.510764457930801</v>
      </c>
    </row>
    <row r="6296" spans="1:37" x14ac:dyDescent="0.2">
      <c r="A6296" t="str">
        <f>"20200111155721149"</f>
        <v>20200111155721149</v>
      </c>
      <c r="B6296" t="str">
        <f>"1578729441139484"</f>
        <v>1578729441139484</v>
      </c>
      <c r="C6296" t="s">
        <v>37</v>
      </c>
      <c r="D6296">
        <v>4.9333299999999998</v>
      </c>
      <c r="E6296">
        <v>0.478881099999999</v>
      </c>
      <c r="F6296" t="s">
        <v>101</v>
      </c>
      <c r="G6296">
        <v>-218.54660000000001</v>
      </c>
      <c r="H6296" s="1">
        <v>-3.0125829999999999E-6</v>
      </c>
      <c r="I6296">
        <v>-61.800829999999998</v>
      </c>
      <c r="J6296">
        <v>-231.99119999999999</v>
      </c>
      <c r="K6296">
        <v>1.104857</v>
      </c>
      <c r="L6296">
        <v>-64.255799999999994</v>
      </c>
      <c r="M6296">
        <v>0.99972739999999904</v>
      </c>
      <c r="N6296">
        <v>0</v>
      </c>
      <c r="O6296">
        <v>1.878794E-2</v>
      </c>
      <c r="P6296">
        <v>0.98728669999999996</v>
      </c>
      <c r="Q6296">
        <v>2.337583E-2</v>
      </c>
      <c r="R6296">
        <v>0.15722230000000001</v>
      </c>
      <c r="S6296">
        <v>2.9594119999999999</v>
      </c>
      <c r="T6296">
        <v>-0.2406529</v>
      </c>
      <c r="U6296">
        <v>0.53524780000000005</v>
      </c>
      <c r="V6296">
        <v>-0.13862240000000001</v>
      </c>
      <c r="W6296">
        <v>3.7186450000000003E-2</v>
      </c>
      <c r="X6296">
        <v>0.9896469</v>
      </c>
      <c r="Y6296">
        <v>-0.15900639999999999</v>
      </c>
      <c r="Z6296">
        <v>4.89018599999999E-3</v>
      </c>
      <c r="AA6296">
        <v>0.98726539999999996</v>
      </c>
      <c r="AB6296">
        <v>25</v>
      </c>
      <c r="AC6296">
        <v>13.4445999999999</v>
      </c>
      <c r="AD6296">
        <v>-1.1048600125829999</v>
      </c>
      <c r="AE6296">
        <v>2.4549699999999799</v>
      </c>
      <c r="AF6296">
        <v>-2.18761894281818</v>
      </c>
      <c r="AG6296">
        <v>-1.1048600125829999</v>
      </c>
      <c r="AH6296">
        <v>13.4007748203025</v>
      </c>
      <c r="AI6296">
        <v>94.651930111991405</v>
      </c>
      <c r="AJ6296">
        <v>99.271507911325799</v>
      </c>
      <c r="AK6296">
        <v>13.6230377695592</v>
      </c>
    </row>
    <row r="6297" spans="1:37" x14ac:dyDescent="0.2">
      <c r="A6297" t="str">
        <f>"20200111155721162"</f>
        <v>20200111155721162</v>
      </c>
      <c r="B6297" t="str">
        <f>"1578729441159004"</f>
        <v>1578729441159004</v>
      </c>
      <c r="C6297" t="s">
        <v>37</v>
      </c>
      <c r="D6297">
        <v>5.0578379999999896</v>
      </c>
      <c r="E6297">
        <v>0.46788269999999998</v>
      </c>
      <c r="F6297" t="s">
        <v>101</v>
      </c>
      <c r="G6297">
        <v>-217.74879999999999</v>
      </c>
      <c r="H6297" s="1">
        <v>-2.500477E-6</v>
      </c>
      <c r="I6297">
        <v>-61.16254</v>
      </c>
      <c r="J6297">
        <v>-231.84360000000001</v>
      </c>
      <c r="K6297">
        <v>1.104792</v>
      </c>
      <c r="L6297">
        <v>-64.253140000000002</v>
      </c>
      <c r="M6297">
        <v>0.99973179999999995</v>
      </c>
      <c r="N6297">
        <v>0</v>
      </c>
      <c r="O6297">
        <v>1.8581099999999899E-2</v>
      </c>
      <c r="P6297">
        <v>0.98720699999999995</v>
      </c>
      <c r="Q6297">
        <v>2.2410269999999999E-2</v>
      </c>
      <c r="R6297">
        <v>0.15786169999999999</v>
      </c>
      <c r="S6297">
        <v>2.9422759999999899</v>
      </c>
      <c r="T6297">
        <v>-0.22824739999999999</v>
      </c>
      <c r="U6297">
        <v>0.63900760000000001</v>
      </c>
      <c r="V6297">
        <v>-0.13946510000000001</v>
      </c>
      <c r="W6297">
        <v>3.619149E-2</v>
      </c>
      <c r="X6297">
        <v>0.98956540000000004</v>
      </c>
      <c r="Y6297">
        <v>-0.19353609999999999</v>
      </c>
      <c r="Z6297">
        <v>5.9874239999999999E-3</v>
      </c>
      <c r="AA6297">
        <v>0.98107489999999997</v>
      </c>
      <c r="AB6297">
        <v>25</v>
      </c>
      <c r="AC6297">
        <v>14.094799999999999</v>
      </c>
      <c r="AD6297">
        <v>-1.1047945004769999</v>
      </c>
      <c r="AE6297">
        <v>3.0905999999999998</v>
      </c>
      <c r="AF6297">
        <v>-2.81166226826454</v>
      </c>
      <c r="AG6297">
        <v>-1.1047945004769999</v>
      </c>
      <c r="AH6297">
        <v>14.0673347708493</v>
      </c>
      <c r="AI6297">
        <v>94.403824004689</v>
      </c>
      <c r="AJ6297">
        <v>101.30286458357401</v>
      </c>
      <c r="AK6297">
        <v>14.388047927158601</v>
      </c>
    </row>
    <row r="6298" spans="1:37" x14ac:dyDescent="0.2">
      <c r="A6298" t="str">
        <f>"20200111155721173"</f>
        <v>20200111155721173</v>
      </c>
      <c r="B6298" t="str">
        <f>"1578729441169272"</f>
        <v>1578729441169272</v>
      </c>
      <c r="C6298" t="s">
        <v>37</v>
      </c>
      <c r="D6298">
        <v>4.9098030000000001</v>
      </c>
      <c r="E6298">
        <v>0.46468339999999903</v>
      </c>
      <c r="F6298" t="s">
        <v>101</v>
      </c>
      <c r="G6298">
        <v>-216.9042</v>
      </c>
      <c r="H6298" s="1">
        <v>-1.9724240000000002E-6</v>
      </c>
      <c r="I6298">
        <v>-60.539650000000002</v>
      </c>
      <c r="J6298">
        <v>-231.72049999999999</v>
      </c>
      <c r="K6298">
        <v>1.104743</v>
      </c>
      <c r="L6298">
        <v>-64.251040000000003</v>
      </c>
      <c r="M6298">
        <v>0.99973609999999902</v>
      </c>
      <c r="N6298">
        <v>0</v>
      </c>
      <c r="O6298">
        <v>1.8392450000000001E-2</v>
      </c>
      <c r="P6298">
        <v>0.98719389999999996</v>
      </c>
      <c r="Q6298">
        <v>2.1297150000000001E-2</v>
      </c>
      <c r="R6298">
        <v>0.15809670000000001</v>
      </c>
      <c r="S6298">
        <v>2.9274290000000001</v>
      </c>
      <c r="T6298">
        <v>-0.2164884</v>
      </c>
      <c r="U6298">
        <v>0.72766109999999995</v>
      </c>
      <c r="V6298">
        <v>-0.13988519999999999</v>
      </c>
      <c r="W6298">
        <v>3.5027790000000003E-2</v>
      </c>
      <c r="X6298">
        <v>0.98954799999999998</v>
      </c>
      <c r="Y6298">
        <v>-0.22280920000000001</v>
      </c>
      <c r="Z6298">
        <v>6.767169E-3</v>
      </c>
      <c r="AA6298">
        <v>0.9748386</v>
      </c>
      <c r="AB6298">
        <v>25</v>
      </c>
      <c r="AC6298">
        <v>14.816299999999901</v>
      </c>
      <c r="AD6298">
        <v>-1.1047449724239999</v>
      </c>
      <c r="AE6298">
        <v>3.7113900000000002</v>
      </c>
      <c r="AF6298">
        <v>-3.4203352006535801</v>
      </c>
      <c r="AG6298">
        <v>-1.1047449724239999</v>
      </c>
      <c r="AH6298">
        <v>14.804613028212501</v>
      </c>
      <c r="AI6298">
        <v>94.158459285013393</v>
      </c>
      <c r="AJ6298">
        <v>103.00889502901001</v>
      </c>
      <c r="AK6298">
        <v>15.2346880917873</v>
      </c>
    </row>
    <row r="6299" spans="1:37" x14ac:dyDescent="0.2">
      <c r="A6299" t="str">
        <f>"20200111155721183"</f>
        <v>20200111155721183</v>
      </c>
      <c r="B6299" t="str">
        <f>"1578729441179032"</f>
        <v>1578729441179032</v>
      </c>
      <c r="C6299" t="s">
        <v>37</v>
      </c>
      <c r="D6299">
        <v>4.9116919999999897</v>
      </c>
      <c r="E6299">
        <v>0.46254689999999998</v>
      </c>
      <c r="F6299" t="s">
        <v>101</v>
      </c>
      <c r="G6299">
        <v>-216.81120000000001</v>
      </c>
      <c r="H6299" s="1">
        <v>-1.897208E-6</v>
      </c>
      <c r="I6299">
        <v>-60.406930000000003</v>
      </c>
      <c r="J6299">
        <v>-231.6103</v>
      </c>
      <c r="K6299">
        <v>1.1047039999999999</v>
      </c>
      <c r="L6299">
        <v>-64.24915</v>
      </c>
      <c r="M6299">
        <v>0.99974019999999997</v>
      </c>
      <c r="N6299">
        <v>0</v>
      </c>
      <c r="O6299">
        <v>1.82206E-2</v>
      </c>
      <c r="P6299">
        <v>0.98718859999999997</v>
      </c>
      <c r="Q6299">
        <v>2.0435999999999999E-2</v>
      </c>
      <c r="R6299">
        <v>0.15824460000000001</v>
      </c>
      <c r="S6299">
        <v>2.922882</v>
      </c>
      <c r="T6299">
        <v>-0.21657849999999901</v>
      </c>
      <c r="U6299">
        <v>0.75360109999999902</v>
      </c>
      <c r="V6299">
        <v>-0.14020299999999999</v>
      </c>
      <c r="W6299">
        <v>3.4106619999999997E-2</v>
      </c>
      <c r="X6299">
        <v>0.98953519999999995</v>
      </c>
      <c r="Y6299">
        <v>-0.2314292</v>
      </c>
      <c r="Z6299">
        <v>7.0992700000000004E-3</v>
      </c>
      <c r="AA6299">
        <v>0.97282579999999996</v>
      </c>
      <c r="AB6299">
        <v>25</v>
      </c>
      <c r="AC6299">
        <v>14.7990999999999</v>
      </c>
      <c r="AD6299">
        <v>-1.1047058972079999</v>
      </c>
      <c r="AE6299">
        <v>3.84221999999999</v>
      </c>
      <c r="AF6299">
        <v>-3.55335875697339</v>
      </c>
      <c r="AG6299">
        <v>-1.1047058972079999</v>
      </c>
      <c r="AH6299">
        <v>14.789451868179301</v>
      </c>
      <c r="AI6299">
        <v>94.154020978836897</v>
      </c>
      <c r="AJ6299">
        <v>103.509983030429</v>
      </c>
      <c r="AK6299">
        <v>15.250397376339899</v>
      </c>
    </row>
    <row r="6300" spans="1:37" x14ac:dyDescent="0.2">
      <c r="A6300" t="str">
        <f>"20200111155721192"</f>
        <v>20200111155721192</v>
      </c>
      <c r="B6300" t="str">
        <f>"1578729441189767"</f>
        <v>1578729441189767</v>
      </c>
      <c r="C6300" t="s">
        <v>37</v>
      </c>
      <c r="D6300">
        <v>4.9154720000000003</v>
      </c>
      <c r="E6300">
        <v>0.46089799999999997</v>
      </c>
      <c r="F6300" t="s">
        <v>101</v>
      </c>
      <c r="G6300">
        <v>-216.74039999999999</v>
      </c>
      <c r="H6300" s="1">
        <v>-1.8714189999999899E-6</v>
      </c>
      <c r="I6300">
        <v>-60.322899999999997</v>
      </c>
      <c r="J6300">
        <v>-231.5067</v>
      </c>
      <c r="K6300">
        <v>1.1046739999999999</v>
      </c>
      <c r="L6300">
        <v>-64.247410000000002</v>
      </c>
      <c r="M6300">
        <v>0.99974419999999897</v>
      </c>
      <c r="N6300">
        <v>0</v>
      </c>
      <c r="O6300">
        <v>1.8056200000000001E-2</v>
      </c>
      <c r="P6300">
        <v>0.98719889999999999</v>
      </c>
      <c r="Q6300">
        <v>1.9672869999999999E-2</v>
      </c>
      <c r="R6300">
        <v>0.15827649999999999</v>
      </c>
      <c r="S6300">
        <v>2.9198300000000001</v>
      </c>
      <c r="T6300">
        <v>-0.21691750000000001</v>
      </c>
      <c r="U6300">
        <v>0.77093509999999998</v>
      </c>
      <c r="V6300">
        <v>-0.14039699999999999</v>
      </c>
      <c r="W6300">
        <v>3.327215E-2</v>
      </c>
      <c r="X6300">
        <v>0.98953599999999997</v>
      </c>
      <c r="Y6300">
        <v>-0.2372205</v>
      </c>
      <c r="Z6300">
        <v>7.3355180000000001E-3</v>
      </c>
      <c r="AA6300">
        <v>0.97142819999999996</v>
      </c>
      <c r="AB6300">
        <v>25</v>
      </c>
      <c r="AC6300">
        <v>14.766299999999999</v>
      </c>
      <c r="AD6300">
        <v>-1.1046758714189999</v>
      </c>
      <c r="AE6300">
        <v>3.9245100000000002</v>
      </c>
      <c r="AF6300">
        <v>-3.6382037931224702</v>
      </c>
      <c r="AG6300">
        <v>-1.1046758714189999</v>
      </c>
      <c r="AH6300">
        <v>14.757616832688999</v>
      </c>
      <c r="AI6300">
        <v>94.156867939478701</v>
      </c>
      <c r="AJ6300">
        <v>103.849001122061</v>
      </c>
      <c r="AK6300">
        <v>15.2395567587005</v>
      </c>
    </row>
    <row r="6301" spans="1:37" x14ac:dyDescent="0.2">
      <c r="A6301" t="str">
        <f>"20200111155721204"</f>
        <v>20200111155721204</v>
      </c>
      <c r="B6301" t="str">
        <f>"1578729441199527"</f>
        <v>1578729441199527</v>
      </c>
      <c r="C6301" t="s">
        <v>37</v>
      </c>
      <c r="D6301">
        <v>4.9416919999999998</v>
      </c>
      <c r="E6301">
        <v>0.45931729999999998</v>
      </c>
      <c r="F6301" t="s">
        <v>101</v>
      </c>
      <c r="G6301">
        <v>-216.7209</v>
      </c>
      <c r="H6301" s="1">
        <v>-1.8717419999999999E-6</v>
      </c>
      <c r="I6301">
        <v>-60.273999999999901</v>
      </c>
      <c r="J6301">
        <v>-231.38640000000001</v>
      </c>
      <c r="K6301">
        <v>1.1046419999999999</v>
      </c>
      <c r="L6301">
        <v>-64.245419999999996</v>
      </c>
      <c r="M6301">
        <v>0.99974889999999905</v>
      </c>
      <c r="N6301">
        <v>0</v>
      </c>
      <c r="O6301">
        <v>1.7865700000000002E-2</v>
      </c>
      <c r="P6301">
        <v>0.98716740000000003</v>
      </c>
      <c r="Q6301">
        <v>1.9272919999999999E-2</v>
      </c>
      <c r="R6301">
        <v>0.15852169999999999</v>
      </c>
      <c r="S6301">
        <v>2.917557</v>
      </c>
      <c r="T6301">
        <v>-0.21797629999999901</v>
      </c>
      <c r="U6301">
        <v>0.78402709999999998</v>
      </c>
      <c r="V6301">
        <v>-0.14083109999999999</v>
      </c>
      <c r="W6301">
        <v>3.2778420000000003E-2</v>
      </c>
      <c r="X6301">
        <v>0.98949089999999995</v>
      </c>
      <c r="Y6301">
        <v>-0.24164240000000001</v>
      </c>
      <c r="Z6301">
        <v>7.5486559999999999E-3</v>
      </c>
      <c r="AA6301">
        <v>0.97033599999999998</v>
      </c>
      <c r="AB6301">
        <v>25</v>
      </c>
      <c r="AC6301">
        <v>14.6655</v>
      </c>
      <c r="AD6301">
        <v>-1.104643871742</v>
      </c>
      <c r="AE6301">
        <v>3.9714200000000002</v>
      </c>
      <c r="AF6301">
        <v>-3.68925172979178</v>
      </c>
      <c r="AG6301">
        <v>-1.104643871742</v>
      </c>
      <c r="AH6301">
        <v>14.656644471087899</v>
      </c>
      <c r="AI6301">
        <v>94.180217716204993</v>
      </c>
      <c r="AJ6301">
        <v>104.12852081960899</v>
      </c>
      <c r="AK6301">
        <v>15.154142785424099</v>
      </c>
    </row>
    <row r="6302" spans="1:37" x14ac:dyDescent="0.2">
      <c r="A6302" t="str">
        <f>"20200111155721214"</f>
        <v>20200111155721214</v>
      </c>
      <c r="B6302" t="str">
        <f>"1578729441209288"</f>
        <v>1578729441209288</v>
      </c>
      <c r="C6302" t="s">
        <v>37</v>
      </c>
      <c r="D6302">
        <v>4.8438140000000001</v>
      </c>
      <c r="E6302">
        <v>0.45825579999999999</v>
      </c>
      <c r="F6302" t="s">
        <v>101</v>
      </c>
      <c r="G6302">
        <v>-216.75890000000001</v>
      </c>
      <c r="H6302" s="1">
        <v>-1.89304E-6</v>
      </c>
      <c r="I6302">
        <v>-60.245800000000003</v>
      </c>
      <c r="J6302">
        <v>-231.26179999999999</v>
      </c>
      <c r="K6302">
        <v>1.1046149999999999</v>
      </c>
      <c r="L6302">
        <v>-64.243380000000002</v>
      </c>
      <c r="M6302">
        <v>0.99975380000000003</v>
      </c>
      <c r="N6302">
        <v>0</v>
      </c>
      <c r="O6302">
        <v>1.7668699999999999E-2</v>
      </c>
      <c r="P6302">
        <v>0.9872109</v>
      </c>
      <c r="Q6302">
        <v>1.9039690000000001E-2</v>
      </c>
      <c r="R6302">
        <v>0.15827820000000001</v>
      </c>
      <c r="S6302">
        <v>2.9152979999999999</v>
      </c>
      <c r="T6302">
        <v>-0.22015770000000001</v>
      </c>
      <c r="U6302">
        <v>0.79711909999999997</v>
      </c>
      <c r="V6302">
        <v>-0.1407822</v>
      </c>
      <c r="W6302">
        <v>3.2432889999999999E-2</v>
      </c>
      <c r="X6302">
        <v>0.98950919999999898</v>
      </c>
      <c r="Y6302">
        <v>-0.24605469999999999</v>
      </c>
      <c r="Z6302">
        <v>7.8032709999999996E-3</v>
      </c>
      <c r="AA6302">
        <v>0.96922450000000004</v>
      </c>
      <c r="AB6302">
        <v>25</v>
      </c>
      <c r="AC6302">
        <v>14.502899999999901</v>
      </c>
      <c r="AD6302">
        <v>-1.10461689304</v>
      </c>
      <c r="AE6302">
        <v>3.9975799999999899</v>
      </c>
      <c r="AF6302">
        <v>-3.7206255823612699</v>
      </c>
      <c r="AG6302">
        <v>-1.10461689304</v>
      </c>
      <c r="AH6302">
        <v>14.493134149451199</v>
      </c>
      <c r="AI6302">
        <v>94.222075643140997</v>
      </c>
      <c r="AJ6302">
        <v>104.397853351306</v>
      </c>
      <c r="AK6302">
        <v>15.00380520663</v>
      </c>
    </row>
    <row r="6303" spans="1:37" x14ac:dyDescent="0.2">
      <c r="A6303" t="str">
        <f>"20200111155721225"</f>
        <v>20200111155721225</v>
      </c>
      <c r="B6303" t="str">
        <f>"1578729441219049"</f>
        <v>1578729441219049</v>
      </c>
      <c r="C6303" t="s">
        <v>37</v>
      </c>
      <c r="D6303">
        <v>4.904617</v>
      </c>
      <c r="E6303">
        <v>0.4573816</v>
      </c>
      <c r="F6303" t="s">
        <v>101</v>
      </c>
      <c r="G6303">
        <v>-216.76609999999999</v>
      </c>
      <c r="H6303" s="1">
        <v>-1.8969349999999999E-6</v>
      </c>
      <c r="I6303">
        <v>-60.241079999999997</v>
      </c>
      <c r="J6303">
        <v>-231.13849999999999</v>
      </c>
      <c r="K6303">
        <v>1.1045969999999901</v>
      </c>
      <c r="L6303">
        <v>-64.241389999999996</v>
      </c>
      <c r="M6303">
        <v>0.99975910000000001</v>
      </c>
      <c r="N6303">
        <v>0</v>
      </c>
      <c r="O6303">
        <v>1.74764E-2</v>
      </c>
      <c r="P6303">
        <v>0.98720769999999902</v>
      </c>
      <c r="Q6303">
        <v>1.8590789999999999E-2</v>
      </c>
      <c r="R6303">
        <v>0.1583532</v>
      </c>
      <c r="S6303">
        <v>2.9141849999999998</v>
      </c>
      <c r="T6303">
        <v>-0.2220683</v>
      </c>
      <c r="U6303">
        <v>0.80459590000000003</v>
      </c>
      <c r="V6303">
        <v>-0.14104849999999999</v>
      </c>
      <c r="W6303">
        <v>3.185764E-2</v>
      </c>
      <c r="X6303">
        <v>0.98948999999999998</v>
      </c>
      <c r="Y6303">
        <v>-0.24862870000000001</v>
      </c>
      <c r="Z6303">
        <v>7.9815790000000008E-3</v>
      </c>
      <c r="AA6303">
        <v>0.96856600000000004</v>
      </c>
      <c r="AB6303">
        <v>25</v>
      </c>
      <c r="AC6303">
        <v>14.372400000000001</v>
      </c>
      <c r="AD6303">
        <v>-1.10459889693499</v>
      </c>
      <c r="AE6303">
        <v>4.00030999999999</v>
      </c>
      <c r="AF6303">
        <v>-3.7280614408864001</v>
      </c>
      <c r="AG6303">
        <v>-1.10459889693499</v>
      </c>
      <c r="AH6303">
        <v>14.361391413722499</v>
      </c>
      <c r="AI6303">
        <v>94.257644949487201</v>
      </c>
      <c r="AJ6303">
        <v>104.552164753681</v>
      </c>
      <c r="AK6303">
        <v>14.8784456233935</v>
      </c>
    </row>
    <row r="6304" spans="1:37" x14ac:dyDescent="0.2">
      <c r="A6304" t="str">
        <f>"20200111155721235"</f>
        <v>20200111155721235</v>
      </c>
      <c r="B6304" t="str">
        <f>"1578729441228808"</f>
        <v>1578729441228808</v>
      </c>
      <c r="C6304" t="s">
        <v>37</v>
      </c>
      <c r="D6304">
        <v>4.9199919999999997</v>
      </c>
      <c r="E6304">
        <v>0.4564646</v>
      </c>
      <c r="F6304" t="s">
        <v>101</v>
      </c>
      <c r="G6304">
        <v>-216.7372</v>
      </c>
      <c r="H6304" s="1">
        <v>-1.886535E-6</v>
      </c>
      <c r="I6304">
        <v>-60.229950000000002</v>
      </c>
      <c r="J6304">
        <v>-231.0155</v>
      </c>
      <c r="K6304">
        <v>1.1045780000000001</v>
      </c>
      <c r="L6304">
        <v>-64.239409999999907</v>
      </c>
      <c r="M6304">
        <v>0.99976409999999905</v>
      </c>
      <c r="N6304">
        <v>0</v>
      </c>
      <c r="O6304">
        <v>1.7286470000000002E-2</v>
      </c>
      <c r="P6304">
        <v>0.98728069999999901</v>
      </c>
      <c r="Q6304">
        <v>1.8181840000000001E-2</v>
      </c>
      <c r="R6304">
        <v>0.15794469999999999</v>
      </c>
      <c r="S6304">
        <v>2.9129179999999999</v>
      </c>
      <c r="T6304">
        <v>-0.22342409999999999</v>
      </c>
      <c r="U6304">
        <v>0.81137079999999995</v>
      </c>
      <c r="V6304">
        <v>-0.14082819999999999</v>
      </c>
      <c r="W6304">
        <v>3.1315750000000003E-2</v>
      </c>
      <c r="X6304">
        <v>0.98953869999999899</v>
      </c>
      <c r="Y6304">
        <v>-0.25099709999999997</v>
      </c>
      <c r="Z6304">
        <v>8.1343619999999991E-3</v>
      </c>
      <c r="AA6304">
        <v>0.96795370000000003</v>
      </c>
      <c r="AB6304">
        <v>25</v>
      </c>
      <c r="AC6304">
        <v>14.2783</v>
      </c>
      <c r="AD6304">
        <v>-1.1045798865350001</v>
      </c>
      <c r="AE6304">
        <v>4.00945999999999</v>
      </c>
      <c r="AF6304">
        <v>-3.7412642605505799</v>
      </c>
      <c r="AG6304">
        <v>-1.1045798865350001</v>
      </c>
      <c r="AH6304">
        <v>14.2663423524846</v>
      </c>
      <c r="AI6304">
        <v>94.283064128310798</v>
      </c>
      <c r="AJ6304">
        <v>104.694586786006</v>
      </c>
      <c r="AK6304">
        <v>14.7900533843292</v>
      </c>
    </row>
    <row r="6305" spans="1:37" x14ac:dyDescent="0.2">
      <c r="A6305" t="str">
        <f>"20200111155721247"</f>
        <v>20200111155721247</v>
      </c>
      <c r="B6305" t="str">
        <f>"1578729441239544"</f>
        <v>1578729441239544</v>
      </c>
      <c r="C6305" t="s">
        <v>37</v>
      </c>
      <c r="D6305">
        <v>4.9207700000000001</v>
      </c>
      <c r="E6305">
        <v>0.4558738</v>
      </c>
      <c r="F6305" t="s">
        <v>101</v>
      </c>
      <c r="G6305">
        <v>-216.71170000000001</v>
      </c>
      <c r="H6305" s="1">
        <v>-1.876334E-6</v>
      </c>
      <c r="I6305">
        <v>-60.2258</v>
      </c>
      <c r="J6305">
        <v>-230.89109999999999</v>
      </c>
      <c r="K6305">
        <v>1.104562</v>
      </c>
      <c r="L6305">
        <v>-64.237459999999999</v>
      </c>
      <c r="M6305">
        <v>0.99976919999999903</v>
      </c>
      <c r="N6305">
        <v>0</v>
      </c>
      <c r="O6305">
        <v>1.7101689999999999E-2</v>
      </c>
      <c r="P6305">
        <v>0.98726789999999998</v>
      </c>
      <c r="Q6305">
        <v>1.807982E-2</v>
      </c>
      <c r="R6305">
        <v>0.15803639999999999</v>
      </c>
      <c r="S6305">
        <v>2.9120789999999999</v>
      </c>
      <c r="T6305">
        <v>-0.22487869999999999</v>
      </c>
      <c r="U6305">
        <v>0.81710819999999995</v>
      </c>
      <c r="V6305">
        <v>-0.14110400000000001</v>
      </c>
      <c r="W6305">
        <v>3.1064109999999999E-2</v>
      </c>
      <c r="X6305">
        <v>0.98950729999999998</v>
      </c>
      <c r="Y6305">
        <v>-0.253002</v>
      </c>
      <c r="Z6305">
        <v>8.2771300000000006E-3</v>
      </c>
      <c r="AA6305">
        <v>0.96743040000000002</v>
      </c>
      <c r="AB6305">
        <v>25</v>
      </c>
      <c r="AC6305">
        <v>14.1793999999999</v>
      </c>
      <c r="AD6305">
        <v>-1.104563876334</v>
      </c>
      <c r="AE6305">
        <v>4.0116599999999902</v>
      </c>
      <c r="AF6305">
        <v>-3.74750546506182</v>
      </c>
      <c r="AG6305">
        <v>-1.104563876334</v>
      </c>
      <c r="AH6305">
        <v>14.166343647264901</v>
      </c>
      <c r="AI6305">
        <v>94.310697138504906</v>
      </c>
      <c r="AJ6305">
        <v>104.81737426836099</v>
      </c>
      <c r="AK6305">
        <v>14.6952084333627</v>
      </c>
    </row>
    <row r="6306" spans="1:37" x14ac:dyDescent="0.2">
      <c r="A6306" t="str">
        <f>"20200111155721258"</f>
        <v>20200111155721258</v>
      </c>
      <c r="B6306" t="str">
        <f>"1578729441249305"</f>
        <v>1578729441249305</v>
      </c>
      <c r="C6306" t="s">
        <v>37</v>
      </c>
      <c r="D6306">
        <v>4.9700449999999998</v>
      </c>
      <c r="E6306">
        <v>0.45499449999999902</v>
      </c>
      <c r="F6306" t="s">
        <v>101</v>
      </c>
      <c r="G6306">
        <v>-216.58779999999999</v>
      </c>
      <c r="H6306" s="1">
        <v>-1.8276990000000001E-6</v>
      </c>
      <c r="I6306">
        <v>-60.200380000000003</v>
      </c>
      <c r="J6306">
        <v>-230.76730000000001</v>
      </c>
      <c r="K6306">
        <v>1.1045419999999999</v>
      </c>
      <c r="L6306">
        <v>-64.235529999999997</v>
      </c>
      <c r="M6306">
        <v>0.9997743</v>
      </c>
      <c r="N6306">
        <v>0</v>
      </c>
      <c r="O6306">
        <v>1.6919429999999999E-2</v>
      </c>
      <c r="P6306">
        <v>0.98723439999999996</v>
      </c>
      <c r="Q6306">
        <v>1.7677370000000001E-2</v>
      </c>
      <c r="R6306">
        <v>0.158291299999999</v>
      </c>
      <c r="S6306">
        <v>2.91127</v>
      </c>
      <c r="T6306">
        <v>-0.22482089999999999</v>
      </c>
      <c r="U6306">
        <v>0.82168580000000002</v>
      </c>
      <c r="V6306">
        <v>-0.1415409</v>
      </c>
      <c r="W6306">
        <v>3.0509330000000001E-2</v>
      </c>
      <c r="X6306">
        <v>0.98946209999999901</v>
      </c>
      <c r="Y6306">
        <v>-0.25465279999999901</v>
      </c>
      <c r="Z6306">
        <v>8.3517009999999996E-3</v>
      </c>
      <c r="AA6306">
        <v>0.96699650000000004</v>
      </c>
      <c r="AB6306">
        <v>25</v>
      </c>
      <c r="AC6306">
        <v>14.179500000000001</v>
      </c>
      <c r="AD6306">
        <v>-1.1045438276989901</v>
      </c>
      <c r="AE6306">
        <v>4.0351499999999998</v>
      </c>
      <c r="AF6306">
        <v>-3.7734615380168299</v>
      </c>
      <c r="AG6306">
        <v>-1.1045438276989901</v>
      </c>
      <c r="AH6306">
        <v>14.166227523256801</v>
      </c>
      <c r="AI6306">
        <v>94.308701319048694</v>
      </c>
      <c r="AJ6306">
        <v>104.915560005408</v>
      </c>
      <c r="AK6306">
        <v>14.701735655591101</v>
      </c>
    </row>
    <row r="6307" spans="1:37" x14ac:dyDescent="0.2">
      <c r="A6307" t="str">
        <f>"20200111155721269"</f>
        <v>20200111155721269</v>
      </c>
      <c r="B6307" t="str">
        <f>"1578729441259064"</f>
        <v>1578729441259064</v>
      </c>
      <c r="C6307" t="s">
        <v>37</v>
      </c>
      <c r="D6307">
        <v>4.9284109999999997</v>
      </c>
      <c r="E6307">
        <v>0.45440950000000002</v>
      </c>
      <c r="F6307" t="s">
        <v>101</v>
      </c>
      <c r="G6307">
        <v>-216.48580000000001</v>
      </c>
      <c r="H6307" s="1">
        <v>-1.789855E-6</v>
      </c>
      <c r="I6307">
        <v>-60.166890000000002</v>
      </c>
      <c r="J6307">
        <v>-230.64109999999999</v>
      </c>
      <c r="K6307">
        <v>1.10453</v>
      </c>
      <c r="L6307">
        <v>-64.233549999999994</v>
      </c>
      <c r="M6307">
        <v>0.99977919999999998</v>
      </c>
      <c r="N6307">
        <v>0</v>
      </c>
      <c r="O6307">
        <v>1.6747120000000001E-2</v>
      </c>
      <c r="P6307">
        <v>0.98717489999999997</v>
      </c>
      <c r="Q6307">
        <v>1.753586E-2</v>
      </c>
      <c r="R6307">
        <v>0.15867609999999999</v>
      </c>
      <c r="S6307">
        <v>2.909897</v>
      </c>
      <c r="T6307">
        <v>-0.22505239999999899</v>
      </c>
      <c r="U6307">
        <v>0.82897949999999998</v>
      </c>
      <c r="V6307">
        <v>-0.14209849999999999</v>
      </c>
      <c r="W6307">
        <v>3.0196190000000001E-2</v>
      </c>
      <c r="X6307">
        <v>0.98939189999999999</v>
      </c>
      <c r="Y6307">
        <v>-0.25717230000000002</v>
      </c>
      <c r="Z6307">
        <v>8.4697049999999992E-3</v>
      </c>
      <c r="AA6307">
        <v>0.96632839999999998</v>
      </c>
      <c r="AB6307">
        <v>25</v>
      </c>
      <c r="AC6307">
        <v>14.155299999999899</v>
      </c>
      <c r="AD6307">
        <v>-1.104531789855</v>
      </c>
      <c r="AE6307">
        <v>4.0666599999999899</v>
      </c>
      <c r="AF6307">
        <v>-3.8075945408948</v>
      </c>
      <c r="AG6307">
        <v>-1.104531789855</v>
      </c>
      <c r="AH6307">
        <v>14.1418851772265</v>
      </c>
      <c r="AI6307">
        <v>94.312958195807497</v>
      </c>
      <c r="AJ6307">
        <v>105.06910737921299</v>
      </c>
      <c r="AK6307">
        <v>14.6870923953147</v>
      </c>
    </row>
    <row r="6308" spans="1:37" x14ac:dyDescent="0.2">
      <c r="A6308" t="str">
        <f>"20200111155721280"</f>
        <v>20200111155721280</v>
      </c>
      <c r="B6308" t="str">
        <f>"1578729441269800"</f>
        <v>1578729441269800</v>
      </c>
      <c r="C6308" t="s">
        <v>37</v>
      </c>
      <c r="D6308">
        <v>4.8927110000000003</v>
      </c>
      <c r="E6308">
        <v>0.45393790000000001</v>
      </c>
      <c r="F6308" t="s">
        <v>101</v>
      </c>
      <c r="G6308">
        <v>-216.40539999999999</v>
      </c>
      <c r="H6308" s="1">
        <v>-1.7583209999999999E-6</v>
      </c>
      <c r="I6308">
        <v>-60.1502699999999</v>
      </c>
      <c r="J6308">
        <v>-230.51429999999999</v>
      </c>
      <c r="K6308">
        <v>1.104514</v>
      </c>
      <c r="L6308">
        <v>-64.231569999999905</v>
      </c>
      <c r="M6308">
        <v>0.99978419999999901</v>
      </c>
      <c r="N6308">
        <v>0</v>
      </c>
      <c r="O6308">
        <v>1.6577020000000001E-2</v>
      </c>
      <c r="P6308">
        <v>0.98704400000000003</v>
      </c>
      <c r="Q6308">
        <v>1.7908049999999998E-2</v>
      </c>
      <c r="R6308">
        <v>0.15944739999999999</v>
      </c>
      <c r="S6308">
        <v>2.9088750000000001</v>
      </c>
      <c r="T6308">
        <v>-0.22569589999999901</v>
      </c>
      <c r="U6308">
        <v>0.83435059999999905</v>
      </c>
      <c r="V6308">
        <v>-0.1430411</v>
      </c>
      <c r="W6308">
        <v>3.039304E-2</v>
      </c>
      <c r="X6308">
        <v>0.98924990000000002</v>
      </c>
      <c r="Y6308">
        <v>-0.25906560000000001</v>
      </c>
      <c r="Z6308">
        <v>8.5794229999999992E-3</v>
      </c>
      <c r="AA6308">
        <v>0.96582159999999995</v>
      </c>
      <c r="AB6308">
        <v>25</v>
      </c>
      <c r="AC6308">
        <v>14.1089</v>
      </c>
      <c r="AD6308">
        <v>-1.1045157583209999</v>
      </c>
      <c r="AE6308">
        <v>4.0812999999999899</v>
      </c>
      <c r="AF6308">
        <v>-3.8252044951888902</v>
      </c>
      <c r="AG6308">
        <v>-1.1045157583209999</v>
      </c>
      <c r="AH6308">
        <v>14.0949108578286</v>
      </c>
      <c r="AI6308">
        <v>94.324884464402103</v>
      </c>
      <c r="AJ6308">
        <v>105.18372831441199</v>
      </c>
      <c r="AK6308">
        <v>14.6464554271853</v>
      </c>
    </row>
    <row r="6309" spans="1:37" x14ac:dyDescent="0.2">
      <c r="A6309" t="str">
        <f>"20200111155721292"</f>
        <v>20200111155721292</v>
      </c>
      <c r="B6309" t="str">
        <f>"1578729441289321"</f>
        <v>1578729441289321</v>
      </c>
      <c r="C6309" t="s">
        <v>37</v>
      </c>
      <c r="D6309">
        <v>4.9248629999999904</v>
      </c>
      <c r="E6309">
        <v>0.45317649999999998</v>
      </c>
      <c r="F6309" t="s">
        <v>101</v>
      </c>
      <c r="G6309">
        <v>-216.2269</v>
      </c>
      <c r="H6309" s="1">
        <v>-1.6899900000000001E-6</v>
      </c>
      <c r="I6309">
        <v>-60.103900000000003</v>
      </c>
      <c r="J6309">
        <v>-230.37899999999999</v>
      </c>
      <c r="K6309">
        <v>1.1044989999999999</v>
      </c>
      <c r="L6309">
        <v>-64.229519999999994</v>
      </c>
      <c r="M6309">
        <v>0.9997895</v>
      </c>
      <c r="N6309">
        <v>0</v>
      </c>
      <c r="O6309">
        <v>1.6407629999999999E-2</v>
      </c>
      <c r="P6309">
        <v>0.98681379999999996</v>
      </c>
      <c r="Q6309">
        <v>1.8481959999999999E-2</v>
      </c>
      <c r="R6309">
        <v>0.16080050000000001</v>
      </c>
      <c r="S6309">
        <v>2.907791</v>
      </c>
      <c r="T6309">
        <v>-0.22479299999999999</v>
      </c>
      <c r="U6309">
        <v>0.84005739999999995</v>
      </c>
      <c r="V6309">
        <v>-0.14456629999999901</v>
      </c>
      <c r="W6309">
        <v>3.0769089999999999E-2</v>
      </c>
      <c r="X6309">
        <v>0.98901659999999902</v>
      </c>
      <c r="Y6309">
        <v>-0.26107379999999902</v>
      </c>
      <c r="Z6309">
        <v>8.6347469999999999E-3</v>
      </c>
      <c r="AA6309">
        <v>0.96528019999999903</v>
      </c>
      <c r="AB6309">
        <v>25</v>
      </c>
      <c r="AC6309">
        <v>14.152100000000001</v>
      </c>
      <c r="AD6309">
        <v>-1.1045006899899901</v>
      </c>
      <c r="AE6309">
        <v>4.1256199999999899</v>
      </c>
      <c r="AF6309">
        <v>-3.8711123585437601</v>
      </c>
      <c r="AG6309">
        <v>-1.1045006899899901</v>
      </c>
      <c r="AH6309">
        <v>14.1385187802257</v>
      </c>
      <c r="AI6309">
        <v>94.308911089997906</v>
      </c>
      <c r="AJ6309">
        <v>105.31225764978799</v>
      </c>
      <c r="AK6309">
        <v>14.700447134881699</v>
      </c>
    </row>
    <row r="6310" spans="1:37" x14ac:dyDescent="0.2">
      <c r="A6310" t="str">
        <f>"20200111155721303"</f>
        <v>20200111155721303</v>
      </c>
      <c r="B6310" t="str">
        <f>"1578729441299079"</f>
        <v>1578729441299079</v>
      </c>
      <c r="C6310" t="s">
        <v>37</v>
      </c>
      <c r="D6310">
        <v>4.9489330000000002</v>
      </c>
      <c r="E6310">
        <v>0.45281300000000002</v>
      </c>
      <c r="F6310" t="s">
        <v>101</v>
      </c>
      <c r="G6310">
        <v>-215.9008</v>
      </c>
      <c r="H6310" s="1">
        <v>-1.5693599999999999E-6</v>
      </c>
      <c r="I6310">
        <v>-59.995089999999998</v>
      </c>
      <c r="J6310">
        <v>-230.2534</v>
      </c>
      <c r="K6310">
        <v>1.104484</v>
      </c>
      <c r="L6310">
        <v>-64.227630000000005</v>
      </c>
      <c r="M6310">
        <v>0.99979409999999902</v>
      </c>
      <c r="N6310">
        <v>0</v>
      </c>
      <c r="O6310">
        <v>1.6255869999999999E-2</v>
      </c>
      <c r="P6310">
        <v>0.98659039999999998</v>
      </c>
      <c r="Q6310">
        <v>1.8757280000000001E-2</v>
      </c>
      <c r="R6310">
        <v>0.1621349</v>
      </c>
      <c r="S6310">
        <v>2.9057459999999899</v>
      </c>
      <c r="T6310">
        <v>-0.22166939999999999</v>
      </c>
      <c r="U6310">
        <v>0.849823</v>
      </c>
      <c r="V6310">
        <v>-0.1460555</v>
      </c>
      <c r="W6310">
        <v>3.0858690000000001E-2</v>
      </c>
      <c r="X6310">
        <v>0.98879499999999998</v>
      </c>
      <c r="Y6310">
        <v>-0.26440019999999997</v>
      </c>
      <c r="Z6310">
        <v>8.652369E-3</v>
      </c>
      <c r="AA6310">
        <v>0.96437419999999996</v>
      </c>
      <c r="AB6310">
        <v>25</v>
      </c>
      <c r="AC6310">
        <v>14.352599999999899</v>
      </c>
      <c r="AD6310">
        <v>-1.10448556936</v>
      </c>
      <c r="AE6310">
        <v>4.2325400000000002</v>
      </c>
      <c r="AF6310">
        <v>-3.9769825125181</v>
      </c>
      <c r="AG6310">
        <v>-1.10448556936</v>
      </c>
      <c r="AH6310">
        <v>14.3413789178096</v>
      </c>
      <c r="AI6310">
        <v>94.244325633833</v>
      </c>
      <c r="AJ6310">
        <v>105.499132428952</v>
      </c>
      <c r="AK6310">
        <v>14.923519274688299</v>
      </c>
    </row>
    <row r="6311" spans="1:37" x14ac:dyDescent="0.2">
      <c r="A6311" t="str">
        <f>"20200111155721314"</f>
        <v>20200111155721314</v>
      </c>
      <c r="B6311" t="str">
        <f>"1578729441308840"</f>
        <v>1578729441308840</v>
      </c>
      <c r="C6311" t="s">
        <v>37</v>
      </c>
      <c r="D6311">
        <v>5.0212949999999896</v>
      </c>
      <c r="E6311">
        <v>0.45234799999999997</v>
      </c>
      <c r="F6311" t="s">
        <v>101</v>
      </c>
      <c r="G6311">
        <v>-215.7004</v>
      </c>
      <c r="H6311" s="1">
        <v>-1.4938979999999999E-6</v>
      </c>
      <c r="I6311">
        <v>-59.935959999999902</v>
      </c>
      <c r="J6311">
        <v>-230.12370000000001</v>
      </c>
      <c r="K6311">
        <v>1.104468</v>
      </c>
      <c r="L6311">
        <v>-64.225679999999997</v>
      </c>
      <c r="M6311">
        <v>0.99979899999999999</v>
      </c>
      <c r="N6311">
        <v>0</v>
      </c>
      <c r="O6311">
        <v>1.610555E-2</v>
      </c>
      <c r="P6311">
        <v>0.986319099999999</v>
      </c>
      <c r="Q6311">
        <v>1.93644E-2</v>
      </c>
      <c r="R6311">
        <v>0.16370699999999999</v>
      </c>
      <c r="S6311">
        <v>2.904236</v>
      </c>
      <c r="T6311">
        <v>-0.22041369999999999</v>
      </c>
      <c r="U6311">
        <v>0.85644529999999996</v>
      </c>
      <c r="V6311">
        <v>-0.14778089999999999</v>
      </c>
      <c r="W6311">
        <v>3.1271430000000003E-2</v>
      </c>
      <c r="X6311">
        <v>0.98852559999999901</v>
      </c>
      <c r="Y6311">
        <v>-0.26670479999999902</v>
      </c>
      <c r="Z6311">
        <v>8.7017350000000004E-3</v>
      </c>
      <c r="AA6311">
        <v>0.96373899999999901</v>
      </c>
      <c r="AB6311">
        <v>25</v>
      </c>
      <c r="AC6311">
        <v>14.423299999999999</v>
      </c>
      <c r="AD6311">
        <v>-1.104469493898</v>
      </c>
      <c r="AE6311">
        <v>4.2897200000000097</v>
      </c>
      <c r="AF6311">
        <v>-4.0351136227611404</v>
      </c>
      <c r="AG6311">
        <v>-1.104469493898</v>
      </c>
      <c r="AH6311">
        <v>14.412876437013599</v>
      </c>
      <c r="AI6311">
        <v>94.2203954456876</v>
      </c>
      <c r="AJ6311">
        <v>105.64043358809801</v>
      </c>
      <c r="AK6311">
        <v>15.007764723640999</v>
      </c>
    </row>
    <row r="6312" spans="1:37" x14ac:dyDescent="0.2">
      <c r="A6312" t="str">
        <f>"20200111155721325"</f>
        <v>20200111155721325</v>
      </c>
      <c r="B6312" t="str">
        <f>"1578729441319575"</f>
        <v>1578729441319575</v>
      </c>
      <c r="C6312" t="s">
        <v>37</v>
      </c>
      <c r="D6312">
        <v>4.9534209999999996</v>
      </c>
      <c r="E6312">
        <v>0.45209199999999999</v>
      </c>
      <c r="F6312" t="s">
        <v>101</v>
      </c>
      <c r="G6312">
        <v>-215.4666</v>
      </c>
      <c r="H6312" s="1">
        <v>-1.4072770000000001E-6</v>
      </c>
      <c r="I6312">
        <v>-59.858890000000002</v>
      </c>
      <c r="J6312">
        <v>-230.00299999999999</v>
      </c>
      <c r="K6312">
        <v>1.104455</v>
      </c>
      <c r="L6312">
        <v>-64.223849999999999</v>
      </c>
      <c r="M6312">
        <v>0.999803199999999</v>
      </c>
      <c r="N6312">
        <v>0</v>
      </c>
      <c r="O6312">
        <v>1.5970829999999998E-2</v>
      </c>
      <c r="P6312">
        <v>0.98597309999999905</v>
      </c>
      <c r="Q6312">
        <v>2.0159969999999999E-2</v>
      </c>
      <c r="R6312">
        <v>0.16568250000000001</v>
      </c>
      <c r="S6312">
        <v>2.9023590000000001</v>
      </c>
      <c r="T6312">
        <v>-0.2187035</v>
      </c>
      <c r="U6312">
        <v>0.86468509999999998</v>
      </c>
      <c r="V6312">
        <v>-0.14989459999999999</v>
      </c>
      <c r="W6312">
        <v>3.188672E-2</v>
      </c>
      <c r="X6312">
        <v>0.9881877</v>
      </c>
      <c r="Y6312">
        <v>-0.26951989999999998</v>
      </c>
      <c r="Z6312">
        <v>8.7499359999999998E-3</v>
      </c>
      <c r="AA6312">
        <v>0.96295509999999995</v>
      </c>
      <c r="AB6312">
        <v>25</v>
      </c>
      <c r="AC6312">
        <v>14.536399999999899</v>
      </c>
      <c r="AD6312">
        <v>-1.104456407277</v>
      </c>
      <c r="AE6312">
        <v>4.3649599999999902</v>
      </c>
      <c r="AF6312">
        <v>-4.1104626292670101</v>
      </c>
      <c r="AG6312">
        <v>-1.104456407277</v>
      </c>
      <c r="AH6312">
        <v>14.5273360222723</v>
      </c>
      <c r="AI6312">
        <v>94.183970305488103</v>
      </c>
      <c r="AJ6312">
        <v>105.79868868216801</v>
      </c>
      <c r="AK6312">
        <v>15.1380057763956</v>
      </c>
    </row>
    <row r="6313" spans="1:37" x14ac:dyDescent="0.2">
      <c r="A6313" t="str">
        <f>"20200111155721337"</f>
        <v>20200111155721337</v>
      </c>
      <c r="B6313" t="str">
        <f>"1578729441329336"</f>
        <v>1578729441329336</v>
      </c>
      <c r="C6313" t="s">
        <v>37</v>
      </c>
      <c r="D6313">
        <v>4.9476680000000002</v>
      </c>
      <c r="E6313">
        <v>0.45185720000000001</v>
      </c>
      <c r="F6313" t="s">
        <v>101</v>
      </c>
      <c r="G6313">
        <v>-215.2243</v>
      </c>
      <c r="H6313" s="1">
        <v>-1.3176150000000001E-6</v>
      </c>
      <c r="I6313">
        <v>-59.778379999999999</v>
      </c>
      <c r="J6313">
        <v>-229.86969999999999</v>
      </c>
      <c r="K6313">
        <v>1.104436</v>
      </c>
      <c r="L6313">
        <v>-64.221890000000002</v>
      </c>
      <c r="M6313">
        <v>0.99980780000000002</v>
      </c>
      <c r="N6313">
        <v>0</v>
      </c>
      <c r="O6313">
        <v>1.5824640000000001E-2</v>
      </c>
      <c r="P6313">
        <v>0.98559819999999998</v>
      </c>
      <c r="Q6313">
        <v>2.0770029999999998E-2</v>
      </c>
      <c r="R6313">
        <v>0.16782359999999999</v>
      </c>
      <c r="S6313">
        <v>2.9004970000000001</v>
      </c>
      <c r="T6313">
        <v>-0.21676329999999999</v>
      </c>
      <c r="U6313">
        <v>0.87246699999999999</v>
      </c>
      <c r="V6313">
        <v>-0.1521864</v>
      </c>
      <c r="W6313">
        <v>3.2297069999999997E-2</v>
      </c>
      <c r="X6313">
        <v>0.98782399999999904</v>
      </c>
      <c r="Y6313">
        <v>-0.272204</v>
      </c>
      <c r="Z6313">
        <v>8.7832429999999996E-3</v>
      </c>
      <c r="AA6313">
        <v>0.96219949999999999</v>
      </c>
      <c r="AB6313">
        <v>25</v>
      </c>
      <c r="AC6313">
        <v>14.645399999999899</v>
      </c>
      <c r="AD6313">
        <v>-1.104437317615</v>
      </c>
      <c r="AE6313">
        <v>4.4435099999999901</v>
      </c>
      <c r="AF6313">
        <v>-4.1893634200355301</v>
      </c>
      <c r="AG6313">
        <v>-1.104437317615</v>
      </c>
      <c r="AH6313">
        <v>14.6376609356749</v>
      </c>
      <c r="AI6313">
        <v>94.148927478058695</v>
      </c>
      <c r="AJ6313">
        <v>105.971356305961</v>
      </c>
      <c r="AK6313">
        <v>15.2653747193266</v>
      </c>
    </row>
    <row r="6314" spans="1:37" x14ac:dyDescent="0.2">
      <c r="A6314" t="str">
        <f>"20200111155721347"</f>
        <v>20200111155721347</v>
      </c>
      <c r="B6314" t="str">
        <f>"1578729441339097"</f>
        <v>1578729441339097</v>
      </c>
      <c r="C6314" t="s">
        <v>37</v>
      </c>
      <c r="D6314">
        <v>4.9288610000000004</v>
      </c>
      <c r="E6314">
        <v>0.4517021</v>
      </c>
      <c r="F6314" t="s">
        <v>101</v>
      </c>
      <c r="G6314">
        <v>-214.99619999999999</v>
      </c>
      <c r="H6314" s="1">
        <v>-1.233087E-6</v>
      </c>
      <c r="I6314">
        <v>-59.703229999999998</v>
      </c>
      <c r="J6314">
        <v>-229.75049999999999</v>
      </c>
      <c r="K6314">
        <v>1.1044209999999901</v>
      </c>
      <c r="L6314">
        <v>-64.220119999999994</v>
      </c>
      <c r="M6314">
        <v>0.99981189999999998</v>
      </c>
      <c r="N6314">
        <v>0</v>
      </c>
      <c r="O6314">
        <v>1.569721E-2</v>
      </c>
      <c r="P6314">
        <v>0.98523579999999999</v>
      </c>
      <c r="Q6314">
        <v>2.1326040000000001E-2</v>
      </c>
      <c r="R6314">
        <v>0.1698703</v>
      </c>
      <c r="S6314">
        <v>2.8984529999999999</v>
      </c>
      <c r="T6314">
        <v>-0.2152251</v>
      </c>
      <c r="U6314">
        <v>0.88055419999999995</v>
      </c>
      <c r="V6314">
        <v>-0.15436449999999999</v>
      </c>
      <c r="W6314">
        <v>3.2676419999999998E-2</v>
      </c>
      <c r="X6314">
        <v>0.9874735</v>
      </c>
      <c r="Y6314">
        <v>-0.2749742</v>
      </c>
      <c r="Z6314">
        <v>8.8332129999999995E-3</v>
      </c>
      <c r="AA6314">
        <v>0.96141109999999896</v>
      </c>
      <c r="AB6314">
        <v>25</v>
      </c>
      <c r="AC6314">
        <v>14.754300000000001</v>
      </c>
      <c r="AD6314">
        <v>-1.1044222330869999</v>
      </c>
      <c r="AE6314">
        <v>4.5168899999999796</v>
      </c>
      <c r="AF6314">
        <v>-4.2628782212768597</v>
      </c>
      <c r="AG6314">
        <v>-1.1044222330869999</v>
      </c>
      <c r="AH6314">
        <v>14.7478356123226</v>
      </c>
      <c r="AI6314">
        <v>94.114881394091</v>
      </c>
      <c r="AJ6314">
        <v>106.121996384542</v>
      </c>
      <c r="AK6314">
        <v>15.391248631818801</v>
      </c>
    </row>
    <row r="6315" spans="1:37" x14ac:dyDescent="0.2">
      <c r="A6315" t="str">
        <f>"20200111155721360"</f>
        <v>20200111155721360</v>
      </c>
      <c r="B6315" t="str">
        <f>"1578729441348856"</f>
        <v>1578729441348856</v>
      </c>
      <c r="C6315" t="s">
        <v>37</v>
      </c>
      <c r="D6315">
        <v>4.9782390000000003</v>
      </c>
      <c r="E6315">
        <v>0.45155649999999897</v>
      </c>
      <c r="F6315" t="s">
        <v>101</v>
      </c>
      <c r="G6315">
        <v>-214.7491</v>
      </c>
      <c r="H6315" s="1">
        <v>-1.1414819999999999E-6</v>
      </c>
      <c r="I6315">
        <v>-59.621899999999997</v>
      </c>
      <c r="J6315">
        <v>-229.61930000000001</v>
      </c>
      <c r="K6315">
        <v>1.104406</v>
      </c>
      <c r="L6315">
        <v>-64.218199999999996</v>
      </c>
      <c r="M6315">
        <v>0.99981620000000004</v>
      </c>
      <c r="N6315">
        <v>0</v>
      </c>
      <c r="O6315">
        <v>1.555758E-2</v>
      </c>
      <c r="P6315">
        <v>0.98485299999999998</v>
      </c>
      <c r="Q6315">
        <v>2.1828319999999998E-2</v>
      </c>
      <c r="R6315">
        <v>0.1720122</v>
      </c>
      <c r="S6315">
        <v>2.8965000000000001</v>
      </c>
      <c r="T6315">
        <v>-0.21324290000000001</v>
      </c>
      <c r="U6315">
        <v>0.88781739999999998</v>
      </c>
      <c r="V6315">
        <v>-0.1566505</v>
      </c>
      <c r="W6315">
        <v>3.2985729999999998E-2</v>
      </c>
      <c r="X6315">
        <v>0.98710309999999901</v>
      </c>
      <c r="Y6315">
        <v>-0.27749819999999997</v>
      </c>
      <c r="Z6315">
        <v>8.8553199999999999E-3</v>
      </c>
      <c r="AA6315">
        <v>0.96068539999999902</v>
      </c>
      <c r="AB6315">
        <v>25</v>
      </c>
      <c r="AC6315">
        <v>14.870200000000001</v>
      </c>
      <c r="AD6315">
        <v>-1.104407141482</v>
      </c>
      <c r="AE6315">
        <v>4.5962999999999896</v>
      </c>
      <c r="AF6315">
        <v>-4.3425203563537798</v>
      </c>
      <c r="AG6315">
        <v>-1.104407141482</v>
      </c>
      <c r="AH6315">
        <v>14.8650667400993</v>
      </c>
      <c r="AI6315">
        <v>94.079130010019398</v>
      </c>
      <c r="AJ6315">
        <v>106.284626255003</v>
      </c>
      <c r="AK6315">
        <v>15.5257015096616</v>
      </c>
    </row>
    <row r="6316" spans="1:37" x14ac:dyDescent="0.2">
      <c r="A6316" t="str">
        <f>"20200111155721371"</f>
        <v>20200111155721371</v>
      </c>
      <c r="B6316" t="str">
        <f>"1578729441359592"</f>
        <v>1578729441359592</v>
      </c>
      <c r="C6316" t="s">
        <v>37</v>
      </c>
      <c r="D6316">
        <v>4.9628269999999999</v>
      </c>
      <c r="E6316">
        <v>0.45146899999999901</v>
      </c>
      <c r="F6316" t="s">
        <v>101</v>
      </c>
      <c r="G6316">
        <v>-214.5393</v>
      </c>
      <c r="H6316" s="1">
        <v>-1.0635559999999999E-6</v>
      </c>
      <c r="I6316">
        <v>-59.553869999999897</v>
      </c>
      <c r="J6316">
        <v>-229.48349999999999</v>
      </c>
      <c r="K6316">
        <v>1.104387</v>
      </c>
      <c r="L6316">
        <v>-64.216250000000002</v>
      </c>
      <c r="M6316">
        <v>0.9998205</v>
      </c>
      <c r="N6316">
        <v>0</v>
      </c>
      <c r="O6316">
        <v>1.541406E-2</v>
      </c>
      <c r="P6316">
        <v>0.98450459999999995</v>
      </c>
      <c r="Q6316">
        <v>2.2351860000000001E-2</v>
      </c>
      <c r="R6316">
        <v>0.17392850000000001</v>
      </c>
      <c r="S6316">
        <v>2.894485</v>
      </c>
      <c r="T6316">
        <v>-0.211980899999999</v>
      </c>
      <c r="U6316">
        <v>0.895263699999999</v>
      </c>
      <c r="V6316">
        <v>-0.15871379999999999</v>
      </c>
      <c r="W6316">
        <v>3.3313139999999998E-2</v>
      </c>
      <c r="X6316">
        <v>0.98676249999999999</v>
      </c>
      <c r="Y6316">
        <v>-0.28008040000000001</v>
      </c>
      <c r="Z6316">
        <v>8.9081709999999995E-3</v>
      </c>
      <c r="AA6316">
        <v>0.95993519999999899</v>
      </c>
      <c r="AB6316">
        <v>25</v>
      </c>
      <c r="AC6316">
        <v>14.944199999999899</v>
      </c>
      <c r="AD6316">
        <v>-1.1043880635559999</v>
      </c>
      <c r="AE6316">
        <v>4.6623799999999997</v>
      </c>
      <c r="AF6316">
        <v>-4.4095155392359899</v>
      </c>
      <c r="AG6316">
        <v>-1.1043880635559999</v>
      </c>
      <c r="AH6316">
        <v>14.9399403644366</v>
      </c>
      <c r="AI6316">
        <v>94.055384123363794</v>
      </c>
      <c r="AJ6316">
        <v>106.443937496412</v>
      </c>
      <c r="AK6316">
        <v>15.616187703105</v>
      </c>
    </row>
    <row r="6317" spans="1:37" x14ac:dyDescent="0.2">
      <c r="A6317" t="str">
        <f>"20200111155721380"</f>
        <v>20200111155721380</v>
      </c>
      <c r="B6317" t="str">
        <f>"1578729441369176"</f>
        <v>1578729441369176</v>
      </c>
      <c r="C6317" t="s">
        <v>37</v>
      </c>
      <c r="D6317">
        <v>4.9554220000000004</v>
      </c>
      <c r="E6317">
        <v>0.45141769999999998</v>
      </c>
      <c r="F6317" t="s">
        <v>101</v>
      </c>
      <c r="G6317">
        <v>-214.28799999999899</v>
      </c>
      <c r="H6317" s="1">
        <v>-9.6880790000000001E-7</v>
      </c>
      <c r="I6317">
        <v>-59.480330000000002</v>
      </c>
      <c r="J6317">
        <v>-229.37360000000001</v>
      </c>
      <c r="K6317">
        <v>1.104373</v>
      </c>
      <c r="L6317">
        <v>-64.214659999999995</v>
      </c>
      <c r="M6317">
        <v>0.99982389999999999</v>
      </c>
      <c r="N6317">
        <v>0</v>
      </c>
      <c r="O6317">
        <v>1.529842E-2</v>
      </c>
      <c r="P6317">
        <v>0.98416349999999997</v>
      </c>
      <c r="Q6317">
        <v>2.298412E-2</v>
      </c>
      <c r="R6317">
        <v>0.1757666</v>
      </c>
      <c r="S6317">
        <v>2.8927149999999999</v>
      </c>
      <c r="T6317">
        <v>-0.2102388</v>
      </c>
      <c r="U6317">
        <v>0.90155030000000003</v>
      </c>
      <c r="V6317">
        <v>-0.16067110000000001</v>
      </c>
      <c r="W6317">
        <v>3.3788749999999999E-2</v>
      </c>
      <c r="X6317">
        <v>0.98642949999999996</v>
      </c>
      <c r="Y6317">
        <v>-0.28226400000000001</v>
      </c>
      <c r="Z6317">
        <v>8.9231329999999998E-3</v>
      </c>
      <c r="AA6317">
        <v>0.95929529999999996</v>
      </c>
      <c r="AB6317">
        <v>25</v>
      </c>
      <c r="AC6317">
        <v>15.085599999999999</v>
      </c>
      <c r="AD6317">
        <v>-1.1043739688079</v>
      </c>
      <c r="AE6317">
        <v>4.7343299999999902</v>
      </c>
      <c r="AF6317">
        <v>-4.48111404897959</v>
      </c>
      <c r="AG6317">
        <v>-1.1043739688079</v>
      </c>
      <c r="AH6317">
        <v>15.082681350838399</v>
      </c>
      <c r="AI6317">
        <v>94.014950286186306</v>
      </c>
      <c r="AJ6317">
        <v>106.546857021156</v>
      </c>
      <c r="AK6317">
        <v>15.772992795087101</v>
      </c>
    </row>
    <row r="6318" spans="1:37" x14ac:dyDescent="0.2">
      <c r="A6318" t="str">
        <f>"20200111155721391"</f>
        <v>20200111155721391</v>
      </c>
      <c r="B6318" t="str">
        <f>"1578729441389672"</f>
        <v>1578729441389672</v>
      </c>
      <c r="C6318" t="s">
        <v>37</v>
      </c>
      <c r="D6318">
        <v>4.7568669999999997</v>
      </c>
      <c r="E6318">
        <v>0.45112289999999999</v>
      </c>
      <c r="F6318" t="s">
        <v>101</v>
      </c>
      <c r="G6318">
        <v>-214.03099999999901</v>
      </c>
      <c r="H6318" s="1">
        <v>-8.7298639999999995E-7</v>
      </c>
      <c r="I6318">
        <v>-59.398859999999999</v>
      </c>
      <c r="J6318">
        <v>-229.24700000000001</v>
      </c>
      <c r="K6318">
        <v>1.104358</v>
      </c>
      <c r="L6318">
        <v>-64.212859999999907</v>
      </c>
      <c r="M6318">
        <v>0.99982789999999999</v>
      </c>
      <c r="N6318">
        <v>0</v>
      </c>
      <c r="O6318">
        <v>1.5164810000000001E-2</v>
      </c>
      <c r="P6318">
        <v>0.98386299999999904</v>
      </c>
      <c r="Q6318">
        <v>2.3373669999999999E-2</v>
      </c>
      <c r="R6318">
        <v>0.17739059999999901</v>
      </c>
      <c r="S6318">
        <v>2.8910520000000002</v>
      </c>
      <c r="T6318">
        <v>-0.2080997</v>
      </c>
      <c r="U6318">
        <v>0.90744020000000003</v>
      </c>
      <c r="V6318">
        <v>-0.16243170000000001</v>
      </c>
      <c r="W6318">
        <v>3.4003209999999999E-2</v>
      </c>
      <c r="X6318">
        <v>0.98613379999999995</v>
      </c>
      <c r="Y6318">
        <v>-0.28433599999999998</v>
      </c>
      <c r="Z6318">
        <v>8.916897E-3</v>
      </c>
      <c r="AA6318">
        <v>0.95868330000000002</v>
      </c>
      <c r="AB6318">
        <v>26</v>
      </c>
      <c r="AC6318">
        <v>15.215999999999999</v>
      </c>
      <c r="AD6318">
        <v>-1.10435887298639</v>
      </c>
      <c r="AE6318">
        <v>4.8139999999999903</v>
      </c>
      <c r="AF6318">
        <v>-4.5608463342953698</v>
      </c>
      <c r="AG6318">
        <v>-1.10435887298639</v>
      </c>
      <c r="AH6318">
        <v>15.214405159645301</v>
      </c>
      <c r="AI6318">
        <v>93.977347548169405</v>
      </c>
      <c r="AJ6318">
        <v>106.68723680693</v>
      </c>
      <c r="AK6318">
        <v>15.921653562593299</v>
      </c>
    </row>
    <row r="6319" spans="1:37" x14ac:dyDescent="0.2">
      <c r="A6319" t="str">
        <f>"20200111155721872"</f>
        <v>20200111155721872</v>
      </c>
      <c r="B6319" t="str">
        <f>"1578729441869735"</f>
        <v>1578729441869735</v>
      </c>
      <c r="C6319" t="s">
        <v>37</v>
      </c>
      <c r="D6319">
        <v>4.9515510000000003</v>
      </c>
      <c r="E6319">
        <v>0.44864330000000002</v>
      </c>
      <c r="F6319" t="s">
        <v>101</v>
      </c>
      <c r="G6319">
        <v>-213.8278</v>
      </c>
      <c r="H6319" s="1">
        <v>-7.9774649999999896E-7</v>
      </c>
      <c r="I6319">
        <v>-59.331690000000002</v>
      </c>
      <c r="J6319">
        <v>-223.6497</v>
      </c>
      <c r="K6319">
        <v>1.1050070000000001</v>
      </c>
      <c r="L6319">
        <v>-64.13785</v>
      </c>
      <c r="M6319">
        <v>0.99982800000000005</v>
      </c>
      <c r="N6319">
        <v>0</v>
      </c>
      <c r="O6319">
        <v>1.3620449999999999E-2</v>
      </c>
      <c r="P6319">
        <v>0.98151520000000003</v>
      </c>
      <c r="Q6319">
        <v>1.7092759999999999E-2</v>
      </c>
      <c r="R6319">
        <v>0.1906195</v>
      </c>
      <c r="S6319">
        <v>2.889221</v>
      </c>
      <c r="T6319">
        <v>-0.20693239999999999</v>
      </c>
      <c r="U6319">
        <v>0.91461179999999997</v>
      </c>
      <c r="V6319">
        <v>-0.17723729999999999</v>
      </c>
      <c r="W6319">
        <v>2.9451229999999998E-2</v>
      </c>
      <c r="X6319">
        <v>0.98372739999999903</v>
      </c>
      <c r="Y6319">
        <v>-0.28814640000000002</v>
      </c>
      <c r="Z6319">
        <v>9.1098700000000008E-3</v>
      </c>
      <c r="AA6319">
        <v>0.95754300000000003</v>
      </c>
      <c r="AB6319">
        <v>26</v>
      </c>
      <c r="AC6319">
        <v>9.8218999999999994</v>
      </c>
      <c r="AD6319">
        <v>-1.1050077977464901</v>
      </c>
      <c r="AE6319">
        <v>4.8061599999999904</v>
      </c>
      <c r="AF6319">
        <v>-4.6246972099202104</v>
      </c>
      <c r="AG6319">
        <v>-1.1050077977464901</v>
      </c>
      <c r="AH6319">
        <v>9.7865157167158294</v>
      </c>
      <c r="AI6319">
        <v>95.828938697357401</v>
      </c>
      <c r="AJ6319">
        <v>115.293455361269</v>
      </c>
      <c r="AK6319">
        <v>10.8804759266334</v>
      </c>
    </row>
    <row r="6320" spans="1:37" x14ac:dyDescent="0.2">
      <c r="A6320" t="str">
        <f>"20200111155721884"</f>
        <v>20200111155721884</v>
      </c>
      <c r="B6320" t="str">
        <f>"1578729441879495"</f>
        <v>1578729441879495</v>
      </c>
      <c r="C6320" t="s">
        <v>37</v>
      </c>
      <c r="D6320">
        <v>4.9363799999999998</v>
      </c>
      <c r="E6320">
        <v>0.44799849999999902</v>
      </c>
      <c r="F6320" t="s">
        <v>75</v>
      </c>
      <c r="G6320">
        <v>-209.3167</v>
      </c>
      <c r="H6320" s="1">
        <v>-6.9460789999999995E-7</v>
      </c>
      <c r="I6320">
        <v>-59.298659999999998</v>
      </c>
      <c r="J6320">
        <v>-223.5258</v>
      </c>
      <c r="K6320">
        <v>1.105024</v>
      </c>
      <c r="L6320">
        <v>-64.136110000000002</v>
      </c>
      <c r="M6320">
        <v>0.99982569999999904</v>
      </c>
      <c r="N6320">
        <v>0</v>
      </c>
      <c r="O6320">
        <v>1.3701049999999999E-2</v>
      </c>
      <c r="P6320">
        <v>0.98145280000000001</v>
      </c>
      <c r="Q6320">
        <v>1.6321329999999998E-2</v>
      </c>
      <c r="R6320">
        <v>0.19100780000000001</v>
      </c>
      <c r="S6320">
        <v>2.8720249999999998</v>
      </c>
      <c r="T6320">
        <v>-0.2214188</v>
      </c>
      <c r="U6320">
        <v>0.96966549999999996</v>
      </c>
      <c r="V6320">
        <v>-0.17754819999999999</v>
      </c>
      <c r="W6320">
        <v>2.8758199999999901E-2</v>
      </c>
      <c r="X6320">
        <v>0.98369180000000001</v>
      </c>
      <c r="Y6320">
        <v>-0.30609409999999998</v>
      </c>
      <c r="Z6320">
        <v>1.043927E-2</v>
      </c>
      <c r="AA6320">
        <v>0.95194400000000001</v>
      </c>
      <c r="AB6320">
        <v>26</v>
      </c>
      <c r="AC6320">
        <v>14.209099999999999</v>
      </c>
      <c r="AD6320">
        <v>-1.1050246946079001</v>
      </c>
      <c r="AE6320">
        <v>4.8374499999999996</v>
      </c>
      <c r="AF6320">
        <v>-4.61727587150218</v>
      </c>
      <c r="AG6320">
        <v>-1.1050246946079001</v>
      </c>
      <c r="AH6320">
        <v>14.197103973266501</v>
      </c>
      <c r="AI6320">
        <v>94.233219060728899</v>
      </c>
      <c r="AJ6320">
        <v>108.015903765332</v>
      </c>
      <c r="AK6320">
        <v>14.969905720377399</v>
      </c>
    </row>
    <row r="6321" spans="1:37" x14ac:dyDescent="0.2">
      <c r="A6321" t="str">
        <f>"20200111155721895"</f>
        <v>20200111155721895</v>
      </c>
      <c r="B6321" t="str">
        <f>"1578729441889255"</f>
        <v>1578729441889255</v>
      </c>
      <c r="C6321" t="s">
        <v>37</v>
      </c>
      <c r="D6321">
        <v>5.0900439999999998</v>
      </c>
      <c r="E6321">
        <v>0.44744529999999899</v>
      </c>
      <c r="F6321" t="s">
        <v>75</v>
      </c>
      <c r="G6321">
        <v>-208.98</v>
      </c>
      <c r="H6321" s="1">
        <v>-9.3756489999999997E-7</v>
      </c>
      <c r="I6321">
        <v>-59.189919999999901</v>
      </c>
      <c r="J6321">
        <v>-223.3921</v>
      </c>
      <c r="K6321">
        <v>1.1050489999999999</v>
      </c>
      <c r="L6321">
        <v>-64.134159999999994</v>
      </c>
      <c r="M6321">
        <v>0.99982320000000002</v>
      </c>
      <c r="N6321">
        <v>0</v>
      </c>
      <c r="O6321">
        <v>1.380208E-2</v>
      </c>
      <c r="P6321">
        <v>0.98136509999999999</v>
      </c>
      <c r="Q6321">
        <v>1.595568E-2</v>
      </c>
      <c r="R6321">
        <v>0.1914891</v>
      </c>
      <c r="S6321">
        <v>2.8703609999999999</v>
      </c>
      <c r="T6321">
        <v>-0.21805729999999901</v>
      </c>
      <c r="U6321">
        <v>0.97604369999999996</v>
      </c>
      <c r="V6321">
        <v>-0.1779329</v>
      </c>
      <c r="W6321">
        <v>2.8470309999999999E-2</v>
      </c>
      <c r="X6321">
        <v>0.98363069999999897</v>
      </c>
      <c r="Y6321">
        <v>-0.30808020000000003</v>
      </c>
      <c r="Z6321">
        <v>1.034912E-2</v>
      </c>
      <c r="AA6321">
        <v>0.95130409999999899</v>
      </c>
      <c r="AB6321">
        <v>26</v>
      </c>
      <c r="AC6321">
        <v>14.412100000000001</v>
      </c>
      <c r="AD6321">
        <v>-1.1050499375648899</v>
      </c>
      <c r="AE6321">
        <v>4.9442399999999997</v>
      </c>
      <c r="AF6321">
        <v>-4.7200084521009398</v>
      </c>
      <c r="AG6321">
        <v>-1.1050499375648899</v>
      </c>
      <c r="AH6321">
        <v>14.403212155555201</v>
      </c>
      <c r="AI6321">
        <v>94.169913097353103</v>
      </c>
      <c r="AJ6321">
        <v>108.144242357466</v>
      </c>
      <c r="AK6321">
        <v>15.197109447205699</v>
      </c>
    </row>
    <row r="6322" spans="1:37" x14ac:dyDescent="0.2">
      <c r="A6322" t="str">
        <f>"20200111155721905"</f>
        <v>20200111155721905</v>
      </c>
      <c r="B6322" t="str">
        <f>"1578729441899015"</f>
        <v>1578729441899015</v>
      </c>
      <c r="C6322" t="s">
        <v>37</v>
      </c>
      <c r="D6322">
        <v>4.9146799999999997</v>
      </c>
      <c r="E6322">
        <v>0.4468587</v>
      </c>
      <c r="F6322" t="s">
        <v>75</v>
      </c>
      <c r="G6322">
        <v>-208.5849</v>
      </c>
      <c r="H6322" s="1">
        <v>-1.2215219999999901E-6</v>
      </c>
      <c r="I6322">
        <v>-59.066479999999999</v>
      </c>
      <c r="J6322">
        <v>-223.26820000000001</v>
      </c>
      <c r="K6322">
        <v>1.1050679999999999</v>
      </c>
      <c r="L6322">
        <v>-64.132350000000002</v>
      </c>
      <c r="M6322">
        <v>0.99982070000000001</v>
      </c>
      <c r="N6322">
        <v>0</v>
      </c>
      <c r="O6322">
        <v>1.3918160000000001E-2</v>
      </c>
      <c r="P6322">
        <v>0.9812632</v>
      </c>
      <c r="Q6322">
        <v>1.5636779999999999E-2</v>
      </c>
      <c r="R6322">
        <v>0.1920367</v>
      </c>
      <c r="S6322">
        <v>2.8688349999999998</v>
      </c>
      <c r="T6322">
        <v>-0.21409919999999999</v>
      </c>
      <c r="U6322">
        <v>0.98184199999999999</v>
      </c>
      <c r="V6322">
        <v>-0.1783689</v>
      </c>
      <c r="W6322">
        <v>2.8215779999999999E-2</v>
      </c>
      <c r="X6322">
        <v>0.98355910000000002</v>
      </c>
      <c r="Y6322">
        <v>-0.30986859999999999</v>
      </c>
      <c r="Z6322">
        <v>1.022004E-2</v>
      </c>
      <c r="AA6322">
        <v>0.95072449999999997</v>
      </c>
      <c r="AB6322">
        <v>26</v>
      </c>
      <c r="AC6322">
        <v>14.683299999999999</v>
      </c>
      <c r="AD6322">
        <v>-1.1050692215219999</v>
      </c>
      <c r="AE6322">
        <v>5.0658699999999897</v>
      </c>
      <c r="AF6322">
        <v>-4.8365172548811302</v>
      </c>
      <c r="AG6322">
        <v>-1.1050692215219999</v>
      </c>
      <c r="AH6322">
        <v>14.6780959826038</v>
      </c>
      <c r="AI6322">
        <v>94.089982898705401</v>
      </c>
      <c r="AJ6322">
        <v>108.237349580913</v>
      </c>
      <c r="AK6322">
        <v>15.4938561635136</v>
      </c>
    </row>
    <row r="6323" spans="1:37" x14ac:dyDescent="0.2">
      <c r="A6323" t="str">
        <f>"20200111155721916"</f>
        <v>20200111155721916</v>
      </c>
      <c r="B6323" t="str">
        <f>"1578729441909752"</f>
        <v>1578729441909752</v>
      </c>
      <c r="C6323" t="s">
        <v>37</v>
      </c>
      <c r="D6323">
        <v>4.9394869999999997</v>
      </c>
      <c r="E6323">
        <v>0.44627339999999999</v>
      </c>
      <c r="F6323" t="s">
        <v>75</v>
      </c>
      <c r="G6323">
        <v>-208.19799999999901</v>
      </c>
      <c r="H6323" s="1">
        <v>-1.5012289999999899E-6</v>
      </c>
      <c r="I6323">
        <v>-58.939469999999901</v>
      </c>
      <c r="J6323">
        <v>-223.1396</v>
      </c>
      <c r="K6323">
        <v>1.105092</v>
      </c>
      <c r="L6323">
        <v>-64.130459999999999</v>
      </c>
      <c r="M6323">
        <v>0.99981779999999998</v>
      </c>
      <c r="N6323">
        <v>0</v>
      </c>
      <c r="O6323">
        <v>1.404857E-2</v>
      </c>
      <c r="P6323">
        <v>0.98122189999999998</v>
      </c>
      <c r="Q6323">
        <v>1.557093E-2</v>
      </c>
      <c r="R6323">
        <v>0.19225349999999999</v>
      </c>
      <c r="S6323">
        <v>2.8672789999999999</v>
      </c>
      <c r="T6323">
        <v>-0.21025199999999999</v>
      </c>
      <c r="U6323">
        <v>0.98800659999999896</v>
      </c>
      <c r="V6323">
        <v>-0.17845949999999999</v>
      </c>
      <c r="W6323">
        <v>2.821388E-2</v>
      </c>
      <c r="X6323">
        <v>0.98354269999999999</v>
      </c>
      <c r="Y6323">
        <v>-0.31175229999999998</v>
      </c>
      <c r="Z6323">
        <v>1.009637E-2</v>
      </c>
      <c r="AA6323">
        <v>0.9501098</v>
      </c>
      <c r="AB6323">
        <v>26</v>
      </c>
      <c r="AC6323">
        <v>14.941599999999999</v>
      </c>
      <c r="AD6323">
        <v>-1.105093501229</v>
      </c>
      <c r="AE6323">
        <v>5.1909900000000002</v>
      </c>
      <c r="AF6323">
        <v>-4.9563596793387097</v>
      </c>
      <c r="AG6323">
        <v>-1.105093501229</v>
      </c>
      <c r="AH6323">
        <v>14.9401335413261</v>
      </c>
      <c r="AI6323">
        <v>94.015897185900499</v>
      </c>
      <c r="AJ6323">
        <v>108.353161250466</v>
      </c>
      <c r="AK6323">
        <v>15.7795539591615</v>
      </c>
    </row>
    <row r="6324" spans="1:37" x14ac:dyDescent="0.2">
      <c r="A6324" t="str">
        <f>"20200111155721928"</f>
        <v>20200111155721928</v>
      </c>
      <c r="B6324" t="str">
        <f>"1578729441919512"</f>
        <v>1578729441919512</v>
      </c>
      <c r="C6324" t="s">
        <v>37</v>
      </c>
      <c r="D6324">
        <v>5.1997450000000001</v>
      </c>
      <c r="E6324">
        <v>0.44551109999999999</v>
      </c>
      <c r="F6324" t="s">
        <v>75</v>
      </c>
      <c r="G6324">
        <v>-207.7175</v>
      </c>
      <c r="H6324" s="1">
        <v>-1.8478129999999901E-6</v>
      </c>
      <c r="I6324">
        <v>-58.784909999999897</v>
      </c>
      <c r="J6324">
        <v>-223.01519999999999</v>
      </c>
      <c r="K6324">
        <v>1.1051200000000001</v>
      </c>
      <c r="L6324">
        <v>-64.128569999999996</v>
      </c>
      <c r="M6324">
        <v>0.99981469999999995</v>
      </c>
      <c r="N6324">
        <v>0</v>
      </c>
      <c r="O6324">
        <v>1.4208230000000001E-2</v>
      </c>
      <c r="P6324">
        <v>0.98113989999999995</v>
      </c>
      <c r="Q6324">
        <v>1.5718329999999999E-2</v>
      </c>
      <c r="R6324">
        <v>0.19265940000000001</v>
      </c>
      <c r="S6324">
        <v>2.866028</v>
      </c>
      <c r="T6324">
        <v>-0.20536869999999999</v>
      </c>
      <c r="U6324">
        <v>0.99340819999999996</v>
      </c>
      <c r="V6324">
        <v>-0.1787117</v>
      </c>
      <c r="W6324">
        <v>2.8413589999999999E-2</v>
      </c>
      <c r="X6324">
        <v>0.98349109999999995</v>
      </c>
      <c r="Y6324">
        <v>-0.31335669999999999</v>
      </c>
      <c r="Z6324">
        <v>9.9082519999999993E-3</v>
      </c>
      <c r="AA6324">
        <v>0.94958379999999998</v>
      </c>
      <c r="AB6324">
        <v>26</v>
      </c>
      <c r="AC6324">
        <v>15.297699999999899</v>
      </c>
      <c r="AD6324">
        <v>-1.1051218478129901</v>
      </c>
      <c r="AE6324">
        <v>5.3436599999999999</v>
      </c>
      <c r="AF6324">
        <v>-5.1020182598641899</v>
      </c>
      <c r="AG6324">
        <v>-1.1051218478129901</v>
      </c>
      <c r="AH6324">
        <v>15.300917784950499</v>
      </c>
      <c r="AI6324">
        <v>93.9196180886279</v>
      </c>
      <c r="AJ6324">
        <v>108.44071942245699</v>
      </c>
      <c r="AK6324">
        <v>16.166940640836099</v>
      </c>
    </row>
    <row r="6325" spans="1:37" x14ac:dyDescent="0.2">
      <c r="A6325" t="str">
        <f>"20200111155721939"</f>
        <v>20200111155721939</v>
      </c>
      <c r="B6325" t="str">
        <f>"1578729441929272"</f>
        <v>1578729441929272</v>
      </c>
      <c r="C6325" t="s">
        <v>37</v>
      </c>
      <c r="D6325">
        <v>5.1198249999999996</v>
      </c>
      <c r="E6325">
        <v>0.44486589999999998</v>
      </c>
      <c r="F6325" t="s">
        <v>75</v>
      </c>
      <c r="G6325">
        <v>-207.17420000000001</v>
      </c>
      <c r="H6325" s="1">
        <v>-2.2440909999999998E-6</v>
      </c>
      <c r="I6325">
        <v>-58.593419999999902</v>
      </c>
      <c r="J6325">
        <v>-222.88890000000001</v>
      </c>
      <c r="K6325">
        <v>1.105148</v>
      </c>
      <c r="L6325">
        <v>-64.126619999999903</v>
      </c>
      <c r="M6325">
        <v>0.99981139999999902</v>
      </c>
      <c r="N6325">
        <v>0</v>
      </c>
      <c r="O6325">
        <v>1.437715E-2</v>
      </c>
      <c r="P6325">
        <v>0.98111059999999894</v>
      </c>
      <c r="Q6325">
        <v>1.5462699999999999E-2</v>
      </c>
      <c r="R6325">
        <v>0.19282859999999999</v>
      </c>
      <c r="S6325">
        <v>2.8643339999999999</v>
      </c>
      <c r="T6325">
        <v>-0.199825799999999</v>
      </c>
      <c r="U6325">
        <v>1.0008539999999999</v>
      </c>
      <c r="V6325">
        <v>-0.17871699999999999</v>
      </c>
      <c r="W6325">
        <v>2.8211010000000002E-2</v>
      </c>
      <c r="X6325">
        <v>0.98349599999999904</v>
      </c>
      <c r="Y6325">
        <v>-0.31560290000000002</v>
      </c>
      <c r="Z6325">
        <v>9.7074129999999998E-3</v>
      </c>
      <c r="AA6325">
        <v>0.94884169999999901</v>
      </c>
      <c r="AB6325">
        <v>26</v>
      </c>
      <c r="AC6325">
        <v>15.714699999999899</v>
      </c>
      <c r="AD6325">
        <v>-1.1051502440909999</v>
      </c>
      <c r="AE6325">
        <v>5.5331999999999901</v>
      </c>
      <c r="AF6325">
        <v>-5.2834279756901497</v>
      </c>
      <c r="AG6325">
        <v>-1.1051502440909999</v>
      </c>
      <c r="AH6325">
        <v>15.7234475109545</v>
      </c>
      <c r="AI6325">
        <v>93.811751626428801</v>
      </c>
      <c r="AJ6325">
        <v>108.573493242089</v>
      </c>
      <c r="AK6325">
        <v>16.6241622305023</v>
      </c>
    </row>
    <row r="6326" spans="1:37" x14ac:dyDescent="0.2">
      <c r="A6326" t="str">
        <f>"20200111155721949"</f>
        <v>20200111155721949</v>
      </c>
      <c r="B6326" t="str">
        <f>"1578729441939031"</f>
        <v>1578729441939031</v>
      </c>
      <c r="C6326" t="s">
        <v>37</v>
      </c>
      <c r="D6326">
        <v>5.2144890000000004</v>
      </c>
      <c r="E6326">
        <v>0.444171599999999</v>
      </c>
      <c r="F6326" t="s">
        <v>75</v>
      </c>
      <c r="G6326">
        <v>-206.6771</v>
      </c>
      <c r="H6326" s="1">
        <v>-2.604269E-6</v>
      </c>
      <c r="I6326">
        <v>-58.427129999999998</v>
      </c>
      <c r="J6326">
        <v>-222.7551</v>
      </c>
      <c r="K6326">
        <v>1.1051819999999899</v>
      </c>
      <c r="L6326">
        <v>-64.124449999999996</v>
      </c>
      <c r="M6326">
        <v>0.99980749999999996</v>
      </c>
      <c r="N6326">
        <v>0</v>
      </c>
      <c r="O6326">
        <v>1.459834E-2</v>
      </c>
      <c r="P6326">
        <v>0.98107999999999995</v>
      </c>
      <c r="Q6326">
        <v>1.5385589999999999E-2</v>
      </c>
      <c r="R6326">
        <v>0.19299189999999999</v>
      </c>
      <c r="S6326">
        <v>2.8629910000000001</v>
      </c>
      <c r="T6326">
        <v>-0.19516979999999901</v>
      </c>
      <c r="U6326">
        <v>1.0065309999999901</v>
      </c>
      <c r="V6326">
        <v>-0.17866499999999999</v>
      </c>
      <c r="W6326">
        <v>2.8180029999999998E-2</v>
      </c>
      <c r="X6326">
        <v>0.98350629999999994</v>
      </c>
      <c r="Y6326">
        <v>-0.3172334</v>
      </c>
      <c r="Z6326">
        <v>9.5221879999999991E-3</v>
      </c>
      <c r="AA6326">
        <v>0.94829969999999997</v>
      </c>
      <c r="AB6326">
        <v>26</v>
      </c>
      <c r="AC6326">
        <v>16.077999999999999</v>
      </c>
      <c r="AD6326">
        <v>-1.1051846042689999</v>
      </c>
      <c r="AE6326">
        <v>5.6973199999999897</v>
      </c>
      <c r="AF6326">
        <v>-5.4391473991963997</v>
      </c>
      <c r="AG6326">
        <v>-1.1051846042689999</v>
      </c>
      <c r="AH6326">
        <v>16.091912425648701</v>
      </c>
      <c r="AI6326">
        <v>93.722607777911406</v>
      </c>
      <c r="AJ6326">
        <v>108.675512090136</v>
      </c>
      <c r="AK6326">
        <v>17.022203234436098</v>
      </c>
    </row>
    <row r="6327" spans="1:37" x14ac:dyDescent="0.2">
      <c r="A6327" t="str">
        <f>"20200111155721963"</f>
        <v>20200111155721963</v>
      </c>
      <c r="B6327" t="str">
        <f>"1578729441959527"</f>
        <v>1578729441959527</v>
      </c>
      <c r="C6327" t="s">
        <v>37</v>
      </c>
      <c r="D6327">
        <v>4.9454019999999996</v>
      </c>
      <c r="E6327">
        <v>0.44324239999999998</v>
      </c>
      <c r="F6327" t="s">
        <v>75</v>
      </c>
      <c r="G6327">
        <v>-206.1721</v>
      </c>
      <c r="H6327" s="1">
        <v>-2.970646E-6</v>
      </c>
      <c r="I6327">
        <v>-58.256549999999997</v>
      </c>
      <c r="J6327">
        <v>-222.61269999999999</v>
      </c>
      <c r="K6327">
        <v>1.1052169999999999</v>
      </c>
      <c r="L6327">
        <v>-64.122159999999994</v>
      </c>
      <c r="M6327">
        <v>0.99980290000000005</v>
      </c>
      <c r="N6327">
        <v>0</v>
      </c>
      <c r="O6327">
        <v>1.485001E-2</v>
      </c>
      <c r="P6327">
        <v>0.98101090000000002</v>
      </c>
      <c r="Q6327">
        <v>1.5013790000000001E-2</v>
      </c>
      <c r="R6327">
        <v>0.19337029999999999</v>
      </c>
      <c r="S6327">
        <v>2.86166399999999</v>
      </c>
      <c r="T6327">
        <v>-0.19071779999999999</v>
      </c>
      <c r="U6327">
        <v>1.0126040000000001</v>
      </c>
      <c r="V6327">
        <v>-0.1787994</v>
      </c>
      <c r="W6327">
        <v>2.7853530000000001E-2</v>
      </c>
      <c r="X6327">
        <v>0.98349120000000001</v>
      </c>
      <c r="Y6327">
        <v>-0.31894679999999997</v>
      </c>
      <c r="Z6327">
        <v>9.3454260000000004E-3</v>
      </c>
      <c r="AA6327">
        <v>0.94772649999999903</v>
      </c>
      <c r="AB6327">
        <v>26</v>
      </c>
      <c r="AC6327">
        <v>16.4405999999999</v>
      </c>
      <c r="AD6327">
        <v>-1.105219970646</v>
      </c>
      <c r="AE6327">
        <v>5.8656099999999904</v>
      </c>
      <c r="AF6327">
        <v>-5.5983554976131202</v>
      </c>
      <c r="AG6327">
        <v>-1.105219970646</v>
      </c>
      <c r="AH6327">
        <v>16.4599123647873</v>
      </c>
      <c r="AI6327">
        <v>93.6373879831675</v>
      </c>
      <c r="AJ6327">
        <v>108.784227567326</v>
      </c>
      <c r="AK6327">
        <v>17.421016345714399</v>
      </c>
    </row>
    <row r="6328" spans="1:37" x14ac:dyDescent="0.2">
      <c r="A6328" t="str">
        <f>"20200111155721973"</f>
        <v>20200111155721973</v>
      </c>
      <c r="B6328" t="str">
        <f>"1578729441969287"</f>
        <v>1578729441969287</v>
      </c>
      <c r="C6328" t="s">
        <v>37</v>
      </c>
      <c r="D6328">
        <v>4.9340299999999999</v>
      </c>
      <c r="E6328">
        <v>0.44275829999999899</v>
      </c>
      <c r="F6328" t="s">
        <v>75</v>
      </c>
      <c r="G6328">
        <v>-205.48580000000001</v>
      </c>
      <c r="H6328" s="1">
        <v>-3.414873E-6</v>
      </c>
      <c r="I6328">
        <v>-58.006480000000003</v>
      </c>
      <c r="J6328">
        <v>-222.488</v>
      </c>
      <c r="K6328">
        <v>1.1052500000000001</v>
      </c>
      <c r="L6328">
        <v>-64.120059999999995</v>
      </c>
      <c r="M6328">
        <v>0.99979850000000003</v>
      </c>
      <c r="N6328">
        <v>0</v>
      </c>
      <c r="O6328">
        <v>1.5094430000000001E-2</v>
      </c>
      <c r="P6328">
        <v>0.98093680000000005</v>
      </c>
      <c r="Q6328">
        <v>1.459153E-2</v>
      </c>
      <c r="R6328">
        <v>0.19377810000000001</v>
      </c>
      <c r="S6328">
        <v>2.8596339999999998</v>
      </c>
      <c r="T6328">
        <v>-0.18453549999999999</v>
      </c>
      <c r="U6328">
        <v>1.021118</v>
      </c>
      <c r="V6328">
        <v>-0.17896919999999999</v>
      </c>
      <c r="W6328">
        <v>2.7466480000000001E-2</v>
      </c>
      <c r="X6328">
        <v>0.98347119999999999</v>
      </c>
      <c r="Y6328">
        <v>-0.32146439999999998</v>
      </c>
      <c r="Z6328">
        <v>9.1082000000000003E-3</v>
      </c>
      <c r="AA6328">
        <v>0.94687779999999999</v>
      </c>
      <c r="AB6328">
        <v>26</v>
      </c>
      <c r="AC6328">
        <v>17.002199999999899</v>
      </c>
      <c r="AD6328">
        <v>-1.105253414873</v>
      </c>
      <c r="AE6328">
        <v>6.11357999999999</v>
      </c>
      <c r="AF6328">
        <v>-5.8343899746655996</v>
      </c>
      <c r="AG6328">
        <v>-1.105253414873</v>
      </c>
      <c r="AH6328">
        <v>17.028829500122001</v>
      </c>
      <c r="AI6328">
        <v>93.513605024376602</v>
      </c>
      <c r="AJ6328">
        <v>108.912402368648</v>
      </c>
      <c r="AK6328">
        <v>18.034487118623399</v>
      </c>
    </row>
    <row r="6329" spans="1:37" x14ac:dyDescent="0.2">
      <c r="A6329" t="str">
        <f>"20200111155721984"</f>
        <v>20200111155721984</v>
      </c>
      <c r="B6329" t="str">
        <f>"1578729441979046"</f>
        <v>1578729441979046</v>
      </c>
      <c r="C6329" t="s">
        <v>37</v>
      </c>
      <c r="D6329">
        <v>4.9708249999999996</v>
      </c>
      <c r="E6329">
        <v>0.44230799999999998</v>
      </c>
      <c r="F6329" t="s">
        <v>75</v>
      </c>
      <c r="G6329">
        <v>-205.16</v>
      </c>
      <c r="H6329" s="1">
        <v>-3.616682E-6</v>
      </c>
      <c r="I6329">
        <v>-57.899799999999999</v>
      </c>
      <c r="J6329">
        <v>-222.3605</v>
      </c>
      <c r="K6329">
        <v>1.1052839999999999</v>
      </c>
      <c r="L6329">
        <v>-64.117859999999993</v>
      </c>
      <c r="M6329">
        <v>0.99979390000000001</v>
      </c>
      <c r="N6329">
        <v>0</v>
      </c>
      <c r="O6329">
        <v>1.5367779999999999E-2</v>
      </c>
      <c r="P6329">
        <v>0.98090560000000004</v>
      </c>
      <c r="Q6329">
        <v>1.443881E-2</v>
      </c>
      <c r="R6329">
        <v>0.19394829999999999</v>
      </c>
      <c r="S6329">
        <v>2.8583369999999899</v>
      </c>
      <c r="T6329">
        <v>-0.18231720000000001</v>
      </c>
      <c r="U6329">
        <v>1.026062</v>
      </c>
      <c r="V6329">
        <v>-0.17887320000000001</v>
      </c>
      <c r="W6329">
        <v>2.7347320000000001E-2</v>
      </c>
      <c r="X6329">
        <v>0.98349200000000003</v>
      </c>
      <c r="Y6329">
        <v>-0.32280449999999999</v>
      </c>
      <c r="Z6329">
        <v>9.0247509999999993E-3</v>
      </c>
      <c r="AA6329">
        <v>0.9464226</v>
      </c>
      <c r="AB6329">
        <v>26</v>
      </c>
      <c r="AC6329">
        <v>17.200500000000002</v>
      </c>
      <c r="AD6329">
        <v>-1.105287616682</v>
      </c>
      <c r="AE6329">
        <v>6.2180599999999897</v>
      </c>
      <c r="AF6329">
        <v>-5.9313078800636099</v>
      </c>
      <c r="AG6329">
        <v>-1.105287616682</v>
      </c>
      <c r="AH6329">
        <v>17.2311071996197</v>
      </c>
      <c r="AI6329">
        <v>93.470862265807</v>
      </c>
      <c r="AJ6329">
        <v>108.994535611665</v>
      </c>
      <c r="AK6329">
        <v>18.256865262374099</v>
      </c>
    </row>
    <row r="6330" spans="1:37" x14ac:dyDescent="0.2">
      <c r="A6330" t="str">
        <f>"20200111155721996"</f>
        <v>20200111155721996</v>
      </c>
      <c r="B6330" t="str">
        <f>"1578729441988806"</f>
        <v>1578729441988806</v>
      </c>
      <c r="C6330" t="s">
        <v>37</v>
      </c>
      <c r="D6330">
        <v>4.9094790000000001</v>
      </c>
      <c r="E6330">
        <v>0.44190770000000001</v>
      </c>
      <c r="F6330" t="s">
        <v>75</v>
      </c>
      <c r="G6330">
        <v>-204.77170000000001</v>
      </c>
      <c r="H6330" s="1">
        <v>-3.84928E-6</v>
      </c>
      <c r="I6330">
        <v>-57.777259999999998</v>
      </c>
      <c r="J6330">
        <v>-222.22659999999999</v>
      </c>
      <c r="K6330">
        <v>1.105315</v>
      </c>
      <c r="L6330">
        <v>-64.11551</v>
      </c>
      <c r="M6330">
        <v>0.99978829999999996</v>
      </c>
      <c r="N6330">
        <v>0</v>
      </c>
      <c r="O6330">
        <v>1.5672450000000001E-2</v>
      </c>
      <c r="P6330">
        <v>0.98085339999999999</v>
      </c>
      <c r="Q6330">
        <v>1.4488640000000001E-2</v>
      </c>
      <c r="R6330">
        <v>0.19420779999999899</v>
      </c>
      <c r="S6330">
        <v>2.8573759999999999</v>
      </c>
      <c r="T6330">
        <v>-0.1795591</v>
      </c>
      <c r="U6330">
        <v>1.03006</v>
      </c>
      <c r="V6330">
        <v>-0.17883569999999999</v>
      </c>
      <c r="W6330">
        <v>2.74293E-2</v>
      </c>
      <c r="X6330">
        <v>0.9834965</v>
      </c>
      <c r="Y6330">
        <v>-0.32380490000000001</v>
      </c>
      <c r="Z6330">
        <v>8.9011769999999997E-3</v>
      </c>
      <c r="AA6330">
        <v>0.94608199999999998</v>
      </c>
      <c r="AB6330">
        <v>26</v>
      </c>
      <c r="AC6330">
        <v>17.454899999999899</v>
      </c>
      <c r="AD6330">
        <v>-1.1053188492799999</v>
      </c>
      <c r="AE6330">
        <v>6.3382500000000004</v>
      </c>
      <c r="AF6330">
        <v>-6.0424786362646801</v>
      </c>
      <c r="AG6330">
        <v>-1.1053188492799999</v>
      </c>
      <c r="AH6330">
        <v>17.490136177685098</v>
      </c>
      <c r="AI6330">
        <v>93.418355323575796</v>
      </c>
      <c r="AJ6330">
        <v>109.05896761385399</v>
      </c>
      <c r="AK6330">
        <v>18.537479368626599</v>
      </c>
    </row>
    <row r="6331" spans="1:37" x14ac:dyDescent="0.2">
      <c r="A6331" t="str">
        <f>"20200111155722007"</f>
        <v>20200111155722007</v>
      </c>
      <c r="B6331" t="str">
        <f>"1578729441999544"</f>
        <v>1578729441999544</v>
      </c>
      <c r="C6331" t="s">
        <v>37</v>
      </c>
      <c r="D6331">
        <v>4.8609809999999998</v>
      </c>
      <c r="E6331">
        <v>0.44138630000000001</v>
      </c>
      <c r="F6331" t="s">
        <v>75</v>
      </c>
      <c r="G6331">
        <v>-204.3409</v>
      </c>
      <c r="H6331" s="1">
        <v>-4.0988450000000002E-6</v>
      </c>
      <c r="I6331">
        <v>-57.641730000000003</v>
      </c>
      <c r="J6331">
        <v>-222.1097</v>
      </c>
      <c r="K6331">
        <v>1.105348</v>
      </c>
      <c r="L6331">
        <v>-64.113369999999904</v>
      </c>
      <c r="M6331">
        <v>0.99978330000000004</v>
      </c>
      <c r="N6331">
        <v>0</v>
      </c>
      <c r="O6331">
        <v>1.5971030000000001E-2</v>
      </c>
      <c r="P6331">
        <v>0.98082649999999905</v>
      </c>
      <c r="Q6331">
        <v>1.465115E-2</v>
      </c>
      <c r="R6331">
        <v>0.1943319</v>
      </c>
      <c r="S6331">
        <v>2.8564609999999999</v>
      </c>
      <c r="T6331">
        <v>-0.17652660000000001</v>
      </c>
      <c r="U6331">
        <v>1.0339049999999901</v>
      </c>
      <c r="V6331">
        <v>-0.17866879999999999</v>
      </c>
      <c r="W6331">
        <v>2.7616149999999999E-2</v>
      </c>
      <c r="X6331">
        <v>0.9835216</v>
      </c>
      <c r="Y6331">
        <v>-0.32476240000000001</v>
      </c>
      <c r="Z6331">
        <v>8.7626179999999998E-3</v>
      </c>
      <c r="AA6331">
        <v>0.94575509999999996</v>
      </c>
      <c r="AB6331">
        <v>26</v>
      </c>
      <c r="AC6331">
        <v>17.768799999999999</v>
      </c>
      <c r="AD6331">
        <v>-1.1053520988450001</v>
      </c>
      <c r="AE6331">
        <v>6.4716399999999803</v>
      </c>
      <c r="AF6331">
        <v>-6.1659368115895896</v>
      </c>
      <c r="AG6331">
        <v>-1.1053520988450001</v>
      </c>
      <c r="AH6331">
        <v>17.8090555818806</v>
      </c>
      <c r="AI6331">
        <v>93.356611070497394</v>
      </c>
      <c r="AJ6331">
        <v>109.097122578726</v>
      </c>
      <c r="AK6331">
        <v>18.878639801252898</v>
      </c>
    </row>
    <row r="6332" spans="1:37" x14ac:dyDescent="0.2">
      <c r="A6332" t="str">
        <f>"20200111155722017"</f>
        <v>20200111155722017</v>
      </c>
      <c r="B6332" t="str">
        <f>"1578729442009303"</f>
        <v>1578729442009303</v>
      </c>
      <c r="C6332" t="s">
        <v>37</v>
      </c>
      <c r="D6332">
        <v>4.8890789999999997</v>
      </c>
      <c r="E6332">
        <v>0.44083260000000002</v>
      </c>
      <c r="F6332" t="s">
        <v>75</v>
      </c>
      <c r="G6332">
        <v>-203.82910000000001</v>
      </c>
      <c r="H6332" s="1">
        <v>-4.3986380000000003E-6</v>
      </c>
      <c r="I6332">
        <v>-57.465879999999999</v>
      </c>
      <c r="J6332">
        <v>-221.9812</v>
      </c>
      <c r="K6332">
        <v>1.1053839999999999</v>
      </c>
      <c r="L6332">
        <v>-64.110990000000001</v>
      </c>
      <c r="M6332">
        <v>0.99977719999999903</v>
      </c>
      <c r="N6332">
        <v>0</v>
      </c>
      <c r="O6332">
        <v>1.6307189999999999E-2</v>
      </c>
      <c r="P6332">
        <v>0.98075540000000005</v>
      </c>
      <c r="Q6332">
        <v>1.500692E-2</v>
      </c>
      <c r="R6332">
        <v>0.194663</v>
      </c>
      <c r="S6332">
        <v>2.855499</v>
      </c>
      <c r="T6332">
        <v>-0.1726598</v>
      </c>
      <c r="U6332">
        <v>1.0383610000000001</v>
      </c>
      <c r="V6332">
        <v>-0.178673</v>
      </c>
      <c r="W6332">
        <v>2.7997000000000001E-2</v>
      </c>
      <c r="X6332">
        <v>0.98351010000000005</v>
      </c>
      <c r="Y6332">
        <v>-0.32587139999999998</v>
      </c>
      <c r="Z6332">
        <v>8.5843080000000006E-3</v>
      </c>
      <c r="AA6332">
        <v>0.94537510000000002</v>
      </c>
      <c r="AB6332">
        <v>26</v>
      </c>
      <c r="AC6332">
        <v>18.152099999999901</v>
      </c>
      <c r="AD6332">
        <v>-1.105388398638</v>
      </c>
      <c r="AE6332">
        <v>6.6451099999999901</v>
      </c>
      <c r="AF6332">
        <v>-6.3274985125385497</v>
      </c>
      <c r="AG6332">
        <v>-1.105388398638</v>
      </c>
      <c r="AH6332">
        <v>18.198548067618901</v>
      </c>
      <c r="AI6332">
        <v>93.283548756633394</v>
      </c>
      <c r="AJ6332">
        <v>109.17217938120299</v>
      </c>
      <c r="AK6332">
        <v>19.2988671353387</v>
      </c>
    </row>
    <row r="6333" spans="1:37" x14ac:dyDescent="0.2">
      <c r="A6333" t="str">
        <f>"20200111155722029"</f>
        <v>20200111155722029</v>
      </c>
      <c r="B6333" t="str">
        <f>"1578729442019063"</f>
        <v>1578729442019063</v>
      </c>
      <c r="C6333" t="s">
        <v>37</v>
      </c>
      <c r="D6333">
        <v>4.9150580000000001</v>
      </c>
      <c r="E6333">
        <v>0.44040550000000001</v>
      </c>
      <c r="F6333" t="s">
        <v>75</v>
      </c>
      <c r="G6333">
        <v>-203.23</v>
      </c>
      <c r="H6333" s="1">
        <v>-4.750859E-6</v>
      </c>
      <c r="I6333">
        <v>-57.253959999999999</v>
      </c>
      <c r="J6333">
        <v>-221.8468</v>
      </c>
      <c r="K6333">
        <v>1.105423</v>
      </c>
      <c r="L6333">
        <v>-64.108400000000003</v>
      </c>
      <c r="M6333">
        <v>0.99977019999999905</v>
      </c>
      <c r="N6333">
        <v>0</v>
      </c>
      <c r="O6333">
        <v>1.6705390000000001E-2</v>
      </c>
      <c r="P6333">
        <v>0.98073449999999995</v>
      </c>
      <c r="Q6333">
        <v>1.5643649999999999E-2</v>
      </c>
      <c r="R6333">
        <v>0.19471849999999999</v>
      </c>
      <c r="S6333">
        <v>2.854263</v>
      </c>
      <c r="T6333">
        <v>-0.16825970000000001</v>
      </c>
      <c r="U6333">
        <v>1.0437620000000001</v>
      </c>
      <c r="V6333">
        <v>-0.17834</v>
      </c>
      <c r="W6333">
        <v>2.865525E-2</v>
      </c>
      <c r="X6333">
        <v>0.98355159999999997</v>
      </c>
      <c r="Y6333">
        <v>-0.32722869999999998</v>
      </c>
      <c r="Z6333">
        <v>8.3827119999999901E-3</v>
      </c>
      <c r="AA6333">
        <v>0.94490799999999997</v>
      </c>
      <c r="AB6333">
        <v>26</v>
      </c>
      <c r="AC6333">
        <v>18.616800000000001</v>
      </c>
      <c r="AD6333">
        <v>-1.105427750859</v>
      </c>
      <c r="AE6333">
        <v>6.8544400000000003</v>
      </c>
      <c r="AF6333">
        <v>-6.52220390401461</v>
      </c>
      <c r="AG6333">
        <v>-1.105427750859</v>
      </c>
      <c r="AH6333">
        <v>18.6707482528894</v>
      </c>
      <c r="AI6333">
        <v>93.199170983930301</v>
      </c>
      <c r="AJ6333">
        <v>109.255707385533</v>
      </c>
      <c r="AK6333">
        <v>19.808027529279201</v>
      </c>
    </row>
    <row r="6334" spans="1:37" x14ac:dyDescent="0.2">
      <c r="A6334" t="str">
        <f>"20200111155722041"</f>
        <v>20200111155722041</v>
      </c>
      <c r="B6334" t="str">
        <f>"1578729442029799"</f>
        <v>1578729442029799</v>
      </c>
      <c r="C6334" t="s">
        <v>37</v>
      </c>
      <c r="D6334">
        <v>5.1827540000000001</v>
      </c>
      <c r="E6334">
        <v>0.43984979999999901</v>
      </c>
      <c r="F6334" t="s">
        <v>75</v>
      </c>
      <c r="G6334">
        <v>-202.60679999999999</v>
      </c>
      <c r="H6334" s="1">
        <v>-5.1142000000000001E-6</v>
      </c>
      <c r="I6334">
        <v>-57.047559999999997</v>
      </c>
      <c r="J6334">
        <v>-221.7184</v>
      </c>
      <c r="K6334">
        <v>1.1054600000000001</v>
      </c>
      <c r="L6334">
        <v>-64.105869999999996</v>
      </c>
      <c r="M6334">
        <v>0.99976309999999902</v>
      </c>
      <c r="N6334">
        <v>0</v>
      </c>
      <c r="O6334">
        <v>1.709811E-2</v>
      </c>
      <c r="P6334">
        <v>0.98070109999999999</v>
      </c>
      <c r="Q6334">
        <v>1.6018589999999999E-2</v>
      </c>
      <c r="R6334">
        <v>0.19485620000000001</v>
      </c>
      <c r="S6334">
        <v>2.8536220000000001</v>
      </c>
      <c r="T6334">
        <v>-0.1639535</v>
      </c>
      <c r="U6334">
        <v>1.0472410000000001</v>
      </c>
      <c r="V6334">
        <v>-0.178095</v>
      </c>
      <c r="W6334">
        <v>2.9049910000000002E-2</v>
      </c>
      <c r="X6334">
        <v>0.98358440000000003</v>
      </c>
      <c r="Y6334">
        <v>-0.32796510000000001</v>
      </c>
      <c r="Z6334">
        <v>8.1672399999999992E-3</v>
      </c>
      <c r="AA6334">
        <v>0.94465449999999995</v>
      </c>
      <c r="AB6334">
        <v>26</v>
      </c>
      <c r="AC6334">
        <v>19.111599999999999</v>
      </c>
      <c r="AD6334">
        <v>-1.1054651142</v>
      </c>
      <c r="AE6334">
        <v>7.0583099999999899</v>
      </c>
      <c r="AF6334">
        <v>-6.7107185042063398</v>
      </c>
      <c r="AG6334">
        <v>-1.1054651142</v>
      </c>
      <c r="AH6334">
        <v>19.173051326880401</v>
      </c>
      <c r="AI6334">
        <v>93.114971103097005</v>
      </c>
      <c r="AJ6334">
        <v>109.29044698928899</v>
      </c>
      <c r="AK6334">
        <v>20.343590959921499</v>
      </c>
    </row>
    <row r="6335" spans="1:37" x14ac:dyDescent="0.2">
      <c r="A6335" t="str">
        <f>"20200111155722052"</f>
        <v>20200111155722052</v>
      </c>
      <c r="B6335" t="str">
        <f>"1578729442049319"</f>
        <v>1578729442049319</v>
      </c>
      <c r="C6335" t="s">
        <v>37</v>
      </c>
      <c r="D6335">
        <v>5.0501370000000003</v>
      </c>
      <c r="E6335">
        <v>0.43899339999999998</v>
      </c>
      <c r="F6335" t="s">
        <v>75</v>
      </c>
      <c r="G6335">
        <v>-202.00579999999999</v>
      </c>
      <c r="H6335" s="1">
        <v>-5.4673540000000004E-6</v>
      </c>
      <c r="I6335">
        <v>-56.835700000000003</v>
      </c>
      <c r="J6335">
        <v>-221.58949999999999</v>
      </c>
      <c r="K6335">
        <v>1.105499</v>
      </c>
      <c r="L6335">
        <v>-64.103210000000004</v>
      </c>
      <c r="M6335">
        <v>0.99975530000000001</v>
      </c>
      <c r="N6335">
        <v>0</v>
      </c>
      <c r="O6335">
        <v>1.752811E-2</v>
      </c>
      <c r="P6335">
        <v>0.98066759999999997</v>
      </c>
      <c r="Q6335">
        <v>1.6365480000000002E-2</v>
      </c>
      <c r="R6335">
        <v>0.194995899999999</v>
      </c>
      <c r="S6335">
        <v>2.8525999999999998</v>
      </c>
      <c r="T6335">
        <v>-0.15997169999999999</v>
      </c>
      <c r="U6335">
        <v>1.052063</v>
      </c>
      <c r="V6335">
        <v>-0.1778149</v>
      </c>
      <c r="W6335">
        <v>2.9413089999999999E-2</v>
      </c>
      <c r="X6335">
        <v>0.98362430000000001</v>
      </c>
      <c r="Y6335">
        <v>-0.32909519999999998</v>
      </c>
      <c r="Z6335">
        <v>7.9769660000000003E-3</v>
      </c>
      <c r="AA6335">
        <v>0.94426309999999902</v>
      </c>
      <c r="AB6335">
        <v>26</v>
      </c>
      <c r="AC6335">
        <v>19.5837</v>
      </c>
      <c r="AD6335">
        <v>-1.105504467354</v>
      </c>
      <c r="AE6335">
        <v>7.2675099999999997</v>
      </c>
      <c r="AF6335">
        <v>-6.9037600307994298</v>
      </c>
      <c r="AG6335">
        <v>-1.105504467354</v>
      </c>
      <c r="AH6335">
        <v>19.653041890268099</v>
      </c>
      <c r="AI6335">
        <v>93.037939204852194</v>
      </c>
      <c r="AJ6335">
        <v>109.355457623456</v>
      </c>
      <c r="AK6335">
        <v>20.8596763692737</v>
      </c>
    </row>
    <row r="6336" spans="1:37" x14ac:dyDescent="0.2">
      <c r="A6336" t="str">
        <f>"20200111155722063"</f>
        <v>20200111155722063</v>
      </c>
      <c r="B6336" t="str">
        <f>"1578729442059078"</f>
        <v>1578729442059078</v>
      </c>
      <c r="C6336" t="s">
        <v>37</v>
      </c>
      <c r="D6336">
        <v>4.9869490000000001</v>
      </c>
      <c r="E6336">
        <v>0.43857370000000001</v>
      </c>
      <c r="F6336" t="s">
        <v>75</v>
      </c>
      <c r="G6336">
        <v>-201.08269999999999</v>
      </c>
      <c r="H6336" s="1">
        <v>-5.9075260000000001E-6</v>
      </c>
      <c r="I6336">
        <v>-56.48433</v>
      </c>
      <c r="J6336">
        <v>-221.4648</v>
      </c>
      <c r="K6336">
        <v>1.10554</v>
      </c>
      <c r="L6336">
        <v>-64.100619999999907</v>
      </c>
      <c r="M6336">
        <v>0.99974719999999995</v>
      </c>
      <c r="N6336">
        <v>0</v>
      </c>
      <c r="O6336">
        <v>1.7962450000000001E-2</v>
      </c>
      <c r="P6336">
        <v>0.98058670000000003</v>
      </c>
      <c r="Q6336">
        <v>1.6780119999999999E-2</v>
      </c>
      <c r="R6336">
        <v>0.19536689999999901</v>
      </c>
      <c r="S6336">
        <v>2.851089</v>
      </c>
      <c r="T6336">
        <v>-0.15370010000000001</v>
      </c>
      <c r="U6336">
        <v>1.0592649999999999</v>
      </c>
      <c r="V6336">
        <v>-0.17776249999999999</v>
      </c>
      <c r="W6336">
        <v>2.9841110000000001E-2</v>
      </c>
      <c r="X6336">
        <v>0.98362090000000002</v>
      </c>
      <c r="Y6336">
        <v>-0.33097569999999998</v>
      </c>
      <c r="Z6336">
        <v>7.6916249999999997E-3</v>
      </c>
      <c r="AA6336">
        <v>0.94360789999999894</v>
      </c>
      <c r="AB6336">
        <v>26</v>
      </c>
      <c r="AC6336">
        <v>20.382100000000001</v>
      </c>
      <c r="AD6336">
        <v>-1.1055459075259999</v>
      </c>
      <c r="AE6336">
        <v>7.6162899999999798</v>
      </c>
      <c r="AF6336">
        <v>-7.2302493632684097</v>
      </c>
      <c r="AG6336">
        <v>-1.1055459075259999</v>
      </c>
      <c r="AH6336">
        <v>20.4628037646103</v>
      </c>
      <c r="AI6336">
        <v>92.916167143160806</v>
      </c>
      <c r="AJ6336">
        <v>109.460158552389</v>
      </c>
      <c r="AK6336">
        <v>21.730740335240299</v>
      </c>
    </row>
    <row r="6337" spans="1:37" x14ac:dyDescent="0.2">
      <c r="A6337" t="str">
        <f>"20200111155722073"</f>
        <v>20200111155722073</v>
      </c>
      <c r="B6337" t="str">
        <f>"1578729442069674"</f>
        <v>1578729442069674</v>
      </c>
      <c r="C6337" t="s">
        <v>37</v>
      </c>
      <c r="D6337">
        <v>4.9871169999999996</v>
      </c>
      <c r="E6337">
        <v>0.43823440000000002</v>
      </c>
      <c r="F6337" t="s">
        <v>75</v>
      </c>
      <c r="G6337">
        <v>-200.49440000000001</v>
      </c>
      <c r="H6337" s="1">
        <v>-6.1630600000000001E-6</v>
      </c>
      <c r="I6337">
        <v>-56.27375</v>
      </c>
      <c r="J6337">
        <v>-221.34010000000001</v>
      </c>
      <c r="K6337">
        <v>1.105575</v>
      </c>
      <c r="L6337">
        <v>-64.097899999999996</v>
      </c>
      <c r="M6337">
        <v>0.99973849999999997</v>
      </c>
      <c r="N6337">
        <v>0</v>
      </c>
      <c r="O6337">
        <v>1.8419459999999999E-2</v>
      </c>
      <c r="P6337">
        <v>0.98053500000000005</v>
      </c>
      <c r="Q6337">
        <v>1.7156749999999998E-2</v>
      </c>
      <c r="R6337">
        <v>0.1955943</v>
      </c>
      <c r="S6337">
        <v>2.850006</v>
      </c>
      <c r="T6337">
        <v>-0.15025060000000001</v>
      </c>
      <c r="U6337">
        <v>1.0637209999999999</v>
      </c>
      <c r="V6337">
        <v>-0.17754429999999999</v>
      </c>
      <c r="W6337">
        <v>3.0229559999999999E-2</v>
      </c>
      <c r="X6337">
        <v>0.98364839999999998</v>
      </c>
      <c r="Y6337">
        <v>-0.33197379999999999</v>
      </c>
      <c r="Z6337">
        <v>7.5221019999999897E-3</v>
      </c>
      <c r="AA6337">
        <v>0.94325859999999995</v>
      </c>
      <c r="AB6337">
        <v>26</v>
      </c>
      <c r="AC6337">
        <v>20.845699999999901</v>
      </c>
      <c r="AD6337">
        <v>-1.1055811630600001</v>
      </c>
      <c r="AE6337">
        <v>7.8241499999999897</v>
      </c>
      <c r="AF6337">
        <v>-7.4205250815697497</v>
      </c>
      <c r="AG6337">
        <v>-1.1055811630600001</v>
      </c>
      <c r="AH6337">
        <v>20.934677716268201</v>
      </c>
      <c r="AI6337">
        <v>92.8496297455263</v>
      </c>
      <c r="AJ6337">
        <v>109.517427437743</v>
      </c>
      <c r="AK6337">
        <v>22.238417958081801</v>
      </c>
    </row>
    <row r="6338" spans="1:37" x14ac:dyDescent="0.2">
      <c r="A6338" t="str">
        <f>"20200111155722085"</f>
        <v>20200111155722085</v>
      </c>
      <c r="B6338" t="str">
        <f>"1578729442079418"</f>
        <v>1578729442079418</v>
      </c>
      <c r="C6338" t="s">
        <v>37</v>
      </c>
      <c r="D6338">
        <v>5.0769299999999999</v>
      </c>
      <c r="E6338">
        <v>0.43793509999999902</v>
      </c>
      <c r="F6338" t="s">
        <v>75</v>
      </c>
      <c r="G6338">
        <v>-199.89570000000001</v>
      </c>
      <c r="H6338" s="1">
        <v>-8.7950300000000001E-6</v>
      </c>
      <c r="I6338">
        <v>-56.067219999999899</v>
      </c>
      <c r="J6338">
        <v>-221.21360000000001</v>
      </c>
      <c r="K6338">
        <v>1.1056139999999901</v>
      </c>
      <c r="L6338">
        <v>-64.095060000000004</v>
      </c>
      <c r="M6338">
        <v>0.99972899999999998</v>
      </c>
      <c r="N6338">
        <v>0</v>
      </c>
      <c r="O6338">
        <v>1.8909490000000001E-2</v>
      </c>
      <c r="P6338">
        <v>0.98043639999999999</v>
      </c>
      <c r="Q6338">
        <v>1.7589270000000001E-2</v>
      </c>
      <c r="R6338">
        <v>0.196049</v>
      </c>
      <c r="S6338">
        <v>2.8492739999999999</v>
      </c>
      <c r="T6338">
        <v>-0.1468962</v>
      </c>
      <c r="U6338">
        <v>1.0670170000000001</v>
      </c>
      <c r="V6338">
        <v>-0.1775216</v>
      </c>
      <c r="W6338">
        <v>3.0671850000000001E-2</v>
      </c>
      <c r="X6338">
        <v>0.98363880000000004</v>
      </c>
      <c r="Y6338">
        <v>-0.33256479999999999</v>
      </c>
      <c r="Z6338">
        <v>7.3450579999999998E-3</v>
      </c>
      <c r="AA6338">
        <v>0.9430518</v>
      </c>
      <c r="AB6338">
        <v>26</v>
      </c>
      <c r="AC6338">
        <v>21.317900000000002</v>
      </c>
      <c r="AD6338">
        <v>-1.1056227950299999</v>
      </c>
      <c r="AE6338">
        <v>8.0278400000000101</v>
      </c>
      <c r="AF6338">
        <v>-7.6053402166579298</v>
      </c>
      <c r="AG6338">
        <v>-1.1056227950299999</v>
      </c>
      <c r="AH6338">
        <v>21.415454329411101</v>
      </c>
      <c r="AI6338">
        <v>92.785273002349101</v>
      </c>
      <c r="AJ6338">
        <v>109.551642992317</v>
      </c>
      <c r="AK6338">
        <v>22.752698427024001</v>
      </c>
    </row>
    <row r="6339" spans="1:37" x14ac:dyDescent="0.2">
      <c r="A6339" t="str">
        <f>"20200111155722096"</f>
        <v>20200111155722096</v>
      </c>
      <c r="B6339" t="str">
        <f>"1578729442089178"</f>
        <v>1578729442089178</v>
      </c>
      <c r="C6339" t="s">
        <v>37</v>
      </c>
      <c r="D6339">
        <v>4.9315959999999999</v>
      </c>
      <c r="E6339">
        <v>0.43758999999999998</v>
      </c>
      <c r="F6339" t="s">
        <v>75</v>
      </c>
      <c r="G6339">
        <v>-199.2398</v>
      </c>
      <c r="H6339" s="1">
        <v>-8.8031050000000008E-6</v>
      </c>
      <c r="I6339">
        <v>-55.834049999999998</v>
      </c>
      <c r="J6339">
        <v>-221.08330000000001</v>
      </c>
      <c r="K6339">
        <v>1.1056539999999999</v>
      </c>
      <c r="L6339">
        <v>-64.092069999999893</v>
      </c>
      <c r="M6339">
        <v>0.99971869999999996</v>
      </c>
      <c r="N6339">
        <v>0</v>
      </c>
      <c r="O6339">
        <v>1.943023E-2</v>
      </c>
      <c r="P6339">
        <v>0.98033250000000005</v>
      </c>
      <c r="Q6339">
        <v>1.790197E-2</v>
      </c>
      <c r="R6339">
        <v>0.19653960000000001</v>
      </c>
      <c r="S6339">
        <v>2.8483429999999998</v>
      </c>
      <c r="T6339">
        <v>-0.143316</v>
      </c>
      <c r="U6339">
        <v>1.0708309999999901</v>
      </c>
      <c r="V6339">
        <v>-0.17750450000000001</v>
      </c>
      <c r="W6339">
        <v>3.0993090000000001E-2</v>
      </c>
      <c r="X6339">
        <v>0.98363179999999995</v>
      </c>
      <c r="Y6339">
        <v>-0.33329920000000002</v>
      </c>
      <c r="Z6339">
        <v>7.1593919999999997E-3</v>
      </c>
      <c r="AA6339">
        <v>0.94279389999999996</v>
      </c>
      <c r="AB6339">
        <v>26</v>
      </c>
      <c r="AC6339">
        <v>21.843499999999999</v>
      </c>
      <c r="AD6339">
        <v>-1.105662803105</v>
      </c>
      <c r="AE6339">
        <v>8.2580199999999895</v>
      </c>
      <c r="AF6339">
        <v>-7.8144792794935602</v>
      </c>
      <c r="AG6339">
        <v>-1.105662803105</v>
      </c>
      <c r="AH6339">
        <v>21.950638183582701</v>
      </c>
      <c r="AI6339">
        <v>92.716821508964301</v>
      </c>
      <c r="AJ6339">
        <v>109.595850161258</v>
      </c>
      <c r="AK6339">
        <v>23.326360481445899</v>
      </c>
    </row>
    <row r="6340" spans="1:37" x14ac:dyDescent="0.2">
      <c r="A6340" t="str">
        <f>"20200111155722108"</f>
        <v>20200111155722108</v>
      </c>
      <c r="B6340" t="str">
        <f>"1578729442098939"</f>
        <v>1578729442098939</v>
      </c>
      <c r="C6340" t="s">
        <v>37</v>
      </c>
      <c r="D6340">
        <v>4.9105980000000002</v>
      </c>
      <c r="E6340">
        <v>0.4371969</v>
      </c>
      <c r="F6340" t="s">
        <v>75</v>
      </c>
      <c r="G6340">
        <v>-198.60310000000001</v>
      </c>
      <c r="H6340" s="1">
        <v>-8.8116709999999997E-6</v>
      </c>
      <c r="I6340">
        <v>-55.605619999999902</v>
      </c>
      <c r="J6340">
        <v>-220.95590000000001</v>
      </c>
      <c r="K6340">
        <v>1.1056919999999999</v>
      </c>
      <c r="L6340">
        <v>-64.089019999999906</v>
      </c>
      <c r="M6340">
        <v>0.99970749999999997</v>
      </c>
      <c r="N6340">
        <v>0</v>
      </c>
      <c r="O6340">
        <v>1.9978220000000001E-2</v>
      </c>
      <c r="P6340">
        <v>0.98017960000000004</v>
      </c>
      <c r="Q6340">
        <v>1.8285030000000001E-2</v>
      </c>
      <c r="R6340">
        <v>0.19726529999999901</v>
      </c>
      <c r="S6340">
        <v>2.8472439999999999</v>
      </c>
      <c r="T6340">
        <v>-0.14003869999999999</v>
      </c>
      <c r="U6340">
        <v>1.0748599999999999</v>
      </c>
      <c r="V6340">
        <v>-0.17769740000000001</v>
      </c>
      <c r="W6340">
        <v>3.1381529999999998E-2</v>
      </c>
      <c r="X6340">
        <v>0.98358469999999998</v>
      </c>
      <c r="Y6340">
        <v>-0.33408559999999998</v>
      </c>
      <c r="Z6340">
        <v>6.9893910000000002E-3</v>
      </c>
      <c r="AA6340">
        <v>0.94251679999999904</v>
      </c>
      <c r="AB6340">
        <v>26</v>
      </c>
      <c r="AC6340">
        <v>22.352799999999998</v>
      </c>
      <c r="AD6340">
        <v>-1.1057008116709901</v>
      </c>
      <c r="AE6340">
        <v>8.4833999999999907</v>
      </c>
      <c r="AF6340">
        <v>-8.0179470642695403</v>
      </c>
      <c r="AG6340">
        <v>-1.1057008116709901</v>
      </c>
      <c r="AH6340">
        <v>22.469778413141299</v>
      </c>
      <c r="AI6340">
        <v>92.653538472019406</v>
      </c>
      <c r="AJ6340">
        <v>109.638051589811</v>
      </c>
      <c r="AK6340">
        <v>23.883069135813098</v>
      </c>
    </row>
    <row r="6341" spans="1:37" x14ac:dyDescent="0.2">
      <c r="A6341" t="str">
        <f>"20200111155722121"</f>
        <v>20200111155722121</v>
      </c>
      <c r="B6341" t="str">
        <f>"1578729442109675"</f>
        <v>1578729442109675</v>
      </c>
      <c r="C6341" t="s">
        <v>37</v>
      </c>
      <c r="D6341">
        <v>4.8976759999999997</v>
      </c>
      <c r="E6341">
        <v>0.4367547</v>
      </c>
      <c r="F6341" t="s">
        <v>75</v>
      </c>
      <c r="G6341">
        <v>-197.86349999999999</v>
      </c>
      <c r="H6341" s="1">
        <v>-8.8273409999999998E-6</v>
      </c>
      <c r="I6341">
        <v>-55.32396</v>
      </c>
      <c r="J6341">
        <v>-220.8133</v>
      </c>
      <c r="K6341">
        <v>1.1057360000000001</v>
      </c>
      <c r="L6341">
        <v>-64.085539999999995</v>
      </c>
      <c r="M6341">
        <v>0.99969449999999904</v>
      </c>
      <c r="N6341">
        <v>0</v>
      </c>
      <c r="O6341">
        <v>2.0608029999999999E-2</v>
      </c>
      <c r="P6341">
        <v>0.98005509999999996</v>
      </c>
      <c r="Q6341">
        <v>1.8392249999999999E-2</v>
      </c>
      <c r="R6341">
        <v>0.19787370000000001</v>
      </c>
      <c r="S6341">
        <v>2.84580999999999</v>
      </c>
      <c r="T6341">
        <v>-0.1362621</v>
      </c>
      <c r="U6341">
        <v>1.0801700000000001</v>
      </c>
      <c r="V6341">
        <v>-0.17769109999999999</v>
      </c>
      <c r="W6341">
        <v>3.1494010000000003E-2</v>
      </c>
      <c r="X6341">
        <v>0.98358219999999996</v>
      </c>
      <c r="Y6341">
        <v>-0.3352039</v>
      </c>
      <c r="Z6341">
        <v>6.7989189999999996E-3</v>
      </c>
      <c r="AA6341">
        <v>0.94212109999999905</v>
      </c>
      <c r="AB6341">
        <v>25</v>
      </c>
      <c r="AC6341">
        <v>22.9498</v>
      </c>
      <c r="AD6341">
        <v>-1.105744827341</v>
      </c>
      <c r="AE6341">
        <v>8.7615800000000092</v>
      </c>
      <c r="AF6341">
        <v>-8.2699689249041608</v>
      </c>
      <c r="AG6341">
        <v>-1.105744827341</v>
      </c>
      <c r="AH6341">
        <v>23.078741010618</v>
      </c>
      <c r="AI6341">
        <v>92.582489736826503</v>
      </c>
      <c r="AJ6341">
        <v>109.714485330231</v>
      </c>
      <c r="AK6341">
        <v>24.540646777891901</v>
      </c>
    </row>
    <row r="6342" spans="1:37" x14ac:dyDescent="0.2">
      <c r="A6342" t="str">
        <f>"20200111155722164"</f>
        <v>20200111155722164</v>
      </c>
      <c r="B6342" t="str">
        <f>"1578729442159450"</f>
        <v>1578729442159450</v>
      </c>
      <c r="C6342" t="s">
        <v>37</v>
      </c>
      <c r="D6342">
        <v>5.068524</v>
      </c>
      <c r="E6342">
        <v>0.4365057</v>
      </c>
      <c r="F6342" t="s">
        <v>75</v>
      </c>
      <c r="G6342">
        <v>-197.14500000000001</v>
      </c>
      <c r="H6342" s="1">
        <v>-8.8416390000000002E-6</v>
      </c>
      <c r="I6342">
        <v>-55.052969999999902</v>
      </c>
      <c r="J6342">
        <v>-220.32550000000001</v>
      </c>
      <c r="K6342">
        <v>1.1058760000000001</v>
      </c>
      <c r="L6342">
        <v>-64.072540000000004</v>
      </c>
      <c r="M6342">
        <v>0.99964069999999905</v>
      </c>
      <c r="N6342">
        <v>0</v>
      </c>
      <c r="O6342">
        <v>2.3028860000000002E-2</v>
      </c>
      <c r="P6342">
        <v>0.97962299999999902</v>
      </c>
      <c r="Q6342">
        <v>1.9763220000000001E-2</v>
      </c>
      <c r="R6342">
        <v>0.1998704</v>
      </c>
      <c r="S6342">
        <v>2.8443909999999999</v>
      </c>
      <c r="T6342">
        <v>-0.13288549999999999</v>
      </c>
      <c r="U6342">
        <v>1.08551</v>
      </c>
      <c r="V6342">
        <v>-0.17732729999999999</v>
      </c>
      <c r="W6342">
        <v>3.2872310000000002E-2</v>
      </c>
      <c r="X6342">
        <v>0.9836028</v>
      </c>
      <c r="Y6342">
        <v>-0.33464169999999999</v>
      </c>
      <c r="Z6342">
        <v>6.5099140000000003E-3</v>
      </c>
      <c r="AA6342">
        <v>0.94232299999999902</v>
      </c>
      <c r="AB6342">
        <v>25</v>
      </c>
      <c r="AC6342">
        <v>23.180499999999899</v>
      </c>
      <c r="AD6342">
        <v>-1.1058848416389999</v>
      </c>
      <c r="AE6342">
        <v>9.0195699999999999</v>
      </c>
      <c r="AF6342">
        <v>-8.4665707044041092</v>
      </c>
      <c r="AG6342">
        <v>-1.1058848416389999</v>
      </c>
      <c r="AH6342">
        <v>23.335952404602399</v>
      </c>
      <c r="AI6342">
        <v>92.550745931945102</v>
      </c>
      <c r="AJ6342">
        <v>109.94139462811501</v>
      </c>
      <c r="AK6342">
        <v>24.848993448538501</v>
      </c>
    </row>
    <row r="6343" spans="1:37" x14ac:dyDescent="0.2">
      <c r="A6343" t="str">
        <f>"20200111155722174"</f>
        <v>20200111155722174</v>
      </c>
      <c r="B6343" t="str">
        <f>"1578729442169732"</f>
        <v>1578729442169732</v>
      </c>
      <c r="C6343" t="s">
        <v>37</v>
      </c>
      <c r="D6343">
        <v>5.2348860000000004</v>
      </c>
      <c r="E6343">
        <v>0.43670619999999999</v>
      </c>
      <c r="F6343" t="s">
        <v>75</v>
      </c>
      <c r="G6343">
        <v>-195.36369999999999</v>
      </c>
      <c r="H6343" s="1">
        <v>-8.8536240000000001E-6</v>
      </c>
      <c r="I6343">
        <v>-54.466329999999999</v>
      </c>
      <c r="J6343">
        <v>-220.20249999999999</v>
      </c>
      <c r="K6343">
        <v>1.105912</v>
      </c>
      <c r="L6343">
        <v>-64.069000000000003</v>
      </c>
      <c r="M6343">
        <v>0.99962510000000004</v>
      </c>
      <c r="N6343">
        <v>0</v>
      </c>
      <c r="O6343">
        <v>2.3693140000000001E-2</v>
      </c>
      <c r="P6343">
        <v>0.97956719999999897</v>
      </c>
      <c r="Q6343">
        <v>1.9981499999999999E-2</v>
      </c>
      <c r="R6343">
        <v>0.2001223</v>
      </c>
      <c r="S6343">
        <v>2.8417970000000001</v>
      </c>
      <c r="T6343">
        <v>-0.1259005</v>
      </c>
      <c r="U6343">
        <v>1.093628</v>
      </c>
      <c r="V6343">
        <v>-0.17692920000000001</v>
      </c>
      <c r="W6343">
        <v>3.3092000000000003E-2</v>
      </c>
      <c r="X6343">
        <v>0.98366710000000002</v>
      </c>
      <c r="Y6343">
        <v>-0.33667720000000001</v>
      </c>
      <c r="Z6343">
        <v>6.1854319999999898E-3</v>
      </c>
      <c r="AA6343">
        <v>0.94159979999999999</v>
      </c>
      <c r="AB6343">
        <v>25</v>
      </c>
      <c r="AC6343">
        <v>24.8387999999999</v>
      </c>
      <c r="AD6343">
        <v>-1.1059208536239999</v>
      </c>
      <c r="AE6343">
        <v>9.6026699999999892</v>
      </c>
      <c r="AF6343">
        <v>-8.9958947372295093</v>
      </c>
      <c r="AG6343">
        <v>-1.1059208536239999</v>
      </c>
      <c r="AH6343">
        <v>25.016221257438598</v>
      </c>
      <c r="AI6343">
        <v>92.382140041653102</v>
      </c>
      <c r="AJ6343">
        <v>109.77870977038801</v>
      </c>
      <c r="AK6343">
        <v>26.607527300726701</v>
      </c>
    </row>
    <row r="6344" spans="1:37" x14ac:dyDescent="0.2">
      <c r="A6344" t="str">
        <f>"20200111155722185"</f>
        <v>20200111155722185</v>
      </c>
      <c r="B6344" t="str">
        <f>"1578729442179477"</f>
        <v>1578729442179477</v>
      </c>
      <c r="C6344" t="s">
        <v>37</v>
      </c>
      <c r="D6344">
        <v>5.1324209999999999</v>
      </c>
      <c r="E6344">
        <v>0.43670619999999999</v>
      </c>
      <c r="F6344" t="s">
        <v>75</v>
      </c>
      <c r="G6344">
        <v>-194.71539999999999</v>
      </c>
      <c r="H6344" s="1">
        <v>-8.8615880000000005E-6</v>
      </c>
      <c r="I6344">
        <v>-54.266319999999901</v>
      </c>
      <c r="J6344">
        <v>-220.07730000000001</v>
      </c>
      <c r="K6344">
        <v>1.1059479999999999</v>
      </c>
      <c r="L6344">
        <v>-64.065309999999997</v>
      </c>
      <c r="M6344">
        <v>0.99960799999999905</v>
      </c>
      <c r="N6344">
        <v>0</v>
      </c>
      <c r="O6344">
        <v>2.4397410000000001E-2</v>
      </c>
      <c r="P6344">
        <v>0.97949839999999999</v>
      </c>
      <c r="Q6344">
        <v>2.0046830000000002E-2</v>
      </c>
      <c r="R6344">
        <v>0.20045270000000001</v>
      </c>
      <c r="S6344">
        <v>2.8417819999999998</v>
      </c>
      <c r="T6344">
        <v>-0.1233088</v>
      </c>
      <c r="U6344">
        <v>1.0929869999999999</v>
      </c>
      <c r="V6344">
        <v>-0.17657039999999999</v>
      </c>
      <c r="W6344">
        <v>3.3157300000000001E-2</v>
      </c>
      <c r="X6344">
        <v>0.98372939999999998</v>
      </c>
      <c r="Y6344">
        <v>-0.33584239999999999</v>
      </c>
      <c r="Z6344">
        <v>6.0115759999999898E-3</v>
      </c>
      <c r="AA6344">
        <v>0.94189899999999904</v>
      </c>
      <c r="AB6344">
        <v>25</v>
      </c>
      <c r="AC6344">
        <v>25.361899999999999</v>
      </c>
      <c r="AD6344">
        <v>-1.105956861588</v>
      </c>
      <c r="AE6344">
        <v>9.7989899999999999</v>
      </c>
      <c r="AF6344">
        <v>-9.1620902426411206</v>
      </c>
      <c r="AG6344">
        <v>-1.105956861588</v>
      </c>
      <c r="AH6344">
        <v>25.5511654496446</v>
      </c>
      <c r="AI6344">
        <v>92.333157792730205</v>
      </c>
      <c r="AJ6344">
        <v>109.726725562653</v>
      </c>
      <c r="AK6344">
        <v>27.166690892140402</v>
      </c>
    </row>
    <row r="6345" spans="1:37" x14ac:dyDescent="0.2">
      <c r="A6345" t="str">
        <f>"20200111155722196"</f>
        <v>20200111155722196</v>
      </c>
      <c r="B6345" t="str">
        <f>"1578729442189237"</f>
        <v>1578729442189237</v>
      </c>
      <c r="C6345" t="s">
        <v>37</v>
      </c>
      <c r="D6345">
        <v>5.1534959999999996</v>
      </c>
      <c r="E6345">
        <v>0.48230839999999903</v>
      </c>
      <c r="F6345" t="s">
        <v>75</v>
      </c>
      <c r="G6345">
        <v>-194.55599999999899</v>
      </c>
      <c r="H6345" s="1">
        <v>-8.8553109999999998E-6</v>
      </c>
      <c r="I6345">
        <v>-54.239780000000003</v>
      </c>
      <c r="J6345">
        <v>-219.95089999999999</v>
      </c>
      <c r="K6345">
        <v>1.105982</v>
      </c>
      <c r="L6345">
        <v>-64.061490000000006</v>
      </c>
      <c r="M6345">
        <v>0.99958989999999903</v>
      </c>
      <c r="N6345">
        <v>0</v>
      </c>
      <c r="O6345">
        <v>2.512284E-2</v>
      </c>
      <c r="P6345">
        <v>0.97946809999999995</v>
      </c>
      <c r="Q6345">
        <v>2.0167060000000001E-2</v>
      </c>
      <c r="R6345">
        <v>0.2005885</v>
      </c>
      <c r="S6345">
        <v>2.841431</v>
      </c>
      <c r="T6345">
        <v>-0.12313259999999999</v>
      </c>
      <c r="U6345">
        <v>1.093933</v>
      </c>
      <c r="V6345">
        <v>-0.17599600000000001</v>
      </c>
      <c r="W6345">
        <v>3.3278830000000002E-2</v>
      </c>
      <c r="X6345">
        <v>0.98382819999999904</v>
      </c>
      <c r="Y6345">
        <v>-0.33547259999999901</v>
      </c>
      <c r="Z6345">
        <v>5.9653400000000004E-3</v>
      </c>
      <c r="AA6345">
        <v>0.94203110000000001</v>
      </c>
      <c r="AB6345">
        <v>25</v>
      </c>
      <c r="AC6345">
        <v>25.3949</v>
      </c>
      <c r="AD6345">
        <v>-1.1059908553110001</v>
      </c>
      <c r="AE6345">
        <v>9.8217099999999995</v>
      </c>
      <c r="AF6345">
        <v>-9.1654346589955509</v>
      </c>
      <c r="AG6345">
        <v>-1.1059908553110001</v>
      </c>
      <c r="AH6345">
        <v>25.591431197393</v>
      </c>
      <c r="AI6345">
        <v>92.329882737020498</v>
      </c>
      <c r="AJ6345">
        <v>109.70471432830099</v>
      </c>
      <c r="AK6345">
        <v>27.205693503221902</v>
      </c>
    </row>
    <row r="6346" spans="1:37" x14ac:dyDescent="0.2">
      <c r="A6346" t="str">
        <f>"20200111155722207"</f>
        <v>20200111155722207</v>
      </c>
      <c r="B6346" t="str">
        <f>"1578729442198997"</f>
        <v>1578729442198997</v>
      </c>
      <c r="C6346" t="s">
        <v>37</v>
      </c>
      <c r="D6346">
        <v>5.1045579999999999</v>
      </c>
      <c r="E6346">
        <v>0.48782059999999999</v>
      </c>
      <c r="F6346" t="s">
        <v>75</v>
      </c>
      <c r="G6346">
        <v>-208.5213</v>
      </c>
      <c r="H6346" s="1">
        <v>-1.0220079999999999E-6</v>
      </c>
      <c r="I6346">
        <v>-61.17765</v>
      </c>
      <c r="J6346">
        <v>-219.82939999999999</v>
      </c>
      <c r="K6346">
        <v>1.1060140000000001</v>
      </c>
      <c r="L6346">
        <v>-64.057649999999995</v>
      </c>
      <c r="M6346">
        <v>0.99957099999999899</v>
      </c>
      <c r="N6346">
        <v>0</v>
      </c>
      <c r="O6346">
        <v>2.5854390000000001E-2</v>
      </c>
      <c r="P6346">
        <v>0.979462099999999</v>
      </c>
      <c r="Q6346">
        <v>2.0425949999999998E-2</v>
      </c>
      <c r="R6346">
        <v>0.20059109999999999</v>
      </c>
      <c r="S6346">
        <v>2.9179379999999999</v>
      </c>
      <c r="T6346">
        <v>-0.2823541</v>
      </c>
      <c r="U6346">
        <v>0.73623660000000002</v>
      </c>
      <c r="V6346">
        <v>-0.175281399999999</v>
      </c>
      <c r="W6346">
        <v>3.3538560000000002E-2</v>
      </c>
      <c r="X6346">
        <v>0.98394699999999902</v>
      </c>
      <c r="Y6346">
        <v>-0.2186485</v>
      </c>
      <c r="Z6346">
        <v>7.9365879999999996E-3</v>
      </c>
      <c r="AA6346">
        <v>0.97577139999999996</v>
      </c>
      <c r="AB6346">
        <v>25</v>
      </c>
      <c r="AC6346">
        <v>11.3080999999999</v>
      </c>
      <c r="AD6346">
        <v>-1.1060150220080001</v>
      </c>
      <c r="AE6346">
        <v>2.8799999999999901</v>
      </c>
      <c r="AF6346">
        <v>-2.5636149852184902</v>
      </c>
      <c r="AG6346">
        <v>-1.1060150220080001</v>
      </c>
      <c r="AH6346">
        <v>11.2774750185602</v>
      </c>
      <c r="AI6346">
        <v>95.4627612307373</v>
      </c>
      <c r="AJ6346">
        <v>102.806935080732</v>
      </c>
      <c r="AK6346">
        <v>11.6179530820017</v>
      </c>
    </row>
    <row r="6347" spans="1:37" x14ac:dyDescent="0.2">
      <c r="A6347" t="str">
        <f>"20200111155722218"</f>
        <v>20200111155722218</v>
      </c>
      <c r="B6347" t="str">
        <f>"1578729442209733"</f>
        <v>1578729442209733</v>
      </c>
      <c r="C6347" t="s">
        <v>37</v>
      </c>
      <c r="D6347">
        <v>5.1756989999999998</v>
      </c>
      <c r="E6347">
        <v>0.4898517</v>
      </c>
      <c r="F6347" t="s">
        <v>75</v>
      </c>
      <c r="G6347">
        <v>-208.2372</v>
      </c>
      <c r="H6347" s="1">
        <v>-1.2213840000000001E-6</v>
      </c>
      <c r="I6347">
        <v>-61.312399999999997</v>
      </c>
      <c r="J6347">
        <v>-219.703</v>
      </c>
      <c r="K6347">
        <v>1.106047</v>
      </c>
      <c r="L6347">
        <v>-64.053619999999995</v>
      </c>
      <c r="M6347">
        <v>0.99955059999999996</v>
      </c>
      <c r="N6347">
        <v>0</v>
      </c>
      <c r="O6347">
        <v>2.6622779999999999E-2</v>
      </c>
      <c r="P6347">
        <v>0.97945969999999904</v>
      </c>
      <c r="Q6347">
        <v>2.0532249999999998E-2</v>
      </c>
      <c r="R6347">
        <v>0.2005921</v>
      </c>
      <c r="S6347">
        <v>2.9267880000000002</v>
      </c>
      <c r="T6347">
        <v>-0.27924509999999902</v>
      </c>
      <c r="U6347">
        <v>0.69311519999999904</v>
      </c>
      <c r="V6347">
        <v>-0.17452860000000001</v>
      </c>
      <c r="W6347">
        <v>3.3645300000000003E-2</v>
      </c>
      <c r="X6347">
        <v>0.98407710000000004</v>
      </c>
      <c r="Y6347">
        <v>-0.20369319999999999</v>
      </c>
      <c r="Z6347">
        <v>7.0657339999999997E-3</v>
      </c>
      <c r="AA6347">
        <v>0.97900929999999997</v>
      </c>
      <c r="AB6347">
        <v>25</v>
      </c>
      <c r="AC6347">
        <v>11.4658</v>
      </c>
      <c r="AD6347">
        <v>-1.1060482213839999</v>
      </c>
      <c r="AE6347">
        <v>2.74121999999999</v>
      </c>
      <c r="AF6347">
        <v>-2.4137212888595099</v>
      </c>
      <c r="AG6347">
        <v>-1.1060482213839999</v>
      </c>
      <c r="AH6347">
        <v>11.43407411385</v>
      </c>
      <c r="AI6347">
        <v>95.406754124428502</v>
      </c>
      <c r="AJ6347">
        <v>101.92007268249399</v>
      </c>
      <c r="AK6347">
        <v>11.7382896526425</v>
      </c>
    </row>
    <row r="6348" spans="1:37" x14ac:dyDescent="0.2">
      <c r="A6348" t="str">
        <f>"20200111155722230"</f>
        <v>20200111155722230</v>
      </c>
      <c r="B6348" t="str">
        <f>"1578729442219493"</f>
        <v>1578729442219493</v>
      </c>
      <c r="C6348" t="s">
        <v>37</v>
      </c>
      <c r="D6348">
        <v>5.1522579999999998</v>
      </c>
      <c r="E6348">
        <v>0.49118779999999901</v>
      </c>
      <c r="F6348" t="s">
        <v>75</v>
      </c>
      <c r="G6348">
        <v>-207.98670000000001</v>
      </c>
      <c r="H6348" s="1">
        <v>-1.3852150000000001E-6</v>
      </c>
      <c r="I6348">
        <v>-61.345489999999998</v>
      </c>
      <c r="J6348">
        <v>-219.5754</v>
      </c>
      <c r="K6348">
        <v>1.1060840000000001</v>
      </c>
      <c r="L6348">
        <v>-64.049350000000004</v>
      </c>
      <c r="M6348">
        <v>0.99952859999999999</v>
      </c>
      <c r="N6348">
        <v>0</v>
      </c>
      <c r="O6348">
        <v>2.743657E-2</v>
      </c>
      <c r="P6348">
        <v>0.97941679999999998</v>
      </c>
      <c r="Q6348">
        <v>2.0653230000000002E-2</v>
      </c>
      <c r="R6348">
        <v>0.20078879999999999</v>
      </c>
      <c r="S6348">
        <v>2.9300079999999999</v>
      </c>
      <c r="T6348">
        <v>-0.27659899999999998</v>
      </c>
      <c r="U6348">
        <v>0.67724609999999996</v>
      </c>
      <c r="V6348">
        <v>-0.17392769999999999</v>
      </c>
      <c r="W6348">
        <v>3.3766350000000001E-2</v>
      </c>
      <c r="X6348">
        <v>0.98417940000000004</v>
      </c>
      <c r="Y6348">
        <v>-0.19766729999999999</v>
      </c>
      <c r="Z6348">
        <v>6.6401350000000001E-3</v>
      </c>
      <c r="AA6348">
        <v>0.98024669999999903</v>
      </c>
      <c r="AB6348">
        <v>25</v>
      </c>
      <c r="AC6348">
        <v>11.5886999999999</v>
      </c>
      <c r="AD6348">
        <v>-1.1060853852150001</v>
      </c>
      <c r="AE6348">
        <v>2.7038599999999899</v>
      </c>
      <c r="AF6348">
        <v>-2.36443015229493</v>
      </c>
      <c r="AG6348">
        <v>-1.1060853852150001</v>
      </c>
      <c r="AH6348">
        <v>11.558667515820799</v>
      </c>
      <c r="AI6348">
        <v>95.355925254895595</v>
      </c>
      <c r="AJ6348">
        <v>101.560878976617</v>
      </c>
      <c r="AK6348">
        <v>11.849757363159799</v>
      </c>
    </row>
    <row r="6349" spans="1:37" x14ac:dyDescent="0.2">
      <c r="A6349" t="str">
        <f>"20200111155722241"</f>
        <v>20200111155722241</v>
      </c>
      <c r="B6349" t="str">
        <f>"1578729442239012"</f>
        <v>1578729442239012</v>
      </c>
      <c r="C6349" t="s">
        <v>37</v>
      </c>
      <c r="D6349">
        <v>5.2224399999999997</v>
      </c>
      <c r="E6349">
        <v>0.49257649999999997</v>
      </c>
      <c r="F6349" t="s">
        <v>75</v>
      </c>
      <c r="G6349">
        <v>-207.91640000000001</v>
      </c>
      <c r="H6349" s="1">
        <v>-1.4368529999999999E-6</v>
      </c>
      <c r="I6349">
        <v>-61.395580000000002</v>
      </c>
      <c r="J6349">
        <v>-219.44640000000001</v>
      </c>
      <c r="K6349">
        <v>1.106114</v>
      </c>
      <c r="L6349">
        <v>-64.044919999999905</v>
      </c>
      <c r="M6349">
        <v>0.99950519999999998</v>
      </c>
      <c r="N6349">
        <v>0</v>
      </c>
      <c r="O6349">
        <v>2.826847E-2</v>
      </c>
      <c r="P6349">
        <v>0.97936919999999905</v>
      </c>
      <c r="Q6349">
        <v>2.0770670000000001E-2</v>
      </c>
      <c r="R6349">
        <v>0.201009299999999</v>
      </c>
      <c r="S6349">
        <v>2.932083</v>
      </c>
      <c r="T6349">
        <v>-0.27816629999999998</v>
      </c>
      <c r="U6349">
        <v>0.66738889999999995</v>
      </c>
      <c r="V6349">
        <v>-0.1733324</v>
      </c>
      <c r="W6349">
        <v>3.3884060000000001E-2</v>
      </c>
      <c r="X6349">
        <v>0.9842803</v>
      </c>
      <c r="Y6349">
        <v>-0.1935799</v>
      </c>
      <c r="Z6349">
        <v>6.4067960000000002E-3</v>
      </c>
      <c r="AA6349">
        <v>0.98106360000000004</v>
      </c>
      <c r="AB6349">
        <v>25</v>
      </c>
      <c r="AC6349">
        <v>11.53</v>
      </c>
      <c r="AD6349">
        <v>-1.106115436853</v>
      </c>
      <c r="AE6349">
        <v>2.64933999999998</v>
      </c>
      <c r="AF6349">
        <v>-2.30218945335394</v>
      </c>
      <c r="AG6349">
        <v>-1.106115436853</v>
      </c>
      <c r="AH6349">
        <v>11.4997634662752</v>
      </c>
      <c r="AI6349">
        <v>95.387886973967397</v>
      </c>
      <c r="AJ6349">
        <v>101.32064775448499</v>
      </c>
      <c r="AK6349">
        <v>11.779988430344799</v>
      </c>
    </row>
    <row r="6350" spans="1:37" x14ac:dyDescent="0.2">
      <c r="A6350" t="str">
        <f>"20200111155722252"</f>
        <v>20200111155722252</v>
      </c>
      <c r="B6350" t="str">
        <f>"1578729442249749"</f>
        <v>1578729442249749</v>
      </c>
      <c r="C6350" t="s">
        <v>37</v>
      </c>
      <c r="D6350">
        <v>5.9715639999999999</v>
      </c>
      <c r="E6350">
        <v>0.49311729999999998</v>
      </c>
      <c r="F6350" t="s">
        <v>75</v>
      </c>
      <c r="G6350">
        <v>-207.83940000000001</v>
      </c>
      <c r="H6350" s="1">
        <v>-1.492712E-6</v>
      </c>
      <c r="I6350">
        <v>-61.44538</v>
      </c>
      <c r="J6350">
        <v>-219.32339999999999</v>
      </c>
      <c r="K6350">
        <v>1.106141</v>
      </c>
      <c r="L6350">
        <v>-64.040559999999999</v>
      </c>
      <c r="M6350">
        <v>0.99948169999999903</v>
      </c>
      <c r="N6350">
        <v>0</v>
      </c>
      <c r="O6350">
        <v>2.9084889999999999E-2</v>
      </c>
      <c r="P6350">
        <v>0.97926539999999995</v>
      </c>
      <c r="Q6350">
        <v>2.1243919999999999E-2</v>
      </c>
      <c r="R6350">
        <v>0.20146439999999999</v>
      </c>
      <c r="S6350">
        <v>2.9342349999999899</v>
      </c>
      <c r="T6350">
        <v>-0.27962629999999999</v>
      </c>
      <c r="U6350">
        <v>0.65716549999999996</v>
      </c>
      <c r="V6350">
        <v>-0.17298929999999901</v>
      </c>
      <c r="W6350">
        <v>3.4355860000000002E-2</v>
      </c>
      <c r="X6350">
        <v>0.98432430000000004</v>
      </c>
      <c r="Y6350">
        <v>-0.1893832</v>
      </c>
      <c r="Z6350">
        <v>6.1644450000000002E-3</v>
      </c>
      <c r="AA6350">
        <v>0.98188390000000003</v>
      </c>
      <c r="AB6350">
        <v>25</v>
      </c>
      <c r="AC6350">
        <v>11.483999999999901</v>
      </c>
      <c r="AD6350">
        <v>-1.106142492712</v>
      </c>
      <c r="AE6350">
        <v>2.5951799999999898</v>
      </c>
      <c r="AF6350">
        <v>-2.2402647617982701</v>
      </c>
      <c r="AG6350">
        <v>-1.106142492712</v>
      </c>
      <c r="AH6350">
        <v>11.4535300101847</v>
      </c>
      <c r="AI6350">
        <v>95.414349812381602</v>
      </c>
      <c r="AJ6350">
        <v>101.067103189524</v>
      </c>
      <c r="AK6350">
        <v>11.722870259084999</v>
      </c>
    </row>
    <row r="6351" spans="1:37" x14ac:dyDescent="0.2">
      <c r="A6351" t="str">
        <f>"20200111155722263"</f>
        <v>20200111155722263</v>
      </c>
      <c r="B6351" t="str">
        <f>"1578729442259509"</f>
        <v>1578729442259509</v>
      </c>
      <c r="C6351" t="s">
        <v>37</v>
      </c>
      <c r="D6351">
        <v>5.1664430000000001</v>
      </c>
      <c r="E6351">
        <v>0.49318220000000002</v>
      </c>
      <c r="F6351" t="s">
        <v>75</v>
      </c>
      <c r="G6351">
        <v>-207.5609</v>
      </c>
      <c r="H6351" s="1">
        <v>-1.666038E-6</v>
      </c>
      <c r="I6351">
        <v>-61.418659999999903</v>
      </c>
      <c r="J6351">
        <v>-219.2021</v>
      </c>
      <c r="K6351">
        <v>1.1061700000000001</v>
      </c>
      <c r="L6351">
        <v>-64.036159999999995</v>
      </c>
      <c r="M6351">
        <v>0.99945740000000005</v>
      </c>
      <c r="N6351">
        <v>0</v>
      </c>
      <c r="O6351">
        <v>2.990307E-2</v>
      </c>
      <c r="P6351">
        <v>0.97912969999999899</v>
      </c>
      <c r="Q6351">
        <v>2.1586299999999999E-2</v>
      </c>
      <c r="R6351">
        <v>0.2020865</v>
      </c>
      <c r="S6351">
        <v>2.9349369999999899</v>
      </c>
      <c r="T6351">
        <v>-0.27600039999999998</v>
      </c>
      <c r="U6351">
        <v>0.65420529999999999</v>
      </c>
      <c r="V6351">
        <v>-0.17281170000000001</v>
      </c>
      <c r="W6351">
        <v>3.4696589999999999E-2</v>
      </c>
      <c r="X6351">
        <v>0.98434359999999999</v>
      </c>
      <c r="Y6351">
        <v>-0.18761459999999999</v>
      </c>
      <c r="Z6351">
        <v>5.9263999999999897E-3</v>
      </c>
      <c r="AA6351">
        <v>0.98222480000000001</v>
      </c>
      <c r="AB6351">
        <v>25</v>
      </c>
      <c r="AC6351">
        <v>11.6411999999999</v>
      </c>
      <c r="AD6351">
        <v>-1.1061716660380001</v>
      </c>
      <c r="AE6351">
        <v>2.6175000000000002</v>
      </c>
      <c r="AF6351">
        <v>-2.2488601707646398</v>
      </c>
      <c r="AG6351">
        <v>-1.1061716660380001</v>
      </c>
      <c r="AH6351">
        <v>11.6144492850921</v>
      </c>
      <c r="AI6351">
        <v>95.341871566582199</v>
      </c>
      <c r="AJ6351">
        <v>100.958352771349</v>
      </c>
      <c r="AK6351">
        <v>11.881768387675899</v>
      </c>
    </row>
    <row r="6352" spans="1:37" x14ac:dyDescent="0.2">
      <c r="A6352" t="str">
        <f>"20200111155722276"</f>
        <v>20200111155722276</v>
      </c>
      <c r="B6352" t="str">
        <f>"1578729442269268"</f>
        <v>1578729442269268</v>
      </c>
      <c r="C6352" t="s">
        <v>37</v>
      </c>
      <c r="D6352">
        <v>5.0880039999999997</v>
      </c>
      <c r="E6352">
        <v>0.4931276</v>
      </c>
      <c r="F6352" t="s">
        <v>75</v>
      </c>
      <c r="G6352">
        <v>-207.34909999999999</v>
      </c>
      <c r="H6352" s="1">
        <v>-1.7964080000000001E-6</v>
      </c>
      <c r="I6352">
        <v>-61.388190000000002</v>
      </c>
      <c r="J6352">
        <v>-219.05690000000001</v>
      </c>
      <c r="K6352">
        <v>1.1062000000000001</v>
      </c>
      <c r="L6352">
        <v>-64.030760000000001</v>
      </c>
      <c r="M6352">
        <v>0.99942699999999995</v>
      </c>
      <c r="N6352">
        <v>0</v>
      </c>
      <c r="O6352">
        <v>3.0901089999999999E-2</v>
      </c>
      <c r="P6352">
        <v>0.97895560000000004</v>
      </c>
      <c r="Q6352">
        <v>2.192935E-2</v>
      </c>
      <c r="R6352">
        <v>0.2028925</v>
      </c>
      <c r="S6352">
        <v>2.9346619999999999</v>
      </c>
      <c r="T6352">
        <v>-0.27387529999999999</v>
      </c>
      <c r="U6352">
        <v>0.65560909999999994</v>
      </c>
      <c r="V6352">
        <v>-0.17264260000000001</v>
      </c>
      <c r="W6352">
        <v>3.5037800000000001E-2</v>
      </c>
      <c r="X6352">
        <v>0.98436119999999905</v>
      </c>
      <c r="Y6352">
        <v>-0.18711729999999999</v>
      </c>
      <c r="Z6352">
        <v>5.766686E-3</v>
      </c>
      <c r="AA6352">
        <v>0.98232070000000005</v>
      </c>
      <c r="AB6352">
        <v>25</v>
      </c>
      <c r="AC6352">
        <v>11.707800000000001</v>
      </c>
      <c r="AD6352">
        <v>-1.106201796408</v>
      </c>
      <c r="AE6352">
        <v>2.6425699999999899</v>
      </c>
      <c r="AF6352">
        <v>-2.2602894519863401</v>
      </c>
      <c r="AG6352">
        <v>-1.106201796408</v>
      </c>
      <c r="AH6352">
        <v>11.6846188669293</v>
      </c>
      <c r="AI6352">
        <v>95.310301634179297</v>
      </c>
      <c r="AJ6352">
        <v>100.948155941854</v>
      </c>
      <c r="AK6352">
        <v>11.952527301225301</v>
      </c>
    </row>
    <row r="6353" spans="1:37" x14ac:dyDescent="0.2">
      <c r="A6353" t="str">
        <f>"20200111155722286"</f>
        <v>20200111155722286</v>
      </c>
      <c r="B6353" t="str">
        <f>"1578729442279028"</f>
        <v>1578729442279028</v>
      </c>
      <c r="C6353" t="s">
        <v>37</v>
      </c>
      <c r="D6353">
        <v>5.2085850000000002</v>
      </c>
      <c r="E6353">
        <v>0.49336930000000001</v>
      </c>
      <c r="F6353" t="s">
        <v>75</v>
      </c>
      <c r="G6353">
        <v>-207.2629</v>
      </c>
      <c r="H6353" s="1">
        <v>-1.8506590000000001E-6</v>
      </c>
      <c r="I6353">
        <v>-61.384119999999903</v>
      </c>
      <c r="J6353">
        <v>-218.9419</v>
      </c>
      <c r="K6353">
        <v>1.106222</v>
      </c>
      <c r="L6353">
        <v>-64.026340000000005</v>
      </c>
      <c r="M6353">
        <v>0.99940169999999995</v>
      </c>
      <c r="N6353">
        <v>0</v>
      </c>
      <c r="O6353">
        <v>3.1710990000000001E-2</v>
      </c>
      <c r="P6353">
        <v>0.97882340000000001</v>
      </c>
      <c r="Q6353">
        <v>2.249874E-2</v>
      </c>
      <c r="R6353">
        <v>0.20346700000000001</v>
      </c>
      <c r="S6353">
        <v>2.9341889999999999</v>
      </c>
      <c r="T6353">
        <v>-0.27520679999999997</v>
      </c>
      <c r="U6353">
        <v>0.65844729999999996</v>
      </c>
      <c r="V6353">
        <v>-0.172426</v>
      </c>
      <c r="W6353">
        <v>3.5606310000000002E-2</v>
      </c>
      <c r="X6353">
        <v>0.98437870000000005</v>
      </c>
      <c r="Y6353">
        <v>-0.18725629999999999</v>
      </c>
      <c r="Z6353">
        <v>5.7266289999999996E-3</v>
      </c>
      <c r="AA6353">
        <v>0.98229439999999901</v>
      </c>
      <c r="AB6353">
        <v>25</v>
      </c>
      <c r="AC6353">
        <v>11.679</v>
      </c>
      <c r="AD6353">
        <v>-1.1062238506590001</v>
      </c>
      <c r="AE6353">
        <v>2.64222</v>
      </c>
      <c r="AF6353">
        <v>-2.2512885294513398</v>
      </c>
      <c r="AG6353">
        <v>-1.1062238506590001</v>
      </c>
      <c r="AH6353">
        <v>11.657426190634901</v>
      </c>
      <c r="AI6353">
        <v>95.323039563565501</v>
      </c>
      <c r="AJ6353">
        <v>100.930432498455</v>
      </c>
      <c r="AK6353">
        <v>11.924244908618199</v>
      </c>
    </row>
    <row r="6354" spans="1:37" x14ac:dyDescent="0.2">
      <c r="A6354" t="str">
        <f>"20200111155722296"</f>
        <v>20200111155722296</v>
      </c>
      <c r="B6354" t="str">
        <f>"1578729442289765"</f>
        <v>1578729442289765</v>
      </c>
      <c r="C6354" t="s">
        <v>37</v>
      </c>
      <c r="D6354">
        <v>5.1414869999999997</v>
      </c>
      <c r="E6354">
        <v>0.49318240000000002</v>
      </c>
      <c r="F6354" t="s">
        <v>75</v>
      </c>
      <c r="G6354">
        <v>-207.08099999999999</v>
      </c>
      <c r="H6354" s="1">
        <v>-1.96364E-6</v>
      </c>
      <c r="I6354">
        <v>-61.365369999999999</v>
      </c>
      <c r="J6354">
        <v>-218.8252</v>
      </c>
      <c r="K6354">
        <v>1.1062350000000001</v>
      </c>
      <c r="L6354">
        <v>-64.021789999999996</v>
      </c>
      <c r="M6354">
        <v>0.99937489999999995</v>
      </c>
      <c r="N6354">
        <v>0</v>
      </c>
      <c r="O6354">
        <v>3.2537919999999998E-2</v>
      </c>
      <c r="P6354">
        <v>0.97866509999999995</v>
      </c>
      <c r="Q6354">
        <v>2.3034900000000001E-2</v>
      </c>
      <c r="R6354">
        <v>0.20416770000000001</v>
      </c>
      <c r="S6354">
        <v>2.9343720000000002</v>
      </c>
      <c r="T6354">
        <v>-0.27367999999999998</v>
      </c>
      <c r="U6354">
        <v>0.65832519999999894</v>
      </c>
      <c r="V6354">
        <v>-0.17231939999999901</v>
      </c>
      <c r="W6354">
        <v>3.614146E-2</v>
      </c>
      <c r="X6354">
        <v>0.98437790000000003</v>
      </c>
      <c r="Y6354">
        <v>-0.18640570000000001</v>
      </c>
      <c r="Z6354">
        <v>5.5797119999999997E-3</v>
      </c>
      <c r="AA6354">
        <v>0.98245700000000002</v>
      </c>
      <c r="AB6354">
        <v>25</v>
      </c>
      <c r="AC6354">
        <v>11.744199999999999</v>
      </c>
      <c r="AD6354">
        <v>-1.10623696364</v>
      </c>
      <c r="AE6354">
        <v>2.65641999999999</v>
      </c>
      <c r="AF6354">
        <v>-2.25382091781719</v>
      </c>
      <c r="AG6354">
        <v>-1.10623696364</v>
      </c>
      <c r="AH6354">
        <v>11.725451584305</v>
      </c>
      <c r="AI6354">
        <v>95.2932803349523</v>
      </c>
      <c r="AJ6354">
        <v>100.88046789088</v>
      </c>
      <c r="AK6354">
        <v>11.991233623159699</v>
      </c>
    </row>
    <row r="6355" spans="1:37" x14ac:dyDescent="0.2">
      <c r="A6355" t="str">
        <f>"20200111155722307"</f>
        <v>20200111155722307</v>
      </c>
      <c r="B6355" t="str">
        <f>"1578729442299526"</f>
        <v>1578729442299526</v>
      </c>
      <c r="C6355" t="s">
        <v>37</v>
      </c>
      <c r="D6355">
        <v>5.1170150000000003</v>
      </c>
      <c r="E6355">
        <v>0.49312149999999999</v>
      </c>
      <c r="F6355" t="s">
        <v>75</v>
      </c>
      <c r="G6355">
        <v>-206.93199999999999</v>
      </c>
      <c r="H6355" s="1">
        <v>-2.0545699999999998E-6</v>
      </c>
      <c r="I6355">
        <v>-61.337989999999998</v>
      </c>
      <c r="J6355">
        <v>-218.70599999999999</v>
      </c>
      <c r="K6355">
        <v>1.106252</v>
      </c>
      <c r="L6355">
        <v>-64.016970000000001</v>
      </c>
      <c r="M6355">
        <v>0.99934639999999997</v>
      </c>
      <c r="N6355">
        <v>0</v>
      </c>
      <c r="O6355">
        <v>3.3400829999999999E-2</v>
      </c>
      <c r="P6355">
        <v>0.97848400000000002</v>
      </c>
      <c r="Q6355">
        <v>2.371941E-2</v>
      </c>
      <c r="R6355">
        <v>0.20495450000000001</v>
      </c>
      <c r="S6355">
        <v>2.933716</v>
      </c>
      <c r="T6355">
        <v>-0.27287790000000001</v>
      </c>
      <c r="U6355">
        <v>0.66201779999999999</v>
      </c>
      <c r="V6355">
        <v>-0.1722649</v>
      </c>
      <c r="W6355">
        <v>3.6824309999999999E-2</v>
      </c>
      <c r="X6355">
        <v>0.98436209999999902</v>
      </c>
      <c r="Y6355">
        <v>-0.18678710000000001</v>
      </c>
      <c r="Z6355">
        <v>5.5024430000000001E-3</v>
      </c>
      <c r="AA6355">
        <v>0.98238499999999995</v>
      </c>
      <c r="AB6355">
        <v>25</v>
      </c>
      <c r="AC6355">
        <v>11.7739999999999</v>
      </c>
      <c r="AD6355">
        <v>-1.1062540545699999</v>
      </c>
      <c r="AE6355">
        <v>2.6789799999999899</v>
      </c>
      <c r="AF6355">
        <v>-2.2651733666118399</v>
      </c>
      <c r="AG6355">
        <v>-1.1062540545699999</v>
      </c>
      <c r="AH6355">
        <v>11.758225961265699</v>
      </c>
      <c r="AI6355">
        <v>95.278272107219607</v>
      </c>
      <c r="AJ6355">
        <v>100.904209593091</v>
      </c>
      <c r="AK6355">
        <v>12.0254183366003</v>
      </c>
    </row>
    <row r="6356" spans="1:37" x14ac:dyDescent="0.2">
      <c r="A6356" t="str">
        <f>"20200111155722319"</f>
        <v>20200111155722319</v>
      </c>
      <c r="B6356" t="str">
        <f>"1578729442309285"</f>
        <v>1578729442309285</v>
      </c>
      <c r="C6356" t="s">
        <v>37</v>
      </c>
      <c r="D6356">
        <v>5.2171149999999997</v>
      </c>
      <c r="E6356">
        <v>0.49312399999999901</v>
      </c>
      <c r="F6356" t="s">
        <v>75</v>
      </c>
      <c r="G6356">
        <v>-206.78989999999999</v>
      </c>
      <c r="H6356" s="1">
        <v>-2.1417939999999998E-6</v>
      </c>
      <c r="I6356">
        <v>-61.315829999999998</v>
      </c>
      <c r="J6356">
        <v>-218.58189999999999</v>
      </c>
      <c r="K6356">
        <v>1.1062700000000001</v>
      </c>
      <c r="L6356">
        <v>-64.011899999999997</v>
      </c>
      <c r="M6356">
        <v>0.99931579999999998</v>
      </c>
      <c r="N6356">
        <v>0</v>
      </c>
      <c r="O6356">
        <v>3.4302720000000002E-2</v>
      </c>
      <c r="P6356">
        <v>0.9782535</v>
      </c>
      <c r="Q6356">
        <v>2.3958219999999999E-2</v>
      </c>
      <c r="R6356">
        <v>0.20602429999999999</v>
      </c>
      <c r="S6356">
        <v>2.9332889999999998</v>
      </c>
      <c r="T6356">
        <v>-0.27231749999999999</v>
      </c>
      <c r="U6356">
        <v>0.66491699999999998</v>
      </c>
      <c r="V6356">
        <v>-0.17245539999999901</v>
      </c>
      <c r="W6356">
        <v>3.7060660000000002E-2</v>
      </c>
      <c r="X6356">
        <v>0.98431990000000003</v>
      </c>
      <c r="Y6356">
        <v>-0.186861</v>
      </c>
      <c r="Z6356">
        <v>5.4124430000000003E-3</v>
      </c>
      <c r="AA6356">
        <v>0.98237140000000001</v>
      </c>
      <c r="AB6356">
        <v>25</v>
      </c>
      <c r="AC6356">
        <v>11.792</v>
      </c>
      <c r="AD6356">
        <v>-1.106272141794</v>
      </c>
      <c r="AE6356">
        <v>2.69606999999999</v>
      </c>
      <c r="AF6356">
        <v>-2.2709521582076602</v>
      </c>
      <c r="AG6356">
        <v>-1.106272141794</v>
      </c>
      <c r="AH6356">
        <v>11.779029148601699</v>
      </c>
      <c r="AI6356">
        <v>95.268941828344296</v>
      </c>
      <c r="AJ6356">
        <v>100.91251630295601</v>
      </c>
      <c r="AK6356">
        <v>12.0468497724586</v>
      </c>
    </row>
    <row r="6357" spans="1:37" x14ac:dyDescent="0.2">
      <c r="A6357" t="str">
        <f>"20200111155722329"</f>
        <v>20200111155722329</v>
      </c>
      <c r="B6357" t="str">
        <f>"1578729442319045"</f>
        <v>1578729442319045</v>
      </c>
      <c r="C6357" t="s">
        <v>37</v>
      </c>
      <c r="D6357">
        <v>5.1514519999999999</v>
      </c>
      <c r="E6357">
        <v>0.49294729999999998</v>
      </c>
      <c r="F6357" t="s">
        <v>75</v>
      </c>
      <c r="G6357">
        <v>-206.6506</v>
      </c>
      <c r="H6357" s="1">
        <v>-2.2271569999999999E-6</v>
      </c>
      <c r="I6357">
        <v>-61.293019999999999</v>
      </c>
      <c r="J6357">
        <v>-218.45750000000001</v>
      </c>
      <c r="K6357">
        <v>1.106284</v>
      </c>
      <c r="L6357">
        <v>-64.006590000000003</v>
      </c>
      <c r="M6357">
        <v>0.9992837</v>
      </c>
      <c r="N6357">
        <v>0</v>
      </c>
      <c r="O6357">
        <v>3.5225199999999998E-2</v>
      </c>
      <c r="P6357">
        <v>0.97809729999999995</v>
      </c>
      <c r="Q6357">
        <v>2.4054699999999998E-2</v>
      </c>
      <c r="R6357">
        <v>0.20675479999999999</v>
      </c>
      <c r="S6357">
        <v>2.9326020000000002</v>
      </c>
      <c r="T6357">
        <v>-0.27191079999999901</v>
      </c>
      <c r="U6357">
        <v>0.66827389999999998</v>
      </c>
      <c r="V6357">
        <v>-0.172283399999999</v>
      </c>
      <c r="W6357">
        <v>3.7156910000000001E-2</v>
      </c>
      <c r="X6357">
        <v>0.98434639999999995</v>
      </c>
      <c r="Y6357">
        <v>-0.18707770000000001</v>
      </c>
      <c r="Z6357">
        <v>5.3307839999999999E-3</v>
      </c>
      <c r="AA6357">
        <v>0.98233060000000005</v>
      </c>
      <c r="AB6357">
        <v>25</v>
      </c>
      <c r="AC6357">
        <v>11.806900000000001</v>
      </c>
      <c r="AD6357">
        <v>-1.106286227157</v>
      </c>
      <c r="AE6357">
        <v>2.7135699999999998</v>
      </c>
      <c r="AF6357">
        <v>-2.27695812639874</v>
      </c>
      <c r="AG6357">
        <v>-1.106286227157</v>
      </c>
      <c r="AH6357">
        <v>11.7967941941825</v>
      </c>
      <c r="AI6357">
        <v>95.260905512586007</v>
      </c>
      <c r="AJ6357">
        <v>100.92460189370099</v>
      </c>
      <c r="AK6357">
        <v>12.06535373645</v>
      </c>
    </row>
    <row r="6358" spans="1:37" x14ac:dyDescent="0.2">
      <c r="A6358" t="str">
        <f>"20200111155722341"</f>
        <v>20200111155722341</v>
      </c>
      <c r="B6358" t="str">
        <f>"1578729442329781"</f>
        <v>1578729442329781</v>
      </c>
      <c r="C6358" t="s">
        <v>37</v>
      </c>
      <c r="D6358">
        <v>5.1554799999999998</v>
      </c>
      <c r="E6358">
        <v>0.49290820000000002</v>
      </c>
      <c r="F6358" t="s">
        <v>75</v>
      </c>
      <c r="G6358">
        <v>-206.511</v>
      </c>
      <c r="H6358" s="1">
        <v>-2.312612E-6</v>
      </c>
      <c r="I6358">
        <v>-61.269539999999999</v>
      </c>
      <c r="J6358">
        <v>-218.33070000000001</v>
      </c>
      <c r="K6358">
        <v>1.1062920000000001</v>
      </c>
      <c r="L6358">
        <v>-64.001159999999999</v>
      </c>
      <c r="M6358">
        <v>0.99924990000000002</v>
      </c>
      <c r="N6358">
        <v>0</v>
      </c>
      <c r="O6358">
        <v>3.616805E-2</v>
      </c>
      <c r="P6358">
        <v>0.97784519999999997</v>
      </c>
      <c r="Q6358">
        <v>2.4160919999999999E-2</v>
      </c>
      <c r="R6358">
        <v>0.207931</v>
      </c>
      <c r="S6358">
        <v>2.93187</v>
      </c>
      <c r="T6358">
        <v>-0.27150249999999998</v>
      </c>
      <c r="U6358">
        <v>0.67172240000000005</v>
      </c>
      <c r="V6358">
        <v>-0.1725399</v>
      </c>
      <c r="W6358">
        <v>3.7260790000000002E-2</v>
      </c>
      <c r="X6358">
        <v>0.98429750000000005</v>
      </c>
      <c r="Y6358">
        <v>-0.1873069</v>
      </c>
      <c r="Z6358">
        <v>5.2480749999999996E-3</v>
      </c>
      <c r="AA6358">
        <v>0.98228740000000003</v>
      </c>
      <c r="AB6358">
        <v>25</v>
      </c>
      <c r="AC6358">
        <v>11.819699999999999</v>
      </c>
      <c r="AD6358">
        <v>-1.106294312612</v>
      </c>
      <c r="AE6358">
        <v>2.7316199999999902</v>
      </c>
      <c r="AF6358">
        <v>-2.2833072825704801</v>
      </c>
      <c r="AG6358">
        <v>-1.106294312612</v>
      </c>
      <c r="AH6358">
        <v>11.8125352545129</v>
      </c>
      <c r="AI6358">
        <v>95.2536997460994</v>
      </c>
      <c r="AJ6358">
        <v>100.94008353091201</v>
      </c>
      <c r="AK6358">
        <v>12.081943899549699</v>
      </c>
    </row>
    <row r="6359" spans="1:37" x14ac:dyDescent="0.2">
      <c r="A6359" t="str">
        <f>"20200111155722352"</f>
        <v>20200111155722352</v>
      </c>
      <c r="B6359" t="str">
        <f>"1578729442349301"</f>
        <v>1578729442349301</v>
      </c>
      <c r="C6359" t="s">
        <v>37</v>
      </c>
      <c r="D6359">
        <v>5.1766399999999999</v>
      </c>
      <c r="E6359">
        <v>0.49256430000000001</v>
      </c>
      <c r="F6359" t="s">
        <v>75</v>
      </c>
      <c r="G6359">
        <v>-206.42959999999999</v>
      </c>
      <c r="H6359" s="1">
        <v>-2.36284799999999E-6</v>
      </c>
      <c r="I6359">
        <v>-61.25864</v>
      </c>
      <c r="J6359">
        <v>-218.20269999999999</v>
      </c>
      <c r="K6359">
        <v>1.106304</v>
      </c>
      <c r="L6359">
        <v>-63.995480000000001</v>
      </c>
      <c r="M6359">
        <v>0.99921450000000001</v>
      </c>
      <c r="N6359">
        <v>0</v>
      </c>
      <c r="O6359">
        <v>3.7129830000000003E-2</v>
      </c>
      <c r="P6359">
        <v>0.97763739999999999</v>
      </c>
      <c r="Q6359">
        <v>2.3807700000000001E-2</v>
      </c>
      <c r="R6359">
        <v>0.20894570000000001</v>
      </c>
      <c r="S6359">
        <v>2.931076</v>
      </c>
      <c r="T6359">
        <v>-0.27246540000000002</v>
      </c>
      <c r="U6359">
        <v>0.67544559999999998</v>
      </c>
      <c r="V6359">
        <v>-0.17261360000000001</v>
      </c>
      <c r="W6359">
        <v>3.6906750000000002E-2</v>
      </c>
      <c r="X6359">
        <v>0.98429789999999995</v>
      </c>
      <c r="Y6359">
        <v>-0.18760289999999999</v>
      </c>
      <c r="Z6359">
        <v>5.1929840000000003E-3</v>
      </c>
      <c r="AA6359">
        <v>0.98223130000000003</v>
      </c>
      <c r="AB6359">
        <v>25</v>
      </c>
      <c r="AC6359">
        <v>11.773099999999999</v>
      </c>
      <c r="AD6359">
        <v>-1.1063063628480001</v>
      </c>
      <c r="AE6359">
        <v>2.7368399999999999</v>
      </c>
      <c r="AF6359">
        <v>-2.2786877325444301</v>
      </c>
      <c r="AG6359">
        <v>-1.1063063628480001</v>
      </c>
      <c r="AH6359">
        <v>11.768022403571001</v>
      </c>
      <c r="AI6359">
        <v>95.273186194719003</v>
      </c>
      <c r="AJ6359">
        <v>100.95878358367</v>
      </c>
      <c r="AK6359">
        <v>12.0375530255063</v>
      </c>
    </row>
    <row r="6360" spans="1:37" x14ac:dyDescent="0.2">
      <c r="A6360" t="str">
        <f>"20200111155722363"</f>
        <v>20200111155722363</v>
      </c>
      <c r="B6360" t="str">
        <f>"1578729442359060"</f>
        <v>1578729442359060</v>
      </c>
      <c r="C6360" t="s">
        <v>37</v>
      </c>
      <c r="D6360">
        <v>5.3106249999999999</v>
      </c>
      <c r="E6360">
        <v>0.49245159999999999</v>
      </c>
      <c r="F6360" t="s">
        <v>75</v>
      </c>
      <c r="G6360">
        <v>-206.4785</v>
      </c>
      <c r="H6360" s="1">
        <v>-2.33356899999999E-6</v>
      </c>
      <c r="I6360">
        <v>-61.271340000000002</v>
      </c>
      <c r="J6360">
        <v>-218.07230000000001</v>
      </c>
      <c r="K6360">
        <v>1.106312</v>
      </c>
      <c r="L6360">
        <v>-63.989559999999997</v>
      </c>
      <c r="M6360">
        <v>0.99917739999999999</v>
      </c>
      <c r="N6360">
        <v>0</v>
      </c>
      <c r="O6360">
        <v>3.811341E-2</v>
      </c>
      <c r="P6360">
        <v>0.97736469999999898</v>
      </c>
      <c r="Q6360">
        <v>2.3656469999999999E-2</v>
      </c>
      <c r="R6360">
        <v>0.21023429999999901</v>
      </c>
      <c r="S6360">
        <v>2.9298549999999999</v>
      </c>
      <c r="T6360">
        <v>-0.27646300000000001</v>
      </c>
      <c r="U6360">
        <v>0.68075559999999902</v>
      </c>
      <c r="V6360">
        <v>-0.1729426</v>
      </c>
      <c r="W6360">
        <v>3.6754259999999997E-2</v>
      </c>
      <c r="X6360">
        <v>0.98424590000000001</v>
      </c>
      <c r="Y6360">
        <v>-0.188397799999999</v>
      </c>
      <c r="Z6360">
        <v>5.21573E-3</v>
      </c>
      <c r="AA6360">
        <v>0.98207900000000004</v>
      </c>
      <c r="AB6360">
        <v>25</v>
      </c>
      <c r="AC6360">
        <v>11.5938</v>
      </c>
      <c r="AD6360">
        <v>-1.106314333569</v>
      </c>
      <c r="AE6360">
        <v>2.7182199999999899</v>
      </c>
      <c r="AF6360">
        <v>-2.2548610463893302</v>
      </c>
      <c r="AG6360">
        <v>-1.106314333569</v>
      </c>
      <c r="AH6360">
        <v>11.588959747995901</v>
      </c>
      <c r="AI6360">
        <v>95.353299564452399</v>
      </c>
      <c r="AJ6360">
        <v>101.01045882810701</v>
      </c>
      <c r="AK6360">
        <v>11.858006484390801</v>
      </c>
    </row>
    <row r="6361" spans="1:37" x14ac:dyDescent="0.2">
      <c r="A6361" t="str">
        <f>"20200111155722374"</f>
        <v>20200111155722374</v>
      </c>
      <c r="B6361" t="str">
        <f>"1578729442369796"</f>
        <v>1578729442369796</v>
      </c>
      <c r="C6361" t="s">
        <v>37</v>
      </c>
      <c r="D6361">
        <v>5.2289729999999999</v>
      </c>
      <c r="E6361">
        <v>0.49245159999999999</v>
      </c>
      <c r="F6361" t="s">
        <v>75</v>
      </c>
      <c r="G6361">
        <v>-206.23240000000001</v>
      </c>
      <c r="H6361" s="1">
        <v>-2.482677E-6</v>
      </c>
      <c r="I6361">
        <v>-61.218940000000003</v>
      </c>
      <c r="J6361">
        <v>-217.95359999999999</v>
      </c>
      <c r="K6361">
        <v>1.1063179999999999</v>
      </c>
      <c r="L6361">
        <v>-63.984069999999903</v>
      </c>
      <c r="M6361">
        <v>0.9991428</v>
      </c>
      <c r="N6361">
        <v>0</v>
      </c>
      <c r="O6361">
        <v>3.9011839999999999E-2</v>
      </c>
      <c r="P6361">
        <v>0.97715039999999997</v>
      </c>
      <c r="Q6361">
        <v>2.3557599999999901E-2</v>
      </c>
      <c r="R6361">
        <v>0.21124009999999999</v>
      </c>
      <c r="S6361">
        <v>2.9286799999999999</v>
      </c>
      <c r="T6361">
        <v>-0.27365459999999903</v>
      </c>
      <c r="U6361">
        <v>0.68533330000000003</v>
      </c>
      <c r="V6361">
        <v>-0.173070899999999</v>
      </c>
      <c r="W6361">
        <v>3.665562E-2</v>
      </c>
      <c r="X6361">
        <v>0.98422699999999996</v>
      </c>
      <c r="Y6361">
        <v>-0.18907089999999999</v>
      </c>
      <c r="Z6361">
        <v>5.1126339999999996E-3</v>
      </c>
      <c r="AA6361">
        <v>0.98195010000000005</v>
      </c>
      <c r="AB6361">
        <v>25</v>
      </c>
      <c r="AC6361">
        <v>11.7211999999999</v>
      </c>
      <c r="AD6361">
        <v>-1.1063204826769999</v>
      </c>
      <c r="AE6361">
        <v>2.7651299999999899</v>
      </c>
      <c r="AF6361">
        <v>-2.2864198638943898</v>
      </c>
      <c r="AG6361">
        <v>-1.1063204826769999</v>
      </c>
      <c r="AH6361">
        <v>11.721241808481601</v>
      </c>
      <c r="AI6361">
        <v>95.292767810917695</v>
      </c>
      <c r="AJ6361">
        <v>101.03787130526401</v>
      </c>
      <c r="AK6361">
        <v>11.9932968919017</v>
      </c>
    </row>
    <row r="6362" spans="1:37" x14ac:dyDescent="0.2">
      <c r="A6362" t="str">
        <f>"20200111155722386"</f>
        <v>20200111155722386</v>
      </c>
      <c r="B6362" t="str">
        <f>"1578729442379556"</f>
        <v>1578729442379556</v>
      </c>
      <c r="C6362" t="s">
        <v>37</v>
      </c>
      <c r="D6362">
        <v>5.4467800000000004</v>
      </c>
      <c r="E6362">
        <v>0.49174849999999998</v>
      </c>
      <c r="F6362" t="s">
        <v>75</v>
      </c>
      <c r="G6362">
        <v>-206.1319</v>
      </c>
      <c r="H6362" s="1">
        <v>-2.5447130000000001E-6</v>
      </c>
      <c r="I6362">
        <v>-61.205979999999997</v>
      </c>
      <c r="J6362">
        <v>-217.82900000000001</v>
      </c>
      <c r="K6362">
        <v>1.106328</v>
      </c>
      <c r="L6362">
        <v>-63.978180000000002</v>
      </c>
      <c r="M6362">
        <v>0.99910519999999903</v>
      </c>
      <c r="N6362">
        <v>0</v>
      </c>
      <c r="O6362">
        <v>3.99587E-2</v>
      </c>
      <c r="P6362">
        <v>0.97691510000000004</v>
      </c>
      <c r="Q6362">
        <v>2.3613039999999998E-2</v>
      </c>
      <c r="R6362">
        <v>0.21231839999999899</v>
      </c>
      <c r="S6362">
        <v>2.9280089999999999</v>
      </c>
      <c r="T6362">
        <v>-0.2740147</v>
      </c>
      <c r="U6362">
        <v>0.68807980000000002</v>
      </c>
      <c r="V6362">
        <v>-0.173224499999999</v>
      </c>
      <c r="W6362">
        <v>3.671137E-2</v>
      </c>
      <c r="X6362">
        <v>0.98419789999999996</v>
      </c>
      <c r="Y6362">
        <v>-0.1890657</v>
      </c>
      <c r="Z6362">
        <v>5.0327139999999998E-3</v>
      </c>
      <c r="AA6362">
        <v>0.98195149999999998</v>
      </c>
      <c r="AB6362">
        <v>25</v>
      </c>
      <c r="AC6362">
        <v>11.697100000000001</v>
      </c>
      <c r="AD6362">
        <v>-1.1063305447130001</v>
      </c>
      <c r="AE6362">
        <v>2.77219999999999</v>
      </c>
      <c r="AF6362">
        <v>-2.2832011266954599</v>
      </c>
      <c r="AG6362">
        <v>-1.1063305447130001</v>
      </c>
      <c r="AH6362">
        <v>11.6994466769713</v>
      </c>
      <c r="AI6362">
        <v>95.302532136056996</v>
      </c>
      <c r="AJ6362">
        <v>101.042743567888</v>
      </c>
      <c r="AK6362">
        <v>11.9713836796923</v>
      </c>
    </row>
    <row r="6363" spans="1:37" x14ac:dyDescent="0.2">
      <c r="A6363" t="str">
        <f>"20200111155722397"</f>
        <v>20200111155722397</v>
      </c>
      <c r="B6363" t="str">
        <f>"1578729442389317"</f>
        <v>1578729442389317</v>
      </c>
      <c r="C6363" t="s">
        <v>37</v>
      </c>
      <c r="D6363">
        <v>5.4035739999999999</v>
      </c>
      <c r="E6363">
        <v>0.48985010000000001</v>
      </c>
      <c r="F6363" t="s">
        <v>75</v>
      </c>
      <c r="G6363">
        <v>-205.42760000000001</v>
      </c>
      <c r="H6363" s="1">
        <v>-2.967265E-6</v>
      </c>
      <c r="I6363">
        <v>-61.025309999999998</v>
      </c>
      <c r="J6363">
        <v>-217.70099999999999</v>
      </c>
      <c r="K6363">
        <v>1.1063319999999901</v>
      </c>
      <c r="L6363">
        <v>-63.972019999999901</v>
      </c>
      <c r="M6363">
        <v>0.9990658</v>
      </c>
      <c r="N6363">
        <v>0</v>
      </c>
      <c r="O6363">
        <v>4.093314E-2</v>
      </c>
      <c r="P6363">
        <v>0.97665959999999996</v>
      </c>
      <c r="Q6363">
        <v>2.3482630000000001E-2</v>
      </c>
      <c r="R6363">
        <v>0.2135058</v>
      </c>
      <c r="S6363">
        <v>2.9258120000000001</v>
      </c>
      <c r="T6363">
        <v>-0.2610111</v>
      </c>
      <c r="U6363">
        <v>0.69665529999999998</v>
      </c>
      <c r="V6363">
        <v>-0.1734609</v>
      </c>
      <c r="W6363">
        <v>3.6581759999999998E-2</v>
      </c>
      <c r="X6363">
        <v>0.98416109999999901</v>
      </c>
      <c r="Y6363">
        <v>-0.1910502</v>
      </c>
      <c r="Z6363">
        <v>4.7985789999999999E-3</v>
      </c>
      <c r="AA6363">
        <v>0.98156849999999995</v>
      </c>
      <c r="AB6363">
        <v>25</v>
      </c>
      <c r="AC6363">
        <v>12.273399999999899</v>
      </c>
      <c r="AD6363">
        <v>-1.10633496726499</v>
      </c>
      <c r="AE6363">
        <v>2.9467099999999902</v>
      </c>
      <c r="AF6363">
        <v>-2.42318660058997</v>
      </c>
      <c r="AG6363">
        <v>-1.10633496726499</v>
      </c>
      <c r="AH6363">
        <v>12.289328032309101</v>
      </c>
      <c r="AI6363">
        <v>95.047462389497696</v>
      </c>
      <c r="AJ6363">
        <v>101.15438517622199</v>
      </c>
      <c r="AK6363">
        <v>12.574712475709701</v>
      </c>
    </row>
    <row r="6364" spans="1:37" x14ac:dyDescent="0.2">
      <c r="A6364" t="str">
        <f>"20200111155723523"</f>
        <v>20200111155723523</v>
      </c>
      <c r="B6364" t="str">
        <f>"1578729443519525"</f>
        <v>1578729443519525</v>
      </c>
      <c r="C6364" t="s">
        <v>37</v>
      </c>
      <c r="D6364">
        <v>5.3659150000000002</v>
      </c>
      <c r="E6364">
        <v>0.4882803</v>
      </c>
      <c r="F6364" t="s">
        <v>75</v>
      </c>
      <c r="G6364">
        <v>-205.23070000000001</v>
      </c>
      <c r="H6364" s="1">
        <v>-3.0778809999999999E-6</v>
      </c>
      <c r="I6364">
        <v>-60.921030000000002</v>
      </c>
      <c r="J6364">
        <v>-205.70400000000001</v>
      </c>
      <c r="K6364">
        <v>1.1081430000000001</v>
      </c>
      <c r="L6364">
        <v>-62.689540000000001</v>
      </c>
      <c r="M6364">
        <v>0.984226499999999</v>
      </c>
      <c r="N6364">
        <v>0</v>
      </c>
      <c r="O6364">
        <v>0.17637510000000001</v>
      </c>
      <c r="P6364">
        <v>0.90878789999999998</v>
      </c>
      <c r="Q6364">
        <v>2.530116E-2</v>
      </c>
      <c r="R6364">
        <v>0.41649059999999999</v>
      </c>
      <c r="S6364">
        <v>2.921646</v>
      </c>
      <c r="T6364">
        <v>-0.2592024</v>
      </c>
      <c r="U6364">
        <v>0.71481319999999904</v>
      </c>
      <c r="V6364">
        <v>-0.24996079999999901</v>
      </c>
      <c r="W6364">
        <v>3.6629889999999998E-2</v>
      </c>
      <c r="X6364">
        <v>0.9675629</v>
      </c>
      <c r="Y6364">
        <v>-6.2997650000000002E-2</v>
      </c>
      <c r="Z6364">
        <v>-1.2502289999999999E-2</v>
      </c>
      <c r="AA6364">
        <v>0.99793539999999903</v>
      </c>
      <c r="AB6364">
        <v>23</v>
      </c>
      <c r="AC6364">
        <v>0.473299999999994</v>
      </c>
      <c r="AD6364">
        <v>-1.1081460778809999</v>
      </c>
      <c r="AE6364">
        <v>1.76850999999999</v>
      </c>
      <c r="AF6364">
        <v>-1.2129046017766401</v>
      </c>
      <c r="AG6364">
        <v>-1.1081460778809999</v>
      </c>
      <c r="AH6364">
        <v>0.56926119563257904</v>
      </c>
      <c r="AI6364">
        <v>129.59305372822999</v>
      </c>
      <c r="AJ6364">
        <v>154.85759013244501</v>
      </c>
      <c r="AK6364">
        <v>1.73873045978583</v>
      </c>
    </row>
    <row r="6365" spans="1:37" x14ac:dyDescent="0.2">
      <c r="A6365" t="str">
        <f>"20200111155723548"</f>
        <v>20200111155723548</v>
      </c>
      <c r="B6365" t="str">
        <f>"1578729443539045"</f>
        <v>1578729443539045</v>
      </c>
      <c r="C6365" t="s">
        <v>37</v>
      </c>
      <c r="D6365">
        <v>5.3869489999999898</v>
      </c>
      <c r="E6365">
        <v>0.48677690000000001</v>
      </c>
      <c r="F6365" t="s">
        <v>75</v>
      </c>
      <c r="G6365">
        <v>-193.9084</v>
      </c>
      <c r="H6365" s="1">
        <v>-7.8340449999999996E-6</v>
      </c>
      <c r="I6365">
        <v>-56.886389999999999</v>
      </c>
      <c r="J6365">
        <v>-205.4341</v>
      </c>
      <c r="K6365">
        <v>1.108349</v>
      </c>
      <c r="L6365">
        <v>-62.633510000000001</v>
      </c>
      <c r="M6365">
        <v>0.98306369999999899</v>
      </c>
      <c r="N6365">
        <v>0</v>
      </c>
      <c r="O6365">
        <v>0.18274319999999999</v>
      </c>
      <c r="P6365">
        <v>0.90578139999999996</v>
      </c>
      <c r="Q6365">
        <v>2.7136E-2</v>
      </c>
      <c r="R6365">
        <v>0.42287570000000002</v>
      </c>
      <c r="S6365">
        <v>2.6995089999999999</v>
      </c>
      <c r="T6365">
        <v>-0.25360860000000002</v>
      </c>
      <c r="U6365">
        <v>1.3280940000000001</v>
      </c>
      <c r="V6365">
        <v>-0.25054389999999999</v>
      </c>
      <c r="W6365">
        <v>3.8403430000000002E-2</v>
      </c>
      <c r="X6365">
        <v>0.96734319999999896</v>
      </c>
      <c r="Y6365">
        <v>-0.26971339999999999</v>
      </c>
      <c r="Z6365">
        <v>-4.011471E-3</v>
      </c>
      <c r="AA6365">
        <v>0.96293229999999996</v>
      </c>
      <c r="AB6365">
        <v>23</v>
      </c>
      <c r="AC6365">
        <v>11.525700000000001</v>
      </c>
      <c r="AD6365">
        <v>-1.1083568340450001</v>
      </c>
      <c r="AE6365">
        <v>5.74711999999999</v>
      </c>
      <c r="AF6365">
        <v>-3.5178263483529699</v>
      </c>
      <c r="AG6365">
        <v>-1.1083568340450001</v>
      </c>
      <c r="AH6365">
        <v>12.2908976025575</v>
      </c>
      <c r="AI6365">
        <v>94.9549220345138</v>
      </c>
      <c r="AJ6365">
        <v>105.97186039246201</v>
      </c>
      <c r="AK6365">
        <v>12.832370044746</v>
      </c>
    </row>
    <row r="6366" spans="1:37" x14ac:dyDescent="0.2">
      <c r="A6366" t="str">
        <f>"20200111155723560"</f>
        <v>20200111155723560</v>
      </c>
      <c r="B6366" t="str">
        <f>"1578729443549782"</f>
        <v>1578729443549782</v>
      </c>
      <c r="C6366" t="s">
        <v>37</v>
      </c>
      <c r="D6366">
        <v>5.3066649999999997</v>
      </c>
      <c r="E6366">
        <v>0.48555189999999998</v>
      </c>
      <c r="F6366" t="s">
        <v>75</v>
      </c>
      <c r="G6366">
        <v>-193.3716</v>
      </c>
      <c r="H6366" s="1">
        <v>-7.9023480000000002E-6</v>
      </c>
      <c r="I6366">
        <v>-56.535359999999997</v>
      </c>
      <c r="J6366">
        <v>-205.31099999999901</v>
      </c>
      <c r="K6366">
        <v>1.1084290000000001</v>
      </c>
      <c r="L6366">
        <v>-62.607390000000002</v>
      </c>
      <c r="M6366">
        <v>0.98250599999999999</v>
      </c>
      <c r="N6366">
        <v>0</v>
      </c>
      <c r="O6366">
        <v>0.18571670000000001</v>
      </c>
      <c r="P6366">
        <v>0.90456539999999996</v>
      </c>
      <c r="Q6366">
        <v>2.7755950000000001E-2</v>
      </c>
      <c r="R6366">
        <v>0.42543039999999999</v>
      </c>
      <c r="S6366">
        <v>2.6855929999999999</v>
      </c>
      <c r="T6366">
        <v>-0.2467654</v>
      </c>
      <c r="U6366">
        <v>1.3576969999999999</v>
      </c>
      <c r="V6366">
        <v>-0.25036190000000003</v>
      </c>
      <c r="W6366">
        <v>3.9003320000000001E-2</v>
      </c>
      <c r="X6366">
        <v>0.96736630000000001</v>
      </c>
      <c r="Y6366">
        <v>-0.2772577</v>
      </c>
      <c r="Z6366">
        <v>-3.83075E-3</v>
      </c>
      <c r="AA6366">
        <v>0.96078799999999998</v>
      </c>
      <c r="AB6366">
        <v>23</v>
      </c>
      <c r="AC6366">
        <v>11.9393999999999</v>
      </c>
      <c r="AD6366">
        <v>-1.1084369023480001</v>
      </c>
      <c r="AE6366">
        <v>6.0720299999999998</v>
      </c>
      <c r="AF6366">
        <v>-3.72332173748707</v>
      </c>
      <c r="AG6366">
        <v>-1.1084369023480001</v>
      </c>
      <c r="AH6366">
        <v>12.7719788263454</v>
      </c>
      <c r="AI6366">
        <v>94.762790890605004</v>
      </c>
      <c r="AJ6366">
        <v>106.252602369295</v>
      </c>
      <c r="AK6366">
        <v>13.349726598996201</v>
      </c>
    </row>
    <row r="6367" spans="1:37" x14ac:dyDescent="0.2">
      <c r="A6367" t="str">
        <f>"20200111155723571"</f>
        <v>20200111155723571</v>
      </c>
      <c r="B6367" t="str">
        <f>"1578729443559540"</f>
        <v>1578729443559540</v>
      </c>
      <c r="C6367" t="s">
        <v>37</v>
      </c>
      <c r="D6367">
        <v>5.3083210000000003</v>
      </c>
      <c r="E6367">
        <v>0.48443789999999998</v>
      </c>
      <c r="F6367" t="s">
        <v>75</v>
      </c>
      <c r="G6367">
        <v>-193.17910000000001</v>
      </c>
      <c r="H6367" s="1">
        <v>-7.9390880000000004E-6</v>
      </c>
      <c r="I6367">
        <v>-56.381409999999903</v>
      </c>
      <c r="J6367">
        <v>-205.20359999999999</v>
      </c>
      <c r="K6367">
        <v>1.108493</v>
      </c>
      <c r="L6367">
        <v>-62.58408</v>
      </c>
      <c r="M6367">
        <v>0.9820004</v>
      </c>
      <c r="N6367">
        <v>0</v>
      </c>
      <c r="O6367">
        <v>0.18837089999999901</v>
      </c>
      <c r="P6367">
        <v>0.90358749999999999</v>
      </c>
      <c r="Q6367">
        <v>2.8257830000000001E-2</v>
      </c>
      <c r="R6367">
        <v>0.42747059999999998</v>
      </c>
      <c r="S6367">
        <v>2.6777039999999999</v>
      </c>
      <c r="T6367">
        <v>-0.24465039999999999</v>
      </c>
      <c r="U6367">
        <v>1.3741760000000001</v>
      </c>
      <c r="V6367">
        <v>-0.24994229999999901</v>
      </c>
      <c r="W6367">
        <v>3.9493599999999997E-2</v>
      </c>
      <c r="X6367">
        <v>0.96745499999999995</v>
      </c>
      <c r="Y6367">
        <v>-0.28049409999999902</v>
      </c>
      <c r="Z6367">
        <v>-3.8816670000000001E-3</v>
      </c>
      <c r="AA6367">
        <v>0.95984789999999998</v>
      </c>
      <c r="AB6367">
        <v>23</v>
      </c>
      <c r="AC6367">
        <v>12.0244999999999</v>
      </c>
      <c r="AD6367">
        <v>-1.1085009390879901</v>
      </c>
      <c r="AE6367">
        <v>6.2026700000000101</v>
      </c>
      <c r="AF6367">
        <v>-3.80081276269327</v>
      </c>
      <c r="AG6367">
        <v>-1.1085009390879901</v>
      </c>
      <c r="AH6367">
        <v>12.8911796721241</v>
      </c>
      <c r="AI6367">
        <v>94.715018711175404</v>
      </c>
      <c r="AJ6367">
        <v>106.42753282529701</v>
      </c>
      <c r="AK6367">
        <v>13.4854538421218</v>
      </c>
    </row>
    <row r="6368" spans="1:37" x14ac:dyDescent="0.2">
      <c r="A6368" t="str">
        <f>"20200111155723581"</f>
        <v>20200111155723581</v>
      </c>
      <c r="B6368" t="str">
        <f>"1578729443569301"</f>
        <v>1578729443569301</v>
      </c>
      <c r="C6368" t="s">
        <v>37</v>
      </c>
      <c r="D6368">
        <v>5.246632</v>
      </c>
      <c r="E6368">
        <v>0.4830354</v>
      </c>
      <c r="F6368" t="s">
        <v>75</v>
      </c>
      <c r="G6368">
        <v>-192.9804</v>
      </c>
      <c r="H6368" s="1">
        <v>-7.9743540000000003E-6</v>
      </c>
      <c r="I6368">
        <v>-56.229819999999997</v>
      </c>
      <c r="J6368">
        <v>-205.1002</v>
      </c>
      <c r="K6368">
        <v>1.108552</v>
      </c>
      <c r="L6368">
        <v>-62.561430000000001</v>
      </c>
      <c r="M6368">
        <v>0.98150349999999997</v>
      </c>
      <c r="N6368">
        <v>0</v>
      </c>
      <c r="O6368">
        <v>0.1909421</v>
      </c>
      <c r="P6368">
        <v>0.9026921</v>
      </c>
      <c r="Q6368">
        <v>2.9075989999999999E-2</v>
      </c>
      <c r="R6368">
        <v>0.42930370000000001</v>
      </c>
      <c r="S6368">
        <v>2.6708069999999999</v>
      </c>
      <c r="T6368">
        <v>-0.242211499999999</v>
      </c>
      <c r="U6368">
        <v>1.388428</v>
      </c>
      <c r="V6368">
        <v>-0.249388</v>
      </c>
      <c r="W6368">
        <v>4.0303579999999999E-2</v>
      </c>
      <c r="X6368">
        <v>0.9675646</v>
      </c>
      <c r="Y6368">
        <v>-0.28303249999999902</v>
      </c>
      <c r="Z6368">
        <v>-3.9483900000000004E-3</v>
      </c>
      <c r="AA6368">
        <v>0.95910219999999902</v>
      </c>
      <c r="AB6368">
        <v>23</v>
      </c>
      <c r="AC6368">
        <v>12.1197999999999</v>
      </c>
      <c r="AD6368">
        <v>-1.108559974354</v>
      </c>
      <c r="AE6368">
        <v>6.3316100000000004</v>
      </c>
      <c r="AF6368">
        <v>-3.8752221603530601</v>
      </c>
      <c r="AG6368">
        <v>-1.108559974354</v>
      </c>
      <c r="AH6368">
        <v>13.020280337866801</v>
      </c>
      <c r="AI6368">
        <v>94.665190639969495</v>
      </c>
      <c r="AJ6368">
        <v>106.574568548065</v>
      </c>
      <c r="AK6368">
        <v>13.629891858905999</v>
      </c>
    </row>
    <row r="6369" spans="1:37" x14ac:dyDescent="0.2">
      <c r="A6369" t="str">
        <f>"20200111155723591"</f>
        <v>20200111155723591</v>
      </c>
      <c r="B6369" t="str">
        <f>"1578729443589796"</f>
        <v>1578729443589796</v>
      </c>
      <c r="C6369" t="s">
        <v>37</v>
      </c>
      <c r="D6369">
        <v>5.2441129999999996</v>
      </c>
      <c r="E6369">
        <v>0.48086620000000002</v>
      </c>
      <c r="F6369" t="s">
        <v>75</v>
      </c>
      <c r="G6369">
        <v>-192.54419999999999</v>
      </c>
      <c r="H6369" s="1">
        <v>-8.0357809999999999E-6</v>
      </c>
      <c r="I6369">
        <v>-55.941019999999902</v>
      </c>
      <c r="J6369">
        <v>-204.99029999999999</v>
      </c>
      <c r="K6369">
        <v>1.1086069999999999</v>
      </c>
      <c r="L6369">
        <v>-62.536900000000003</v>
      </c>
      <c r="M6369">
        <v>0.98095889999999997</v>
      </c>
      <c r="N6369">
        <v>0</v>
      </c>
      <c r="O6369">
        <v>0.19371949999999999</v>
      </c>
      <c r="P6369">
        <v>0.90182299999999904</v>
      </c>
      <c r="Q6369">
        <v>2.9691200000000001E-2</v>
      </c>
      <c r="R6369">
        <v>0.43108419999999997</v>
      </c>
      <c r="S6369">
        <v>2.6631619999999998</v>
      </c>
      <c r="T6369">
        <v>-0.23512820000000001</v>
      </c>
      <c r="U6369">
        <v>1.4042049999999999</v>
      </c>
      <c r="V6369">
        <v>-0.24857199999999999</v>
      </c>
      <c r="W6369">
        <v>4.091533E-2</v>
      </c>
      <c r="X6369">
        <v>0.96774889999999902</v>
      </c>
      <c r="Y6369">
        <v>-0.2859159</v>
      </c>
      <c r="Z6369">
        <v>-3.9378490000000002E-3</v>
      </c>
      <c r="AA6369">
        <v>0.95824659999999995</v>
      </c>
      <c r="AB6369">
        <v>23</v>
      </c>
      <c r="AC6369">
        <v>12.446099999999999</v>
      </c>
      <c r="AD6369">
        <v>-1.1086150357809901</v>
      </c>
      <c r="AE6369">
        <v>6.5958800000000002</v>
      </c>
      <c r="AF6369">
        <v>-4.0346335287304003</v>
      </c>
      <c r="AG6369">
        <v>-1.1086150357809901</v>
      </c>
      <c r="AH6369">
        <v>13.405124683139601</v>
      </c>
      <c r="AI6369">
        <v>94.527901247172096</v>
      </c>
      <c r="AJ6369">
        <v>106.750583679336</v>
      </c>
      <c r="AK6369">
        <v>14.042957764631799</v>
      </c>
    </row>
    <row r="6370" spans="1:37" x14ac:dyDescent="0.2">
      <c r="A6370" t="str">
        <f>"20200111155723604"</f>
        <v>20200111155723604</v>
      </c>
      <c r="B6370" t="str">
        <f>"1578729443599556"</f>
        <v>1578729443599556</v>
      </c>
      <c r="C6370" t="s">
        <v>37</v>
      </c>
      <c r="D6370">
        <v>5.2052360000000002</v>
      </c>
      <c r="E6370">
        <v>0.47974609999999901</v>
      </c>
      <c r="F6370" t="s">
        <v>75</v>
      </c>
      <c r="G6370">
        <v>-192.13079999999999</v>
      </c>
      <c r="H6370" s="1">
        <v>-8.1087749999999993E-6</v>
      </c>
      <c r="I6370">
        <v>-55.6267</v>
      </c>
      <c r="J6370">
        <v>-204.87469999999999</v>
      </c>
      <c r="K6370">
        <v>1.108657</v>
      </c>
      <c r="L6370">
        <v>-62.510769999999901</v>
      </c>
      <c r="M6370">
        <v>0.98037189999999996</v>
      </c>
      <c r="N6370">
        <v>0</v>
      </c>
      <c r="O6370">
        <v>0.1966685</v>
      </c>
      <c r="P6370">
        <v>0.90099850000000004</v>
      </c>
      <c r="Q6370">
        <v>3.052817E-2</v>
      </c>
      <c r="R6370">
        <v>0.43274699999999999</v>
      </c>
      <c r="S6370">
        <v>2.6527250000000002</v>
      </c>
      <c r="T6370">
        <v>-0.2286917</v>
      </c>
      <c r="U6370">
        <v>1.425476</v>
      </c>
      <c r="V6370">
        <v>-0.24746270000000001</v>
      </c>
      <c r="W6370">
        <v>4.1754329999999999E-2</v>
      </c>
      <c r="X6370">
        <v>0.96799729999999995</v>
      </c>
      <c r="Y6370">
        <v>-0.29057699999999997</v>
      </c>
      <c r="Z6370">
        <v>-3.8746449999999999E-3</v>
      </c>
      <c r="AA6370">
        <v>0.95684380000000002</v>
      </c>
      <c r="AB6370">
        <v>23</v>
      </c>
      <c r="AC6370">
        <v>12.743899999999901</v>
      </c>
      <c r="AD6370">
        <v>-1.1086651087749999</v>
      </c>
      <c r="AE6370">
        <v>6.8840699999999897</v>
      </c>
      <c r="AF6370">
        <v>-4.2183195366605704</v>
      </c>
      <c r="AG6370">
        <v>-1.1086651087749999</v>
      </c>
      <c r="AH6370">
        <v>13.7683095008887</v>
      </c>
      <c r="AI6370">
        <v>94.402547231840103</v>
      </c>
      <c r="AJ6370">
        <v>107.033959304018</v>
      </c>
      <c r="AK6370">
        <v>14.4426349586579</v>
      </c>
    </row>
    <row r="6371" spans="1:37" x14ac:dyDescent="0.2">
      <c r="A6371" t="str">
        <f>"20200111155723615"</f>
        <v>20200111155723615</v>
      </c>
      <c r="B6371" t="str">
        <f>"1578729443609317"</f>
        <v>1578729443609317</v>
      </c>
      <c r="C6371" t="s">
        <v>37</v>
      </c>
      <c r="D6371">
        <v>5.2627119999999996</v>
      </c>
      <c r="E6371">
        <v>0.47903999999999902</v>
      </c>
      <c r="F6371" t="s">
        <v>75</v>
      </c>
      <c r="G6371">
        <v>-191.6908</v>
      </c>
      <c r="H6371" s="1">
        <v>-8.168154E-6</v>
      </c>
      <c r="I6371">
        <v>-55.342480000000002</v>
      </c>
      <c r="J6371">
        <v>-204.76060000000001</v>
      </c>
      <c r="K6371">
        <v>1.108703</v>
      </c>
      <c r="L6371">
        <v>-62.4846199999999</v>
      </c>
      <c r="M6371">
        <v>0.97977769999999997</v>
      </c>
      <c r="N6371">
        <v>0</v>
      </c>
      <c r="O6371">
        <v>0.19960600000000001</v>
      </c>
      <c r="P6371">
        <v>0.90027900000000005</v>
      </c>
      <c r="Q6371">
        <v>3.1371290000000003E-2</v>
      </c>
      <c r="R6371">
        <v>0.434181499999999</v>
      </c>
      <c r="S6371">
        <v>2.6461489999999999</v>
      </c>
      <c r="T6371">
        <v>-0.22252089999999999</v>
      </c>
      <c r="U6371">
        <v>1.4387509999999999</v>
      </c>
      <c r="V6371">
        <v>-0.24611920000000001</v>
      </c>
      <c r="W6371">
        <v>4.2604250000000003E-2</v>
      </c>
      <c r="X6371">
        <v>0.96830269999999996</v>
      </c>
      <c r="Y6371">
        <v>-0.292429299999999</v>
      </c>
      <c r="Z6371">
        <v>-3.9214269999999999E-3</v>
      </c>
      <c r="AA6371">
        <v>0.95627909999999905</v>
      </c>
      <c r="AB6371">
        <v>23</v>
      </c>
      <c r="AC6371">
        <v>13.069800000000001</v>
      </c>
      <c r="AD6371">
        <v>-1.1087111681540001</v>
      </c>
      <c r="AE6371">
        <v>7.1421399999999897</v>
      </c>
      <c r="AF6371">
        <v>-4.3651340123594196</v>
      </c>
      <c r="AG6371">
        <v>-1.1087111681540001</v>
      </c>
      <c r="AH6371">
        <v>14.154054014174299</v>
      </c>
      <c r="AI6371">
        <v>94.280769757767999</v>
      </c>
      <c r="AJ6371">
        <v>107.139850351063</v>
      </c>
      <c r="AK6371">
        <v>14.8533121032452</v>
      </c>
    </row>
    <row r="6372" spans="1:37" x14ac:dyDescent="0.2">
      <c r="A6372" t="str">
        <f>"20200111155723625"</f>
        <v>20200111155723625</v>
      </c>
      <c r="B6372" t="str">
        <f>"1578729443619076"</f>
        <v>1578729443619076</v>
      </c>
      <c r="C6372" t="s">
        <v>37</v>
      </c>
      <c r="D6372">
        <v>5.2493610000000004</v>
      </c>
      <c r="E6372">
        <v>0.478328799999999</v>
      </c>
      <c r="F6372" t="s">
        <v>75</v>
      </c>
      <c r="G6372">
        <v>-191.39019999999999</v>
      </c>
      <c r="H6372" s="1">
        <v>-8.2069150000000003E-6</v>
      </c>
      <c r="I6372">
        <v>-55.153309999999998</v>
      </c>
      <c r="J6372">
        <v>-204.65690000000001</v>
      </c>
      <c r="K6372">
        <v>1.1087340000000001</v>
      </c>
      <c r="L6372">
        <v>-62.460389999999997</v>
      </c>
      <c r="M6372">
        <v>0.97922299999999995</v>
      </c>
      <c r="N6372">
        <v>0</v>
      </c>
      <c r="O6372">
        <v>0.20230979999999901</v>
      </c>
      <c r="P6372">
        <v>0.89948819999999996</v>
      </c>
      <c r="Q6372">
        <v>3.2034159999999999E-2</v>
      </c>
      <c r="R6372">
        <v>0.43576930000000003</v>
      </c>
      <c r="S6372">
        <v>2.6414339999999998</v>
      </c>
      <c r="T6372">
        <v>-0.2190356</v>
      </c>
      <c r="U6372">
        <v>1.448364</v>
      </c>
      <c r="V6372">
        <v>-0.24516779999999999</v>
      </c>
      <c r="W6372">
        <v>4.3272629999999999E-2</v>
      </c>
      <c r="X6372">
        <v>0.9685144</v>
      </c>
      <c r="Y6372">
        <v>-0.29319820000000002</v>
      </c>
      <c r="Z6372">
        <v>-4.0327039999999998E-3</v>
      </c>
      <c r="AA6372">
        <v>0.95604319999999898</v>
      </c>
      <c r="AB6372">
        <v>23</v>
      </c>
      <c r="AC6372">
        <v>13.2667</v>
      </c>
      <c r="AD6372">
        <v>-1.1087422069149999</v>
      </c>
      <c r="AE6372">
        <v>7.30708</v>
      </c>
      <c r="AF6372">
        <v>-4.4478736461699002</v>
      </c>
      <c r="AG6372">
        <v>-1.1087422069149999</v>
      </c>
      <c r="AH6372">
        <v>14.3936156401784</v>
      </c>
      <c r="AI6372">
        <v>94.2091704867792</v>
      </c>
      <c r="AJ6372">
        <v>107.172044401462</v>
      </c>
      <c r="AK6372">
        <v>15.105927990390899</v>
      </c>
    </row>
    <row r="6373" spans="1:37" x14ac:dyDescent="0.2">
      <c r="A6373" t="str">
        <f>"20200111155723637"</f>
        <v>20200111155723637</v>
      </c>
      <c r="B6373" t="str">
        <f>"1578729443629812"</f>
        <v>1578729443629812</v>
      </c>
      <c r="C6373" t="s">
        <v>37</v>
      </c>
      <c r="D6373">
        <v>5.2410420000000002</v>
      </c>
      <c r="E6373">
        <v>0.47767219999999999</v>
      </c>
      <c r="F6373" t="s">
        <v>75</v>
      </c>
      <c r="G6373">
        <v>-191.15369999999999</v>
      </c>
      <c r="H6373" s="1">
        <v>-8.2427100000000006E-6</v>
      </c>
      <c r="I6373">
        <v>-54.989869999999897</v>
      </c>
      <c r="J6373">
        <v>-204.5376</v>
      </c>
      <c r="K6373">
        <v>1.1087719999999901</v>
      </c>
      <c r="L6373">
        <v>-62.432310000000001</v>
      </c>
      <c r="M6373">
        <v>0.9785722</v>
      </c>
      <c r="N6373">
        <v>0</v>
      </c>
      <c r="O6373">
        <v>0.20543349999999999</v>
      </c>
      <c r="P6373">
        <v>0.89864040000000001</v>
      </c>
      <c r="Q6373">
        <v>3.171173E-2</v>
      </c>
      <c r="R6373">
        <v>0.437538699999999</v>
      </c>
      <c r="S6373">
        <v>2.6363219999999998</v>
      </c>
      <c r="T6373">
        <v>-0.21646839999999901</v>
      </c>
      <c r="U6373">
        <v>1.4585269999999999</v>
      </c>
      <c r="V6373">
        <v>-0.24398039999999999</v>
      </c>
      <c r="W6373">
        <v>4.2958699999999898E-2</v>
      </c>
      <c r="X6373">
        <v>0.96882819999999903</v>
      </c>
      <c r="Y6373">
        <v>-0.29376659999999999</v>
      </c>
      <c r="Z6373">
        <v>-4.19480799999999E-3</v>
      </c>
      <c r="AA6373">
        <v>0.95586800000000005</v>
      </c>
      <c r="AB6373">
        <v>23</v>
      </c>
      <c r="AC6373">
        <v>13.383900000000001</v>
      </c>
      <c r="AD6373">
        <v>-1.10878024271</v>
      </c>
      <c r="AE6373">
        <v>7.4424400000000004</v>
      </c>
      <c r="AF6373">
        <v>-4.5102585275731304</v>
      </c>
      <c r="AG6373">
        <v>-1.10878024271</v>
      </c>
      <c r="AH6373">
        <v>14.551174284034101</v>
      </c>
      <c r="AI6373">
        <v>94.162794593792995</v>
      </c>
      <c r="AJ6373">
        <v>107.22126101708299</v>
      </c>
      <c r="AK6373">
        <v>15.2744393892707</v>
      </c>
    </row>
    <row r="6374" spans="1:37" x14ac:dyDescent="0.2">
      <c r="A6374" t="str">
        <f>"20200111155723649"</f>
        <v>20200111155723649</v>
      </c>
      <c r="B6374" t="str">
        <f>"1578729443639573"</f>
        <v>1578729443639573</v>
      </c>
      <c r="C6374" t="s">
        <v>37</v>
      </c>
      <c r="D6374">
        <v>5.2380199999999997</v>
      </c>
      <c r="E6374">
        <v>0.47709249999999997</v>
      </c>
      <c r="F6374" t="s">
        <v>75</v>
      </c>
      <c r="G6374">
        <v>-191.0795</v>
      </c>
      <c r="H6374" s="1">
        <v>-8.2611600000000004E-6</v>
      </c>
      <c r="I6374">
        <v>-54.918729999999996</v>
      </c>
      <c r="J6374">
        <v>-204.4282</v>
      </c>
      <c r="K6374">
        <v>1.1088009999999999</v>
      </c>
      <c r="L6374">
        <v>-62.405940000000001</v>
      </c>
      <c r="M6374">
        <v>0.97795739999999998</v>
      </c>
      <c r="N6374">
        <v>0</v>
      </c>
      <c r="O6374">
        <v>0.2083402</v>
      </c>
      <c r="P6374">
        <v>0.89767750000000002</v>
      </c>
      <c r="Q6374">
        <v>3.089882E-2</v>
      </c>
      <c r="R6374">
        <v>0.43956819999999902</v>
      </c>
      <c r="S6374">
        <v>2.63089</v>
      </c>
      <c r="T6374">
        <v>-0.216752799999999</v>
      </c>
      <c r="U6374">
        <v>1.4688110000000001</v>
      </c>
      <c r="V6374">
        <v>-0.2432791</v>
      </c>
      <c r="W6374">
        <v>4.2150229999999997E-2</v>
      </c>
      <c r="X6374">
        <v>0.96904000000000001</v>
      </c>
      <c r="Y6374">
        <v>-0.29461979999999999</v>
      </c>
      <c r="Z6374">
        <v>-4.3833509999999997E-3</v>
      </c>
      <c r="AA6374">
        <v>0.95560449999999997</v>
      </c>
      <c r="AB6374">
        <v>23</v>
      </c>
      <c r="AC6374">
        <v>13.348699999999999</v>
      </c>
      <c r="AD6374">
        <v>-1.10880926116</v>
      </c>
      <c r="AE6374">
        <v>7.4872099999999904</v>
      </c>
      <c r="AF6374">
        <v>-4.5178292718171598</v>
      </c>
      <c r="AG6374">
        <v>-1.10880926116</v>
      </c>
      <c r="AH6374">
        <v>14.5394508872093</v>
      </c>
      <c r="AI6374">
        <v>94.165342395080501</v>
      </c>
      <c r="AJ6374">
        <v>107.261535763322</v>
      </c>
      <c r="AK6374">
        <v>15.265512484305701</v>
      </c>
    </row>
    <row r="6375" spans="1:37" x14ac:dyDescent="0.2">
      <c r="A6375" t="str">
        <f>"20200111155723661"</f>
        <v>20200111155723661</v>
      </c>
      <c r="B6375" t="str">
        <f>"1578729443649333"</f>
        <v>1578729443649333</v>
      </c>
      <c r="C6375" t="s">
        <v>37</v>
      </c>
      <c r="D6375">
        <v>5.2145900000000003</v>
      </c>
      <c r="E6375">
        <v>0.47653580000000001</v>
      </c>
      <c r="F6375" t="s">
        <v>75</v>
      </c>
      <c r="G6375">
        <v>-191.12299999999999</v>
      </c>
      <c r="H6375" s="1">
        <v>-8.268696E-6</v>
      </c>
      <c r="I6375">
        <v>-54.909969999999902</v>
      </c>
      <c r="J6375">
        <v>-204.3075</v>
      </c>
      <c r="K6375">
        <v>1.1088260000000001</v>
      </c>
      <c r="L6375">
        <v>-62.376649999999998</v>
      </c>
      <c r="M6375">
        <v>0.97726599999999997</v>
      </c>
      <c r="N6375">
        <v>0</v>
      </c>
      <c r="O6375">
        <v>0.2115591</v>
      </c>
      <c r="P6375">
        <v>0.89640679999999995</v>
      </c>
      <c r="Q6375">
        <v>2.9474449999999999E-2</v>
      </c>
      <c r="R6375">
        <v>0.44225100000000001</v>
      </c>
      <c r="S6375">
        <v>2.6252439999999999</v>
      </c>
      <c r="T6375">
        <v>-0.21877949999999999</v>
      </c>
      <c r="U6375">
        <v>1.479034</v>
      </c>
      <c r="V6375">
        <v>-0.24296579999999901</v>
      </c>
      <c r="W6375">
        <v>4.0725240000000003E-2</v>
      </c>
      <c r="X6375">
        <v>0.96917960000000003</v>
      </c>
      <c r="Y6375">
        <v>-0.29517949999999998</v>
      </c>
      <c r="Z6375">
        <v>-4.6438620000000003E-3</v>
      </c>
      <c r="AA6375">
        <v>0.95543060000000002</v>
      </c>
      <c r="AB6375">
        <v>23</v>
      </c>
      <c r="AC6375">
        <v>13.1845</v>
      </c>
      <c r="AD6375">
        <v>-1.108834268696</v>
      </c>
      <c r="AE6375">
        <v>7.4666800000000002</v>
      </c>
      <c r="AF6375">
        <v>-4.48405458500664</v>
      </c>
      <c r="AG6375">
        <v>-1.108834268696</v>
      </c>
      <c r="AH6375">
        <v>14.388752263640299</v>
      </c>
      <c r="AI6375">
        <v>94.207827041263897</v>
      </c>
      <c r="AJ6375">
        <v>107.308919251932</v>
      </c>
      <c r="AK6375">
        <v>15.1119969117641</v>
      </c>
    </row>
    <row r="6376" spans="1:37" x14ac:dyDescent="0.2">
      <c r="A6376" t="str">
        <f>"20200111155723673"</f>
        <v>20200111155723673</v>
      </c>
      <c r="B6376" t="str">
        <f>"1578729443669829"</f>
        <v>1578729443669829</v>
      </c>
      <c r="C6376" t="s">
        <v>37</v>
      </c>
      <c r="D6376">
        <v>5.2248489999999999</v>
      </c>
      <c r="E6376">
        <v>0.47555839999999999</v>
      </c>
      <c r="F6376" t="s">
        <v>75</v>
      </c>
      <c r="G6376">
        <v>-191.3005</v>
      </c>
      <c r="H6376" s="1">
        <v>-8.2644750000000002E-6</v>
      </c>
      <c r="I6376">
        <v>-54.970329999999997</v>
      </c>
      <c r="J6376">
        <v>-204.185</v>
      </c>
      <c r="K6376">
        <v>1.108854</v>
      </c>
      <c r="L6376">
        <v>-62.34628</v>
      </c>
      <c r="M6376">
        <v>0.97654319999999895</v>
      </c>
      <c r="N6376">
        <v>0</v>
      </c>
      <c r="O6376">
        <v>0.21487010000000001</v>
      </c>
      <c r="P6376">
        <v>0.89488210000000001</v>
      </c>
      <c r="Q6376">
        <v>2.7395550000000001E-2</v>
      </c>
      <c r="R6376">
        <v>0.4454612</v>
      </c>
      <c r="S6376">
        <v>2.6184539999999998</v>
      </c>
      <c r="T6376">
        <v>-0.22321959999999999</v>
      </c>
      <c r="U6376">
        <v>1.4909669999999999</v>
      </c>
      <c r="V6376">
        <v>-0.24312420000000001</v>
      </c>
      <c r="W6376">
        <v>3.863834E-2</v>
      </c>
      <c r="X6376">
        <v>0.96922529999999996</v>
      </c>
      <c r="Y6376">
        <v>-0.29629079999999902</v>
      </c>
      <c r="Z6376">
        <v>-4.9479390000000002E-3</v>
      </c>
      <c r="AA6376">
        <v>0.95508499999999996</v>
      </c>
      <c r="AB6376">
        <v>23</v>
      </c>
      <c r="AC6376">
        <v>12.884499999999999</v>
      </c>
      <c r="AD6376">
        <v>-1.1088622644749999</v>
      </c>
      <c r="AE6376">
        <v>7.3759499999999996</v>
      </c>
      <c r="AF6376">
        <v>-4.41026820844497</v>
      </c>
      <c r="AG6376">
        <v>-1.1088622644749999</v>
      </c>
      <c r="AH6376">
        <v>14.0899179326475</v>
      </c>
      <c r="AI6376">
        <v>94.295176700047406</v>
      </c>
      <c r="AJ6376">
        <v>107.380578923258</v>
      </c>
      <c r="AK6376">
        <v>14.805601255630901</v>
      </c>
    </row>
    <row r="6377" spans="1:37" x14ac:dyDescent="0.2">
      <c r="A6377" t="str">
        <f>"20200111155723684"</f>
        <v>20200111155723684</v>
      </c>
      <c r="B6377" t="str">
        <f>"1578729443679907"</f>
        <v>1578729443679907</v>
      </c>
      <c r="C6377" t="s">
        <v>37</v>
      </c>
      <c r="D6377">
        <v>5.1813709999999897</v>
      </c>
      <c r="E6377">
        <v>0.4749353</v>
      </c>
      <c r="F6377" t="s">
        <v>75</v>
      </c>
      <c r="G6377">
        <v>-191.57050000000001</v>
      </c>
      <c r="H6377" s="1">
        <v>-8.2595540000000005E-6</v>
      </c>
      <c r="I6377">
        <v>-55.058039999999998</v>
      </c>
      <c r="J6377">
        <v>-204.0737</v>
      </c>
      <c r="K6377">
        <v>1.108878</v>
      </c>
      <c r="L6377">
        <v>-62.318300000000001</v>
      </c>
      <c r="M6377">
        <v>0.97587169999999901</v>
      </c>
      <c r="N6377">
        <v>0</v>
      </c>
      <c r="O6377">
        <v>0.21789919999999999</v>
      </c>
      <c r="P6377">
        <v>0.89324119999999996</v>
      </c>
      <c r="Q6377">
        <v>2.4815920000000002E-2</v>
      </c>
      <c r="R6377">
        <v>0.44889250000000003</v>
      </c>
      <c r="S6377">
        <v>2.6090390000000001</v>
      </c>
      <c r="T6377">
        <v>-0.229344299999999</v>
      </c>
      <c r="U6377">
        <v>1.5074160000000001</v>
      </c>
      <c r="V6377">
        <v>-0.2437985</v>
      </c>
      <c r="W6377">
        <v>3.6044720000000002E-2</v>
      </c>
      <c r="X6377">
        <v>0.96915580000000001</v>
      </c>
      <c r="Y6377">
        <v>-0.29932039999999999</v>
      </c>
      <c r="Z6377">
        <v>-5.2008139999999998E-3</v>
      </c>
      <c r="AA6377">
        <v>0.9541385</v>
      </c>
      <c r="AB6377">
        <v>23</v>
      </c>
      <c r="AC6377">
        <v>12.5031999999999</v>
      </c>
      <c r="AD6377">
        <v>-1.1088862595540001</v>
      </c>
      <c r="AE6377">
        <v>7.2602599999999899</v>
      </c>
      <c r="AF6377">
        <v>-4.33556604805141</v>
      </c>
      <c r="AG6377">
        <v>-1.1088862595540001</v>
      </c>
      <c r="AH6377">
        <v>13.704252077361801</v>
      </c>
      <c r="AI6377">
        <v>94.411448955248702</v>
      </c>
      <c r="AJ6377">
        <v>107.555625748693</v>
      </c>
      <c r="AK6377">
        <v>14.416424199277699</v>
      </c>
    </row>
    <row r="6378" spans="1:37" x14ac:dyDescent="0.2">
      <c r="A6378" t="str">
        <f>"20200111155723696"</f>
        <v>20200111155723696</v>
      </c>
      <c r="B6378" t="str">
        <f>"1578729443689666"</f>
        <v>1578729443689666</v>
      </c>
      <c r="C6378" t="s">
        <v>37</v>
      </c>
      <c r="D6378">
        <v>5.2070249999999998</v>
      </c>
      <c r="E6378">
        <v>0.47433039999999999</v>
      </c>
      <c r="F6378" t="s">
        <v>75</v>
      </c>
      <c r="G6378">
        <v>-191.959</v>
      </c>
      <c r="H6378" s="1">
        <v>-8.2365050000000002E-6</v>
      </c>
      <c r="I6378">
        <v>-55.228180000000002</v>
      </c>
      <c r="J6378">
        <v>-203.95490000000001</v>
      </c>
      <c r="K6378">
        <v>1.1089039999999999</v>
      </c>
      <c r="L6378">
        <v>-62.2881199999999</v>
      </c>
      <c r="M6378">
        <v>0.97513930000000004</v>
      </c>
      <c r="N6378">
        <v>0</v>
      </c>
      <c r="O6378">
        <v>0.22115319999999999</v>
      </c>
      <c r="P6378">
        <v>0.89141709999999996</v>
      </c>
      <c r="Q6378">
        <v>2.257286E-2</v>
      </c>
      <c r="R6378">
        <v>0.45262150000000001</v>
      </c>
      <c r="S6378">
        <v>2.6003569999999998</v>
      </c>
      <c r="T6378">
        <v>-0.2380157</v>
      </c>
      <c r="U6378">
        <v>1.5218510000000001</v>
      </c>
      <c r="V6378">
        <v>-0.244584</v>
      </c>
      <c r="W6378">
        <v>3.3784939999999999E-2</v>
      </c>
      <c r="X6378">
        <v>0.9690394</v>
      </c>
      <c r="Y6378">
        <v>-0.30145519999999998</v>
      </c>
      <c r="Z6378">
        <v>-5.5746989999999998E-3</v>
      </c>
      <c r="AA6378">
        <v>0.95346399999999998</v>
      </c>
      <c r="AB6378">
        <v>23</v>
      </c>
      <c r="AC6378">
        <v>11.995900000000001</v>
      </c>
      <c r="AD6378">
        <v>-1.1089122365049999</v>
      </c>
      <c r="AE6378">
        <v>7.0599399999999903</v>
      </c>
      <c r="AF6378">
        <v>-4.2052147792449199</v>
      </c>
      <c r="AG6378">
        <v>-1.1089122365049999</v>
      </c>
      <c r="AH6378">
        <v>13.176660550953599</v>
      </c>
      <c r="AI6378">
        <v>94.5837937136438</v>
      </c>
      <c r="AJ6378">
        <v>107.700023613966</v>
      </c>
      <c r="AK6378">
        <v>13.875802714182299</v>
      </c>
    </row>
    <row r="6379" spans="1:37" x14ac:dyDescent="0.2">
      <c r="A6379" t="str">
        <f>"20200111155723706"</f>
        <v>20200111155723706</v>
      </c>
      <c r="B6379" t="str">
        <f>"1578729443699426"</f>
        <v>1578729443699426</v>
      </c>
      <c r="C6379" t="s">
        <v>37</v>
      </c>
      <c r="D6379">
        <v>5.1900219999999999</v>
      </c>
      <c r="E6379">
        <v>0.47376279999999998</v>
      </c>
      <c r="F6379" t="s">
        <v>75</v>
      </c>
      <c r="G6379">
        <v>-192.25819999999999</v>
      </c>
      <c r="H6379" s="1">
        <v>-8.2221399999999999E-6</v>
      </c>
      <c r="I6379">
        <v>-55.349899999999998</v>
      </c>
      <c r="J6379">
        <v>-203.85939999999999</v>
      </c>
      <c r="K6379">
        <v>1.1089340000000001</v>
      </c>
      <c r="L6379">
        <v>-62.263339999999999</v>
      </c>
      <c r="M6379">
        <v>0.97453380000000001</v>
      </c>
      <c r="N6379">
        <v>0</v>
      </c>
      <c r="O6379">
        <v>0.223806</v>
      </c>
      <c r="P6379">
        <v>0.88958329999999997</v>
      </c>
      <c r="Q6379">
        <v>2.0663839999999999E-2</v>
      </c>
      <c r="R6379">
        <v>0.45630549999999998</v>
      </c>
      <c r="S6379">
        <v>2.5912169999999999</v>
      </c>
      <c r="T6379">
        <v>-0.245661299999999</v>
      </c>
      <c r="U6379">
        <v>1.537048</v>
      </c>
      <c r="V6379">
        <v>-0.24593009999999901</v>
      </c>
      <c r="W6379">
        <v>3.1850499999999997E-2</v>
      </c>
      <c r="X6379">
        <v>0.96876410000000002</v>
      </c>
      <c r="Y6379">
        <v>-0.30445339999999999</v>
      </c>
      <c r="Z6379">
        <v>-5.8492469999999897E-3</v>
      </c>
      <c r="AA6379">
        <v>0.9525093</v>
      </c>
      <c r="AB6379">
        <v>23</v>
      </c>
      <c r="AC6379">
        <v>11.6012</v>
      </c>
      <c r="AD6379">
        <v>-1.10894222214</v>
      </c>
      <c r="AE6379">
        <v>6.9134399999999996</v>
      </c>
      <c r="AF6379">
        <v>-4.1136291962193603</v>
      </c>
      <c r="AG6379">
        <v>-1.10894222214</v>
      </c>
      <c r="AH6379">
        <v>12.7681908238759</v>
      </c>
      <c r="AI6379">
        <v>94.725751408292695</v>
      </c>
      <c r="AJ6379">
        <v>107.857794608577</v>
      </c>
      <c r="AK6379">
        <v>13.4602524096297</v>
      </c>
    </row>
    <row r="6380" spans="1:37" x14ac:dyDescent="0.2">
      <c r="A6380" t="str">
        <f>"20200111155723716"</f>
        <v>20200111155723716</v>
      </c>
      <c r="B6380" t="str">
        <f>"1578729443709186"</f>
        <v>1578729443709186</v>
      </c>
      <c r="C6380" t="s">
        <v>37</v>
      </c>
      <c r="D6380">
        <v>5.2439999999999998</v>
      </c>
      <c r="E6380">
        <v>0.473192</v>
      </c>
      <c r="F6380" t="s">
        <v>75</v>
      </c>
      <c r="G6380">
        <v>-192.50880000000001</v>
      </c>
      <c r="H6380" s="1">
        <v>-8.2136009999999998E-6</v>
      </c>
      <c r="I6380">
        <v>-55.442230000000002</v>
      </c>
      <c r="J6380">
        <v>-203.75409999999999</v>
      </c>
      <c r="K6380">
        <v>1.1089659999999999</v>
      </c>
      <c r="L6380">
        <v>-62.235930000000003</v>
      </c>
      <c r="M6380">
        <v>0.97385569999999899</v>
      </c>
      <c r="N6380">
        <v>0</v>
      </c>
      <c r="O6380">
        <v>0.22673789999999999</v>
      </c>
      <c r="P6380">
        <v>0.8874261</v>
      </c>
      <c r="Q6380">
        <v>1.8693959999999999E-2</v>
      </c>
      <c r="R6380">
        <v>0.46057100000000001</v>
      </c>
      <c r="S6380">
        <v>2.5822449999999999</v>
      </c>
      <c r="T6380">
        <v>-0.25228229999999902</v>
      </c>
      <c r="U6380">
        <v>1.5517879999999999</v>
      </c>
      <c r="V6380">
        <v>-0.247639</v>
      </c>
      <c r="W6380">
        <v>2.9849210000000001E-2</v>
      </c>
      <c r="X6380">
        <v>0.96839249999999899</v>
      </c>
      <c r="Y6380">
        <v>-0.3070272</v>
      </c>
      <c r="Z6380">
        <v>-6.1478289999999996E-3</v>
      </c>
      <c r="AA6380">
        <v>0.95168090000000005</v>
      </c>
      <c r="AB6380">
        <v>23</v>
      </c>
      <c r="AC6380">
        <v>11.245299999999901</v>
      </c>
      <c r="AD6380">
        <v>-1.1089742136009999</v>
      </c>
      <c r="AE6380">
        <v>6.7937000000000003</v>
      </c>
      <c r="AF6380">
        <v>-4.0379744355149603</v>
      </c>
      <c r="AG6380">
        <v>-1.1089742136009999</v>
      </c>
      <c r="AH6380">
        <v>12.4045268327123</v>
      </c>
      <c r="AI6380">
        <v>94.859035463454504</v>
      </c>
      <c r="AJ6380">
        <v>108.03132573142101</v>
      </c>
      <c r="AK6380">
        <v>13.0922628789596</v>
      </c>
    </row>
    <row r="6381" spans="1:37" x14ac:dyDescent="0.2">
      <c r="A6381" t="str">
        <f>"20200111155723726"</f>
        <v>20200111155723726</v>
      </c>
      <c r="B6381" t="str">
        <f>"1578729443718946"</f>
        <v>1578729443718946</v>
      </c>
      <c r="C6381" t="s">
        <v>37</v>
      </c>
      <c r="D6381">
        <v>5.1881250000000003</v>
      </c>
      <c r="E6381">
        <v>0.47271350000000001</v>
      </c>
      <c r="F6381" t="s">
        <v>75</v>
      </c>
      <c r="G6381">
        <v>-192.74039999999999</v>
      </c>
      <c r="H6381" s="1">
        <v>-8.208053E-6</v>
      </c>
      <c r="I6381">
        <v>-55.521129999999999</v>
      </c>
      <c r="J6381">
        <v>-203.66050000000001</v>
      </c>
      <c r="K6381">
        <v>1.1090059999999999</v>
      </c>
      <c r="L6381">
        <v>-62.210999999999999</v>
      </c>
      <c r="M6381">
        <v>0.973234499999999</v>
      </c>
      <c r="N6381">
        <v>0</v>
      </c>
      <c r="O6381">
        <v>0.2293887</v>
      </c>
      <c r="P6381">
        <v>0.88542129999999997</v>
      </c>
      <c r="Q6381">
        <v>1.7576430000000001E-2</v>
      </c>
      <c r="R6381">
        <v>0.46445710000000001</v>
      </c>
      <c r="S6381">
        <v>2.57214399999999</v>
      </c>
      <c r="T6381">
        <v>-0.2589899</v>
      </c>
      <c r="U6381">
        <v>1.568176</v>
      </c>
      <c r="V6381">
        <v>-0.24923409999999999</v>
      </c>
      <c r="W6381">
        <v>2.8699099999999901E-2</v>
      </c>
      <c r="X6381">
        <v>0.96801789999999999</v>
      </c>
      <c r="Y6381">
        <v>-0.31049650000000001</v>
      </c>
      <c r="Z6381">
        <v>-6.3907419999999996E-3</v>
      </c>
      <c r="AA6381">
        <v>0.95055299999999998</v>
      </c>
      <c r="AB6381">
        <v>23</v>
      </c>
      <c r="AC6381">
        <v>10.9201</v>
      </c>
      <c r="AD6381">
        <v>-1.1090142080529899</v>
      </c>
      <c r="AE6381">
        <v>6.6898699999999902</v>
      </c>
      <c r="AF6381">
        <v>-3.9764356262293701</v>
      </c>
      <c r="AG6381">
        <v>-1.1090142080529899</v>
      </c>
      <c r="AH6381">
        <v>12.0730474929056</v>
      </c>
      <c r="AI6381">
        <v>94.986322006843295</v>
      </c>
      <c r="AJ6381">
        <v>108.230058239885</v>
      </c>
      <c r="AK6381">
        <v>12.7593271205485</v>
      </c>
    </row>
    <row r="6382" spans="1:37" x14ac:dyDescent="0.2">
      <c r="A6382" t="str">
        <f>"20200111155723737"</f>
        <v>20200111155723737</v>
      </c>
      <c r="B6382" t="str">
        <f>"1578729443729682"</f>
        <v>1578729443729682</v>
      </c>
      <c r="C6382" t="s">
        <v>37</v>
      </c>
      <c r="D6382">
        <v>5.1721269999999997</v>
      </c>
      <c r="E6382">
        <v>0.47229009999999999</v>
      </c>
      <c r="F6382" t="s">
        <v>75</v>
      </c>
      <c r="G6382">
        <v>-192.8433</v>
      </c>
      <c r="H6382" s="1">
        <v>-8.2149940000000004E-6</v>
      </c>
      <c r="I6382">
        <v>-55.53031</v>
      </c>
      <c r="J6382">
        <v>-203.55029999999999</v>
      </c>
      <c r="K6382">
        <v>1.109054</v>
      </c>
      <c r="L6382">
        <v>-62.181550000000001</v>
      </c>
      <c r="M6382">
        <v>0.97249140000000001</v>
      </c>
      <c r="N6382">
        <v>0</v>
      </c>
      <c r="O6382">
        <v>0.23251849999999999</v>
      </c>
      <c r="P6382">
        <v>0.88305540000000005</v>
      </c>
      <c r="Q6382">
        <v>1.7315210000000001E-2</v>
      </c>
      <c r="R6382">
        <v>0.46894920000000001</v>
      </c>
      <c r="S6382">
        <v>2.5630799999999998</v>
      </c>
      <c r="T6382">
        <v>-0.2627739</v>
      </c>
      <c r="U6382">
        <v>1.5829469999999899</v>
      </c>
      <c r="V6382">
        <v>-0.25103599999999998</v>
      </c>
      <c r="W6382">
        <v>2.8399279999999999E-2</v>
      </c>
      <c r="X6382">
        <v>0.96756109999999995</v>
      </c>
      <c r="Y6382">
        <v>-0.31289909999999999</v>
      </c>
      <c r="Z6382">
        <v>-6.6567669999999897E-3</v>
      </c>
      <c r="AA6382">
        <v>0.94976309999999997</v>
      </c>
      <c r="AB6382">
        <v>23</v>
      </c>
      <c r="AC6382">
        <v>10.706999999999899</v>
      </c>
      <c r="AD6382">
        <v>-1.1090622149939999</v>
      </c>
      <c r="AE6382">
        <v>6.6512399999999996</v>
      </c>
      <c r="AF6382">
        <v>-3.94851843377048</v>
      </c>
      <c r="AG6382">
        <v>-1.1090622149939999</v>
      </c>
      <c r="AH6382">
        <v>11.868288949592699</v>
      </c>
      <c r="AI6382">
        <v>95.067111942279496</v>
      </c>
      <c r="AJ6382">
        <v>108.40201758462899</v>
      </c>
      <c r="AK6382">
        <v>12.556954225033101</v>
      </c>
    </row>
    <row r="6383" spans="1:37" x14ac:dyDescent="0.2">
      <c r="A6383" t="str">
        <f>"20200111155723748"</f>
        <v>20200111155723748</v>
      </c>
      <c r="B6383" t="str">
        <f>"1578729443739443"</f>
        <v>1578729443739443</v>
      </c>
      <c r="C6383" t="s">
        <v>37</v>
      </c>
      <c r="D6383">
        <v>5.1786000000000003</v>
      </c>
      <c r="E6383">
        <v>0.47191379999999999</v>
      </c>
      <c r="F6383" t="s">
        <v>75</v>
      </c>
      <c r="G6383">
        <v>-192.815</v>
      </c>
      <c r="H6383" s="1">
        <v>-8.2383750000000006E-6</v>
      </c>
      <c r="I6383">
        <v>-55.458240000000004</v>
      </c>
      <c r="J6383">
        <v>-203.44739999999999</v>
      </c>
      <c r="K6383">
        <v>1.1091070000000001</v>
      </c>
      <c r="L6383">
        <v>-62.153410000000001</v>
      </c>
      <c r="M6383">
        <v>0.97177259999999999</v>
      </c>
      <c r="N6383">
        <v>0</v>
      </c>
      <c r="O6383">
        <v>0.23550409999999999</v>
      </c>
      <c r="P6383">
        <v>0.88070020000000004</v>
      </c>
      <c r="Q6383">
        <v>1.744306E-2</v>
      </c>
      <c r="R6383">
        <v>0.47335280000000002</v>
      </c>
      <c r="S6383">
        <v>2.55325299999999</v>
      </c>
      <c r="T6383">
        <v>-0.2637775</v>
      </c>
      <c r="U6383">
        <v>1.5990599999999999</v>
      </c>
      <c r="V6383">
        <v>-0.25290119999999999</v>
      </c>
      <c r="W6383">
        <v>2.8485090000000001E-2</v>
      </c>
      <c r="X6383">
        <v>0.96707269999999901</v>
      </c>
      <c r="Y6383">
        <v>-0.31592750000000003</v>
      </c>
      <c r="Z6383">
        <v>-6.813731E-3</v>
      </c>
      <c r="AA6383">
        <v>0.94875889999999996</v>
      </c>
      <c r="AB6383">
        <v>23</v>
      </c>
      <c r="AC6383">
        <v>10.632399999999899</v>
      </c>
      <c r="AD6383">
        <v>-1.109115238375</v>
      </c>
      <c r="AE6383">
        <v>6.6951699999999903</v>
      </c>
      <c r="AF6383">
        <v>-3.97165406834797</v>
      </c>
      <c r="AG6383">
        <v>-1.109115238375</v>
      </c>
      <c r="AH6383">
        <v>11.818095504971099</v>
      </c>
      <c r="AI6383">
        <v>95.083633075219097</v>
      </c>
      <c r="AJ6383">
        <v>108.57572014859799</v>
      </c>
      <c r="AK6383">
        <v>12.5168508026276</v>
      </c>
    </row>
    <row r="6384" spans="1:37" x14ac:dyDescent="0.2">
      <c r="A6384" t="str">
        <f>"20200111155723759"</f>
        <v>20200111155723759</v>
      </c>
      <c r="B6384" t="str">
        <f>"1578729443749204"</f>
        <v>1578729443749204</v>
      </c>
      <c r="C6384" t="s">
        <v>37</v>
      </c>
      <c r="D6384">
        <v>5.1896599999999999</v>
      </c>
      <c r="E6384">
        <v>0.47172309999999901</v>
      </c>
      <c r="F6384" t="s">
        <v>75</v>
      </c>
      <c r="G6384">
        <v>-192.73070000000001</v>
      </c>
      <c r="H6384" s="1">
        <v>-8.2694449999999904E-6</v>
      </c>
      <c r="I6384">
        <v>-55.349619999999902</v>
      </c>
      <c r="J6384">
        <v>-203.33799999999999</v>
      </c>
      <c r="K6384">
        <v>1.1091629999999999</v>
      </c>
      <c r="L6384">
        <v>-62.1233199999999</v>
      </c>
      <c r="M6384">
        <v>0.97099519999999995</v>
      </c>
      <c r="N6384">
        <v>0</v>
      </c>
      <c r="O6384">
        <v>0.23868919999999999</v>
      </c>
      <c r="P6384">
        <v>0.87833919999999999</v>
      </c>
      <c r="Q6384">
        <v>1.7816329999999998E-2</v>
      </c>
      <c r="R6384">
        <v>0.47770600000000002</v>
      </c>
      <c r="S6384">
        <v>2.5436399999999999</v>
      </c>
      <c r="T6384">
        <v>-0.26325159999999997</v>
      </c>
      <c r="U6384">
        <v>1.6148990000000001</v>
      </c>
      <c r="V6384">
        <v>-0.25452529999999901</v>
      </c>
      <c r="W6384">
        <v>2.8817309999999999E-2</v>
      </c>
      <c r="X6384">
        <v>0.96663670000000002</v>
      </c>
      <c r="Y6384">
        <v>-0.31865149999999998</v>
      </c>
      <c r="Z6384">
        <v>-6.9633960000000002E-3</v>
      </c>
      <c r="AA6384">
        <v>0.94784639999999998</v>
      </c>
      <c r="AB6384">
        <v>23</v>
      </c>
      <c r="AC6384">
        <v>10.607299999999899</v>
      </c>
      <c r="AD6384">
        <v>-1.109171269445</v>
      </c>
      <c r="AE6384">
        <v>6.7736999999999901</v>
      </c>
      <c r="AF6384">
        <v>-4.01459731351932</v>
      </c>
      <c r="AG6384">
        <v>-1.109171269445</v>
      </c>
      <c r="AH6384">
        <v>11.8257635497497</v>
      </c>
      <c r="AI6384">
        <v>95.075381652785694</v>
      </c>
      <c r="AJ6384">
        <v>108.751266434857</v>
      </c>
      <c r="AK6384">
        <v>12.537780346986001</v>
      </c>
    </row>
    <row r="6385" spans="1:37" x14ac:dyDescent="0.2">
      <c r="A6385" t="str">
        <f>"20200111155723770"</f>
        <v>20200111155723770</v>
      </c>
      <c r="B6385" t="str">
        <f>"1578729443759938"</f>
        <v>1578729443759938</v>
      </c>
      <c r="C6385" t="s">
        <v>37</v>
      </c>
      <c r="D6385">
        <v>5.1847620000000001</v>
      </c>
      <c r="E6385">
        <v>0.47158699999999998</v>
      </c>
      <c r="F6385" t="s">
        <v>75</v>
      </c>
      <c r="G6385">
        <v>-192.58619999999999</v>
      </c>
      <c r="H6385" s="1">
        <v>-8.3043899999999905E-6</v>
      </c>
      <c r="I6385">
        <v>-55.213799999999999</v>
      </c>
      <c r="J6385">
        <v>-203.22810000000001</v>
      </c>
      <c r="K6385">
        <v>1.109224</v>
      </c>
      <c r="L6385">
        <v>-62.092410000000001</v>
      </c>
      <c r="M6385">
        <v>0.97018579999999999</v>
      </c>
      <c r="N6385">
        <v>0</v>
      </c>
      <c r="O6385">
        <v>0.24195759999999999</v>
      </c>
      <c r="P6385">
        <v>0.87605129999999998</v>
      </c>
      <c r="Q6385">
        <v>1.837952E-2</v>
      </c>
      <c r="R6385">
        <v>0.48186769999999901</v>
      </c>
      <c r="S6385">
        <v>2.5348660000000001</v>
      </c>
      <c r="T6385">
        <v>-0.2614995</v>
      </c>
      <c r="U6385">
        <v>1.6289979999999999</v>
      </c>
      <c r="V6385">
        <v>-0.2558684</v>
      </c>
      <c r="W6385">
        <v>2.9340169999999999E-2</v>
      </c>
      <c r="X6385">
        <v>0.96626630000000002</v>
      </c>
      <c r="Y6385">
        <v>-0.32069049999999999</v>
      </c>
      <c r="Z6385">
        <v>-7.1184949999999999E-3</v>
      </c>
      <c r="AA6385">
        <v>0.94715729999999998</v>
      </c>
      <c r="AB6385">
        <v>23</v>
      </c>
      <c r="AC6385">
        <v>10.6419</v>
      </c>
      <c r="AD6385">
        <v>-1.1092323043900001</v>
      </c>
      <c r="AE6385">
        <v>6.8786100000000001</v>
      </c>
      <c r="AF6385">
        <v>-4.0678712560743202</v>
      </c>
      <c r="AG6385">
        <v>-1.1092323043900001</v>
      </c>
      <c r="AH6385">
        <v>11.8989470518756</v>
      </c>
      <c r="AI6385">
        <v>95.040944822487504</v>
      </c>
      <c r="AJ6385">
        <v>108.873925352296</v>
      </c>
      <c r="AK6385">
        <v>12.6239024792034</v>
      </c>
    </row>
    <row r="6386" spans="1:37" x14ac:dyDescent="0.2">
      <c r="A6386" t="str">
        <f>"20200111155723782"</f>
        <v>20200111155723782</v>
      </c>
      <c r="B6386" t="str">
        <f>"1578729443779090"</f>
        <v>1578729443779090</v>
      </c>
      <c r="C6386" t="s">
        <v>37</v>
      </c>
      <c r="D6386">
        <v>5.1689119999999997</v>
      </c>
      <c r="E6386">
        <v>0.47126359999999901</v>
      </c>
      <c r="F6386" t="s">
        <v>75</v>
      </c>
      <c r="G6386">
        <v>-192.404</v>
      </c>
      <c r="H6386" s="1">
        <v>-8.3436639999999993E-6</v>
      </c>
      <c r="I6386">
        <v>-55.05574</v>
      </c>
      <c r="J6386">
        <v>-203.11879999999999</v>
      </c>
      <c r="K6386">
        <v>1.109286</v>
      </c>
      <c r="L6386">
        <v>-62.061430000000001</v>
      </c>
      <c r="M6386">
        <v>0.96936299999999997</v>
      </c>
      <c r="N6386">
        <v>0</v>
      </c>
      <c r="O6386">
        <v>0.24523209999999901</v>
      </c>
      <c r="P6386">
        <v>0.87383809999999995</v>
      </c>
      <c r="Q6386">
        <v>1.9712049999999998E-2</v>
      </c>
      <c r="R6386">
        <v>0.4858172</v>
      </c>
      <c r="S6386">
        <v>2.52648899999999</v>
      </c>
      <c r="T6386">
        <v>-0.25891019999999998</v>
      </c>
      <c r="U6386">
        <v>1.6424559999999999</v>
      </c>
      <c r="V6386">
        <v>-0.25699129999999998</v>
      </c>
      <c r="W6386">
        <v>3.0635160000000002E-2</v>
      </c>
      <c r="X6386">
        <v>0.96592800000000001</v>
      </c>
      <c r="Y6386">
        <v>-0.32248459999999901</v>
      </c>
      <c r="Z6386">
        <v>-7.2591799999999996E-3</v>
      </c>
      <c r="AA6386">
        <v>0.94654689999999997</v>
      </c>
      <c r="AB6386">
        <v>23</v>
      </c>
      <c r="AC6386">
        <v>10.714799999999901</v>
      </c>
      <c r="AD6386">
        <v>-1.1092943436639999</v>
      </c>
      <c r="AE6386">
        <v>7.0056900000000004</v>
      </c>
      <c r="AF6386">
        <v>-4.1328220079310896</v>
      </c>
      <c r="AG6386">
        <v>-1.1092943436639999</v>
      </c>
      <c r="AH6386">
        <v>12.0155228377937</v>
      </c>
      <c r="AI6386">
        <v>94.989380740880094</v>
      </c>
      <c r="AJ6386">
        <v>108.981008973446</v>
      </c>
      <c r="AK6386">
        <v>12.7547458130559</v>
      </c>
    </row>
    <row r="6387" spans="1:37" x14ac:dyDescent="0.2">
      <c r="A6387" t="str">
        <f>"20200111155723793"</f>
        <v>20200111155723793</v>
      </c>
      <c r="B6387" t="str">
        <f>"1578729443789826"</f>
        <v>1578729443789826</v>
      </c>
      <c r="C6387" t="s">
        <v>37</v>
      </c>
      <c r="D6387">
        <v>5.1558459999999897</v>
      </c>
      <c r="E6387">
        <v>0.47111049999999899</v>
      </c>
      <c r="F6387" t="s">
        <v>75</v>
      </c>
      <c r="G6387">
        <v>-192.13839999999999</v>
      </c>
      <c r="H6387" s="1">
        <v>-8.397275E-6</v>
      </c>
      <c r="I6387">
        <v>-54.835299999999997</v>
      </c>
      <c r="J6387">
        <v>-203.00980000000001</v>
      </c>
      <c r="K6387">
        <v>1.1093469999999901</v>
      </c>
      <c r="L6387">
        <v>-62.03</v>
      </c>
      <c r="M6387">
        <v>0.96851860000000001</v>
      </c>
      <c r="N6387">
        <v>0</v>
      </c>
      <c r="O6387">
        <v>0.24854589999999999</v>
      </c>
      <c r="P6387">
        <v>0.87177780000000005</v>
      </c>
      <c r="Q6387">
        <v>2.0997709999999999E-2</v>
      </c>
      <c r="R6387">
        <v>0.48945119999999998</v>
      </c>
      <c r="S6387">
        <v>2.5177149999999999</v>
      </c>
      <c r="T6387">
        <v>-0.25435189999999902</v>
      </c>
      <c r="U6387">
        <v>1.6568909999999999</v>
      </c>
      <c r="V6387">
        <v>-0.25773459999999998</v>
      </c>
      <c r="W6387">
        <v>3.1888619999999999E-2</v>
      </c>
      <c r="X6387">
        <v>0.96568940000000003</v>
      </c>
      <c r="Y6387">
        <v>-0.32456299999999999</v>
      </c>
      <c r="Z6387">
        <v>-7.3293840000000004E-3</v>
      </c>
      <c r="AA6387">
        <v>0.9458356</v>
      </c>
      <c r="AB6387">
        <v>23</v>
      </c>
      <c r="AC6387">
        <v>10.8714</v>
      </c>
      <c r="AD6387">
        <v>-1.1093553972750001</v>
      </c>
      <c r="AE6387">
        <v>7.1947000000000001</v>
      </c>
      <c r="AF6387">
        <v>-4.2359048910831296</v>
      </c>
      <c r="AG6387">
        <v>-1.1093553972750001</v>
      </c>
      <c r="AH6387">
        <v>12.230016197779801</v>
      </c>
      <c r="AI6387">
        <v>94.898970112118405</v>
      </c>
      <c r="AJ6387">
        <v>109.103689837174</v>
      </c>
      <c r="AK6387">
        <v>12.9902600374943</v>
      </c>
    </row>
    <row r="6388" spans="1:37" x14ac:dyDescent="0.2">
      <c r="A6388" t="str">
        <f>"20200111155723805"</f>
        <v>20200111155723805</v>
      </c>
      <c r="B6388" t="str">
        <f>"1578729443799585"</f>
        <v>1578729443799585</v>
      </c>
      <c r="C6388" t="s">
        <v>37</v>
      </c>
      <c r="D6388">
        <v>5.1753609999999997</v>
      </c>
      <c r="E6388">
        <v>0.47098089999999998</v>
      </c>
      <c r="F6388" t="s">
        <v>75</v>
      </c>
      <c r="G6388">
        <v>-191.87440000000001</v>
      </c>
      <c r="H6388" s="1">
        <v>-8.4471920000000008E-6</v>
      </c>
      <c r="I6388">
        <v>-54.625480000000003</v>
      </c>
      <c r="J6388">
        <v>-202.89670000000001</v>
      </c>
      <c r="K6388">
        <v>1.10941</v>
      </c>
      <c r="L6388">
        <v>-61.99689</v>
      </c>
      <c r="M6388">
        <v>0.96761749999999902</v>
      </c>
      <c r="N6388">
        <v>0</v>
      </c>
      <c r="O6388">
        <v>0.2520307</v>
      </c>
      <c r="P6388">
        <v>0.86979969999999995</v>
      </c>
      <c r="Q6388">
        <v>2.2801350000000001E-2</v>
      </c>
      <c r="R6388">
        <v>0.49287799999999998</v>
      </c>
      <c r="S6388">
        <v>2.5101469999999999</v>
      </c>
      <c r="T6388">
        <v>-0.25007119999999999</v>
      </c>
      <c r="U6388">
        <v>1.6691279999999999</v>
      </c>
      <c r="V6388">
        <v>-0.2580925</v>
      </c>
      <c r="W6388">
        <v>3.3664359999999997E-2</v>
      </c>
      <c r="X6388">
        <v>0.96553349999999905</v>
      </c>
      <c r="Y6388">
        <v>-0.32568759999999902</v>
      </c>
      <c r="Z6388">
        <v>-7.4574699999999999E-3</v>
      </c>
      <c r="AA6388">
        <v>0.94544799999999996</v>
      </c>
      <c r="AB6388">
        <v>23</v>
      </c>
      <c r="AC6388">
        <v>11.0223</v>
      </c>
      <c r="AD6388">
        <v>-1.1094184471919999</v>
      </c>
      <c r="AE6388">
        <v>7.3714099999999902</v>
      </c>
      <c r="AF6388">
        <v>-4.3249016156870299</v>
      </c>
      <c r="AG6388">
        <v>-1.1094184471919999</v>
      </c>
      <c r="AH6388">
        <v>12.437362989056901</v>
      </c>
      <c r="AI6388">
        <v>94.815906766141595</v>
      </c>
      <c r="AJ6388">
        <v>109.17433250920401</v>
      </c>
      <c r="AK6388">
        <v>13.2145216106336</v>
      </c>
    </row>
    <row r="6389" spans="1:37" x14ac:dyDescent="0.2">
      <c r="A6389" t="str">
        <f>"20200111155723815"</f>
        <v>20200111155723815</v>
      </c>
      <c r="B6389" t="str">
        <f>"1578729443809346"</f>
        <v>1578729443809346</v>
      </c>
      <c r="C6389" t="s">
        <v>37</v>
      </c>
      <c r="D6389">
        <v>5.2495250000000002</v>
      </c>
      <c r="E6389">
        <v>0.47082970000000002</v>
      </c>
      <c r="F6389" t="s">
        <v>75</v>
      </c>
      <c r="G6389">
        <v>-191.52940000000001</v>
      </c>
      <c r="H6389" s="1">
        <v>-8.5083779999999995E-6</v>
      </c>
      <c r="I6389">
        <v>-54.362419999999901</v>
      </c>
      <c r="J6389">
        <v>-202.79169999999999</v>
      </c>
      <c r="K6389">
        <v>1.1094660000000001</v>
      </c>
      <c r="L6389">
        <v>-61.965789999999998</v>
      </c>
      <c r="M6389">
        <v>0.96676090000000003</v>
      </c>
      <c r="N6389">
        <v>0</v>
      </c>
      <c r="O6389">
        <v>0.25529589999999902</v>
      </c>
      <c r="P6389">
        <v>0.8681101</v>
      </c>
      <c r="Q6389">
        <v>2.4367920000000001E-2</v>
      </c>
      <c r="R6389">
        <v>0.49577309999999902</v>
      </c>
      <c r="S6389">
        <v>2.5029140000000001</v>
      </c>
      <c r="T6389">
        <v>-0.244278</v>
      </c>
      <c r="U6389">
        <v>1.681</v>
      </c>
      <c r="V6389">
        <v>-0.25808110000000001</v>
      </c>
      <c r="W6389">
        <v>3.5210789999999999E-2</v>
      </c>
      <c r="X6389">
        <v>0.96548140000000005</v>
      </c>
      <c r="Y6389">
        <v>-0.32686909999999902</v>
      </c>
      <c r="Z6389">
        <v>-7.50934699999999E-3</v>
      </c>
      <c r="AA6389">
        <v>0.94503979999999999</v>
      </c>
      <c r="AB6389">
        <v>23</v>
      </c>
      <c r="AC6389">
        <v>11.2622999999999</v>
      </c>
      <c r="AD6389">
        <v>-1.109474508378</v>
      </c>
      <c r="AE6389">
        <v>7.6033700000000097</v>
      </c>
      <c r="AF6389">
        <v>-4.4462237298497298</v>
      </c>
      <c r="AG6389">
        <v>-1.109474508378</v>
      </c>
      <c r="AH6389">
        <v>12.7453624540604</v>
      </c>
      <c r="AI6389">
        <v>94.698670356636697</v>
      </c>
      <c r="AJ6389">
        <v>109.231341903843</v>
      </c>
      <c r="AK6389">
        <v>13.5441538394243</v>
      </c>
    </row>
    <row r="6390" spans="1:37" x14ac:dyDescent="0.2">
      <c r="A6390" t="str">
        <f>"20200111155723826"</f>
        <v>20200111155723826</v>
      </c>
      <c r="B6390" t="str">
        <f>"1578729443819105"</f>
        <v>1578729443819105</v>
      </c>
      <c r="C6390" t="s">
        <v>37</v>
      </c>
      <c r="D6390">
        <v>5.1390419999999999</v>
      </c>
      <c r="E6390">
        <v>0.47031919999999999</v>
      </c>
      <c r="F6390" t="s">
        <v>75</v>
      </c>
      <c r="G6390">
        <v>-191.21299999999999</v>
      </c>
      <c r="H6390" s="1">
        <v>-8.5640990000000005E-6</v>
      </c>
      <c r="I6390">
        <v>-54.122230000000002</v>
      </c>
      <c r="J6390">
        <v>-202.68700000000001</v>
      </c>
      <c r="K6390">
        <v>1.1095189999999999</v>
      </c>
      <c r="L6390">
        <v>-61.934199999999997</v>
      </c>
      <c r="M6390">
        <v>0.96587939999999906</v>
      </c>
      <c r="N6390">
        <v>0</v>
      </c>
      <c r="O6390">
        <v>0.25861069999999903</v>
      </c>
      <c r="P6390">
        <v>0.86643869999999901</v>
      </c>
      <c r="Q6390">
        <v>2.560753E-2</v>
      </c>
      <c r="R6390">
        <v>0.49862640000000003</v>
      </c>
      <c r="S6390">
        <v>2.4966279999999998</v>
      </c>
      <c r="T6390">
        <v>-0.23922840000000001</v>
      </c>
      <c r="U6390">
        <v>1.691254</v>
      </c>
      <c r="V6390">
        <v>-0.25797170000000003</v>
      </c>
      <c r="W6390">
        <v>3.6432140000000002E-2</v>
      </c>
      <c r="X6390">
        <v>0.96546529999999997</v>
      </c>
      <c r="Y6390">
        <v>-0.32741129999999902</v>
      </c>
      <c r="Z6390">
        <v>-7.6050650000000003E-3</v>
      </c>
      <c r="AA6390">
        <v>0.94485129999999995</v>
      </c>
      <c r="AB6390">
        <v>23</v>
      </c>
      <c r="AC6390">
        <v>11.474</v>
      </c>
      <c r="AD6390">
        <v>-1.1095275640990001</v>
      </c>
      <c r="AE6390">
        <v>7.8119699999999899</v>
      </c>
      <c r="AF6390">
        <v>-4.5495065481808297</v>
      </c>
      <c r="AG6390">
        <v>-1.1095275640990001</v>
      </c>
      <c r="AH6390">
        <v>13.0208615375813</v>
      </c>
      <c r="AI6390">
        <v>94.599119416403795</v>
      </c>
      <c r="AJ6390">
        <v>109.25948341803399</v>
      </c>
      <c r="AK6390">
        <v>13.837337042520099</v>
      </c>
    </row>
    <row r="6391" spans="1:37" x14ac:dyDescent="0.2">
      <c r="A6391" t="str">
        <f>"20200111155723837"</f>
        <v>20200111155723837</v>
      </c>
      <c r="B6391" t="str">
        <f>"1578729443829841"</f>
        <v>1578729443829841</v>
      </c>
      <c r="C6391" t="s">
        <v>37</v>
      </c>
      <c r="D6391">
        <v>5.1933550000000004</v>
      </c>
      <c r="E6391">
        <v>0.4703117</v>
      </c>
      <c r="F6391" t="s">
        <v>75</v>
      </c>
      <c r="G6391">
        <v>-190.81799999999899</v>
      </c>
      <c r="H6391" s="1">
        <v>-8.639061E-6</v>
      </c>
      <c r="I6391">
        <v>-53.807510000000001</v>
      </c>
      <c r="J6391">
        <v>-202.58330000000001</v>
      </c>
      <c r="K6391">
        <v>1.109569</v>
      </c>
      <c r="L6391">
        <v>-61.902709999999999</v>
      </c>
      <c r="M6391">
        <v>0.96498949999999994</v>
      </c>
      <c r="N6391">
        <v>0</v>
      </c>
      <c r="O6391">
        <v>0.2619109</v>
      </c>
      <c r="P6391">
        <v>0.86512060000000002</v>
      </c>
      <c r="Q6391">
        <v>2.7035219999999999E-2</v>
      </c>
      <c r="R6391">
        <v>0.50083480000000002</v>
      </c>
      <c r="S6391">
        <v>2.4887079999999999</v>
      </c>
      <c r="T6391">
        <v>-0.232646299999999</v>
      </c>
      <c r="U6391">
        <v>1.70400999999999</v>
      </c>
      <c r="V6391">
        <v>-0.2571639</v>
      </c>
      <c r="W6391">
        <v>3.7852129999999998E-2</v>
      </c>
      <c r="X6391">
        <v>0.96562619999999899</v>
      </c>
      <c r="Y6391">
        <v>-0.32889750000000001</v>
      </c>
      <c r="Z6391">
        <v>-7.6004949999999996E-3</v>
      </c>
      <c r="AA6391">
        <v>0.94433500000000004</v>
      </c>
      <c r="AB6391">
        <v>23</v>
      </c>
      <c r="AC6391">
        <v>11.7653</v>
      </c>
      <c r="AD6391">
        <v>-1.1095776390609999</v>
      </c>
      <c r="AE6391">
        <v>8.0951999999999895</v>
      </c>
      <c r="AF6391">
        <v>-4.7024050721233701</v>
      </c>
      <c r="AG6391">
        <v>-1.1095776390609999</v>
      </c>
      <c r="AH6391">
        <v>13.394092954092001</v>
      </c>
      <c r="AI6391">
        <v>94.469358942743</v>
      </c>
      <c r="AJ6391">
        <v>109.34518044125601</v>
      </c>
      <c r="AK6391">
        <v>14.2388729210669</v>
      </c>
    </row>
    <row r="6392" spans="1:37" x14ac:dyDescent="0.2">
      <c r="A6392" t="str">
        <f>"20200111155723850"</f>
        <v>20200111155723850</v>
      </c>
      <c r="B6392" t="str">
        <f>"1578729443839602"</f>
        <v>1578729443839602</v>
      </c>
      <c r="C6392" t="s">
        <v>37</v>
      </c>
      <c r="D6392">
        <v>5.1972399999999999</v>
      </c>
      <c r="E6392">
        <v>0.47031309999999898</v>
      </c>
      <c r="F6392" t="s">
        <v>75</v>
      </c>
      <c r="G6392">
        <v>-190.49959999999999</v>
      </c>
      <c r="H6392" s="1">
        <v>-8.6901829999999902E-6</v>
      </c>
      <c r="I6392">
        <v>-53.579450000000001</v>
      </c>
      <c r="J6392">
        <v>-202.47</v>
      </c>
      <c r="K6392">
        <v>1.109623</v>
      </c>
      <c r="L6392">
        <v>-61.867519999999899</v>
      </c>
      <c r="M6392">
        <v>0.96398240000000002</v>
      </c>
      <c r="N6392">
        <v>0</v>
      </c>
      <c r="O6392">
        <v>0.26559329999999998</v>
      </c>
      <c r="P6392">
        <v>0.86368319999999998</v>
      </c>
      <c r="Q6392">
        <v>2.7897290000000002E-2</v>
      </c>
      <c r="R6392">
        <v>0.50326229999999905</v>
      </c>
      <c r="S6392">
        <v>2.4842379999999999</v>
      </c>
      <c r="T6392">
        <v>-0.2281145</v>
      </c>
      <c r="U6392">
        <v>1.7111509999999901</v>
      </c>
      <c r="V6392">
        <v>-0.25620959999999998</v>
      </c>
      <c r="W6392">
        <v>3.8707900000000003E-2</v>
      </c>
      <c r="X6392">
        <v>0.96584590000000003</v>
      </c>
      <c r="Y6392">
        <v>-0.3279475</v>
      </c>
      <c r="Z6392">
        <v>-7.7805679999999999E-3</v>
      </c>
      <c r="AA6392">
        <v>0.9446639</v>
      </c>
      <c r="AB6392">
        <v>23</v>
      </c>
      <c r="AC6392">
        <v>11.9704</v>
      </c>
      <c r="AD6392">
        <v>-1.1096316901829999</v>
      </c>
      <c r="AE6392">
        <v>8.2880699999999905</v>
      </c>
      <c r="AF6392">
        <v>-4.7829905907314396</v>
      </c>
      <c r="AG6392">
        <v>-1.1096316901829999</v>
      </c>
      <c r="AH6392">
        <v>13.662514664124</v>
      </c>
      <c r="AI6392">
        <v>94.383471310334997</v>
      </c>
      <c r="AJ6392">
        <v>109.294194774499</v>
      </c>
      <c r="AK6392">
        <v>14.5180091068399</v>
      </c>
    </row>
    <row r="6393" spans="1:37" x14ac:dyDescent="0.2">
      <c r="A6393" t="str">
        <f>"20200111155723862"</f>
        <v>20200111155723862</v>
      </c>
      <c r="B6393" t="str">
        <f>"1578729443849364"</f>
        <v>1578729443849364</v>
      </c>
      <c r="C6393" t="s">
        <v>37</v>
      </c>
      <c r="D6393">
        <v>5.1788160000000003</v>
      </c>
      <c r="E6393">
        <v>0.47025420000000001</v>
      </c>
      <c r="F6393" t="s">
        <v>75</v>
      </c>
      <c r="G6393">
        <v>-190.26</v>
      </c>
      <c r="H6393" s="1">
        <v>-8.7310490000000006E-6</v>
      </c>
      <c r="I6393">
        <v>-53.401200000000003</v>
      </c>
      <c r="J6393">
        <v>-202.35390000000001</v>
      </c>
      <c r="K6393">
        <v>1.1096820000000001</v>
      </c>
      <c r="L6393">
        <v>-61.831150000000001</v>
      </c>
      <c r="M6393">
        <v>0.96292719999999898</v>
      </c>
      <c r="N6393">
        <v>0</v>
      </c>
      <c r="O6393">
        <v>0.2693932</v>
      </c>
      <c r="P6393">
        <v>0.8623421</v>
      </c>
      <c r="Q6393">
        <v>2.8585119999999999E-2</v>
      </c>
      <c r="R6393">
        <v>0.50551859999999904</v>
      </c>
      <c r="S6393">
        <v>2.4791110000000001</v>
      </c>
      <c r="T6393">
        <v>-0.22529859999999999</v>
      </c>
      <c r="U6393">
        <v>1.7189939999999999</v>
      </c>
      <c r="V6393">
        <v>-0.25494250000000002</v>
      </c>
      <c r="W6393">
        <v>3.9394489999999997E-2</v>
      </c>
      <c r="X6393">
        <v>0.96615339999999905</v>
      </c>
      <c r="Y6393">
        <v>-0.32717109999999999</v>
      </c>
      <c r="Z6393">
        <v>-8.0111760000000001E-3</v>
      </c>
      <c r="AA6393">
        <v>0.94493110000000002</v>
      </c>
      <c r="AB6393">
        <v>23</v>
      </c>
      <c r="AC6393">
        <v>12.0939</v>
      </c>
      <c r="AD6393">
        <v>-1.1096907310490001</v>
      </c>
      <c r="AE6393">
        <v>8.4299499999999892</v>
      </c>
      <c r="AF6393">
        <v>-4.8325141713423498</v>
      </c>
      <c r="AG6393">
        <v>-1.1096907310490001</v>
      </c>
      <c r="AH6393">
        <v>13.839480814178099</v>
      </c>
      <c r="AI6393">
        <v>94.329069816396299</v>
      </c>
      <c r="AJ6393">
        <v>109.24834357973999</v>
      </c>
      <c r="AK6393">
        <v>14.700878747231499</v>
      </c>
    </row>
    <row r="6394" spans="1:37" x14ac:dyDescent="0.2">
      <c r="A6394" t="str">
        <f>"20200111155723872"</f>
        <v>20200111155723872</v>
      </c>
      <c r="B6394" t="str">
        <f>"1578729443869858"</f>
        <v>1578729443869858</v>
      </c>
      <c r="C6394" t="s">
        <v>37</v>
      </c>
      <c r="D6394">
        <v>5.1385360000000002</v>
      </c>
      <c r="E6394">
        <v>0.47010219999999903</v>
      </c>
      <c r="F6394" t="s">
        <v>75</v>
      </c>
      <c r="G6394">
        <v>-190.00790000000001</v>
      </c>
      <c r="H6394" s="1">
        <v>-8.7732809999999992E-6</v>
      </c>
      <c r="I6394">
        <v>-53.215800000000002</v>
      </c>
      <c r="J6394">
        <v>-202.2441</v>
      </c>
      <c r="K6394">
        <v>1.109731</v>
      </c>
      <c r="L6394">
        <v>-61.796109999999999</v>
      </c>
      <c r="M6394">
        <v>0.96189979999999997</v>
      </c>
      <c r="N6394">
        <v>0</v>
      </c>
      <c r="O6394">
        <v>0.27303909999999998</v>
      </c>
      <c r="P6394">
        <v>0.86096329999999999</v>
      </c>
      <c r="Q6394">
        <v>2.9347620000000001E-2</v>
      </c>
      <c r="R6394">
        <v>0.50781989999999999</v>
      </c>
      <c r="S6394">
        <v>2.4741520000000001</v>
      </c>
      <c r="T6394">
        <v>-0.2223841</v>
      </c>
      <c r="U6394">
        <v>1.726532</v>
      </c>
      <c r="V6394">
        <v>-0.253882</v>
      </c>
      <c r="W6394">
        <v>4.0154929999999998E-2</v>
      </c>
      <c r="X6394">
        <v>0.96640130000000002</v>
      </c>
      <c r="Y6394">
        <v>-0.32643179999999999</v>
      </c>
      <c r="Z6394">
        <v>-8.2167790000000004E-3</v>
      </c>
      <c r="AA6394">
        <v>0.9451851</v>
      </c>
      <c r="AB6394">
        <v>23</v>
      </c>
      <c r="AC6394">
        <v>12.236199999999901</v>
      </c>
      <c r="AD6394">
        <v>-1.1097397732809999</v>
      </c>
      <c r="AE6394">
        <v>8.5803099999999901</v>
      </c>
      <c r="AF6394">
        <v>-4.8859837708770604</v>
      </c>
      <c r="AG6394">
        <v>-1.1097397732809999</v>
      </c>
      <c r="AH6394">
        <v>14.0367606997808</v>
      </c>
      <c r="AI6394">
        <v>94.270093509497599</v>
      </c>
      <c r="AJ6394">
        <v>109.19223298553</v>
      </c>
      <c r="AK6394">
        <v>14.9041944001206</v>
      </c>
    </row>
    <row r="6395" spans="1:37" x14ac:dyDescent="0.2">
      <c r="A6395" t="str">
        <f>"20200111155723884"</f>
        <v>20200111155723884</v>
      </c>
      <c r="B6395" t="str">
        <f>"1578729443879266"</f>
        <v>1578729443879266</v>
      </c>
      <c r="C6395" t="s">
        <v>37</v>
      </c>
      <c r="D6395">
        <v>5.1455510000000002</v>
      </c>
      <c r="E6395">
        <v>0.47001179999999898</v>
      </c>
      <c r="F6395" t="s">
        <v>75</v>
      </c>
      <c r="G6395">
        <v>-189.72640000000001</v>
      </c>
      <c r="H6395" s="1">
        <v>-1.0655170000000001E-5</v>
      </c>
      <c r="I6395">
        <v>-53.000129999999999</v>
      </c>
      <c r="J6395">
        <v>-202.14709999999999</v>
      </c>
      <c r="K6395">
        <v>1.109774</v>
      </c>
      <c r="L6395">
        <v>-61.764800000000001</v>
      </c>
      <c r="M6395">
        <v>0.96097149999999998</v>
      </c>
      <c r="N6395">
        <v>0</v>
      </c>
      <c r="O6395">
        <v>0.27628759999999902</v>
      </c>
      <c r="P6395">
        <v>0.8599618</v>
      </c>
      <c r="Q6395">
        <v>3.0213400000000001E-2</v>
      </c>
      <c r="R6395">
        <v>0.50946329999999995</v>
      </c>
      <c r="S6395">
        <v>2.4687349999999899</v>
      </c>
      <c r="T6395">
        <v>-0.218863</v>
      </c>
      <c r="U6395">
        <v>1.7347410000000001</v>
      </c>
      <c r="V6395">
        <v>-0.25248289999999901</v>
      </c>
      <c r="W6395">
        <v>4.1026819999999999E-2</v>
      </c>
      <c r="X6395">
        <v>0.96673120000000001</v>
      </c>
      <c r="Y6395">
        <v>-0.32633099999999998</v>
      </c>
      <c r="Z6395">
        <v>-8.3367240000000002E-3</v>
      </c>
      <c r="AA6395">
        <v>0.94521880000000003</v>
      </c>
      <c r="AB6395">
        <v>23</v>
      </c>
      <c r="AC6395">
        <v>12.420699999999901</v>
      </c>
      <c r="AD6395">
        <v>-1.1097846551699999</v>
      </c>
      <c r="AE6395">
        <v>8.76466999999999</v>
      </c>
      <c r="AF6395">
        <v>-4.9649482794559701</v>
      </c>
      <c r="AG6395">
        <v>-1.1097846551699999</v>
      </c>
      <c r="AH6395">
        <v>14.2828157683062</v>
      </c>
      <c r="AI6395">
        <v>94.197572653071106</v>
      </c>
      <c r="AJ6395">
        <v>109.16831584684699</v>
      </c>
      <c r="AK6395">
        <v>15.161832332205099</v>
      </c>
    </row>
    <row r="6396" spans="1:37" x14ac:dyDescent="0.2">
      <c r="A6396" t="str">
        <f>"20200111155723894"</f>
        <v>20200111155723894</v>
      </c>
      <c r="B6396" t="str">
        <f>"1578729443889024"</f>
        <v>1578729443889024</v>
      </c>
      <c r="C6396" t="s">
        <v>37</v>
      </c>
      <c r="D6396">
        <v>5.1860759999999999</v>
      </c>
      <c r="E6396">
        <v>0.46992859999999997</v>
      </c>
      <c r="F6396" t="s">
        <v>75</v>
      </c>
      <c r="G6396">
        <v>-189.464</v>
      </c>
      <c r="H6396" s="1">
        <v>-1.0654549999999999E-5</v>
      </c>
      <c r="I6396">
        <v>-52.809379999999997</v>
      </c>
      <c r="J6396">
        <v>-202.03659999999999</v>
      </c>
      <c r="K6396">
        <v>1.109818</v>
      </c>
      <c r="L6396">
        <v>-61.728639999999999</v>
      </c>
      <c r="M6396">
        <v>0.95989020000000003</v>
      </c>
      <c r="N6396">
        <v>0</v>
      </c>
      <c r="O6396">
        <v>0.28002100000000002</v>
      </c>
      <c r="P6396">
        <v>0.85867070000000001</v>
      </c>
      <c r="Q6396">
        <v>3.1251420000000002E-2</v>
      </c>
      <c r="R6396">
        <v>0.51157399999999997</v>
      </c>
      <c r="S6396">
        <v>2.46499599999999</v>
      </c>
      <c r="T6396">
        <v>-0.215689399999999</v>
      </c>
      <c r="U6396">
        <v>1.7405090000000001</v>
      </c>
      <c r="V6396">
        <v>-0.25112479999999998</v>
      </c>
      <c r="W6396">
        <v>4.2070200000000002E-2</v>
      </c>
      <c r="X6396">
        <v>0.96704009999999996</v>
      </c>
      <c r="Y6396">
        <v>-0.3248241</v>
      </c>
      <c r="Z6396">
        <v>-8.5510180000000005E-3</v>
      </c>
      <c r="AA6396">
        <v>0.94573580000000002</v>
      </c>
      <c r="AB6396">
        <v>23</v>
      </c>
      <c r="AC6396">
        <v>12.5725999999999</v>
      </c>
      <c r="AD6396">
        <v>-1.10982865455</v>
      </c>
      <c r="AE6396">
        <v>8.9192599999999995</v>
      </c>
      <c r="AF6396">
        <v>-5.01542258762617</v>
      </c>
      <c r="AG6396">
        <v>-1.10982865455</v>
      </c>
      <c r="AH6396">
        <v>14.4922251223031</v>
      </c>
      <c r="AI6396">
        <v>94.1392606604783</v>
      </c>
      <c r="AJ6396">
        <v>109.089548749904</v>
      </c>
      <c r="AK6396">
        <v>15.3756551850789</v>
      </c>
    </row>
    <row r="6397" spans="1:37" x14ac:dyDescent="0.2">
      <c r="A6397" t="str">
        <f>"20200111155723906"</f>
        <v>20200111155723906</v>
      </c>
      <c r="B6397" t="str">
        <f>"1578729443899760"</f>
        <v>1578729443899760</v>
      </c>
      <c r="C6397" t="s">
        <v>37</v>
      </c>
      <c r="D6397">
        <v>5.1746819999999998</v>
      </c>
      <c r="E6397">
        <v>0.46990759999999998</v>
      </c>
      <c r="F6397" t="s">
        <v>75</v>
      </c>
      <c r="G6397">
        <v>-189.1584</v>
      </c>
      <c r="H6397" s="1">
        <v>-1.065201E-5</v>
      </c>
      <c r="I6397">
        <v>-52.581290000000003</v>
      </c>
      <c r="J6397">
        <v>-201.93190000000001</v>
      </c>
      <c r="K6397">
        <v>1.1098600000000001</v>
      </c>
      <c r="L6397">
        <v>-61.693819999999903</v>
      </c>
      <c r="M6397">
        <v>0.95884029999999998</v>
      </c>
      <c r="N6397">
        <v>0</v>
      </c>
      <c r="O6397">
        <v>0.28359469999999998</v>
      </c>
      <c r="P6397">
        <v>0.85744179999999903</v>
      </c>
      <c r="Q6397">
        <v>3.2332239999999998E-2</v>
      </c>
      <c r="R6397">
        <v>0.51356429999999997</v>
      </c>
      <c r="S6397">
        <v>2.4603269999999999</v>
      </c>
      <c r="T6397">
        <v>-0.21202770000000001</v>
      </c>
      <c r="U6397">
        <v>1.7475590000000001</v>
      </c>
      <c r="V6397">
        <v>-0.24979189999999901</v>
      </c>
      <c r="W6397">
        <v>4.3158780000000001E-2</v>
      </c>
      <c r="X6397">
        <v>0.96733729999999996</v>
      </c>
      <c r="Y6397">
        <v>-0.32396370000000002</v>
      </c>
      <c r="Z6397">
        <v>-8.6999989999999999E-3</v>
      </c>
      <c r="AA6397">
        <v>0.94602949999999997</v>
      </c>
      <c r="AB6397">
        <v>23</v>
      </c>
      <c r="AC6397">
        <v>12.7735</v>
      </c>
      <c r="AD6397">
        <v>-1.1098706520099999</v>
      </c>
      <c r="AE6397">
        <v>9.1125299999999907</v>
      </c>
      <c r="AF6397">
        <v>-5.0900071565216196</v>
      </c>
      <c r="AG6397">
        <v>-1.1098706520099999</v>
      </c>
      <c r="AH6397">
        <v>14.759643405190699</v>
      </c>
      <c r="AI6397">
        <v>94.066193527562206</v>
      </c>
      <c r="AJ6397">
        <v>109.027253800563</v>
      </c>
      <c r="AK6397">
        <v>15.652062457261801</v>
      </c>
    </row>
    <row r="6398" spans="1:37" x14ac:dyDescent="0.2">
      <c r="A6398" t="str">
        <f>"20200111155723916"</f>
        <v>20200111155723916</v>
      </c>
      <c r="B6398" t="str">
        <f>"1578729443909522"</f>
        <v>1578729443909522</v>
      </c>
      <c r="C6398" t="s">
        <v>37</v>
      </c>
      <c r="D6398">
        <v>5.2696059999999996</v>
      </c>
      <c r="E6398">
        <v>0.46991129999999998</v>
      </c>
      <c r="F6398" t="s">
        <v>75</v>
      </c>
      <c r="G6398">
        <v>-188.86680000000001</v>
      </c>
      <c r="H6398" s="1">
        <v>-1.065039E-5</v>
      </c>
      <c r="I6398">
        <v>-52.366349999999997</v>
      </c>
      <c r="J6398">
        <v>-201.82900000000001</v>
      </c>
      <c r="K6398">
        <v>1.1098980000000001</v>
      </c>
      <c r="L6398">
        <v>-61.659329999999997</v>
      </c>
      <c r="M6398">
        <v>0.95779040000000004</v>
      </c>
      <c r="N6398">
        <v>0</v>
      </c>
      <c r="O6398">
        <v>0.287120599999999</v>
      </c>
      <c r="P6398">
        <v>0.85623640000000001</v>
      </c>
      <c r="Q6398">
        <v>3.3324039999999999E-2</v>
      </c>
      <c r="R6398">
        <v>0.51550850000000004</v>
      </c>
      <c r="S6398">
        <v>2.4563290000000002</v>
      </c>
      <c r="T6398">
        <v>-0.20866370000000001</v>
      </c>
      <c r="U6398">
        <v>1.7536320000000001</v>
      </c>
      <c r="V6398">
        <v>-0.24845229999999899</v>
      </c>
      <c r="W6398">
        <v>4.4159190000000001E-2</v>
      </c>
      <c r="X6398">
        <v>0.96763699999999997</v>
      </c>
      <c r="Y6398">
        <v>-0.32277410000000001</v>
      </c>
      <c r="Z6398">
        <v>-8.8598159999999995E-3</v>
      </c>
      <c r="AA6398">
        <v>0.94643459999999902</v>
      </c>
      <c r="AB6398">
        <v>23</v>
      </c>
      <c r="AC6398">
        <v>12.9621999999999</v>
      </c>
      <c r="AD6398">
        <v>-1.10990865039</v>
      </c>
      <c r="AE6398">
        <v>9.29298</v>
      </c>
      <c r="AF6398">
        <v>-5.1545661535605003</v>
      </c>
      <c r="AG6398">
        <v>-1.10990865039</v>
      </c>
      <c r="AH6398">
        <v>15.0120798698033</v>
      </c>
      <c r="AI6398">
        <v>94.000016149777196</v>
      </c>
      <c r="AJ6398">
        <v>108.950484298096</v>
      </c>
      <c r="AK6398">
        <v>15.9111279129104</v>
      </c>
    </row>
    <row r="6399" spans="1:37" x14ac:dyDescent="0.2">
      <c r="A6399" t="str">
        <f>"20200111155723928"</f>
        <v>20200111155723928</v>
      </c>
      <c r="B6399" t="str">
        <f>"1578729443919280"</f>
        <v>1578729443919280</v>
      </c>
      <c r="C6399" t="s">
        <v>37</v>
      </c>
      <c r="D6399">
        <v>4.2108530000000002</v>
      </c>
      <c r="E6399">
        <v>0.46881049999999902</v>
      </c>
      <c r="F6399" t="s">
        <v>75</v>
      </c>
      <c r="G6399">
        <v>-188.5865</v>
      </c>
      <c r="H6399" s="1">
        <v>-1.0649020000000001E-5</v>
      </c>
      <c r="I6399">
        <v>-52.160319999999999</v>
      </c>
      <c r="J6399">
        <v>-201.7268</v>
      </c>
      <c r="K6399">
        <v>1.109926</v>
      </c>
      <c r="L6399">
        <v>-61.624359999999903</v>
      </c>
      <c r="M6399">
        <v>0.95672069999999998</v>
      </c>
      <c r="N6399">
        <v>0</v>
      </c>
      <c r="O6399">
        <v>0.2906646</v>
      </c>
      <c r="P6399">
        <v>0.85509769999999896</v>
      </c>
      <c r="Q6399">
        <v>3.4230709999999998E-2</v>
      </c>
      <c r="R6399">
        <v>0.51733589999999996</v>
      </c>
      <c r="S6399">
        <v>2.4525450000000002</v>
      </c>
      <c r="T6399">
        <v>-0.20555850000000001</v>
      </c>
      <c r="U6399">
        <v>1.759247</v>
      </c>
      <c r="V6399">
        <v>-0.24695929999999999</v>
      </c>
      <c r="W6399">
        <v>4.5079510000000003E-2</v>
      </c>
      <c r="X6399">
        <v>0.96797670000000002</v>
      </c>
      <c r="Y6399">
        <v>-0.32140550000000001</v>
      </c>
      <c r="Z6399">
        <v>-9.0292069999999992E-3</v>
      </c>
      <c r="AA6399">
        <v>0.94689859999999904</v>
      </c>
      <c r="AB6399">
        <v>23</v>
      </c>
      <c r="AC6399">
        <v>13.1402999999999</v>
      </c>
      <c r="AD6399">
        <v>-1.10993664902</v>
      </c>
      <c r="AE6399">
        <v>9.46403999999999</v>
      </c>
      <c r="AF6399">
        <v>-5.2110643247262596</v>
      </c>
      <c r="AG6399">
        <v>-1.10993664902</v>
      </c>
      <c r="AH6399">
        <v>15.252333653242699</v>
      </c>
      <c r="AI6399">
        <v>93.939358088570799</v>
      </c>
      <c r="AJ6399">
        <v>108.86308407600799</v>
      </c>
      <c r="AK6399">
        <v>16.156139162284799</v>
      </c>
    </row>
    <row r="6400" spans="1:37" x14ac:dyDescent="0.2">
      <c r="A6400" t="str">
        <f>"20200111155723938"</f>
        <v>20200111155723938</v>
      </c>
      <c r="B6400" t="str">
        <f>"1578729443929041"</f>
        <v>1578729443929041</v>
      </c>
      <c r="C6400" t="s">
        <v>37</v>
      </c>
      <c r="D6400">
        <v>5.4568760000000003</v>
      </c>
      <c r="E6400">
        <v>0.4685164</v>
      </c>
      <c r="F6400" t="s">
        <v>75</v>
      </c>
      <c r="G6400">
        <v>-188.05240000000001</v>
      </c>
      <c r="H6400" s="1">
        <v>-1.060922E-5</v>
      </c>
      <c r="I6400">
        <v>-51.710279999999997</v>
      </c>
      <c r="J6400">
        <v>-201.62440000000001</v>
      </c>
      <c r="K6400">
        <v>1.109952</v>
      </c>
      <c r="L6400">
        <v>-61.589169999999903</v>
      </c>
      <c r="M6400">
        <v>0.95563349999999903</v>
      </c>
      <c r="N6400">
        <v>0</v>
      </c>
      <c r="O6400">
        <v>0.29421890000000001</v>
      </c>
      <c r="P6400">
        <v>0.85382709999999995</v>
      </c>
      <c r="Q6400">
        <v>3.5153299999999998E-2</v>
      </c>
      <c r="R6400">
        <v>0.51936859999999996</v>
      </c>
      <c r="S6400">
        <v>2.4441989999999998</v>
      </c>
      <c r="T6400">
        <v>-0.1983924</v>
      </c>
      <c r="U6400">
        <v>1.7720639999999901</v>
      </c>
      <c r="V6400">
        <v>-0.24568679999999901</v>
      </c>
      <c r="W6400">
        <v>4.6012669999999999E-2</v>
      </c>
      <c r="X6400">
        <v>0.96825659999999902</v>
      </c>
      <c r="Y6400">
        <v>-0.32268790000000003</v>
      </c>
      <c r="Z6400">
        <v>-8.9144999999999901E-3</v>
      </c>
      <c r="AA6400">
        <v>0.94646350000000001</v>
      </c>
      <c r="AB6400">
        <v>23</v>
      </c>
      <c r="AC6400">
        <v>13.571999999999999</v>
      </c>
      <c r="AD6400">
        <v>-1.1099626092199999</v>
      </c>
      <c r="AE6400">
        <v>9.8788899999999895</v>
      </c>
      <c r="AF6400">
        <v>-5.4242882936248096</v>
      </c>
      <c r="AG6400">
        <v>-1.1099626092199999</v>
      </c>
      <c r="AH6400">
        <v>15.8088829431994</v>
      </c>
      <c r="AI6400">
        <v>93.799481202301706</v>
      </c>
      <c r="AJ6400">
        <v>108.937939409493</v>
      </c>
      <c r="AK6400">
        <v>16.750394037096601</v>
      </c>
    </row>
    <row r="6401" spans="1:37" x14ac:dyDescent="0.2">
      <c r="A6401" t="str">
        <f>"20200111155723949"</f>
        <v>20200111155723949</v>
      </c>
      <c r="B6401" t="str">
        <f>"1578729443929041"</f>
        <v>1578729443929041</v>
      </c>
      <c r="C6401" t="s">
        <v>37</v>
      </c>
      <c r="D6401">
        <v>5.4568760000000003</v>
      </c>
      <c r="E6401">
        <v>0.4685164</v>
      </c>
      <c r="F6401" t="s">
        <v>75</v>
      </c>
      <c r="G6401">
        <v>-187.77019999999999</v>
      </c>
      <c r="H6401" s="1">
        <v>-1.0582500000000001E-5</v>
      </c>
      <c r="I6401">
        <v>-51.477069999999998</v>
      </c>
      <c r="J6401">
        <v>-201.52010000000001</v>
      </c>
      <c r="K6401">
        <v>1.109977</v>
      </c>
      <c r="L6401">
        <v>-61.552489999999999</v>
      </c>
      <c r="M6401">
        <v>0.95449709999999999</v>
      </c>
      <c r="N6401">
        <v>0</v>
      </c>
      <c r="O6401">
        <v>0.2978847</v>
      </c>
      <c r="P6401">
        <v>0.85240309999999897</v>
      </c>
      <c r="Q6401">
        <v>3.5952400000000002E-2</v>
      </c>
      <c r="R6401">
        <v>0.52164779999999999</v>
      </c>
      <c r="S6401">
        <v>2.438828</v>
      </c>
      <c r="T6401">
        <v>-0.19539300000000001</v>
      </c>
      <c r="U6401">
        <v>1.78009</v>
      </c>
      <c r="V6401">
        <v>-0.24457809999999999</v>
      </c>
      <c r="W6401">
        <v>4.6822410000000002E-2</v>
      </c>
      <c r="X6401">
        <v>0.96849850000000004</v>
      </c>
      <c r="Y6401">
        <v>-0.3220903</v>
      </c>
      <c r="Z6401">
        <v>-9.04808E-3</v>
      </c>
      <c r="AA6401">
        <v>0.94666569999999906</v>
      </c>
      <c r="AB6401">
        <v>23</v>
      </c>
      <c r="AC6401">
        <v>13.7499</v>
      </c>
      <c r="AD6401">
        <v>-1.1099875825000001</v>
      </c>
      <c r="AE6401">
        <v>10.075419999999999</v>
      </c>
      <c r="AF6401">
        <v>-5.4983129103047403</v>
      </c>
      <c r="AG6401">
        <v>-1.1099875825000001</v>
      </c>
      <c r="AH6401">
        <v>16.059073223101802</v>
      </c>
      <c r="AI6401">
        <v>93.741383075335307</v>
      </c>
      <c r="AJ6401">
        <v>108.900201870971</v>
      </c>
      <c r="AK6401">
        <v>17.010507049405401</v>
      </c>
    </row>
    <row r="6402" spans="1:37" x14ac:dyDescent="0.2">
      <c r="A6402" t="str">
        <f>"20200111155726168"</f>
        <v>20200111155726168</v>
      </c>
      <c r="B6402" t="str">
        <f>"1578729446159332"</f>
        <v>1578729446159332</v>
      </c>
      <c r="C6402" t="s">
        <v>37</v>
      </c>
      <c r="D6402">
        <v>5.3912500000000003</v>
      </c>
      <c r="E6402">
        <v>0.47126099999999999</v>
      </c>
      <c r="F6402" t="s">
        <v>75</v>
      </c>
      <c r="G6402">
        <v>-187.51769999999999</v>
      </c>
      <c r="H6402" s="1">
        <v>-1.056011E-5</v>
      </c>
      <c r="I6402">
        <v>-51.272829999999999</v>
      </c>
      <c r="J6402">
        <v>-189.30459999999999</v>
      </c>
      <c r="K6402">
        <v>1.1074820000000001</v>
      </c>
      <c r="L6402">
        <v>-47.232509999999998</v>
      </c>
      <c r="M6402">
        <v>0.11035059999999999</v>
      </c>
      <c r="N6402">
        <v>0</v>
      </c>
      <c r="O6402">
        <v>0.99379240000000002</v>
      </c>
      <c r="P6402">
        <v>2.087259E-2</v>
      </c>
      <c r="Q6402">
        <v>-3.0257719999999998E-2</v>
      </c>
      <c r="R6402">
        <v>0.9993242</v>
      </c>
      <c r="S6402">
        <v>2.4340519999999999</v>
      </c>
      <c r="T6402">
        <v>-0.19295039999999999</v>
      </c>
      <c r="U6402">
        <v>1.78692599999999</v>
      </c>
      <c r="V6402">
        <v>-8.9439030000000003E-2</v>
      </c>
      <c r="W6402">
        <v>-1.6751510000000001E-2</v>
      </c>
      <c r="X6402">
        <v>0.99585140000000005</v>
      </c>
      <c r="Y6402">
        <v>0.73409780000000002</v>
      </c>
      <c r="Z6402">
        <v>-6.6464850000000006E-2</v>
      </c>
      <c r="AA6402">
        <v>0.67578319999999903</v>
      </c>
      <c r="AB6402">
        <v>19</v>
      </c>
      <c r="AC6402">
        <v>1.7868999999999999</v>
      </c>
      <c r="AD6402">
        <v>-1.1074925601100001</v>
      </c>
      <c r="AE6402">
        <v>-4.0403200000000004</v>
      </c>
      <c r="AF6402">
        <v>2.0905051077580801</v>
      </c>
      <c r="AG6402">
        <v>-1.1074925601100001</v>
      </c>
      <c r="AH6402">
        <v>-3.59265740941016</v>
      </c>
      <c r="AI6402">
        <v>104.919364283332</v>
      </c>
      <c r="AJ6402">
        <v>-59.805616401543602</v>
      </c>
      <c r="AK6402">
        <v>4.30162046648136</v>
      </c>
    </row>
    <row r="6403" spans="1:37" x14ac:dyDescent="0.2">
      <c r="A6403" t="str">
        <f>"20200111155726190"</f>
        <v>20200111155726190</v>
      </c>
      <c r="B6403" t="str">
        <f>"1578729446179828"</f>
        <v>1578729446179828</v>
      </c>
      <c r="C6403" t="s">
        <v>37</v>
      </c>
      <c r="D6403">
        <v>6.0073530000000002</v>
      </c>
      <c r="E6403">
        <v>0.47060039999999997</v>
      </c>
      <c r="F6403" t="s">
        <v>38</v>
      </c>
      <c r="G6403">
        <v>-190.29490000000001</v>
      </c>
      <c r="H6403" s="1">
        <v>-3.833547E-7</v>
      </c>
      <c r="I6403">
        <v>-29.700159999999901</v>
      </c>
      <c r="J6403">
        <v>-189.29069999999999</v>
      </c>
      <c r="K6403">
        <v>1.10714</v>
      </c>
      <c r="L6403">
        <v>-47.044739999999997</v>
      </c>
      <c r="M6403">
        <v>0.10500519999999899</v>
      </c>
      <c r="N6403">
        <v>0</v>
      </c>
      <c r="O6403">
        <v>0.99437260000000005</v>
      </c>
      <c r="P6403">
        <v>1.736356E-2</v>
      </c>
      <c r="Q6403">
        <v>-2.554727E-2</v>
      </c>
      <c r="R6403">
        <v>0.99952280000000004</v>
      </c>
      <c r="S6403">
        <v>-0.16943359999999999</v>
      </c>
      <c r="T6403">
        <v>-0.1894941</v>
      </c>
      <c r="U6403">
        <v>2.9998469999999999</v>
      </c>
      <c r="V6403">
        <v>-8.7634210000000004E-2</v>
      </c>
      <c r="W6403">
        <v>-1.2036669999999999E-2</v>
      </c>
      <c r="X6403">
        <v>0.99607999999999997</v>
      </c>
      <c r="Y6403">
        <v>-0.16081679999999901</v>
      </c>
      <c r="Z6403">
        <v>-6.205952E-2</v>
      </c>
      <c r="AA6403">
        <v>0.9850312</v>
      </c>
      <c r="AB6403">
        <v>19</v>
      </c>
      <c r="AC6403">
        <v>-1.00420000000002</v>
      </c>
      <c r="AD6403">
        <v>-1.1071403833547</v>
      </c>
      <c r="AE6403">
        <v>17.344580000000001</v>
      </c>
      <c r="AF6403">
        <v>-2.8086920326646401</v>
      </c>
      <c r="AG6403">
        <v>-1.1071403833547</v>
      </c>
      <c r="AH6403">
        <v>17.073882250848701</v>
      </c>
      <c r="AI6403">
        <v>93.661030200660207</v>
      </c>
      <c r="AJ6403">
        <v>99.341619710337895</v>
      </c>
      <c r="AK6403">
        <v>17.3387417616924</v>
      </c>
    </row>
    <row r="6404" spans="1:37" x14ac:dyDescent="0.2">
      <c r="A6404" t="str">
        <f>"20200111155726213"</f>
        <v>20200111155726213</v>
      </c>
      <c r="B6404" t="str">
        <f>"1578729446209108"</f>
        <v>1578729446209108</v>
      </c>
      <c r="C6404" t="s">
        <v>37</v>
      </c>
      <c r="D6404">
        <v>5.3982320000000001</v>
      </c>
      <c r="E6404">
        <v>0.4736573</v>
      </c>
      <c r="F6404" t="s">
        <v>38</v>
      </c>
      <c r="G6404">
        <v>-190.65979999999999</v>
      </c>
      <c r="H6404" s="1">
        <v>-2.6030969999999998E-6</v>
      </c>
      <c r="I6404">
        <v>-24.752199999999998</v>
      </c>
      <c r="J6404">
        <v>-189.27709999999999</v>
      </c>
      <c r="K6404">
        <v>1.1067659999999999</v>
      </c>
      <c r="L6404">
        <v>-46.859559999999902</v>
      </c>
      <c r="M6404">
        <v>0.100497</v>
      </c>
      <c r="N6404">
        <v>0</v>
      </c>
      <c r="O6404">
        <v>0.99483949999999999</v>
      </c>
      <c r="P6404">
        <v>1.4699540000000001E-2</v>
      </c>
      <c r="Q6404">
        <v>-2.2543669999999998E-2</v>
      </c>
      <c r="R6404">
        <v>0.99963780000000002</v>
      </c>
      <c r="S6404">
        <v>-0.18429570000000001</v>
      </c>
      <c r="T6404">
        <v>-0.14903379999999999</v>
      </c>
      <c r="U6404">
        <v>3.0008240000000002</v>
      </c>
      <c r="V6404">
        <v>-8.5806240000000006E-2</v>
      </c>
      <c r="W6404">
        <v>-9.0220179999999997E-3</v>
      </c>
      <c r="X6404">
        <v>0.99627099999999902</v>
      </c>
      <c r="Y6404">
        <v>-0.1612326</v>
      </c>
      <c r="Z6404">
        <v>-4.8855669999999997E-2</v>
      </c>
      <c r="AA6404">
        <v>0.98570639999999998</v>
      </c>
      <c r="AB6404">
        <v>19</v>
      </c>
      <c r="AC6404">
        <v>-1.38269999999999</v>
      </c>
      <c r="AD6404">
        <v>-1.1067686030969901</v>
      </c>
      <c r="AE6404">
        <v>22.10736</v>
      </c>
      <c r="AF6404">
        <v>-3.5886788221243</v>
      </c>
      <c r="AG6404">
        <v>-1.1067686030969901</v>
      </c>
      <c r="AH6404">
        <v>21.802015509536002</v>
      </c>
      <c r="AI6404">
        <v>92.867575475793103</v>
      </c>
      <c r="AJ6404">
        <v>99.347244375158994</v>
      </c>
      <c r="AK6404">
        <v>22.1230972674988</v>
      </c>
    </row>
    <row r="6405" spans="1:37" x14ac:dyDescent="0.2">
      <c r="A6405" t="str">
        <f>"20200111155726301"</f>
        <v>20200111155726301</v>
      </c>
      <c r="B6405" t="str">
        <f>"1578729446289141"</f>
        <v>1578729446289141</v>
      </c>
      <c r="C6405" t="s">
        <v>37</v>
      </c>
      <c r="D6405">
        <v>5.7503599999999997</v>
      </c>
      <c r="E6405">
        <v>0.47634969999999999</v>
      </c>
      <c r="F6405" t="s">
        <v>38</v>
      </c>
      <c r="G6405">
        <v>-190.49860000000001</v>
      </c>
      <c r="H6405" s="1">
        <v>-2.4300960000000001E-6</v>
      </c>
      <c r="I6405">
        <v>-25.055520000000001</v>
      </c>
      <c r="J6405">
        <v>-189.21940000000001</v>
      </c>
      <c r="K6405">
        <v>1.1047769999999999</v>
      </c>
      <c r="L6405">
        <v>-46.110409999999902</v>
      </c>
      <c r="M6405">
        <v>9.0456960000000003E-2</v>
      </c>
      <c r="N6405">
        <v>0</v>
      </c>
      <c r="O6405">
        <v>0.99580609999999903</v>
      </c>
      <c r="P6405">
        <v>1.0823340000000001E-2</v>
      </c>
      <c r="Q6405">
        <v>-1.205705E-2</v>
      </c>
      <c r="R6405">
        <v>0.9998688</v>
      </c>
      <c r="S6405">
        <v>-0.16807559999999999</v>
      </c>
      <c r="T6405">
        <v>-0.15228559999999999</v>
      </c>
      <c r="U6405">
        <v>3.0001220000000002</v>
      </c>
      <c r="V6405">
        <v>-7.9673839999999996E-2</v>
      </c>
      <c r="W6405">
        <v>1.643006E-3</v>
      </c>
      <c r="X6405">
        <v>0.99681960000000003</v>
      </c>
      <c r="Y6405">
        <v>-0.14595859999999999</v>
      </c>
      <c r="Z6405">
        <v>-5.0071900000000003E-2</v>
      </c>
      <c r="AA6405">
        <v>0.98802269999999903</v>
      </c>
      <c r="AB6405">
        <v>19</v>
      </c>
      <c r="AC6405">
        <v>-1.2791999999999999</v>
      </c>
      <c r="AD6405">
        <v>-1.1047794300960001</v>
      </c>
      <c r="AE6405">
        <v>21.05489</v>
      </c>
      <c r="AF6405">
        <v>-3.1699992253156402</v>
      </c>
      <c r="AG6405">
        <v>-1.1047794300960001</v>
      </c>
      <c r="AH6405">
        <v>20.7957876245042</v>
      </c>
      <c r="AI6405">
        <v>93.006325839143003</v>
      </c>
      <c r="AJ6405">
        <v>98.667143899719804</v>
      </c>
      <c r="AK6405">
        <v>21.064999776908301</v>
      </c>
    </row>
    <row r="6406" spans="1:37" x14ac:dyDescent="0.2">
      <c r="A6406" t="str">
        <f>"20200111155726324"</f>
        <v>20200111155726324</v>
      </c>
      <c r="B6406" t="str">
        <f>"1578729446319396"</f>
        <v>1578729446319396</v>
      </c>
      <c r="C6406" t="s">
        <v>37</v>
      </c>
      <c r="D6406">
        <v>5.4700850000000001</v>
      </c>
      <c r="E6406">
        <v>0.4787342</v>
      </c>
      <c r="F6406" t="s">
        <v>38</v>
      </c>
      <c r="G6406">
        <v>-190.46549999999999</v>
      </c>
      <c r="H6406" s="1">
        <v>-3.5981750000000001E-6</v>
      </c>
      <c r="I6406">
        <v>-22.312149999999999</v>
      </c>
      <c r="J6406">
        <v>-189.2029</v>
      </c>
      <c r="K6406">
        <v>1.1043289999999999</v>
      </c>
      <c r="L6406">
        <v>-45.919309999999903</v>
      </c>
      <c r="M6406">
        <v>9.0063290000000004E-2</v>
      </c>
      <c r="N6406">
        <v>0</v>
      </c>
      <c r="O6406">
        <v>0.99584229999999996</v>
      </c>
      <c r="P6406">
        <v>1.2709120000000001E-2</v>
      </c>
      <c r="Q6406">
        <v>-1.383885E-2</v>
      </c>
      <c r="R6406">
        <v>0.99982349999999998</v>
      </c>
      <c r="S6406">
        <v>-0.15710450000000001</v>
      </c>
      <c r="T6406">
        <v>-0.1392881</v>
      </c>
      <c r="U6406">
        <v>3.0004270000000002</v>
      </c>
      <c r="V6406">
        <v>-7.7398850000000005E-2</v>
      </c>
      <c r="W6406" s="1">
        <v>-8.9171259999999995E-5</v>
      </c>
      <c r="X6406">
        <v>0.9970002</v>
      </c>
      <c r="Y6406">
        <v>-0.1419694</v>
      </c>
      <c r="Z6406">
        <v>-4.5823719999999998E-2</v>
      </c>
      <c r="AA6406">
        <v>0.98880979999999996</v>
      </c>
      <c r="AB6406">
        <v>19</v>
      </c>
      <c r="AC6406">
        <v>-1.26259999999999</v>
      </c>
      <c r="AD6406">
        <v>-1.1043325981749901</v>
      </c>
      <c r="AE6406">
        <v>23.60716</v>
      </c>
      <c r="AF6406">
        <v>-3.3764372326299701</v>
      </c>
      <c r="AG6406">
        <v>-1.1043325981749901</v>
      </c>
      <c r="AH6406">
        <v>23.346534924714302</v>
      </c>
      <c r="AI6406">
        <v>92.680329472090193</v>
      </c>
      <c r="AJ6406">
        <v>98.229209502794006</v>
      </c>
      <c r="AK6406">
        <v>23.615261418501898</v>
      </c>
    </row>
    <row r="6407" spans="1:37" x14ac:dyDescent="0.2">
      <c r="A6407" t="str">
        <f>"20200111155726346"</f>
        <v>20200111155726346</v>
      </c>
      <c r="B6407" t="str">
        <f>"1578729446339892"</f>
        <v>1578729446339892</v>
      </c>
      <c r="C6407" t="s">
        <v>37</v>
      </c>
      <c r="D6407">
        <v>5.476038</v>
      </c>
      <c r="E6407">
        <v>0.47926000000000002</v>
      </c>
      <c r="F6407" t="s">
        <v>38</v>
      </c>
      <c r="G6407">
        <v>-190.12599999999901</v>
      </c>
      <c r="H6407" s="1">
        <v>-2.3380840000000001E-6</v>
      </c>
      <c r="I6407">
        <v>-25.038910000000001</v>
      </c>
      <c r="J6407">
        <v>-189.18510000000001</v>
      </c>
      <c r="K6407">
        <v>1.1039760000000001</v>
      </c>
      <c r="L6407">
        <v>-45.722529999999999</v>
      </c>
      <c r="M6407">
        <v>9.0424299999999999E-2</v>
      </c>
      <c r="N6407">
        <v>0</v>
      </c>
      <c r="O6407">
        <v>0.99580999999999997</v>
      </c>
      <c r="P6407">
        <v>1.4566569999999999E-2</v>
      </c>
      <c r="Q6407">
        <v>-1.6310390000000001E-2</v>
      </c>
      <c r="R6407">
        <v>0.99976089999999995</v>
      </c>
      <c r="S6407">
        <v>-0.13262939999999901</v>
      </c>
      <c r="T6407">
        <v>-0.1586669</v>
      </c>
      <c r="U6407">
        <v>3.0000309999999999</v>
      </c>
      <c r="V6407">
        <v>-7.591096E-2</v>
      </c>
      <c r="W6407">
        <v>-2.5272850000000002E-3</v>
      </c>
      <c r="X6407">
        <v>0.99711139999999998</v>
      </c>
      <c r="Y6407">
        <v>-0.13426859999999999</v>
      </c>
      <c r="Z6407">
        <v>-5.2225319999999999E-2</v>
      </c>
      <c r="AA6407">
        <v>0.9895678</v>
      </c>
      <c r="AB6407">
        <v>19</v>
      </c>
      <c r="AC6407">
        <v>-0.94089999999996998</v>
      </c>
      <c r="AD6407">
        <v>-1.103978338084</v>
      </c>
      <c r="AE6407">
        <v>20.683620000000001</v>
      </c>
      <c r="AF6407">
        <v>-2.7995614143933398</v>
      </c>
      <c r="AG6407">
        <v>-1.103978338084</v>
      </c>
      <c r="AH6407">
        <v>20.455627688039598</v>
      </c>
      <c r="AI6407">
        <v>93.060745937537803</v>
      </c>
      <c r="AJ6407">
        <v>97.793096094800106</v>
      </c>
      <c r="AK6407">
        <v>20.6758075149584</v>
      </c>
    </row>
    <row r="6408" spans="1:37" x14ac:dyDescent="0.2">
      <c r="A6408" t="str">
        <f>"20200111155726370"</f>
        <v>20200111155726370</v>
      </c>
      <c r="B6408" t="str">
        <f>"1578729446359412"</f>
        <v>1578729446359412</v>
      </c>
      <c r="C6408" t="s">
        <v>37</v>
      </c>
      <c r="D6408">
        <v>5.5098640000000003</v>
      </c>
      <c r="E6408">
        <v>0.48028219999999999</v>
      </c>
      <c r="F6408" t="s">
        <v>38</v>
      </c>
      <c r="G6408">
        <v>-190.02789999999999</v>
      </c>
      <c r="H6408" s="1">
        <v>-2.2826329999999998E-6</v>
      </c>
      <c r="I6408">
        <v>-25.107299999999999</v>
      </c>
      <c r="J6408">
        <v>-189.1669</v>
      </c>
      <c r="K6408">
        <v>1.103699</v>
      </c>
      <c r="L6408">
        <v>-45.530879999999897</v>
      </c>
      <c r="M6408">
        <v>9.1465610000000003E-2</v>
      </c>
      <c r="N6408">
        <v>0</v>
      </c>
      <c r="O6408">
        <v>0.99571529999999997</v>
      </c>
      <c r="P6408">
        <v>1.515439E-2</v>
      </c>
      <c r="Q6408">
        <v>-1.755872E-2</v>
      </c>
      <c r="R6408">
        <v>0.99973099999999904</v>
      </c>
      <c r="S6408">
        <v>-0.12263489999999901</v>
      </c>
      <c r="T6408">
        <v>-0.16064819999999999</v>
      </c>
      <c r="U6408">
        <v>2.9998779999999998</v>
      </c>
      <c r="V6408">
        <v>-7.6370919999999995E-2</v>
      </c>
      <c r="W6408">
        <v>-3.7506739999999998E-3</v>
      </c>
      <c r="X6408">
        <v>0.99707239999999997</v>
      </c>
      <c r="Y6408">
        <v>-0.1320144</v>
      </c>
      <c r="Z6408">
        <v>-5.2882499999999999E-2</v>
      </c>
      <c r="AA6408">
        <v>0.98983619999999894</v>
      </c>
      <c r="AB6408">
        <v>19</v>
      </c>
      <c r="AC6408">
        <v>-0.86099999999999</v>
      </c>
      <c r="AD6408">
        <v>-1.1037012826329999</v>
      </c>
      <c r="AE6408">
        <v>20.423579999999902</v>
      </c>
      <c r="AF6408">
        <v>-2.7176956979507101</v>
      </c>
      <c r="AG6408">
        <v>-1.1037012826329999</v>
      </c>
      <c r="AH6408">
        <v>20.200306193568299</v>
      </c>
      <c r="AI6408">
        <v>93.099538253856593</v>
      </c>
      <c r="AJ6408">
        <v>97.662412834908693</v>
      </c>
      <c r="AK6408">
        <v>20.412162960888299</v>
      </c>
    </row>
    <row r="6409" spans="1:37" x14ac:dyDescent="0.2">
      <c r="A6409" t="str">
        <f>"20200111155726390"</f>
        <v>20200111155726390</v>
      </c>
      <c r="B6409" t="str">
        <f>"1578729446379908"</f>
        <v>1578729446379908</v>
      </c>
      <c r="C6409" t="s">
        <v>37</v>
      </c>
      <c r="D6409">
        <v>5.5518460000000003</v>
      </c>
      <c r="E6409">
        <v>0.48114099999999999</v>
      </c>
      <c r="F6409" t="s">
        <v>38</v>
      </c>
      <c r="G6409">
        <v>-189.8869</v>
      </c>
      <c r="H6409" s="1">
        <v>-1.761823E-6</v>
      </c>
      <c r="I6409">
        <v>-26.307129999999901</v>
      </c>
      <c r="J6409">
        <v>-189.14930000000001</v>
      </c>
      <c r="K6409">
        <v>1.103497</v>
      </c>
      <c r="L6409">
        <v>-45.353729999999999</v>
      </c>
      <c r="M6409">
        <v>9.2963550000000006E-2</v>
      </c>
      <c r="N6409">
        <v>0</v>
      </c>
      <c r="O6409">
        <v>0.99557680000000004</v>
      </c>
      <c r="P6409">
        <v>1.4259290000000001E-2</v>
      </c>
      <c r="Q6409">
        <v>-1.6532649999999999E-2</v>
      </c>
      <c r="R6409">
        <v>0.99976160000000003</v>
      </c>
      <c r="S6409">
        <v>-0.112335199999999</v>
      </c>
      <c r="T6409">
        <v>-0.17221029999999901</v>
      </c>
      <c r="U6409">
        <v>2.9994809999999998</v>
      </c>
      <c r="V6409">
        <v>-7.8762899999999997E-2</v>
      </c>
      <c r="W6409">
        <v>-2.6962329999999902E-3</v>
      </c>
      <c r="X6409">
        <v>0.99688969999999899</v>
      </c>
      <c r="Y6409">
        <v>-0.13010910000000001</v>
      </c>
      <c r="Z6409">
        <v>-5.6683070000000002E-2</v>
      </c>
      <c r="AA6409">
        <v>0.98987809999999898</v>
      </c>
      <c r="AB6409">
        <v>19</v>
      </c>
      <c r="AC6409">
        <v>-0.73759999999998604</v>
      </c>
      <c r="AD6409">
        <v>-1.1034987618230001</v>
      </c>
      <c r="AE6409">
        <v>19.046600000000002</v>
      </c>
      <c r="AF6409">
        <v>-2.4968397384037302</v>
      </c>
      <c r="AG6409">
        <v>-1.1034987618230001</v>
      </c>
      <c r="AH6409">
        <v>18.832407894530899</v>
      </c>
      <c r="AI6409">
        <v>93.324428747620701</v>
      </c>
      <c r="AJ6409">
        <v>97.552347208078501</v>
      </c>
      <c r="AK6409">
        <v>19.029227659119801</v>
      </c>
    </row>
    <row r="6410" spans="1:37" x14ac:dyDescent="0.2">
      <c r="A6410" t="str">
        <f>"20200111155726407"</f>
        <v>20200111155726407</v>
      </c>
      <c r="B6410" t="str">
        <f>"1578729446399428"</f>
        <v>1578729446399428</v>
      </c>
      <c r="C6410" t="s">
        <v>37</v>
      </c>
      <c r="D6410">
        <v>5.8029900000000003</v>
      </c>
      <c r="E6410">
        <v>0.48212729999999998</v>
      </c>
      <c r="F6410" t="s">
        <v>38</v>
      </c>
      <c r="G6410">
        <v>-189.83009999999999</v>
      </c>
      <c r="H6410" s="1">
        <v>-1.697262E-6</v>
      </c>
      <c r="I6410">
        <v>-26.481120000000001</v>
      </c>
      <c r="J6410">
        <v>-189.13499999999999</v>
      </c>
      <c r="K6410">
        <v>1.1033520000000001</v>
      </c>
      <c r="L6410">
        <v>-45.215000000000003</v>
      </c>
      <c r="M6410">
        <v>9.4428529999999997E-2</v>
      </c>
      <c r="N6410">
        <v>0</v>
      </c>
      <c r="O6410">
        <v>0.99543909999999902</v>
      </c>
      <c r="P6410">
        <v>1.469382E-2</v>
      </c>
      <c r="Q6410">
        <v>-1.4685520000000001E-2</v>
      </c>
      <c r="R6410">
        <v>0.99978419999999901</v>
      </c>
      <c r="S6410">
        <v>-0.1081848</v>
      </c>
      <c r="T6410">
        <v>-0.17537520000000001</v>
      </c>
      <c r="U6410">
        <v>2.9993590000000001</v>
      </c>
      <c r="V6410">
        <v>-7.9792730000000006E-2</v>
      </c>
      <c r="W6410">
        <v>-8.258378E-4</v>
      </c>
      <c r="X6410">
        <v>0.99681119999999901</v>
      </c>
      <c r="Y6410">
        <v>-0.1301996</v>
      </c>
      <c r="Z6410">
        <v>-5.7712680000000002E-2</v>
      </c>
      <c r="AA6410">
        <v>0.98980669999999904</v>
      </c>
      <c r="AB6410">
        <v>19</v>
      </c>
      <c r="AC6410">
        <v>-0.69509999999999605</v>
      </c>
      <c r="AD6410">
        <v>-1.1033536972619999</v>
      </c>
      <c r="AE6410">
        <v>18.733879999999999</v>
      </c>
      <c r="AF6410">
        <v>-2.4526731807896298</v>
      </c>
      <c r="AG6410">
        <v>-1.1033536972619999</v>
      </c>
      <c r="AH6410">
        <v>18.520357239077399</v>
      </c>
      <c r="AI6410">
        <v>93.379936348508394</v>
      </c>
      <c r="AJ6410">
        <v>97.543851944806804</v>
      </c>
      <c r="AK6410">
        <v>18.7146099979688</v>
      </c>
    </row>
    <row r="6411" spans="1:37" x14ac:dyDescent="0.2">
      <c r="A6411" t="str">
        <f>"20200111155726424"</f>
        <v>20200111155726424</v>
      </c>
      <c r="B6411" t="str">
        <f>"1578729446419925"</f>
        <v>1578729446419925</v>
      </c>
      <c r="C6411" t="s">
        <v>37</v>
      </c>
      <c r="D6411">
        <v>5.5972339999999896</v>
      </c>
      <c r="E6411">
        <v>0.48282059999999999</v>
      </c>
      <c r="F6411" t="s">
        <v>38</v>
      </c>
      <c r="G6411">
        <v>-189.79490000000001</v>
      </c>
      <c r="H6411" s="1">
        <v>-2.2457559999999998E-6</v>
      </c>
      <c r="I6411">
        <v>-25.217099999999999</v>
      </c>
      <c r="J6411">
        <v>-189.11940000000001</v>
      </c>
      <c r="K6411">
        <v>1.1032439999999999</v>
      </c>
      <c r="L6411">
        <v>-45.06897</v>
      </c>
      <c r="M6411">
        <v>9.6183240000000003E-2</v>
      </c>
      <c r="N6411">
        <v>0</v>
      </c>
      <c r="O6411">
        <v>0.99527129999999997</v>
      </c>
      <c r="P6411">
        <v>1.3134659999999999E-2</v>
      </c>
      <c r="Q6411">
        <v>-7.9288869999999904E-3</v>
      </c>
      <c r="R6411">
        <v>0.9998823</v>
      </c>
      <c r="S6411">
        <v>-9.8983760000000004E-2</v>
      </c>
      <c r="T6411">
        <v>-0.16550200000000001</v>
      </c>
      <c r="U6411">
        <v>2.9996640000000001</v>
      </c>
      <c r="V6411">
        <v>-8.3080999999999905E-2</v>
      </c>
      <c r="W6411">
        <v>5.9554869999999998E-3</v>
      </c>
      <c r="X6411">
        <v>0.99652499999999999</v>
      </c>
      <c r="Y6411">
        <v>-0.12891739999999999</v>
      </c>
      <c r="Z6411">
        <v>-5.4461809999999999E-2</v>
      </c>
      <c r="AA6411">
        <v>0.99015869999999995</v>
      </c>
      <c r="AB6411">
        <v>19</v>
      </c>
      <c r="AC6411">
        <v>-0.67549999999999899</v>
      </c>
      <c r="AD6411">
        <v>-1.1032462457559999</v>
      </c>
      <c r="AE6411">
        <v>19.851870000000002</v>
      </c>
      <c r="AF6411">
        <v>-2.5740196988653699</v>
      </c>
      <c r="AG6411">
        <v>-1.1032462457559999</v>
      </c>
      <c r="AH6411">
        <v>19.634265429685499</v>
      </c>
      <c r="AI6411">
        <v>93.188829803653704</v>
      </c>
      <c r="AJ6411">
        <v>97.468788085928793</v>
      </c>
      <c r="AK6411">
        <v>19.832980327027698</v>
      </c>
    </row>
    <row r="6412" spans="1:37" x14ac:dyDescent="0.2">
      <c r="A6412" t="str">
        <f>"20200111155726448"</f>
        <v>20200111155726448</v>
      </c>
      <c r="B6412" t="str">
        <f>"1578729446439445"</f>
        <v>1578729446439445</v>
      </c>
      <c r="C6412" t="s">
        <v>37</v>
      </c>
      <c r="D6412">
        <v>5.4833280000000002</v>
      </c>
      <c r="E6412">
        <v>0.48355819999999999</v>
      </c>
      <c r="F6412" t="s">
        <v>38</v>
      </c>
      <c r="G6412">
        <v>-189.923</v>
      </c>
      <c r="H6412" s="1">
        <v>-4.204411E-6</v>
      </c>
      <c r="I6412">
        <v>-20.59845</v>
      </c>
      <c r="J6412">
        <v>-189.0977</v>
      </c>
      <c r="K6412">
        <v>1.10311</v>
      </c>
      <c r="L6412">
        <v>-44.874569999999999</v>
      </c>
      <c r="M6412">
        <v>9.8798460000000005E-2</v>
      </c>
      <c r="N6412">
        <v>0</v>
      </c>
      <c r="O6412">
        <v>0.99501600000000001</v>
      </c>
      <c r="P6412">
        <v>1.321752E-2</v>
      </c>
      <c r="Q6412" s="1">
        <v>-5.379468E-5</v>
      </c>
      <c r="R6412">
        <v>0.99991260000000004</v>
      </c>
      <c r="S6412">
        <v>-9.8541260000000006E-2</v>
      </c>
      <c r="T6412">
        <v>-0.1352805</v>
      </c>
      <c r="U6412">
        <v>3.0005799999999998</v>
      </c>
      <c r="V6412">
        <v>-8.558019E-2</v>
      </c>
      <c r="W6412">
        <v>1.3802399999999999E-2</v>
      </c>
      <c r="X6412">
        <v>0.99623569999999995</v>
      </c>
      <c r="Y6412">
        <v>-0.13138349999999999</v>
      </c>
      <c r="Z6412">
        <v>-4.4501150000000003E-2</v>
      </c>
      <c r="AA6412">
        <v>0.9903322</v>
      </c>
      <c r="AB6412">
        <v>19</v>
      </c>
      <c r="AC6412">
        <v>-0.82529999999999804</v>
      </c>
      <c r="AD6412">
        <v>-1.1031142044110001</v>
      </c>
      <c r="AE6412">
        <v>24.276119999999999</v>
      </c>
      <c r="AF6412">
        <v>-3.2132958194572798</v>
      </c>
      <c r="AG6412">
        <v>-1.1031142044110001</v>
      </c>
      <c r="AH6412">
        <v>24.026228144929402</v>
      </c>
      <c r="AI6412">
        <v>92.605603087715906</v>
      </c>
      <c r="AJ6412">
        <v>97.617601196178299</v>
      </c>
      <c r="AK6412">
        <v>24.265237889695499</v>
      </c>
    </row>
    <row r="6413" spans="1:37" x14ac:dyDescent="0.2">
      <c r="A6413" t="str">
        <f>"20200111155726492"</f>
        <v>20200111155726492</v>
      </c>
      <c r="B6413" t="str">
        <f>"1578729446490047"</f>
        <v>1578729446490047</v>
      </c>
      <c r="C6413" t="s">
        <v>37</v>
      </c>
      <c r="D6413">
        <v>5.6645529999999997</v>
      </c>
      <c r="E6413">
        <v>0.48467299999999902</v>
      </c>
      <c r="F6413" t="s">
        <v>38</v>
      </c>
      <c r="G6413">
        <v>-189.99639999999999</v>
      </c>
      <c r="H6413" s="1">
        <v>-1.9791159999999998E-6</v>
      </c>
      <c r="I6413">
        <v>-15.795249999999999</v>
      </c>
      <c r="J6413">
        <v>-189.05269999999999</v>
      </c>
      <c r="K6413">
        <v>1.102967</v>
      </c>
      <c r="L6413">
        <v>-44.494689999999999</v>
      </c>
      <c r="M6413">
        <v>0.1044793</v>
      </c>
      <c r="N6413">
        <v>0</v>
      </c>
      <c r="O6413">
        <v>0.99444030000000005</v>
      </c>
      <c r="P6413">
        <v>1.7713409999999999E-2</v>
      </c>
      <c r="Q6413">
        <v>1.196579E-2</v>
      </c>
      <c r="R6413">
        <v>0.99977150000000004</v>
      </c>
      <c r="S6413">
        <v>-9.2758179999999996E-2</v>
      </c>
      <c r="T6413">
        <v>-0.1138605</v>
      </c>
      <c r="U6413">
        <v>3.0014949999999998</v>
      </c>
      <c r="V6413">
        <v>-8.67198E-2</v>
      </c>
      <c r="W6413">
        <v>2.548783E-2</v>
      </c>
      <c r="X6413">
        <v>0.99590669999999903</v>
      </c>
      <c r="Y6413">
        <v>-0.1351366</v>
      </c>
      <c r="Z6413">
        <v>-3.7413179999999997E-2</v>
      </c>
      <c r="AA6413">
        <v>0.99012040000000001</v>
      </c>
      <c r="AB6413">
        <v>19</v>
      </c>
      <c r="AC6413">
        <v>-0.94370000000000598</v>
      </c>
      <c r="AD6413">
        <v>-1.102968979116</v>
      </c>
      <c r="AE6413">
        <v>28.699439999999999</v>
      </c>
      <c r="AF6413">
        <v>-3.9314899189083699</v>
      </c>
      <c r="AG6413">
        <v>-1.102968979116</v>
      </c>
      <c r="AH6413">
        <v>28.401832792445699</v>
      </c>
      <c r="AI6413">
        <v>92.202947026914302</v>
      </c>
      <c r="AJ6413">
        <v>97.881018312881395</v>
      </c>
      <c r="AK6413">
        <v>28.693854037431301</v>
      </c>
    </row>
    <row r="6414" spans="1:37" x14ac:dyDescent="0.2">
      <c r="A6414" t="str">
        <f>"20200111155726515"</f>
        <v>20200111155726515</v>
      </c>
      <c r="B6414" t="str">
        <f>"1578729446509567"</f>
        <v>1578729446509567</v>
      </c>
      <c r="C6414" t="s">
        <v>37</v>
      </c>
      <c r="D6414">
        <v>5.6129800000000003</v>
      </c>
      <c r="E6414">
        <v>0.48493789999999998</v>
      </c>
      <c r="F6414" t="s">
        <v>38</v>
      </c>
      <c r="G6414">
        <v>-190.0573</v>
      </c>
      <c r="H6414" s="1">
        <v>-3.3893630000000001E-6</v>
      </c>
      <c r="I6414">
        <v>-2.5457109999999998</v>
      </c>
      <c r="J6414">
        <v>-189.02950000000001</v>
      </c>
      <c r="K6414">
        <v>1.102965</v>
      </c>
      <c r="L6414">
        <v>-44.308230000000002</v>
      </c>
      <c r="M6414">
        <v>0.1074131</v>
      </c>
      <c r="N6414">
        <v>0</v>
      </c>
      <c r="O6414">
        <v>0.99413090000000004</v>
      </c>
      <c r="P6414">
        <v>2.3072269999999999E-2</v>
      </c>
      <c r="Q6414">
        <v>1.2336110000000001E-2</v>
      </c>
      <c r="R6414">
        <v>0.99965769999999998</v>
      </c>
      <c r="S6414">
        <v>-7.191467E-2</v>
      </c>
      <c r="T6414">
        <v>-7.8955650000000002E-2</v>
      </c>
      <c r="U6414">
        <v>3.0028990000000002</v>
      </c>
      <c r="V6414">
        <v>-8.4321140000000003E-2</v>
      </c>
      <c r="W6414">
        <v>2.5597459999999999E-2</v>
      </c>
      <c r="X6414">
        <v>0.99610980000000005</v>
      </c>
      <c r="Y6414">
        <v>-0.131186</v>
      </c>
      <c r="Z6414">
        <v>-2.5938550000000001E-2</v>
      </c>
      <c r="AA6414">
        <v>0.99101839999999997</v>
      </c>
      <c r="AB6414">
        <v>19</v>
      </c>
      <c r="AC6414">
        <v>-1.0277999999999801</v>
      </c>
      <c r="AD6414">
        <v>-1.102968389363</v>
      </c>
      <c r="AE6414">
        <v>41.762518999999998</v>
      </c>
      <c r="AF6414">
        <v>-5.50423009977444</v>
      </c>
      <c r="AG6414">
        <v>-1.102968389363</v>
      </c>
      <c r="AH6414">
        <v>41.381605578967601</v>
      </c>
      <c r="AI6414">
        <v>91.513453712355101</v>
      </c>
      <c r="AJ6414">
        <v>97.576525914868498</v>
      </c>
      <c r="AK6414">
        <v>41.760631802601303</v>
      </c>
    </row>
    <row r="6415" spans="1:37" x14ac:dyDescent="0.2">
      <c r="A6415" t="str">
        <f>"20200111155726537"</f>
        <v>20200111155726537</v>
      </c>
      <c r="B6415" t="str">
        <f>"1578729446529086"</f>
        <v>1578729446529086</v>
      </c>
      <c r="C6415" t="s">
        <v>37</v>
      </c>
      <c r="D6415">
        <v>5.5388760000000001</v>
      </c>
      <c r="E6415">
        <v>0.485285999999999</v>
      </c>
      <c r="F6415" t="s">
        <v>38</v>
      </c>
      <c r="G6415">
        <v>-189.79859999999999</v>
      </c>
      <c r="H6415" s="1">
        <v>-3.7414490000000002E-6</v>
      </c>
      <c r="I6415">
        <v>-1.729088</v>
      </c>
      <c r="J6415">
        <v>-189.00399999999999</v>
      </c>
      <c r="K6415">
        <v>1.103008</v>
      </c>
      <c r="L6415">
        <v>-44.107570000000003</v>
      </c>
      <c r="M6415">
        <v>0.1105751</v>
      </c>
      <c r="N6415">
        <v>0</v>
      </c>
      <c r="O6415">
        <v>0.9937878</v>
      </c>
      <c r="P6415">
        <v>2.920582E-2</v>
      </c>
      <c r="Q6415">
        <v>9.0655349999999996E-3</v>
      </c>
      <c r="R6415">
        <v>0.99953230000000004</v>
      </c>
      <c r="S6415">
        <v>-5.4245000000000002E-2</v>
      </c>
      <c r="T6415">
        <v>-7.7795740000000002E-2</v>
      </c>
      <c r="U6415">
        <v>3.0032349999999899</v>
      </c>
      <c r="V6415">
        <v>-8.1403749999999997E-2</v>
      </c>
      <c r="W6415">
        <v>2.2008380000000001E-2</v>
      </c>
      <c r="X6415">
        <v>0.99643819999999905</v>
      </c>
      <c r="Y6415">
        <v>-0.12850819999999999</v>
      </c>
      <c r="Z6415">
        <v>-2.5547569999999999E-2</v>
      </c>
      <c r="AA6415">
        <v>0.99137929999999996</v>
      </c>
      <c r="AB6415">
        <v>19</v>
      </c>
      <c r="AC6415">
        <v>-0.79459999999997399</v>
      </c>
      <c r="AD6415">
        <v>-1.1030117414489999</v>
      </c>
      <c r="AE6415">
        <v>42.378481999999998</v>
      </c>
      <c r="AF6415">
        <v>-5.47239801065093</v>
      </c>
      <c r="AG6415">
        <v>-1.1030117414489999</v>
      </c>
      <c r="AH6415">
        <v>42.002252147695998</v>
      </c>
      <c r="AI6415">
        <v>91.491684268138201</v>
      </c>
      <c r="AJ6415">
        <v>97.4231499922236</v>
      </c>
      <c r="AK6415">
        <v>42.3716055910959</v>
      </c>
    </row>
    <row r="6416" spans="1:37" x14ac:dyDescent="0.2">
      <c r="A6416" t="str">
        <f>"20200111155726559"</f>
        <v>20200111155726559</v>
      </c>
      <c r="B6416" t="str">
        <f>"1578729446549582"</f>
        <v>1578729446549582</v>
      </c>
      <c r="C6416" t="s">
        <v>37</v>
      </c>
      <c r="D6416">
        <v>5.7227839999999999</v>
      </c>
      <c r="E6416">
        <v>0.48529499999999998</v>
      </c>
      <c r="F6416" t="s">
        <v>38</v>
      </c>
      <c r="G6416">
        <v>-189.40950000000001</v>
      </c>
      <c r="H6416" s="1">
        <v>-1.3492279999999899E-6</v>
      </c>
      <c r="I6416">
        <v>-7.4663119999999896</v>
      </c>
      <c r="J6416">
        <v>-188.9811</v>
      </c>
      <c r="K6416">
        <v>1.103062</v>
      </c>
      <c r="L6416">
        <v>-43.931429999999999</v>
      </c>
      <c r="M6416">
        <v>0.1132885</v>
      </c>
      <c r="N6416">
        <v>0</v>
      </c>
      <c r="O6416">
        <v>0.99348579999999997</v>
      </c>
      <c r="P6416">
        <v>3.5605459999999998E-2</v>
      </c>
      <c r="Q6416">
        <v>5.8403109999999999E-3</v>
      </c>
      <c r="R6416">
        <v>0.99934889999999998</v>
      </c>
      <c r="S6416">
        <v>-3.3233640000000002E-2</v>
      </c>
      <c r="T6416">
        <v>-9.0405230000000003E-2</v>
      </c>
      <c r="U6416">
        <v>3.0032040000000002</v>
      </c>
      <c r="V6416">
        <v>-7.7767329999999996E-2</v>
      </c>
      <c r="W6416">
        <v>1.8459050000000001E-2</v>
      </c>
      <c r="X6416">
        <v>0.99680069999999998</v>
      </c>
      <c r="Y6416">
        <v>-0.12427919999999899</v>
      </c>
      <c r="Z6416">
        <v>-2.968111E-2</v>
      </c>
      <c r="AA6416">
        <v>0.99180330000000005</v>
      </c>
      <c r="AB6416">
        <v>19</v>
      </c>
      <c r="AC6416">
        <v>-0.42840000000001</v>
      </c>
      <c r="AD6416">
        <v>-1.103063349228</v>
      </c>
      <c r="AE6416">
        <v>36.465117999999997</v>
      </c>
      <c r="AF6416">
        <v>-4.5528679230884199</v>
      </c>
      <c r="AG6416">
        <v>-1.103063349228</v>
      </c>
      <c r="AH6416">
        <v>36.148714902716698</v>
      </c>
      <c r="AI6416">
        <v>91.734123492892294</v>
      </c>
      <c r="AJ6416">
        <v>97.178505801106994</v>
      </c>
      <c r="AK6416">
        <v>36.450993733990202</v>
      </c>
    </row>
    <row r="6417" spans="1:37" x14ac:dyDescent="0.2">
      <c r="A6417" t="str">
        <f>"20200111155726581"</f>
        <v>20200111155726581</v>
      </c>
      <c r="B6417" t="str">
        <f>"1578729446569101"</f>
        <v>1578729446569101</v>
      </c>
      <c r="C6417" t="s">
        <v>37</v>
      </c>
      <c r="D6417">
        <v>5.533067</v>
      </c>
      <c r="E6417">
        <v>0.48534899999999997</v>
      </c>
      <c r="F6417" t="s">
        <v>38</v>
      </c>
      <c r="G6417">
        <v>-189.136</v>
      </c>
      <c r="H6417" s="1">
        <v>-4.228329E-6</v>
      </c>
      <c r="I6417">
        <v>-10.868139999999901</v>
      </c>
      <c r="J6417">
        <v>-188.95599999999999</v>
      </c>
      <c r="K6417">
        <v>1.1031260000000001</v>
      </c>
      <c r="L6417">
        <v>-43.741609999999902</v>
      </c>
      <c r="M6417">
        <v>0.116102</v>
      </c>
      <c r="N6417">
        <v>0</v>
      </c>
      <c r="O6417">
        <v>0.99316539999999998</v>
      </c>
      <c r="P6417">
        <v>4.1351840000000001E-2</v>
      </c>
      <c r="Q6417">
        <v>4.4697529999999999E-3</v>
      </c>
      <c r="R6417">
        <v>0.99913469999999904</v>
      </c>
      <c r="S6417">
        <v>-1.4068600000000001E-2</v>
      </c>
      <c r="T6417">
        <v>-0.1001886</v>
      </c>
      <c r="U6417">
        <v>3.0030519999999998</v>
      </c>
      <c r="V6417">
        <v>-7.4870419999999993E-2</v>
      </c>
      <c r="W6417">
        <v>1.6690739999999999E-2</v>
      </c>
      <c r="X6417">
        <v>0.99705359999999998</v>
      </c>
      <c r="Y6417">
        <v>-0.1207593</v>
      </c>
      <c r="Z6417">
        <v>-3.2883280000000001E-2</v>
      </c>
      <c r="AA6417">
        <v>0.99213700000000005</v>
      </c>
      <c r="AB6417">
        <v>19</v>
      </c>
      <c r="AC6417">
        <v>-0.18000000000000599</v>
      </c>
      <c r="AD6417">
        <v>-1.1031302283290001</v>
      </c>
      <c r="AE6417">
        <v>32.873469999999998</v>
      </c>
      <c r="AF6417">
        <v>-3.99123647221192</v>
      </c>
      <c r="AG6417">
        <v>-1.1031302283290001</v>
      </c>
      <c r="AH6417">
        <v>32.5935234867258</v>
      </c>
      <c r="AI6417">
        <v>91.924078623596898</v>
      </c>
      <c r="AJ6417">
        <v>96.981391286154704</v>
      </c>
      <c r="AK6417">
        <v>32.855511533949901</v>
      </c>
    </row>
    <row r="6418" spans="1:37" x14ac:dyDescent="0.2">
      <c r="A6418" t="str">
        <f>"20200111155726602"</f>
        <v>20200111155726602</v>
      </c>
      <c r="B6418" t="str">
        <f>"1578729446600038"</f>
        <v>1578729446600038</v>
      </c>
      <c r="C6418" t="s">
        <v>37</v>
      </c>
      <c r="D6418">
        <v>5.4536389999999999</v>
      </c>
      <c r="E6418">
        <v>0.48531560000000001</v>
      </c>
      <c r="F6418" t="s">
        <v>38</v>
      </c>
      <c r="G6418">
        <v>-188.917</v>
      </c>
      <c r="H6418" s="1">
        <v>-3.4259789999999999E-6</v>
      </c>
      <c r="I6418">
        <v>-12.82896</v>
      </c>
      <c r="J6418">
        <v>-188.9315</v>
      </c>
      <c r="K6418">
        <v>1.1031819999999899</v>
      </c>
      <c r="L6418">
        <v>-43.559750000000001</v>
      </c>
      <c r="M6418">
        <v>0.1186883</v>
      </c>
      <c r="N6418">
        <v>0</v>
      </c>
      <c r="O6418">
        <v>0.99286399999999997</v>
      </c>
      <c r="P6418">
        <v>4.5182029999999998E-2</v>
      </c>
      <c r="Q6418">
        <v>4.9193650000000002E-3</v>
      </c>
      <c r="R6418">
        <v>0.99896659999999904</v>
      </c>
      <c r="S6418">
        <v>3.7841799999999998E-3</v>
      </c>
      <c r="T6418">
        <v>-0.1071607</v>
      </c>
      <c r="U6418">
        <v>3.0029300000000001</v>
      </c>
      <c r="V6418">
        <v>-7.3647959999999998E-2</v>
      </c>
      <c r="W6418">
        <v>1.6749380000000001E-2</v>
      </c>
      <c r="X6418">
        <v>0.99714360000000002</v>
      </c>
      <c r="Y6418">
        <v>-0.11744539999999901</v>
      </c>
      <c r="Z6418">
        <v>-3.516118E-2</v>
      </c>
      <c r="AA6418">
        <v>0.99245669999999897</v>
      </c>
      <c r="AB6418">
        <v>19</v>
      </c>
      <c r="AC6418">
        <v>1.4499999999998099E-2</v>
      </c>
      <c r="AD6418">
        <v>-1.1031854259789999</v>
      </c>
      <c r="AE6418">
        <v>30.730789999999999</v>
      </c>
      <c r="AF6418">
        <v>-3.62855633383414</v>
      </c>
      <c r="AG6418">
        <v>-1.1031854259789999</v>
      </c>
      <c r="AH6418">
        <v>30.475988975827899</v>
      </c>
      <c r="AI6418">
        <v>92.058589498832205</v>
      </c>
      <c r="AJ6418">
        <v>96.789831765753902</v>
      </c>
      <c r="AK6418">
        <v>30.7110622285632</v>
      </c>
    </row>
    <row r="6419" spans="1:37" x14ac:dyDescent="0.2">
      <c r="A6419" t="str">
        <f>"20200111155726625"</f>
        <v>20200111155726625</v>
      </c>
      <c r="B6419" t="str">
        <f>"1578729446619560"</f>
        <v>1578729446619560</v>
      </c>
      <c r="C6419" t="s">
        <v>37</v>
      </c>
      <c r="D6419">
        <v>5.4555230000000003</v>
      </c>
      <c r="E6419">
        <v>0.48551179999999899</v>
      </c>
      <c r="F6419" t="s">
        <v>38</v>
      </c>
      <c r="G6419">
        <v>-188.7765</v>
      </c>
      <c r="H6419" s="1">
        <v>-3.2896759999999998E-6</v>
      </c>
      <c r="I6419">
        <v>-13.20478</v>
      </c>
      <c r="J6419">
        <v>-188.90459999999999</v>
      </c>
      <c r="K6419">
        <v>1.103234</v>
      </c>
      <c r="L6419">
        <v>-43.362299999999998</v>
      </c>
      <c r="M6419">
        <v>0.1213732</v>
      </c>
      <c r="N6419">
        <v>0</v>
      </c>
      <c r="O6419">
        <v>0.99254409999999904</v>
      </c>
      <c r="P6419">
        <v>4.8406949999999997E-2</v>
      </c>
      <c r="Q6419">
        <v>7.1774500000000001E-3</v>
      </c>
      <c r="R6419">
        <v>0.99880190000000002</v>
      </c>
      <c r="S6419">
        <v>1.5335079999999999E-2</v>
      </c>
      <c r="T6419">
        <v>-0.10913489999999899</v>
      </c>
      <c r="U6419">
        <v>3.0029300000000001</v>
      </c>
      <c r="V6419">
        <v>-7.3120640000000001E-2</v>
      </c>
      <c r="W6419">
        <v>1.858253E-2</v>
      </c>
      <c r="X6419">
        <v>0.99714990000000003</v>
      </c>
      <c r="Y6419">
        <v>-0.11631329999999999</v>
      </c>
      <c r="Z6419">
        <v>-3.5792669999999999E-2</v>
      </c>
      <c r="AA6419">
        <v>0.99256739999999999</v>
      </c>
      <c r="AB6419">
        <v>19</v>
      </c>
      <c r="AC6419">
        <v>0.128099999999989</v>
      </c>
      <c r="AD6419">
        <v>-1.1032372896760001</v>
      </c>
      <c r="AE6419">
        <v>30.157520000000002</v>
      </c>
      <c r="AF6419">
        <v>-3.5286679632058999</v>
      </c>
      <c r="AG6419">
        <v>-1.1032372896760001</v>
      </c>
      <c r="AH6419">
        <v>29.9100574611039</v>
      </c>
      <c r="AI6419">
        <v>92.097870579625294</v>
      </c>
      <c r="AJ6419">
        <v>96.728423898915295</v>
      </c>
      <c r="AK6419">
        <v>30.1376868295897</v>
      </c>
    </row>
    <row r="6420" spans="1:37" x14ac:dyDescent="0.2">
      <c r="A6420" t="str">
        <f>"20200111155726648"</f>
        <v>20200111155726648</v>
      </c>
      <c r="B6420" t="str">
        <f>"1578729446640055"</f>
        <v>1578729446640055</v>
      </c>
      <c r="C6420" t="s">
        <v>37</v>
      </c>
      <c r="D6420">
        <v>5.4783869999999997</v>
      </c>
      <c r="E6420">
        <v>0.48561499999999902</v>
      </c>
      <c r="F6420" t="s">
        <v>38</v>
      </c>
      <c r="G6420">
        <v>-188.62989999999999</v>
      </c>
      <c r="H6420" s="1">
        <v>-3.6041119999999998E-6</v>
      </c>
      <c r="I6420">
        <v>-12.53248</v>
      </c>
      <c r="J6420">
        <v>-188.87790000000001</v>
      </c>
      <c r="K6420">
        <v>1.1032759999999999</v>
      </c>
      <c r="L6420">
        <v>-43.169249999999998</v>
      </c>
      <c r="M6420">
        <v>0.123877</v>
      </c>
      <c r="N6420">
        <v>0</v>
      </c>
      <c r="O6420">
        <v>0.99223919999999999</v>
      </c>
      <c r="P6420">
        <v>5.152851E-2</v>
      </c>
      <c r="Q6420">
        <v>1.0484520000000001E-2</v>
      </c>
      <c r="R6420">
        <v>0.99861650000000002</v>
      </c>
      <c r="S6420">
        <v>2.676392E-2</v>
      </c>
      <c r="T6420">
        <v>-0.10746459999999999</v>
      </c>
      <c r="U6420">
        <v>3.003082</v>
      </c>
      <c r="V6420">
        <v>-7.2509749999999998E-2</v>
      </c>
      <c r="W6420">
        <v>2.1458709999999999E-2</v>
      </c>
      <c r="X6420">
        <v>0.99713680000000005</v>
      </c>
      <c r="Y6420">
        <v>-0.1150414</v>
      </c>
      <c r="Z6420">
        <v>-3.5229389999999999E-2</v>
      </c>
      <c r="AA6420">
        <v>0.99273579999999995</v>
      </c>
      <c r="AB6420">
        <v>19</v>
      </c>
      <c r="AC6420">
        <v>0.24800000000001801</v>
      </c>
      <c r="AD6420">
        <v>-1.1032796041120001</v>
      </c>
      <c r="AE6420">
        <v>30.636769999999999</v>
      </c>
      <c r="AF6420">
        <v>-3.5447248244554701</v>
      </c>
      <c r="AG6420">
        <v>-1.1032796041120001</v>
      </c>
      <c r="AH6420">
        <v>30.392077607931899</v>
      </c>
      <c r="AI6420">
        <v>92.065026928538003</v>
      </c>
      <c r="AJ6420">
        <v>96.652532467432593</v>
      </c>
      <c r="AK6420">
        <v>30.617979706252999</v>
      </c>
    </row>
    <row r="6421" spans="1:37" x14ac:dyDescent="0.2">
      <c r="A6421" t="str">
        <f>"20200111155726669"</f>
        <v>20200111155726669</v>
      </c>
      <c r="B6421" t="str">
        <f>"1578729446659574"</f>
        <v>1578729446659574</v>
      </c>
      <c r="C6421" t="s">
        <v>37</v>
      </c>
      <c r="D6421">
        <v>5.5461780000000003</v>
      </c>
      <c r="E6421">
        <v>0.48562519999999998</v>
      </c>
      <c r="F6421" t="s">
        <v>38</v>
      </c>
      <c r="G6421">
        <v>-188.48580000000001</v>
      </c>
      <c r="H6421" s="1">
        <v>-4.155881E-6</v>
      </c>
      <c r="I6421">
        <v>-11.30585</v>
      </c>
      <c r="J6421">
        <v>-188.8518</v>
      </c>
      <c r="K6421">
        <v>1.1033189999999999</v>
      </c>
      <c r="L6421">
        <v>-42.983249999999998</v>
      </c>
      <c r="M6421">
        <v>0.12616749999999999</v>
      </c>
      <c r="N6421">
        <v>0</v>
      </c>
      <c r="O6421">
        <v>0.99195489999999997</v>
      </c>
      <c r="P6421">
        <v>5.53342E-2</v>
      </c>
      <c r="Q6421">
        <v>1.4124569999999999E-2</v>
      </c>
      <c r="R6421">
        <v>0.99836800000000003</v>
      </c>
      <c r="S6421">
        <v>3.6956790000000003E-2</v>
      </c>
      <c r="T6421">
        <v>-0.10399220000000001</v>
      </c>
      <c r="U6421">
        <v>3.0033569999999998</v>
      </c>
      <c r="V6421">
        <v>-7.0999530000000005E-2</v>
      </c>
      <c r="W6421">
        <v>2.4672690000000001E-2</v>
      </c>
      <c r="X6421">
        <v>0.99717119999999904</v>
      </c>
      <c r="Y6421">
        <v>-0.11396580000000001</v>
      </c>
      <c r="Z6421">
        <v>-3.4075929999999997E-2</v>
      </c>
      <c r="AA6421">
        <v>0.99290009999999995</v>
      </c>
      <c r="AB6421">
        <v>19</v>
      </c>
      <c r="AC6421">
        <v>0.365999999999985</v>
      </c>
      <c r="AD6421">
        <v>-1.1033231558809999</v>
      </c>
      <c r="AE6421">
        <v>31.677399999999999</v>
      </c>
      <c r="AF6421">
        <v>-3.6293953862166402</v>
      </c>
      <c r="AG6421">
        <v>-1.1033231558809999</v>
      </c>
      <c r="AH6421">
        <v>31.4322906335703</v>
      </c>
      <c r="AI6421">
        <v>91.997088852339999</v>
      </c>
      <c r="AJ6421">
        <v>96.586608430791699</v>
      </c>
      <c r="AK6421">
        <v>31.6603652431399</v>
      </c>
    </row>
    <row r="6422" spans="1:37" x14ac:dyDescent="0.2">
      <c r="A6422" t="str">
        <f>"20200111155726692"</f>
        <v>20200111155726692</v>
      </c>
      <c r="B6422" t="str">
        <f>"1578729446679094"</f>
        <v>1578729446679094</v>
      </c>
      <c r="C6422" t="s">
        <v>37</v>
      </c>
      <c r="D6422">
        <v>5.5828319999999998</v>
      </c>
      <c r="E6422">
        <v>0.48569430000000002</v>
      </c>
      <c r="F6422" t="s">
        <v>38</v>
      </c>
      <c r="G6422">
        <v>-188.3005</v>
      </c>
      <c r="H6422" s="1">
        <v>-1.066107E-6</v>
      </c>
      <c r="I6422">
        <v>-8.5848239999999993</v>
      </c>
      <c r="J6422">
        <v>-188.82419999999999</v>
      </c>
      <c r="K6422">
        <v>1.1033759999999999</v>
      </c>
      <c r="L6422">
        <v>-42.788359999999997</v>
      </c>
      <c r="M6422">
        <v>0.128416</v>
      </c>
      <c r="N6422">
        <v>0</v>
      </c>
      <c r="O6422">
        <v>0.99167050000000001</v>
      </c>
      <c r="P6422">
        <v>5.9681140000000001E-2</v>
      </c>
      <c r="Q6422">
        <v>1.6732299999999999E-2</v>
      </c>
      <c r="R6422">
        <v>0.99807729999999995</v>
      </c>
      <c r="S6422">
        <v>4.814148E-2</v>
      </c>
      <c r="T6422">
        <v>-9.63397E-2</v>
      </c>
      <c r="U6422">
        <v>3.00360099999999</v>
      </c>
      <c r="V6422">
        <v>-6.8911459999999994E-2</v>
      </c>
      <c r="W6422">
        <v>2.6849689999999999E-2</v>
      </c>
      <c r="X6422">
        <v>0.99726139999999996</v>
      </c>
      <c r="Y6422">
        <v>-0.1125205</v>
      </c>
      <c r="Z6422">
        <v>-3.1556470000000003E-2</v>
      </c>
      <c r="AA6422">
        <v>0.99314820000000004</v>
      </c>
      <c r="AB6422">
        <v>19</v>
      </c>
      <c r="AC6422">
        <v>0.52369999999999095</v>
      </c>
      <c r="AD6422">
        <v>-1.1033770661069999</v>
      </c>
      <c r="AE6422">
        <v>34.203536</v>
      </c>
      <c r="AF6422">
        <v>-3.8691096105726199</v>
      </c>
      <c r="AG6422">
        <v>-1.1033770661069999</v>
      </c>
      <c r="AH6422">
        <v>33.952246467055701</v>
      </c>
      <c r="AI6422">
        <v>91.849376892477395</v>
      </c>
      <c r="AJ6422">
        <v>96.501232367380297</v>
      </c>
      <c r="AK6422">
        <v>34.189800968831797</v>
      </c>
    </row>
    <row r="6423" spans="1:37" x14ac:dyDescent="0.2">
      <c r="A6423" t="str">
        <f>"20200111155726714"</f>
        <v>20200111155726714</v>
      </c>
      <c r="B6423" t="str">
        <f>"1578729446709351"</f>
        <v>1578729446709351</v>
      </c>
      <c r="C6423" t="s">
        <v>37</v>
      </c>
      <c r="D6423">
        <v>5.4900589999999996</v>
      </c>
      <c r="E6423">
        <v>0.48549609999999899</v>
      </c>
      <c r="F6423" t="s">
        <v>38</v>
      </c>
      <c r="G6423">
        <v>-188.07259999999999</v>
      </c>
      <c r="H6423" s="1">
        <v>-2.2617450000000001E-6</v>
      </c>
      <c r="I6423">
        <v>-5.8919969999999999</v>
      </c>
      <c r="J6423">
        <v>-188.79660000000001</v>
      </c>
      <c r="K6423">
        <v>1.103456</v>
      </c>
      <c r="L6423">
        <v>-42.594909999999999</v>
      </c>
      <c r="M6423">
        <v>0.13045889999999999</v>
      </c>
      <c r="N6423">
        <v>0</v>
      </c>
      <c r="O6423">
        <v>0.9914075</v>
      </c>
      <c r="P6423">
        <v>6.3242489999999998E-2</v>
      </c>
      <c r="Q6423">
        <v>1.8182440000000001E-2</v>
      </c>
      <c r="R6423">
        <v>0.99783250000000001</v>
      </c>
      <c r="S6423">
        <v>6.1187739999999997E-2</v>
      </c>
      <c r="T6423">
        <v>-8.9823009999999995E-2</v>
      </c>
      <c r="U6423">
        <v>3.0036320000000001</v>
      </c>
      <c r="V6423">
        <v>-6.7408170000000003E-2</v>
      </c>
      <c r="W6423">
        <v>2.7907390000000001E-2</v>
      </c>
      <c r="X6423">
        <v>0.99733510000000003</v>
      </c>
      <c r="Y6423">
        <v>-0.11025359999999999</v>
      </c>
      <c r="Z6423">
        <v>-2.9414280000000001E-2</v>
      </c>
      <c r="AA6423">
        <v>0.99346819999999902</v>
      </c>
      <c r="AB6423">
        <v>19</v>
      </c>
      <c r="AC6423">
        <v>0.72400000000001696</v>
      </c>
      <c r="AD6423">
        <v>-1.1034582617449999</v>
      </c>
      <c r="AE6423">
        <v>36.702913000000002</v>
      </c>
      <c r="AF6423">
        <v>-4.0669545473078701</v>
      </c>
      <c r="AG6423">
        <v>-1.1034582617449999</v>
      </c>
      <c r="AH6423">
        <v>36.4507329914818</v>
      </c>
      <c r="AI6423">
        <v>91.723275709068602</v>
      </c>
      <c r="AJ6423">
        <v>96.366389280157193</v>
      </c>
      <c r="AK6423">
        <v>36.693509985303699</v>
      </c>
    </row>
    <row r="6424" spans="1:37" x14ac:dyDescent="0.2">
      <c r="A6424" t="str">
        <f>"20200111155726736"</f>
        <v>20200111155726736</v>
      </c>
      <c r="B6424" t="str">
        <f>"1578729446729846"</f>
        <v>1578729446729846</v>
      </c>
      <c r="C6424" t="s">
        <v>37</v>
      </c>
      <c r="D6424">
        <v>5.3986809999999998</v>
      </c>
      <c r="E6424">
        <v>0.48518749999999999</v>
      </c>
      <c r="F6424" t="s">
        <v>38</v>
      </c>
      <c r="G6424">
        <v>-187.9374</v>
      </c>
      <c r="H6424" s="1">
        <v>-2.515136E-6</v>
      </c>
      <c r="I6424">
        <v>-5.3572239999999898</v>
      </c>
      <c r="J6424">
        <v>-188.76840000000001</v>
      </c>
      <c r="K6424">
        <v>1.103593</v>
      </c>
      <c r="L6424">
        <v>-42.398589999999999</v>
      </c>
      <c r="M6424">
        <v>0.13229469999999999</v>
      </c>
      <c r="N6424">
        <v>0</v>
      </c>
      <c r="O6424">
        <v>0.99116740000000003</v>
      </c>
      <c r="P6424">
        <v>6.5590549999999997E-2</v>
      </c>
      <c r="Q6424">
        <v>1.8070070000000001E-2</v>
      </c>
      <c r="R6424">
        <v>0.99768299999999999</v>
      </c>
      <c r="S6424">
        <v>6.9305420000000006E-2</v>
      </c>
      <c r="T6424">
        <v>-8.9009759999999993E-2</v>
      </c>
      <c r="U6424">
        <v>3.0037539999999998</v>
      </c>
      <c r="V6424">
        <v>-6.6919670000000001E-2</v>
      </c>
      <c r="W6424">
        <v>2.7433590000000001E-2</v>
      </c>
      <c r="X6424">
        <v>0.99738119999999997</v>
      </c>
      <c r="Y6424">
        <v>-0.10941089999999901</v>
      </c>
      <c r="Z6424">
        <v>-2.9136769999999999E-2</v>
      </c>
      <c r="AA6424">
        <v>0.99356949999999999</v>
      </c>
      <c r="AB6424">
        <v>20</v>
      </c>
      <c r="AC6424">
        <v>0.83100000000001695</v>
      </c>
      <c r="AD6424">
        <v>-1.103595515136</v>
      </c>
      <c r="AE6424">
        <v>37.041365999999996</v>
      </c>
      <c r="AF6424">
        <v>-4.0732763121363096</v>
      </c>
      <c r="AG6424">
        <v>-1.103595515136</v>
      </c>
      <c r="AH6424">
        <v>36.793058692445797</v>
      </c>
      <c r="AI6424">
        <v>91.707626268941894</v>
      </c>
      <c r="AJ6424">
        <v>96.317361023685905</v>
      </c>
      <c r="AK6424">
        <v>37.034290474124198</v>
      </c>
    </row>
    <row r="6425" spans="1:37" x14ac:dyDescent="0.2">
      <c r="A6425" t="str">
        <f>"20200111155726752"</f>
        <v>20200111155726752</v>
      </c>
      <c r="B6425" t="str">
        <f>"1578729446739607"</f>
        <v>1578729446739607</v>
      </c>
      <c r="C6425" t="s">
        <v>37</v>
      </c>
      <c r="D6425">
        <v>5.4689040000000002</v>
      </c>
      <c r="E6425">
        <v>0.48497699999999999</v>
      </c>
      <c r="F6425" t="s">
        <v>38</v>
      </c>
      <c r="G6425">
        <v>-187.88310000000001</v>
      </c>
      <c r="H6425" s="1">
        <v>-2.1839789999999998E-6</v>
      </c>
      <c r="I6425">
        <v>-6.1515979999999999</v>
      </c>
      <c r="J6425">
        <v>-188.74969999999999</v>
      </c>
      <c r="K6425">
        <v>1.103701</v>
      </c>
      <c r="L6425">
        <v>-42.268590000000003</v>
      </c>
      <c r="M6425">
        <v>0.133325</v>
      </c>
      <c r="N6425">
        <v>0</v>
      </c>
      <c r="O6425">
        <v>0.9910312</v>
      </c>
      <c r="P6425">
        <v>6.6365010000000002E-2</v>
      </c>
      <c r="Q6425">
        <v>1.7982560000000002E-2</v>
      </c>
      <c r="R6425">
        <v>0.99763329999999995</v>
      </c>
      <c r="S6425">
        <v>7.3364260000000001E-2</v>
      </c>
      <c r="T6425">
        <v>-9.1455700000000001E-2</v>
      </c>
      <c r="U6425">
        <v>3.0038149999999999</v>
      </c>
      <c r="V6425">
        <v>-6.7191790000000001E-2</v>
      </c>
      <c r="W6425">
        <v>2.7124720000000001E-2</v>
      </c>
      <c r="X6425">
        <v>0.99737129999999996</v>
      </c>
      <c r="Y6425">
        <v>-0.10910309999999999</v>
      </c>
      <c r="Z6425">
        <v>-2.9929850000000001E-2</v>
      </c>
      <c r="AA6425">
        <v>0.99357969999999896</v>
      </c>
      <c r="AB6425">
        <v>20</v>
      </c>
      <c r="AC6425">
        <v>0.86659999999997595</v>
      </c>
      <c r="AD6425">
        <v>-1.1037031839789999</v>
      </c>
      <c r="AE6425">
        <v>36.116992000000003</v>
      </c>
      <c r="AF6425">
        <v>-3.9529423963101298</v>
      </c>
      <c r="AG6425">
        <v>-1.1037031839789999</v>
      </c>
      <c r="AH6425">
        <v>35.876586212065099</v>
      </c>
      <c r="AI6425">
        <v>91.751492217011304</v>
      </c>
      <c r="AJ6425">
        <v>96.287583105436596</v>
      </c>
      <c r="AK6425">
        <v>36.110571202053997</v>
      </c>
    </row>
    <row r="6426" spans="1:37" x14ac:dyDescent="0.2">
      <c r="A6426" t="str">
        <f>"20200111155726770"</f>
        <v>20200111155726770</v>
      </c>
      <c r="B6426" t="str">
        <f>"1578729446759126"</f>
        <v>1578729446759126</v>
      </c>
      <c r="C6426" t="s">
        <v>37</v>
      </c>
      <c r="D6426">
        <v>5.3336629999999996</v>
      </c>
      <c r="E6426">
        <v>0.48468519999999998</v>
      </c>
      <c r="F6426" t="s">
        <v>38</v>
      </c>
      <c r="G6426">
        <v>-187.8683</v>
      </c>
      <c r="H6426" s="1">
        <v>-2.0766129999999999E-6</v>
      </c>
      <c r="I6426">
        <v>-6.4080199999999996</v>
      </c>
      <c r="J6426">
        <v>-188.72620000000001</v>
      </c>
      <c r="K6426">
        <v>1.1038559999999999</v>
      </c>
      <c r="L6426">
        <v>-42.10425</v>
      </c>
      <c r="M6426">
        <v>0.1344361</v>
      </c>
      <c r="N6426">
        <v>0</v>
      </c>
      <c r="O6426">
        <v>0.99088319999999996</v>
      </c>
      <c r="P6426">
        <v>6.6934859999999999E-2</v>
      </c>
      <c r="Q6426">
        <v>1.6242679999999999E-2</v>
      </c>
      <c r="R6426">
        <v>0.99762510000000004</v>
      </c>
      <c r="S6426">
        <v>7.3837280000000005E-2</v>
      </c>
      <c r="T6426">
        <v>-9.245217E-2</v>
      </c>
      <c r="U6426">
        <v>3.003876</v>
      </c>
      <c r="V6426">
        <v>-6.7758429999999994E-2</v>
      </c>
      <c r="W6426">
        <v>2.5120300000000002E-2</v>
      </c>
      <c r="X6426">
        <v>0.99738539999999998</v>
      </c>
      <c r="Y6426">
        <v>-0.1100617</v>
      </c>
      <c r="Z6426">
        <v>-3.0246439999999999E-2</v>
      </c>
      <c r="AA6426">
        <v>0.99346440000000003</v>
      </c>
      <c r="AB6426">
        <v>20</v>
      </c>
      <c r="AC6426">
        <v>0.8579</v>
      </c>
      <c r="AD6426">
        <v>-1.1038580766129999</v>
      </c>
      <c r="AE6426">
        <v>35.69623</v>
      </c>
      <c r="AF6426">
        <v>-3.9451656363466401</v>
      </c>
      <c r="AG6426">
        <v>-1.1038580766129999</v>
      </c>
      <c r="AH6426">
        <v>35.453617313556997</v>
      </c>
      <c r="AI6426">
        <v>91.772410999211303</v>
      </c>
      <c r="AJ6426">
        <v>96.349569960896702</v>
      </c>
      <c r="AK6426">
        <v>35.689519682501498</v>
      </c>
    </row>
    <row r="6427" spans="1:37" x14ac:dyDescent="0.2">
      <c r="A6427" t="str">
        <f>"20200111155726792"</f>
        <v>20200111155726792</v>
      </c>
      <c r="B6427" t="str">
        <f>"1578729446789383"</f>
        <v>1578729446789383</v>
      </c>
      <c r="C6427" t="s">
        <v>37</v>
      </c>
      <c r="D6427">
        <v>5.2452940000000003</v>
      </c>
      <c r="E6427">
        <v>0.48425799999999902</v>
      </c>
      <c r="F6427" t="s">
        <v>38</v>
      </c>
      <c r="G6427">
        <v>-187.91990000000001</v>
      </c>
      <c r="H6427" s="1">
        <v>-1.0502140000000001E-6</v>
      </c>
      <c r="I6427">
        <v>-8.8921659999999996</v>
      </c>
      <c r="J6427">
        <v>-188.6987</v>
      </c>
      <c r="K6427">
        <v>1.1040459999999901</v>
      </c>
      <c r="L6427">
        <v>-41.911709999999999</v>
      </c>
      <c r="M6427">
        <v>0.13542419999999999</v>
      </c>
      <c r="N6427">
        <v>0</v>
      </c>
      <c r="O6427">
        <v>0.99075079999999904</v>
      </c>
      <c r="P6427">
        <v>6.7257049999999999E-2</v>
      </c>
      <c r="Q6427">
        <v>1.374505E-2</v>
      </c>
      <c r="R6427">
        <v>0.997641</v>
      </c>
      <c r="S6427">
        <v>7.2921749999999994E-2</v>
      </c>
      <c r="T6427">
        <v>-9.9838609999999994E-2</v>
      </c>
      <c r="U6427">
        <v>3.003876</v>
      </c>
      <c r="V6427">
        <v>-6.8452540000000006E-2</v>
      </c>
      <c r="W6427">
        <v>2.233636E-2</v>
      </c>
      <c r="X6427">
        <v>0.99740430000000002</v>
      </c>
      <c r="Y6427">
        <v>-0.111357</v>
      </c>
      <c r="Z6427">
        <v>-3.2651449999999999E-2</v>
      </c>
      <c r="AA6427">
        <v>0.99324389999999996</v>
      </c>
      <c r="AB6427">
        <v>20</v>
      </c>
      <c r="AC6427">
        <v>0.77879999999998895</v>
      </c>
      <c r="AD6427">
        <v>-1.1040470502139901</v>
      </c>
      <c r="AE6427">
        <v>33.019544000000003</v>
      </c>
      <c r="AF6427">
        <v>-3.69605411515905</v>
      </c>
      <c r="AG6427">
        <v>-1.1040470502139901</v>
      </c>
      <c r="AH6427">
        <v>32.784176662385498</v>
      </c>
      <c r="AI6427">
        <v>91.9166434568086</v>
      </c>
      <c r="AJ6427">
        <v>96.432306885337795</v>
      </c>
      <c r="AK6427">
        <v>33.010331342501999</v>
      </c>
    </row>
    <row r="6428" spans="1:37" x14ac:dyDescent="0.2">
      <c r="A6428" t="str">
        <f>"20200111155726808"</f>
        <v>20200111155726808</v>
      </c>
      <c r="B6428" t="str">
        <f>"1578729446800118"</f>
        <v>1578729446800118</v>
      </c>
      <c r="C6428" t="s">
        <v>37</v>
      </c>
      <c r="D6428">
        <v>5.2337749999999996</v>
      </c>
      <c r="E6428">
        <v>0.48410419999999998</v>
      </c>
      <c r="F6428" t="s">
        <v>38</v>
      </c>
      <c r="G6428">
        <v>-187.9975</v>
      </c>
      <c r="H6428" s="1">
        <v>-4.0617959999999997E-6</v>
      </c>
      <c r="I6428">
        <v>-11.72705</v>
      </c>
      <c r="J6428">
        <v>-188.67769999999999</v>
      </c>
      <c r="K6428">
        <v>1.1042069999999999</v>
      </c>
      <c r="L6428">
        <v>-41.763089999999998</v>
      </c>
      <c r="M6428">
        <v>0.135935</v>
      </c>
      <c r="N6428">
        <v>0</v>
      </c>
      <c r="O6428">
        <v>0.99068239999999996</v>
      </c>
      <c r="P6428">
        <v>6.7521150000000002E-2</v>
      </c>
      <c r="Q6428">
        <v>1.2458479999999999E-2</v>
      </c>
      <c r="R6428">
        <v>0.99764010000000003</v>
      </c>
      <c r="S6428">
        <v>6.9778439999999997E-2</v>
      </c>
      <c r="T6428">
        <v>-0.109872499999999</v>
      </c>
      <c r="U6428">
        <v>3.0039060000000002</v>
      </c>
      <c r="V6428">
        <v>-6.8714899999999995E-2</v>
      </c>
      <c r="W6428">
        <v>2.0847540000000001E-2</v>
      </c>
      <c r="X6428">
        <v>0.99741849999999999</v>
      </c>
      <c r="Y6428">
        <v>-0.1129106</v>
      </c>
      <c r="Z6428">
        <v>-3.5921809999999998E-2</v>
      </c>
      <c r="AA6428">
        <v>0.99295560000000005</v>
      </c>
      <c r="AB6428">
        <v>20</v>
      </c>
      <c r="AC6428">
        <v>0.68019999999998404</v>
      </c>
      <c r="AD6428">
        <v>-1.1042110617959999</v>
      </c>
      <c r="AE6428">
        <v>30.03604</v>
      </c>
      <c r="AF6428">
        <v>-3.4046073544746598</v>
      </c>
      <c r="AG6428">
        <v>-1.1042110617959999</v>
      </c>
      <c r="AH6428">
        <v>29.809417769188901</v>
      </c>
      <c r="AI6428">
        <v>92.107710741563594</v>
      </c>
      <c r="AJ6428">
        <v>96.515659465966493</v>
      </c>
      <c r="AK6428">
        <v>30.0235244607486</v>
      </c>
    </row>
    <row r="6429" spans="1:37" x14ac:dyDescent="0.2">
      <c r="A6429" t="str">
        <f>"20200111155726827"</f>
        <v>20200111155726827</v>
      </c>
      <c r="B6429" t="str">
        <f>"1578729446819640"</f>
        <v>1578729446819640</v>
      </c>
      <c r="C6429" t="s">
        <v>37</v>
      </c>
      <c r="D6429">
        <v>5.2656929999999997</v>
      </c>
      <c r="E6429">
        <v>0.48375580000000001</v>
      </c>
      <c r="F6429" t="s">
        <v>38</v>
      </c>
      <c r="G6429">
        <v>-188.01320000000001</v>
      </c>
      <c r="H6429" s="1">
        <v>-3.5867950000000002E-6</v>
      </c>
      <c r="I6429">
        <v>-12.827830000000001</v>
      </c>
      <c r="J6429">
        <v>-188.6542</v>
      </c>
      <c r="K6429">
        <v>1.104374</v>
      </c>
      <c r="L6429">
        <v>-41.595579999999998</v>
      </c>
      <c r="M6429">
        <v>0.13625870000000001</v>
      </c>
      <c r="N6429">
        <v>0</v>
      </c>
      <c r="O6429">
        <v>0.99063939999999995</v>
      </c>
      <c r="P6429">
        <v>6.8141560000000004E-2</v>
      </c>
      <c r="Q6429">
        <v>1.051296E-2</v>
      </c>
      <c r="R6429">
        <v>0.99762030000000002</v>
      </c>
      <c r="S6429">
        <v>6.8984989999999996E-2</v>
      </c>
      <c r="T6429">
        <v>-0.114631</v>
      </c>
      <c r="U6429">
        <v>3.0038450000000001</v>
      </c>
      <c r="V6429">
        <v>-6.843341E-2</v>
      </c>
      <c r="W6429">
        <v>1.8686939999999999E-2</v>
      </c>
      <c r="X6429">
        <v>0.99748060000000005</v>
      </c>
      <c r="Y6429">
        <v>-0.1134979</v>
      </c>
      <c r="Z6429">
        <v>-3.7472430000000001E-2</v>
      </c>
      <c r="AA6429">
        <v>0.99283129999999997</v>
      </c>
      <c r="AB6429">
        <v>20</v>
      </c>
      <c r="AC6429">
        <v>0.64099999999999102</v>
      </c>
      <c r="AD6429">
        <v>-1.1043775867950001</v>
      </c>
      <c r="AE6429">
        <v>28.767749999999999</v>
      </c>
      <c r="AF6429">
        <v>-3.2801349541842599</v>
      </c>
      <c r="AG6429">
        <v>-1.1043775867950001</v>
      </c>
      <c r="AH6429">
        <v>28.544721318764299</v>
      </c>
      <c r="AI6429">
        <v>92.201162254999304</v>
      </c>
      <c r="AJ6429">
        <v>96.555227934222998</v>
      </c>
      <c r="AK6429">
        <v>28.753783235216101</v>
      </c>
    </row>
    <row r="6430" spans="1:37" x14ac:dyDescent="0.2">
      <c r="A6430" t="str">
        <f>"20200111155726849"</f>
        <v>20200111155726849</v>
      </c>
      <c r="B6430" t="str">
        <f>"1578729446839159"</f>
        <v>1578729446839159</v>
      </c>
      <c r="C6430" t="s">
        <v>37</v>
      </c>
      <c r="D6430">
        <v>5.2405400000000002</v>
      </c>
      <c r="E6430">
        <v>0.48341269999999997</v>
      </c>
      <c r="F6430" t="s">
        <v>38</v>
      </c>
      <c r="G6430">
        <v>-188.03749999999999</v>
      </c>
      <c r="H6430" s="1">
        <v>-2.9283409999999899E-6</v>
      </c>
      <c r="I6430">
        <v>-14.352639999999999</v>
      </c>
      <c r="J6430">
        <v>-188.6268</v>
      </c>
      <c r="K6430">
        <v>1.1045639999999901</v>
      </c>
      <c r="L6430">
        <v>-41.398559999999897</v>
      </c>
      <c r="M6430">
        <v>0.1362961</v>
      </c>
      <c r="N6430">
        <v>0</v>
      </c>
      <c r="O6430">
        <v>0.99063590000000001</v>
      </c>
      <c r="P6430">
        <v>6.8582859999999995E-2</v>
      </c>
      <c r="Q6430">
        <v>9.1339409999999996E-3</v>
      </c>
      <c r="R6430">
        <v>0.99760360000000003</v>
      </c>
      <c r="S6430">
        <v>6.7993159999999997E-2</v>
      </c>
      <c r="T6430">
        <v>-0.1217676</v>
      </c>
      <c r="U6430">
        <v>3.003784</v>
      </c>
      <c r="V6430">
        <v>-6.8039649999999993E-2</v>
      </c>
      <c r="W6430">
        <v>1.706595E-2</v>
      </c>
      <c r="X6430">
        <v>0.99753670000000005</v>
      </c>
      <c r="Y6430">
        <v>-0.11386449999999999</v>
      </c>
      <c r="Z6430">
        <v>-3.9801459999999997E-2</v>
      </c>
      <c r="AA6430">
        <v>0.99269869999999905</v>
      </c>
      <c r="AB6430">
        <v>20</v>
      </c>
      <c r="AC6430">
        <v>0.58930000000000804</v>
      </c>
      <c r="AD6430">
        <v>-1.10456692834099</v>
      </c>
      <c r="AE6430">
        <v>27.045919999999899</v>
      </c>
      <c r="AF6430">
        <v>-3.0974069502810599</v>
      </c>
      <c r="AG6430">
        <v>-1.10456692834099</v>
      </c>
      <c r="AH6430">
        <v>26.829108924681101</v>
      </c>
      <c r="AI6430">
        <v>92.342023768049202</v>
      </c>
      <c r="AJ6430">
        <v>96.585612849070699</v>
      </c>
      <c r="AK6430">
        <v>27.029892408354801</v>
      </c>
    </row>
    <row r="6431" spans="1:37" x14ac:dyDescent="0.2">
      <c r="A6431" t="str">
        <f>"20200111155726871"</f>
        <v>20200111155726871</v>
      </c>
      <c r="B6431" t="str">
        <f>"1578729446859656"</f>
        <v>1578729446859656</v>
      </c>
      <c r="C6431" t="s">
        <v>37</v>
      </c>
      <c r="D6431">
        <v>5.1640750000000004</v>
      </c>
      <c r="E6431">
        <v>0.48308620000000002</v>
      </c>
      <c r="F6431" t="s">
        <v>38</v>
      </c>
      <c r="G6431">
        <v>-188.04640000000001</v>
      </c>
      <c r="H6431" s="1">
        <v>-2.52213799999999E-6</v>
      </c>
      <c r="I6431">
        <v>-15.295809999999999</v>
      </c>
      <c r="J6431">
        <v>-188.6</v>
      </c>
      <c r="K6431">
        <v>1.1047340000000001</v>
      </c>
      <c r="L6431">
        <v>-41.202849999999998</v>
      </c>
      <c r="M6431">
        <v>0.13598260000000001</v>
      </c>
      <c r="N6431">
        <v>0</v>
      </c>
      <c r="O6431">
        <v>0.99068069999999897</v>
      </c>
      <c r="P6431">
        <v>6.8941219999999998E-2</v>
      </c>
      <c r="Q6431">
        <v>8.120815E-3</v>
      </c>
      <c r="R6431">
        <v>0.99758769999999997</v>
      </c>
      <c r="S6431">
        <v>6.6787719999999995E-2</v>
      </c>
      <c r="T6431">
        <v>-0.12710850000000001</v>
      </c>
      <c r="U6431">
        <v>3.003784</v>
      </c>
      <c r="V6431">
        <v>-6.7373669999999997E-2</v>
      </c>
      <c r="W6431">
        <v>1.58149E-2</v>
      </c>
      <c r="X6431">
        <v>0.99760249999999995</v>
      </c>
      <c r="Y6431">
        <v>-0.1139495</v>
      </c>
      <c r="Z6431">
        <v>-4.1546859999999998E-2</v>
      </c>
      <c r="AA6431">
        <v>0.99261739999999998</v>
      </c>
      <c r="AB6431">
        <v>20</v>
      </c>
      <c r="AC6431">
        <v>0.55359999999998799</v>
      </c>
      <c r="AD6431">
        <v>-1.1047365221380001</v>
      </c>
      <c r="AE6431">
        <v>25.907039999999899</v>
      </c>
      <c r="AF6431">
        <v>-2.9691592180145601</v>
      </c>
      <c r="AG6431">
        <v>-1.1047365221380001</v>
      </c>
      <c r="AH6431">
        <v>25.694961393381298</v>
      </c>
      <c r="AI6431">
        <v>92.4456211583542</v>
      </c>
      <c r="AJ6431">
        <v>96.591530012531393</v>
      </c>
      <c r="AK6431">
        <v>25.8895227892022</v>
      </c>
    </row>
    <row r="6432" spans="1:37" x14ac:dyDescent="0.2">
      <c r="A6432" t="str">
        <f>"20200111155726893"</f>
        <v>20200111155726893</v>
      </c>
      <c r="B6432" t="str">
        <f>"1578729446889911"</f>
        <v>1578729446889911</v>
      </c>
      <c r="C6432" t="s">
        <v>37</v>
      </c>
      <c r="D6432">
        <v>5.1352129999999896</v>
      </c>
      <c r="E6432">
        <v>0.4826047</v>
      </c>
      <c r="F6432" t="s">
        <v>38</v>
      </c>
      <c r="G6432">
        <v>-188.0478</v>
      </c>
      <c r="H6432" s="1">
        <v>-2.2532249999999999E-6</v>
      </c>
      <c r="I6432">
        <v>-15.922089999999899</v>
      </c>
      <c r="J6432">
        <v>-188.57299999999901</v>
      </c>
      <c r="K6432">
        <v>1.104895</v>
      </c>
      <c r="L6432">
        <v>-41.002229999999997</v>
      </c>
      <c r="M6432">
        <v>0.13531379999999901</v>
      </c>
      <c r="N6432">
        <v>0</v>
      </c>
      <c r="O6432">
        <v>0.99077399999999904</v>
      </c>
      <c r="P6432">
        <v>6.9194720000000001E-2</v>
      </c>
      <c r="Q6432">
        <v>8.6279430000000008E-3</v>
      </c>
      <c r="R6432">
        <v>0.99756590000000001</v>
      </c>
      <c r="S6432">
        <v>6.5612790000000004E-2</v>
      </c>
      <c r="T6432">
        <v>-0.1312615</v>
      </c>
      <c r="U6432">
        <v>3.003784</v>
      </c>
      <c r="V6432">
        <v>-6.6453849999999995E-2</v>
      </c>
      <c r="W6432">
        <v>1.606902E-2</v>
      </c>
      <c r="X6432">
        <v>0.99766010000000005</v>
      </c>
      <c r="Y6432">
        <v>-0.113667899999999</v>
      </c>
      <c r="Z6432">
        <v>-4.290865E-2</v>
      </c>
      <c r="AA6432">
        <v>0.99259179999999902</v>
      </c>
      <c r="AB6432">
        <v>20</v>
      </c>
      <c r="AC6432">
        <v>0.52519999999998301</v>
      </c>
      <c r="AD6432">
        <v>-1.1048972532250001</v>
      </c>
      <c r="AE6432">
        <v>25.08014</v>
      </c>
      <c r="AF6432">
        <v>-2.8678529887981101</v>
      </c>
      <c r="AG6432">
        <v>-1.1048972532250001</v>
      </c>
      <c r="AH6432">
        <v>24.872277084929902</v>
      </c>
      <c r="AI6432">
        <v>92.526849494112994</v>
      </c>
      <c r="AJ6432">
        <v>96.577340801502203</v>
      </c>
      <c r="AK6432">
        <v>25.061435435646398</v>
      </c>
    </row>
    <row r="6433" spans="1:37" x14ac:dyDescent="0.2">
      <c r="A6433" t="str">
        <f>"20200111155726916"</f>
        <v>20200111155726916</v>
      </c>
      <c r="B6433" t="str">
        <f>"1578729446909431"</f>
        <v>1578729446909431</v>
      </c>
      <c r="C6433" t="s">
        <v>37</v>
      </c>
      <c r="D6433">
        <v>5.152603</v>
      </c>
      <c r="E6433">
        <v>0.48227019999999998</v>
      </c>
      <c r="F6433" t="s">
        <v>38</v>
      </c>
      <c r="G6433">
        <v>-188.04130000000001</v>
      </c>
      <c r="H6433" s="1">
        <v>-2.382705E-6</v>
      </c>
      <c r="I6433">
        <v>-15.622979999999901</v>
      </c>
      <c r="J6433">
        <v>-188.54589999999999</v>
      </c>
      <c r="K6433">
        <v>1.105056</v>
      </c>
      <c r="L6433">
        <v>-40.797029999999999</v>
      </c>
      <c r="M6433">
        <v>0.13428850000000001</v>
      </c>
      <c r="N6433">
        <v>0</v>
      </c>
      <c r="O6433">
        <v>0.9909154</v>
      </c>
      <c r="P6433">
        <v>6.8917080000000006E-2</v>
      </c>
      <c r="Q6433">
        <v>1.0097210000000001E-2</v>
      </c>
      <c r="R6433">
        <v>0.99757129999999905</v>
      </c>
      <c r="S6433">
        <v>6.2942499999999998E-2</v>
      </c>
      <c r="T6433">
        <v>-0.1307845</v>
      </c>
      <c r="U6433">
        <v>3.004089</v>
      </c>
      <c r="V6433">
        <v>-6.5706609999999999E-2</v>
      </c>
      <c r="W6433">
        <v>1.725523E-2</v>
      </c>
      <c r="X6433">
        <v>0.99768979999999996</v>
      </c>
      <c r="Y6433">
        <v>-0.1135236</v>
      </c>
      <c r="Z6433">
        <v>-4.2758530000000003E-2</v>
      </c>
      <c r="AA6433">
        <v>0.99261480000000002</v>
      </c>
      <c r="AB6433">
        <v>20</v>
      </c>
      <c r="AC6433">
        <v>0.50459999999998195</v>
      </c>
      <c r="AD6433">
        <v>-1.105058382705</v>
      </c>
      <c r="AE6433">
        <v>25.174050000000001</v>
      </c>
      <c r="AF6433">
        <v>-2.8751083417346801</v>
      </c>
      <c r="AG6433">
        <v>-1.105058382705</v>
      </c>
      <c r="AH6433">
        <v>24.9656943989445</v>
      </c>
      <c r="AI6433">
        <v>92.517813565256802</v>
      </c>
      <c r="AJ6433">
        <v>96.569377479914394</v>
      </c>
      <c r="AK6433">
        <v>25.154985566034199</v>
      </c>
    </row>
    <row r="6434" spans="1:37" x14ac:dyDescent="0.2">
      <c r="A6434" t="str">
        <f>"20200111155726937"</f>
        <v>20200111155726937</v>
      </c>
      <c r="B6434" t="str">
        <f>"1578729446929926"</f>
        <v>1578729446929926</v>
      </c>
      <c r="C6434" t="s">
        <v>37</v>
      </c>
      <c r="D6434">
        <v>5.0927800000000003</v>
      </c>
      <c r="E6434">
        <v>0.481942599999999</v>
      </c>
      <c r="F6434" t="s">
        <v>38</v>
      </c>
      <c r="G6434">
        <v>-188.0215</v>
      </c>
      <c r="H6434" s="1">
        <v>-2.8577850000000002E-6</v>
      </c>
      <c r="I6434">
        <v>-14.52374</v>
      </c>
      <c r="J6434">
        <v>-188.52019999999999</v>
      </c>
      <c r="K6434">
        <v>1.105192</v>
      </c>
      <c r="L6434">
        <v>-40.598939999999999</v>
      </c>
      <c r="M6434">
        <v>0.1329967</v>
      </c>
      <c r="N6434">
        <v>0</v>
      </c>
      <c r="O6434">
        <v>0.99109150000000001</v>
      </c>
      <c r="P6434">
        <v>6.8643140000000005E-2</v>
      </c>
      <c r="Q6434">
        <v>1.208386E-2</v>
      </c>
      <c r="R6434">
        <v>0.99756809999999996</v>
      </c>
      <c r="S6434">
        <v>5.9967039999999999E-2</v>
      </c>
      <c r="T6434">
        <v>-0.1263666</v>
      </c>
      <c r="U6434">
        <v>3.0044249999999999</v>
      </c>
      <c r="V6434">
        <v>-6.4687939999999999E-2</v>
      </c>
      <c r="W6434">
        <v>1.8946299999999999E-2</v>
      </c>
      <c r="X6434">
        <v>0.99772569999999905</v>
      </c>
      <c r="Y6434">
        <v>-0.11321199999999999</v>
      </c>
      <c r="Z6434">
        <v>-4.1324270000000003E-2</v>
      </c>
      <c r="AA6434">
        <v>0.99271109999999896</v>
      </c>
      <c r="AB6434">
        <v>20</v>
      </c>
      <c r="AC6434">
        <v>0.49869999999998499</v>
      </c>
      <c r="AD6434">
        <v>-1.1051948577849999</v>
      </c>
      <c r="AE6434">
        <v>26.075199999999999</v>
      </c>
      <c r="AF6434">
        <v>-2.9684011222685101</v>
      </c>
      <c r="AG6434">
        <v>-1.1051948577849999</v>
      </c>
      <c r="AH6434">
        <v>25.863429876835902</v>
      </c>
      <c r="AI6434">
        <v>92.430932719672498</v>
      </c>
      <c r="AJ6434">
        <v>96.547310897131197</v>
      </c>
      <c r="AK6434">
        <v>26.056666438559802</v>
      </c>
    </row>
    <row r="6435" spans="1:37" x14ac:dyDescent="0.2">
      <c r="A6435" t="str">
        <f>"20200111155726961"</f>
        <v>20200111155726961</v>
      </c>
      <c r="B6435" t="str">
        <f>"1578729446949446"</f>
        <v>1578729446949446</v>
      </c>
      <c r="C6435" t="s">
        <v>37</v>
      </c>
      <c r="D6435">
        <v>5.116733</v>
      </c>
      <c r="E6435">
        <v>0.48159150000000001</v>
      </c>
      <c r="F6435" t="s">
        <v>38</v>
      </c>
      <c r="G6435">
        <v>-188.00020000000001</v>
      </c>
      <c r="H6435" s="1">
        <v>-3.4531500000000001E-6</v>
      </c>
      <c r="I6435">
        <v>-13.14471</v>
      </c>
      <c r="J6435">
        <v>-188.4939</v>
      </c>
      <c r="K6435">
        <v>1.1053269999999999</v>
      </c>
      <c r="L6435">
        <v>-40.390590000000003</v>
      </c>
      <c r="M6435">
        <v>0.13134789999999999</v>
      </c>
      <c r="N6435">
        <v>0</v>
      </c>
      <c r="O6435">
        <v>0.99131349999999996</v>
      </c>
      <c r="P6435">
        <v>6.8072270000000004E-2</v>
      </c>
      <c r="Q6435">
        <v>1.369385E-2</v>
      </c>
      <c r="R6435">
        <v>0.99758639999999998</v>
      </c>
      <c r="S6435">
        <v>5.6915279999999999E-2</v>
      </c>
      <c r="T6435">
        <v>-0.1209643</v>
      </c>
      <c r="U6435">
        <v>3.004883</v>
      </c>
      <c r="V6435">
        <v>-6.3607769999999994E-2</v>
      </c>
      <c r="W6435">
        <v>2.0230649999999999E-2</v>
      </c>
      <c r="X6435">
        <v>0.99776989999999999</v>
      </c>
      <c r="Y6435">
        <v>-0.112568499999999</v>
      </c>
      <c r="Z6435">
        <v>-3.9569590000000002E-2</v>
      </c>
      <c r="AA6435">
        <v>0.99285579999999996</v>
      </c>
      <c r="AB6435">
        <v>21</v>
      </c>
      <c r="AC6435">
        <v>0.49369999999998898</v>
      </c>
      <c r="AD6435">
        <v>-1.1053304531499999</v>
      </c>
      <c r="AE6435">
        <v>27.24588</v>
      </c>
      <c r="AF6435">
        <v>-3.0842730857100999</v>
      </c>
      <c r="AG6435">
        <v>-1.1053304531499999</v>
      </c>
      <c r="AH6435">
        <v>27.030195755230601</v>
      </c>
      <c r="AI6435">
        <v>92.326578972461206</v>
      </c>
      <c r="AJ6435">
        <v>96.509565385897702</v>
      </c>
      <c r="AK6435">
        <v>27.228036624846499</v>
      </c>
    </row>
    <row r="6436" spans="1:37" x14ac:dyDescent="0.2">
      <c r="A6436" t="str">
        <f>"20200111155726982"</f>
        <v>20200111155726982</v>
      </c>
      <c r="B6436" t="str">
        <f>"1578729446969942"</f>
        <v>1578729446969942</v>
      </c>
      <c r="C6436" t="s">
        <v>37</v>
      </c>
      <c r="D6436">
        <v>5.1796949999999997</v>
      </c>
      <c r="E6436">
        <v>0.48121779999999997</v>
      </c>
      <c r="F6436" t="s">
        <v>38</v>
      </c>
      <c r="G6436">
        <v>-187.99529999999999</v>
      </c>
      <c r="H6436" s="1">
        <v>-4.0066940000000004E-6</v>
      </c>
      <c r="I6436">
        <v>-11.856450000000001</v>
      </c>
      <c r="J6436">
        <v>-188.4692</v>
      </c>
      <c r="K6436">
        <v>1.105421</v>
      </c>
      <c r="L6436">
        <v>-40.19003</v>
      </c>
      <c r="M6436">
        <v>0.12953909999999999</v>
      </c>
      <c r="N6436">
        <v>0</v>
      </c>
      <c r="O6436">
        <v>0.99155349999999998</v>
      </c>
      <c r="P6436">
        <v>6.7449010000000004E-2</v>
      </c>
      <c r="Q6436">
        <v>1.509188E-2</v>
      </c>
      <c r="R6436">
        <v>0.99760859999999996</v>
      </c>
      <c r="S6436">
        <v>5.2520749999999998E-2</v>
      </c>
      <c r="T6436">
        <v>-0.116415899999999</v>
      </c>
      <c r="U6436">
        <v>3.00528</v>
      </c>
      <c r="V6436">
        <v>-6.2418330000000001E-2</v>
      </c>
      <c r="W6436">
        <v>2.1311400000000001E-2</v>
      </c>
      <c r="X6436">
        <v>0.99782249999999995</v>
      </c>
      <c r="Y6436">
        <v>-0.11220819999999999</v>
      </c>
      <c r="Z6436">
        <v>-3.8094040000000003E-2</v>
      </c>
      <c r="AA6436">
        <v>0.99295429999999996</v>
      </c>
      <c r="AB6436">
        <v>21</v>
      </c>
      <c r="AC6436">
        <v>0.47390000000001398</v>
      </c>
      <c r="AD6436">
        <v>-1.1054250066939999</v>
      </c>
      <c r="AE6436">
        <v>28.333579999999898</v>
      </c>
      <c r="AF6436">
        <v>-3.1956124837913298</v>
      </c>
      <c r="AG6436">
        <v>-1.1054250066939999</v>
      </c>
      <c r="AH6436">
        <v>28.113449378332199</v>
      </c>
      <c r="AI6436">
        <v>92.237326064476704</v>
      </c>
      <c r="AJ6436">
        <v>96.484889203226899</v>
      </c>
      <c r="AK6436">
        <v>28.3160721064916</v>
      </c>
    </row>
    <row r="6437" spans="1:37" x14ac:dyDescent="0.2">
      <c r="A6437" t="str">
        <f>"20200111155727005"</f>
        <v>20200111155727005</v>
      </c>
      <c r="B6437" t="str">
        <f>"1578729446999222"</f>
        <v>1578729446999222</v>
      </c>
      <c r="C6437" t="s">
        <v>37</v>
      </c>
      <c r="D6437">
        <v>5.0740480000000003</v>
      </c>
      <c r="E6437">
        <v>0.4807054</v>
      </c>
      <c r="F6437" t="s">
        <v>38</v>
      </c>
      <c r="G6437">
        <v>-187.99770000000001</v>
      </c>
      <c r="H6437" s="1">
        <v>-4.5662310000000002E-6</v>
      </c>
      <c r="I6437">
        <v>-10.55115</v>
      </c>
      <c r="J6437">
        <v>-188.44390000000001</v>
      </c>
      <c r="K6437">
        <v>1.1054919999999999</v>
      </c>
      <c r="L6437">
        <v>-39.979129999999998</v>
      </c>
      <c r="M6437">
        <v>0.12746930000000001</v>
      </c>
      <c r="N6437">
        <v>0</v>
      </c>
      <c r="O6437">
        <v>0.99182369999999898</v>
      </c>
      <c r="P6437">
        <v>6.5814929999999994E-2</v>
      </c>
      <c r="Q6437">
        <v>1.548099E-2</v>
      </c>
      <c r="R6437">
        <v>0.99771180000000004</v>
      </c>
      <c r="S6437">
        <v>4.7821040000000002E-2</v>
      </c>
      <c r="T6437">
        <v>-0.11210000000000001</v>
      </c>
      <c r="U6437">
        <v>3.005646</v>
      </c>
      <c r="V6437">
        <v>-6.1974790000000002E-2</v>
      </c>
      <c r="W6437">
        <v>2.1371950000000001E-2</v>
      </c>
      <c r="X6437">
        <v>0.99784889999999904</v>
      </c>
      <c r="Y6437">
        <v>-0.1116875</v>
      </c>
      <c r="Z6437">
        <v>-3.6695859999999997E-2</v>
      </c>
      <c r="AA6437">
        <v>0.99306559999999899</v>
      </c>
      <c r="AB6437">
        <v>21</v>
      </c>
      <c r="AC6437">
        <v>0.44620000000000398</v>
      </c>
      <c r="AD6437">
        <v>-1.1054965662309999</v>
      </c>
      <c r="AE6437">
        <v>29.427979999999899</v>
      </c>
      <c r="AF6437">
        <v>-3.30401241811848</v>
      </c>
      <c r="AG6437">
        <v>-1.1054965662309999</v>
      </c>
      <c r="AH6437">
        <v>29.2035874694207</v>
      </c>
      <c r="AI6437">
        <v>92.154156610782593</v>
      </c>
      <c r="AJ6437">
        <v>96.4548373385433</v>
      </c>
      <c r="AK6437">
        <v>29.4106807435859</v>
      </c>
    </row>
    <row r="6438" spans="1:37" x14ac:dyDescent="0.2">
      <c r="A6438" t="str">
        <f>"20200111155727027"</f>
        <v>20200111155727027</v>
      </c>
      <c r="B6438" t="str">
        <f>"1578729447019719"</f>
        <v>1578729447019719</v>
      </c>
      <c r="C6438" t="s">
        <v>37</v>
      </c>
      <c r="D6438">
        <v>5.087129</v>
      </c>
      <c r="E6438">
        <v>0.48040939999999999</v>
      </c>
      <c r="F6438" t="s">
        <v>38</v>
      </c>
      <c r="G6438">
        <v>-188.0558</v>
      </c>
      <c r="H6438" s="1">
        <v>-6.1910929999999999E-7</v>
      </c>
      <c r="I6438">
        <v>-10.05278</v>
      </c>
      <c r="J6438">
        <v>-188.41839999999999</v>
      </c>
      <c r="K6438">
        <v>1.1055250000000001</v>
      </c>
      <c r="L6438">
        <v>-39.761200000000002</v>
      </c>
      <c r="M6438">
        <v>0.1251921</v>
      </c>
      <c r="N6438">
        <v>0</v>
      </c>
      <c r="O6438">
        <v>0.99211559999999899</v>
      </c>
      <c r="P6438">
        <v>6.2500899999999998E-2</v>
      </c>
      <c r="Q6438">
        <v>1.6138779999999998E-2</v>
      </c>
      <c r="R6438">
        <v>0.99791439999999998</v>
      </c>
      <c r="S6438">
        <v>3.898621E-2</v>
      </c>
      <c r="T6438">
        <v>-0.11104449999999901</v>
      </c>
      <c r="U6438">
        <v>3.0060419999999999</v>
      </c>
      <c r="V6438">
        <v>-6.3001599999999894E-2</v>
      </c>
      <c r="W6438">
        <v>2.1688499999999999E-2</v>
      </c>
      <c r="X6438">
        <v>0.99777780000000005</v>
      </c>
      <c r="Y6438">
        <v>-0.11232590000000001</v>
      </c>
      <c r="Z6438">
        <v>-3.6361490000000003E-2</v>
      </c>
      <c r="AA6438">
        <v>0.9930059</v>
      </c>
      <c r="AB6438">
        <v>21</v>
      </c>
      <c r="AC6438">
        <v>0.36259999999998599</v>
      </c>
      <c r="AD6438">
        <v>-1.1055256191092999</v>
      </c>
      <c r="AE6438">
        <v>29.70842</v>
      </c>
      <c r="AF6438">
        <v>-3.3549296459290598</v>
      </c>
      <c r="AG6438">
        <v>-1.1055256191092999</v>
      </c>
      <c r="AH6438">
        <v>29.479261153897699</v>
      </c>
      <c r="AI6438">
        <v>92.133927033555693</v>
      </c>
      <c r="AJ6438">
        <v>96.492693706441202</v>
      </c>
      <c r="AK6438">
        <v>29.690142775058199</v>
      </c>
    </row>
    <row r="6439" spans="1:37" x14ac:dyDescent="0.2">
      <c r="A6439" t="str">
        <f>"20200111155727049"</f>
        <v>20200111155727049</v>
      </c>
      <c r="B6439" t="str">
        <f>"1578729447040215"</f>
        <v>1578729447040215</v>
      </c>
      <c r="C6439" t="s">
        <v>37</v>
      </c>
      <c r="D6439">
        <v>5.0629869999999997</v>
      </c>
      <c r="E6439">
        <v>0.48010540000000002</v>
      </c>
      <c r="F6439" t="s">
        <v>38</v>
      </c>
      <c r="G6439">
        <v>-188.14689999999999</v>
      </c>
      <c r="H6439" s="1">
        <v>-8.3747569999999997E-7</v>
      </c>
      <c r="I6439">
        <v>-9.3398280000000007</v>
      </c>
      <c r="J6439">
        <v>-188.39439999999999</v>
      </c>
      <c r="K6439">
        <v>1.105523</v>
      </c>
      <c r="L6439">
        <v>-39.55115</v>
      </c>
      <c r="M6439">
        <v>0.1228934</v>
      </c>
      <c r="N6439">
        <v>0</v>
      </c>
      <c r="O6439">
        <v>0.99240479999999998</v>
      </c>
      <c r="P6439">
        <v>5.8414010000000002E-2</v>
      </c>
      <c r="Q6439">
        <v>1.6505780000000001E-2</v>
      </c>
      <c r="R6439">
        <v>0.99815599999999904</v>
      </c>
      <c r="S6439">
        <v>2.682495E-2</v>
      </c>
      <c r="T6439">
        <v>-0.109252</v>
      </c>
      <c r="U6439">
        <v>3.006348</v>
      </c>
      <c r="V6439">
        <v>-6.4777539999999995E-2</v>
      </c>
      <c r="W6439">
        <v>2.1718049999999999E-2</v>
      </c>
      <c r="X6439">
        <v>0.99766339999999998</v>
      </c>
      <c r="Y6439">
        <v>-0.11404110000000001</v>
      </c>
      <c r="Z6439">
        <v>-3.5784530000000002E-2</v>
      </c>
      <c r="AA6439">
        <v>0.99283129999999997</v>
      </c>
      <c r="AB6439">
        <v>21</v>
      </c>
      <c r="AC6439">
        <v>0.247500000000002</v>
      </c>
      <c r="AD6439">
        <v>-1.1055238374756999</v>
      </c>
      <c r="AE6439">
        <v>30.211321999999999</v>
      </c>
      <c r="AF6439">
        <v>-3.4625675302304502</v>
      </c>
      <c r="AG6439">
        <v>-1.1055238374756999</v>
      </c>
      <c r="AH6439">
        <v>29.972594049202801</v>
      </c>
      <c r="AI6439">
        <v>92.098424335769906</v>
      </c>
      <c r="AJ6439">
        <v>96.589851361542898</v>
      </c>
      <c r="AK6439">
        <v>30.1921836059425</v>
      </c>
    </row>
    <row r="6440" spans="1:37" x14ac:dyDescent="0.2">
      <c r="A6440" t="str">
        <f>"20200111155727071"</f>
        <v>20200111155727071</v>
      </c>
      <c r="B6440" t="str">
        <f>"1578729447059735"</f>
        <v>1578729447059735</v>
      </c>
      <c r="C6440" t="s">
        <v>37</v>
      </c>
      <c r="D6440">
        <v>5.0709530000000003</v>
      </c>
      <c r="E6440">
        <v>0.47988049999999999</v>
      </c>
      <c r="F6440" t="s">
        <v>38</v>
      </c>
      <c r="G6440">
        <v>-188.2724</v>
      </c>
      <c r="H6440" s="1">
        <v>-9.6982230000000002E-7</v>
      </c>
      <c r="I6440">
        <v>-8.8528210000000005</v>
      </c>
      <c r="J6440">
        <v>-188.37129999999999</v>
      </c>
      <c r="K6440">
        <v>1.105499</v>
      </c>
      <c r="L6440">
        <v>-39.344059999999999</v>
      </c>
      <c r="M6440">
        <v>0.1205555</v>
      </c>
      <c r="N6440">
        <v>0</v>
      </c>
      <c r="O6440">
        <v>0.99269339999999995</v>
      </c>
      <c r="P6440">
        <v>5.3089089999999999E-2</v>
      </c>
      <c r="Q6440">
        <v>1.6769360000000001E-2</v>
      </c>
      <c r="R6440">
        <v>0.99844900000000003</v>
      </c>
      <c r="S6440">
        <v>1.1947630000000001E-2</v>
      </c>
      <c r="T6440">
        <v>-0.1082761</v>
      </c>
      <c r="U6440">
        <v>3.0066220000000001</v>
      </c>
      <c r="V6440">
        <v>-6.7749690000000001E-2</v>
      </c>
      <c r="W6440">
        <v>2.1628430000000001E-2</v>
      </c>
      <c r="X6440">
        <v>0.99746789999999996</v>
      </c>
      <c r="Y6440">
        <v>-0.1166136</v>
      </c>
      <c r="Z6440">
        <v>-3.5472669999999998E-2</v>
      </c>
      <c r="AA6440">
        <v>0.99254370000000003</v>
      </c>
      <c r="AB6440">
        <v>21</v>
      </c>
      <c r="AC6440">
        <v>9.8899999999986193E-2</v>
      </c>
      <c r="AD6440">
        <v>-1.1054999698223</v>
      </c>
      <c r="AE6440">
        <v>30.491239</v>
      </c>
      <c r="AF6440">
        <v>-3.5730592183391798</v>
      </c>
      <c r="AG6440">
        <v>-1.1054999698223</v>
      </c>
      <c r="AH6440">
        <v>30.2410190880214</v>
      </c>
      <c r="AI6440">
        <v>92.079140474311302</v>
      </c>
      <c r="AJ6440">
        <v>96.738412896089599</v>
      </c>
      <c r="AK6440">
        <v>30.471431174841602</v>
      </c>
    </row>
    <row r="6441" spans="1:37" x14ac:dyDescent="0.2">
      <c r="A6441" t="str">
        <f>"20200111155727093"</f>
        <v>20200111155727093</v>
      </c>
      <c r="B6441" t="str">
        <f>"1578729447089990"</f>
        <v>1578729447089990</v>
      </c>
      <c r="C6441" t="s">
        <v>37</v>
      </c>
      <c r="D6441">
        <v>5.0925949999999904</v>
      </c>
      <c r="E6441">
        <v>0.47961549999999997</v>
      </c>
      <c r="F6441" t="s">
        <v>38</v>
      </c>
      <c r="G6441">
        <v>-188.43440000000001</v>
      </c>
      <c r="H6441" s="1">
        <v>-1.1136170000000001E-6</v>
      </c>
      <c r="I6441">
        <v>-8.4187130000000003</v>
      </c>
      <c r="J6441">
        <v>-188.34790000000001</v>
      </c>
      <c r="K6441">
        <v>1.1054580000000001</v>
      </c>
      <c r="L6441">
        <v>-39.129429999999999</v>
      </c>
      <c r="M6441">
        <v>0.118084199999999</v>
      </c>
      <c r="N6441">
        <v>0</v>
      </c>
      <c r="O6441">
        <v>0.99299219999999899</v>
      </c>
      <c r="P6441">
        <v>4.7775390000000001E-2</v>
      </c>
      <c r="Q6441">
        <v>1.8579269999999998E-2</v>
      </c>
      <c r="R6441">
        <v>0.9986853</v>
      </c>
      <c r="S6441">
        <v>-6.1340329999999997E-3</v>
      </c>
      <c r="T6441">
        <v>-0.10748539999999999</v>
      </c>
      <c r="U6441">
        <v>3.0068049999999999</v>
      </c>
      <c r="V6441">
        <v>-7.0577169999999995E-2</v>
      </c>
      <c r="W6441">
        <v>2.3050480000000002E-2</v>
      </c>
      <c r="X6441">
        <v>0.99723989999999996</v>
      </c>
      <c r="Y6441">
        <v>-0.12010949999999999</v>
      </c>
      <c r="Z6441">
        <v>-3.5220349999999997E-2</v>
      </c>
      <c r="AA6441">
        <v>0.99213569999999995</v>
      </c>
      <c r="AB6441">
        <v>22</v>
      </c>
      <c r="AC6441">
        <v>-8.6500000000000896E-2</v>
      </c>
      <c r="AD6441">
        <v>-1.105459113617</v>
      </c>
      <c r="AE6441">
        <v>30.710716999999999</v>
      </c>
      <c r="AF6441">
        <v>-3.7075823595883</v>
      </c>
      <c r="AG6441">
        <v>-1.105459113617</v>
      </c>
      <c r="AH6441">
        <v>30.4461839352401</v>
      </c>
      <c r="AI6441">
        <v>92.064182229033193</v>
      </c>
      <c r="AJ6441">
        <v>96.943005448732706</v>
      </c>
      <c r="AK6441">
        <v>30.691013717755901</v>
      </c>
    </row>
    <row r="6442" spans="1:37" x14ac:dyDescent="0.2">
      <c r="A6442" t="str">
        <f>"20200111155727117"</f>
        <v>20200111155727117</v>
      </c>
      <c r="B6442" t="str">
        <f>"1578729447109511"</f>
        <v>1578729447109511</v>
      </c>
      <c r="C6442" t="s">
        <v>37</v>
      </c>
      <c r="D6442">
        <v>5.1400399999999999</v>
      </c>
      <c r="E6442">
        <v>0.47948779999999902</v>
      </c>
      <c r="F6442" t="s">
        <v>38</v>
      </c>
      <c r="G6442">
        <v>-188.61500000000001</v>
      </c>
      <c r="H6442" s="1">
        <v>-1.8729140000000001E-6</v>
      </c>
      <c r="I6442">
        <v>-6.5740800000000004</v>
      </c>
      <c r="J6442">
        <v>-188.3235</v>
      </c>
      <c r="K6442">
        <v>1.1054059999999899</v>
      </c>
      <c r="L6442">
        <v>-38.900329999999997</v>
      </c>
      <c r="M6442">
        <v>0.1154186</v>
      </c>
      <c r="N6442">
        <v>0</v>
      </c>
      <c r="O6442">
        <v>0.99330750000000001</v>
      </c>
      <c r="P6442">
        <v>4.2785509999999999E-2</v>
      </c>
      <c r="Q6442">
        <v>2.219664E-2</v>
      </c>
      <c r="R6442">
        <v>0.99883759999999999</v>
      </c>
      <c r="S6442">
        <v>-2.4673460000000001E-2</v>
      </c>
      <c r="T6442">
        <v>-0.102108399999999</v>
      </c>
      <c r="U6442">
        <v>3.00705</v>
      </c>
      <c r="V6442">
        <v>-7.2886580000000006E-2</v>
      </c>
      <c r="W6442">
        <v>2.6229059999999998E-2</v>
      </c>
      <c r="X6442">
        <v>0.99699530000000003</v>
      </c>
      <c r="Y6442">
        <v>-0.123560999999999</v>
      </c>
      <c r="Z6442">
        <v>-3.3465979999999999E-2</v>
      </c>
      <c r="AA6442">
        <v>0.99177249999999995</v>
      </c>
      <c r="AB6442">
        <v>22</v>
      </c>
      <c r="AC6442">
        <v>-0.29150000000001303</v>
      </c>
      <c r="AD6442">
        <v>-1.10540787291399</v>
      </c>
      <c r="AE6442">
        <v>32.326249999999902</v>
      </c>
      <c r="AF6442">
        <v>-4.0159418117819099</v>
      </c>
      <c r="AG6442">
        <v>-1.10540787291399</v>
      </c>
      <c r="AH6442">
        <v>32.039101875759101</v>
      </c>
      <c r="AI6442">
        <v>91.960695362401793</v>
      </c>
      <c r="AJ6442">
        <v>97.144479491115305</v>
      </c>
      <c r="AK6442">
        <v>32.308725821461799</v>
      </c>
    </row>
    <row r="6443" spans="1:37" x14ac:dyDescent="0.2">
      <c r="A6443" t="str">
        <f>"20200111155727141"</f>
        <v>20200111155727141</v>
      </c>
      <c r="B6443" t="str">
        <f>"1578729447130007"</f>
        <v>1578729447130007</v>
      </c>
      <c r="C6443" t="s">
        <v>37</v>
      </c>
      <c r="D6443">
        <v>5.2301890000000002</v>
      </c>
      <c r="E6443">
        <v>0.47938320000000001</v>
      </c>
      <c r="F6443" t="s">
        <v>38</v>
      </c>
      <c r="G6443">
        <v>-188.81819999999999</v>
      </c>
      <c r="H6443" s="1">
        <v>-3.5756230000000001E-6</v>
      </c>
      <c r="I6443">
        <v>-2.5209990000000002</v>
      </c>
      <c r="J6443">
        <v>-188.29900000000001</v>
      </c>
      <c r="K6443">
        <v>1.105345</v>
      </c>
      <c r="L6443">
        <v>-38.663699999999999</v>
      </c>
      <c r="M6443">
        <v>0.1126563</v>
      </c>
      <c r="N6443">
        <v>0</v>
      </c>
      <c r="O6443">
        <v>0.99362649999999997</v>
      </c>
      <c r="P6443">
        <v>3.8432689999999999E-2</v>
      </c>
      <c r="Q6443">
        <v>2.4755409999999999E-2</v>
      </c>
      <c r="R6443">
        <v>0.99895449999999997</v>
      </c>
      <c r="S6443">
        <v>-4.0893550000000001E-2</v>
      </c>
      <c r="T6443">
        <v>-9.1377620000000007E-2</v>
      </c>
      <c r="U6443">
        <v>3.007263</v>
      </c>
      <c r="V6443">
        <v>-7.4460589999999993E-2</v>
      </c>
      <c r="W6443">
        <v>2.8315400000000001E-2</v>
      </c>
      <c r="X6443">
        <v>0.99682190000000004</v>
      </c>
      <c r="Y6443">
        <v>-0.12615080000000001</v>
      </c>
      <c r="Z6443">
        <v>-2.995886E-2</v>
      </c>
      <c r="AA6443">
        <v>0.99155859999999996</v>
      </c>
      <c r="AB6443">
        <v>22</v>
      </c>
      <c r="AC6443">
        <v>-0.51919999999998301</v>
      </c>
      <c r="AD6443">
        <v>-1.1053485756229999</v>
      </c>
      <c r="AE6443">
        <v>36.142701000000002</v>
      </c>
      <c r="AF6443">
        <v>-4.5833421290167102</v>
      </c>
      <c r="AG6443">
        <v>-1.1053485756229999</v>
      </c>
      <c r="AH6443">
        <v>35.820625504124997</v>
      </c>
      <c r="AI6443">
        <v>91.753181319075296</v>
      </c>
      <c r="AJ6443">
        <v>97.291524191780596</v>
      </c>
      <c r="AK6443">
        <v>36.1295728185654</v>
      </c>
    </row>
    <row r="6444" spans="1:37" x14ac:dyDescent="0.2">
      <c r="A6444" t="str">
        <f>"20200111155727163"</f>
        <v>20200111155727163</v>
      </c>
      <c r="B6444" t="str">
        <f>"1578729447160265"</f>
        <v>1578729447160265</v>
      </c>
      <c r="C6444" t="s">
        <v>37</v>
      </c>
      <c r="D6444">
        <v>5.2023449999999896</v>
      </c>
      <c r="E6444">
        <v>0.4793326</v>
      </c>
      <c r="F6444" t="s">
        <v>38</v>
      </c>
      <c r="G6444">
        <v>-189.0258</v>
      </c>
      <c r="H6444" s="1">
        <v>-7.6931499999999998E-7</v>
      </c>
      <c r="I6444">
        <v>1.023247</v>
      </c>
      <c r="J6444">
        <v>-188.27670000000001</v>
      </c>
      <c r="K6444">
        <v>1.10527999999999</v>
      </c>
      <c r="L6444">
        <v>-38.441679999999998</v>
      </c>
      <c r="M6444">
        <v>0.1100708</v>
      </c>
      <c r="N6444">
        <v>0</v>
      </c>
      <c r="O6444">
        <v>0.99391790000000002</v>
      </c>
      <c r="P6444">
        <v>3.4961109999999997E-2</v>
      </c>
      <c r="Q6444">
        <v>2.53347999999999E-2</v>
      </c>
      <c r="R6444">
        <v>0.999067499999999</v>
      </c>
      <c r="S6444">
        <v>-5.5068970000000002E-2</v>
      </c>
      <c r="T6444">
        <v>-8.3758830000000006E-2</v>
      </c>
      <c r="U6444">
        <v>3.0073240000000001</v>
      </c>
      <c r="V6444">
        <v>-7.5330569999999999E-2</v>
      </c>
      <c r="W6444">
        <v>2.8452669999999999E-2</v>
      </c>
      <c r="X6444">
        <v>0.99675259999999999</v>
      </c>
      <c r="Y6444">
        <v>-0.1282431</v>
      </c>
      <c r="Z6444">
        <v>-2.7469759999999999E-2</v>
      </c>
      <c r="AA6444">
        <v>0.99136229999999903</v>
      </c>
      <c r="AB6444">
        <v>22</v>
      </c>
      <c r="AC6444">
        <v>-0.74909999999999799</v>
      </c>
      <c r="AD6444">
        <v>-1.10528076931499</v>
      </c>
      <c r="AE6444">
        <v>39.464927000000003</v>
      </c>
      <c r="AF6444">
        <v>-5.0845228420800197</v>
      </c>
      <c r="AG6444">
        <v>-1.10528076931499</v>
      </c>
      <c r="AH6444">
        <v>39.112003539531202</v>
      </c>
      <c r="AI6444">
        <v>91.605212246120601</v>
      </c>
      <c r="AJ6444">
        <v>97.406857937046794</v>
      </c>
      <c r="AK6444">
        <v>39.456594366302703</v>
      </c>
    </row>
    <row r="6445" spans="1:37" x14ac:dyDescent="0.2">
      <c r="A6445" t="str">
        <f>"20200111155727183"</f>
        <v>20200111155727183</v>
      </c>
      <c r="B6445" t="str">
        <f>"1578729447179783"</f>
        <v>1578729447179783</v>
      </c>
      <c r="C6445" t="s">
        <v>37</v>
      </c>
      <c r="D6445">
        <v>5.1882529999999996</v>
      </c>
      <c r="E6445">
        <v>0.47933769999999998</v>
      </c>
      <c r="F6445" t="s">
        <v>38</v>
      </c>
      <c r="G6445">
        <v>-189.15129999999999</v>
      </c>
      <c r="H6445" s="1">
        <v>-9.7338009999999904E-7</v>
      </c>
      <c r="I6445">
        <v>1.550818</v>
      </c>
      <c r="J6445">
        <v>-188.25649999999999</v>
      </c>
      <c r="K6445">
        <v>1.105219</v>
      </c>
      <c r="L6445">
        <v>-38.236660000000001</v>
      </c>
      <c r="M6445">
        <v>0.107697</v>
      </c>
      <c r="N6445">
        <v>0</v>
      </c>
      <c r="O6445">
        <v>0.99417919999999904</v>
      </c>
      <c r="P6445">
        <v>3.2261310000000001E-2</v>
      </c>
      <c r="Q6445">
        <v>2.4942309999999999E-2</v>
      </c>
      <c r="R6445">
        <v>0.99916819999999895</v>
      </c>
      <c r="S6445">
        <v>-6.5765379999999998E-2</v>
      </c>
      <c r="T6445">
        <v>-8.3110690000000001E-2</v>
      </c>
      <c r="U6445">
        <v>3.0072019999999999</v>
      </c>
      <c r="V6445">
        <v>-7.5642139999999997E-2</v>
      </c>
      <c r="W6445">
        <v>2.7666679999999999E-2</v>
      </c>
      <c r="X6445">
        <v>0.9967511</v>
      </c>
      <c r="Y6445">
        <v>-0.1294003</v>
      </c>
      <c r="Z6445">
        <v>-2.7266180000000001E-2</v>
      </c>
      <c r="AA6445">
        <v>0.99121749999999997</v>
      </c>
      <c r="AB6445">
        <v>23</v>
      </c>
      <c r="AC6445">
        <v>-0.89480000000000304</v>
      </c>
      <c r="AD6445">
        <v>-1.1052199733801</v>
      </c>
      <c r="AE6445">
        <v>39.787478</v>
      </c>
      <c r="AF6445">
        <v>-5.1706192978847501</v>
      </c>
      <c r="AG6445">
        <v>-1.1052199733801</v>
      </c>
      <c r="AH6445">
        <v>39.429285685131902</v>
      </c>
      <c r="AI6445">
        <v>91.591982084203593</v>
      </c>
      <c r="AJ6445">
        <v>97.470938378557406</v>
      </c>
      <c r="AK6445">
        <v>39.782224482210196</v>
      </c>
    </row>
    <row r="6446" spans="1:37" x14ac:dyDescent="0.2">
      <c r="A6446" t="str">
        <f>"20200111155727207"</f>
        <v>20200111155727207</v>
      </c>
      <c r="B6446" t="str">
        <f>"1578729447199303"</f>
        <v>1578729447199303</v>
      </c>
      <c r="C6446" t="s">
        <v>37</v>
      </c>
      <c r="D6446">
        <v>5.245368</v>
      </c>
      <c r="E6446">
        <v>0.4793055</v>
      </c>
      <c r="F6446" t="s">
        <v>38</v>
      </c>
      <c r="G6446">
        <v>-189.21010000000001</v>
      </c>
      <c r="H6446" s="1">
        <v>-5.7879769999999904E-7</v>
      </c>
      <c r="I6446">
        <v>0.65535589999999999</v>
      </c>
      <c r="J6446">
        <v>-188.2336</v>
      </c>
      <c r="K6446">
        <v>1.1051610000000001</v>
      </c>
      <c r="L6446">
        <v>-37.998139999999999</v>
      </c>
      <c r="M6446">
        <v>0.10496169999999901</v>
      </c>
      <c r="N6446">
        <v>0</v>
      </c>
      <c r="O6446">
        <v>0.99447289999999899</v>
      </c>
      <c r="P6446">
        <v>3.018887E-2</v>
      </c>
      <c r="Q6446">
        <v>2.3140919999999999E-2</v>
      </c>
      <c r="R6446">
        <v>0.99927630000000001</v>
      </c>
      <c r="S6446">
        <v>-7.3730470000000006E-2</v>
      </c>
      <c r="T6446">
        <v>-8.5452440000000005E-2</v>
      </c>
      <c r="U6446">
        <v>3.0070189999999899</v>
      </c>
      <c r="V6446">
        <v>-7.4964030000000001E-2</v>
      </c>
      <c r="W6446">
        <v>2.5442059999999999E-2</v>
      </c>
      <c r="X6446">
        <v>0.99686160000000001</v>
      </c>
      <c r="Y6446">
        <v>-0.1292973</v>
      </c>
      <c r="Z6446">
        <v>-2.8047320000000001E-2</v>
      </c>
      <c r="AA6446">
        <v>0.99120909999999995</v>
      </c>
      <c r="AB6446">
        <v>23</v>
      </c>
      <c r="AC6446">
        <v>-0.97650000000001502</v>
      </c>
      <c r="AD6446">
        <v>-1.1051615787977001</v>
      </c>
      <c r="AE6446">
        <v>38.653495899999903</v>
      </c>
      <c r="AF6446">
        <v>-5.0241517594225096</v>
      </c>
      <c r="AG6446">
        <v>-1.1051615787977001</v>
      </c>
      <c r="AH6446">
        <v>38.306193005649099</v>
      </c>
      <c r="AI6446">
        <v>91.638541047691305</v>
      </c>
      <c r="AJ6446">
        <v>97.472130798209804</v>
      </c>
      <c r="AK6446">
        <v>38.650069930117802</v>
      </c>
    </row>
    <row r="6447" spans="1:37" x14ac:dyDescent="0.2">
      <c r="A6447" t="str">
        <f>"20200111155727229"</f>
        <v>20200111155727229</v>
      </c>
      <c r="B6447" t="str">
        <f>"1578729447219799"</f>
        <v>1578729447219799</v>
      </c>
      <c r="C6447" t="s">
        <v>37</v>
      </c>
      <c r="D6447">
        <v>5.2546999999999997</v>
      </c>
      <c r="E6447">
        <v>0.47937099999999999</v>
      </c>
      <c r="F6447" t="s">
        <v>38</v>
      </c>
      <c r="G6447">
        <v>-189.19460000000001</v>
      </c>
      <c r="H6447" s="1">
        <v>-3.774891E-6</v>
      </c>
      <c r="I6447">
        <v>-1.900871</v>
      </c>
      <c r="J6447">
        <v>-188.2123</v>
      </c>
      <c r="K6447">
        <v>1.1051229999999901</v>
      </c>
      <c r="L6447">
        <v>-37.769959999999998</v>
      </c>
      <c r="M6447">
        <v>0.1023718</v>
      </c>
      <c r="N6447">
        <v>0</v>
      </c>
      <c r="O6447">
        <v>0.99474370000000001</v>
      </c>
      <c r="P6447">
        <v>2.897166E-2</v>
      </c>
      <c r="Q6447">
        <v>2.1660809999999999E-2</v>
      </c>
      <c r="R6447">
        <v>0.9993455</v>
      </c>
      <c r="S6447">
        <v>-8.0047610000000005E-2</v>
      </c>
      <c r="T6447">
        <v>-9.2054490000000003E-2</v>
      </c>
      <c r="U6447">
        <v>3.0067140000000001</v>
      </c>
      <c r="V6447">
        <v>-7.35793E-2</v>
      </c>
      <c r="W6447">
        <v>2.3597259999999998E-2</v>
      </c>
      <c r="X6447">
        <v>0.99701019999999896</v>
      </c>
      <c r="Y6447">
        <v>-0.1287971</v>
      </c>
      <c r="Z6447">
        <v>-3.022793E-2</v>
      </c>
      <c r="AA6447">
        <v>0.99121019999999904</v>
      </c>
      <c r="AB6447">
        <v>23</v>
      </c>
      <c r="AC6447">
        <v>-0.98230000000000905</v>
      </c>
      <c r="AD6447">
        <v>-1.1051267748909901</v>
      </c>
      <c r="AE6447">
        <v>35.869088999999903</v>
      </c>
      <c r="AF6447">
        <v>-4.64472580056513</v>
      </c>
      <c r="AG6447">
        <v>-1.1051267748909901</v>
      </c>
      <c r="AH6447">
        <v>35.546361865017197</v>
      </c>
      <c r="AI6447">
        <v>91.765736218228895</v>
      </c>
      <c r="AJ6447">
        <v>97.444473179838994</v>
      </c>
      <c r="AK6447">
        <v>35.865563215844901</v>
      </c>
    </row>
    <row r="6448" spans="1:37" x14ac:dyDescent="0.2">
      <c r="A6448" t="str">
        <f>"20200111155727251"</f>
        <v>20200111155727251</v>
      </c>
      <c r="B6448" t="str">
        <f>"1578729447239318"</f>
        <v>1578729447239318</v>
      </c>
      <c r="C6448" t="s">
        <v>37</v>
      </c>
      <c r="D6448">
        <v>5.4643689999999996</v>
      </c>
      <c r="E6448">
        <v>0.47938149999999902</v>
      </c>
      <c r="F6448" t="s">
        <v>38</v>
      </c>
      <c r="G6448">
        <v>-189.15770000000001</v>
      </c>
      <c r="H6448" s="1">
        <v>-3.0435539999999898E-6</v>
      </c>
      <c r="I6448">
        <v>-3.6208739999999899</v>
      </c>
      <c r="J6448">
        <v>-188.19220000000001</v>
      </c>
      <c r="K6448">
        <v>1.1050979999999999</v>
      </c>
      <c r="L6448">
        <v>-37.54871</v>
      </c>
      <c r="M6448">
        <v>9.9880750000000004E-2</v>
      </c>
      <c r="N6448">
        <v>0</v>
      </c>
      <c r="O6448">
        <v>0.99499760000000004</v>
      </c>
      <c r="P6448">
        <v>2.8613059999999999E-2</v>
      </c>
      <c r="Q6448">
        <v>1.9792290000000001E-2</v>
      </c>
      <c r="R6448">
        <v>0.99939460000000002</v>
      </c>
      <c r="S6448">
        <v>-8.3236690000000002E-2</v>
      </c>
      <c r="T6448">
        <v>-9.7294809999999995E-2</v>
      </c>
      <c r="U6448">
        <v>3.0064700000000002</v>
      </c>
      <c r="V6448">
        <v>-7.1436630000000001E-2</v>
      </c>
      <c r="W6448">
        <v>2.14139E-2</v>
      </c>
      <c r="X6448">
        <v>0.99721530000000003</v>
      </c>
      <c r="Y6448">
        <v>-0.12736510000000001</v>
      </c>
      <c r="Z6448">
        <v>-3.1964350000000002E-2</v>
      </c>
      <c r="AA6448">
        <v>0.99134069999999996</v>
      </c>
      <c r="AB6448">
        <v>23</v>
      </c>
      <c r="AC6448">
        <v>-0.96549999999999103</v>
      </c>
      <c r="AD6448">
        <v>-1.1051010435539901</v>
      </c>
      <c r="AE6448">
        <v>33.927835999999999</v>
      </c>
      <c r="AF6448">
        <v>-4.3448098814196401</v>
      </c>
      <c r="AG6448">
        <v>-1.1051010435539901</v>
      </c>
      <c r="AH6448">
        <v>33.626094848311901</v>
      </c>
      <c r="AI6448">
        <v>91.866805654648999</v>
      </c>
      <c r="AJ6448">
        <v>97.362366330486395</v>
      </c>
      <c r="AK6448">
        <v>33.923633000753497</v>
      </c>
    </row>
    <row r="6449" spans="1:37" x14ac:dyDescent="0.2">
      <c r="A6449" t="str">
        <f>"20200111155727319"</f>
        <v>20200111155727319</v>
      </c>
      <c r="B6449" t="str">
        <f>"1578729447309591"</f>
        <v>1578729447309591</v>
      </c>
      <c r="C6449" t="s">
        <v>37</v>
      </c>
      <c r="D6449">
        <v>5.3384919999999996</v>
      </c>
      <c r="E6449">
        <v>0.47957230000000001</v>
      </c>
      <c r="F6449" t="s">
        <v>38</v>
      </c>
      <c r="G6449">
        <v>-189.09960000000001</v>
      </c>
      <c r="H6449" s="1">
        <v>-2.337903E-6</v>
      </c>
      <c r="I6449">
        <v>-5.2898100000000001</v>
      </c>
      <c r="J6449">
        <v>-188.13</v>
      </c>
      <c r="K6449">
        <v>1.105054</v>
      </c>
      <c r="L6449">
        <v>-36.823390000000003</v>
      </c>
      <c r="M6449">
        <v>9.1794700000000007E-2</v>
      </c>
      <c r="N6449">
        <v>0</v>
      </c>
      <c r="O6449">
        <v>0.99577739999999904</v>
      </c>
      <c r="P6449">
        <v>2.6782009999999998E-2</v>
      </c>
      <c r="Q6449">
        <v>1.7336859999999999E-2</v>
      </c>
      <c r="R6449">
        <v>0.99949100000000002</v>
      </c>
      <c r="S6449">
        <v>-8.4564210000000001E-2</v>
      </c>
      <c r="T6449">
        <v>-0.1029871</v>
      </c>
      <c r="U6449">
        <v>3.0062869999999999</v>
      </c>
      <c r="V6449">
        <v>-6.5154169999999997E-2</v>
      </c>
      <c r="W6449">
        <v>1.8162979999999999E-2</v>
      </c>
      <c r="X6449">
        <v>0.99770990000000004</v>
      </c>
      <c r="Y6449">
        <v>-0.11974129999999999</v>
      </c>
      <c r="Z6449">
        <v>-3.3890400000000001E-2</v>
      </c>
      <c r="AA6449">
        <v>0.99222649999999901</v>
      </c>
      <c r="AB6449">
        <v>24</v>
      </c>
      <c r="AC6449">
        <v>-0.96960000000001401</v>
      </c>
      <c r="AD6449">
        <v>-1.1050563379030001</v>
      </c>
      <c r="AE6449">
        <v>31.533580000000001</v>
      </c>
      <c r="AF6449">
        <v>-3.85539319996413</v>
      </c>
      <c r="AG6449">
        <v>-1.1050563379030001</v>
      </c>
      <c r="AH6449">
        <v>31.273070258637102</v>
      </c>
      <c r="AI6449">
        <v>92.008552216580497</v>
      </c>
      <c r="AJ6449">
        <v>97.028051897296905</v>
      </c>
      <c r="AK6449">
        <v>31.529194877730699</v>
      </c>
    </row>
    <row r="6450" spans="1:37" x14ac:dyDescent="0.2">
      <c r="A6450" t="str">
        <f>"20200111155727341"</f>
        <v>20200111155727341</v>
      </c>
      <c r="B6450" t="str">
        <f>"1578729447330086"</f>
        <v>1578729447330086</v>
      </c>
      <c r="C6450" t="s">
        <v>37</v>
      </c>
      <c r="D6450">
        <v>5.6166580000000002</v>
      </c>
      <c r="E6450">
        <v>0.4799081</v>
      </c>
      <c r="F6450" t="s">
        <v>38</v>
      </c>
      <c r="G6450">
        <v>-189.0273</v>
      </c>
      <c r="H6450" s="1">
        <v>-1.8311389999999999E-6</v>
      </c>
      <c r="I6450">
        <v>-6.5010000000000003</v>
      </c>
      <c r="J6450">
        <v>-188.11070000000001</v>
      </c>
      <c r="K6450">
        <v>1.1050409999999999</v>
      </c>
      <c r="L6450">
        <v>-36.582209999999897</v>
      </c>
      <c r="M6450">
        <v>8.9126699999999906E-2</v>
      </c>
      <c r="N6450">
        <v>0</v>
      </c>
      <c r="O6450">
        <v>0.99601989999999996</v>
      </c>
      <c r="P6450">
        <v>2.5522570000000001E-2</v>
      </c>
      <c r="Q6450">
        <v>1.6657229999999999E-2</v>
      </c>
      <c r="R6450">
        <v>0.99953539999999996</v>
      </c>
      <c r="S6450">
        <v>-8.8943480000000005E-2</v>
      </c>
      <c r="T6450">
        <v>-0.1095431</v>
      </c>
      <c r="U6450">
        <v>3.0058289999999999</v>
      </c>
      <c r="V6450">
        <v>-6.3736420000000002E-2</v>
      </c>
      <c r="W6450">
        <v>1.7289559999999999E-2</v>
      </c>
      <c r="X6450">
        <v>0.99781699999999995</v>
      </c>
      <c r="Y6450">
        <v>-0.11852790000000001</v>
      </c>
      <c r="Z6450">
        <v>-3.6065659999999999E-2</v>
      </c>
      <c r="AA6450">
        <v>0.9922955</v>
      </c>
      <c r="AB6450">
        <v>24</v>
      </c>
      <c r="AC6450">
        <v>-0.91659999999998798</v>
      </c>
      <c r="AD6450">
        <v>-1.1050428311389999</v>
      </c>
      <c r="AE6450">
        <v>30.081209999999899</v>
      </c>
      <c r="AF6450">
        <v>-3.58915322891542</v>
      </c>
      <c r="AG6450">
        <v>-1.1050428311389999</v>
      </c>
      <c r="AH6450">
        <v>29.839571387666101</v>
      </c>
      <c r="AI6450">
        <v>92.105690158149599</v>
      </c>
      <c r="AJ6450">
        <v>96.858681816312</v>
      </c>
      <c r="AK6450">
        <v>30.0749590383579</v>
      </c>
    </row>
    <row r="6451" spans="1:37" x14ac:dyDescent="0.2">
      <c r="A6451" t="str">
        <f>"20200111155727363"</f>
        <v>20200111155727363</v>
      </c>
      <c r="B6451" t="str">
        <f>"1578729447359367"</f>
        <v>1578729447359367</v>
      </c>
      <c r="C6451" t="s">
        <v>37</v>
      </c>
      <c r="D6451">
        <v>5.3991389999999999</v>
      </c>
      <c r="E6451">
        <v>0.48026740000000001</v>
      </c>
      <c r="F6451" t="s">
        <v>38</v>
      </c>
      <c r="G6451">
        <v>-189.0076</v>
      </c>
      <c r="H6451" s="1">
        <v>-1.752586E-6</v>
      </c>
      <c r="I6451">
        <v>-6.6922229999999896</v>
      </c>
      <c r="J6451">
        <v>-188.0924</v>
      </c>
      <c r="K6451">
        <v>1.1050329999999999</v>
      </c>
      <c r="L6451">
        <v>-36.347380000000001</v>
      </c>
      <c r="M6451">
        <v>8.6538359999999995E-2</v>
      </c>
      <c r="N6451">
        <v>0</v>
      </c>
      <c r="O6451">
        <v>0.99624820000000003</v>
      </c>
      <c r="P6451">
        <v>2.445454E-2</v>
      </c>
      <c r="Q6451">
        <v>1.5967329999999998E-2</v>
      </c>
      <c r="R6451">
        <v>0.99957339999999995</v>
      </c>
      <c r="S6451">
        <v>-9.0194700000000003E-2</v>
      </c>
      <c r="T6451">
        <v>-0.1111163</v>
      </c>
      <c r="U6451">
        <v>3.0055540000000001</v>
      </c>
      <c r="V6451">
        <v>-6.220755E-2</v>
      </c>
      <c r="W6451">
        <v>1.6437569999999999E-2</v>
      </c>
      <c r="X6451">
        <v>0.99792780000000003</v>
      </c>
      <c r="Y6451">
        <v>-0.1163624</v>
      </c>
      <c r="Z6451">
        <v>-3.6603410000000003E-2</v>
      </c>
      <c r="AA6451">
        <v>0.99253210000000003</v>
      </c>
      <c r="AB6451">
        <v>24</v>
      </c>
      <c r="AC6451">
        <v>-0.91519999999999802</v>
      </c>
      <c r="AD6451">
        <v>-1.105034752586</v>
      </c>
      <c r="AE6451">
        <v>29.655156999999999</v>
      </c>
      <c r="AF6451">
        <v>-3.47325802008625</v>
      </c>
      <c r="AG6451">
        <v>-1.105034752586</v>
      </c>
      <c r="AH6451">
        <v>29.423889532032501</v>
      </c>
      <c r="AI6451">
        <v>92.135956499514194</v>
      </c>
      <c r="AJ6451">
        <v>96.732161570703894</v>
      </c>
      <c r="AK6451">
        <v>29.648775662272602</v>
      </c>
    </row>
    <row r="6452" spans="1:37" x14ac:dyDescent="0.2">
      <c r="A6452" t="str">
        <f>"20200111155727384"</f>
        <v>20200111155727384</v>
      </c>
      <c r="B6452" t="str">
        <f>"1578729447379864"</f>
        <v>1578729447379864</v>
      </c>
      <c r="C6452" t="s">
        <v>37</v>
      </c>
      <c r="D6452">
        <v>5.5389949999999999</v>
      </c>
      <c r="E6452">
        <v>0.48058630000000002</v>
      </c>
      <c r="F6452" t="s">
        <v>38</v>
      </c>
      <c r="G6452">
        <v>-188.98220000000001</v>
      </c>
      <c r="H6452" s="1">
        <v>-1.688484E-6</v>
      </c>
      <c r="I6452">
        <v>-6.8521580000000002</v>
      </c>
      <c r="J6452">
        <v>-188.07409999999999</v>
      </c>
      <c r="K6452">
        <v>1.1050249999999999</v>
      </c>
      <c r="L6452">
        <v>-36.104520000000001</v>
      </c>
      <c r="M6452">
        <v>8.3875249999999998E-2</v>
      </c>
      <c r="N6452">
        <v>0</v>
      </c>
      <c r="O6452">
        <v>0.99647609999999998</v>
      </c>
      <c r="P6452">
        <v>2.291988E-2</v>
      </c>
      <c r="Q6452">
        <v>1.44967999999999E-2</v>
      </c>
      <c r="R6452">
        <v>0.99963219999999997</v>
      </c>
      <c r="S6452">
        <v>-9.0667719999999993E-2</v>
      </c>
      <c r="T6452">
        <v>-0.1125925</v>
      </c>
      <c r="U6452">
        <v>3.00528</v>
      </c>
      <c r="V6452">
        <v>-6.1068440000000002E-2</v>
      </c>
      <c r="W6452">
        <v>1.482177E-2</v>
      </c>
      <c r="X6452">
        <v>0.99802349999999995</v>
      </c>
      <c r="Y6452">
        <v>-0.1138656</v>
      </c>
      <c r="Z6452">
        <v>-3.7110509999999999E-2</v>
      </c>
      <c r="AA6452">
        <v>0.99280279999999999</v>
      </c>
      <c r="AB6452">
        <v>25</v>
      </c>
      <c r="AC6452">
        <v>-0.908100000000018</v>
      </c>
      <c r="AD6452">
        <v>-1.1050266884839901</v>
      </c>
      <c r="AE6452">
        <v>29.252362000000002</v>
      </c>
      <c r="AF6452">
        <v>-3.3536685932421202</v>
      </c>
      <c r="AG6452">
        <v>-1.1050266884839901</v>
      </c>
      <c r="AH6452">
        <v>29.031728844589001</v>
      </c>
      <c r="AI6452">
        <v>92.1653951199077</v>
      </c>
      <c r="AJ6452">
        <v>96.589450164818601</v>
      </c>
      <c r="AK6452">
        <v>29.245674153989</v>
      </c>
    </row>
    <row r="6453" spans="1:37" x14ac:dyDescent="0.2">
      <c r="A6453" t="str">
        <f>"20200111155727408"</f>
        <v>20200111155727408</v>
      </c>
      <c r="B6453" t="str">
        <f>"1578729447399383"</f>
        <v>1578729447399383</v>
      </c>
      <c r="C6453" t="s">
        <v>37</v>
      </c>
      <c r="D6453">
        <v>5.3795320000000002</v>
      </c>
      <c r="E6453">
        <v>0.4806414</v>
      </c>
      <c r="F6453" t="s">
        <v>38</v>
      </c>
      <c r="G6453">
        <v>-188.95330000000001</v>
      </c>
      <c r="H6453" s="1">
        <v>-1.3674559999999899E-6</v>
      </c>
      <c r="I6453">
        <v>-7.6124320000000001</v>
      </c>
      <c r="J6453">
        <v>-188.05520000000001</v>
      </c>
      <c r="K6453">
        <v>1.1050089999999999</v>
      </c>
      <c r="L6453">
        <v>-35.845120000000001</v>
      </c>
      <c r="M6453">
        <v>8.1052650000000004E-2</v>
      </c>
      <c r="N6453">
        <v>0</v>
      </c>
      <c r="O6453">
        <v>0.99670969999999903</v>
      </c>
      <c r="P6453">
        <v>2.0006860000000001E-2</v>
      </c>
      <c r="Q6453">
        <v>1.313273E-2</v>
      </c>
      <c r="R6453">
        <v>0.99971359999999998</v>
      </c>
      <c r="S6453">
        <v>-9.2727660000000003E-2</v>
      </c>
      <c r="T6453">
        <v>-0.1165414</v>
      </c>
      <c r="U6453">
        <v>3.0049130000000002</v>
      </c>
      <c r="V6453">
        <v>-6.114588E-2</v>
      </c>
      <c r="W6453">
        <v>1.3320830000000001E-2</v>
      </c>
      <c r="X6453">
        <v>0.99803999999999904</v>
      </c>
      <c r="Y6453">
        <v>-0.1117335</v>
      </c>
      <c r="Z6453">
        <v>-3.8432689999999999E-2</v>
      </c>
      <c r="AA6453">
        <v>0.99299470000000001</v>
      </c>
      <c r="AB6453">
        <v>25</v>
      </c>
      <c r="AC6453">
        <v>-0.89809999999999901</v>
      </c>
      <c r="AD6453">
        <v>-1.1050103674559999</v>
      </c>
      <c r="AE6453">
        <v>28.232688</v>
      </c>
      <c r="AF6453">
        <v>-3.17861517163464</v>
      </c>
      <c r="AG6453">
        <v>-1.1050103674559999</v>
      </c>
      <c r="AH6453">
        <v>28.024117462181</v>
      </c>
      <c r="AI6453">
        <v>92.243670993679999</v>
      </c>
      <c r="AJ6453">
        <v>96.471076473383704</v>
      </c>
      <c r="AK6453">
        <v>28.2254459992336</v>
      </c>
    </row>
    <row r="6454" spans="1:37" x14ac:dyDescent="0.2">
      <c r="A6454" t="str">
        <f>"20200111155727430"</f>
        <v>20200111155727430</v>
      </c>
      <c r="B6454" t="str">
        <f>"1578729447419878"</f>
        <v>1578729447419878</v>
      </c>
      <c r="C6454" t="s">
        <v>37</v>
      </c>
      <c r="D6454">
        <v>5.3609689999999999</v>
      </c>
      <c r="E6454">
        <v>0.48071750000000002</v>
      </c>
      <c r="F6454" t="s">
        <v>38</v>
      </c>
      <c r="G6454">
        <v>-188.9879</v>
      </c>
      <c r="H6454" s="1">
        <v>-1.1110550000000001E-6</v>
      </c>
      <c r="I6454">
        <v>-8.1958070000000003</v>
      </c>
      <c r="J6454">
        <v>-188.0376</v>
      </c>
      <c r="K6454">
        <v>1.1050009999999999</v>
      </c>
      <c r="L6454">
        <v>-35.593440000000001</v>
      </c>
      <c r="M6454">
        <v>7.8344639999999993E-2</v>
      </c>
      <c r="N6454">
        <v>0</v>
      </c>
      <c r="O6454">
        <v>0.99692619999999899</v>
      </c>
      <c r="P6454">
        <v>1.701484E-2</v>
      </c>
      <c r="Q6454">
        <v>1.207624E-2</v>
      </c>
      <c r="R6454">
        <v>0.99978230000000001</v>
      </c>
      <c r="S6454">
        <v>-0.10134889999999901</v>
      </c>
      <c r="T6454">
        <v>-0.1200736</v>
      </c>
      <c r="U6454">
        <v>3.0044559999999998</v>
      </c>
      <c r="V6454">
        <v>-6.1417579999999999E-2</v>
      </c>
      <c r="W6454">
        <v>1.2151250000000001E-2</v>
      </c>
      <c r="X6454">
        <v>0.99803819999999999</v>
      </c>
      <c r="Y6454">
        <v>-0.1118835</v>
      </c>
      <c r="Z6454">
        <v>-3.9612540000000002E-2</v>
      </c>
      <c r="AA6454">
        <v>0.99293149999999997</v>
      </c>
      <c r="AB6454">
        <v>25</v>
      </c>
      <c r="AC6454">
        <v>-0.95029999999999804</v>
      </c>
      <c r="AD6454">
        <v>-1.1050021110549999</v>
      </c>
      <c r="AE6454">
        <v>27.397632999999999</v>
      </c>
      <c r="AF6454">
        <v>-3.0888186197080101</v>
      </c>
      <c r="AG6454">
        <v>-1.1050021110549999</v>
      </c>
      <c r="AH6454">
        <v>27.194787054064101</v>
      </c>
      <c r="AI6454">
        <v>92.311962791385199</v>
      </c>
      <c r="AJ6454">
        <v>96.479957634398104</v>
      </c>
      <c r="AK6454">
        <v>27.391938103149698</v>
      </c>
    </row>
    <row r="6455" spans="1:37" x14ac:dyDescent="0.2">
      <c r="A6455" t="str">
        <f>"20200111155727452"</f>
        <v>20200111155727452</v>
      </c>
      <c r="B6455" t="str">
        <f>"1578729447439398"</f>
        <v>1578729447439398</v>
      </c>
      <c r="C6455" t="s">
        <v>37</v>
      </c>
      <c r="D6455">
        <v>5.3950959999999997</v>
      </c>
      <c r="E6455">
        <v>0.48076980000000002</v>
      </c>
      <c r="F6455" t="s">
        <v>38</v>
      </c>
      <c r="G6455">
        <v>-189.0299</v>
      </c>
      <c r="H6455" s="1">
        <v>-1.0082980000000001E-6</v>
      </c>
      <c r="I6455">
        <v>-8.4179659999999998</v>
      </c>
      <c r="J6455">
        <v>-188.02109999999999</v>
      </c>
      <c r="K6455">
        <v>1.104983</v>
      </c>
      <c r="L6455">
        <v>-35.350650000000002</v>
      </c>
      <c r="M6455">
        <v>7.5770149999999994E-2</v>
      </c>
      <c r="N6455">
        <v>0</v>
      </c>
      <c r="O6455">
        <v>0.99712529999999999</v>
      </c>
      <c r="P6455">
        <v>1.4387250000000001E-2</v>
      </c>
      <c r="Q6455">
        <v>1.140687E-2</v>
      </c>
      <c r="R6455">
        <v>0.99983140000000004</v>
      </c>
      <c r="S6455">
        <v>-0.1096954</v>
      </c>
      <c r="T6455">
        <v>-0.1221478</v>
      </c>
      <c r="U6455">
        <v>3.0039980000000002</v>
      </c>
      <c r="V6455">
        <v>-6.1460960000000002E-2</v>
      </c>
      <c r="W6455">
        <v>1.139074E-2</v>
      </c>
      <c r="X6455">
        <v>0.9980445</v>
      </c>
      <c r="Y6455">
        <v>-0.112077</v>
      </c>
      <c r="Z6455">
        <v>-4.031154E-2</v>
      </c>
      <c r="AA6455">
        <v>0.99288149999999997</v>
      </c>
      <c r="AB6455">
        <v>25</v>
      </c>
      <c r="AC6455">
        <v>-1.0087999999999999</v>
      </c>
      <c r="AD6455">
        <v>-1.104984008298</v>
      </c>
      <c r="AE6455">
        <v>26.932683999999998</v>
      </c>
      <c r="AF6455">
        <v>-3.0414810917780799</v>
      </c>
      <c r="AG6455">
        <v>-1.104984008298</v>
      </c>
      <c r="AH6455">
        <v>26.733886767114399</v>
      </c>
      <c r="AI6455">
        <v>92.351689443201494</v>
      </c>
      <c r="AJ6455">
        <v>96.490562508924</v>
      </c>
      <c r="AK6455">
        <v>26.929023349671098</v>
      </c>
    </row>
    <row r="6456" spans="1:37" x14ac:dyDescent="0.2">
      <c r="A6456" t="str">
        <f>"20200111155727474"</f>
        <v>20200111155727474</v>
      </c>
      <c r="B6456" t="str">
        <f>"1578729447469655"</f>
        <v>1578729447469655</v>
      </c>
      <c r="C6456" t="s">
        <v>37</v>
      </c>
      <c r="D6456">
        <v>5.471711</v>
      </c>
      <c r="E6456">
        <v>0.48086449999999997</v>
      </c>
      <c r="F6456" t="s">
        <v>38</v>
      </c>
      <c r="G6456">
        <v>-189.07239999999999</v>
      </c>
      <c r="H6456" s="1">
        <v>-9.7416159999999996E-7</v>
      </c>
      <c r="I6456">
        <v>-8.479984</v>
      </c>
      <c r="J6456">
        <v>-188.00470000000001</v>
      </c>
      <c r="K6456">
        <v>1.104962</v>
      </c>
      <c r="L6456">
        <v>-35.098659999999903</v>
      </c>
      <c r="M6456">
        <v>7.3145779999999994E-2</v>
      </c>
      <c r="N6456">
        <v>0</v>
      </c>
      <c r="O6456">
        <v>0.99732119999999902</v>
      </c>
      <c r="P6456">
        <v>1.2348659999999999E-2</v>
      </c>
      <c r="Q6456">
        <v>1.0958209999999999E-2</v>
      </c>
      <c r="R6456">
        <v>0.99986369999999902</v>
      </c>
      <c r="S6456">
        <v>-0.1175079</v>
      </c>
      <c r="T6456">
        <v>-0.123515</v>
      </c>
      <c r="U6456">
        <v>3.00360099999999</v>
      </c>
      <c r="V6456">
        <v>-6.0867369999999997E-2</v>
      </c>
      <c r="W6456">
        <v>1.0866249999999999E-2</v>
      </c>
      <c r="X6456">
        <v>0.99808669999999999</v>
      </c>
      <c r="Y6456">
        <v>-0.1120448</v>
      </c>
      <c r="Z6456">
        <v>-4.0777499999999897E-2</v>
      </c>
      <c r="AA6456">
        <v>0.99286620000000003</v>
      </c>
      <c r="AB6456">
        <v>25</v>
      </c>
      <c r="AC6456">
        <v>-1.0676999999999699</v>
      </c>
      <c r="AD6456">
        <v>-1.1049629741616001</v>
      </c>
      <c r="AE6456">
        <v>26.618675999999901</v>
      </c>
      <c r="AF6456">
        <v>-3.0067111571806699</v>
      </c>
      <c r="AG6456">
        <v>-1.1049629741616001</v>
      </c>
      <c r="AH6456">
        <v>26.423814712997299</v>
      </c>
      <c r="AI6456">
        <v>92.379203617222402</v>
      </c>
      <c r="AJ6456">
        <v>96.491646903261895</v>
      </c>
      <c r="AK6456">
        <v>26.617273322859202</v>
      </c>
    </row>
    <row r="6457" spans="1:37" x14ac:dyDescent="0.2">
      <c r="A6457" t="str">
        <f>"20200111155727497"</f>
        <v>20200111155727497</v>
      </c>
      <c r="B6457" t="str">
        <f>"1578729447490151"</f>
        <v>1578729447490151</v>
      </c>
      <c r="C6457" t="s">
        <v>37</v>
      </c>
      <c r="D6457">
        <v>5.4750030000000001</v>
      </c>
      <c r="E6457">
        <v>0.48099439999999999</v>
      </c>
      <c r="F6457" t="s">
        <v>38</v>
      </c>
      <c r="G6457">
        <v>-189.1087</v>
      </c>
      <c r="H6457" s="1">
        <v>-1.09241E-6</v>
      </c>
      <c r="I6457">
        <v>-8.1893339999999899</v>
      </c>
      <c r="J6457">
        <v>-187.9872</v>
      </c>
      <c r="K6457">
        <v>1.104941</v>
      </c>
      <c r="L6457">
        <v>-34.820950000000003</v>
      </c>
      <c r="M6457">
        <v>7.0316429999999999E-2</v>
      </c>
      <c r="N6457">
        <v>0</v>
      </c>
      <c r="O6457">
        <v>0.99752469999999904</v>
      </c>
      <c r="P6457">
        <v>1.0238219999999999E-2</v>
      </c>
      <c r="Q6457">
        <v>1.086442E-2</v>
      </c>
      <c r="R6457">
        <v>0.99988849999999996</v>
      </c>
      <c r="S6457">
        <v>-0.1232147</v>
      </c>
      <c r="T6457">
        <v>-0.1233214</v>
      </c>
      <c r="U6457">
        <v>3.0032649999999999</v>
      </c>
      <c r="V6457">
        <v>-6.0141680000000003E-2</v>
      </c>
      <c r="W6457">
        <v>1.0704139999999999E-2</v>
      </c>
      <c r="X6457">
        <v>0.99813249999999998</v>
      </c>
      <c r="Y6457">
        <v>-0.111114</v>
      </c>
      <c r="Z6457">
        <v>-4.073135E-2</v>
      </c>
      <c r="AA6457">
        <v>0.99297259999999998</v>
      </c>
      <c r="AB6457">
        <v>26</v>
      </c>
      <c r="AC6457">
        <v>-1.1214999999999899</v>
      </c>
      <c r="AD6457">
        <v>-1.10494209241</v>
      </c>
      <c r="AE6457">
        <v>26.631616000000001</v>
      </c>
      <c r="AF6457">
        <v>-2.9862327946929201</v>
      </c>
      <c r="AG6457">
        <v>-1.10494209241</v>
      </c>
      <c r="AH6457">
        <v>26.441399964826999</v>
      </c>
      <c r="AI6457">
        <v>92.377804213179999</v>
      </c>
      <c r="AJ6457">
        <v>96.443554516795004</v>
      </c>
      <c r="AK6457">
        <v>26.6324260147594</v>
      </c>
    </row>
    <row r="6458" spans="1:37" x14ac:dyDescent="0.2">
      <c r="A6458" t="str">
        <f>"20200111155727521"</f>
        <v>20200111155727521</v>
      </c>
      <c r="B6458" t="str">
        <f>"1578729447509672"</f>
        <v>1578729447509672</v>
      </c>
      <c r="C6458" t="s">
        <v>37</v>
      </c>
      <c r="D6458">
        <v>5.4663879999999896</v>
      </c>
      <c r="E6458">
        <v>0.48112820000000001</v>
      </c>
      <c r="F6458" t="s">
        <v>38</v>
      </c>
      <c r="G6458">
        <v>-189.15599999999901</v>
      </c>
      <c r="H6458" s="1">
        <v>-1.3397000000000001E-6</v>
      </c>
      <c r="I6458">
        <v>-7.5933399999999898</v>
      </c>
      <c r="J6458">
        <v>-187.97130000000001</v>
      </c>
      <c r="K6458">
        <v>1.1049100000000001</v>
      </c>
      <c r="L6458">
        <v>-34.558349999999997</v>
      </c>
      <c r="M6458">
        <v>6.771605E-2</v>
      </c>
      <c r="N6458">
        <v>0</v>
      </c>
      <c r="O6458">
        <v>0.99770460000000005</v>
      </c>
      <c r="P6458">
        <v>7.9568390000000003E-3</v>
      </c>
      <c r="Q6458">
        <v>9.7169460000000006E-3</v>
      </c>
      <c r="R6458">
        <v>0.99992109999999901</v>
      </c>
      <c r="S6458">
        <v>-0.1289063</v>
      </c>
      <c r="T6458">
        <v>-0.1218665</v>
      </c>
      <c r="U6458">
        <v>3.0029910000000002</v>
      </c>
      <c r="V6458">
        <v>-5.9813039999999998E-2</v>
      </c>
      <c r="W6458">
        <v>9.5054319999999994E-3</v>
      </c>
      <c r="X6458">
        <v>0.99816439999999995</v>
      </c>
      <c r="Y6458">
        <v>-0.1104067</v>
      </c>
      <c r="Z6458">
        <v>-4.0266199999999898E-2</v>
      </c>
      <c r="AA6458">
        <v>0.99307049999999997</v>
      </c>
      <c r="AB6458">
        <v>26</v>
      </c>
      <c r="AC6458">
        <v>-1.1846999999999599</v>
      </c>
      <c r="AD6458">
        <v>-1.1049113397000001</v>
      </c>
      <c r="AE6458">
        <v>26.965009999999999</v>
      </c>
      <c r="AF6458">
        <v>-3.0029124954992699</v>
      </c>
      <c r="AG6458">
        <v>-1.1049113397000001</v>
      </c>
      <c r="AH6458">
        <v>26.778018235558498</v>
      </c>
      <c r="AI6458">
        <v>92.348089640412894</v>
      </c>
      <c r="AJ6458">
        <v>96.398471175272306</v>
      </c>
      <c r="AK6458">
        <v>26.968510769935499</v>
      </c>
    </row>
    <row r="6459" spans="1:37" x14ac:dyDescent="0.2">
      <c r="A6459" t="str">
        <f>"20200111155727542"</f>
        <v>20200111155727542</v>
      </c>
      <c r="B6459" t="str">
        <f>"1578729447539928"</f>
        <v>1578729447539928</v>
      </c>
      <c r="C6459" t="s">
        <v>37</v>
      </c>
      <c r="D6459">
        <v>5.4448809999999996</v>
      </c>
      <c r="E6459">
        <v>0.48136329999999999</v>
      </c>
      <c r="F6459" t="s">
        <v>38</v>
      </c>
      <c r="G6459">
        <v>-189.17140000000001</v>
      </c>
      <c r="H6459" s="1">
        <v>-1.220324E-6</v>
      </c>
      <c r="I6459">
        <v>-7.8652449999999998</v>
      </c>
      <c r="J6459">
        <v>-187.95590000000001</v>
      </c>
      <c r="K6459">
        <v>1.1048799999999901</v>
      </c>
      <c r="L6459">
        <v>-34.290559999999999</v>
      </c>
      <c r="M6459">
        <v>6.514093E-2</v>
      </c>
      <c r="N6459">
        <v>0</v>
      </c>
      <c r="O6459">
        <v>0.99787599999999999</v>
      </c>
      <c r="P6459">
        <v>4.72467299999999E-3</v>
      </c>
      <c r="Q6459">
        <v>8.2968690000000001E-3</v>
      </c>
      <c r="R6459">
        <v>0.99995440000000002</v>
      </c>
      <c r="S6459">
        <v>-0.13497919999999999</v>
      </c>
      <c r="T6459">
        <v>-0.12428299999999901</v>
      </c>
      <c r="U6459">
        <v>3.0025019999999998</v>
      </c>
      <c r="V6459">
        <v>-6.0457789999999997E-2</v>
      </c>
      <c r="W6459">
        <v>8.0401680000000003E-3</v>
      </c>
      <c r="X6459">
        <v>0.99813839999999998</v>
      </c>
      <c r="Y6459">
        <v>-0.1098519</v>
      </c>
      <c r="Z6459">
        <v>-4.1080039999999998E-2</v>
      </c>
      <c r="AA6459">
        <v>0.993098699999999</v>
      </c>
      <c r="AB6459">
        <v>26</v>
      </c>
      <c r="AC6459">
        <v>-1.21549999999999</v>
      </c>
      <c r="AD6459">
        <v>-1.1048812203239999</v>
      </c>
      <c r="AE6459">
        <v>26.425315000000001</v>
      </c>
      <c r="AF6459">
        <v>-2.9291781152339098</v>
      </c>
      <c r="AG6459">
        <v>-1.1048812203239999</v>
      </c>
      <c r="AH6459">
        <v>26.244227512114598</v>
      </c>
      <c r="AI6459">
        <v>92.395867733856605</v>
      </c>
      <c r="AJ6459">
        <v>96.368554963042698</v>
      </c>
      <c r="AK6459">
        <v>26.430291800307899</v>
      </c>
    </row>
    <row r="6460" spans="1:37" x14ac:dyDescent="0.2">
      <c r="A6460" t="str">
        <f>"20200111155727563"</f>
        <v>20200111155727563</v>
      </c>
      <c r="B6460" t="str">
        <f>"1578729447559446"</f>
        <v>1578729447559446</v>
      </c>
      <c r="C6460" t="s">
        <v>37</v>
      </c>
      <c r="D6460">
        <v>5.3916529999999998</v>
      </c>
      <c r="E6460">
        <v>0.48152329999999999</v>
      </c>
      <c r="F6460" t="s">
        <v>38</v>
      </c>
      <c r="G6460">
        <v>-189.19499999999999</v>
      </c>
      <c r="H6460" s="1">
        <v>-1.0562970000000001E-6</v>
      </c>
      <c r="I6460">
        <v>-8.2378199999999993</v>
      </c>
      <c r="J6460">
        <v>-187.9426</v>
      </c>
      <c r="K6460">
        <v>1.104851</v>
      </c>
      <c r="L6460">
        <v>-34.052459999999897</v>
      </c>
      <c r="M6460">
        <v>6.2906279999999995E-2</v>
      </c>
      <c r="N6460">
        <v>0</v>
      </c>
      <c r="O6460">
        <v>0.99801949999999995</v>
      </c>
      <c r="P6460">
        <v>9.5746669999999896E-4</v>
      </c>
      <c r="Q6460">
        <v>7.4516399999999998E-3</v>
      </c>
      <c r="R6460">
        <v>0.99997179999999997</v>
      </c>
      <c r="S6460">
        <v>-0.1427765</v>
      </c>
      <c r="T6460">
        <v>-0.12730719999999901</v>
      </c>
      <c r="U6460">
        <v>3.001862</v>
      </c>
      <c r="V6460">
        <v>-6.1979260000000001E-2</v>
      </c>
      <c r="W6460">
        <v>7.1585210000000002E-3</v>
      </c>
      <c r="X6460">
        <v>0.99805180000000004</v>
      </c>
      <c r="Y6460">
        <v>-0.11020770000000001</v>
      </c>
      <c r="Z6460">
        <v>-4.2092589999999999E-2</v>
      </c>
      <c r="AA6460">
        <v>0.99301679999999903</v>
      </c>
      <c r="AB6460">
        <v>26</v>
      </c>
      <c r="AC6460">
        <v>-1.25239999999999</v>
      </c>
      <c r="AD6460">
        <v>-1.1048520562969999</v>
      </c>
      <c r="AE6460">
        <v>25.814640000000001</v>
      </c>
      <c r="AF6460">
        <v>-2.8685801151530699</v>
      </c>
      <c r="AG6460">
        <v>-1.1048520562969999</v>
      </c>
      <c r="AH6460">
        <v>25.637875735949098</v>
      </c>
      <c r="AI6460">
        <v>92.452323821384496</v>
      </c>
      <c r="AJ6460">
        <v>96.384178520652597</v>
      </c>
      <c r="AK6460">
        <v>25.821505033504899</v>
      </c>
    </row>
    <row r="6461" spans="1:37" x14ac:dyDescent="0.2">
      <c r="A6461" t="str">
        <f>"20200111155727586"</f>
        <v>20200111155727586</v>
      </c>
      <c r="B6461" t="str">
        <f>"1578729447579942"</f>
        <v>1578729447579942</v>
      </c>
      <c r="C6461" t="s">
        <v>37</v>
      </c>
      <c r="D6461">
        <v>5.4318029999999897</v>
      </c>
      <c r="E6461">
        <v>0.48172809999999999</v>
      </c>
      <c r="F6461" t="s">
        <v>38</v>
      </c>
      <c r="G6461">
        <v>-189.24979999999999</v>
      </c>
      <c r="H6461" s="1">
        <v>-9.9814269999999991E-7</v>
      </c>
      <c r="I6461">
        <v>-8.3507130000000007</v>
      </c>
      <c r="J6461">
        <v>-187.92740000000001</v>
      </c>
      <c r="K6461">
        <v>1.1048229999999899</v>
      </c>
      <c r="L6461">
        <v>-33.77008</v>
      </c>
      <c r="M6461">
        <v>6.0330370000000001E-2</v>
      </c>
      <c r="N6461">
        <v>0</v>
      </c>
      <c r="O6461">
        <v>0.99817849999999997</v>
      </c>
      <c r="P6461">
        <v>-2.935844E-3</v>
      </c>
      <c r="Q6461">
        <v>7.8572439999999993E-3</v>
      </c>
      <c r="R6461">
        <v>0.99996479999999999</v>
      </c>
      <c r="S6461">
        <v>-0.1526489</v>
      </c>
      <c r="T6461">
        <v>-0.1290135</v>
      </c>
      <c r="U6461">
        <v>3.0011899999999998</v>
      </c>
      <c r="V6461">
        <v>-6.3290170000000007E-2</v>
      </c>
      <c r="W6461">
        <v>7.531874E-3</v>
      </c>
      <c r="X6461">
        <v>0.99796679999999904</v>
      </c>
      <c r="Y6461">
        <v>-0.1109106</v>
      </c>
      <c r="Z6461">
        <v>-4.2670359999999997E-2</v>
      </c>
      <c r="AA6461">
        <v>0.99291399999999996</v>
      </c>
      <c r="AB6461">
        <v>27</v>
      </c>
      <c r="AC6461">
        <v>-1.32239999999998</v>
      </c>
      <c r="AD6461">
        <v>-1.1048239981426999</v>
      </c>
      <c r="AE6461">
        <v>25.419367000000001</v>
      </c>
      <c r="AF6461">
        <v>-2.8481849571484701</v>
      </c>
      <c r="AG6461">
        <v>-1.1048239981426999</v>
      </c>
      <c r="AH6461">
        <v>25.24572067766</v>
      </c>
      <c r="AI6461">
        <v>92.490049628310302</v>
      </c>
      <c r="AJ6461">
        <v>96.436808111086094</v>
      </c>
      <c r="AK6461">
        <v>25.429888048346399</v>
      </c>
    </row>
    <row r="6462" spans="1:37" x14ac:dyDescent="0.2">
      <c r="A6462" t="str">
        <f>"20200111155727608"</f>
        <v>20200111155727608</v>
      </c>
      <c r="B6462" t="str">
        <f>"1578729447599463"</f>
        <v>1578729447599463</v>
      </c>
      <c r="C6462" t="s">
        <v>37</v>
      </c>
      <c r="D6462">
        <v>5.3905430000000001</v>
      </c>
      <c r="E6462">
        <v>0.48194989999999999</v>
      </c>
      <c r="F6462" t="s">
        <v>38</v>
      </c>
      <c r="G6462">
        <v>-189.3382</v>
      </c>
      <c r="H6462" s="1">
        <v>-1.2444699999999999E-6</v>
      </c>
      <c r="I6462">
        <v>-7.7399740000000001</v>
      </c>
      <c r="J6462">
        <v>-187.91380000000001</v>
      </c>
      <c r="K6462">
        <v>1.1047940000000001</v>
      </c>
      <c r="L6462">
        <v>-33.505459999999999</v>
      </c>
      <c r="M6462">
        <v>5.7990779999999999E-2</v>
      </c>
      <c r="N6462">
        <v>0</v>
      </c>
      <c r="O6462">
        <v>0.99831709999999996</v>
      </c>
      <c r="P6462">
        <v>-6.455288E-3</v>
      </c>
      <c r="Q6462">
        <v>9.5012320000000001E-3</v>
      </c>
      <c r="R6462">
        <v>0.99993399999999999</v>
      </c>
      <c r="S6462">
        <v>-0.1626282</v>
      </c>
      <c r="T6462">
        <v>-0.12735940000000001</v>
      </c>
      <c r="U6462">
        <v>3.0006409999999999</v>
      </c>
      <c r="V6462">
        <v>-6.4469399999999996E-2</v>
      </c>
      <c r="W6462">
        <v>9.1530640000000007E-3</v>
      </c>
      <c r="X6462">
        <v>0.99787769999999998</v>
      </c>
      <c r="Y6462">
        <v>-0.11188479999999899</v>
      </c>
      <c r="Z6462">
        <v>-4.2134810000000002E-2</v>
      </c>
      <c r="AA6462">
        <v>0.99282749999999997</v>
      </c>
      <c r="AB6462">
        <v>27</v>
      </c>
      <c r="AC6462">
        <v>-1.4243999999999899</v>
      </c>
      <c r="AD6462">
        <v>-1.10479524447</v>
      </c>
      <c r="AE6462">
        <v>25.765485999999999</v>
      </c>
      <c r="AF6462">
        <v>-2.9108280242909799</v>
      </c>
      <c r="AG6462">
        <v>-1.10479524447</v>
      </c>
      <c r="AH6462">
        <v>25.592612505836001</v>
      </c>
      <c r="AI6462">
        <v>92.456024329939098</v>
      </c>
      <c r="AJ6462">
        <v>96.488768491911998</v>
      </c>
      <c r="AK6462">
        <v>25.7812976243066</v>
      </c>
    </row>
    <row r="6463" spans="1:37" x14ac:dyDescent="0.2">
      <c r="A6463" t="str">
        <f>"20200111155727631"</f>
        <v>20200111155727631</v>
      </c>
      <c r="B6463" t="str">
        <f>"1578729447619957"</f>
        <v>1578729447619957</v>
      </c>
      <c r="C6463" t="s">
        <v>37</v>
      </c>
      <c r="D6463">
        <v>5.4918259999999997</v>
      </c>
      <c r="E6463">
        <v>0.48204150000000001</v>
      </c>
      <c r="F6463" t="s">
        <v>38</v>
      </c>
      <c r="G6463">
        <v>-189.46979999999999</v>
      </c>
      <c r="H6463" s="1">
        <v>-1.8393879999999901E-6</v>
      </c>
      <c r="I6463">
        <v>-6.2988019999999896</v>
      </c>
      <c r="J6463">
        <v>-187.9</v>
      </c>
      <c r="K6463">
        <v>1.104751</v>
      </c>
      <c r="L6463">
        <v>-33.226199999999999</v>
      </c>
      <c r="M6463">
        <v>5.5607490000000002E-2</v>
      </c>
      <c r="N6463">
        <v>0</v>
      </c>
      <c r="O6463">
        <v>0.99845269999999997</v>
      </c>
      <c r="P6463">
        <v>-9.6723680000000006E-3</v>
      </c>
      <c r="Q6463">
        <v>9.1680029999999992E-3</v>
      </c>
      <c r="R6463">
        <v>0.999911199999999</v>
      </c>
      <c r="S6463">
        <v>-0.17158509999999999</v>
      </c>
      <c r="T6463">
        <v>-0.1218325</v>
      </c>
      <c r="U6463">
        <v>3.0002439999999999</v>
      </c>
      <c r="V6463">
        <v>-6.5295610000000004E-2</v>
      </c>
      <c r="W6463">
        <v>8.8054640000000007E-3</v>
      </c>
      <c r="X6463">
        <v>0.99782709999999997</v>
      </c>
      <c r="Y6463">
        <v>-0.11247889999999899</v>
      </c>
      <c r="Z6463">
        <v>-4.0318260000000002E-2</v>
      </c>
      <c r="AA6463">
        <v>0.99283580000000005</v>
      </c>
      <c r="AB6463">
        <v>27</v>
      </c>
      <c r="AC6463">
        <v>-1.5697999999999801</v>
      </c>
      <c r="AD6463">
        <v>-1.104752839388</v>
      </c>
      <c r="AE6463">
        <v>26.927398</v>
      </c>
      <c r="AF6463">
        <v>-3.0596035338718299</v>
      </c>
      <c r="AG6463">
        <v>-1.104752839388</v>
      </c>
      <c r="AH6463">
        <v>26.7535611099009</v>
      </c>
      <c r="AI6463">
        <v>92.349314007474206</v>
      </c>
      <c r="AJ6463">
        <v>96.524143224088107</v>
      </c>
      <c r="AK6463">
        <v>26.950597111786202</v>
      </c>
    </row>
    <row r="6464" spans="1:37" x14ac:dyDescent="0.2">
      <c r="A6464" t="str">
        <f>"20200111155727653"</f>
        <v>20200111155727653</v>
      </c>
      <c r="B6464" t="str">
        <f>"1578729447649238"</f>
        <v>1578729447649238</v>
      </c>
      <c r="C6464" t="s">
        <v>37</v>
      </c>
      <c r="D6464">
        <v>5.4248089999999998</v>
      </c>
      <c r="E6464">
        <v>0.49683080000000002</v>
      </c>
      <c r="F6464" t="s">
        <v>38</v>
      </c>
      <c r="G6464">
        <v>-189.52889999999999</v>
      </c>
      <c r="H6464" s="1">
        <v>-1.8876210000000001E-6</v>
      </c>
      <c r="I6464">
        <v>-6.1619000000000002</v>
      </c>
      <c r="J6464">
        <v>-187.88740000000001</v>
      </c>
      <c r="K6464">
        <v>1.1047</v>
      </c>
      <c r="L6464">
        <v>-32.961269999999999</v>
      </c>
      <c r="M6464">
        <v>5.3436379999999999E-2</v>
      </c>
      <c r="N6464">
        <v>0</v>
      </c>
      <c r="O6464">
        <v>0.99857129999999905</v>
      </c>
      <c r="P6464">
        <v>-1.2127020000000001E-2</v>
      </c>
      <c r="Q6464">
        <v>7.3409969999999897E-3</v>
      </c>
      <c r="R6464">
        <v>0.99989950000000005</v>
      </c>
      <c r="S6464">
        <v>-0.18054200000000001</v>
      </c>
      <c r="T6464">
        <v>-0.12244380000000001</v>
      </c>
      <c r="U6464">
        <v>2.9996339999999999</v>
      </c>
      <c r="V6464">
        <v>-6.5568249999999995E-2</v>
      </c>
      <c r="W6464">
        <v>6.9725580000000002E-3</v>
      </c>
      <c r="X6464">
        <v>0.99782369999999898</v>
      </c>
      <c r="Y6464">
        <v>-0.1132837</v>
      </c>
      <c r="Z6464">
        <v>-4.0530280000000002E-2</v>
      </c>
      <c r="AA6464">
        <v>0.9927357</v>
      </c>
      <c r="AB6464">
        <v>27</v>
      </c>
      <c r="AC6464">
        <v>-1.64149999999997</v>
      </c>
      <c r="AD6464">
        <v>-1.104701887621</v>
      </c>
      <c r="AE6464">
        <v>26.79937</v>
      </c>
      <c r="AF6464">
        <v>-3.0660256964696</v>
      </c>
      <c r="AG6464">
        <v>-1.104701887621</v>
      </c>
      <c r="AH6464">
        <v>26.628287444605899</v>
      </c>
      <c r="AI6464">
        <v>92.360037171205903</v>
      </c>
      <c r="AJ6464">
        <v>96.568207865152402</v>
      </c>
      <c r="AK6464">
        <v>26.826974709506199</v>
      </c>
    </row>
    <row r="6465" spans="1:37" x14ac:dyDescent="0.2">
      <c r="A6465" t="str">
        <f>"20200111155727675"</f>
        <v>20200111155727675</v>
      </c>
      <c r="B6465" t="str">
        <f>"1578729447669735"</f>
        <v>1578729447669735</v>
      </c>
      <c r="C6465" t="s">
        <v>37</v>
      </c>
      <c r="D6465">
        <v>5.3929869999999998</v>
      </c>
      <c r="E6465">
        <v>0.49762840000000003</v>
      </c>
      <c r="F6465" t="s">
        <v>38</v>
      </c>
      <c r="G6465">
        <v>-188.68279999999999</v>
      </c>
      <c r="H6465" s="1">
        <v>-1.327116E-6</v>
      </c>
      <c r="I6465">
        <v>2.1816719999999998</v>
      </c>
      <c r="J6465">
        <v>-187.8749</v>
      </c>
      <c r="K6465">
        <v>1.104635</v>
      </c>
      <c r="L6465">
        <v>-32.686859999999903</v>
      </c>
      <c r="M6465">
        <v>5.1288399999999998E-2</v>
      </c>
      <c r="N6465">
        <v>0</v>
      </c>
      <c r="O6465">
        <v>0.99868389999999996</v>
      </c>
      <c r="P6465">
        <v>-1.4241210000000001E-2</v>
      </c>
      <c r="Q6465">
        <v>5.120861E-3</v>
      </c>
      <c r="R6465">
        <v>0.99988549999999998</v>
      </c>
      <c r="S6465">
        <v>-6.7901610000000001E-2</v>
      </c>
      <c r="T6465">
        <v>-9.4309329999999997E-2</v>
      </c>
      <c r="U6465">
        <v>3.0001829999999998</v>
      </c>
      <c r="V6465">
        <v>-6.5523419999999999E-2</v>
      </c>
      <c r="W6465">
        <v>4.7538739999999999E-3</v>
      </c>
      <c r="X6465">
        <v>0.997839699999999</v>
      </c>
      <c r="Y6465">
        <v>-7.3861049999999998E-2</v>
      </c>
      <c r="Z6465">
        <v>-3.1310060000000001E-2</v>
      </c>
      <c r="AA6465">
        <v>0.99677689999999997</v>
      </c>
      <c r="AB6465">
        <v>27</v>
      </c>
      <c r="AC6465">
        <v>-0.80789999999998896</v>
      </c>
      <c r="AD6465">
        <v>-1.104636327116</v>
      </c>
      <c r="AE6465">
        <v>34.868531999999902</v>
      </c>
      <c r="AF6465">
        <v>-2.5925873093956602</v>
      </c>
      <c r="AG6465">
        <v>-1.104636327116</v>
      </c>
      <c r="AH6465">
        <v>34.746351484932603</v>
      </c>
      <c r="AI6465">
        <v>91.815857332574893</v>
      </c>
      <c r="AJ6465">
        <v>94.267198014964407</v>
      </c>
      <c r="AK6465">
        <v>34.860445663911101</v>
      </c>
    </row>
    <row r="6466" spans="1:37" x14ac:dyDescent="0.2">
      <c r="A6466" t="str">
        <f>"20200111155727698"</f>
        <v>20200111155727698</v>
      </c>
      <c r="B6466" t="str">
        <f>"1578729447690231"</f>
        <v>1578729447690231</v>
      </c>
      <c r="C6466" t="s">
        <v>37</v>
      </c>
      <c r="D6466">
        <v>5.4295359999999997</v>
      </c>
      <c r="E6466">
        <v>0.4979558</v>
      </c>
      <c r="F6466" t="s">
        <v>38</v>
      </c>
      <c r="G6466">
        <v>-188.60040000000001</v>
      </c>
      <c r="H6466" s="1">
        <v>-4.4109259999999999E-6</v>
      </c>
      <c r="I6466">
        <v>-0.66396429999999995</v>
      </c>
      <c r="J6466">
        <v>-187.8623</v>
      </c>
      <c r="K6466">
        <v>1.104555</v>
      </c>
      <c r="L6466">
        <v>-32.399540000000002</v>
      </c>
      <c r="M6466">
        <v>4.9153769999999999E-2</v>
      </c>
      <c r="N6466">
        <v>0</v>
      </c>
      <c r="O6466">
        <v>0.99879119999999999</v>
      </c>
      <c r="P6466">
        <v>-1.6232659999999999E-2</v>
      </c>
      <c r="Q6466">
        <v>2.3611560000000001E-3</v>
      </c>
      <c r="R6466">
        <v>0.99986549999999996</v>
      </c>
      <c r="S6466">
        <v>-6.7962649999999999E-2</v>
      </c>
      <c r="T6466">
        <v>-0.1034827</v>
      </c>
      <c r="U6466">
        <v>2.999908</v>
      </c>
      <c r="V6466">
        <v>-6.5367960000000003E-2</v>
      </c>
      <c r="W6466">
        <v>2.000632E-3</v>
      </c>
      <c r="X6466">
        <v>0.99785919999999895</v>
      </c>
      <c r="Y6466">
        <v>-7.1749450000000006E-2</v>
      </c>
      <c r="Z6466">
        <v>-3.4363440000000002E-2</v>
      </c>
      <c r="AA6466">
        <v>0.99683060000000001</v>
      </c>
      <c r="AB6466">
        <v>28</v>
      </c>
      <c r="AC6466">
        <v>-0.73810000000000198</v>
      </c>
      <c r="AD6466">
        <v>-1.104559410926</v>
      </c>
      <c r="AE6466">
        <v>31.735575699999998</v>
      </c>
      <c r="AF6466">
        <v>-2.2943531630712601</v>
      </c>
      <c r="AG6466">
        <v>-1.104559410926</v>
      </c>
      <c r="AH6466">
        <v>31.622647288736498</v>
      </c>
      <c r="AI6466">
        <v>91.995252195057503</v>
      </c>
      <c r="AJ6466">
        <v>94.149773118008895</v>
      </c>
      <c r="AK6466">
        <v>31.725004798691401</v>
      </c>
    </row>
    <row r="6467" spans="1:37" x14ac:dyDescent="0.2">
      <c r="A6467" t="str">
        <f>"20200111155727720"</f>
        <v>20200111155727720</v>
      </c>
      <c r="B6467" t="str">
        <f>"1578729447709750"</f>
        <v>1578729447709750</v>
      </c>
      <c r="C6467" t="s">
        <v>37</v>
      </c>
      <c r="D6467">
        <v>5.4365370000000004</v>
      </c>
      <c r="E6467">
        <v>0.49870529999999902</v>
      </c>
      <c r="F6467" t="s">
        <v>38</v>
      </c>
      <c r="G6467">
        <v>-188.56700000000001</v>
      </c>
      <c r="H6467" s="1">
        <v>-3.5329749999999998E-6</v>
      </c>
      <c r="I6467">
        <v>-2.7243009999999899</v>
      </c>
      <c r="J6467">
        <v>-187.85059999999999</v>
      </c>
      <c r="K6467">
        <v>1.1044780000000001</v>
      </c>
      <c r="L6467">
        <v>-32.124209999999998</v>
      </c>
      <c r="M6467">
        <v>4.7235439999999997E-2</v>
      </c>
      <c r="N6467">
        <v>0</v>
      </c>
      <c r="O6467">
        <v>0.99888379999999999</v>
      </c>
      <c r="P6467">
        <v>-1.8165230000000001E-2</v>
      </c>
      <c r="Q6467" s="1">
        <v>-2.9935709999999999E-5</v>
      </c>
      <c r="R6467">
        <v>0.99983500000000003</v>
      </c>
      <c r="S6467">
        <v>-7.1228029999999998E-2</v>
      </c>
      <c r="T6467">
        <v>-0.1116465</v>
      </c>
      <c r="U6467">
        <v>2.99951199999999</v>
      </c>
      <c r="V6467">
        <v>-6.5371890000000002E-2</v>
      </c>
      <c r="W6467">
        <v>-3.7943930000000002E-4</v>
      </c>
      <c r="X6467">
        <v>0.99786090000000005</v>
      </c>
      <c r="Y6467">
        <v>-7.0919090000000004E-2</v>
      </c>
      <c r="Z6467">
        <v>-3.708148E-2</v>
      </c>
      <c r="AA6467">
        <v>0.99679259999999903</v>
      </c>
      <c r="AB6467">
        <v>28</v>
      </c>
      <c r="AC6467">
        <v>-0.71640000000002102</v>
      </c>
      <c r="AD6467">
        <v>-1.104481532975</v>
      </c>
      <c r="AE6467">
        <v>29.399909000000001</v>
      </c>
      <c r="AF6467">
        <v>-2.1013540381647999</v>
      </c>
      <c r="AG6467">
        <v>-1.104481532975</v>
      </c>
      <c r="AH6467">
        <v>29.2919371605911</v>
      </c>
      <c r="AI6467">
        <v>92.153841302975195</v>
      </c>
      <c r="AJ6467">
        <v>94.103272959742</v>
      </c>
      <c r="AK6467">
        <v>29.387976297636001</v>
      </c>
    </row>
    <row r="6468" spans="1:37" x14ac:dyDescent="0.2">
      <c r="A6468" t="str">
        <f>"20200111155727742"</f>
        <v>20200111155727742</v>
      </c>
      <c r="B6468" t="str">
        <f>"1578729447740006"</f>
        <v>1578729447740006</v>
      </c>
      <c r="C6468" t="s">
        <v>37</v>
      </c>
      <c r="D6468">
        <v>5.397869</v>
      </c>
      <c r="E6468">
        <v>0.49940429999999902</v>
      </c>
      <c r="F6468" t="s">
        <v>38</v>
      </c>
      <c r="G6468">
        <v>-188.529</v>
      </c>
      <c r="H6468" s="1">
        <v>-3.2171559999999999E-6</v>
      </c>
      <c r="I6468">
        <v>-3.47619199999999</v>
      </c>
      <c r="J6468">
        <v>-187.83879999999999</v>
      </c>
      <c r="K6468">
        <v>1.104398</v>
      </c>
      <c r="L6468">
        <v>-31.83267</v>
      </c>
      <c r="M6468">
        <v>4.5335210000000001E-2</v>
      </c>
      <c r="N6468">
        <v>0</v>
      </c>
      <c r="O6468">
        <v>0.99897179999999997</v>
      </c>
      <c r="P6468">
        <v>-2.1155E-2</v>
      </c>
      <c r="Q6468">
        <v>-1.63352299999999E-3</v>
      </c>
      <c r="R6468">
        <v>0.99977490000000002</v>
      </c>
      <c r="S6468">
        <v>-7.1014399999999894E-2</v>
      </c>
      <c r="T6468">
        <v>-0.11562989999999999</v>
      </c>
      <c r="U6468">
        <v>2.9992070000000002</v>
      </c>
      <c r="V6468">
        <v>-6.6452319999999995E-2</v>
      </c>
      <c r="W6468">
        <v>-1.9711519999999999E-3</v>
      </c>
      <c r="X6468">
        <v>0.99778770000000006</v>
      </c>
      <c r="Y6468">
        <v>-6.8951730000000003E-2</v>
      </c>
      <c r="Z6468">
        <v>-3.8414219999999999E-2</v>
      </c>
      <c r="AA6468">
        <v>0.99688009999999905</v>
      </c>
      <c r="AB6468">
        <v>28</v>
      </c>
      <c r="AC6468">
        <v>-0.69020000000003201</v>
      </c>
      <c r="AD6468">
        <v>-1.104401217156</v>
      </c>
      <c r="AE6468">
        <v>28.356477999999999</v>
      </c>
      <c r="AF6468">
        <v>-1.97204770765614</v>
      </c>
      <c r="AG6468">
        <v>-1.104401217156</v>
      </c>
      <c r="AH6468">
        <v>28.253201239285001</v>
      </c>
      <c r="AI6468">
        <v>92.233091464936706</v>
      </c>
      <c r="AJ6468">
        <v>93.992717558408103</v>
      </c>
      <c r="AK6468">
        <v>28.343465816255801</v>
      </c>
    </row>
    <row r="6469" spans="1:37" x14ac:dyDescent="0.2">
      <c r="A6469" t="str">
        <f>"20200111155727764"</f>
        <v>20200111155727764</v>
      </c>
      <c r="B6469" t="str">
        <f>"1578729447759526"</f>
        <v>1578729447759526</v>
      </c>
      <c r="C6469" t="s">
        <v>37</v>
      </c>
      <c r="D6469">
        <v>5.4228639999999997</v>
      </c>
      <c r="E6469">
        <v>0.49967139999999999</v>
      </c>
      <c r="F6469" t="s">
        <v>38</v>
      </c>
      <c r="G6469">
        <v>-188.5359</v>
      </c>
      <c r="H6469" s="1">
        <v>-3.1542400000000001E-6</v>
      </c>
      <c r="I6469">
        <v>-3.6199859999999999</v>
      </c>
      <c r="J6469">
        <v>-187.82830000000001</v>
      </c>
      <c r="K6469">
        <v>1.1043259999999999</v>
      </c>
      <c r="L6469">
        <v>-31.56354</v>
      </c>
      <c r="M6469">
        <v>4.3677149999999998E-2</v>
      </c>
      <c r="N6469">
        <v>0</v>
      </c>
      <c r="O6469">
        <v>0.99904570000000004</v>
      </c>
      <c r="P6469">
        <v>-2.5283139999999999E-2</v>
      </c>
      <c r="Q6469">
        <v>-2.5357560000000001E-3</v>
      </c>
      <c r="R6469">
        <v>0.99967709999999999</v>
      </c>
      <c r="S6469">
        <v>-7.4096679999999998E-2</v>
      </c>
      <c r="T6469">
        <v>-0.1173936</v>
      </c>
      <c r="U6469">
        <v>2.998901</v>
      </c>
      <c r="V6469">
        <v>-6.8913180000000004E-2</v>
      </c>
      <c r="W6469">
        <v>-2.8648789999999999E-3</v>
      </c>
      <c r="X6469">
        <v>0.99761860000000002</v>
      </c>
      <c r="Y6469">
        <v>-6.8321820000000005E-2</v>
      </c>
      <c r="Z6469">
        <v>-3.900795E-2</v>
      </c>
      <c r="AA6469">
        <v>0.99690040000000002</v>
      </c>
      <c r="AB6469">
        <v>28</v>
      </c>
      <c r="AC6469">
        <v>-0.70759999999998502</v>
      </c>
      <c r="AD6469">
        <v>-1.10432915424</v>
      </c>
      <c r="AE6469">
        <v>27.943553999999999</v>
      </c>
      <c r="AF6469">
        <v>-1.9244158483554299</v>
      </c>
      <c r="AG6469">
        <v>-1.10432915424</v>
      </c>
      <c r="AH6469">
        <v>27.8425240311538</v>
      </c>
      <c r="AI6469">
        <v>92.265954361268797</v>
      </c>
      <c r="AJ6469">
        <v>93.953873765271396</v>
      </c>
      <c r="AK6469">
        <v>27.930790602195401</v>
      </c>
    </row>
    <row r="6470" spans="1:37" x14ac:dyDescent="0.2">
      <c r="A6470" t="str">
        <f>"20200111155727787"</f>
        <v>20200111155727787</v>
      </c>
      <c r="B6470" t="str">
        <f>"1578729447780022"</f>
        <v>1578729447780022</v>
      </c>
      <c r="C6470" t="s">
        <v>37</v>
      </c>
      <c r="D6470">
        <v>5.4050890000000003</v>
      </c>
      <c r="E6470">
        <v>0.50017939999999905</v>
      </c>
      <c r="F6470" t="s">
        <v>38</v>
      </c>
      <c r="G6470">
        <v>-188.61349999999999</v>
      </c>
      <c r="H6470" s="1">
        <v>-3.157722E-6</v>
      </c>
      <c r="I6470">
        <v>-3.5797949999999998</v>
      </c>
      <c r="J6470">
        <v>-187.81639999999999</v>
      </c>
      <c r="K6470">
        <v>1.104255</v>
      </c>
      <c r="L6470">
        <v>-31.250729999999901</v>
      </c>
      <c r="M6470">
        <v>4.1865390000000002E-2</v>
      </c>
      <c r="N6470">
        <v>0</v>
      </c>
      <c r="O6470">
        <v>0.99912330000000005</v>
      </c>
      <c r="P6470">
        <v>-3.00699E-2</v>
      </c>
      <c r="Q6470">
        <v>-3.2258569999999999E-3</v>
      </c>
      <c r="R6470">
        <v>0.99954259999999995</v>
      </c>
      <c r="S6470">
        <v>-8.4136959999999997E-2</v>
      </c>
      <c r="T6470">
        <v>-0.118331899999999</v>
      </c>
      <c r="U6470">
        <v>2.998535</v>
      </c>
      <c r="V6470">
        <v>-7.1879199999999893E-2</v>
      </c>
      <c r="W6470">
        <v>-3.5422909999999999E-3</v>
      </c>
      <c r="X6470">
        <v>0.99740709999999999</v>
      </c>
      <c r="Y6470">
        <v>-6.9850869999999995E-2</v>
      </c>
      <c r="Z6470">
        <v>-3.9324789999999998E-2</v>
      </c>
      <c r="AA6470">
        <v>0.99678199999999995</v>
      </c>
      <c r="AB6470">
        <v>29</v>
      </c>
      <c r="AC6470">
        <v>-0.79710000000000003</v>
      </c>
      <c r="AD6470">
        <v>-1.1042581577220001</v>
      </c>
      <c r="AE6470">
        <v>27.670934999999901</v>
      </c>
      <c r="AF6470">
        <v>-1.95174990450408</v>
      </c>
      <c r="AG6470">
        <v>-1.1042581577220001</v>
      </c>
      <c r="AH6470">
        <v>27.5694345423938</v>
      </c>
      <c r="AI6470">
        <v>92.287962405164606</v>
      </c>
      <c r="AJ6470">
        <v>94.049440115742001</v>
      </c>
      <c r="AK6470">
        <v>27.6604850781031</v>
      </c>
    </row>
    <row r="6471" spans="1:37" x14ac:dyDescent="0.2">
      <c r="A6471" t="str">
        <f>"20200111155727809"</f>
        <v>20200111155727809</v>
      </c>
      <c r="B6471" t="str">
        <f>"1578729447799543"</f>
        <v>1578729447799543</v>
      </c>
      <c r="C6471" t="s">
        <v>37</v>
      </c>
      <c r="D6471">
        <v>5.3661129999999897</v>
      </c>
      <c r="E6471">
        <v>0.50042900000000001</v>
      </c>
      <c r="F6471" t="s">
        <v>38</v>
      </c>
      <c r="G6471">
        <v>-188.6979</v>
      </c>
      <c r="H6471" s="1">
        <v>-3.2972910000000001E-6</v>
      </c>
      <c r="I6471">
        <v>-3.219538</v>
      </c>
      <c r="J6471">
        <v>-187.8064</v>
      </c>
      <c r="K6471">
        <v>1.1041989999999999</v>
      </c>
      <c r="L6471">
        <v>-30.97617</v>
      </c>
      <c r="M6471">
        <v>4.0371400000000002E-2</v>
      </c>
      <c r="N6471">
        <v>0</v>
      </c>
      <c r="O6471">
        <v>0.99918469999999904</v>
      </c>
      <c r="P6471">
        <v>-3.5001669999999999E-2</v>
      </c>
      <c r="Q6471">
        <v>-3.6507759999999901E-3</v>
      </c>
      <c r="R6471">
        <v>0.99938059999999995</v>
      </c>
      <c r="S6471">
        <v>-9.4284060000000003E-2</v>
      </c>
      <c r="T6471">
        <v>-0.118108399999999</v>
      </c>
      <c r="U6471">
        <v>2.998138</v>
      </c>
      <c r="V6471">
        <v>-7.5308200000000006E-2</v>
      </c>
      <c r="W6471">
        <v>-3.9560200000000002E-3</v>
      </c>
      <c r="X6471">
        <v>0.99715239999999905</v>
      </c>
      <c r="Y6471">
        <v>-7.1733560000000002E-2</v>
      </c>
      <c r="Z6471">
        <v>-3.9254850000000001E-2</v>
      </c>
      <c r="AA6471">
        <v>0.99665110000000001</v>
      </c>
      <c r="AB6471">
        <v>29</v>
      </c>
      <c r="AC6471">
        <v>-0.89150000000000695</v>
      </c>
      <c r="AD6471">
        <v>-1.1042022972909999</v>
      </c>
      <c r="AE6471">
        <v>27.756632</v>
      </c>
      <c r="AF6471">
        <v>-2.0081725344454902</v>
      </c>
      <c r="AG6471">
        <v>-1.1042022972909999</v>
      </c>
      <c r="AH6471">
        <v>27.654292261138298</v>
      </c>
      <c r="AI6471">
        <v>92.280537613711601</v>
      </c>
      <c r="AJ6471">
        <v>94.153358959300604</v>
      </c>
      <c r="AK6471">
        <v>27.749088275218998</v>
      </c>
    </row>
    <row r="6472" spans="1:37" x14ac:dyDescent="0.2">
      <c r="A6472" t="str">
        <f>"20200111155727843"</f>
        <v>20200111155727843</v>
      </c>
      <c r="B6472" t="str">
        <f>"1578729447839558"</f>
        <v>1578729447839558</v>
      </c>
      <c r="C6472" t="s">
        <v>37</v>
      </c>
      <c r="D6472">
        <v>5.620082</v>
      </c>
      <c r="E6472">
        <v>0.52852429999999995</v>
      </c>
      <c r="F6472" t="s">
        <v>38</v>
      </c>
      <c r="G6472">
        <v>-188.80459999999999</v>
      </c>
      <c r="H6472" s="1">
        <v>-3.3544629999999999E-6</v>
      </c>
      <c r="I6472">
        <v>-3.0421659999999999</v>
      </c>
      <c r="J6472">
        <v>-187.7912</v>
      </c>
      <c r="K6472">
        <v>1.1041219999999901</v>
      </c>
      <c r="L6472">
        <v>-30.541779999999999</v>
      </c>
      <c r="M6472">
        <v>3.8182309999999997E-2</v>
      </c>
      <c r="N6472">
        <v>0</v>
      </c>
      <c r="O6472">
        <v>0.99927080000000001</v>
      </c>
      <c r="P6472">
        <v>-3.9806090000000002E-2</v>
      </c>
      <c r="Q6472">
        <v>-1.719504E-3</v>
      </c>
      <c r="R6472">
        <v>0.99920589999999998</v>
      </c>
      <c r="S6472">
        <v>-0.1071167</v>
      </c>
      <c r="T6472">
        <v>-0.11849519999999999</v>
      </c>
      <c r="U6472">
        <v>2.997681</v>
      </c>
      <c r="V6472">
        <v>-7.7923530000000005E-2</v>
      </c>
      <c r="W6472">
        <v>-1.994315E-3</v>
      </c>
      <c r="X6472">
        <v>0.99695739999999999</v>
      </c>
      <c r="Y6472">
        <v>-7.3814539999999998E-2</v>
      </c>
      <c r="Z6472">
        <v>-3.9388479999999997E-2</v>
      </c>
      <c r="AA6472">
        <v>0.99649379999999999</v>
      </c>
      <c r="AB6472">
        <v>29</v>
      </c>
      <c r="AC6472">
        <v>-1.0133999999999901</v>
      </c>
      <c r="AD6472">
        <v>-1.1041253544630001</v>
      </c>
      <c r="AE6472">
        <v>27.499614000000001</v>
      </c>
      <c r="AF6472">
        <v>-2.05934449146591</v>
      </c>
      <c r="AG6472">
        <v>-1.1041253544630001</v>
      </c>
      <c r="AH6472">
        <v>27.396761479296998</v>
      </c>
      <c r="AI6472">
        <v>92.301360658169301</v>
      </c>
      <c r="AJ6472">
        <v>94.298693291608799</v>
      </c>
      <c r="AK6472">
        <v>27.4962275973703</v>
      </c>
    </row>
    <row r="6473" spans="1:37" x14ac:dyDescent="0.2">
      <c r="A6473" t="str">
        <f>"20200111155727864"</f>
        <v>20200111155727864</v>
      </c>
      <c r="B6473" t="str">
        <f>"1578729447860054"</f>
        <v>1578729447860054</v>
      </c>
      <c r="C6473" t="s">
        <v>37</v>
      </c>
      <c r="D6473">
        <v>5.5585120000000003</v>
      </c>
      <c r="E6473">
        <v>0.55894889999999997</v>
      </c>
      <c r="F6473" t="s">
        <v>40</v>
      </c>
      <c r="G6473">
        <v>-187.761</v>
      </c>
      <c r="H6473">
        <v>1.0372520000000001</v>
      </c>
      <c r="I6473">
        <v>-29.607949999999999</v>
      </c>
      <c r="J6473">
        <v>-187.78110000000001</v>
      </c>
      <c r="K6473">
        <v>1.104077</v>
      </c>
      <c r="L6473">
        <v>-30.24033</v>
      </c>
      <c r="M6473">
        <v>3.6784199999999899E-2</v>
      </c>
      <c r="N6473">
        <v>0</v>
      </c>
      <c r="O6473">
        <v>0.99932319999999997</v>
      </c>
      <c r="P6473">
        <v>-4.1499979999999999E-2</v>
      </c>
      <c r="Q6473">
        <v>8.8471630000000001E-4</v>
      </c>
      <c r="R6473">
        <v>0.99913809999999903</v>
      </c>
      <c r="S6473">
        <v>9.6832280000000007E-2</v>
      </c>
      <c r="T6473">
        <v>-0.215252</v>
      </c>
      <c r="U6473">
        <v>3.0058590000000001</v>
      </c>
      <c r="V6473">
        <v>-7.8226480000000001E-2</v>
      </c>
      <c r="W6473">
        <v>6.3783350000000004E-4</v>
      </c>
      <c r="X6473">
        <v>0.99693539999999903</v>
      </c>
      <c r="Y6473">
        <v>-4.6712009999999998E-3</v>
      </c>
      <c r="Z6473">
        <v>-7.1336720000000006E-2</v>
      </c>
      <c r="AA6473">
        <v>0.99744140000000003</v>
      </c>
      <c r="AB6473">
        <v>29</v>
      </c>
      <c r="AC6473">
        <v>2.0100000000013499E-2</v>
      </c>
      <c r="AD6473">
        <v>-6.6824999999999898E-2</v>
      </c>
      <c r="AE6473">
        <v>0.63238000000000105</v>
      </c>
      <c r="AF6473">
        <v>-3.1401665258855901E-3</v>
      </c>
      <c r="AG6473">
        <v>-6.6824999999999898E-2</v>
      </c>
      <c r="AH6473">
        <v>0.62571135965204205</v>
      </c>
      <c r="AI6473">
        <v>96.095917245183301</v>
      </c>
      <c r="AJ6473">
        <v>90.287539575047902</v>
      </c>
      <c r="AK6473">
        <v>0.62927748002643302</v>
      </c>
    </row>
    <row r="6474" spans="1:37" x14ac:dyDescent="0.2">
      <c r="A6474" t="str">
        <f>"20200111155727888"</f>
        <v>20200111155727888</v>
      </c>
      <c r="B6474" t="str">
        <f>"1578729447879575"</f>
        <v>1578729447879575</v>
      </c>
      <c r="C6474" t="s">
        <v>37</v>
      </c>
      <c r="D6474">
        <v>5.5300539999999998</v>
      </c>
      <c r="E6474">
        <v>0.55931660000000005</v>
      </c>
      <c r="F6474" t="s">
        <v>40</v>
      </c>
      <c r="G6474">
        <v>-187.6943</v>
      </c>
      <c r="H6474">
        <v>0.92340089999999997</v>
      </c>
      <c r="I6474">
        <v>-29.398319999999998</v>
      </c>
      <c r="J6474">
        <v>-187.77109999999999</v>
      </c>
      <c r="K6474">
        <v>1.1040379999999901</v>
      </c>
      <c r="L6474">
        <v>-29.934719999999999</v>
      </c>
      <c r="M6474">
        <v>3.544564E-2</v>
      </c>
      <c r="N6474">
        <v>0</v>
      </c>
      <c r="O6474">
        <v>0.99937160000000003</v>
      </c>
      <c r="P6474">
        <v>-4.2501379999999998E-2</v>
      </c>
      <c r="Q6474">
        <v>3.6953020000000001E-3</v>
      </c>
      <c r="R6474">
        <v>0.99908960000000002</v>
      </c>
      <c r="S6474">
        <v>0.3104401</v>
      </c>
      <c r="T6474">
        <v>-0.64717969999999903</v>
      </c>
      <c r="U6474">
        <v>3.0160520000000002</v>
      </c>
      <c r="V6474">
        <v>-7.7897060000000004E-2</v>
      </c>
      <c r="W6474">
        <v>3.4783449999999999E-3</v>
      </c>
      <c r="X6474">
        <v>0.99695529999999999</v>
      </c>
      <c r="Y6474">
        <v>6.4805909999999994E-2</v>
      </c>
      <c r="Z6474">
        <v>-0.20886269999999901</v>
      </c>
      <c r="AA6474">
        <v>0.97579530000000003</v>
      </c>
      <c r="AB6474">
        <v>30</v>
      </c>
      <c r="AC6474">
        <v>7.67999999999915E-2</v>
      </c>
      <c r="AD6474">
        <v>-0.180637099999999</v>
      </c>
      <c r="AE6474">
        <v>0.53639999999999999</v>
      </c>
      <c r="AF6474">
        <v>5.1964037810515097E-2</v>
      </c>
      <c r="AG6474">
        <v>-0.180637099999999</v>
      </c>
      <c r="AH6474">
        <v>0.48489926427506502</v>
      </c>
      <c r="AI6474">
        <v>110.324839654261</v>
      </c>
      <c r="AJ6474">
        <v>83.8832645542969</v>
      </c>
      <c r="AK6474">
        <v>0.52005511209532596</v>
      </c>
    </row>
    <row r="6475" spans="1:37" x14ac:dyDescent="0.2">
      <c r="A6475" t="str">
        <f>"20200111155727911"</f>
        <v>20200111155727911</v>
      </c>
      <c r="B6475" t="str">
        <f>"1578729447900072"</f>
        <v>1578729447900072</v>
      </c>
      <c r="C6475" t="s">
        <v>37</v>
      </c>
      <c r="D6475">
        <v>5.5142699999999998</v>
      </c>
      <c r="E6475">
        <v>0.5594365</v>
      </c>
      <c r="F6475" t="s">
        <v>40</v>
      </c>
      <c r="G6475">
        <v>-187.6876</v>
      </c>
      <c r="H6475">
        <v>0.93349340000000003</v>
      </c>
      <c r="I6475">
        <v>-29.125219999999999</v>
      </c>
      <c r="J6475">
        <v>-187.7612</v>
      </c>
      <c r="K6475">
        <v>1.103993</v>
      </c>
      <c r="L6475">
        <v>-29.619509999999998</v>
      </c>
      <c r="M6475">
        <v>3.4147950000000003E-2</v>
      </c>
      <c r="N6475">
        <v>0</v>
      </c>
      <c r="O6475">
        <v>0.99941679999999999</v>
      </c>
      <c r="P6475">
        <v>-4.2698819999999998E-2</v>
      </c>
      <c r="Q6475">
        <v>5.1208959999999998E-3</v>
      </c>
      <c r="R6475">
        <v>0.99907489999999999</v>
      </c>
      <c r="S6475">
        <v>0.3110504</v>
      </c>
      <c r="T6475">
        <v>-0.6359051</v>
      </c>
      <c r="U6475">
        <v>3.0183110000000002</v>
      </c>
      <c r="V6475">
        <v>-7.6802690000000007E-2</v>
      </c>
      <c r="W6475">
        <v>4.937454E-3</v>
      </c>
      <c r="X6475">
        <v>0.99703410000000003</v>
      </c>
      <c r="Y6475">
        <v>6.6301100000000002E-2</v>
      </c>
      <c r="Z6475">
        <v>-0.20523440000000001</v>
      </c>
      <c r="AA6475">
        <v>0.97646460000000002</v>
      </c>
      <c r="AB6475">
        <v>30</v>
      </c>
      <c r="AC6475">
        <v>7.3599999999999E-2</v>
      </c>
      <c r="AD6475">
        <v>-0.170499599999999</v>
      </c>
      <c r="AE6475">
        <v>0.49428999999999501</v>
      </c>
      <c r="AF6475">
        <v>5.0768540450049401E-2</v>
      </c>
      <c r="AG6475">
        <v>-0.170499599999999</v>
      </c>
      <c r="AH6475">
        <v>0.44474583552139602</v>
      </c>
      <c r="AI6475">
        <v>110.85136372168699</v>
      </c>
      <c r="AJ6475">
        <v>83.4877718091128</v>
      </c>
      <c r="AK6475">
        <v>0.47900565394701999</v>
      </c>
    </row>
    <row r="6476" spans="1:37" x14ac:dyDescent="0.2">
      <c r="A6476" t="str">
        <f>"20200111155727932"</f>
        <v>20200111155727932</v>
      </c>
      <c r="B6476" t="str">
        <f>"1578729447929350"</f>
        <v>1578729447929350</v>
      </c>
      <c r="C6476" t="s">
        <v>37</v>
      </c>
      <c r="D6476">
        <v>5.5430890000000002</v>
      </c>
      <c r="E6476">
        <v>0.56009509999999996</v>
      </c>
      <c r="F6476" t="s">
        <v>40</v>
      </c>
      <c r="G6476">
        <v>-187.68170000000001</v>
      </c>
      <c r="H6476">
        <v>0.94256569999999995</v>
      </c>
      <c r="I6476">
        <v>-28.850639999999999</v>
      </c>
      <c r="J6476">
        <v>-187.7525</v>
      </c>
      <c r="K6476">
        <v>1.1039490000000001</v>
      </c>
      <c r="L6476">
        <v>-29.334050000000001</v>
      </c>
      <c r="M6476">
        <v>3.304733E-2</v>
      </c>
      <c r="N6476">
        <v>0</v>
      </c>
      <c r="O6476">
        <v>0.99945379999999995</v>
      </c>
      <c r="P6476">
        <v>-4.1828820000000003E-2</v>
      </c>
      <c r="Q6476">
        <v>5.10189999999999E-3</v>
      </c>
      <c r="R6476">
        <v>0.99911179999999999</v>
      </c>
      <c r="S6476">
        <v>0.31211850000000002</v>
      </c>
      <c r="T6476">
        <v>-0.63393599999999894</v>
      </c>
      <c r="U6476">
        <v>3.0193789999999998</v>
      </c>
      <c r="V6476">
        <v>-7.4835699999999894E-2</v>
      </c>
      <c r="W6476">
        <v>4.9522359999999996E-3</v>
      </c>
      <c r="X6476">
        <v>0.99718359999999995</v>
      </c>
      <c r="Y6476">
        <v>6.7721000000000003E-2</v>
      </c>
      <c r="Z6476">
        <v>-0.2045545</v>
      </c>
      <c r="AA6476">
        <v>0.97650969999999904</v>
      </c>
      <c r="AB6476">
        <v>30</v>
      </c>
      <c r="AC6476">
        <v>7.07999999999913E-2</v>
      </c>
      <c r="AD6476">
        <v>-0.16138330000000001</v>
      </c>
      <c r="AE6476">
        <v>0.48340999999999901</v>
      </c>
      <c r="AF6476">
        <v>4.9396243700022803E-2</v>
      </c>
      <c r="AG6476">
        <v>-0.16138330000000001</v>
      </c>
      <c r="AH6476">
        <v>0.43772507414849998</v>
      </c>
      <c r="AI6476">
        <v>110.120868676211</v>
      </c>
      <c r="AJ6476">
        <v>83.561544392580601</v>
      </c>
      <c r="AK6476">
        <v>0.46913516064016297</v>
      </c>
    </row>
    <row r="6477" spans="1:37" x14ac:dyDescent="0.2">
      <c r="A6477" t="str">
        <f>"20200111155727955"</f>
        <v>20200111155727955</v>
      </c>
      <c r="B6477" t="str">
        <f>"1578729447949847"</f>
        <v>1578729447949847</v>
      </c>
      <c r="C6477" t="s">
        <v>37</v>
      </c>
      <c r="D6477">
        <v>5.5502709999999897</v>
      </c>
      <c r="E6477">
        <v>0.56030939999999996</v>
      </c>
      <c r="F6477" t="s">
        <v>40</v>
      </c>
      <c r="G6477">
        <v>-187.67230000000001</v>
      </c>
      <c r="H6477">
        <v>0.94374999999999998</v>
      </c>
      <c r="I6477">
        <v>-28.57817</v>
      </c>
      <c r="J6477">
        <v>-187.74299999999999</v>
      </c>
      <c r="K6477">
        <v>1.1038939999999999</v>
      </c>
      <c r="L6477">
        <v>-29.013089999999998</v>
      </c>
      <c r="M6477">
        <v>3.1894899999999997E-2</v>
      </c>
      <c r="N6477">
        <v>0</v>
      </c>
      <c r="O6477">
        <v>0.99949120000000002</v>
      </c>
      <c r="P6477">
        <v>-4.1291349999999997E-2</v>
      </c>
      <c r="Q6477">
        <v>5.6768290000000004E-3</v>
      </c>
      <c r="R6477">
        <v>0.99913099999999999</v>
      </c>
      <c r="S6477">
        <v>0.31990049999999998</v>
      </c>
      <c r="T6477">
        <v>-0.63992510000000002</v>
      </c>
      <c r="U6477">
        <v>3.0193180000000002</v>
      </c>
      <c r="V6477">
        <v>-7.3149749999999999E-2</v>
      </c>
      <c r="W6477">
        <v>5.5654399999999996E-3</v>
      </c>
      <c r="X6477">
        <v>0.99730549999999996</v>
      </c>
      <c r="Y6477">
        <v>7.1322360000000001E-2</v>
      </c>
      <c r="Z6477">
        <v>-0.20636789999999999</v>
      </c>
      <c r="AA6477">
        <v>0.97587159999999995</v>
      </c>
      <c r="AB6477">
        <v>30</v>
      </c>
      <c r="AC6477">
        <v>7.0699999999987995E-2</v>
      </c>
      <c r="AD6477">
        <v>-0.16014400000000001</v>
      </c>
      <c r="AE6477">
        <v>0.43492000000000097</v>
      </c>
      <c r="AF6477">
        <v>5.0165816123966499E-2</v>
      </c>
      <c r="AG6477">
        <v>-0.16014400000000001</v>
      </c>
      <c r="AH6477">
        <v>0.38597026129978101</v>
      </c>
      <c r="AI6477">
        <v>112.364814527939</v>
      </c>
      <c r="AJ6477">
        <v>82.594594065891798</v>
      </c>
      <c r="AK6477">
        <v>0.42087498434951498</v>
      </c>
    </row>
    <row r="6478" spans="1:37" x14ac:dyDescent="0.2">
      <c r="A6478" t="str">
        <f>"20200111155727977"</f>
        <v>20200111155727977</v>
      </c>
      <c r="B6478" t="str">
        <f>"1578729447969366"</f>
        <v>1578729447969366</v>
      </c>
      <c r="C6478" t="s">
        <v>37</v>
      </c>
      <c r="D6478">
        <v>5.5620719999999997</v>
      </c>
      <c r="E6478">
        <v>0.56043580000000004</v>
      </c>
      <c r="F6478" t="s">
        <v>40</v>
      </c>
      <c r="G6478">
        <v>-187.66650000000001</v>
      </c>
      <c r="H6478">
        <v>0.95273209999999997</v>
      </c>
      <c r="I6478">
        <v>-28.30003</v>
      </c>
      <c r="J6478">
        <v>-187.7346</v>
      </c>
      <c r="K6478">
        <v>1.103845</v>
      </c>
      <c r="L6478">
        <v>-28.72214</v>
      </c>
      <c r="M6478">
        <v>3.0934730000000001E-2</v>
      </c>
      <c r="N6478">
        <v>0</v>
      </c>
      <c r="O6478">
        <v>0.9995214</v>
      </c>
      <c r="P6478">
        <v>-4.0923880000000003E-2</v>
      </c>
      <c r="Q6478">
        <v>6.8273589999999999E-3</v>
      </c>
      <c r="R6478">
        <v>0.999138999999999</v>
      </c>
      <c r="S6478">
        <v>0.32347109999999901</v>
      </c>
      <c r="T6478">
        <v>-0.64013580000000003</v>
      </c>
      <c r="U6478">
        <v>3.0196230000000002</v>
      </c>
      <c r="V6478">
        <v>-7.1826639999999997E-2</v>
      </c>
      <c r="W6478">
        <v>6.7517879999999999E-3</v>
      </c>
      <c r="X6478">
        <v>0.99739429999999996</v>
      </c>
      <c r="Y6478">
        <v>7.3410379999999997E-2</v>
      </c>
      <c r="Z6478">
        <v>-0.206394299999999</v>
      </c>
      <c r="AA6478">
        <v>0.975711199999999</v>
      </c>
      <c r="AB6478">
        <v>30</v>
      </c>
      <c r="AC6478">
        <v>6.8099999999986893E-2</v>
      </c>
      <c r="AD6478">
        <v>-0.15111289999999999</v>
      </c>
      <c r="AE6478">
        <v>0.42211000000000298</v>
      </c>
      <c r="AF6478">
        <v>4.89013473157274E-2</v>
      </c>
      <c r="AG6478">
        <v>-0.15111289999999999</v>
      </c>
      <c r="AH6478">
        <v>0.37693250406401402</v>
      </c>
      <c r="AI6478">
        <v>111.681280515919</v>
      </c>
      <c r="AJ6478">
        <v>82.608018093286802</v>
      </c>
      <c r="AK6478">
        <v>0.40902880453052598</v>
      </c>
    </row>
    <row r="6479" spans="1:37" x14ac:dyDescent="0.2">
      <c r="A6479" t="str">
        <f>"20200111155728000"</f>
        <v>20200111155728000</v>
      </c>
      <c r="B6479" t="str">
        <f>"1578729447989863"</f>
        <v>1578729447989863</v>
      </c>
      <c r="C6479" t="s">
        <v>37</v>
      </c>
      <c r="D6479">
        <v>5.5540729999999998</v>
      </c>
      <c r="E6479">
        <v>0.56058319999999995</v>
      </c>
      <c r="F6479" t="s">
        <v>40</v>
      </c>
      <c r="G6479">
        <v>-187.65899999999999</v>
      </c>
      <c r="H6479">
        <v>0.95614399999999999</v>
      </c>
      <c r="I6479">
        <v>-28.022839999999999</v>
      </c>
      <c r="J6479">
        <v>-187.72569999999999</v>
      </c>
      <c r="K6479">
        <v>1.103783</v>
      </c>
      <c r="L6479">
        <v>-28.403229999999901</v>
      </c>
      <c r="M6479">
        <v>2.9984009999999998E-2</v>
      </c>
      <c r="N6479">
        <v>0</v>
      </c>
      <c r="O6479">
        <v>0.99955039999999995</v>
      </c>
      <c r="P6479">
        <v>-4.0731400000000001E-2</v>
      </c>
      <c r="Q6479">
        <v>8.3409829999999997E-3</v>
      </c>
      <c r="R6479">
        <v>0.99913529999999995</v>
      </c>
      <c r="S6479">
        <v>0.3262177</v>
      </c>
      <c r="T6479">
        <v>-0.63793180000000005</v>
      </c>
      <c r="U6479">
        <v>3.0202939999999998</v>
      </c>
      <c r="V6479">
        <v>-7.0687199999999895E-2</v>
      </c>
      <c r="W6479">
        <v>8.30528E-3</v>
      </c>
      <c r="X6479">
        <v>0.99746389999999996</v>
      </c>
      <c r="Y6479">
        <v>7.522964E-2</v>
      </c>
      <c r="Z6479">
        <v>-0.2056557</v>
      </c>
      <c r="AA6479">
        <v>0.97572859999999995</v>
      </c>
      <c r="AB6479">
        <v>31</v>
      </c>
      <c r="AC6479">
        <v>6.6699999999968895E-2</v>
      </c>
      <c r="AD6479">
        <v>-0.14763899999999899</v>
      </c>
      <c r="AE6479">
        <v>0.38038999999999401</v>
      </c>
      <c r="AF6479">
        <v>4.82175110364748E-2</v>
      </c>
      <c r="AG6479">
        <v>-0.14763899999999899</v>
      </c>
      <c r="AH6479">
        <v>0.33348134566531101</v>
      </c>
      <c r="AI6479">
        <v>113.661303481719</v>
      </c>
      <c r="AJ6479">
        <v>81.772715339875205</v>
      </c>
      <c r="AK6479">
        <v>0.36787499316792299</v>
      </c>
    </row>
    <row r="6480" spans="1:37" x14ac:dyDescent="0.2">
      <c r="A6480" t="str">
        <f>"20200111155728022"</f>
        <v>20200111155728022</v>
      </c>
      <c r="B6480" t="str">
        <f>"1578729448009382"</f>
        <v>1578729448009382</v>
      </c>
      <c r="C6480" t="s">
        <v>37</v>
      </c>
      <c r="D6480">
        <v>5.6307769999999904</v>
      </c>
      <c r="E6480">
        <v>0.57539549999999995</v>
      </c>
      <c r="F6480" t="s">
        <v>40</v>
      </c>
      <c r="G6480">
        <v>-187.6259</v>
      </c>
      <c r="H6480">
        <v>0.91179200000000005</v>
      </c>
      <c r="I6480">
        <v>-27.487509999999901</v>
      </c>
      <c r="J6480">
        <v>-187.7175</v>
      </c>
      <c r="K6480">
        <v>1.1037159999999999</v>
      </c>
      <c r="L6480">
        <v>-28.10745</v>
      </c>
      <c r="M6480">
        <v>2.920205E-2</v>
      </c>
      <c r="N6480">
        <v>0</v>
      </c>
      <c r="O6480">
        <v>0.9995735</v>
      </c>
      <c r="P6480">
        <v>-4.0073190000000002E-2</v>
      </c>
      <c r="Q6480">
        <v>8.8555470000000001E-3</v>
      </c>
      <c r="R6480">
        <v>0.99915750000000003</v>
      </c>
      <c r="S6480">
        <v>0.32867429999999997</v>
      </c>
      <c r="T6480">
        <v>-0.63344500000000004</v>
      </c>
      <c r="U6480">
        <v>3.021271</v>
      </c>
      <c r="V6480">
        <v>-6.9248970000000007E-2</v>
      </c>
      <c r="W6480">
        <v>8.8588669999999994E-3</v>
      </c>
      <c r="X6480">
        <v>0.99756009999999995</v>
      </c>
      <c r="Y6480">
        <v>7.6793169999999994E-2</v>
      </c>
      <c r="Z6480">
        <v>-0.20419329999999999</v>
      </c>
      <c r="AA6480">
        <v>0.9759139</v>
      </c>
      <c r="AB6480">
        <v>31</v>
      </c>
      <c r="AC6480">
        <v>9.1599999999999598E-2</v>
      </c>
      <c r="AD6480">
        <v>-0.19192399999999901</v>
      </c>
      <c r="AE6480">
        <v>0.61994000000000304</v>
      </c>
      <c r="AF6480">
        <v>6.715830141095E-2</v>
      </c>
      <c r="AG6480">
        <v>-0.19192399999999901</v>
      </c>
      <c r="AH6480">
        <v>0.56898276933881098</v>
      </c>
      <c r="AI6480">
        <v>108.52009585554801</v>
      </c>
      <c r="AJ6480">
        <v>83.268397128342599</v>
      </c>
      <c r="AK6480">
        <v>0.60422384182425903</v>
      </c>
    </row>
    <row r="6481" spans="1:37" x14ac:dyDescent="0.2">
      <c r="A6481" t="str">
        <f>"20200111155728043"</f>
        <v>20200111155728043</v>
      </c>
      <c r="B6481" t="str">
        <f>"1578729448039639"</f>
        <v>1578729448039639</v>
      </c>
      <c r="C6481" t="s">
        <v>37</v>
      </c>
      <c r="D6481">
        <v>5.511482</v>
      </c>
      <c r="E6481">
        <v>0.57561200000000001</v>
      </c>
      <c r="F6481" t="s">
        <v>40</v>
      </c>
      <c r="G6481">
        <v>-187.5847</v>
      </c>
      <c r="H6481">
        <v>0.90427679999999999</v>
      </c>
      <c r="I6481">
        <v>-27.209409999999998</v>
      </c>
      <c r="J6481">
        <v>-187.70930000000001</v>
      </c>
      <c r="K6481">
        <v>1.1036569999999899</v>
      </c>
      <c r="L6481">
        <v>-27.80237</v>
      </c>
      <c r="M6481">
        <v>2.8480720000000001E-2</v>
      </c>
      <c r="N6481">
        <v>0</v>
      </c>
      <c r="O6481">
        <v>0.99959430000000005</v>
      </c>
      <c r="P6481">
        <v>-3.9977609999999997E-2</v>
      </c>
      <c r="Q6481">
        <v>8.3927889999999995E-3</v>
      </c>
      <c r="R6481">
        <v>0.99916539999999998</v>
      </c>
      <c r="S6481">
        <v>0.44744869999999998</v>
      </c>
      <c r="T6481">
        <v>-0.67211379999999998</v>
      </c>
      <c r="U6481">
        <v>3.0264279999999899</v>
      </c>
      <c r="V6481">
        <v>-6.8431989999999998E-2</v>
      </c>
      <c r="W6481">
        <v>8.4354519999999995E-3</v>
      </c>
      <c r="X6481">
        <v>0.99762009999999901</v>
      </c>
      <c r="Y6481">
        <v>0.114608999999999</v>
      </c>
      <c r="Z6481">
        <v>-0.2148467</v>
      </c>
      <c r="AA6481">
        <v>0.96989979999999998</v>
      </c>
      <c r="AB6481">
        <v>31</v>
      </c>
      <c r="AC6481">
        <v>0.124600000000015</v>
      </c>
      <c r="AD6481">
        <v>-0.19938019999999901</v>
      </c>
      <c r="AE6481">
        <v>0.59296000000000104</v>
      </c>
      <c r="AF6481">
        <v>9.7142898128782296E-2</v>
      </c>
      <c r="AG6481">
        <v>-0.19938019999999901</v>
      </c>
      <c r="AH6481">
        <v>0.53801222090093803</v>
      </c>
      <c r="AI6481">
        <v>110.03639222344</v>
      </c>
      <c r="AJ6481">
        <v>79.765011319777003</v>
      </c>
      <c r="AK6481">
        <v>0.58193329226609702</v>
      </c>
    </row>
    <row r="6482" spans="1:37" x14ac:dyDescent="0.2">
      <c r="A6482" t="str">
        <f>"20200111155728066"</f>
        <v>20200111155728066</v>
      </c>
      <c r="B6482" t="str">
        <f>"1578729448060134"</f>
        <v>1578729448060134</v>
      </c>
      <c r="C6482" t="s">
        <v>37</v>
      </c>
      <c r="D6482">
        <v>5.5015229999999997</v>
      </c>
      <c r="E6482">
        <v>0.57546869999999894</v>
      </c>
      <c r="F6482" t="s">
        <v>40</v>
      </c>
      <c r="G6482">
        <v>-187.57919999999999</v>
      </c>
      <c r="H6482">
        <v>0.90686699999999998</v>
      </c>
      <c r="I6482">
        <v>-26.925689999999999</v>
      </c>
      <c r="J6482">
        <v>-187.7004</v>
      </c>
      <c r="K6482">
        <v>1.1035820000000001</v>
      </c>
      <c r="L6482">
        <v>-27.464200000000002</v>
      </c>
      <c r="M6482">
        <v>2.779015E-2</v>
      </c>
      <c r="N6482">
        <v>0</v>
      </c>
      <c r="O6482">
        <v>0.9996138</v>
      </c>
      <c r="P6482">
        <v>-3.9840239999999999E-2</v>
      </c>
      <c r="Q6482">
        <v>8.62104E-3</v>
      </c>
      <c r="R6482">
        <v>0.99916890000000003</v>
      </c>
      <c r="S6482">
        <v>0.44902039999999999</v>
      </c>
      <c r="T6482">
        <v>-0.67928840000000001</v>
      </c>
      <c r="U6482">
        <v>3.0261840000000002</v>
      </c>
      <c r="V6482">
        <v>-6.7604559999999994E-2</v>
      </c>
      <c r="W6482">
        <v>8.7077149999999996E-3</v>
      </c>
      <c r="X6482">
        <v>0.99767419999999996</v>
      </c>
      <c r="Y6482">
        <v>0.115728199999999</v>
      </c>
      <c r="Z6482">
        <v>-0.2170327</v>
      </c>
      <c r="AA6482">
        <v>0.96928009999999998</v>
      </c>
      <c r="AB6482">
        <v>31</v>
      </c>
      <c r="AC6482">
        <v>0.121200000000015</v>
      </c>
      <c r="AD6482">
        <v>-0.196715</v>
      </c>
      <c r="AE6482">
        <v>0.53850999999999805</v>
      </c>
      <c r="AF6482">
        <v>9.4221172539499395E-2</v>
      </c>
      <c r="AG6482">
        <v>-0.196715</v>
      </c>
      <c r="AH6482">
        <v>0.48062718724500902</v>
      </c>
      <c r="AI6482">
        <v>111.882522605706</v>
      </c>
      <c r="AJ6482">
        <v>78.908510081448497</v>
      </c>
      <c r="AK6482">
        <v>0.52780385911697103</v>
      </c>
    </row>
    <row r="6483" spans="1:37" x14ac:dyDescent="0.2">
      <c r="A6483" t="str">
        <f>"20200111155728089"</f>
        <v>20200111155728089</v>
      </c>
      <c r="B6483" t="str">
        <f>"1578729448079654"</f>
        <v>1578729448079654</v>
      </c>
      <c r="C6483" t="s">
        <v>37</v>
      </c>
      <c r="D6483">
        <v>5.4778500000000001</v>
      </c>
      <c r="E6483">
        <v>0.57491210000000004</v>
      </c>
      <c r="F6483" t="s">
        <v>40</v>
      </c>
      <c r="G6483">
        <v>-187.5779</v>
      </c>
      <c r="H6483">
        <v>0.91703570000000001</v>
      </c>
      <c r="I6483">
        <v>-26.637139999999999</v>
      </c>
      <c r="J6483">
        <v>-187.69200000000001</v>
      </c>
      <c r="K6483">
        <v>1.1035090000000001</v>
      </c>
      <c r="L6483">
        <v>-27.143920000000001</v>
      </c>
      <c r="M6483">
        <v>2.7246880000000001E-2</v>
      </c>
      <c r="N6483">
        <v>0</v>
      </c>
      <c r="O6483">
        <v>0.99962870000000004</v>
      </c>
      <c r="P6483">
        <v>-4.084376E-2</v>
      </c>
      <c r="Q6483">
        <v>8.6985550000000002E-3</v>
      </c>
      <c r="R6483">
        <v>0.99912769999999995</v>
      </c>
      <c r="S6483">
        <v>0.44790649999999999</v>
      </c>
      <c r="T6483">
        <v>-0.6825755</v>
      </c>
      <c r="U6483">
        <v>3.0262449999999999</v>
      </c>
      <c r="V6483">
        <v>-6.8063079999999998E-2</v>
      </c>
      <c r="W6483">
        <v>8.8269200000000003E-3</v>
      </c>
      <c r="X6483">
        <v>0.99764200000000003</v>
      </c>
      <c r="Y6483">
        <v>0.11588319999999901</v>
      </c>
      <c r="Z6483">
        <v>-0.21803690000000001</v>
      </c>
      <c r="AA6483">
        <v>0.96903609999999896</v>
      </c>
      <c r="AB6483">
        <v>32</v>
      </c>
      <c r="AC6483">
        <v>0.114100000000007</v>
      </c>
      <c r="AD6483">
        <v>-0.18647330000000001</v>
      </c>
      <c r="AE6483">
        <v>0.50677999999999901</v>
      </c>
      <c r="AF6483">
        <v>8.8805904678369296E-2</v>
      </c>
      <c r="AG6483">
        <v>-0.18647330000000001</v>
      </c>
      <c r="AH6483">
        <v>0.451517958783828</v>
      </c>
      <c r="AI6483">
        <v>112.05918845111201</v>
      </c>
      <c r="AJ6483">
        <v>78.872924273746307</v>
      </c>
      <c r="AK6483">
        <v>0.49651510291525702</v>
      </c>
    </row>
    <row r="6484" spans="1:37" x14ac:dyDescent="0.2">
      <c r="A6484" t="str">
        <f>"20200111155728112"</f>
        <v>20200111155728112</v>
      </c>
      <c r="B6484" t="str">
        <f>"1578729448100150"</f>
        <v>1578729448100150</v>
      </c>
      <c r="C6484" t="s">
        <v>37</v>
      </c>
      <c r="D6484">
        <v>5.4244940000000001</v>
      </c>
      <c r="E6484">
        <v>0.57479969999999903</v>
      </c>
      <c r="F6484" t="s">
        <v>40</v>
      </c>
      <c r="G6484">
        <v>-187.5761</v>
      </c>
      <c r="H6484">
        <v>0.92382140000000001</v>
      </c>
      <c r="I6484">
        <v>-26.347919999999998</v>
      </c>
      <c r="J6484">
        <v>-187.68350000000001</v>
      </c>
      <c r="K6484">
        <v>1.1034269999999999</v>
      </c>
      <c r="L6484">
        <v>-26.81409</v>
      </c>
      <c r="M6484">
        <v>2.6807999999999998E-2</v>
      </c>
      <c r="N6484">
        <v>0</v>
      </c>
      <c r="O6484">
        <v>0.99964059999999899</v>
      </c>
      <c r="P6484">
        <v>-4.1944889999999999E-2</v>
      </c>
      <c r="Q6484">
        <v>8.9781259999999995E-3</v>
      </c>
      <c r="R6484">
        <v>0.99907959999999996</v>
      </c>
      <c r="S6484">
        <v>0.44013980000000003</v>
      </c>
      <c r="T6484">
        <v>-0.68319069999999904</v>
      </c>
      <c r="U6484">
        <v>3.0265499999999999</v>
      </c>
      <c r="V6484">
        <v>-6.8722679999999994E-2</v>
      </c>
      <c r="W6484">
        <v>9.151157E-3</v>
      </c>
      <c r="X6484">
        <v>0.99759379999999998</v>
      </c>
      <c r="Y6484">
        <v>0.1138627</v>
      </c>
      <c r="Z6484">
        <v>-0.2182711</v>
      </c>
      <c r="AA6484">
        <v>0.969222899999999</v>
      </c>
      <c r="AB6484">
        <v>32</v>
      </c>
      <c r="AC6484">
        <v>0.107400000000012</v>
      </c>
      <c r="AD6484">
        <v>-0.179605599999999</v>
      </c>
      <c r="AE6484">
        <v>0.46617000000000097</v>
      </c>
      <c r="AF6484">
        <v>8.3144427695338599E-2</v>
      </c>
      <c r="AG6484">
        <v>-0.179605599999999</v>
      </c>
      <c r="AH6484">
        <v>0.41095427074663998</v>
      </c>
      <c r="AI6484">
        <v>113.188640334062</v>
      </c>
      <c r="AJ6484">
        <v>78.562289693151698</v>
      </c>
      <c r="AK6484">
        <v>0.456130003456304</v>
      </c>
    </row>
    <row r="6485" spans="1:37" x14ac:dyDescent="0.2">
      <c r="A6485" t="str">
        <f>"20200111155728136"</f>
        <v>20200111155728136</v>
      </c>
      <c r="B6485" t="str">
        <f>"1578729448129431"</f>
        <v>1578729448129431</v>
      </c>
      <c r="C6485" t="s">
        <v>37</v>
      </c>
      <c r="D6485">
        <v>5.3877069999999998</v>
      </c>
      <c r="E6485">
        <v>0.57475259999999995</v>
      </c>
      <c r="F6485" t="s">
        <v>40</v>
      </c>
      <c r="G6485">
        <v>-187.57429999999999</v>
      </c>
      <c r="H6485">
        <v>0.93218419999999902</v>
      </c>
      <c r="I6485">
        <v>-26.056179999999902</v>
      </c>
      <c r="J6485">
        <v>-187.6748</v>
      </c>
      <c r="K6485">
        <v>1.1033360000000001</v>
      </c>
      <c r="L6485">
        <v>-26.476500000000001</v>
      </c>
      <c r="M6485">
        <v>2.6486920000000001E-2</v>
      </c>
      <c r="N6485">
        <v>0</v>
      </c>
      <c r="O6485">
        <v>0.99964909999999996</v>
      </c>
      <c r="P6485">
        <v>-4.3220969999999997E-2</v>
      </c>
      <c r="Q6485">
        <v>9.6380370000000003E-3</v>
      </c>
      <c r="R6485">
        <v>0.99901899999999999</v>
      </c>
      <c r="S6485">
        <v>0.43634030000000001</v>
      </c>
      <c r="T6485">
        <v>-0.68399350000000003</v>
      </c>
      <c r="U6485">
        <v>3.0272220000000001</v>
      </c>
      <c r="V6485">
        <v>-6.9674979999999997E-2</v>
      </c>
      <c r="W6485">
        <v>9.8587499999999995E-3</v>
      </c>
      <c r="X6485">
        <v>0.99752099999999899</v>
      </c>
      <c r="Y6485">
        <v>0.1129521</v>
      </c>
      <c r="Z6485">
        <v>-0.21850229999999901</v>
      </c>
      <c r="AA6485">
        <v>0.96927730000000001</v>
      </c>
      <c r="AB6485">
        <v>32</v>
      </c>
      <c r="AC6485">
        <v>0.10050000000001</v>
      </c>
      <c r="AD6485">
        <v>-0.17115179999999999</v>
      </c>
      <c r="AE6485">
        <v>0.42032000000000302</v>
      </c>
      <c r="AF6485">
        <v>7.7220472069477797E-2</v>
      </c>
      <c r="AG6485">
        <v>-0.17115179999999999</v>
      </c>
      <c r="AH6485">
        <v>0.36550805967344502</v>
      </c>
      <c r="AI6485">
        <v>114.614615391564</v>
      </c>
      <c r="AJ6485">
        <v>78.070608876393393</v>
      </c>
      <c r="AK6485">
        <v>0.41091614915468999</v>
      </c>
    </row>
    <row r="6486" spans="1:37" x14ac:dyDescent="0.2">
      <c r="A6486" t="str">
        <f>"20200111155728156"</f>
        <v>20200111155728156</v>
      </c>
      <c r="B6486" t="str">
        <f>"1578729448149926"</f>
        <v>1578729448149926</v>
      </c>
      <c r="C6486" t="s">
        <v>37</v>
      </c>
      <c r="D6486">
        <v>5.1581330000000003</v>
      </c>
      <c r="E6486">
        <v>0.57587739999999998</v>
      </c>
      <c r="F6486" t="s">
        <v>40</v>
      </c>
      <c r="G6486">
        <v>-187.5729</v>
      </c>
      <c r="H6486">
        <v>0.94144619999999901</v>
      </c>
      <c r="I6486">
        <v>-25.76221</v>
      </c>
      <c r="J6486">
        <v>-187.66679999999999</v>
      </c>
      <c r="K6486">
        <v>1.103254</v>
      </c>
      <c r="L6486">
        <v>-26.168949999999999</v>
      </c>
      <c r="M6486">
        <v>2.629515E-2</v>
      </c>
      <c r="N6486">
        <v>0</v>
      </c>
      <c r="O6486">
        <v>0.99965419999999905</v>
      </c>
      <c r="P6486">
        <v>-4.4401499999999899E-2</v>
      </c>
      <c r="Q6486">
        <v>1.0588490000000001E-2</v>
      </c>
      <c r="R6486">
        <v>0.998957599999999</v>
      </c>
      <c r="S6486">
        <v>0.43101499999999998</v>
      </c>
      <c r="T6486">
        <v>-0.686303</v>
      </c>
      <c r="U6486">
        <v>3.0282290000000001</v>
      </c>
      <c r="V6486">
        <v>-7.0660730000000005E-2</v>
      </c>
      <c r="W6486">
        <v>1.08529E-2</v>
      </c>
      <c r="X6486">
        <v>0.99744140000000003</v>
      </c>
      <c r="Y6486">
        <v>0.1114052</v>
      </c>
      <c r="Z6486">
        <v>-0.2191824</v>
      </c>
      <c r="AA6486">
        <v>0.96930280000000002</v>
      </c>
      <c r="AB6486">
        <v>32</v>
      </c>
      <c r="AC6486">
        <v>9.3899999999990699E-2</v>
      </c>
      <c r="AD6486">
        <v>-0.1618078</v>
      </c>
      <c r="AE6486">
        <v>0.40673999999999899</v>
      </c>
      <c r="AF6486">
        <v>7.23079677918219E-2</v>
      </c>
      <c r="AG6486">
        <v>-0.1618078</v>
      </c>
      <c r="AH6486">
        <v>0.35563439540992903</v>
      </c>
      <c r="AI6486">
        <v>114.030230645164</v>
      </c>
      <c r="AJ6486">
        <v>78.507219911870493</v>
      </c>
      <c r="AK6486">
        <v>0.39734875052730301</v>
      </c>
    </row>
    <row r="6487" spans="1:37" x14ac:dyDescent="0.2">
      <c r="A6487" t="str">
        <f>"20200111155728178"</f>
        <v>20200111155728178</v>
      </c>
      <c r="B6487" t="str">
        <f>"1578729448169447"</f>
        <v>1578729448169447</v>
      </c>
      <c r="C6487" t="s">
        <v>37</v>
      </c>
      <c r="D6487">
        <v>5.1054089999999999</v>
      </c>
      <c r="E6487">
        <v>0.5767968</v>
      </c>
      <c r="F6487" t="s">
        <v>40</v>
      </c>
      <c r="G6487">
        <v>-187.5659</v>
      </c>
      <c r="H6487">
        <v>0.94558629999999999</v>
      </c>
      <c r="I6487">
        <v>-25.468820000000001</v>
      </c>
      <c r="J6487">
        <v>-187.65880000000001</v>
      </c>
      <c r="K6487">
        <v>1.1031879999999901</v>
      </c>
      <c r="L6487">
        <v>-25.857939999999999</v>
      </c>
      <c r="M6487">
        <v>2.6176410000000001E-2</v>
      </c>
      <c r="N6487">
        <v>0</v>
      </c>
      <c r="O6487">
        <v>0.99965729999999997</v>
      </c>
      <c r="P6487">
        <v>-4.5233299999999997E-2</v>
      </c>
      <c r="Q6487">
        <v>1.105806E-2</v>
      </c>
      <c r="R6487">
        <v>0.99891529999999995</v>
      </c>
      <c r="S6487">
        <v>0.43597409999999998</v>
      </c>
      <c r="T6487">
        <v>-0.68226640000000005</v>
      </c>
      <c r="U6487">
        <v>3.0297239999999999</v>
      </c>
      <c r="V6487">
        <v>-7.1371359999999995E-2</v>
      </c>
      <c r="W6487">
        <v>1.1365470000000001E-2</v>
      </c>
      <c r="X6487">
        <v>0.99738510000000002</v>
      </c>
      <c r="Y6487">
        <v>0.1130548</v>
      </c>
      <c r="Z6487">
        <v>-0.21781039999999999</v>
      </c>
      <c r="AA6487">
        <v>0.96942109999999904</v>
      </c>
      <c r="AB6487">
        <v>32</v>
      </c>
      <c r="AC6487">
        <v>9.2900000000014402E-2</v>
      </c>
      <c r="AD6487">
        <v>-0.15760169999999901</v>
      </c>
      <c r="AE6487">
        <v>0.38911999999999802</v>
      </c>
      <c r="AF6487">
        <v>7.1574354682997901E-2</v>
      </c>
      <c r="AG6487">
        <v>-0.15760169999999901</v>
      </c>
      <c r="AH6487">
        <v>0.33883296262009899</v>
      </c>
      <c r="AI6487">
        <v>114.469731769278</v>
      </c>
      <c r="AJ6487">
        <v>78.0723085415882</v>
      </c>
      <c r="AK6487">
        <v>0.38048516482129902</v>
      </c>
    </row>
    <row r="6488" spans="1:37" x14ac:dyDescent="0.2">
      <c r="A6488" t="str">
        <f>"20200111155728201"</f>
        <v>20200111155728201</v>
      </c>
      <c r="B6488" t="str">
        <f>"1578729448189942"</f>
        <v>1578729448189942</v>
      </c>
      <c r="C6488" t="s">
        <v>37</v>
      </c>
      <c r="D6488">
        <v>5.0521379999999896</v>
      </c>
      <c r="E6488">
        <v>0.57772509999999999</v>
      </c>
      <c r="F6488" t="s">
        <v>40</v>
      </c>
      <c r="G6488">
        <v>-187.55940000000001</v>
      </c>
      <c r="H6488">
        <v>0.9493722</v>
      </c>
      <c r="I6488">
        <v>-25.173850000000002</v>
      </c>
      <c r="J6488">
        <v>-187.65010000000001</v>
      </c>
      <c r="K6488">
        <v>1.1031299999999999</v>
      </c>
      <c r="L6488">
        <v>-25.52225</v>
      </c>
      <c r="M6488">
        <v>2.6117439999999999E-2</v>
      </c>
      <c r="N6488">
        <v>0</v>
      </c>
      <c r="O6488">
        <v>0.99965879999999996</v>
      </c>
      <c r="P6488">
        <v>-4.5609049999999998E-2</v>
      </c>
      <c r="Q6488">
        <v>1.154929E-2</v>
      </c>
      <c r="R6488">
        <v>0.99889259999999902</v>
      </c>
      <c r="S6488">
        <v>0.43974299999999999</v>
      </c>
      <c r="T6488">
        <v>-0.68141750000000001</v>
      </c>
      <c r="U6488">
        <v>3.0307009999999899</v>
      </c>
      <c r="V6488">
        <v>-7.1685750000000006E-2</v>
      </c>
      <c r="W6488">
        <v>1.190188E-2</v>
      </c>
      <c r="X6488">
        <v>0.99735620000000003</v>
      </c>
      <c r="Y6488">
        <v>0.11426169999999999</v>
      </c>
      <c r="Z6488">
        <v>-0.21745329999999999</v>
      </c>
      <c r="AA6488">
        <v>0.96935979999999999</v>
      </c>
      <c r="AB6488">
        <v>33</v>
      </c>
      <c r="AC6488">
        <v>9.0699999999998199E-2</v>
      </c>
      <c r="AD6488">
        <v>-0.153757799999999</v>
      </c>
      <c r="AE6488">
        <v>0.34839999999999799</v>
      </c>
      <c r="AF6488">
        <v>6.8986242966435005E-2</v>
      </c>
      <c r="AG6488">
        <v>-0.153757799999999</v>
      </c>
      <c r="AH6488">
        <v>0.29655636306317301</v>
      </c>
      <c r="AI6488">
        <v>116.793495268535</v>
      </c>
      <c r="AJ6488">
        <v>76.904505893049901</v>
      </c>
      <c r="AK6488">
        <v>0.34109564531480102</v>
      </c>
    </row>
    <row r="6489" spans="1:37" x14ac:dyDescent="0.2">
      <c r="A6489" t="str">
        <f>"20200111155728222"</f>
        <v>20200111155728222</v>
      </c>
      <c r="B6489" t="str">
        <f>"1578729448219759"</f>
        <v>1578729448219759</v>
      </c>
      <c r="C6489" t="s">
        <v>37</v>
      </c>
      <c r="D6489">
        <v>4.9473279999999997</v>
      </c>
      <c r="E6489">
        <v>0.57873649999999999</v>
      </c>
      <c r="F6489" t="s">
        <v>40</v>
      </c>
      <c r="G6489">
        <v>-187.5154</v>
      </c>
      <c r="H6489">
        <v>0.897312</v>
      </c>
      <c r="I6489">
        <v>-24.605149999999998</v>
      </c>
      <c r="J6489">
        <v>-187.64169999999999</v>
      </c>
      <c r="K6489">
        <v>1.103081</v>
      </c>
      <c r="L6489">
        <v>-25.199950000000001</v>
      </c>
      <c r="M6489">
        <v>2.6107709999999999E-2</v>
      </c>
      <c r="N6489">
        <v>0</v>
      </c>
      <c r="O6489">
        <v>0.99965910000000002</v>
      </c>
      <c r="P6489">
        <v>-4.5058649999999999E-2</v>
      </c>
      <c r="Q6489">
        <v>1.1188200000000001E-2</v>
      </c>
      <c r="R6489">
        <v>0.99892169999999902</v>
      </c>
      <c r="S6489">
        <v>0.44477840000000002</v>
      </c>
      <c r="T6489">
        <v>-0.6803186</v>
      </c>
      <c r="U6489">
        <v>3.0314939999999999</v>
      </c>
      <c r="V6489">
        <v>-7.1125289999999994E-2</v>
      </c>
      <c r="W6489">
        <v>1.158242E-2</v>
      </c>
      <c r="X6489">
        <v>0.99740019999999996</v>
      </c>
      <c r="Y6489">
        <v>0.1158257</v>
      </c>
      <c r="Z6489">
        <v>-0.21702150000000001</v>
      </c>
      <c r="AA6489">
        <v>0.96927090000000005</v>
      </c>
      <c r="AB6489">
        <v>33</v>
      </c>
      <c r="AC6489">
        <v>0.12629999999998601</v>
      </c>
      <c r="AD6489">
        <v>-0.20576899999999901</v>
      </c>
      <c r="AE6489">
        <v>0.59480000000000199</v>
      </c>
      <c r="AF6489">
        <v>9.9350852168335405E-2</v>
      </c>
      <c r="AG6489">
        <v>-0.20576899999999901</v>
      </c>
      <c r="AH6489">
        <v>0.53646141507218803</v>
      </c>
      <c r="AI6489">
        <v>110.664165389228</v>
      </c>
      <c r="AJ6489">
        <v>79.507888374738897</v>
      </c>
      <c r="AK6489">
        <v>0.58309718147906398</v>
      </c>
    </row>
    <row r="6490" spans="1:37" x14ac:dyDescent="0.2">
      <c r="A6490" t="str">
        <f>"20200111155728246"</f>
        <v>20200111155728246</v>
      </c>
      <c r="B6490" t="str">
        <f>"1578729448239279"</f>
        <v>1578729448239279</v>
      </c>
      <c r="C6490" t="s">
        <v>37</v>
      </c>
      <c r="D6490">
        <v>5.3195420000000002</v>
      </c>
      <c r="E6490">
        <v>0.57873640000000004</v>
      </c>
      <c r="F6490" t="s">
        <v>40</v>
      </c>
      <c r="G6490">
        <v>-187.5076</v>
      </c>
      <c r="H6490">
        <v>0.90184750000000002</v>
      </c>
      <c r="I6490">
        <v>-24.304960000000001</v>
      </c>
      <c r="J6490">
        <v>-187.63249999999999</v>
      </c>
      <c r="K6490">
        <v>1.1030340000000001</v>
      </c>
      <c r="L6490">
        <v>-24.848210000000002</v>
      </c>
      <c r="M6490">
        <v>2.6130569999999999E-2</v>
      </c>
      <c r="N6490">
        <v>0</v>
      </c>
      <c r="O6490">
        <v>0.99965849999999901</v>
      </c>
      <c r="P6490">
        <v>-4.3622439999999998E-2</v>
      </c>
      <c r="Q6490">
        <v>1.0320899999999999E-2</v>
      </c>
      <c r="R6490">
        <v>0.99899479999999996</v>
      </c>
      <c r="S6490">
        <v>0.45388790000000001</v>
      </c>
      <c r="T6490">
        <v>-0.68156680000000003</v>
      </c>
      <c r="U6490">
        <v>3.031342</v>
      </c>
      <c r="V6490">
        <v>-6.9713349999999993E-2</v>
      </c>
      <c r="W6490">
        <v>1.07604E-2</v>
      </c>
      <c r="X6490">
        <v>0.99750899999999998</v>
      </c>
      <c r="Y6490">
        <v>0.11864959999999999</v>
      </c>
      <c r="Z6490">
        <v>-0.2173292</v>
      </c>
      <c r="AA6490">
        <v>0.96886030000000001</v>
      </c>
      <c r="AB6490">
        <v>33</v>
      </c>
      <c r="AC6490">
        <v>0.124899999999996</v>
      </c>
      <c r="AD6490">
        <v>-0.20118649999999999</v>
      </c>
      <c r="AE6490">
        <v>0.54325000000000001</v>
      </c>
      <c r="AF6490">
        <v>9.7907942945944099E-2</v>
      </c>
      <c r="AG6490">
        <v>-0.20118649999999999</v>
      </c>
      <c r="AH6490">
        <v>0.48336294681409803</v>
      </c>
      <c r="AI6490">
        <v>112.192411247953</v>
      </c>
      <c r="AJ6490">
        <v>78.549335498499801</v>
      </c>
      <c r="AK6490">
        <v>0.53263656598750797</v>
      </c>
    </row>
    <row r="6491" spans="1:37" x14ac:dyDescent="0.2">
      <c r="A6491" t="str">
        <f>"20200111155728267"</f>
        <v>20200111155728267</v>
      </c>
      <c r="B6491" t="str">
        <f>"1578729448259776"</f>
        <v>1578729448259776</v>
      </c>
      <c r="C6491" t="s">
        <v>37</v>
      </c>
      <c r="D6491">
        <v>5.2215569999999998</v>
      </c>
      <c r="E6491">
        <v>0.53088299999999999</v>
      </c>
      <c r="F6491" t="s">
        <v>40</v>
      </c>
      <c r="G6491">
        <v>-187.5043</v>
      </c>
      <c r="H6491">
        <v>0.91188369999999996</v>
      </c>
      <c r="I6491">
        <v>-24.000920000000001</v>
      </c>
      <c r="J6491">
        <v>-187.6241</v>
      </c>
      <c r="K6491">
        <v>1.1030089999999999</v>
      </c>
      <c r="L6491">
        <v>-24.525790000000001</v>
      </c>
      <c r="M6491">
        <v>2.6168739999999999E-2</v>
      </c>
      <c r="N6491">
        <v>0</v>
      </c>
      <c r="O6491">
        <v>0.99965740000000003</v>
      </c>
      <c r="P6491">
        <v>-4.2840860000000001E-2</v>
      </c>
      <c r="Q6491">
        <v>1.0304850000000001E-2</v>
      </c>
      <c r="R6491">
        <v>0.99902869999999999</v>
      </c>
      <c r="S6491">
        <v>0.45808409999999899</v>
      </c>
      <c r="T6491">
        <v>-0.68358430000000003</v>
      </c>
      <c r="U6491">
        <v>3.03009</v>
      </c>
      <c r="V6491">
        <v>-6.8969870000000003E-2</v>
      </c>
      <c r="W6491">
        <v>1.0789969999999999E-2</v>
      </c>
      <c r="X6491">
        <v>0.99756039999999901</v>
      </c>
      <c r="Y6491">
        <v>0.11996030000000001</v>
      </c>
      <c r="Z6491">
        <v>-0.21798779999999901</v>
      </c>
      <c r="AA6491">
        <v>0.96855089999999999</v>
      </c>
      <c r="AB6491">
        <v>33</v>
      </c>
      <c r="AC6491">
        <v>0.11979999999999701</v>
      </c>
      <c r="AD6491">
        <v>-0.191125299999999</v>
      </c>
      <c r="AE6491">
        <v>0.52486999999999995</v>
      </c>
      <c r="AF6491">
        <v>9.4157078829236004E-2</v>
      </c>
      <c r="AG6491">
        <v>-0.191125299999999</v>
      </c>
      <c r="AH6491">
        <v>0.46874845589436798</v>
      </c>
      <c r="AI6491">
        <v>111.789080976053</v>
      </c>
      <c r="AJ6491">
        <v>78.642195189739994</v>
      </c>
      <c r="AK6491">
        <v>0.51489761185802696</v>
      </c>
    </row>
    <row r="6492" spans="1:37" x14ac:dyDescent="0.2">
      <c r="A6492" t="str">
        <f>"20200111155728357"</f>
        <v>20200111155728357</v>
      </c>
      <c r="B6492" t="str">
        <f>"1578729448350224"</f>
        <v>1578729448350224</v>
      </c>
      <c r="C6492" t="s">
        <v>37</v>
      </c>
      <c r="D6492">
        <v>5.2685490000000001</v>
      </c>
      <c r="E6492">
        <v>0.53088299999999999</v>
      </c>
      <c r="F6492" t="s">
        <v>40</v>
      </c>
      <c r="G6492">
        <v>-187.57339999999999</v>
      </c>
      <c r="H6492">
        <v>0.98454710000000001</v>
      </c>
      <c r="I6492">
        <v>-22.747920000000001</v>
      </c>
      <c r="J6492">
        <v>-187.58799999999999</v>
      </c>
      <c r="K6492">
        <v>1.1029549999999999</v>
      </c>
      <c r="L6492">
        <v>-23.15625</v>
      </c>
      <c r="M6492">
        <v>2.6384680000000001E-2</v>
      </c>
      <c r="N6492">
        <v>0</v>
      </c>
      <c r="O6492">
        <v>0.99965159999999997</v>
      </c>
      <c r="P6492">
        <v>-4.3807029999999997E-2</v>
      </c>
      <c r="Q6492">
        <v>7.1782249999999999E-3</v>
      </c>
      <c r="R6492">
        <v>0.99901419999999996</v>
      </c>
      <c r="S6492">
        <v>9.4131469999999995E-2</v>
      </c>
      <c r="T6492">
        <v>-0.46618699999999902</v>
      </c>
      <c r="U6492">
        <v>3.0104060000000001</v>
      </c>
      <c r="V6492">
        <v>-7.0149439999999993E-2</v>
      </c>
      <c r="W6492">
        <v>7.9467099999999992E-3</v>
      </c>
      <c r="X6492">
        <v>0.99750479999999997</v>
      </c>
      <c r="Y6492">
        <v>4.5030349999999999E-3</v>
      </c>
      <c r="Z6492">
        <v>-0.1529179</v>
      </c>
      <c r="AA6492">
        <v>0.98822860000000001</v>
      </c>
      <c r="AB6492">
        <v>34</v>
      </c>
      <c r="AC6492">
        <v>1.4600000000001501E-2</v>
      </c>
      <c r="AD6492">
        <v>-0.118407899999999</v>
      </c>
      <c r="AE6492">
        <v>0.40832999999999903</v>
      </c>
      <c r="AF6492">
        <v>3.52520572451368E-3</v>
      </c>
      <c r="AG6492">
        <v>-0.118407899999999</v>
      </c>
      <c r="AH6492">
        <v>0.376918832224172</v>
      </c>
      <c r="AI6492">
        <v>107.439235573687</v>
      </c>
      <c r="AJ6492">
        <v>89.464145848565707</v>
      </c>
      <c r="AK6492">
        <v>0.39509576553418502</v>
      </c>
    </row>
    <row r="6493" spans="1:37" x14ac:dyDescent="0.2">
      <c r="A6493" t="str">
        <f>"20200111155728400"</f>
        <v>20200111155728400</v>
      </c>
      <c r="B6493" t="str">
        <f>"1578729448389263"</f>
        <v>1578729448389263</v>
      </c>
      <c r="C6493" t="s">
        <v>37</v>
      </c>
      <c r="D6493">
        <v>4.6774579999999997</v>
      </c>
      <c r="E6493">
        <v>0.52901949999999998</v>
      </c>
      <c r="F6493" t="s">
        <v>40</v>
      </c>
      <c r="G6493">
        <v>-187.56599999999901</v>
      </c>
      <c r="H6493">
        <v>0.99126630000000004</v>
      </c>
      <c r="I6493">
        <v>-22.436699999999998</v>
      </c>
      <c r="J6493">
        <v>-187.57</v>
      </c>
      <c r="K6493">
        <v>1.102989</v>
      </c>
      <c r="L6493">
        <v>-22.47662</v>
      </c>
      <c r="M6493">
        <v>2.649775E-2</v>
      </c>
      <c r="N6493">
        <v>0</v>
      </c>
      <c r="O6493">
        <v>0.99964839999999999</v>
      </c>
      <c r="P6493">
        <v>-4.5958239999999997E-2</v>
      </c>
      <c r="Q6493">
        <v>8.9398350000000001E-3</v>
      </c>
      <c r="R6493">
        <v>0.99890330000000005</v>
      </c>
      <c r="S6493">
        <v>9.1613769999999997E-2</v>
      </c>
      <c r="T6493">
        <v>-0.46725270000000002</v>
      </c>
      <c r="U6493">
        <v>3.010345</v>
      </c>
      <c r="V6493">
        <v>-7.2409210000000002E-2</v>
      </c>
      <c r="W6493">
        <v>9.9512530000000002E-3</v>
      </c>
      <c r="X6493">
        <v>0.99732540000000003</v>
      </c>
      <c r="Y6493">
        <v>3.5631970000000002E-3</v>
      </c>
      <c r="Z6493">
        <v>-0.15326389999999901</v>
      </c>
      <c r="AA6493">
        <v>0.98817880000000002</v>
      </c>
      <c r="AB6493">
        <v>35</v>
      </c>
      <c r="AC6493">
        <v>4.0000000000190898E-3</v>
      </c>
      <c r="AD6493">
        <v>-0.111722699999999</v>
      </c>
      <c r="AE6493">
        <v>3.99200000000021E-2</v>
      </c>
      <c r="AF6493">
        <v>3.3591281055923801E-4</v>
      </c>
      <c r="AG6493">
        <v>-0.111722699999999</v>
      </c>
      <c r="AH6493">
        <v>4.5703593145748197E-3</v>
      </c>
      <c r="AI6493">
        <v>177.651135141303</v>
      </c>
      <c r="AJ6493">
        <v>85.796426331798301</v>
      </c>
      <c r="AK6493">
        <v>0.11181664776307</v>
      </c>
    </row>
    <row r="6494" spans="1:37" x14ac:dyDescent="0.2">
      <c r="A6494" t="str">
        <f>"20200111155728424"</f>
        <v>20200111155728424</v>
      </c>
      <c r="B6494" t="str">
        <f>"1578729448419521"</f>
        <v>1578729448419521</v>
      </c>
      <c r="C6494" t="s">
        <v>37</v>
      </c>
      <c r="D6494">
        <v>4.6956429999999996</v>
      </c>
      <c r="E6494">
        <v>0.52544309999999905</v>
      </c>
      <c r="F6494" t="s">
        <v>40</v>
      </c>
      <c r="G6494">
        <v>-187.54599999999999</v>
      </c>
      <c r="H6494">
        <v>0.98124669999999903</v>
      </c>
      <c r="I6494">
        <v>-21.508050000000001</v>
      </c>
      <c r="J6494">
        <v>-187.56049999999999</v>
      </c>
      <c r="K6494">
        <v>1.103011</v>
      </c>
      <c r="L6494">
        <v>-22.120760000000001</v>
      </c>
      <c r="M6494">
        <v>2.655824E-2</v>
      </c>
      <c r="N6494">
        <v>0</v>
      </c>
      <c r="O6494">
        <v>0.99964660000000005</v>
      </c>
      <c r="P6494">
        <v>-4.636088E-2</v>
      </c>
      <c r="Q6494">
        <v>1.0404979999999999E-2</v>
      </c>
      <c r="R6494">
        <v>0.99887060000000005</v>
      </c>
      <c r="S6494">
        <v>7.4050899999999906E-2</v>
      </c>
      <c r="T6494">
        <v>-0.378328</v>
      </c>
      <c r="U6494">
        <v>3.0100709999999999</v>
      </c>
      <c r="V6494">
        <v>-7.2871130000000006E-2</v>
      </c>
      <c r="W6494">
        <v>1.1562869999999999E-2</v>
      </c>
      <c r="X6494">
        <v>0.99727429999999995</v>
      </c>
      <c r="Y6494">
        <v>-2.157085E-3</v>
      </c>
      <c r="Z6494">
        <v>-0.12462189999999999</v>
      </c>
      <c r="AA6494">
        <v>0.99220200000000003</v>
      </c>
      <c r="AB6494">
        <v>35</v>
      </c>
      <c r="AC6494">
        <v>1.4499999999998099E-2</v>
      </c>
      <c r="AD6494">
        <v>-0.12176430000000001</v>
      </c>
      <c r="AE6494">
        <v>0.61270999999999898</v>
      </c>
      <c r="AF6494">
        <v>-1.7101230917887799E-3</v>
      </c>
      <c r="AG6494">
        <v>-0.12176430000000001</v>
      </c>
      <c r="AH6494">
        <v>0.58960615941641203</v>
      </c>
      <c r="AI6494">
        <v>101.668522205955</v>
      </c>
      <c r="AJ6494">
        <v>90.166183068612995</v>
      </c>
      <c r="AK6494">
        <v>0.60205057303955001</v>
      </c>
    </row>
    <row r="6495" spans="1:37" x14ac:dyDescent="0.2">
      <c r="A6495" t="str">
        <f>"20200111155728446"</f>
        <v>20200111155728446</v>
      </c>
      <c r="B6495" t="str">
        <f>"1578729448440015"</f>
        <v>1578729448440015</v>
      </c>
      <c r="C6495" t="s">
        <v>37</v>
      </c>
      <c r="D6495">
        <v>5.0036459999999998</v>
      </c>
      <c r="E6495">
        <v>0.52435240000000005</v>
      </c>
      <c r="F6495" t="s">
        <v>40</v>
      </c>
      <c r="G6495">
        <v>-187.5444</v>
      </c>
      <c r="H6495">
        <v>1.0301469999999999</v>
      </c>
      <c r="I6495">
        <v>-21.170829999999999</v>
      </c>
      <c r="J6495">
        <v>-187.5506</v>
      </c>
      <c r="K6495">
        <v>1.1030329999999999</v>
      </c>
      <c r="L6495">
        <v>-21.750339999999898</v>
      </c>
      <c r="M6495">
        <v>2.6622170000000001E-2</v>
      </c>
      <c r="N6495">
        <v>0</v>
      </c>
      <c r="O6495">
        <v>0.99964470000000005</v>
      </c>
      <c r="P6495">
        <v>-4.6477270000000001E-2</v>
      </c>
      <c r="Q6495">
        <v>1.089919E-2</v>
      </c>
      <c r="R6495">
        <v>0.99885990000000002</v>
      </c>
      <c r="S6495">
        <v>5.1162720000000002E-2</v>
      </c>
      <c r="T6495">
        <v>-0.2307447</v>
      </c>
      <c r="U6495">
        <v>3.0081790000000002</v>
      </c>
      <c r="V6495">
        <v>-7.3050779999999996E-2</v>
      </c>
      <c r="W6495">
        <v>1.2215139999999999E-2</v>
      </c>
      <c r="X6495">
        <v>0.99725339999999996</v>
      </c>
      <c r="Y6495">
        <v>-9.6687249999999995E-3</v>
      </c>
      <c r="Z6495">
        <v>-7.643324E-2</v>
      </c>
      <c r="AA6495">
        <v>0.99702780000000002</v>
      </c>
      <c r="AB6495">
        <v>35</v>
      </c>
      <c r="AC6495">
        <v>6.2000000000068597E-3</v>
      </c>
      <c r="AD6495">
        <v>-7.2886000000000006E-2</v>
      </c>
      <c r="AE6495">
        <v>0.57950999999999897</v>
      </c>
      <c r="AF6495">
        <v>-9.0863089180645996E-3</v>
      </c>
      <c r="AG6495">
        <v>-7.2886000000000006E-2</v>
      </c>
      <c r="AH6495">
        <v>0.570447053788119</v>
      </c>
      <c r="AI6495">
        <v>97.280314759677793</v>
      </c>
      <c r="AJ6495">
        <v>90.912552930499899</v>
      </c>
      <c r="AK6495">
        <v>0.57515630152272501</v>
      </c>
    </row>
    <row r="6496" spans="1:37" x14ac:dyDescent="0.2">
      <c r="A6496" t="str">
        <f>"20200111155728469"</f>
        <v>20200111155728469</v>
      </c>
      <c r="B6496" t="str">
        <f>"1578729448459536"</f>
        <v>1578729448459536</v>
      </c>
      <c r="C6496" t="s">
        <v>37</v>
      </c>
      <c r="D6496">
        <v>4.8600779999999997</v>
      </c>
      <c r="E6496">
        <v>0.52213559999999903</v>
      </c>
      <c r="F6496" t="s">
        <v>38</v>
      </c>
      <c r="G6496">
        <v>-187.29660000000001</v>
      </c>
      <c r="H6496" s="1">
        <v>-3.047383E-6</v>
      </c>
      <c r="I6496">
        <v>-4.3814970000000004</v>
      </c>
      <c r="J6496">
        <v>-187.54140000000001</v>
      </c>
      <c r="K6496">
        <v>1.1030489999999999</v>
      </c>
      <c r="L6496">
        <v>-21.405609999999999</v>
      </c>
      <c r="M6496">
        <v>2.6682359999999999E-2</v>
      </c>
      <c r="N6496">
        <v>0</v>
      </c>
      <c r="O6496">
        <v>0.9996429</v>
      </c>
      <c r="P6496">
        <v>-4.5956339999999998E-2</v>
      </c>
      <c r="Q6496">
        <v>1.105942E-2</v>
      </c>
      <c r="R6496">
        <v>0.99888220000000005</v>
      </c>
      <c r="S6496">
        <v>4.397583E-2</v>
      </c>
      <c r="T6496">
        <v>-0.19099839999999901</v>
      </c>
      <c r="U6496">
        <v>3.0075379999999998</v>
      </c>
      <c r="V6496">
        <v>-7.2590660000000001E-2</v>
      </c>
      <c r="W6496">
        <v>1.253078E-2</v>
      </c>
      <c r="X6496">
        <v>0.99728309999999998</v>
      </c>
      <c r="Y6496">
        <v>-1.209379E-2</v>
      </c>
      <c r="Z6496">
        <v>-6.3339400000000004E-2</v>
      </c>
      <c r="AA6496">
        <v>0.99791879999999999</v>
      </c>
      <c r="AB6496">
        <v>35</v>
      </c>
      <c r="AC6496">
        <v>0.24479999999999699</v>
      </c>
      <c r="AD6496">
        <v>-1.1030520473829999</v>
      </c>
      <c r="AE6496">
        <v>17.024113</v>
      </c>
      <c r="AF6496">
        <v>-0.20865535673958199</v>
      </c>
      <c r="AG6496">
        <v>-1.1030520473829999</v>
      </c>
      <c r="AH6496">
        <v>16.953424475997199</v>
      </c>
      <c r="AI6496">
        <v>93.722345619883598</v>
      </c>
      <c r="AJ6496">
        <v>90.705135870913296</v>
      </c>
      <c r="AK6496">
        <v>16.990552149370401</v>
      </c>
    </row>
    <row r="6497" spans="1:37" x14ac:dyDescent="0.2">
      <c r="A6497" t="str">
        <f>"20200111155728491"</f>
        <v>20200111155728491</v>
      </c>
      <c r="B6497" t="str">
        <f>"1578729448480031"</f>
        <v>1578729448480031</v>
      </c>
      <c r="C6497" t="s">
        <v>37</v>
      </c>
      <c r="D6497">
        <v>4.9316990000000001</v>
      </c>
      <c r="E6497">
        <v>0.52048249999999996</v>
      </c>
      <c r="F6497" t="s">
        <v>38</v>
      </c>
      <c r="G6497">
        <v>-187.334</v>
      </c>
      <c r="H6497" s="1">
        <v>-4.7385140000000004E-6</v>
      </c>
      <c r="I6497">
        <v>-0.42395690000000003</v>
      </c>
      <c r="J6497">
        <v>-187.53200000000001</v>
      </c>
      <c r="K6497">
        <v>1.10307</v>
      </c>
      <c r="L6497">
        <v>-21.055150000000001</v>
      </c>
      <c r="M6497">
        <v>2.6743869999999999E-2</v>
      </c>
      <c r="N6497">
        <v>0</v>
      </c>
      <c r="O6497">
        <v>0.999641</v>
      </c>
      <c r="P6497">
        <v>-4.5665909999999997E-2</v>
      </c>
      <c r="Q6497">
        <v>1.073111E-2</v>
      </c>
      <c r="R6497">
        <v>0.99889910000000004</v>
      </c>
      <c r="S6497">
        <v>2.970886E-2</v>
      </c>
      <c r="T6497">
        <v>-0.15805710000000001</v>
      </c>
      <c r="U6497">
        <v>3.0064700000000002</v>
      </c>
      <c r="V6497">
        <v>-7.2362070000000001E-2</v>
      </c>
      <c r="W6497">
        <v>1.2377249999999999E-2</v>
      </c>
      <c r="X6497">
        <v>0.99730160000000001</v>
      </c>
      <c r="Y6497">
        <v>-1.6878589999999999E-2</v>
      </c>
      <c r="Z6497">
        <v>-5.2466659999999998E-2</v>
      </c>
      <c r="AA6497">
        <v>0.99847999999999903</v>
      </c>
      <c r="AB6497">
        <v>35</v>
      </c>
      <c r="AC6497">
        <v>0.198000000000007</v>
      </c>
      <c r="AD6497">
        <v>-1.1030747385140001</v>
      </c>
      <c r="AE6497">
        <v>20.631193100000001</v>
      </c>
      <c r="AF6497">
        <v>-0.35282099532813999</v>
      </c>
      <c r="AG6497">
        <v>-1.1030747385140001</v>
      </c>
      <c r="AH6497">
        <v>20.570311050848201</v>
      </c>
      <c r="AI6497">
        <v>93.069072826213301</v>
      </c>
      <c r="AJ6497">
        <v>90.982638128026906</v>
      </c>
      <c r="AK6497">
        <v>20.602887012798401</v>
      </c>
    </row>
    <row r="6498" spans="1:37" x14ac:dyDescent="0.2">
      <c r="A6498" t="str">
        <f>"20200111155728515"</f>
        <v>20200111155728515</v>
      </c>
      <c r="B6498" t="str">
        <f>"1578729448509312"</f>
        <v>1578729448509312</v>
      </c>
      <c r="C6498" t="s">
        <v>37</v>
      </c>
      <c r="D6498">
        <v>4.6723710000000001</v>
      </c>
      <c r="E6498">
        <v>0.5186558</v>
      </c>
      <c r="F6498" t="s">
        <v>38</v>
      </c>
      <c r="G6498">
        <v>-187.38290000000001</v>
      </c>
      <c r="H6498" s="1">
        <v>-1.980872E-6</v>
      </c>
      <c r="I6498">
        <v>3.16812</v>
      </c>
      <c r="J6498">
        <v>-187.52199999999999</v>
      </c>
      <c r="K6498">
        <v>1.1030930000000001</v>
      </c>
      <c r="L6498">
        <v>-20.686399999999999</v>
      </c>
      <c r="M6498">
        <v>2.680898E-2</v>
      </c>
      <c r="N6498">
        <v>0</v>
      </c>
      <c r="O6498">
        <v>0.9996389</v>
      </c>
      <c r="P6498">
        <v>-4.4610850000000001E-2</v>
      </c>
      <c r="Q6498">
        <v>1.104021E-2</v>
      </c>
      <c r="R6498">
        <v>0.99894340000000004</v>
      </c>
      <c r="S6498">
        <v>1.849365E-2</v>
      </c>
      <c r="T6498">
        <v>-0.13686879999999901</v>
      </c>
      <c r="U6498">
        <v>3.0056150000000001</v>
      </c>
      <c r="V6498">
        <v>-7.1373370000000005E-2</v>
      </c>
      <c r="W6498">
        <v>1.28941E-2</v>
      </c>
      <c r="X6498">
        <v>0.99736630000000004</v>
      </c>
      <c r="Y6498">
        <v>-2.0664169999999999E-2</v>
      </c>
      <c r="Z6498">
        <v>-4.5460750000000001E-2</v>
      </c>
      <c r="AA6498">
        <v>0.99875239999999998</v>
      </c>
      <c r="AB6498">
        <v>35</v>
      </c>
      <c r="AC6498">
        <v>0.13910000000001299</v>
      </c>
      <c r="AD6498">
        <v>-1.1030949808720001</v>
      </c>
      <c r="AE6498">
        <v>23.854520000000001</v>
      </c>
      <c r="AF6498">
        <v>-0.49939854992965099</v>
      </c>
      <c r="AG6498">
        <v>-1.1030949808720001</v>
      </c>
      <c r="AH6498">
        <v>23.798786121305302</v>
      </c>
      <c r="AI6498">
        <v>92.653227868573893</v>
      </c>
      <c r="AJ6498">
        <v>91.202129819610406</v>
      </c>
      <c r="AK6498">
        <v>23.829570669572099</v>
      </c>
    </row>
    <row r="6499" spans="1:37" x14ac:dyDescent="0.2">
      <c r="A6499" t="str">
        <f>"20200111155728537"</f>
        <v>20200111155728537</v>
      </c>
      <c r="B6499" t="str">
        <f>"1578729448529808"</f>
        <v>1578729448529808</v>
      </c>
      <c r="C6499" t="s">
        <v>37</v>
      </c>
      <c r="D6499">
        <v>4.9227189999999998</v>
      </c>
      <c r="E6499">
        <v>0.51851000000000003</v>
      </c>
      <c r="F6499" t="s">
        <v>38</v>
      </c>
      <c r="G6499">
        <v>-187.4537</v>
      </c>
      <c r="H6499" s="1">
        <v>-3.4243110000000001E-6</v>
      </c>
      <c r="I6499">
        <v>6.5620690000000002</v>
      </c>
      <c r="J6499">
        <v>-187.5119</v>
      </c>
      <c r="K6499">
        <v>1.1031219999999999</v>
      </c>
      <c r="L6499">
        <v>-20.312619999999999</v>
      </c>
      <c r="M6499">
        <v>2.6875349999999999E-2</v>
      </c>
      <c r="N6499">
        <v>0</v>
      </c>
      <c r="O6499">
        <v>0.99963670000000004</v>
      </c>
      <c r="P6499">
        <v>-4.3788149999999998E-2</v>
      </c>
      <c r="Q6499">
        <v>1.0850469999999999E-2</v>
      </c>
      <c r="R6499">
        <v>0.99898189999999998</v>
      </c>
      <c r="S6499">
        <v>7.5378419999999899E-3</v>
      </c>
      <c r="T6499">
        <v>-0.12164510000000001</v>
      </c>
      <c r="U6499">
        <v>3.0048520000000001</v>
      </c>
      <c r="V6499">
        <v>-7.0618089999999994E-2</v>
      </c>
      <c r="W6499">
        <v>1.2938440000000001E-2</v>
      </c>
      <c r="X6499">
        <v>0.99741950000000001</v>
      </c>
      <c r="Y6499">
        <v>-2.4369729999999999E-2</v>
      </c>
      <c r="Z6499">
        <v>-4.0421779999999997E-2</v>
      </c>
      <c r="AA6499">
        <v>0.99888549999999998</v>
      </c>
      <c r="AB6499">
        <v>36</v>
      </c>
      <c r="AC6499">
        <v>5.8199999999999301E-2</v>
      </c>
      <c r="AD6499">
        <v>-1.103125424311</v>
      </c>
      <c r="AE6499">
        <v>26.874689</v>
      </c>
      <c r="AF6499">
        <v>-0.66297219849334899</v>
      </c>
      <c r="AG6499">
        <v>-1.103125424311</v>
      </c>
      <c r="AH6499">
        <v>26.8213558487051</v>
      </c>
      <c r="AI6499">
        <v>92.3544507768584</v>
      </c>
      <c r="AJ6499">
        <v>91.415952861948298</v>
      </c>
      <c r="AK6499">
        <v>26.852216806077699</v>
      </c>
    </row>
    <row r="6500" spans="1:37" x14ac:dyDescent="0.2">
      <c r="A6500" t="str">
        <f>"20200111155728560"</f>
        <v>20200111155728560</v>
      </c>
      <c r="B6500" t="str">
        <f>"1578729448550304"</f>
        <v>1578729448550304</v>
      </c>
      <c r="C6500" t="s">
        <v>37</v>
      </c>
      <c r="D6500">
        <v>4.7460719999999998</v>
      </c>
      <c r="E6500">
        <v>0.51767399999999997</v>
      </c>
      <c r="F6500" t="s">
        <v>38</v>
      </c>
      <c r="G6500">
        <v>-187.43039999999999</v>
      </c>
      <c r="H6500" s="1">
        <v>-3.5716539999999899E-6</v>
      </c>
      <c r="I6500">
        <v>6.8959210000000004</v>
      </c>
      <c r="J6500">
        <v>-187.50239999999999</v>
      </c>
      <c r="K6500">
        <v>1.1031469999999901</v>
      </c>
      <c r="L6500">
        <v>-19.960049999999999</v>
      </c>
      <c r="M6500">
        <v>2.693806E-2</v>
      </c>
      <c r="N6500">
        <v>0</v>
      </c>
      <c r="O6500">
        <v>0.99963440000000003</v>
      </c>
      <c r="P6500">
        <v>-4.3879050000000003E-2</v>
      </c>
      <c r="Q6500">
        <v>1.0416430000000001E-2</v>
      </c>
      <c r="R6500">
        <v>0.9989825</v>
      </c>
      <c r="S6500">
        <v>9.0026859999999993E-3</v>
      </c>
      <c r="T6500">
        <v>-0.1218231</v>
      </c>
      <c r="U6500">
        <v>3.0047609999999998</v>
      </c>
      <c r="V6500">
        <v>-7.0771399999999998E-2</v>
      </c>
      <c r="W6500">
        <v>1.2740090000000001E-2</v>
      </c>
      <c r="X6500">
        <v>0.99741119999999905</v>
      </c>
      <c r="Y6500">
        <v>-2.394543E-2</v>
      </c>
      <c r="Z6500">
        <v>-4.0482129999999998E-2</v>
      </c>
      <c r="AA6500">
        <v>0.99889329999999998</v>
      </c>
      <c r="AB6500">
        <v>36</v>
      </c>
      <c r="AC6500">
        <v>7.2000000000002701E-2</v>
      </c>
      <c r="AD6500">
        <v>-1.10315057165399</v>
      </c>
      <c r="AE6500">
        <v>26.855971</v>
      </c>
      <c r="AF6500">
        <v>-0.65037847819913097</v>
      </c>
      <c r="AG6500">
        <v>-1.10315057165399</v>
      </c>
      <c r="AH6500">
        <v>26.802940769979799</v>
      </c>
      <c r="AI6500">
        <v>92.356146328389698</v>
      </c>
      <c r="AJ6500">
        <v>91.3900202640435</v>
      </c>
      <c r="AK6500">
        <v>26.833515745568899</v>
      </c>
    </row>
    <row r="6501" spans="1:37" x14ac:dyDescent="0.2">
      <c r="A6501" t="str">
        <f>"20200111155728580"</f>
        <v>20200111155728580</v>
      </c>
      <c r="B6501" t="str">
        <f>"1578729448569823"</f>
        <v>1578729448569823</v>
      </c>
      <c r="C6501" t="s">
        <v>37</v>
      </c>
      <c r="D6501">
        <v>4.8257719999999997</v>
      </c>
      <c r="E6501">
        <v>0.5172892</v>
      </c>
      <c r="F6501" t="s">
        <v>38</v>
      </c>
      <c r="G6501">
        <v>-187.48070000000001</v>
      </c>
      <c r="H6501" s="1">
        <v>-4.1173259999999998E-6</v>
      </c>
      <c r="I6501">
        <v>8.1886759999999992</v>
      </c>
      <c r="J6501">
        <v>-187.49340000000001</v>
      </c>
      <c r="K6501">
        <v>1.103173</v>
      </c>
      <c r="L6501">
        <v>-19.627379999999999</v>
      </c>
      <c r="M6501">
        <v>2.6997960000000001E-2</v>
      </c>
      <c r="N6501">
        <v>0</v>
      </c>
      <c r="O6501">
        <v>0.99963219999999997</v>
      </c>
      <c r="P6501">
        <v>-4.3704779999999999E-2</v>
      </c>
      <c r="Q6501">
        <v>9.8051000000000006E-3</v>
      </c>
      <c r="R6501">
        <v>0.99899640000000001</v>
      </c>
      <c r="S6501">
        <v>2.319336E-3</v>
      </c>
      <c r="T6501">
        <v>-0.1177425</v>
      </c>
      <c r="U6501">
        <v>3.0043950000000001</v>
      </c>
      <c r="V6501">
        <v>-7.0657600000000001E-2</v>
      </c>
      <c r="W6501">
        <v>1.235436E-2</v>
      </c>
      <c r="X6501">
        <v>0.99742410000000004</v>
      </c>
      <c r="Y6501">
        <v>-2.6226929999999999E-2</v>
      </c>
      <c r="Z6501">
        <v>-3.9131909999999999E-2</v>
      </c>
      <c r="AA6501">
        <v>0.99888980000000005</v>
      </c>
      <c r="AB6501">
        <v>36</v>
      </c>
      <c r="AC6501">
        <v>1.26999999999952E-2</v>
      </c>
      <c r="AD6501">
        <v>-1.1031771173260001</v>
      </c>
      <c r="AE6501">
        <v>27.816056</v>
      </c>
      <c r="AF6501">
        <v>-0.73712444718159698</v>
      </c>
      <c r="AG6501">
        <v>-1.1031771173260001</v>
      </c>
      <c r="AH6501">
        <v>27.762591942090999</v>
      </c>
      <c r="AI6501">
        <v>92.2747128544585</v>
      </c>
      <c r="AJ6501">
        <v>91.520902648195403</v>
      </c>
      <c r="AK6501">
        <v>27.7942775323605</v>
      </c>
    </row>
    <row r="6502" spans="1:37" x14ac:dyDescent="0.2">
      <c r="A6502" t="str">
        <f>"20200111155728602"</f>
        <v>20200111155728602</v>
      </c>
      <c r="B6502" t="str">
        <f>"1578729448589343"</f>
        <v>1578729448589343</v>
      </c>
      <c r="C6502" t="s">
        <v>37</v>
      </c>
      <c r="D6502">
        <v>4.7158749999999996</v>
      </c>
      <c r="E6502">
        <v>0.51721090000000003</v>
      </c>
      <c r="F6502" t="s">
        <v>38</v>
      </c>
      <c r="G6502">
        <v>-187.4948</v>
      </c>
      <c r="H6502" s="1">
        <v>-4.013002E-6</v>
      </c>
      <c r="I6502">
        <v>7.9513289999999897</v>
      </c>
      <c r="J6502">
        <v>-187.48400000000001</v>
      </c>
      <c r="K6502">
        <v>1.1031869999999999</v>
      </c>
      <c r="L6502">
        <v>-19.28201</v>
      </c>
      <c r="M6502">
        <v>2.7060250000000001E-2</v>
      </c>
      <c r="N6502">
        <v>0</v>
      </c>
      <c r="O6502">
        <v>0.99962999999999902</v>
      </c>
      <c r="P6502">
        <v>-4.333969E-2</v>
      </c>
      <c r="Q6502">
        <v>8.8408859999999992E-3</v>
      </c>
      <c r="R6502">
        <v>0.9990213</v>
      </c>
      <c r="S6502">
        <v>-1.5258789999999999E-4</v>
      </c>
      <c r="T6502">
        <v>-0.12017029999999999</v>
      </c>
      <c r="U6502">
        <v>3.004181</v>
      </c>
      <c r="V6502">
        <v>-7.0355260000000003E-2</v>
      </c>
      <c r="W6502">
        <v>1.1618659999999999E-2</v>
      </c>
      <c r="X6502">
        <v>0.99745430000000002</v>
      </c>
      <c r="Y6502">
        <v>-2.7111090000000001E-2</v>
      </c>
      <c r="Z6502">
        <v>-3.9939769999999999E-2</v>
      </c>
      <c r="AA6502">
        <v>0.99883419999999901</v>
      </c>
      <c r="AB6502">
        <v>36</v>
      </c>
      <c r="AC6502">
        <v>-1.0799999999989001E-2</v>
      </c>
      <c r="AD6502">
        <v>-1.103191013002</v>
      </c>
      <c r="AE6502">
        <v>27.233339000000001</v>
      </c>
      <c r="AF6502">
        <v>-0.74651480392554403</v>
      </c>
      <c r="AG6502">
        <v>-1.103191013002</v>
      </c>
      <c r="AH6502">
        <v>27.178474990122599</v>
      </c>
      <c r="AI6502">
        <v>92.323519572377094</v>
      </c>
      <c r="AJ6502">
        <v>91.573355241689299</v>
      </c>
      <c r="AK6502">
        <v>27.2110973235621</v>
      </c>
    </row>
    <row r="6503" spans="1:37" x14ac:dyDescent="0.2">
      <c r="A6503" t="str">
        <f>"20200111155728623"</f>
        <v>20200111155728623</v>
      </c>
      <c r="B6503" t="str">
        <f>"1578729448619600"</f>
        <v>1578729448619600</v>
      </c>
      <c r="C6503" t="s">
        <v>37</v>
      </c>
      <c r="D6503">
        <v>4.7509129999999997</v>
      </c>
      <c r="E6503">
        <v>0.51712360000000002</v>
      </c>
      <c r="F6503" t="s">
        <v>38</v>
      </c>
      <c r="G6503">
        <v>-187.48050000000001</v>
      </c>
      <c r="H6503" s="1">
        <v>-3.825514E-6</v>
      </c>
      <c r="I6503">
        <v>7.5083669999999998</v>
      </c>
      <c r="J6503">
        <v>-187.4742</v>
      </c>
      <c r="K6503">
        <v>1.1032090000000001</v>
      </c>
      <c r="L6503">
        <v>-18.921389999999999</v>
      </c>
      <c r="M6503">
        <v>2.712556E-2</v>
      </c>
      <c r="N6503">
        <v>0</v>
      </c>
      <c r="O6503">
        <v>0.9996275</v>
      </c>
      <c r="P6503">
        <v>-4.2594220000000002E-2</v>
      </c>
      <c r="Q6503">
        <v>7.9459100000000005E-3</v>
      </c>
      <c r="R6503">
        <v>0.99906090000000003</v>
      </c>
      <c r="S6503">
        <v>3.9672850000000001E-4</v>
      </c>
      <c r="T6503">
        <v>-0.1237029</v>
      </c>
      <c r="U6503">
        <v>3.0040589999999998</v>
      </c>
      <c r="V6503">
        <v>-6.9677050000000004E-2</v>
      </c>
      <c r="W6503">
        <v>1.095256E-2</v>
      </c>
      <c r="X6503">
        <v>0.99750949999999905</v>
      </c>
      <c r="Y6503">
        <v>-2.6993779999999998E-2</v>
      </c>
      <c r="Z6503">
        <v>-4.1113530000000002E-2</v>
      </c>
      <c r="AA6503">
        <v>0.99878979999999995</v>
      </c>
      <c r="AB6503">
        <v>36</v>
      </c>
      <c r="AC6503">
        <v>-6.3000000000101803E-3</v>
      </c>
      <c r="AD6503">
        <v>-1.1032128255139999</v>
      </c>
      <c r="AE6503">
        <v>26.429756999999999</v>
      </c>
      <c r="AF6503">
        <v>-0.72196498410433396</v>
      </c>
      <c r="AG6503">
        <v>-1.1032128255139999</v>
      </c>
      <c r="AH6503">
        <v>26.373908530805299</v>
      </c>
      <c r="AI6503">
        <v>92.394373315442806</v>
      </c>
      <c r="AJ6503">
        <v>91.568035270546503</v>
      </c>
      <c r="AK6503">
        <v>26.406843112495199</v>
      </c>
    </row>
    <row r="6504" spans="1:37" x14ac:dyDescent="0.2">
      <c r="A6504" t="str">
        <f>"20200111155728646"</f>
        <v>20200111155728646</v>
      </c>
      <c r="B6504" t="str">
        <f>"1578729448640095"</f>
        <v>1578729448640095</v>
      </c>
      <c r="C6504" t="s">
        <v>37</v>
      </c>
      <c r="D6504">
        <v>4.758597</v>
      </c>
      <c r="E6504">
        <v>0.51708140000000002</v>
      </c>
      <c r="F6504" t="s">
        <v>38</v>
      </c>
      <c r="G6504">
        <v>-187.458</v>
      </c>
      <c r="H6504" s="1">
        <v>-3.6862869999999899E-6</v>
      </c>
      <c r="I6504">
        <v>7.174544</v>
      </c>
      <c r="J6504">
        <v>-187.4639</v>
      </c>
      <c r="K6504">
        <v>1.1032329999999999</v>
      </c>
      <c r="L6504">
        <v>-18.54205</v>
      </c>
      <c r="M6504">
        <v>2.719442E-2</v>
      </c>
      <c r="N6504">
        <v>0</v>
      </c>
      <c r="O6504">
        <v>0.99962499999999999</v>
      </c>
      <c r="P6504">
        <v>-4.1984649999999998E-2</v>
      </c>
      <c r="Q6504">
        <v>7.1864980000000004E-3</v>
      </c>
      <c r="R6504">
        <v>0.99909239999999999</v>
      </c>
      <c r="S6504">
        <v>1.8615719999999999E-3</v>
      </c>
      <c r="T6504">
        <v>-0.12699089999999999</v>
      </c>
      <c r="U6504">
        <v>3.0039060000000002</v>
      </c>
      <c r="V6504">
        <v>-6.9137100000000007E-2</v>
      </c>
      <c r="W6504">
        <v>1.041853E-2</v>
      </c>
      <c r="X6504">
        <v>0.99755280000000002</v>
      </c>
      <c r="Y6504">
        <v>-2.6575620000000001E-2</v>
      </c>
      <c r="Z6504">
        <v>-4.2206649999999998E-2</v>
      </c>
      <c r="AA6504">
        <v>0.99875539999999996</v>
      </c>
      <c r="AB6504">
        <v>36</v>
      </c>
      <c r="AC6504">
        <v>5.8999999999968999E-3</v>
      </c>
      <c r="AD6504">
        <v>-1.103236686287</v>
      </c>
      <c r="AE6504">
        <v>25.716594000000001</v>
      </c>
      <c r="AF6504">
        <v>-0.69217976744104204</v>
      </c>
      <c r="AG6504">
        <v>-1.103236686287</v>
      </c>
      <c r="AH6504">
        <v>25.660018903226501</v>
      </c>
      <c r="AI6504">
        <v>92.460986398907195</v>
      </c>
      <c r="AJ6504">
        <v>91.545180631823499</v>
      </c>
      <c r="AK6504">
        <v>25.6930499188081</v>
      </c>
    </row>
    <row r="6505" spans="1:37" x14ac:dyDescent="0.2">
      <c r="A6505" t="str">
        <f>"20200111155728669"</f>
        <v>20200111155728669</v>
      </c>
      <c r="B6505" t="str">
        <f>"1578729448659616"</f>
        <v>1578729448659616</v>
      </c>
      <c r="C6505" t="s">
        <v>37</v>
      </c>
      <c r="D6505">
        <v>4.7531319999999999</v>
      </c>
      <c r="E6505">
        <v>0.5170652</v>
      </c>
      <c r="F6505" t="s">
        <v>38</v>
      </c>
      <c r="G6505">
        <v>-187.43620000000001</v>
      </c>
      <c r="H6505" s="1">
        <v>-3.5732349999999998E-6</v>
      </c>
      <c r="I6505">
        <v>6.9019919999999999</v>
      </c>
      <c r="J6505">
        <v>-187.4539</v>
      </c>
      <c r="K6505">
        <v>1.103248</v>
      </c>
      <c r="L6505">
        <v>-18.178379999999901</v>
      </c>
      <c r="M6505">
        <v>2.726052E-2</v>
      </c>
      <c r="N6505">
        <v>0</v>
      </c>
      <c r="O6505">
        <v>0.99962249999999997</v>
      </c>
      <c r="P6505">
        <v>-4.1121100000000001E-2</v>
      </c>
      <c r="Q6505">
        <v>6.59699999999999E-3</v>
      </c>
      <c r="R6505">
        <v>0.99913240000000003</v>
      </c>
      <c r="S6505">
        <v>3.2653809999999999E-3</v>
      </c>
      <c r="T6505">
        <v>-0.13024340000000001</v>
      </c>
      <c r="U6505">
        <v>3.0038149999999999</v>
      </c>
      <c r="V6505">
        <v>-6.8340590000000007E-2</v>
      </c>
      <c r="W6505">
        <v>1.002897E-2</v>
      </c>
      <c r="X6505">
        <v>0.99761160000000004</v>
      </c>
      <c r="Y6505">
        <v>-2.6175E-2</v>
      </c>
      <c r="Z6505">
        <v>-4.3287060000000002E-2</v>
      </c>
      <c r="AA6505">
        <v>0.99871980000000005</v>
      </c>
      <c r="AB6505">
        <v>36</v>
      </c>
      <c r="AC6505">
        <v>1.7699999999990699E-2</v>
      </c>
      <c r="AD6505">
        <v>-1.1032515732349999</v>
      </c>
      <c r="AE6505">
        <v>25.080372000000001</v>
      </c>
      <c r="AF6505">
        <v>-0.66472831840437296</v>
      </c>
      <c r="AG6505">
        <v>-1.1032515732349999</v>
      </c>
      <c r="AH6505">
        <v>25.023113886862699</v>
      </c>
      <c r="AI6505">
        <v>92.523606777199902</v>
      </c>
      <c r="AJ6505">
        <v>91.521680007633407</v>
      </c>
      <c r="AK6505">
        <v>25.056241864374599</v>
      </c>
    </row>
    <row r="6506" spans="1:37" x14ac:dyDescent="0.2">
      <c r="A6506" t="str">
        <f>"20200111155728690"</f>
        <v>20200111155728690</v>
      </c>
      <c r="B6506" t="str">
        <f>"1578729448680111"</f>
        <v>1578729448680111</v>
      </c>
      <c r="C6506" t="s">
        <v>37</v>
      </c>
      <c r="D6506">
        <v>5.1433119999999999</v>
      </c>
      <c r="E6506">
        <v>0.51710780000000001</v>
      </c>
      <c r="F6506" t="s">
        <v>38</v>
      </c>
      <c r="G6506">
        <v>-187.40530000000001</v>
      </c>
      <c r="H6506" s="1">
        <v>-3.5715320000000001E-6</v>
      </c>
      <c r="I6506">
        <v>6.8852399999999996</v>
      </c>
      <c r="J6506">
        <v>-187.4442</v>
      </c>
      <c r="K6506">
        <v>1.1032569999999999</v>
      </c>
      <c r="L6506">
        <v>-17.824490000000001</v>
      </c>
      <c r="M6506">
        <v>2.7324850000000001E-2</v>
      </c>
      <c r="N6506">
        <v>0</v>
      </c>
      <c r="O6506">
        <v>0.99962009999999901</v>
      </c>
      <c r="P6506">
        <v>-4.0772599999999999E-2</v>
      </c>
      <c r="Q6506">
        <v>6.5637239999999999E-3</v>
      </c>
      <c r="R6506">
        <v>0.99914689999999995</v>
      </c>
      <c r="S6506">
        <v>5.8288569999999998E-3</v>
      </c>
      <c r="T6506">
        <v>-0.132218</v>
      </c>
      <c r="U6506">
        <v>3.0037229999999999</v>
      </c>
      <c r="V6506">
        <v>-6.8056989999999998E-2</v>
      </c>
      <c r="W6506">
        <v>1.0174880000000001E-2</v>
      </c>
      <c r="X6506">
        <v>0.99762949999999995</v>
      </c>
      <c r="Y6506">
        <v>-2.5387030000000001E-2</v>
      </c>
      <c r="Z6506">
        <v>-4.3943709999999997E-2</v>
      </c>
      <c r="AA6506">
        <v>0.99871139999999903</v>
      </c>
      <c r="AB6506">
        <v>37</v>
      </c>
      <c r="AC6506">
        <v>3.8899999999983899E-2</v>
      </c>
      <c r="AD6506">
        <v>-1.1032605715320001</v>
      </c>
      <c r="AE6506">
        <v>24.70973</v>
      </c>
      <c r="AF6506">
        <v>-0.63504261669560402</v>
      </c>
      <c r="AG6506">
        <v>-1.1032605715320001</v>
      </c>
      <c r="AH6506">
        <v>24.652421444885899</v>
      </c>
      <c r="AI6506">
        <v>92.561578152179393</v>
      </c>
      <c r="AJ6506">
        <v>91.475604211081304</v>
      </c>
      <c r="AK6506">
        <v>24.685265769482498</v>
      </c>
    </row>
    <row r="6507" spans="1:37" x14ac:dyDescent="0.2">
      <c r="A6507" t="str">
        <f>"20200111155728714"</f>
        <v>20200111155728714</v>
      </c>
      <c r="B6507" t="str">
        <f>"1578729448709932"</f>
        <v>1578729448709932</v>
      </c>
      <c r="C6507" t="s">
        <v>37</v>
      </c>
      <c r="D6507">
        <v>4.8899349999999897</v>
      </c>
      <c r="E6507">
        <v>0.51698829999999996</v>
      </c>
      <c r="F6507" t="s">
        <v>38</v>
      </c>
      <c r="G6507">
        <v>-187.38409999999999</v>
      </c>
      <c r="H6507" s="1">
        <v>-3.7046009999999999E-6</v>
      </c>
      <c r="I6507">
        <v>7.1866690000000002</v>
      </c>
      <c r="J6507">
        <v>-187.43350000000001</v>
      </c>
      <c r="K6507">
        <v>1.103267</v>
      </c>
      <c r="L6507">
        <v>-17.435359999999999</v>
      </c>
      <c r="M6507">
        <v>2.7395610000000001E-2</v>
      </c>
      <c r="N6507">
        <v>0</v>
      </c>
      <c r="O6507">
        <v>0.99961749999999905</v>
      </c>
      <c r="P6507">
        <v>-4.167262E-2</v>
      </c>
      <c r="Q6507">
        <v>6.8608130000000003E-3</v>
      </c>
      <c r="R6507">
        <v>0.99910779999999999</v>
      </c>
      <c r="S6507">
        <v>7.2174069999999899E-3</v>
      </c>
      <c r="T6507">
        <v>-0.13249649999999999</v>
      </c>
      <c r="U6507">
        <v>3.0037229999999999</v>
      </c>
      <c r="V6507">
        <v>-6.9026089999999998E-2</v>
      </c>
      <c r="W6507">
        <v>1.065455E-2</v>
      </c>
      <c r="X6507">
        <v>0.9975579</v>
      </c>
      <c r="Y6507">
        <v>-2.4996150000000002E-2</v>
      </c>
      <c r="Z6507">
        <v>-4.4036150000000003E-2</v>
      </c>
      <c r="AA6507">
        <v>0.99871719999999897</v>
      </c>
      <c r="AB6507">
        <v>37</v>
      </c>
      <c r="AC6507">
        <v>4.9400000000019803E-2</v>
      </c>
      <c r="AD6507">
        <v>-1.103270704601</v>
      </c>
      <c r="AE6507">
        <v>24.622029000000001</v>
      </c>
      <c r="AF6507">
        <v>-0.62390621754333098</v>
      </c>
      <c r="AG6507">
        <v>-1.103270704601</v>
      </c>
      <c r="AH6507">
        <v>24.564820231772298</v>
      </c>
      <c r="AI6507">
        <v>92.570748128727104</v>
      </c>
      <c r="AJ6507">
        <v>91.454906209433602</v>
      </c>
      <c r="AK6507">
        <v>24.597496991263299</v>
      </c>
    </row>
    <row r="6508" spans="1:37" x14ac:dyDescent="0.2">
      <c r="A6508" t="str">
        <f>"20200111155728736"</f>
        <v>20200111155728736</v>
      </c>
      <c r="B6508" t="str">
        <f>"1578729448729451"</f>
        <v>1578729448729451</v>
      </c>
      <c r="C6508" t="s">
        <v>37</v>
      </c>
      <c r="D6508">
        <v>5.0835080000000001</v>
      </c>
      <c r="E6508">
        <v>0.5168334</v>
      </c>
      <c r="F6508" t="s">
        <v>38</v>
      </c>
      <c r="G6508">
        <v>-187.40190000000001</v>
      </c>
      <c r="H6508" s="1">
        <v>-3.8477469999999998E-6</v>
      </c>
      <c r="I6508">
        <v>7.5277209999999997</v>
      </c>
      <c r="J6508">
        <v>-187.42339999999999</v>
      </c>
      <c r="K6508">
        <v>1.1032819999999901</v>
      </c>
      <c r="L6508">
        <v>-17.0654</v>
      </c>
      <c r="M6508">
        <v>2.746287E-2</v>
      </c>
      <c r="N6508">
        <v>0</v>
      </c>
      <c r="O6508">
        <v>0.99961499999999903</v>
      </c>
      <c r="P6508">
        <v>-4.3234790000000002E-2</v>
      </c>
      <c r="Q6508">
        <v>7.4838939999999996E-3</v>
      </c>
      <c r="R6508">
        <v>0.99903690000000001</v>
      </c>
      <c r="S6508">
        <v>3.799438E-3</v>
      </c>
      <c r="T6508">
        <v>-0.13275410000000001</v>
      </c>
      <c r="U6508">
        <v>3.0037539999999998</v>
      </c>
      <c r="V6508">
        <v>-7.0653129999999995E-2</v>
      </c>
      <c r="W6508">
        <v>1.143985E-2</v>
      </c>
      <c r="X6508">
        <v>0.99743530000000002</v>
      </c>
      <c r="Y6508">
        <v>-2.619987E-2</v>
      </c>
      <c r="Z6508">
        <v>-4.412042E-2</v>
      </c>
      <c r="AA6508">
        <v>0.99868259999999898</v>
      </c>
      <c r="AB6508">
        <v>37</v>
      </c>
      <c r="AC6508">
        <v>2.1499999999974699E-2</v>
      </c>
      <c r="AD6508">
        <v>-1.10328584774699</v>
      </c>
      <c r="AE6508">
        <v>24.593121</v>
      </c>
      <c r="AF6508">
        <v>-0.65259768596567502</v>
      </c>
      <c r="AG6508">
        <v>-1.10328584774699</v>
      </c>
      <c r="AH6508">
        <v>24.535057149574602</v>
      </c>
      <c r="AI6508">
        <v>92.573817599090702</v>
      </c>
      <c r="AJ6508">
        <v>91.523627141627799</v>
      </c>
      <c r="AK6508">
        <v>24.568519547063801</v>
      </c>
    </row>
    <row r="6509" spans="1:37" x14ac:dyDescent="0.2">
      <c r="A6509" t="str">
        <f>"20200111155728752"</f>
        <v>20200111155728752</v>
      </c>
      <c r="B6509" t="str">
        <f>"1578729448749947"</f>
        <v>1578729448749947</v>
      </c>
      <c r="C6509" t="s">
        <v>37</v>
      </c>
      <c r="D6509">
        <v>4.9339190000000004</v>
      </c>
      <c r="E6509">
        <v>0.51675959999999999</v>
      </c>
      <c r="F6509" t="s">
        <v>38</v>
      </c>
      <c r="G6509">
        <v>-187.43899999999999</v>
      </c>
      <c r="H6509" s="1">
        <v>-4.1365330000000004E-6</v>
      </c>
      <c r="I6509">
        <v>8.2162220000000001</v>
      </c>
      <c r="J6509">
        <v>-187.4162</v>
      </c>
      <c r="K6509">
        <v>1.1032899999999899</v>
      </c>
      <c r="L6509">
        <v>-16.8049</v>
      </c>
      <c r="M6509">
        <v>2.751021E-2</v>
      </c>
      <c r="N6509">
        <v>0</v>
      </c>
      <c r="O6509">
        <v>0.99961329999999904</v>
      </c>
      <c r="P6509">
        <v>-4.4363149999999997E-2</v>
      </c>
      <c r="Q6509">
        <v>7.7991229999999998E-3</v>
      </c>
      <c r="R6509">
        <v>0.99898509999999996</v>
      </c>
      <c r="S6509">
        <v>-1.8615719999999999E-3</v>
      </c>
      <c r="T6509">
        <v>-0.1310847</v>
      </c>
      <c r="U6509">
        <v>3.003784</v>
      </c>
      <c r="V6509">
        <v>-7.1826550000000003E-2</v>
      </c>
      <c r="W6509">
        <v>1.186135E-2</v>
      </c>
      <c r="X6509">
        <v>0.99734659999999997</v>
      </c>
      <c r="Y6509">
        <v>-2.8129339999999999E-2</v>
      </c>
      <c r="Z6509">
        <v>-4.3564980000000003E-2</v>
      </c>
      <c r="AA6509">
        <v>0.9986545</v>
      </c>
      <c r="AB6509">
        <v>37</v>
      </c>
      <c r="AC6509">
        <v>-2.28000000000179E-2</v>
      </c>
      <c r="AD6509">
        <v>-1.10329413653299</v>
      </c>
      <c r="AE6509">
        <v>25.021121999999998</v>
      </c>
      <c r="AF6509">
        <v>-0.70975335832750597</v>
      </c>
      <c r="AG6509">
        <v>-1.10329413653299</v>
      </c>
      <c r="AH6509">
        <v>24.962489501572701</v>
      </c>
      <c r="AI6509">
        <v>92.529695478784703</v>
      </c>
      <c r="AJ6509">
        <v>91.628640397298696</v>
      </c>
      <c r="AK6509">
        <v>24.996937610385199</v>
      </c>
    </row>
    <row r="6510" spans="1:37" x14ac:dyDescent="0.2">
      <c r="A6510" t="str">
        <f>"20200111155728770"</f>
        <v>20200111155728770</v>
      </c>
      <c r="B6510" t="str">
        <f>"1578729448759707"</f>
        <v>1578729448759707</v>
      </c>
      <c r="C6510" t="s">
        <v>37</v>
      </c>
      <c r="D6510">
        <v>4.981719</v>
      </c>
      <c r="E6510">
        <v>0.51675859999999996</v>
      </c>
      <c r="F6510" t="s">
        <v>38</v>
      </c>
      <c r="G6510">
        <v>-187.46629999999999</v>
      </c>
      <c r="H6510" s="1">
        <v>-4.2574979999999998E-6</v>
      </c>
      <c r="I6510">
        <v>8.5094759999999994</v>
      </c>
      <c r="J6510">
        <v>-187.40809999999999</v>
      </c>
      <c r="K6510">
        <v>1.103307</v>
      </c>
      <c r="L6510">
        <v>-16.514220000000002</v>
      </c>
      <c r="M6510">
        <v>2.7563020000000001E-2</v>
      </c>
      <c r="N6510">
        <v>0</v>
      </c>
      <c r="O6510">
        <v>0.99961139999999904</v>
      </c>
      <c r="P6510">
        <v>-4.5792390000000002E-2</v>
      </c>
      <c r="Q6510">
        <v>8.4398689999999991E-3</v>
      </c>
      <c r="R6510">
        <v>0.99891529999999995</v>
      </c>
      <c r="S6510">
        <v>-5.9509280000000003E-3</v>
      </c>
      <c r="T6510">
        <v>-0.13091729999999999</v>
      </c>
      <c r="U6510">
        <v>3.0038149999999999</v>
      </c>
      <c r="V6510">
        <v>-7.3305780000000001E-2</v>
      </c>
      <c r="W6510">
        <v>1.261613E-2</v>
      </c>
      <c r="X6510">
        <v>0.997229699999999</v>
      </c>
      <c r="Y6510">
        <v>-2.9541689999999999E-2</v>
      </c>
      <c r="Z6510">
        <v>-4.3507990000000003E-2</v>
      </c>
      <c r="AA6510">
        <v>0.99861619999999995</v>
      </c>
      <c r="AB6510">
        <v>37</v>
      </c>
      <c r="AC6510">
        <v>-5.8199999999999301E-2</v>
      </c>
      <c r="AD6510">
        <v>-1.103311257498</v>
      </c>
      <c r="AE6510">
        <v>25.023696000000001</v>
      </c>
      <c r="AF6510">
        <v>-0.746461394252387</v>
      </c>
      <c r="AG6510">
        <v>-1.103311257498</v>
      </c>
      <c r="AH6510">
        <v>24.964054828679199</v>
      </c>
      <c r="AI6510">
        <v>92.529468144416199</v>
      </c>
      <c r="AJ6510">
        <v>91.712716464605293</v>
      </c>
      <c r="AK6510">
        <v>24.999570672980202</v>
      </c>
    </row>
    <row r="6511" spans="1:37" x14ac:dyDescent="0.2">
      <c r="A6511" t="str">
        <f>"20200111155728792"</f>
        <v>20200111155728792</v>
      </c>
      <c r="B6511" t="str">
        <f>"1578729448789963"</f>
        <v>1578729448789963</v>
      </c>
      <c r="C6511" t="s">
        <v>37</v>
      </c>
      <c r="D6511">
        <v>5.0537109999999998</v>
      </c>
      <c r="E6511">
        <v>0.51662059999999999</v>
      </c>
      <c r="F6511" t="s">
        <v>38</v>
      </c>
      <c r="G6511">
        <v>-187.49639999999999</v>
      </c>
      <c r="H6511" s="1">
        <v>-4.4968190000000002E-6</v>
      </c>
      <c r="I6511">
        <v>9.0797709999999991</v>
      </c>
      <c r="J6511">
        <v>-187.398</v>
      </c>
      <c r="K6511">
        <v>1.1033230000000001</v>
      </c>
      <c r="L6511">
        <v>-16.148350000000001</v>
      </c>
      <c r="M6511">
        <v>2.7629219999999999E-2</v>
      </c>
      <c r="N6511">
        <v>0</v>
      </c>
      <c r="O6511">
        <v>0.99960890000000002</v>
      </c>
      <c r="P6511">
        <v>-4.66332E-2</v>
      </c>
      <c r="Q6511">
        <v>9.1781850000000002E-3</v>
      </c>
      <c r="R6511">
        <v>0.99886989999999998</v>
      </c>
      <c r="S6511">
        <v>-1.036072E-2</v>
      </c>
      <c r="T6511">
        <v>-0.12949169999999999</v>
      </c>
      <c r="U6511">
        <v>3.003876</v>
      </c>
      <c r="V6511">
        <v>-7.4210760000000001E-2</v>
      </c>
      <c r="W6511">
        <v>1.349057E-2</v>
      </c>
      <c r="X6511">
        <v>0.99715129999999996</v>
      </c>
      <c r="Y6511">
        <v>-3.107389E-2</v>
      </c>
      <c r="Z6511">
        <v>-4.303303E-2</v>
      </c>
      <c r="AA6511">
        <v>0.99859030000000004</v>
      </c>
      <c r="AB6511">
        <v>37</v>
      </c>
      <c r="AC6511">
        <v>-9.8399999999998003E-2</v>
      </c>
      <c r="AD6511">
        <v>-1.1033274968190001</v>
      </c>
      <c r="AE6511">
        <v>25.228121000000002</v>
      </c>
      <c r="AF6511">
        <v>-0.793883836165999</v>
      </c>
      <c r="AG6511">
        <v>-1.1033274968190001</v>
      </c>
      <c r="AH6511">
        <v>25.167634458630399</v>
      </c>
      <c r="AI6511">
        <v>92.508944230354999</v>
      </c>
      <c r="AJ6511">
        <v>91.806729823855093</v>
      </c>
      <c r="AK6511">
        <v>25.204313268839599</v>
      </c>
    </row>
    <row r="6512" spans="1:37" x14ac:dyDescent="0.2">
      <c r="A6512" t="str">
        <f>"20200111155728815"</f>
        <v>20200111155728815</v>
      </c>
      <c r="B6512" t="str">
        <f>"1578729448809283"</f>
        <v>1578729448809283</v>
      </c>
      <c r="C6512" t="s">
        <v>37</v>
      </c>
      <c r="D6512">
        <v>5.0101440000000004</v>
      </c>
      <c r="E6512">
        <v>0.51652290000000001</v>
      </c>
      <c r="F6512" t="s">
        <v>38</v>
      </c>
      <c r="G6512">
        <v>-187.52080000000001</v>
      </c>
      <c r="H6512" s="1">
        <v>-7.3590899999999995E-7</v>
      </c>
      <c r="I6512">
        <v>9.8721209999999999</v>
      </c>
      <c r="J6512">
        <v>-187.38740000000001</v>
      </c>
      <c r="K6512">
        <v>1.1033379999999999</v>
      </c>
      <c r="L6512">
        <v>-15.7681</v>
      </c>
      <c r="M6512">
        <v>2.7693809999999999E-2</v>
      </c>
      <c r="N6512">
        <v>0</v>
      </c>
      <c r="O6512">
        <v>0.99960649999999995</v>
      </c>
      <c r="P6512">
        <v>-4.7817760000000001E-2</v>
      </c>
      <c r="Q6512">
        <v>1.104134E-2</v>
      </c>
      <c r="R6512">
        <v>0.99879499999999999</v>
      </c>
      <c r="S6512">
        <v>-1.4175419999999999E-2</v>
      </c>
      <c r="T6512">
        <v>-0.12737209999999999</v>
      </c>
      <c r="U6512">
        <v>3.0039060000000002</v>
      </c>
      <c r="V6512">
        <v>-7.5457109999999994E-2</v>
      </c>
      <c r="W6512">
        <v>1.548688E-2</v>
      </c>
      <c r="X6512">
        <v>0.99702880000000005</v>
      </c>
      <c r="Y6512">
        <v>-3.2406669999999999E-2</v>
      </c>
      <c r="Z6512">
        <v>-4.2328379999999999E-2</v>
      </c>
      <c r="AA6512">
        <v>0.99857809999999902</v>
      </c>
      <c r="AB6512">
        <v>37</v>
      </c>
      <c r="AC6512">
        <v>-0.133399999999994</v>
      </c>
      <c r="AD6512">
        <v>-1.1033387359089999</v>
      </c>
      <c r="AE6512">
        <v>25.640221</v>
      </c>
      <c r="AF6512">
        <v>-0.841872441350623</v>
      </c>
      <c r="AG6512">
        <v>-1.1033387359089999</v>
      </c>
      <c r="AH6512">
        <v>25.579327831296499</v>
      </c>
      <c r="AI6512">
        <v>92.468530213999003</v>
      </c>
      <c r="AJ6512">
        <v>91.885050805937496</v>
      </c>
      <c r="AK6512">
        <v>25.6169498159833</v>
      </c>
    </row>
    <row r="6513" spans="1:37" x14ac:dyDescent="0.2">
      <c r="A6513" t="str">
        <f>"20200111155728836"</f>
        <v>20200111155728836</v>
      </c>
      <c r="B6513" t="str">
        <f>"1578729448829779"</f>
        <v>1578729448829779</v>
      </c>
      <c r="C6513" t="s">
        <v>37</v>
      </c>
      <c r="D6513">
        <v>5.0562509999999996</v>
      </c>
      <c r="E6513">
        <v>0.51662180000000002</v>
      </c>
      <c r="F6513" t="s">
        <v>38</v>
      </c>
      <c r="G6513">
        <v>-187.553</v>
      </c>
      <c r="H6513" s="1">
        <v>-1.214999E-6</v>
      </c>
      <c r="I6513">
        <v>11.30514</v>
      </c>
      <c r="J6513">
        <v>-187.37710000000001</v>
      </c>
      <c r="K6513">
        <v>1.103361</v>
      </c>
      <c r="L6513">
        <v>-15.39615</v>
      </c>
      <c r="M6513">
        <v>2.7744910000000001E-2</v>
      </c>
      <c r="N6513">
        <v>0</v>
      </c>
      <c r="O6513">
        <v>0.99960459999999995</v>
      </c>
      <c r="P6513">
        <v>-4.9155869999999997E-2</v>
      </c>
      <c r="Q6513">
        <v>1.357359E-2</v>
      </c>
      <c r="R6513">
        <v>0.99869889999999995</v>
      </c>
      <c r="S6513">
        <v>-1.8371579999999998E-2</v>
      </c>
      <c r="T6513">
        <v>-0.1224283</v>
      </c>
      <c r="U6513">
        <v>3.004089</v>
      </c>
      <c r="V6513">
        <v>-7.6842779999999999E-2</v>
      </c>
      <c r="W6513">
        <v>1.8143909999999999E-2</v>
      </c>
      <c r="X6513">
        <v>0.99687809999999899</v>
      </c>
      <c r="Y6513">
        <v>-3.3852670000000001E-2</v>
      </c>
      <c r="Z6513">
        <v>-4.0684529999999997E-2</v>
      </c>
      <c r="AA6513">
        <v>0.9985984</v>
      </c>
      <c r="AB6513">
        <v>37</v>
      </c>
      <c r="AC6513">
        <v>-0.17589999999998401</v>
      </c>
      <c r="AD6513">
        <v>-1.1033622149989999</v>
      </c>
      <c r="AE6513">
        <v>26.70129</v>
      </c>
      <c r="AF6513">
        <v>-0.91510239044792596</v>
      </c>
      <c r="AG6513">
        <v>-1.1033622149989999</v>
      </c>
      <c r="AH6513">
        <v>26.640642290082098</v>
      </c>
      <c r="AI6513">
        <v>92.370239014138093</v>
      </c>
      <c r="AJ6513">
        <v>91.967328612892402</v>
      </c>
      <c r="AK6513">
        <v>26.679179938495199</v>
      </c>
    </row>
    <row r="6514" spans="1:37" x14ac:dyDescent="0.2">
      <c r="A6514" t="str">
        <f>"20200111155728870"</f>
        <v>20200111155728870</v>
      </c>
      <c r="B6514" t="str">
        <f>"1578729448860034"</f>
        <v>1578729448860034</v>
      </c>
      <c r="C6514" t="s">
        <v>37</v>
      </c>
      <c r="D6514">
        <v>5.0706550000000004</v>
      </c>
      <c r="E6514">
        <v>0.51667209999999997</v>
      </c>
      <c r="F6514" t="s">
        <v>38</v>
      </c>
      <c r="G6514">
        <v>-187.5796</v>
      </c>
      <c r="H6514" s="1">
        <v>-1.991067E-6</v>
      </c>
      <c r="I6514">
        <v>13.273199999999999</v>
      </c>
      <c r="J6514">
        <v>-187.3613</v>
      </c>
      <c r="K6514">
        <v>1.1033999999999999</v>
      </c>
      <c r="L6514">
        <v>-14.82837</v>
      </c>
      <c r="M6514">
        <v>2.7790860000000001E-2</v>
      </c>
      <c r="N6514">
        <v>0</v>
      </c>
      <c r="O6514">
        <v>0.999602399999999</v>
      </c>
      <c r="P6514">
        <v>-4.8458399999999999E-2</v>
      </c>
      <c r="Q6514">
        <v>1.3163080000000001E-2</v>
      </c>
      <c r="R6514">
        <v>0.99873849999999997</v>
      </c>
      <c r="S6514">
        <v>-2.1224980000000001E-2</v>
      </c>
      <c r="T6514">
        <v>-0.1156278</v>
      </c>
      <c r="U6514">
        <v>3.0044249999999999</v>
      </c>
      <c r="V6514">
        <v>-7.6193300000000005E-2</v>
      </c>
      <c r="W6514">
        <v>1.7913169999999999E-2</v>
      </c>
      <c r="X6514">
        <v>0.99693209999999999</v>
      </c>
      <c r="Y6514">
        <v>-3.4846920000000003E-2</v>
      </c>
      <c r="Z6514">
        <v>-3.8422919999999999E-2</v>
      </c>
      <c r="AA6514">
        <v>0.99865380000000004</v>
      </c>
      <c r="AB6514">
        <v>38</v>
      </c>
      <c r="AC6514">
        <v>-0.21829999999999899</v>
      </c>
      <c r="AD6514">
        <v>-1.1034019910670001</v>
      </c>
      <c r="AE6514">
        <v>28.101569999999999</v>
      </c>
      <c r="AF6514">
        <v>-0.99765333515444499</v>
      </c>
      <c r="AG6514">
        <v>-1.1034019910670001</v>
      </c>
      <c r="AH6514">
        <v>28.041419480885001</v>
      </c>
      <c r="AI6514">
        <v>92.251946151235003</v>
      </c>
      <c r="AJ6514">
        <v>92.037601053404103</v>
      </c>
      <c r="AK6514">
        <v>28.080847826125101</v>
      </c>
    </row>
    <row r="6515" spans="1:37" x14ac:dyDescent="0.2">
      <c r="A6515" t="str">
        <f>"20200111155728892"</f>
        <v>20200111155728892</v>
      </c>
      <c r="B6515" t="str">
        <f>"1578729448889315"</f>
        <v>1578729448889315</v>
      </c>
      <c r="C6515" t="s">
        <v>37</v>
      </c>
      <c r="D6515">
        <v>5.2383179999999996</v>
      </c>
      <c r="E6515">
        <v>0.51655689999999999</v>
      </c>
      <c r="F6515" t="s">
        <v>38</v>
      </c>
      <c r="G6515">
        <v>-187.5318</v>
      </c>
      <c r="H6515" s="1">
        <v>-1.9486770000000001E-6</v>
      </c>
      <c r="I6515">
        <v>13.154629999999999</v>
      </c>
      <c r="J6515">
        <v>-187.351</v>
      </c>
      <c r="K6515">
        <v>1.103416</v>
      </c>
      <c r="L6515">
        <v>-14.457610000000001</v>
      </c>
      <c r="M6515">
        <v>2.7794940000000001E-2</v>
      </c>
      <c r="N6515">
        <v>0</v>
      </c>
      <c r="O6515">
        <v>0.99960179999999998</v>
      </c>
      <c r="P6515">
        <v>-4.7360649999999997E-2</v>
      </c>
      <c r="Q6515">
        <v>1.214225E-2</v>
      </c>
      <c r="R6515">
        <v>0.99880400000000003</v>
      </c>
      <c r="S6515">
        <v>-1.8310549999999998E-2</v>
      </c>
      <c r="T6515">
        <v>-0.11846909999999999</v>
      </c>
      <c r="U6515">
        <v>3.0044559999999998</v>
      </c>
      <c r="V6515">
        <v>-7.5102520000000006E-2</v>
      </c>
      <c r="W6515">
        <v>1.7003020000000001E-2</v>
      </c>
      <c r="X6515">
        <v>0.99703090000000005</v>
      </c>
      <c r="Y6515">
        <v>-3.3882019999999999E-2</v>
      </c>
      <c r="Z6515">
        <v>-3.9366020000000002E-2</v>
      </c>
      <c r="AA6515">
        <v>0.99865029999999999</v>
      </c>
      <c r="AB6515">
        <v>38</v>
      </c>
      <c r="AC6515">
        <v>-0.18080000000000401</v>
      </c>
      <c r="AD6515">
        <v>-1.1034179486769999</v>
      </c>
      <c r="AE6515">
        <v>27.61224</v>
      </c>
      <c r="AF6515">
        <v>-0.94670805768720401</v>
      </c>
      <c r="AG6515">
        <v>-1.1034179486769999</v>
      </c>
      <c r="AH6515">
        <v>27.552549576092701</v>
      </c>
      <c r="AI6515">
        <v>92.291991091034504</v>
      </c>
      <c r="AJ6515">
        <v>91.967913881358299</v>
      </c>
      <c r="AK6515">
        <v>27.590882107301301</v>
      </c>
    </row>
    <row r="6516" spans="1:37" x14ac:dyDescent="0.2">
      <c r="A6516" t="str">
        <f>"20200111155728914"</f>
        <v>20200111155728914</v>
      </c>
      <c r="B6516" t="str">
        <f>"1578729448909811"</f>
        <v>1578729448909811</v>
      </c>
      <c r="C6516" t="s">
        <v>37</v>
      </c>
      <c r="D6516">
        <v>5.1298639999999898</v>
      </c>
      <c r="E6516">
        <v>0.51645419999999997</v>
      </c>
      <c r="F6516" t="s">
        <v>38</v>
      </c>
      <c r="G6516">
        <v>-187.49510000000001</v>
      </c>
      <c r="H6516" s="1">
        <v>-1.6074399999999899E-6</v>
      </c>
      <c r="I6516">
        <v>12.34402</v>
      </c>
      <c r="J6516">
        <v>-187.34020000000001</v>
      </c>
      <c r="K6516">
        <v>1.103458</v>
      </c>
      <c r="L6516">
        <v>-14.071589999999899</v>
      </c>
      <c r="M6516">
        <v>2.7749329999999999E-2</v>
      </c>
      <c r="N6516">
        <v>0</v>
      </c>
      <c r="O6516">
        <v>0.99960249999999995</v>
      </c>
      <c r="P6516">
        <v>-4.6268749999999997E-2</v>
      </c>
      <c r="Q6516">
        <v>1.232376E-2</v>
      </c>
      <c r="R6516">
        <v>0.99885299999999999</v>
      </c>
      <c r="S6516">
        <v>-1.6159059999999999E-2</v>
      </c>
      <c r="T6516">
        <v>-0.123687899999999</v>
      </c>
      <c r="U6516">
        <v>3.0043329999999999</v>
      </c>
      <c r="V6516">
        <v>-7.3968210000000006E-2</v>
      </c>
      <c r="W6516">
        <v>1.72929E-2</v>
      </c>
      <c r="X6516">
        <v>0.99711070000000002</v>
      </c>
      <c r="Y6516">
        <v>-3.3121159999999997E-2</v>
      </c>
      <c r="Z6516">
        <v>-4.109964E-2</v>
      </c>
      <c r="AA6516">
        <v>0.99860590000000005</v>
      </c>
      <c r="AB6516">
        <v>38</v>
      </c>
      <c r="AC6516">
        <v>-0.15489999999999701</v>
      </c>
      <c r="AD6516">
        <v>-1.10345960744</v>
      </c>
      <c r="AE6516">
        <v>26.415610000000001</v>
      </c>
      <c r="AF6516">
        <v>-0.88631836459341695</v>
      </c>
      <c r="AG6516">
        <v>-1.10345960744</v>
      </c>
      <c r="AH6516">
        <v>26.355151269010101</v>
      </c>
      <c r="AI6516">
        <v>92.396154508714204</v>
      </c>
      <c r="AJ6516">
        <v>91.926119480545793</v>
      </c>
      <c r="AK6516">
        <v>26.393127547925602</v>
      </c>
    </row>
    <row r="6517" spans="1:37" x14ac:dyDescent="0.2">
      <c r="A6517" t="str">
        <f>"20200111155728937"</f>
        <v>20200111155728937</v>
      </c>
      <c r="B6517" t="str">
        <f>"1578729448929332"</f>
        <v>1578729448929332</v>
      </c>
      <c r="C6517" t="s">
        <v>37</v>
      </c>
      <c r="D6517">
        <v>5.3352269999999997</v>
      </c>
      <c r="E6517">
        <v>0.51616300000000004</v>
      </c>
      <c r="F6517" t="s">
        <v>38</v>
      </c>
      <c r="G6517">
        <v>-187.46289999999999</v>
      </c>
      <c r="H6517" s="1">
        <v>-1.6909279999999999E-6</v>
      </c>
      <c r="I6517">
        <v>12.5253</v>
      </c>
      <c r="J6517">
        <v>-187.3296</v>
      </c>
      <c r="K6517">
        <v>1.103532</v>
      </c>
      <c r="L6517">
        <v>-13.68515</v>
      </c>
      <c r="M6517">
        <v>2.7607940000000001E-2</v>
      </c>
      <c r="N6517">
        <v>0</v>
      </c>
      <c r="O6517">
        <v>0.99960579999999999</v>
      </c>
      <c r="P6517">
        <v>-4.5631230000000002E-2</v>
      </c>
      <c r="Q6517">
        <v>1.414986E-2</v>
      </c>
      <c r="R6517">
        <v>0.99885820000000003</v>
      </c>
      <c r="S6517">
        <v>-1.3854979999999999E-2</v>
      </c>
      <c r="T6517">
        <v>-0.124644699999999</v>
      </c>
      <c r="U6517">
        <v>3.0043329999999999</v>
      </c>
      <c r="V6517">
        <v>-7.3192989999999999E-2</v>
      </c>
      <c r="W6517">
        <v>1.9220899999999999E-2</v>
      </c>
      <c r="X6517">
        <v>0.99713249999999998</v>
      </c>
      <c r="Y6517">
        <v>-3.2213899999999997E-2</v>
      </c>
      <c r="Z6517">
        <v>-4.1417969999999998E-2</v>
      </c>
      <c r="AA6517">
        <v>0.99862249999999997</v>
      </c>
      <c r="AB6517">
        <v>38</v>
      </c>
      <c r="AC6517">
        <v>-0.13329999999999101</v>
      </c>
      <c r="AD6517">
        <v>-1.103533690928</v>
      </c>
      <c r="AE6517">
        <v>26.210450000000002</v>
      </c>
      <c r="AF6517">
        <v>-0.855358933223625</v>
      </c>
      <c r="AG6517">
        <v>-1.103533690928</v>
      </c>
      <c r="AH6517">
        <v>26.150424597919599</v>
      </c>
      <c r="AI6517">
        <v>92.415126939314405</v>
      </c>
      <c r="AJ6517">
        <v>91.873430007885503</v>
      </c>
      <c r="AK6517">
        <v>26.1876713772557</v>
      </c>
    </row>
    <row r="6518" spans="1:37" x14ac:dyDescent="0.2">
      <c r="A6518" t="str">
        <f>"20200111155728960"</f>
        <v>20200111155728960</v>
      </c>
      <c r="B6518" t="str">
        <f>"1578729448949827"</f>
        <v>1578729448949827</v>
      </c>
      <c r="C6518" t="s">
        <v>37</v>
      </c>
      <c r="D6518">
        <v>5.0970589999999998</v>
      </c>
      <c r="E6518">
        <v>0.51597209999999905</v>
      </c>
      <c r="F6518" t="s">
        <v>38</v>
      </c>
      <c r="G6518">
        <v>-187.46289999999999</v>
      </c>
      <c r="H6518" s="1">
        <v>-2.3524370000000001E-6</v>
      </c>
      <c r="I6518">
        <v>14.06732</v>
      </c>
      <c r="J6518">
        <v>-187.3192</v>
      </c>
      <c r="K6518">
        <v>1.103648</v>
      </c>
      <c r="L6518">
        <v>-13.299679999999899</v>
      </c>
      <c r="M6518">
        <v>2.73242E-2</v>
      </c>
      <c r="N6518">
        <v>0</v>
      </c>
      <c r="O6518">
        <v>0.99961299999999997</v>
      </c>
      <c r="P6518">
        <v>-4.5026650000000001E-2</v>
      </c>
      <c r="Q6518">
        <v>1.5721720000000002E-2</v>
      </c>
      <c r="R6518">
        <v>0.99886209999999898</v>
      </c>
      <c r="S6518">
        <v>-1.4434809999999999E-2</v>
      </c>
      <c r="T6518">
        <v>-0.11946759999999999</v>
      </c>
      <c r="U6518">
        <v>3.0044559999999998</v>
      </c>
      <c r="V6518">
        <v>-7.2310449999999998E-2</v>
      </c>
      <c r="W6518">
        <v>2.0889499999999998E-2</v>
      </c>
      <c r="X6518">
        <v>0.99716340000000003</v>
      </c>
      <c r="Y6518">
        <v>-3.2123079999999998E-2</v>
      </c>
      <c r="Z6518">
        <v>-3.9699350000000001E-2</v>
      </c>
      <c r="AA6518">
        <v>0.99869519999999901</v>
      </c>
      <c r="AB6518">
        <v>38</v>
      </c>
      <c r="AC6518">
        <v>-0.143699999999995</v>
      </c>
      <c r="AD6518">
        <v>-1.103650352437</v>
      </c>
      <c r="AE6518">
        <v>27.366999999999901</v>
      </c>
      <c r="AF6518">
        <v>-0.88999053197503997</v>
      </c>
      <c r="AG6518">
        <v>-1.103650352437</v>
      </c>
      <c r="AH6518">
        <v>27.308443696828299</v>
      </c>
      <c r="AI6518">
        <v>92.313079949656895</v>
      </c>
      <c r="AJ6518">
        <v>91.866626299124306</v>
      </c>
      <c r="AK6518">
        <v>27.3452230634581</v>
      </c>
    </row>
    <row r="6519" spans="1:37" x14ac:dyDescent="0.2">
      <c r="A6519" t="str">
        <f>"20200111155728981"</f>
        <v>20200111155728981</v>
      </c>
      <c r="B6519" t="str">
        <f>"1578729448969346"</f>
        <v>1578729448969346</v>
      </c>
      <c r="C6519" t="s">
        <v>37</v>
      </c>
      <c r="D6519">
        <v>5.0666349999999998</v>
      </c>
      <c r="E6519">
        <v>0.51588880000000004</v>
      </c>
      <c r="F6519" t="s">
        <v>38</v>
      </c>
      <c r="G6519">
        <v>-187.45599999999999</v>
      </c>
      <c r="H6519" s="1">
        <v>-3.1804270000000002E-6</v>
      </c>
      <c r="I6519">
        <v>15.994529999999999</v>
      </c>
      <c r="J6519">
        <v>-187.30959999999999</v>
      </c>
      <c r="K6519">
        <v>1.103788</v>
      </c>
      <c r="L6519">
        <v>-12.93665</v>
      </c>
      <c r="M6519">
        <v>2.690271E-2</v>
      </c>
      <c r="N6519">
        <v>0</v>
      </c>
      <c r="O6519">
        <v>0.99962390000000001</v>
      </c>
      <c r="P6519">
        <v>-4.454222E-2</v>
      </c>
      <c r="Q6519">
        <v>1.7104339999999999E-2</v>
      </c>
      <c r="R6519">
        <v>0.99886109999999995</v>
      </c>
      <c r="S6519">
        <v>-1.403809E-2</v>
      </c>
      <c r="T6519">
        <v>-0.11319659999999999</v>
      </c>
      <c r="U6519">
        <v>3.004578</v>
      </c>
      <c r="V6519">
        <v>-7.1412790000000004E-2</v>
      </c>
      <c r="W6519">
        <v>2.235972E-2</v>
      </c>
      <c r="X6519">
        <v>0.99719619999999998</v>
      </c>
      <c r="Y6519">
        <v>-3.1569979999999997E-2</v>
      </c>
      <c r="Z6519">
        <v>-3.7617980000000002E-2</v>
      </c>
      <c r="AA6519">
        <v>0.99879340000000005</v>
      </c>
      <c r="AB6519">
        <v>38</v>
      </c>
      <c r="AC6519">
        <v>-0.146399999999999</v>
      </c>
      <c r="AD6519">
        <v>-1.103791180427</v>
      </c>
      <c r="AE6519">
        <v>28.931179999999902</v>
      </c>
      <c r="AF6519">
        <v>-0.92334119064606401</v>
      </c>
      <c r="AG6519">
        <v>-1.103791180427</v>
      </c>
      <c r="AH6519">
        <v>28.8747406935858</v>
      </c>
      <c r="AI6519">
        <v>92.188055494379398</v>
      </c>
      <c r="AJ6519">
        <v>91.831550023676996</v>
      </c>
      <c r="AK6519">
        <v>28.9105787566792</v>
      </c>
    </row>
    <row r="6520" spans="1:37" x14ac:dyDescent="0.2">
      <c r="A6520" t="str">
        <f>"20200111155729005"</f>
        <v>20200111155729005</v>
      </c>
      <c r="B6520" t="str">
        <f>"1578729448999603"</f>
        <v>1578729448999603</v>
      </c>
      <c r="C6520" t="s">
        <v>37</v>
      </c>
      <c r="D6520">
        <v>5.084015</v>
      </c>
      <c r="E6520">
        <v>0.51574730000000002</v>
      </c>
      <c r="F6520" t="s">
        <v>38</v>
      </c>
      <c r="G6520">
        <v>-187.44380000000001</v>
      </c>
      <c r="H6520" s="1">
        <v>-3.6420239999999998E-6</v>
      </c>
      <c r="I6520">
        <v>17.065479999999901</v>
      </c>
      <c r="J6520">
        <v>-187.29900000000001</v>
      </c>
      <c r="K6520">
        <v>1.10395</v>
      </c>
      <c r="L6520">
        <v>-12.522399999999999</v>
      </c>
      <c r="M6520">
        <v>2.6249080000000001E-2</v>
      </c>
      <c r="N6520">
        <v>0</v>
      </c>
      <c r="O6520">
        <v>0.99964059999999899</v>
      </c>
      <c r="P6520">
        <v>-4.4174150000000002E-2</v>
      </c>
      <c r="Q6520">
        <v>1.753938E-2</v>
      </c>
      <c r="R6520">
        <v>0.99886989999999998</v>
      </c>
      <c r="S6520">
        <v>-1.344299E-2</v>
      </c>
      <c r="T6520">
        <v>-0.1105443</v>
      </c>
      <c r="U6520">
        <v>3.0047000000000001</v>
      </c>
      <c r="V6520">
        <v>-7.0401480000000002E-2</v>
      </c>
      <c r="W6520">
        <v>2.2890779999999999E-2</v>
      </c>
      <c r="X6520">
        <v>0.99725599999999903</v>
      </c>
      <c r="Y6520">
        <v>-3.071859E-2</v>
      </c>
      <c r="Z6520">
        <v>-3.6737739999999998E-2</v>
      </c>
      <c r="AA6520">
        <v>0.99885270000000004</v>
      </c>
      <c r="AB6520">
        <v>38</v>
      </c>
      <c r="AC6520">
        <v>-0.14480000000000301</v>
      </c>
      <c r="AD6520">
        <v>-1.1039536420239999</v>
      </c>
      <c r="AE6520">
        <v>29.587879999999998</v>
      </c>
      <c r="AF6520">
        <v>-0.92013535099016497</v>
      </c>
      <c r="AG6520">
        <v>-1.1039536420239999</v>
      </c>
      <c r="AH6520">
        <v>29.5327718608618</v>
      </c>
      <c r="AI6520">
        <v>92.139718333464998</v>
      </c>
      <c r="AJ6520">
        <v>91.784553904528494</v>
      </c>
      <c r="AK6520">
        <v>29.567718486443798</v>
      </c>
    </row>
    <row r="6521" spans="1:37" x14ac:dyDescent="0.2">
      <c r="A6521" t="str">
        <f>"20200111155729026"</f>
        <v>20200111155729026</v>
      </c>
      <c r="B6521" t="str">
        <f>"1578729449020098"</f>
        <v>1578729449020098</v>
      </c>
      <c r="C6521" t="s">
        <v>37</v>
      </c>
      <c r="D6521">
        <v>5.1705050000000004</v>
      </c>
      <c r="E6521">
        <v>0.51568069999999999</v>
      </c>
      <c r="F6521" t="s">
        <v>38</v>
      </c>
      <c r="G6521">
        <v>-187.4323</v>
      </c>
      <c r="H6521" s="1">
        <v>-3.71525899999999E-6</v>
      </c>
      <c r="I6521">
        <v>17.23141</v>
      </c>
      <c r="J6521">
        <v>-187.28989999999999</v>
      </c>
      <c r="K6521">
        <v>1.1041110000000001</v>
      </c>
      <c r="L6521">
        <v>-12.150539999999999</v>
      </c>
      <c r="M6521">
        <v>2.5492150000000002E-2</v>
      </c>
      <c r="N6521">
        <v>0</v>
      </c>
      <c r="O6521">
        <v>0.99965969999999904</v>
      </c>
      <c r="P6521">
        <v>-4.4148390000000003E-2</v>
      </c>
      <c r="Q6521">
        <v>1.7845920000000001E-2</v>
      </c>
      <c r="R6521">
        <v>0.99886559999999902</v>
      </c>
      <c r="S6521">
        <v>-1.345825E-2</v>
      </c>
      <c r="T6521">
        <v>-0.1114854</v>
      </c>
      <c r="U6521">
        <v>3.0047609999999998</v>
      </c>
      <c r="V6521">
        <v>-6.9629060000000007E-2</v>
      </c>
      <c r="W6521">
        <v>2.3277389999999998E-2</v>
      </c>
      <c r="X6521">
        <v>0.99730129999999995</v>
      </c>
      <c r="Y6521">
        <v>-2.9966679999999999E-2</v>
      </c>
      <c r="Z6521">
        <v>-3.705083E-2</v>
      </c>
      <c r="AA6521">
        <v>0.99886399999999997</v>
      </c>
      <c r="AB6521">
        <v>38</v>
      </c>
      <c r="AC6521">
        <v>-0.14240000000000899</v>
      </c>
      <c r="AD6521">
        <v>-1.1041147152590001</v>
      </c>
      <c r="AE6521">
        <v>29.38195</v>
      </c>
      <c r="AF6521">
        <v>-0.89011736131397501</v>
      </c>
      <c r="AG6521">
        <v>-1.1041147152590001</v>
      </c>
      <c r="AH6521">
        <v>29.3273587384395</v>
      </c>
      <c r="AI6521">
        <v>92.155058515466706</v>
      </c>
      <c r="AJ6521">
        <v>91.738455787299003</v>
      </c>
      <c r="AK6521">
        <v>29.361630554083501</v>
      </c>
    </row>
    <row r="6522" spans="1:37" x14ac:dyDescent="0.2">
      <c r="A6522" t="str">
        <f>"20200111155729050"</f>
        <v>20200111155729050</v>
      </c>
      <c r="B6522" t="str">
        <f>"1578729449039619"</f>
        <v>1578729449039619</v>
      </c>
      <c r="C6522" t="s">
        <v>37</v>
      </c>
      <c r="D6522">
        <v>5.076651</v>
      </c>
      <c r="E6522">
        <v>0.51557529999999996</v>
      </c>
      <c r="F6522" t="s">
        <v>38</v>
      </c>
      <c r="G6522">
        <v>-187.4281</v>
      </c>
      <c r="H6522" s="1">
        <v>-3.8196529999999998E-6</v>
      </c>
      <c r="I6522">
        <v>17.473029999999898</v>
      </c>
      <c r="J6522">
        <v>-187.2807</v>
      </c>
      <c r="K6522">
        <v>1.1042879999999999</v>
      </c>
      <c r="L6522">
        <v>-11.757479999999999</v>
      </c>
      <c r="M6522">
        <v>2.448622E-2</v>
      </c>
      <c r="N6522">
        <v>0</v>
      </c>
      <c r="O6522">
        <v>0.99968419999999902</v>
      </c>
      <c r="P6522">
        <v>-4.4721770000000001E-2</v>
      </c>
      <c r="Q6522">
        <v>1.8392329999999998E-2</v>
      </c>
      <c r="R6522">
        <v>0.99883009999999905</v>
      </c>
      <c r="S6522">
        <v>-1.402283E-2</v>
      </c>
      <c r="T6522">
        <v>-0.111993</v>
      </c>
      <c r="U6522">
        <v>3.004791</v>
      </c>
      <c r="V6522">
        <v>-6.9208130000000007E-2</v>
      </c>
      <c r="W6522">
        <v>2.3902349999999999E-2</v>
      </c>
      <c r="X6522">
        <v>0.99731589999999903</v>
      </c>
      <c r="Y6522">
        <v>-2.9148480000000001E-2</v>
      </c>
      <c r="Z6522">
        <v>-3.7220759999999999E-2</v>
      </c>
      <c r="AA6522">
        <v>0.99888189999999999</v>
      </c>
      <c r="AB6522">
        <v>39</v>
      </c>
      <c r="AC6522">
        <v>-0.147400000000004</v>
      </c>
      <c r="AD6522">
        <v>-1.1042918196529901</v>
      </c>
      <c r="AE6522">
        <v>29.230509999999999</v>
      </c>
      <c r="AF6522">
        <v>-0.86188185224394798</v>
      </c>
      <c r="AG6522">
        <v>-1.1042918196529901</v>
      </c>
      <c r="AH6522">
        <v>29.176495535949499</v>
      </c>
      <c r="AI6522">
        <v>92.166590752417406</v>
      </c>
      <c r="AJ6522">
        <v>91.692041319031702</v>
      </c>
      <c r="AK6522">
        <v>29.2101042878909</v>
      </c>
    </row>
    <row r="6523" spans="1:37" x14ac:dyDescent="0.2">
      <c r="A6523" t="str">
        <f>"20200111155729070"</f>
        <v>20200111155729070</v>
      </c>
      <c r="B6523" t="str">
        <f>"1578729449060114"</f>
        <v>1578729449060114</v>
      </c>
      <c r="C6523" t="s">
        <v>37</v>
      </c>
      <c r="D6523">
        <v>5.0859670000000001</v>
      </c>
      <c r="E6523">
        <v>0.51548579999999999</v>
      </c>
      <c r="F6523" t="s">
        <v>38</v>
      </c>
      <c r="G6523">
        <v>-187.44489999999999</v>
      </c>
      <c r="H6523" s="1">
        <v>-3.971369E-6</v>
      </c>
      <c r="I6523">
        <v>17.833639999999999</v>
      </c>
      <c r="J6523">
        <v>-187.27260000000001</v>
      </c>
      <c r="K6523">
        <v>1.1044639999999999</v>
      </c>
      <c r="L6523">
        <v>-11.392329999999999</v>
      </c>
      <c r="M6523">
        <v>2.334833E-2</v>
      </c>
      <c r="N6523">
        <v>0</v>
      </c>
      <c r="O6523">
        <v>0.99971089999999996</v>
      </c>
      <c r="P6523">
        <v>-4.5312970000000001E-2</v>
      </c>
      <c r="Q6523">
        <v>1.8427700000000002E-2</v>
      </c>
      <c r="R6523">
        <v>0.99880279999999999</v>
      </c>
      <c r="S6523">
        <v>-1.6677859999999999E-2</v>
      </c>
      <c r="T6523">
        <v>-0.1121351</v>
      </c>
      <c r="U6523">
        <v>3.0048219999999999</v>
      </c>
      <c r="V6523">
        <v>-6.8673410000000004E-2</v>
      </c>
      <c r="W6523">
        <v>2.400675E-2</v>
      </c>
      <c r="X6523">
        <v>0.99735030000000002</v>
      </c>
      <c r="Y6523">
        <v>-2.889326E-2</v>
      </c>
      <c r="Z6523">
        <v>-3.7269089999999998E-2</v>
      </c>
      <c r="AA6523">
        <v>0.99888750000000004</v>
      </c>
      <c r="AB6523">
        <v>39</v>
      </c>
      <c r="AC6523">
        <v>-0.172299999999978</v>
      </c>
      <c r="AD6523">
        <v>-1.104467971369</v>
      </c>
      <c r="AE6523">
        <v>29.22597</v>
      </c>
      <c r="AF6523">
        <v>-0.853423111312682</v>
      </c>
      <c r="AG6523">
        <v>-1.104467971369</v>
      </c>
      <c r="AH6523">
        <v>29.1723190015482</v>
      </c>
      <c r="AI6523">
        <v>92.167264138558295</v>
      </c>
      <c r="AJ6523">
        <v>91.675684413876496</v>
      </c>
      <c r="AK6523">
        <v>29.205690822762499</v>
      </c>
    </row>
    <row r="6524" spans="1:37" x14ac:dyDescent="0.2">
      <c r="A6524" t="str">
        <f>"20200111155729093"</f>
        <v>20200111155729093</v>
      </c>
      <c r="B6524" t="str">
        <f>"1578729449089395"</f>
        <v>1578729449089395</v>
      </c>
      <c r="C6524" t="s">
        <v>37</v>
      </c>
      <c r="D6524">
        <v>5.1569180000000001</v>
      </c>
      <c r="E6524">
        <v>0.51537790000000006</v>
      </c>
      <c r="F6524" t="s">
        <v>38</v>
      </c>
      <c r="G6524">
        <v>-187.45750000000001</v>
      </c>
      <c r="H6524" s="1">
        <v>-4.0156390000000002E-6</v>
      </c>
      <c r="I6524">
        <v>17.942039999999999</v>
      </c>
      <c r="J6524">
        <v>-187.26490000000001</v>
      </c>
      <c r="K6524">
        <v>1.1046590000000001</v>
      </c>
      <c r="L6524">
        <v>-11.01343</v>
      </c>
      <c r="M6524">
        <v>2.195853E-2</v>
      </c>
      <c r="N6524">
        <v>0</v>
      </c>
      <c r="O6524">
        <v>0.99974189999999996</v>
      </c>
      <c r="P6524">
        <v>-4.5788969999999998E-2</v>
      </c>
      <c r="Q6524">
        <v>1.845434E-2</v>
      </c>
      <c r="R6524">
        <v>0.99878069999999897</v>
      </c>
      <c r="S6524">
        <v>-1.893616E-2</v>
      </c>
      <c r="T6524">
        <v>-0.1131345</v>
      </c>
      <c r="U6524">
        <v>3.0048219999999999</v>
      </c>
      <c r="V6524">
        <v>-6.7773449999999999E-2</v>
      </c>
      <c r="W6524">
        <v>2.410209E-2</v>
      </c>
      <c r="X6524">
        <v>0.99740960000000001</v>
      </c>
      <c r="Y6524">
        <v>-2.8254290000000001E-2</v>
      </c>
      <c r="Z6524">
        <v>-3.7602839999999998E-2</v>
      </c>
      <c r="AA6524">
        <v>0.99889329999999998</v>
      </c>
      <c r="AB6524">
        <v>39</v>
      </c>
      <c r="AC6524">
        <v>-0.192599999999998</v>
      </c>
      <c r="AD6524">
        <v>-1.104663015639</v>
      </c>
      <c r="AE6524">
        <v>28.955469999999998</v>
      </c>
      <c r="AF6524">
        <v>-0.82718004218491203</v>
      </c>
      <c r="AG6524">
        <v>-1.104663015639</v>
      </c>
      <c r="AH6524">
        <v>28.902194860101101</v>
      </c>
      <c r="AI6524">
        <v>92.187926150869899</v>
      </c>
      <c r="AJ6524">
        <v>91.639356171155498</v>
      </c>
      <c r="AK6524">
        <v>28.9351235513444</v>
      </c>
    </row>
    <row r="6525" spans="1:37" x14ac:dyDescent="0.2">
      <c r="A6525" t="str">
        <f>"20200111155729116"</f>
        <v>20200111155729116</v>
      </c>
      <c r="B6525" t="str">
        <f>"1578729449109890"</f>
        <v>1578729449109890</v>
      </c>
      <c r="C6525" t="s">
        <v>37</v>
      </c>
      <c r="D6525">
        <v>5.1217290000000002</v>
      </c>
      <c r="E6525">
        <v>0.51527279999999998</v>
      </c>
      <c r="F6525" t="s">
        <v>38</v>
      </c>
      <c r="G6525">
        <v>-187.4717</v>
      </c>
      <c r="H6525" s="1">
        <v>-3.9664080000000001E-6</v>
      </c>
      <c r="I6525">
        <v>17.833169999999999</v>
      </c>
      <c r="J6525">
        <v>-187.25729999999999</v>
      </c>
      <c r="K6525">
        <v>1.1048789999999999</v>
      </c>
      <c r="L6525">
        <v>-10.6076</v>
      </c>
      <c r="M6525">
        <v>2.024579E-2</v>
      </c>
      <c r="N6525">
        <v>0</v>
      </c>
      <c r="O6525">
        <v>0.99977739999999904</v>
      </c>
      <c r="P6525">
        <v>-4.5865299999999998E-2</v>
      </c>
      <c r="Q6525">
        <v>1.8818729999999999E-2</v>
      </c>
      <c r="R6525">
        <v>0.99877039999999995</v>
      </c>
      <c r="S6525">
        <v>-2.1545410000000001E-2</v>
      </c>
      <c r="T6525">
        <v>-0.1150666</v>
      </c>
      <c r="U6525">
        <v>3.004791</v>
      </c>
      <c r="V6525">
        <v>-6.6154640000000001E-2</v>
      </c>
      <c r="W6525">
        <v>2.4539689999999999E-2</v>
      </c>
      <c r="X6525">
        <v>0.99750759999999905</v>
      </c>
      <c r="Y6525">
        <v>-2.7409079999999999E-2</v>
      </c>
      <c r="Z6525">
        <v>-3.8246910000000002E-2</v>
      </c>
      <c r="AA6525">
        <v>0.99889240000000001</v>
      </c>
      <c r="AB6525">
        <v>39</v>
      </c>
      <c r="AC6525">
        <v>-0.214400000000011</v>
      </c>
      <c r="AD6525">
        <v>-1.104882966408</v>
      </c>
      <c r="AE6525">
        <v>28.440770000000001</v>
      </c>
      <c r="AF6525">
        <v>-0.78898139021832803</v>
      </c>
      <c r="AG6525">
        <v>-1.104882966408</v>
      </c>
      <c r="AH6525">
        <v>28.387758927863601</v>
      </c>
      <c r="AI6525">
        <v>92.228030576940697</v>
      </c>
      <c r="AJ6525">
        <v>91.592012586949593</v>
      </c>
      <c r="AK6525">
        <v>28.420206103230001</v>
      </c>
    </row>
    <row r="6526" spans="1:37" x14ac:dyDescent="0.2">
      <c r="A6526" t="str">
        <f>"20200111155729139"</f>
        <v>20200111155729139</v>
      </c>
      <c r="B6526" t="str">
        <f>"1578729449129412"</f>
        <v>1578729449129412</v>
      </c>
      <c r="C6526" t="s">
        <v>37</v>
      </c>
      <c r="D6526">
        <v>5.1328339999999999</v>
      </c>
      <c r="E6526">
        <v>0.51522060000000003</v>
      </c>
      <c r="F6526" t="s">
        <v>38</v>
      </c>
      <c r="G6526">
        <v>-187.47720000000001</v>
      </c>
      <c r="H6526" s="1">
        <v>-4.1307379999999999E-6</v>
      </c>
      <c r="I6526">
        <v>18.21848</v>
      </c>
      <c r="J6526">
        <v>-187.25069999999999</v>
      </c>
      <c r="K6526">
        <v>1.105092</v>
      </c>
      <c r="L6526">
        <v>-10.20551</v>
      </c>
      <c r="M6526">
        <v>1.8333160000000001E-2</v>
      </c>
      <c r="N6526">
        <v>0</v>
      </c>
      <c r="O6526">
        <v>0.99981359999999997</v>
      </c>
      <c r="P6526">
        <v>-4.6016689999999999E-2</v>
      </c>
      <c r="Q6526">
        <v>1.9558720000000002E-2</v>
      </c>
      <c r="R6526">
        <v>0.9987492</v>
      </c>
      <c r="S6526">
        <v>-2.29187E-2</v>
      </c>
      <c r="T6526">
        <v>-0.1151726</v>
      </c>
      <c r="U6526">
        <v>3.0048219999999999</v>
      </c>
      <c r="V6526">
        <v>-6.4412360000000002E-2</v>
      </c>
      <c r="W6526">
        <v>2.5358169999999999E-2</v>
      </c>
      <c r="X6526">
        <v>0.99760119999999897</v>
      </c>
      <c r="Y6526">
        <v>-2.5953170000000001E-2</v>
      </c>
      <c r="Z6526">
        <v>-3.8284489999999997E-2</v>
      </c>
      <c r="AA6526">
        <v>0.99892979999999998</v>
      </c>
      <c r="AB6526">
        <v>39</v>
      </c>
      <c r="AC6526">
        <v>-0.22650000000001499</v>
      </c>
      <c r="AD6526">
        <v>-1.1050961307380001</v>
      </c>
      <c r="AE6526">
        <v>28.42399</v>
      </c>
      <c r="AF6526">
        <v>-0.74644480370760302</v>
      </c>
      <c r="AG6526">
        <v>-1.1050961307380001</v>
      </c>
      <c r="AH6526">
        <v>28.372176185453899</v>
      </c>
      <c r="AI6526">
        <v>92.2297720417546</v>
      </c>
      <c r="AJ6526">
        <v>91.507049482632297</v>
      </c>
      <c r="AK6526">
        <v>28.4034997632615</v>
      </c>
    </row>
    <row r="6527" spans="1:37" x14ac:dyDescent="0.2">
      <c r="A6527" t="str">
        <f>"20200111155729160"</f>
        <v>20200111155729160</v>
      </c>
      <c r="B6527" t="str">
        <f>"1578729449149907"</f>
        <v>1578729449149907</v>
      </c>
      <c r="C6527" t="s">
        <v>37</v>
      </c>
      <c r="D6527">
        <v>5.1147530000000003</v>
      </c>
      <c r="E6527">
        <v>0.51518829999999904</v>
      </c>
      <c r="F6527" t="s">
        <v>38</v>
      </c>
      <c r="G6527">
        <v>-187.4813</v>
      </c>
      <c r="H6527" s="1">
        <v>-4.4073119999999996E-6</v>
      </c>
      <c r="I6527">
        <v>18.86487</v>
      </c>
      <c r="J6527">
        <v>-187.24539999999999</v>
      </c>
      <c r="K6527">
        <v>1.105286</v>
      </c>
      <c r="L6527">
        <v>-9.8330990000000007</v>
      </c>
      <c r="M6527">
        <v>1.6389560000000001E-2</v>
      </c>
      <c r="N6527">
        <v>0</v>
      </c>
      <c r="O6527">
        <v>0.99984680000000004</v>
      </c>
      <c r="P6527">
        <v>-4.6105409999999999E-2</v>
      </c>
      <c r="Q6527">
        <v>2.036232E-2</v>
      </c>
      <c r="R6527">
        <v>0.99872909999999904</v>
      </c>
      <c r="S6527">
        <v>-2.3834230000000001E-2</v>
      </c>
      <c r="T6527">
        <v>-0.114229199999999</v>
      </c>
      <c r="U6527">
        <v>3.004883</v>
      </c>
      <c r="V6527">
        <v>-6.2576080000000006E-2</v>
      </c>
      <c r="W6527">
        <v>2.6247179999999998E-2</v>
      </c>
      <c r="X6527">
        <v>0.997695</v>
      </c>
      <c r="Y6527">
        <v>-2.4314160000000001E-2</v>
      </c>
      <c r="Z6527">
        <v>-3.7973229999999997E-2</v>
      </c>
      <c r="AA6527">
        <v>0.99898290000000001</v>
      </c>
      <c r="AB6527">
        <v>39</v>
      </c>
      <c r="AC6527">
        <v>-0.23590000000001499</v>
      </c>
      <c r="AD6527">
        <v>-1.105290407312</v>
      </c>
      <c r="AE6527">
        <v>28.697969000000001</v>
      </c>
      <c r="AF6527">
        <v>-0.70517830611636101</v>
      </c>
      <c r="AG6527">
        <v>-1.105290407312</v>
      </c>
      <c r="AH6527">
        <v>28.647755388307999</v>
      </c>
      <c r="AI6527">
        <v>92.2088268585576</v>
      </c>
      <c r="AJ6527">
        <v>91.410078474146005</v>
      </c>
      <c r="AK6527">
        <v>28.677741056719299</v>
      </c>
    </row>
    <row r="6528" spans="1:37" x14ac:dyDescent="0.2">
      <c r="A6528" t="str">
        <f>"20200111155729184"</f>
        <v>20200111155729184</v>
      </c>
      <c r="B6528" t="str">
        <f>"1578729449180164"</f>
        <v>1578729449180164</v>
      </c>
      <c r="C6528" t="s">
        <v>37</v>
      </c>
      <c r="D6528">
        <v>5.154458</v>
      </c>
      <c r="E6528">
        <v>0.51515159999999904</v>
      </c>
      <c r="F6528" t="s">
        <v>38</v>
      </c>
      <c r="G6528">
        <v>-187.48509999999999</v>
      </c>
      <c r="H6528" s="1">
        <v>-8.4779290000000003E-7</v>
      </c>
      <c r="I6528">
        <v>20.173020000000001</v>
      </c>
      <c r="J6528">
        <v>-187.2407</v>
      </c>
      <c r="K6528">
        <v>1.105472</v>
      </c>
      <c r="L6528">
        <v>-9.430847</v>
      </c>
      <c r="M6528">
        <v>1.4154969999999999E-2</v>
      </c>
      <c r="N6528">
        <v>0</v>
      </c>
      <c r="O6528">
        <v>0.99988009999999905</v>
      </c>
      <c r="P6528">
        <v>-4.7300170000000002E-2</v>
      </c>
      <c r="Q6528">
        <v>2.1395770000000001E-2</v>
      </c>
      <c r="R6528">
        <v>0.99865159999999997</v>
      </c>
      <c r="S6528">
        <v>-2.4002079999999999E-2</v>
      </c>
      <c r="T6528">
        <v>-0.11068939999999999</v>
      </c>
      <c r="U6528">
        <v>3.0049739999999998</v>
      </c>
      <c r="V6528">
        <v>-6.1555609999999997E-2</v>
      </c>
      <c r="W6528">
        <v>2.737639E-2</v>
      </c>
      <c r="X6528">
        <v>0.99772809999999901</v>
      </c>
      <c r="Y6528">
        <v>-2.2135780000000001E-2</v>
      </c>
      <c r="Z6528">
        <v>-3.6799800000000001E-2</v>
      </c>
      <c r="AA6528">
        <v>0.99907739999999901</v>
      </c>
      <c r="AB6528">
        <v>39</v>
      </c>
      <c r="AC6528">
        <v>-0.24439999999998399</v>
      </c>
      <c r="AD6528">
        <v>-1.1054728477928999</v>
      </c>
      <c r="AE6528">
        <v>29.603867000000001</v>
      </c>
      <c r="AF6528">
        <v>-0.66250186781711395</v>
      </c>
      <c r="AG6528">
        <v>-1.1054728477928999</v>
      </c>
      <c r="AH6528">
        <v>29.556229902051999</v>
      </c>
      <c r="AI6528">
        <v>92.141461691826393</v>
      </c>
      <c r="AJ6528">
        <v>91.284067887048906</v>
      </c>
      <c r="AK6528">
        <v>29.584315184993201</v>
      </c>
    </row>
    <row r="6529" spans="1:37" x14ac:dyDescent="0.2">
      <c r="A6529" t="str">
        <f>"20200111155729206"</f>
        <v>20200111155729206</v>
      </c>
      <c r="B6529" t="str">
        <f>"1578729449199683"</f>
        <v>1578729449199683</v>
      </c>
      <c r="C6529" t="s">
        <v>37</v>
      </c>
      <c r="D6529">
        <v>5.1032589999999898</v>
      </c>
      <c r="E6529">
        <v>0.51509550000000004</v>
      </c>
      <c r="F6529" t="s">
        <v>38</v>
      </c>
      <c r="G6529">
        <v>-187.52950000000001</v>
      </c>
      <c r="H6529" s="1">
        <v>-1.5265539999999999E-6</v>
      </c>
      <c r="I6529">
        <v>22.169689999999999</v>
      </c>
      <c r="J6529">
        <v>-187.23689999999999</v>
      </c>
      <c r="K6529">
        <v>1.105637</v>
      </c>
      <c r="L6529">
        <v>-9.0295719999999999</v>
      </c>
      <c r="M6529">
        <v>1.182801E-2</v>
      </c>
      <c r="N6529">
        <v>0</v>
      </c>
      <c r="O6529">
        <v>0.99990959999999995</v>
      </c>
      <c r="P6529">
        <v>-4.9702129999999997E-2</v>
      </c>
      <c r="Q6529">
        <v>2.2440740000000001E-2</v>
      </c>
      <c r="R6529">
        <v>0.99851199999999996</v>
      </c>
      <c r="S6529">
        <v>-2.7465819999999998E-2</v>
      </c>
      <c r="T6529">
        <v>-0.105123299999999</v>
      </c>
      <c r="U6529">
        <v>3.0050050000000001</v>
      </c>
      <c r="V6529">
        <v>-6.164832E-2</v>
      </c>
      <c r="W6529">
        <v>2.851654E-2</v>
      </c>
      <c r="X6529">
        <v>0.99769050000000004</v>
      </c>
      <c r="Y6529">
        <v>-2.0961179999999999E-2</v>
      </c>
      <c r="Z6529">
        <v>-3.4953110000000003E-2</v>
      </c>
      <c r="AA6529">
        <v>0.99916909999999903</v>
      </c>
      <c r="AB6529">
        <v>39</v>
      </c>
      <c r="AC6529">
        <v>-0.29260000000002101</v>
      </c>
      <c r="AD6529">
        <v>-1.1056385265540001</v>
      </c>
      <c r="AE6529">
        <v>31.199262000000001</v>
      </c>
      <c r="AF6529">
        <v>-0.66078248814943796</v>
      </c>
      <c r="AG6529">
        <v>-1.1056385265540001</v>
      </c>
      <c r="AH6529">
        <v>31.154496545308</v>
      </c>
      <c r="AI6529">
        <v>92.032054027266497</v>
      </c>
      <c r="AJ6529">
        <v>91.215053243025693</v>
      </c>
      <c r="AK6529">
        <v>31.181111671004501</v>
      </c>
    </row>
    <row r="6530" spans="1:37" x14ac:dyDescent="0.2">
      <c r="A6530" t="str">
        <f>"20200111155729227"</f>
        <v>20200111155729227</v>
      </c>
      <c r="B6530" t="str">
        <f>"1578729449219203"</f>
        <v>1578729449219203</v>
      </c>
      <c r="C6530" t="s">
        <v>37</v>
      </c>
      <c r="D6530">
        <v>5.1185049999999999</v>
      </c>
      <c r="E6530">
        <v>0.5150342</v>
      </c>
      <c r="F6530" t="s">
        <v>38</v>
      </c>
      <c r="G6530">
        <v>-187.6086</v>
      </c>
      <c r="H6530" s="1">
        <v>-1.9435299999999899E-6</v>
      </c>
      <c r="I6530">
        <v>23.17436</v>
      </c>
      <c r="J6530">
        <v>-187.23410000000001</v>
      </c>
      <c r="K6530">
        <v>1.1057589999999999</v>
      </c>
      <c r="L6530">
        <v>-8.6448059999999902</v>
      </c>
      <c r="M6530">
        <v>9.5349379999999997E-3</v>
      </c>
      <c r="N6530">
        <v>0</v>
      </c>
      <c r="O6530">
        <v>0.99993339999999997</v>
      </c>
      <c r="P6530">
        <v>-5.29858E-2</v>
      </c>
      <c r="Q6530">
        <v>2.3058349999999998E-2</v>
      </c>
      <c r="R6530">
        <v>0.99832900000000002</v>
      </c>
      <c r="S6530">
        <v>-3.4683230000000002E-2</v>
      </c>
      <c r="T6530">
        <v>-0.1031712</v>
      </c>
      <c r="U6530">
        <v>3.0050659999999998</v>
      </c>
      <c r="V6530">
        <v>-6.265271E-2</v>
      </c>
      <c r="W6530">
        <v>2.9223880000000001E-2</v>
      </c>
      <c r="X6530">
        <v>0.99760740000000003</v>
      </c>
      <c r="Y6530">
        <v>-2.1068010000000002E-2</v>
      </c>
      <c r="Z6530">
        <v>-3.4304929999999997E-2</v>
      </c>
      <c r="AA6530">
        <v>0.99918929999999995</v>
      </c>
      <c r="AB6530">
        <v>39</v>
      </c>
      <c r="AC6530">
        <v>-0.37449999999998301</v>
      </c>
      <c r="AD6530">
        <v>-1.10576094352999</v>
      </c>
      <c r="AE6530">
        <v>31.819165999999999</v>
      </c>
      <c r="AF6530">
        <v>-0.67706561186892</v>
      </c>
      <c r="AG6530">
        <v>-1.10576094352999</v>
      </c>
      <c r="AH6530">
        <v>31.7757795329515</v>
      </c>
      <c r="AI6530">
        <v>91.992571739254203</v>
      </c>
      <c r="AJ6530">
        <v>91.220650864564007</v>
      </c>
      <c r="AK6530">
        <v>31.802221463818402</v>
      </c>
    </row>
    <row r="6531" spans="1:37" x14ac:dyDescent="0.2">
      <c r="A6531" t="str">
        <f>"20200111155729250"</f>
        <v>20200111155729250</v>
      </c>
      <c r="B6531" t="str">
        <f>"1578729449239699"</f>
        <v>1578729449239699</v>
      </c>
      <c r="C6531" t="s">
        <v>37</v>
      </c>
      <c r="D6531">
        <v>5.2735139999999996</v>
      </c>
      <c r="E6531">
        <v>0.51494989999999996</v>
      </c>
      <c r="F6531" t="s">
        <v>38</v>
      </c>
      <c r="G6531">
        <v>-187.71780000000001</v>
      </c>
      <c r="H6531" s="1">
        <v>-2.157595E-6</v>
      </c>
      <c r="I6531">
        <v>23.718509999999998</v>
      </c>
      <c r="J6531">
        <v>-187.23230000000001</v>
      </c>
      <c r="K6531">
        <v>1.1058600000000001</v>
      </c>
      <c r="L6531">
        <v>-8.2514339999999997</v>
      </c>
      <c r="M6531">
        <v>7.156351E-3</v>
      </c>
      <c r="N6531">
        <v>0</v>
      </c>
      <c r="O6531">
        <v>0.99995249999999902</v>
      </c>
      <c r="P6531">
        <v>-5.6266549999999999E-2</v>
      </c>
      <c r="Q6531">
        <v>2.3248399999999999E-2</v>
      </c>
      <c r="R6531">
        <v>0.99814499999999995</v>
      </c>
      <c r="S6531">
        <v>-4.4906620000000001E-2</v>
      </c>
      <c r="T6531">
        <v>-0.10267229999999999</v>
      </c>
      <c r="U6531">
        <v>3.0050050000000001</v>
      </c>
      <c r="V6531">
        <v>-6.3566919999999999E-2</v>
      </c>
      <c r="W6531">
        <v>2.9512710000000001E-2</v>
      </c>
      <c r="X6531">
        <v>0.99754109999999996</v>
      </c>
      <c r="Y6531">
        <v>-2.208889E-2</v>
      </c>
      <c r="Z6531">
        <v>-3.413981E-2</v>
      </c>
      <c r="AA6531">
        <v>0.99917289999999903</v>
      </c>
      <c r="AB6531">
        <v>39</v>
      </c>
      <c r="AC6531">
        <v>-0.48550000000000099</v>
      </c>
      <c r="AD6531">
        <v>-1.1058621575950001</v>
      </c>
      <c r="AE6531">
        <v>31.969944000000002</v>
      </c>
      <c r="AF6531">
        <v>-0.71342728698588298</v>
      </c>
      <c r="AG6531">
        <v>-1.1058621575950001</v>
      </c>
      <c r="AH6531">
        <v>31.927457942367599</v>
      </c>
      <c r="AI6531">
        <v>91.983249680978602</v>
      </c>
      <c r="AJ6531">
        <v>91.280075955630394</v>
      </c>
      <c r="AK6531">
        <v>31.954569004558198</v>
      </c>
    </row>
    <row r="6532" spans="1:37" x14ac:dyDescent="0.2">
      <c r="A6532" t="str">
        <f>"20200111155729271"</f>
        <v>20200111155729271</v>
      </c>
      <c r="B6532" t="str">
        <f>"1578729449269955"</f>
        <v>1578729449269955</v>
      </c>
      <c r="C6532" t="s">
        <v>37</v>
      </c>
      <c r="D6532">
        <v>5.1696099999999996</v>
      </c>
      <c r="E6532">
        <v>0.51494010000000001</v>
      </c>
      <c r="F6532" t="s">
        <v>38</v>
      </c>
      <c r="G6532">
        <v>-187.82409999999999</v>
      </c>
      <c r="H6532" s="1">
        <v>-2.1976290000000001E-6</v>
      </c>
      <c r="I6532">
        <v>23.855789999999999</v>
      </c>
      <c r="J6532">
        <v>-187.2313</v>
      </c>
      <c r="K6532">
        <v>1.105944</v>
      </c>
      <c r="L6532">
        <v>-7.8645019999999999</v>
      </c>
      <c r="M6532">
        <v>4.8144040000000004E-3</v>
      </c>
      <c r="N6532">
        <v>0</v>
      </c>
      <c r="O6532">
        <v>0.99996569999999996</v>
      </c>
      <c r="P6532">
        <v>-5.9807899999999997E-2</v>
      </c>
      <c r="Q6532">
        <v>2.357186E-2</v>
      </c>
      <c r="R6532">
        <v>0.99793149999999997</v>
      </c>
      <c r="S6532">
        <v>-5.5389399999999998E-2</v>
      </c>
      <c r="T6532">
        <v>-0.103495499999999</v>
      </c>
      <c r="U6532">
        <v>3.0048520000000001</v>
      </c>
      <c r="V6532">
        <v>-6.4777080000000001E-2</v>
      </c>
      <c r="W6532">
        <v>2.9940720000000001E-2</v>
      </c>
      <c r="X6532">
        <v>0.99745049999999902</v>
      </c>
      <c r="Y6532">
        <v>-2.323275E-2</v>
      </c>
      <c r="Z6532">
        <v>-3.4414210000000001E-2</v>
      </c>
      <c r="AA6532">
        <v>0.99913759999999996</v>
      </c>
      <c r="AB6532">
        <v>40</v>
      </c>
      <c r="AC6532">
        <v>-0.59279999999998201</v>
      </c>
      <c r="AD6532">
        <v>-1.1059461976289999</v>
      </c>
      <c r="AE6532">
        <v>31.720292000000001</v>
      </c>
      <c r="AF6532">
        <v>-0.74460606524179196</v>
      </c>
      <c r="AG6532">
        <v>-1.1059461976289999</v>
      </c>
      <c r="AH6532">
        <v>31.6785750303142</v>
      </c>
      <c r="AI6532">
        <v>91.998917204044901</v>
      </c>
      <c r="AJ6532">
        <v>91.346491457600195</v>
      </c>
      <c r="AK6532">
        <v>31.706618727573201</v>
      </c>
    </row>
    <row r="6533" spans="1:37" x14ac:dyDescent="0.2">
      <c r="A6533" t="str">
        <f>"20200111155729294"</f>
        <v>20200111155729294</v>
      </c>
      <c r="B6533" t="str">
        <f>"1578729449289476"</f>
        <v>1578729449289476</v>
      </c>
      <c r="C6533" t="s">
        <v>37</v>
      </c>
      <c r="D6533">
        <v>5.3464239999999998</v>
      </c>
      <c r="E6533">
        <v>0.51498949999999999</v>
      </c>
      <c r="F6533" t="s">
        <v>38</v>
      </c>
      <c r="G6533">
        <v>-187.93010000000001</v>
      </c>
      <c r="H6533" s="1">
        <v>-2.1552390000000002E-6</v>
      </c>
      <c r="I6533">
        <v>23.800829999999898</v>
      </c>
      <c r="J6533">
        <v>-187.2312</v>
      </c>
      <c r="K6533">
        <v>1.106009</v>
      </c>
      <c r="L6533">
        <v>-7.4764099999999996</v>
      </c>
      <c r="M6533">
        <v>2.488639E-3</v>
      </c>
      <c r="N6533">
        <v>0</v>
      </c>
      <c r="O6533">
        <v>0.99997320000000001</v>
      </c>
      <c r="P6533">
        <v>-6.3690800000000006E-2</v>
      </c>
      <c r="Q6533">
        <v>2.428669E-2</v>
      </c>
      <c r="R6533">
        <v>0.99767410000000001</v>
      </c>
      <c r="S6533">
        <v>-6.6314699999999893E-2</v>
      </c>
      <c r="T6533">
        <v>-0.1049435</v>
      </c>
      <c r="U6533">
        <v>3.0047299999999999</v>
      </c>
      <c r="V6533">
        <v>-6.6346769999999999E-2</v>
      </c>
      <c r="W6533">
        <v>3.077481E-2</v>
      </c>
      <c r="X6533">
        <v>0.99732189999999998</v>
      </c>
      <c r="Y6533">
        <v>-2.4539310000000002E-2</v>
      </c>
      <c r="Z6533">
        <v>-3.4895160000000001E-2</v>
      </c>
      <c r="AA6533">
        <v>0.99908969999999897</v>
      </c>
      <c r="AB6533">
        <v>40</v>
      </c>
      <c r="AC6533">
        <v>-0.69890000000000896</v>
      </c>
      <c r="AD6533">
        <v>-1.106011155239</v>
      </c>
      <c r="AE6533">
        <v>31.277239999999999</v>
      </c>
      <c r="AF6533">
        <v>-0.77576787443942197</v>
      </c>
      <c r="AG6533">
        <v>-1.106011155239</v>
      </c>
      <c r="AH6533">
        <v>31.236364144938801</v>
      </c>
      <c r="AI6533">
        <v>92.027246152261895</v>
      </c>
      <c r="AJ6533">
        <v>91.422671657398098</v>
      </c>
      <c r="AK6533">
        <v>31.2655644674096</v>
      </c>
    </row>
    <row r="6534" spans="1:37" x14ac:dyDescent="0.2">
      <c r="A6534" t="str">
        <f>"20200111155729316"</f>
        <v>20200111155729316</v>
      </c>
      <c r="B6534" t="str">
        <f>"1578729449309971"</f>
        <v>1578729449309971</v>
      </c>
      <c r="C6534" t="s">
        <v>37</v>
      </c>
      <c r="D6534">
        <v>5.1507440000000004</v>
      </c>
      <c r="E6534">
        <v>0.51456170000000001</v>
      </c>
      <c r="F6534" t="s">
        <v>38</v>
      </c>
      <c r="G6534">
        <v>-188.0624</v>
      </c>
      <c r="H6534" s="1">
        <v>-2.5608139999999899E-6</v>
      </c>
      <c r="I6534">
        <v>24.800940000000001</v>
      </c>
      <c r="J6534">
        <v>-187.232</v>
      </c>
      <c r="K6534">
        <v>1.1060620000000001</v>
      </c>
      <c r="L6534">
        <v>-7.0645749999999996</v>
      </c>
      <c r="M6534" s="1">
        <v>6.8894700000000003E-5</v>
      </c>
      <c r="N6534">
        <v>0</v>
      </c>
      <c r="O6534">
        <v>0.99997510000000001</v>
      </c>
      <c r="P6534">
        <v>-6.7705639999999997E-2</v>
      </c>
      <c r="Q6534">
        <v>2.4638859999999999E-2</v>
      </c>
      <c r="R6534">
        <v>0.99740110000000004</v>
      </c>
      <c r="S6534">
        <v>-7.7377319999999999E-2</v>
      </c>
      <c r="T6534">
        <v>-0.102953399999999</v>
      </c>
      <c r="U6534">
        <v>3.0045470000000001</v>
      </c>
      <c r="V6534">
        <v>-6.7952520000000002E-2</v>
      </c>
      <c r="W6534">
        <v>3.1290489999999997E-2</v>
      </c>
      <c r="X6534">
        <v>0.99719769999999897</v>
      </c>
      <c r="Y6534">
        <v>-2.5798649999999999E-2</v>
      </c>
      <c r="Z6534">
        <v>-3.4234399999999998E-2</v>
      </c>
      <c r="AA6534">
        <v>0.99908079999999999</v>
      </c>
      <c r="AB6534">
        <v>40</v>
      </c>
      <c r="AC6534">
        <v>-0.83039999999999703</v>
      </c>
      <c r="AD6534">
        <v>-1.1060645608140001</v>
      </c>
      <c r="AE6534">
        <v>31.865514999999998</v>
      </c>
      <c r="AF6534">
        <v>-0.83159418356336201</v>
      </c>
      <c r="AG6534">
        <v>-1.1060645608140001</v>
      </c>
      <c r="AH6534">
        <v>31.827138036621498</v>
      </c>
      <c r="AI6534">
        <v>91.989677562368101</v>
      </c>
      <c r="AJ6534">
        <v>91.496710090397897</v>
      </c>
      <c r="AK6534">
        <v>31.857207085696999</v>
      </c>
    </row>
    <row r="6535" spans="1:37" x14ac:dyDescent="0.2">
      <c r="A6535" t="str">
        <f>"20200111155729341"</f>
        <v>20200111155729341</v>
      </c>
      <c r="B6535" t="str">
        <f>"1578729449329490"</f>
        <v>1578729449329490</v>
      </c>
      <c r="C6535" t="s">
        <v>37</v>
      </c>
      <c r="D6535">
        <v>5.1371269999999898</v>
      </c>
      <c r="E6535">
        <v>0.51463190000000003</v>
      </c>
      <c r="F6535" t="s">
        <v>38</v>
      </c>
      <c r="G6535">
        <v>-188.23699999999999</v>
      </c>
      <c r="H6535" s="1">
        <v>-2.8334539999999899E-6</v>
      </c>
      <c r="I6535">
        <v>25.50864</v>
      </c>
      <c r="J6535">
        <v>-187.2338</v>
      </c>
      <c r="K6535">
        <v>1.106112</v>
      </c>
      <c r="L6535">
        <v>-6.6604000000000001</v>
      </c>
      <c r="M6535">
        <v>-2.2327029999999999E-3</v>
      </c>
      <c r="N6535">
        <v>0</v>
      </c>
      <c r="O6535">
        <v>0.99997099999999906</v>
      </c>
      <c r="P6535">
        <v>-7.1360889999999996E-2</v>
      </c>
      <c r="Q6535">
        <v>2.5153310000000002E-2</v>
      </c>
      <c r="R6535">
        <v>0.99713339999999995</v>
      </c>
      <c r="S6535">
        <v>-9.2681879999999994E-2</v>
      </c>
      <c r="T6535">
        <v>-0.10200670000000001</v>
      </c>
      <c r="U6535">
        <v>3.0040589999999998</v>
      </c>
      <c r="V6535">
        <v>-6.9316939999999994E-2</v>
      </c>
      <c r="W6535">
        <v>3.2028269999999998E-2</v>
      </c>
      <c r="X6535">
        <v>0.99708039999999998</v>
      </c>
      <c r="Y6535">
        <v>-2.858803E-2</v>
      </c>
      <c r="Z6535">
        <v>-3.3921609999999998E-2</v>
      </c>
      <c r="AA6535">
        <v>0.999015599999999</v>
      </c>
      <c r="AB6535">
        <v>40</v>
      </c>
      <c r="AC6535">
        <v>-1.0031999999999901</v>
      </c>
      <c r="AD6535">
        <v>-1.1061148334540001</v>
      </c>
      <c r="AE6535">
        <v>32.169040000000003</v>
      </c>
      <c r="AF6535">
        <v>-0.93027289907246302</v>
      </c>
      <c r="AG6535">
        <v>-1.1061148334540001</v>
      </c>
      <c r="AH6535">
        <v>32.133245798919802</v>
      </c>
      <c r="AI6535">
        <v>91.970675090789001</v>
      </c>
      <c r="AJ6535">
        <v>91.658277154730399</v>
      </c>
      <c r="AK6535">
        <v>32.165733059660397</v>
      </c>
    </row>
    <row r="6536" spans="1:37" x14ac:dyDescent="0.2">
      <c r="A6536" t="str">
        <f>"20200111155729362"</f>
        <v>20200111155729362</v>
      </c>
      <c r="B6536" t="str">
        <f>"1578729449359747"</f>
        <v>1578729449359747</v>
      </c>
      <c r="C6536" t="s">
        <v>37</v>
      </c>
      <c r="D6536">
        <v>5.3013029999999999</v>
      </c>
      <c r="E6536">
        <v>0.5145788</v>
      </c>
      <c r="F6536" t="s">
        <v>38</v>
      </c>
      <c r="G6536">
        <v>-188.3477</v>
      </c>
      <c r="H6536" s="1">
        <v>-2.9827389999999999E-6</v>
      </c>
      <c r="I6536">
        <v>25.9024</v>
      </c>
      <c r="J6536">
        <v>-187.23650000000001</v>
      </c>
      <c r="K6536">
        <v>1.1061540000000001</v>
      </c>
      <c r="L6536">
        <v>-6.2566829999999998</v>
      </c>
      <c r="M6536">
        <v>-4.448848E-3</v>
      </c>
      <c r="N6536">
        <v>0</v>
      </c>
      <c r="O6536">
        <v>0.9999614</v>
      </c>
      <c r="P6536">
        <v>-7.4180280000000001E-2</v>
      </c>
      <c r="Q6536">
        <v>2.5648710000000002E-2</v>
      </c>
      <c r="R6536">
        <v>0.996915</v>
      </c>
      <c r="S6536">
        <v>-0.1027527</v>
      </c>
      <c r="T6536">
        <v>-0.10203660000000001</v>
      </c>
      <c r="U6536">
        <v>3.0038450000000001</v>
      </c>
      <c r="V6536">
        <v>-6.9930870000000006E-2</v>
      </c>
      <c r="W6536">
        <v>3.2811300000000002E-2</v>
      </c>
      <c r="X6536">
        <v>0.99701209999999996</v>
      </c>
      <c r="Y6536">
        <v>-2.9720659999999999E-2</v>
      </c>
      <c r="Z6536">
        <v>-3.3931169999999997E-2</v>
      </c>
      <c r="AA6536">
        <v>0.99898209999999998</v>
      </c>
      <c r="AB6536">
        <v>40</v>
      </c>
      <c r="AC6536">
        <v>-1.11119999999999</v>
      </c>
      <c r="AD6536">
        <v>-1.1061569827390001</v>
      </c>
      <c r="AE6536">
        <v>32.159083000000003</v>
      </c>
      <c r="AF6536">
        <v>-0.96697135180796401</v>
      </c>
      <c r="AG6536">
        <v>-1.1061569827390001</v>
      </c>
      <c r="AH6536">
        <v>32.125745370544799</v>
      </c>
      <c r="AI6536">
        <v>91.971143110145405</v>
      </c>
      <c r="AJ6536">
        <v>91.724058205793597</v>
      </c>
      <c r="AK6536">
        <v>32.159324191884998</v>
      </c>
    </row>
    <row r="6537" spans="1:37" x14ac:dyDescent="0.2">
      <c r="A6537" t="str">
        <f>"20200111155729386"</f>
        <v>20200111155729386</v>
      </c>
      <c r="B6537" t="str">
        <f>"1578729449380243"</f>
        <v>1578729449380243</v>
      </c>
      <c r="C6537" t="s">
        <v>37</v>
      </c>
      <c r="D6537">
        <v>5.2592179999999997</v>
      </c>
      <c r="E6537">
        <v>0.51458490000000001</v>
      </c>
      <c r="F6537" t="s">
        <v>38</v>
      </c>
      <c r="G6537">
        <v>-188.44799999999901</v>
      </c>
      <c r="H6537" s="1">
        <v>-3.17551499999999E-6</v>
      </c>
      <c r="I6537">
        <v>26.393249999999998</v>
      </c>
      <c r="J6537">
        <v>-187.24010000000001</v>
      </c>
      <c r="K6537">
        <v>1.106187</v>
      </c>
      <c r="L6537">
        <v>-5.8489990000000001</v>
      </c>
      <c r="M6537">
        <v>-6.6132350000000003E-3</v>
      </c>
      <c r="N6537">
        <v>0</v>
      </c>
      <c r="O6537">
        <v>0.99994699999999903</v>
      </c>
      <c r="P6537">
        <v>-7.6977959999999998E-2</v>
      </c>
      <c r="Q6537">
        <v>2.5299200000000001E-2</v>
      </c>
      <c r="R6537">
        <v>0.99671180000000004</v>
      </c>
      <c r="S6537">
        <v>-0.1114502</v>
      </c>
      <c r="T6537">
        <v>-0.101759899999999</v>
      </c>
      <c r="U6537">
        <v>3.00360099999999</v>
      </c>
      <c r="V6537">
        <v>-7.0569389999999996E-2</v>
      </c>
      <c r="W6537">
        <v>3.2781749999999998E-2</v>
      </c>
      <c r="X6537">
        <v>0.99696810000000002</v>
      </c>
      <c r="Y6537">
        <v>-3.0449070000000002E-2</v>
      </c>
      <c r="Z6537">
        <v>-3.3839290000000001E-2</v>
      </c>
      <c r="AA6537">
        <v>0.99896339999999995</v>
      </c>
      <c r="AB6537">
        <v>40</v>
      </c>
      <c r="AC6537">
        <v>-1.20789999999996</v>
      </c>
      <c r="AD6537">
        <v>-1.1061901755150001</v>
      </c>
      <c r="AE6537">
        <v>32.242249000000001</v>
      </c>
      <c r="AF6537">
        <v>-0.99347360962803999</v>
      </c>
      <c r="AG6537">
        <v>-1.1061901755150001</v>
      </c>
      <c r="AH6537">
        <v>32.211669438454201</v>
      </c>
      <c r="AI6537">
        <v>91.965903796226698</v>
      </c>
      <c r="AJ6537">
        <v>91.766558752120702</v>
      </c>
      <c r="AK6537">
        <v>32.245965554308903</v>
      </c>
    </row>
    <row r="6538" spans="1:37" x14ac:dyDescent="0.2">
      <c r="A6538" t="str">
        <f>"20200111155729407"</f>
        <v>20200111155729407</v>
      </c>
      <c r="B6538" t="str">
        <f>"1578729449399763"</f>
        <v>1578729449399763</v>
      </c>
      <c r="C6538" t="s">
        <v>37</v>
      </c>
      <c r="D6538">
        <v>5.1307720000000003</v>
      </c>
      <c r="E6538">
        <v>0.51480820000000005</v>
      </c>
      <c r="F6538" t="s">
        <v>38</v>
      </c>
      <c r="G6538">
        <v>-188.5564</v>
      </c>
      <c r="H6538" s="1">
        <v>-3.51841799999999E-6</v>
      </c>
      <c r="I6538">
        <v>27.237369999999999</v>
      </c>
      <c r="J6538">
        <v>-187.24440000000001</v>
      </c>
      <c r="K6538">
        <v>1.106203</v>
      </c>
      <c r="L6538">
        <v>-5.4547119999999998</v>
      </c>
      <c r="M6538">
        <v>-8.6243269999999993E-3</v>
      </c>
      <c r="N6538">
        <v>0</v>
      </c>
      <c r="O6538">
        <v>0.99992879999999995</v>
      </c>
      <c r="P6538">
        <v>-7.9592759999999999E-2</v>
      </c>
      <c r="Q6538">
        <v>2.4187960000000001E-2</v>
      </c>
      <c r="R6538">
        <v>0.99653400000000003</v>
      </c>
      <c r="S6538">
        <v>-0.11947629999999999</v>
      </c>
      <c r="T6538">
        <v>-0.10040739999999999</v>
      </c>
      <c r="U6538">
        <v>3.0032040000000002</v>
      </c>
      <c r="V6538">
        <v>-7.1172509999999994E-2</v>
      </c>
      <c r="W6538">
        <v>3.2015399999999999E-2</v>
      </c>
      <c r="X6538">
        <v>0.99695009999999995</v>
      </c>
      <c r="Y6538">
        <v>-3.111005E-2</v>
      </c>
      <c r="Z6538">
        <v>-3.3391589999999999E-2</v>
      </c>
      <c r="AA6538">
        <v>0.99895809999999996</v>
      </c>
      <c r="AB6538">
        <v>40</v>
      </c>
      <c r="AC6538">
        <v>-1.3119999999999801</v>
      </c>
      <c r="AD6538">
        <v>-1.1062065184180001</v>
      </c>
      <c r="AE6538">
        <v>32.692081999999999</v>
      </c>
      <c r="AF6538">
        <v>-1.02881835525257</v>
      </c>
      <c r="AG6538">
        <v>-1.1062065184180001</v>
      </c>
      <c r="AH6538">
        <v>32.664842057277298</v>
      </c>
      <c r="AI6538">
        <v>91.938640132472898</v>
      </c>
      <c r="AJ6538">
        <v>91.804002882778505</v>
      </c>
      <c r="AK6538">
        <v>32.699756370596504</v>
      </c>
    </row>
    <row r="6539" spans="1:37" x14ac:dyDescent="0.2">
      <c r="A6539" t="str">
        <f>"20200111155729430"</f>
        <v>20200111155729430</v>
      </c>
      <c r="B6539" t="str">
        <f>"1578729449420260"</f>
        <v>1578729449420260</v>
      </c>
      <c r="C6539" t="s">
        <v>37</v>
      </c>
      <c r="D6539">
        <v>5.1071660000000003</v>
      </c>
      <c r="E6539">
        <v>0.5150477</v>
      </c>
      <c r="F6539" t="s">
        <v>38</v>
      </c>
      <c r="G6539">
        <v>-188.56280000000001</v>
      </c>
      <c r="H6539" s="1">
        <v>-3.058723E-6</v>
      </c>
      <c r="I6539">
        <v>26.16845</v>
      </c>
      <c r="J6539">
        <v>-187.24950000000001</v>
      </c>
      <c r="K6539">
        <v>1.1062069999999999</v>
      </c>
      <c r="L6539">
        <v>-5.0536799999999999</v>
      </c>
      <c r="M6539">
        <v>-1.0571489999999999E-2</v>
      </c>
      <c r="N6539">
        <v>0</v>
      </c>
      <c r="O6539">
        <v>0.99990679999999998</v>
      </c>
      <c r="P6539">
        <v>-8.2200369999999995E-2</v>
      </c>
      <c r="Q6539">
        <v>2.2471700000000001E-2</v>
      </c>
      <c r="R6539">
        <v>0.99636239999999998</v>
      </c>
      <c r="S6539">
        <v>-0.12519839999999999</v>
      </c>
      <c r="T6539">
        <v>-0.10504719999999999</v>
      </c>
      <c r="U6539">
        <v>3.0029910000000002</v>
      </c>
      <c r="V6539">
        <v>-7.1828660000000003E-2</v>
      </c>
      <c r="W6539">
        <v>3.0695210000000001E-2</v>
      </c>
      <c r="X6539">
        <v>0.99694450000000001</v>
      </c>
      <c r="Y6539">
        <v>-3.106459E-2</v>
      </c>
      <c r="Z6539">
        <v>-3.4932970000000001E-2</v>
      </c>
      <c r="AA6539">
        <v>0.99890669999999904</v>
      </c>
      <c r="AB6539">
        <v>40</v>
      </c>
      <c r="AC6539">
        <v>-1.3132999999999899</v>
      </c>
      <c r="AD6539">
        <v>-1.1062100587229999</v>
      </c>
      <c r="AE6539">
        <v>31.22213</v>
      </c>
      <c r="AF6539">
        <v>-0.98191942082507</v>
      </c>
      <c r="AG6539">
        <v>-1.1062100587229999</v>
      </c>
      <c r="AH6539">
        <v>31.195178858903098</v>
      </c>
      <c r="AI6539">
        <v>92.029906142527096</v>
      </c>
      <c r="AJ6539">
        <v>91.802883374188099</v>
      </c>
      <c r="AK6539">
        <v>31.230226551883501</v>
      </c>
    </row>
    <row r="6540" spans="1:37" x14ac:dyDescent="0.2">
      <c r="A6540" t="str">
        <f>"20200111155729451"</f>
        <v>20200111155729451</v>
      </c>
      <c r="B6540" t="str">
        <f>"1578729449439778"</f>
        <v>1578729449439778</v>
      </c>
      <c r="C6540" t="s">
        <v>37</v>
      </c>
      <c r="D6540">
        <v>5.1612049999999998</v>
      </c>
      <c r="E6540">
        <v>0.51531309999999997</v>
      </c>
      <c r="F6540" t="s">
        <v>38</v>
      </c>
      <c r="G6540">
        <v>-188.548</v>
      </c>
      <c r="H6540" s="1">
        <v>-2.4575089999999998E-6</v>
      </c>
      <c r="I6540">
        <v>24.760919999999999</v>
      </c>
      <c r="J6540">
        <v>-187.25489999999999</v>
      </c>
      <c r="K6540">
        <v>1.1061939999999999</v>
      </c>
      <c r="L6540">
        <v>-4.6773680000000004</v>
      </c>
      <c r="M6540">
        <v>-1.22952999999999E-2</v>
      </c>
      <c r="N6540">
        <v>0</v>
      </c>
      <c r="O6540">
        <v>0.99988349999999904</v>
      </c>
      <c r="P6540">
        <v>-8.4456799999999999E-2</v>
      </c>
      <c r="Q6540">
        <v>2.050975E-2</v>
      </c>
      <c r="R6540">
        <v>0.99621610000000005</v>
      </c>
      <c r="S6540">
        <v>-0.13078310000000001</v>
      </c>
      <c r="T6540">
        <v>-0.11140849999999999</v>
      </c>
      <c r="U6540">
        <v>3.0026860000000002</v>
      </c>
      <c r="V6540">
        <v>-7.2354440000000006E-2</v>
      </c>
      <c r="W6540">
        <v>2.9150949999999998E-2</v>
      </c>
      <c r="X6540">
        <v>0.99695290000000003</v>
      </c>
      <c r="Y6540">
        <v>-3.11968E-2</v>
      </c>
      <c r="Z6540">
        <v>-3.7046669999999997E-2</v>
      </c>
      <c r="AA6540">
        <v>0.9988264</v>
      </c>
      <c r="AB6540">
        <v>40</v>
      </c>
      <c r="AC6540">
        <v>-1.2930999999999999</v>
      </c>
      <c r="AD6540">
        <v>-1.106196457509</v>
      </c>
      <c r="AE6540">
        <v>29.438288</v>
      </c>
      <c r="AF6540">
        <v>-0.92972459978093902</v>
      </c>
      <c r="AG6540">
        <v>-1.106196457509</v>
      </c>
      <c r="AH6540">
        <v>29.410514153664401</v>
      </c>
      <c r="AI6540">
        <v>92.152935016631403</v>
      </c>
      <c r="AJ6540">
        <v>91.810630093736805</v>
      </c>
      <c r="AK6540">
        <v>29.445991258861302</v>
      </c>
    </row>
    <row r="6541" spans="1:37" x14ac:dyDescent="0.2">
      <c r="A6541" t="str">
        <f>"20200111155729473"</f>
        <v>20200111155729473</v>
      </c>
      <c r="B6541" t="str">
        <f>"1578729449470035"</f>
        <v>1578729449470035</v>
      </c>
      <c r="C6541" t="s">
        <v>37</v>
      </c>
      <c r="D6541">
        <v>5.1518040000000003</v>
      </c>
      <c r="E6541">
        <v>0.51569319999999996</v>
      </c>
      <c r="F6541" t="s">
        <v>38</v>
      </c>
      <c r="G6541">
        <v>-188.51329999999999</v>
      </c>
      <c r="H6541" s="1">
        <v>-1.84574E-6</v>
      </c>
      <c r="I6541">
        <v>23.320509999999999</v>
      </c>
      <c r="J6541">
        <v>-187.2611</v>
      </c>
      <c r="K6541">
        <v>1.1061639999999999</v>
      </c>
      <c r="L6541">
        <v>-4.2911380000000001</v>
      </c>
      <c r="M6541">
        <v>-1.394564E-2</v>
      </c>
      <c r="N6541">
        <v>0</v>
      </c>
      <c r="O6541">
        <v>0.99985749999999995</v>
      </c>
      <c r="P6541">
        <v>-8.6560869999999998E-2</v>
      </c>
      <c r="Q6541">
        <v>1.8580670000000001E-2</v>
      </c>
      <c r="R6541">
        <v>0.99607330000000005</v>
      </c>
      <c r="S6541">
        <v>-0.1349487</v>
      </c>
      <c r="T6541">
        <v>-0.1186252</v>
      </c>
      <c r="U6541">
        <v>3.0024109999999999</v>
      </c>
      <c r="V6541">
        <v>-7.2800489999999995E-2</v>
      </c>
      <c r="W6541">
        <v>2.7701469999999999E-2</v>
      </c>
      <c r="X6541">
        <v>0.99696180000000001</v>
      </c>
      <c r="Y6541">
        <v>-3.0929950000000001E-2</v>
      </c>
      <c r="Z6541">
        <v>-3.9444099999999899E-2</v>
      </c>
      <c r="AA6541">
        <v>0.99874289999999999</v>
      </c>
      <c r="AB6541">
        <v>40</v>
      </c>
      <c r="AC6541">
        <v>-1.25219999999998</v>
      </c>
      <c r="AD6541">
        <v>-1.1061658457400001</v>
      </c>
      <c r="AE6541">
        <v>27.611647999999999</v>
      </c>
      <c r="AF6541">
        <v>-0.86561229579163901</v>
      </c>
      <c r="AG6541">
        <v>-1.1061658457400001</v>
      </c>
      <c r="AH6541">
        <v>27.582249481833799</v>
      </c>
      <c r="AI6541">
        <v>92.295445533814103</v>
      </c>
      <c r="AJ6541">
        <v>91.797520493093302</v>
      </c>
      <c r="AK6541">
        <v>27.6179900427788</v>
      </c>
    </row>
    <row r="6542" spans="1:37" x14ac:dyDescent="0.2">
      <c r="A6542" t="str">
        <f>"20200111155729497"</f>
        <v>20200111155729497</v>
      </c>
      <c r="B6542" t="str">
        <f>"1578729449489556"</f>
        <v>1578729449489556</v>
      </c>
      <c r="C6542" t="s">
        <v>37</v>
      </c>
      <c r="D6542">
        <v>5.2176999999999998</v>
      </c>
      <c r="E6542">
        <v>0.51594280000000003</v>
      </c>
      <c r="F6542" t="s">
        <v>38</v>
      </c>
      <c r="G6542">
        <v>-188.46870000000001</v>
      </c>
      <c r="H6542" s="1">
        <v>-1.272174E-6</v>
      </c>
      <c r="I6542">
        <v>21.965070000000001</v>
      </c>
      <c r="J6542">
        <v>-187.2688</v>
      </c>
      <c r="K6542">
        <v>1.106114</v>
      </c>
      <c r="L6542">
        <v>-3.8515929999999998</v>
      </c>
      <c r="M6542">
        <v>-1.566768E-2</v>
      </c>
      <c r="N6542">
        <v>0</v>
      </c>
      <c r="O6542">
        <v>0.99982629999999995</v>
      </c>
      <c r="P6542">
        <v>-8.8870299999999999E-2</v>
      </c>
      <c r="Q6542">
        <v>1.6956570000000001E-2</v>
      </c>
      <c r="R6542">
        <v>0.99589879999999997</v>
      </c>
      <c r="S6542">
        <v>-0.138076799999999</v>
      </c>
      <c r="T6542">
        <v>-0.1264816</v>
      </c>
      <c r="U6542">
        <v>3.0021969999999998</v>
      </c>
      <c r="V6542">
        <v>-7.3380600000000004E-2</v>
      </c>
      <c r="W6542">
        <v>2.668237E-2</v>
      </c>
      <c r="X6542">
        <v>0.99694699999999903</v>
      </c>
      <c r="Y6542">
        <v>-3.0245129999999999E-2</v>
      </c>
      <c r="Z6542">
        <v>-4.2052779999999998E-2</v>
      </c>
      <c r="AA6542">
        <v>0.99865749999999998</v>
      </c>
      <c r="AB6542">
        <v>40</v>
      </c>
      <c r="AC6542">
        <v>-1.19990000000001</v>
      </c>
      <c r="AD6542">
        <v>-1.106115272174</v>
      </c>
      <c r="AE6542">
        <v>25.816662999999998</v>
      </c>
      <c r="AF6542">
        <v>-0.79379086192926895</v>
      </c>
      <c r="AG6542">
        <v>-1.106115272174</v>
      </c>
      <c r="AH6542">
        <v>25.785062914510899</v>
      </c>
      <c r="AI6542">
        <v>92.455179213577395</v>
      </c>
      <c r="AJ6542">
        <v>91.763288573358906</v>
      </c>
      <c r="AK6542">
        <v>25.820981089670202</v>
      </c>
    </row>
    <row r="6543" spans="1:37" x14ac:dyDescent="0.2">
      <c r="A6543" t="str">
        <f>"20200111155729520"</f>
        <v>20200111155729520</v>
      </c>
      <c r="B6543" t="str">
        <f>"1578729449510052"</f>
        <v>1578729449510052</v>
      </c>
      <c r="C6543" t="s">
        <v>37</v>
      </c>
      <c r="D6543">
        <v>5.1501510000000001</v>
      </c>
      <c r="E6543">
        <v>0.51613719999999996</v>
      </c>
      <c r="F6543" t="s">
        <v>38</v>
      </c>
      <c r="G6543">
        <v>-188.46119999999999</v>
      </c>
      <c r="H6543" s="1">
        <v>-9.464961E-7</v>
      </c>
      <c r="I6543">
        <v>21.202819999999999</v>
      </c>
      <c r="J6543">
        <v>-187.27629999999999</v>
      </c>
      <c r="K6543">
        <v>1.106044</v>
      </c>
      <c r="L6543">
        <v>-3.4569699999999899</v>
      </c>
      <c r="M6543">
        <v>-1.7048069999999999E-2</v>
      </c>
      <c r="N6543">
        <v>0</v>
      </c>
      <c r="O6543">
        <v>0.99979810000000002</v>
      </c>
      <c r="P6543">
        <v>-9.0784329999999996E-2</v>
      </c>
      <c r="Q6543">
        <v>1.6062110000000001E-2</v>
      </c>
      <c r="R6543">
        <v>0.99574099999999999</v>
      </c>
      <c r="S6543">
        <v>-0.14286799999999999</v>
      </c>
      <c r="T6543">
        <v>-0.1325277</v>
      </c>
      <c r="U6543">
        <v>3.001862</v>
      </c>
      <c r="V6543">
        <v>-7.3909840000000004E-2</v>
      </c>
      <c r="W6543">
        <v>2.635061E-2</v>
      </c>
      <c r="X6543">
        <v>0.99691669999999999</v>
      </c>
      <c r="Y6543">
        <v>-3.0456500000000001E-2</v>
      </c>
      <c r="Z6543">
        <v>-4.4060820000000001E-2</v>
      </c>
      <c r="AA6543">
        <v>0.99856449999999997</v>
      </c>
      <c r="AB6543">
        <v>40</v>
      </c>
      <c r="AC6543">
        <v>-1.1848999999999901</v>
      </c>
      <c r="AD6543">
        <v>-1.1060449464961</v>
      </c>
      <c r="AE6543">
        <v>24.659790000000001</v>
      </c>
      <c r="AF6543">
        <v>-0.76277122878510695</v>
      </c>
      <c r="AG6543">
        <v>-1.1060449464961</v>
      </c>
      <c r="AH6543">
        <v>24.626978832216299</v>
      </c>
      <c r="AI6543">
        <v>92.570304566874398</v>
      </c>
      <c r="AJ6543">
        <v>91.774054590762006</v>
      </c>
      <c r="AK6543">
        <v>24.663601557225199</v>
      </c>
    </row>
    <row r="6544" spans="1:37" x14ac:dyDescent="0.2">
      <c r="A6544" t="str">
        <f>"20200111155729542"</f>
        <v>20200111155729542</v>
      </c>
      <c r="B6544" t="str">
        <f>"1578729449539331"</f>
        <v>1578729449539331</v>
      </c>
      <c r="C6544" t="s">
        <v>37</v>
      </c>
      <c r="D6544">
        <v>5.1596519999999897</v>
      </c>
      <c r="E6544">
        <v>0.51651150000000001</v>
      </c>
      <c r="F6544" t="s">
        <v>38</v>
      </c>
      <c r="G6544">
        <v>-188.4676</v>
      </c>
      <c r="H6544" s="1">
        <v>-8.2869119999999995E-7</v>
      </c>
      <c r="I6544">
        <v>20.88503</v>
      </c>
      <c r="J6544">
        <v>-187.2842</v>
      </c>
      <c r="K6544">
        <v>1.1059490000000001</v>
      </c>
      <c r="L6544">
        <v>-3.0608520000000001</v>
      </c>
      <c r="M6544">
        <v>-1.826581E-2</v>
      </c>
      <c r="N6544">
        <v>0</v>
      </c>
      <c r="O6544">
        <v>0.99977090000000002</v>
      </c>
      <c r="P6544">
        <v>-9.2638670000000006E-2</v>
      </c>
      <c r="Q6544">
        <v>1.403921E-2</v>
      </c>
      <c r="R6544">
        <v>0.99560079999999995</v>
      </c>
      <c r="S6544">
        <v>-0.14689639999999901</v>
      </c>
      <c r="T6544">
        <v>-0.13638810000000001</v>
      </c>
      <c r="U6544">
        <v>3.0016479999999999</v>
      </c>
      <c r="V6544">
        <v>-7.4535879999999999E-2</v>
      </c>
      <c r="W6544">
        <v>2.4867179999999999E-2</v>
      </c>
      <c r="X6544">
        <v>0.99690820000000002</v>
      </c>
      <c r="Y6544">
        <v>-3.0576530000000001E-2</v>
      </c>
      <c r="Z6544">
        <v>-4.5341859999999998E-2</v>
      </c>
      <c r="AA6544">
        <v>0.99850339999999904</v>
      </c>
      <c r="AB6544">
        <v>40</v>
      </c>
      <c r="AC6544">
        <v>-1.1834</v>
      </c>
      <c r="AD6544">
        <v>-1.1059498286912</v>
      </c>
      <c r="AE6544">
        <v>23.945882000000001</v>
      </c>
      <c r="AF6544">
        <v>-0.74420080188548798</v>
      </c>
      <c r="AG6544">
        <v>-1.1059498286912</v>
      </c>
      <c r="AH6544">
        <v>23.912620127886999</v>
      </c>
      <c r="AI6544">
        <v>92.646741974856994</v>
      </c>
      <c r="AJ6544">
        <v>91.782565294723895</v>
      </c>
      <c r="AK6544">
        <v>23.949746579822801</v>
      </c>
    </row>
    <row r="6545" spans="1:37" x14ac:dyDescent="0.2">
      <c r="A6545" t="str">
        <f>"20200111155729562"</f>
        <v>20200111155729562</v>
      </c>
      <c r="B6545" t="str">
        <f>"1578729449559827"</f>
        <v>1578729449559827</v>
      </c>
      <c r="C6545" t="s">
        <v>37</v>
      </c>
      <c r="D6545">
        <v>5.1930949999999996</v>
      </c>
      <c r="E6545">
        <v>0.51676699999999998</v>
      </c>
      <c r="F6545" t="s">
        <v>38</v>
      </c>
      <c r="G6545">
        <v>-188.42760000000001</v>
      </c>
      <c r="H6545" s="1">
        <v>-5.1649889999999998E-7</v>
      </c>
      <c r="I6545">
        <v>19.936419999999998</v>
      </c>
      <c r="J6545">
        <v>-187.29159999999999</v>
      </c>
      <c r="K6545">
        <v>1.1058509999999999</v>
      </c>
      <c r="L6545">
        <v>-2.7036739999999999</v>
      </c>
      <c r="M6545">
        <v>-1.9239249999999999E-2</v>
      </c>
      <c r="N6545">
        <v>0</v>
      </c>
      <c r="O6545">
        <v>0.99974779999999996</v>
      </c>
      <c r="P6545">
        <v>-9.4022449999999994E-2</v>
      </c>
      <c r="Q6545">
        <v>1.205033E-2</v>
      </c>
      <c r="R6545">
        <v>0.99549719999999997</v>
      </c>
      <c r="S6545">
        <v>-0.149231</v>
      </c>
      <c r="T6545">
        <v>-0.14433879999999999</v>
      </c>
      <c r="U6545">
        <v>3.001404</v>
      </c>
      <c r="V6545">
        <v>-7.4936539999999996E-2</v>
      </c>
      <c r="W6545">
        <v>2.3329349999999999E-2</v>
      </c>
      <c r="X6545">
        <v>0.99691540000000001</v>
      </c>
      <c r="Y6545">
        <v>-3.0375860000000001E-2</v>
      </c>
      <c r="Z6545">
        <v>-4.7980969999999998E-2</v>
      </c>
      <c r="AA6545">
        <v>0.99838629999999995</v>
      </c>
      <c r="AB6545">
        <v>40</v>
      </c>
      <c r="AC6545">
        <v>-1.1360000000000201</v>
      </c>
      <c r="AD6545">
        <v>-1.1058515164989</v>
      </c>
      <c r="AE6545">
        <v>22.640094000000001</v>
      </c>
      <c r="AF6545">
        <v>-0.69851969667514102</v>
      </c>
      <c r="AG6545">
        <v>-1.1058515164989</v>
      </c>
      <c r="AH6545">
        <v>22.603966702942198</v>
      </c>
      <c r="AI6545">
        <v>92.799508067892702</v>
      </c>
      <c r="AJ6545">
        <v>91.770021093545694</v>
      </c>
      <c r="AK6545">
        <v>22.641778818169399</v>
      </c>
    </row>
    <row r="6546" spans="1:37" x14ac:dyDescent="0.2">
      <c r="A6546" t="str">
        <f>"20200111155729586"</f>
        <v>20200111155729586</v>
      </c>
      <c r="B6546" t="str">
        <f>"1578729449580323"</f>
        <v>1578729449580323</v>
      </c>
      <c r="C6546" t="s">
        <v>37</v>
      </c>
      <c r="D6546">
        <v>5.2076510000000003</v>
      </c>
      <c r="E6546">
        <v>0.51691149999999997</v>
      </c>
      <c r="F6546" t="s">
        <v>38</v>
      </c>
      <c r="G6546">
        <v>-188.398</v>
      </c>
      <c r="H6546" s="1">
        <v>-4.4113310000000002E-6</v>
      </c>
      <c r="I6546">
        <v>19.253270000000001</v>
      </c>
      <c r="J6546">
        <v>-187.3006</v>
      </c>
      <c r="K6546">
        <v>1.1057299999999901</v>
      </c>
      <c r="L6546">
        <v>-2.289825</v>
      </c>
      <c r="M6546">
        <v>-2.0200849999999999E-2</v>
      </c>
      <c r="N6546">
        <v>0</v>
      </c>
      <c r="O6546">
        <v>0.99972349999999999</v>
      </c>
      <c r="P6546">
        <v>-9.4856369999999995E-2</v>
      </c>
      <c r="Q6546">
        <v>1.0397160000000001E-2</v>
      </c>
      <c r="R6546">
        <v>0.99543669999999995</v>
      </c>
      <c r="S6546">
        <v>-0.1512146</v>
      </c>
      <c r="T6546">
        <v>-0.15115110000000001</v>
      </c>
      <c r="U6546">
        <v>3.0011290000000002</v>
      </c>
      <c r="V6546">
        <v>-7.4799249999999998E-2</v>
      </c>
      <c r="W6546">
        <v>2.215377E-2</v>
      </c>
      <c r="X6546">
        <v>0.99695249999999902</v>
      </c>
      <c r="Y6546">
        <v>-3.0071520000000001E-2</v>
      </c>
      <c r="Z6546">
        <v>-5.0242439999999999E-2</v>
      </c>
      <c r="AA6546">
        <v>0.99828419999999896</v>
      </c>
      <c r="AB6546">
        <v>40</v>
      </c>
      <c r="AC6546">
        <v>-1.0973999999999899</v>
      </c>
      <c r="AD6546">
        <v>-1.1057344113309999</v>
      </c>
      <c r="AE6546">
        <v>21.543095000000001</v>
      </c>
      <c r="AF6546">
        <v>-0.66022088257151901</v>
      </c>
      <c r="AG6546">
        <v>-1.1057344113309999</v>
      </c>
      <c r="AH6546">
        <v>21.5043633805643</v>
      </c>
      <c r="AI6546">
        <v>92.942119664213493</v>
      </c>
      <c r="AJ6546">
        <v>91.758526430503395</v>
      </c>
      <c r="AK6546">
        <v>21.542891741953799</v>
      </c>
    </row>
    <row r="6547" spans="1:37" x14ac:dyDescent="0.2">
      <c r="A6547" t="str">
        <f>"20200111155729607"</f>
        <v>20200111155729607</v>
      </c>
      <c r="B6547" t="str">
        <f>"1578729449599843"</f>
        <v>1578729449599843</v>
      </c>
      <c r="C6547" t="s">
        <v>37</v>
      </c>
      <c r="D6547">
        <v>5.3975589999999896</v>
      </c>
      <c r="E6547">
        <v>0.53431689999999998</v>
      </c>
      <c r="F6547" t="s">
        <v>38</v>
      </c>
      <c r="G6547">
        <v>-188.37690000000001</v>
      </c>
      <c r="H6547" s="1">
        <v>-4.2609010000000004E-6</v>
      </c>
      <c r="I6547">
        <v>18.893899999999999</v>
      </c>
      <c r="J6547">
        <v>-187.3092</v>
      </c>
      <c r="K6547">
        <v>1.1055969999999999</v>
      </c>
      <c r="L6547">
        <v>-1.9020999999999999</v>
      </c>
      <c r="M6547">
        <v>-2.093735E-2</v>
      </c>
      <c r="N6547">
        <v>0</v>
      </c>
      <c r="O6547">
        <v>0.99970380000000003</v>
      </c>
      <c r="P6547">
        <v>-9.4887239999999998E-2</v>
      </c>
      <c r="Q6547">
        <v>9.3569510000000005E-3</v>
      </c>
      <c r="R6547">
        <v>0.99544409999999905</v>
      </c>
      <c r="S6547">
        <v>-0.15246579999999901</v>
      </c>
      <c r="T6547">
        <v>-0.15663659999999999</v>
      </c>
      <c r="U6547">
        <v>3.0008539999999999</v>
      </c>
      <c r="V6547">
        <v>-7.4084300000000006E-2</v>
      </c>
      <c r="W6547">
        <v>2.1520689999999999E-2</v>
      </c>
      <c r="X6547">
        <v>0.99701980000000001</v>
      </c>
      <c r="Y6547">
        <v>-2.9750080000000002E-2</v>
      </c>
      <c r="Z6547">
        <v>-5.2064239999999998E-2</v>
      </c>
      <c r="AA6547">
        <v>0.99820049999999905</v>
      </c>
      <c r="AB6547">
        <v>40</v>
      </c>
      <c r="AC6547">
        <v>-1.0677000000000001</v>
      </c>
      <c r="AD6547">
        <v>-1.105601260901</v>
      </c>
      <c r="AE6547">
        <v>20.795999999999999</v>
      </c>
      <c r="AF6547">
        <v>-0.630242614772479</v>
      </c>
      <c r="AG6547">
        <v>-1.105601260901</v>
      </c>
      <c r="AH6547">
        <v>20.755288096026099</v>
      </c>
      <c r="AI6547">
        <v>93.047771262466895</v>
      </c>
      <c r="AJ6547">
        <v>91.739274795504897</v>
      </c>
      <c r="AK6547">
        <v>20.794267090970699</v>
      </c>
    </row>
    <row r="6548" spans="1:37" x14ac:dyDescent="0.2">
      <c r="A6548" t="str">
        <f>"20200111155729631"</f>
        <v>20200111155729631</v>
      </c>
      <c r="B6548" t="str">
        <f>"1578729449620339"</f>
        <v>1578729449620339</v>
      </c>
      <c r="C6548" t="s">
        <v>37</v>
      </c>
      <c r="D6548">
        <v>5.0335219999999996</v>
      </c>
      <c r="E6548">
        <v>0.53399680000000005</v>
      </c>
      <c r="F6548" t="s">
        <v>40</v>
      </c>
      <c r="G6548">
        <v>-187.31379999999999</v>
      </c>
      <c r="H6548">
        <v>1.0443199999999999</v>
      </c>
      <c r="I6548">
        <v>-0.98332540000000002</v>
      </c>
      <c r="J6548">
        <v>-187.31819999999999</v>
      </c>
      <c r="K6548">
        <v>1.1054459999999999</v>
      </c>
      <c r="L6548">
        <v>-1.5019530000000001</v>
      </c>
      <c r="M6548">
        <v>-2.1523850000000001E-2</v>
      </c>
      <c r="N6548">
        <v>0</v>
      </c>
      <c r="O6548">
        <v>0.99968699999999999</v>
      </c>
      <c r="P6548">
        <v>-9.4667009999999996E-2</v>
      </c>
      <c r="Q6548">
        <v>9.3638869999999996E-3</v>
      </c>
      <c r="R6548">
        <v>0.99546499999999905</v>
      </c>
      <c r="S6548">
        <v>-1.5075679999999999E-2</v>
      </c>
      <c r="T6548">
        <v>-0.201024799999999</v>
      </c>
      <c r="U6548">
        <v>3.0141909999999998</v>
      </c>
      <c r="V6548">
        <v>-7.327024E-2</v>
      </c>
      <c r="W6548">
        <v>2.190636E-2</v>
      </c>
      <c r="X6548">
        <v>0.9970715</v>
      </c>
      <c r="Y6548">
        <v>1.6536060000000002E-2</v>
      </c>
      <c r="Z6548">
        <v>-6.651688E-2</v>
      </c>
      <c r="AA6548">
        <v>0.99764819999999999</v>
      </c>
      <c r="AB6548">
        <v>40</v>
      </c>
      <c r="AC6548">
        <v>4.4000000000039502E-3</v>
      </c>
      <c r="AD6548">
        <v>-6.1125999999999701E-2</v>
      </c>
      <c r="AE6548">
        <v>0.51862759999999997</v>
      </c>
      <c r="AF6548">
        <v>1.53495422957345E-2</v>
      </c>
      <c r="AG6548">
        <v>-6.1125999999999701E-2</v>
      </c>
      <c r="AH6548">
        <v>0.51131049942140105</v>
      </c>
      <c r="AI6548">
        <v>96.814184787016501</v>
      </c>
      <c r="AJ6548">
        <v>88.280496990338406</v>
      </c>
      <c r="AK6548">
        <v>0.51517999101600498</v>
      </c>
    </row>
    <row r="6549" spans="1:37" x14ac:dyDescent="0.2">
      <c r="A6549" t="str">
        <f>"20200111155729652"</f>
        <v>20200111155729652</v>
      </c>
      <c r="B6549" t="str">
        <f>"1578729449649619"</f>
        <v>1578729449649619</v>
      </c>
      <c r="C6549" t="s">
        <v>37</v>
      </c>
      <c r="D6549">
        <v>5.0638059999999996</v>
      </c>
      <c r="E6549">
        <v>0.53371550000000001</v>
      </c>
      <c r="F6549" t="s">
        <v>40</v>
      </c>
      <c r="G6549">
        <v>-187.32310000000001</v>
      </c>
      <c r="H6549">
        <v>1.046872</v>
      </c>
      <c r="I6549">
        <v>-0.62020090000000005</v>
      </c>
      <c r="J6549">
        <v>-187.327</v>
      </c>
      <c r="K6549">
        <v>1.1052949999999999</v>
      </c>
      <c r="L6549">
        <v>-1.1192629999999999</v>
      </c>
      <c r="M6549">
        <v>-2.1925839999999999E-2</v>
      </c>
      <c r="N6549">
        <v>0</v>
      </c>
      <c r="O6549">
        <v>0.99967439999999996</v>
      </c>
      <c r="P6549">
        <v>-9.3820039999999993E-2</v>
      </c>
      <c r="Q6549">
        <v>1.0089570000000001E-2</v>
      </c>
      <c r="R6549">
        <v>0.99553809999999998</v>
      </c>
      <c r="S6549">
        <v>-1.698303E-2</v>
      </c>
      <c r="T6549">
        <v>-0.20020869999999999</v>
      </c>
      <c r="U6549">
        <v>3.0139469999999999</v>
      </c>
      <c r="V6549">
        <v>-7.2013789999999994E-2</v>
      </c>
      <c r="W6549">
        <v>2.2959420000000001E-2</v>
      </c>
      <c r="X6549">
        <v>0.99713929999999995</v>
      </c>
      <c r="Y6549">
        <v>1.6306359999999999E-2</v>
      </c>
      <c r="Z6549">
        <v>-6.6252519999999995E-2</v>
      </c>
      <c r="AA6549">
        <v>0.99766960000000005</v>
      </c>
      <c r="AB6549">
        <v>40</v>
      </c>
      <c r="AC6549">
        <v>3.8999999999873498E-3</v>
      </c>
      <c r="AD6549">
        <v>-5.84230000000001E-2</v>
      </c>
      <c r="AE6549">
        <v>0.49906209999999901</v>
      </c>
      <c r="AF6549">
        <v>1.4641707308280801E-2</v>
      </c>
      <c r="AG6549">
        <v>-5.84230000000001E-2</v>
      </c>
      <c r="AH6549">
        <v>0.492112909826246</v>
      </c>
      <c r="AI6549">
        <v>96.767424083060007</v>
      </c>
      <c r="AJ6549">
        <v>88.295796335869696</v>
      </c>
      <c r="AK6549">
        <v>0.495784976113189</v>
      </c>
    </row>
    <row r="6550" spans="1:37" x14ac:dyDescent="0.2">
      <c r="A6550" t="str">
        <f>"20200111155729677"</f>
        <v>20200111155729677</v>
      </c>
      <c r="B6550" t="str">
        <f>"1578729449670114"</f>
        <v>1578729449670114</v>
      </c>
      <c r="C6550" t="s">
        <v>37</v>
      </c>
      <c r="D6550">
        <v>5.143224</v>
      </c>
      <c r="E6550">
        <v>0.53417519999999996</v>
      </c>
      <c r="F6550" t="s">
        <v>38</v>
      </c>
      <c r="G6550">
        <v>-187.4204</v>
      </c>
      <c r="H6550" s="1">
        <v>-3.1615300000000001E-6</v>
      </c>
      <c r="I6550">
        <v>15.935739999999999</v>
      </c>
      <c r="J6550">
        <v>-187.33709999999999</v>
      </c>
      <c r="K6550">
        <v>1.1051139999999999</v>
      </c>
      <c r="L6550">
        <v>-0.67340089999999997</v>
      </c>
      <c r="M6550">
        <v>-2.2225669999999999E-2</v>
      </c>
      <c r="N6550">
        <v>0</v>
      </c>
      <c r="O6550">
        <v>0.99966390000000005</v>
      </c>
      <c r="P6550">
        <v>-9.342048E-2</v>
      </c>
      <c r="Q6550">
        <v>1.142666E-2</v>
      </c>
      <c r="R6550">
        <v>0.99556119999999904</v>
      </c>
      <c r="S6550">
        <v>-1.6510009999999999E-2</v>
      </c>
      <c r="T6550">
        <v>-0.19532160000000001</v>
      </c>
      <c r="U6550">
        <v>3.013855</v>
      </c>
      <c r="V6550">
        <v>-7.130533E-2</v>
      </c>
      <c r="W6550">
        <v>2.4631219999999999E-2</v>
      </c>
      <c r="X6550">
        <v>0.99715039999999999</v>
      </c>
      <c r="Y6550">
        <v>1.676217E-2</v>
      </c>
      <c r="Z6550">
        <v>-6.4643259999999994E-2</v>
      </c>
      <c r="AA6550">
        <v>0.99776759999999998</v>
      </c>
      <c r="AB6550">
        <v>39</v>
      </c>
      <c r="AC6550">
        <v>-8.3300000000008298E-2</v>
      </c>
      <c r="AD6550">
        <v>-1.1051171615299999</v>
      </c>
      <c r="AE6550">
        <v>16.6091409</v>
      </c>
      <c r="AF6550">
        <v>0.28464262517382599</v>
      </c>
      <c r="AG6550">
        <v>-1.1051171615299999</v>
      </c>
      <c r="AH6550">
        <v>16.5336939534943</v>
      </c>
      <c r="AI6550">
        <v>93.823414610529497</v>
      </c>
      <c r="AJ6550">
        <v>89.013698319322202</v>
      </c>
      <c r="AK6550">
        <v>16.5730305349561</v>
      </c>
    </row>
    <row r="6551" spans="1:37" x14ac:dyDescent="0.2">
      <c r="A6551" t="str">
        <f>"20200111155729698"</f>
        <v>20200111155729698</v>
      </c>
      <c r="B6551" t="str">
        <f>"1578729449689635"</f>
        <v>1578729449689635</v>
      </c>
      <c r="C6551" t="s">
        <v>37</v>
      </c>
      <c r="D6551">
        <v>5.1171759999999997</v>
      </c>
      <c r="E6551">
        <v>0.53424450000000001</v>
      </c>
      <c r="F6551" t="s">
        <v>38</v>
      </c>
      <c r="G6551">
        <v>-187.40719999999999</v>
      </c>
      <c r="H6551" s="1">
        <v>-3.6180119999999998E-6</v>
      </c>
      <c r="I6551">
        <v>16.994340000000001</v>
      </c>
      <c r="J6551">
        <v>-187.34530000000001</v>
      </c>
      <c r="K6551">
        <v>1.1049819999999999</v>
      </c>
      <c r="L6551">
        <v>-0.31420900000000002</v>
      </c>
      <c r="M6551">
        <v>-2.2328730000000001E-2</v>
      </c>
      <c r="N6551">
        <v>0</v>
      </c>
      <c r="O6551">
        <v>0.99965879999999996</v>
      </c>
      <c r="P6551">
        <v>-9.2731030000000006E-2</v>
      </c>
      <c r="Q6551">
        <v>1.2831179999999999E-2</v>
      </c>
      <c r="R6551">
        <v>0.99560849999999901</v>
      </c>
      <c r="S6551">
        <v>-1.1947630000000001E-2</v>
      </c>
      <c r="T6551">
        <v>-0.1885511</v>
      </c>
      <c r="U6551">
        <v>3.0144039999999999</v>
      </c>
      <c r="V6551">
        <v>-7.0505470000000001E-2</v>
      </c>
      <c r="W6551">
        <v>2.6271010000000001E-2</v>
      </c>
      <c r="X6551">
        <v>0.99716539999999998</v>
      </c>
      <c r="Y6551">
        <v>1.8375829999999999E-2</v>
      </c>
      <c r="Z6551">
        <v>-6.2399169999999997E-2</v>
      </c>
      <c r="AA6551">
        <v>0.99788209999999999</v>
      </c>
      <c r="AB6551">
        <v>39</v>
      </c>
      <c r="AC6551">
        <v>-6.1899999999979999E-2</v>
      </c>
      <c r="AD6551">
        <v>-1.1049856180119999</v>
      </c>
      <c r="AE6551">
        <v>17.308548999999999</v>
      </c>
      <c r="AF6551">
        <v>0.32331118662010599</v>
      </c>
      <c r="AG6551">
        <v>-1.1049856180119999</v>
      </c>
      <c r="AH6551">
        <v>17.235371521659701</v>
      </c>
      <c r="AI6551">
        <v>93.667654792302201</v>
      </c>
      <c r="AJ6551">
        <v>88.925338273941904</v>
      </c>
      <c r="AK6551">
        <v>17.2737822965628</v>
      </c>
    </row>
    <row r="6552" spans="1:37" x14ac:dyDescent="0.2">
      <c r="A6552" t="str">
        <f>"20200111155729719"</f>
        <v>20200111155729719</v>
      </c>
      <c r="B6552" t="str">
        <f>"1578729449710130"</f>
        <v>1578729449710130</v>
      </c>
      <c r="C6552" t="s">
        <v>37</v>
      </c>
      <c r="D6552">
        <v>5.1316920000000001</v>
      </c>
      <c r="E6552">
        <v>0.53419510000000003</v>
      </c>
      <c r="F6552" t="s">
        <v>38</v>
      </c>
      <c r="G6552">
        <v>-187.4016</v>
      </c>
      <c r="H6552" s="1">
        <v>-4.0763210000000002E-6</v>
      </c>
      <c r="I6552">
        <v>18.060400000000001</v>
      </c>
      <c r="J6552">
        <v>-187.35390000000001</v>
      </c>
      <c r="K6552">
        <v>1.1048420000000001</v>
      </c>
      <c r="L6552">
        <v>6.6955570000000006E-2</v>
      </c>
      <c r="M6552">
        <v>-2.2305539999999999E-2</v>
      </c>
      <c r="N6552">
        <v>0</v>
      </c>
      <c r="O6552">
        <v>0.99965669999999995</v>
      </c>
      <c r="P6552">
        <v>-9.170333E-2</v>
      </c>
      <c r="Q6552">
        <v>1.365836E-2</v>
      </c>
      <c r="R6552">
        <v>0.99569269999999999</v>
      </c>
      <c r="S6552">
        <v>-9.2468259999999997E-3</v>
      </c>
      <c r="T6552">
        <v>-0.18129439999999999</v>
      </c>
      <c r="U6552">
        <v>3.0147089999999999</v>
      </c>
      <c r="V6552">
        <v>-6.9489739999999994E-2</v>
      </c>
      <c r="W6552">
        <v>2.7318720000000001E-2</v>
      </c>
      <c r="X6552">
        <v>0.99720849999999905</v>
      </c>
      <c r="Y6552">
        <v>1.9246610000000001E-2</v>
      </c>
      <c r="Z6552">
        <v>-6.0000089999999999E-2</v>
      </c>
      <c r="AA6552">
        <v>0.99801280000000003</v>
      </c>
      <c r="AB6552">
        <v>39</v>
      </c>
      <c r="AC6552">
        <v>-4.7699999999991798E-2</v>
      </c>
      <c r="AD6552">
        <v>-1.104846076321</v>
      </c>
      <c r="AE6552">
        <v>17.99344443</v>
      </c>
      <c r="AF6552">
        <v>0.35237474050821699</v>
      </c>
      <c r="AG6552">
        <v>-1.104846076321</v>
      </c>
      <c r="AH6552">
        <v>17.922458478611301</v>
      </c>
      <c r="AI6552">
        <v>93.526905971867606</v>
      </c>
      <c r="AJ6552">
        <v>88.873648691373901</v>
      </c>
      <c r="AK6552">
        <v>17.959937937745099</v>
      </c>
    </row>
    <row r="6553" spans="1:37" x14ac:dyDescent="0.2">
      <c r="A6553" t="str">
        <f>"20200111155729742"</f>
        <v>20200111155729742</v>
      </c>
      <c r="B6553" t="str">
        <f>"1578729449729651"</f>
        <v>1578729449729651</v>
      </c>
      <c r="C6553" t="s">
        <v>37</v>
      </c>
      <c r="D6553">
        <v>5.1659360000000003</v>
      </c>
      <c r="E6553">
        <v>0.53441039999999995</v>
      </c>
      <c r="F6553" t="s">
        <v>40</v>
      </c>
      <c r="G6553">
        <v>-187.35599999999999</v>
      </c>
      <c r="H6553">
        <v>1.041933</v>
      </c>
      <c r="I6553">
        <v>1.127059</v>
      </c>
      <c r="J6553">
        <v>-187.36250000000001</v>
      </c>
      <c r="K6553">
        <v>1.104711</v>
      </c>
      <c r="L6553">
        <v>0.45434570000000002</v>
      </c>
      <c r="M6553">
        <v>-2.2157050000000001E-2</v>
      </c>
      <c r="N6553">
        <v>0</v>
      </c>
      <c r="O6553">
        <v>0.99965759999999904</v>
      </c>
      <c r="P6553">
        <v>-9.0879310000000005E-2</v>
      </c>
      <c r="Q6553">
        <v>1.377109E-2</v>
      </c>
      <c r="R6553">
        <v>0.99576669999999901</v>
      </c>
      <c r="S6553">
        <v>-6.4239500000000003E-3</v>
      </c>
      <c r="T6553">
        <v>-0.178889299999999</v>
      </c>
      <c r="U6553">
        <v>3.0148320000000002</v>
      </c>
      <c r="V6553">
        <v>-6.8803000000000003E-2</v>
      </c>
      <c r="W6553">
        <v>2.7626640000000001E-2</v>
      </c>
      <c r="X6553">
        <v>0.99724769999999896</v>
      </c>
      <c r="Y6553">
        <v>2.0032629999999999E-2</v>
      </c>
      <c r="Z6553">
        <v>-5.9204409999999999E-2</v>
      </c>
      <c r="AA6553">
        <v>0.99804479999999995</v>
      </c>
      <c r="AB6553">
        <v>39</v>
      </c>
      <c r="AC6553">
        <v>6.5000000000168196E-3</v>
      </c>
      <c r="AD6553">
        <v>-6.2778E-2</v>
      </c>
      <c r="AE6553">
        <v>0.67271329999999996</v>
      </c>
      <c r="AF6553">
        <v>2.1220404764448E-2</v>
      </c>
      <c r="AG6553">
        <v>-6.2778E-2</v>
      </c>
      <c r="AH6553">
        <v>0.66659939026270398</v>
      </c>
      <c r="AI6553">
        <v>95.377340034870002</v>
      </c>
      <c r="AJ6553">
        <v>88.176672237560993</v>
      </c>
      <c r="AK6553">
        <v>0.66988516177101298</v>
      </c>
    </row>
    <row r="6554" spans="1:37" x14ac:dyDescent="0.2">
      <c r="A6554" t="str">
        <f>"20200111155729763"</f>
        <v>20200111155729763</v>
      </c>
      <c r="B6554" t="str">
        <f>"1578729449759908"</f>
        <v>1578729449759908</v>
      </c>
      <c r="C6554" t="s">
        <v>37</v>
      </c>
      <c r="D6554">
        <v>5.1275370000000002</v>
      </c>
      <c r="E6554">
        <v>0.53308049999999996</v>
      </c>
      <c r="F6554" t="s">
        <v>40</v>
      </c>
      <c r="G6554">
        <v>-187.3631</v>
      </c>
      <c r="H6554">
        <v>1.04436</v>
      </c>
      <c r="I6554">
        <v>1.4800149999999901</v>
      </c>
      <c r="J6554">
        <v>-187.37090000000001</v>
      </c>
      <c r="K6554">
        <v>1.104595</v>
      </c>
      <c r="L6554">
        <v>0.83999630000000003</v>
      </c>
      <c r="M6554">
        <v>-2.1916379999999999E-2</v>
      </c>
      <c r="N6554">
        <v>0</v>
      </c>
      <c r="O6554">
        <v>0.99966080000000002</v>
      </c>
      <c r="P6554">
        <v>-8.9678030000000006E-2</v>
      </c>
      <c r="Q6554">
        <v>1.4275990000000001E-2</v>
      </c>
      <c r="R6554">
        <v>0.99586849999999905</v>
      </c>
      <c r="S6554">
        <v>-2.27356E-3</v>
      </c>
      <c r="T6554">
        <v>-0.17738039999999999</v>
      </c>
      <c r="U6554">
        <v>3.015015</v>
      </c>
      <c r="V6554">
        <v>-6.7831130000000003E-2</v>
      </c>
      <c r="W6554">
        <v>2.830158E-2</v>
      </c>
      <c r="X6554">
        <v>0.9972953</v>
      </c>
      <c r="Y6554">
        <v>2.1165940000000001E-2</v>
      </c>
      <c r="Z6554">
        <v>-5.8703070000000003E-2</v>
      </c>
      <c r="AA6554">
        <v>0.99805100000000002</v>
      </c>
      <c r="AB6554">
        <v>39</v>
      </c>
      <c r="AC6554">
        <v>7.80000000000313E-3</v>
      </c>
      <c r="AD6554">
        <v>-6.0234999999999997E-2</v>
      </c>
      <c r="AE6554">
        <v>0.64001869999999905</v>
      </c>
      <c r="AF6554">
        <v>2.1634805308856399E-2</v>
      </c>
      <c r="AG6554">
        <v>-6.0234999999999997E-2</v>
      </c>
      <c r="AH6554">
        <v>0.63407844393844404</v>
      </c>
      <c r="AI6554">
        <v>95.423455714520202</v>
      </c>
      <c r="AJ6554">
        <v>88.045821696184206</v>
      </c>
      <c r="AK6554">
        <v>0.63730039470657096</v>
      </c>
    </row>
    <row r="6555" spans="1:37" x14ac:dyDescent="0.2">
      <c r="A6555" t="str">
        <f>"20200111155729787"</f>
        <v>20200111155729787</v>
      </c>
      <c r="B6555" t="str">
        <f>"1578729449779428"</f>
        <v>1578729449779428</v>
      </c>
      <c r="C6555" t="s">
        <v>37</v>
      </c>
      <c r="D6555">
        <v>5.0627420000000001</v>
      </c>
      <c r="E6555">
        <v>0.53224069999999901</v>
      </c>
      <c r="F6555" t="s">
        <v>40</v>
      </c>
      <c r="G6555">
        <v>-187.37379999999999</v>
      </c>
      <c r="H6555">
        <v>1.045811</v>
      </c>
      <c r="I6555">
        <v>1.8320619999999901</v>
      </c>
      <c r="J6555">
        <v>-187.3794</v>
      </c>
      <c r="K6555">
        <v>1.1044909999999999</v>
      </c>
      <c r="L6555">
        <v>1.2415160000000001</v>
      </c>
      <c r="M6555">
        <v>-2.158438E-2</v>
      </c>
      <c r="N6555">
        <v>0</v>
      </c>
      <c r="O6555">
        <v>0.99966619999999995</v>
      </c>
      <c r="P6555">
        <v>-8.8730069999999994E-2</v>
      </c>
      <c r="Q6555">
        <v>1.5644740000000001E-2</v>
      </c>
      <c r="R6555">
        <v>0.99593279999999995</v>
      </c>
      <c r="S6555">
        <v>-9.1705320000000003E-3</v>
      </c>
      <c r="T6555">
        <v>-0.178582399999999</v>
      </c>
      <c r="U6555">
        <v>3.0141909999999998</v>
      </c>
      <c r="V6555">
        <v>-6.7205180000000003E-2</v>
      </c>
      <c r="W6555">
        <v>2.9822040000000001E-2</v>
      </c>
      <c r="X6555">
        <v>0.9972934</v>
      </c>
      <c r="Y6555">
        <v>1.8550049999999998E-2</v>
      </c>
      <c r="Z6555">
        <v>-5.9117629999999997E-2</v>
      </c>
      <c r="AA6555">
        <v>0.99807860000000004</v>
      </c>
      <c r="AB6555">
        <v>39</v>
      </c>
      <c r="AC6555">
        <v>5.6000000000153696E-3</v>
      </c>
      <c r="AD6555">
        <v>-5.8679999999999802E-2</v>
      </c>
      <c r="AE6555">
        <v>0.59054599999999902</v>
      </c>
      <c r="AF6555">
        <v>1.8167191144875201E-2</v>
      </c>
      <c r="AG6555">
        <v>-5.8679999999999802E-2</v>
      </c>
      <c r="AH6555">
        <v>0.58451677915016398</v>
      </c>
      <c r="AI6555">
        <v>95.730002857108801</v>
      </c>
      <c r="AJ6555">
        <v>88.219780107062505</v>
      </c>
      <c r="AK6555">
        <v>0.58773570109546303</v>
      </c>
    </row>
    <row r="6556" spans="1:37" x14ac:dyDescent="0.2">
      <c r="A6556" t="str">
        <f>"20200111155729808"</f>
        <v>20200111155729808</v>
      </c>
      <c r="B6556" t="str">
        <f>"1578729449799923"</f>
        <v>1578729449799923</v>
      </c>
      <c r="C6556" t="s">
        <v>37</v>
      </c>
      <c r="D6556">
        <v>5.2039089999999897</v>
      </c>
      <c r="E6556">
        <v>0.53185959999999999</v>
      </c>
      <c r="F6556" t="s">
        <v>38</v>
      </c>
      <c r="G6556">
        <v>-187.46119999999999</v>
      </c>
      <c r="H6556" s="1">
        <v>-8.0915960000000001E-7</v>
      </c>
      <c r="I6556">
        <v>20.040789999999902</v>
      </c>
      <c r="J6556">
        <v>-187.38749999999999</v>
      </c>
      <c r="K6556">
        <v>1.1044069999999999</v>
      </c>
      <c r="L6556">
        <v>1.6274109999999999</v>
      </c>
      <c r="M6556">
        <v>-2.120087E-2</v>
      </c>
      <c r="N6556">
        <v>0</v>
      </c>
      <c r="O6556">
        <v>0.99967280000000003</v>
      </c>
      <c r="P6556">
        <v>-8.7659249999999994E-2</v>
      </c>
      <c r="Q6556">
        <v>1.68055999999999E-2</v>
      </c>
      <c r="R6556">
        <v>0.99600880000000003</v>
      </c>
      <c r="S6556">
        <v>-1.31072999999999E-2</v>
      </c>
      <c r="T6556">
        <v>-0.17706949999999999</v>
      </c>
      <c r="U6556">
        <v>3.013855</v>
      </c>
      <c r="V6556">
        <v>-6.6507789999999997E-2</v>
      </c>
      <c r="W6556">
        <v>3.1108429999999999E-2</v>
      </c>
      <c r="X6556">
        <v>0.99730090000000005</v>
      </c>
      <c r="Y6556">
        <v>1.6862329999999998E-2</v>
      </c>
      <c r="Z6556">
        <v>-5.862651E-2</v>
      </c>
      <c r="AA6556">
        <v>0.99813750000000001</v>
      </c>
      <c r="AB6556">
        <v>39</v>
      </c>
      <c r="AC6556">
        <v>-7.3700000000002305E-2</v>
      </c>
      <c r="AD6556">
        <v>-1.1044078091595999</v>
      </c>
      <c r="AE6556">
        <v>18.413378999999999</v>
      </c>
      <c r="AF6556">
        <v>0.31560087424850702</v>
      </c>
      <c r="AG6556">
        <v>-1.1044078091595999</v>
      </c>
      <c r="AH6556">
        <v>18.344809108172999</v>
      </c>
      <c r="AI6556">
        <v>93.444696311774607</v>
      </c>
      <c r="AJ6556">
        <v>89.014390701104503</v>
      </c>
      <c r="AK6556">
        <v>18.380732894421399</v>
      </c>
    </row>
    <row r="6557" spans="1:37" x14ac:dyDescent="0.2">
      <c r="A6557" t="str">
        <f>"20200111155729831"</f>
        <v>20200111155729831</v>
      </c>
      <c r="B6557" t="str">
        <f>"1578729449819442"</f>
        <v>1578729449819442</v>
      </c>
      <c r="C6557" t="s">
        <v>37</v>
      </c>
      <c r="D6557">
        <v>5.2674029999999998</v>
      </c>
      <c r="E6557">
        <v>0.52458050000000001</v>
      </c>
      <c r="F6557" t="s">
        <v>38</v>
      </c>
      <c r="G6557">
        <v>-187.47020000000001</v>
      </c>
      <c r="H6557" s="1">
        <v>-1.0324939999999999E-6</v>
      </c>
      <c r="I6557">
        <v>20.704079999999902</v>
      </c>
      <c r="J6557">
        <v>-187.3954</v>
      </c>
      <c r="K6557">
        <v>1.1043369999999999</v>
      </c>
      <c r="L6557">
        <v>2.0152589999999999</v>
      </c>
      <c r="M6557">
        <v>-2.076712E-2</v>
      </c>
      <c r="N6557">
        <v>0</v>
      </c>
      <c r="O6557">
        <v>0.99968060000000003</v>
      </c>
      <c r="P6557">
        <v>-8.6310129999999999E-2</v>
      </c>
      <c r="Q6557">
        <v>1.750699E-2</v>
      </c>
      <c r="R6557">
        <v>0.99611450000000001</v>
      </c>
      <c r="S6557">
        <v>-1.306152E-2</v>
      </c>
      <c r="T6557">
        <v>-0.17447969999999999</v>
      </c>
      <c r="U6557">
        <v>3.0138240000000001</v>
      </c>
      <c r="V6557">
        <v>-6.5583039999999995E-2</v>
      </c>
      <c r="W6557">
        <v>3.1918179999999997E-2</v>
      </c>
      <c r="X6557">
        <v>0.99733649999999996</v>
      </c>
      <c r="Y6557">
        <v>1.644342E-2</v>
      </c>
      <c r="Z6557">
        <v>-5.7773489999999997E-2</v>
      </c>
      <c r="AA6557">
        <v>0.99819429999999998</v>
      </c>
      <c r="AB6557">
        <v>39</v>
      </c>
      <c r="AC6557">
        <v>-7.48000000000104E-2</v>
      </c>
      <c r="AD6557">
        <v>-1.104338032494</v>
      </c>
      <c r="AE6557">
        <v>18.688821000000001</v>
      </c>
      <c r="AF6557">
        <v>0.31227900595726799</v>
      </c>
      <c r="AG6557">
        <v>-1.104338032494</v>
      </c>
      <c r="AH6557">
        <v>18.621323743727899</v>
      </c>
      <c r="AI6557">
        <v>93.393476277118793</v>
      </c>
      <c r="AJ6557">
        <v>89.039241661376494</v>
      </c>
      <c r="AK6557">
        <v>18.656655076307199</v>
      </c>
    </row>
    <row r="6558" spans="1:37" x14ac:dyDescent="0.2">
      <c r="A6558" t="str">
        <f>"20200111155729852"</f>
        <v>20200111155729852</v>
      </c>
      <c r="B6558" t="str">
        <f>"1578729449849699"</f>
        <v>1578729449849699</v>
      </c>
      <c r="C6558" t="s">
        <v>37</v>
      </c>
      <c r="D6558">
        <v>5.1426869999999996</v>
      </c>
      <c r="E6558">
        <v>0.52655069999999904</v>
      </c>
      <c r="F6558" t="s">
        <v>38</v>
      </c>
      <c r="G6558">
        <v>-188.29660000000001</v>
      </c>
      <c r="H6558" s="1">
        <v>-1.9069749999999899E-6</v>
      </c>
      <c r="I6558">
        <v>43.373649999999998</v>
      </c>
      <c r="J6558">
        <v>-187.40280000000001</v>
      </c>
      <c r="K6558">
        <v>1.1042809999999901</v>
      </c>
      <c r="L6558">
        <v>2.3925169999999998</v>
      </c>
      <c r="M6558">
        <v>-2.031318E-2</v>
      </c>
      <c r="N6558">
        <v>0</v>
      </c>
      <c r="O6558">
        <v>0.99968869999999899</v>
      </c>
      <c r="P6558">
        <v>-8.4983100000000006E-2</v>
      </c>
      <c r="Q6558">
        <v>1.7984110000000001E-2</v>
      </c>
      <c r="R6558">
        <v>0.99622009999999905</v>
      </c>
      <c r="S6558">
        <v>-6.5536499999999998E-2</v>
      </c>
      <c r="T6558">
        <v>-8.0303910000000006E-2</v>
      </c>
      <c r="U6558">
        <v>3.0074459999999998</v>
      </c>
      <c r="V6558">
        <v>-6.4701549999999997E-2</v>
      </c>
      <c r="W6558">
        <v>3.2484840000000001E-2</v>
      </c>
      <c r="X6558">
        <v>0.99737580000000003</v>
      </c>
      <c r="Y6558">
        <v>-1.4634979999999999E-3</v>
      </c>
      <c r="Z6558">
        <v>-2.668075E-2</v>
      </c>
      <c r="AA6558">
        <v>0.9996429</v>
      </c>
      <c r="AB6558">
        <v>39</v>
      </c>
      <c r="AC6558">
        <v>-0.89379999999999804</v>
      </c>
      <c r="AD6558">
        <v>-1.10428290697499</v>
      </c>
      <c r="AE6558">
        <v>40.981133</v>
      </c>
      <c r="AF6558">
        <v>-6.10267478107967E-2</v>
      </c>
      <c r="AG6558">
        <v>-1.10428290697499</v>
      </c>
      <c r="AH6558">
        <v>40.961105784854801</v>
      </c>
      <c r="AI6558">
        <v>91.544278572978399</v>
      </c>
      <c r="AJ6558">
        <v>90.085363235021106</v>
      </c>
      <c r="AK6558">
        <v>40.976033874945102</v>
      </c>
    </row>
    <row r="6559" spans="1:37" x14ac:dyDescent="0.2">
      <c r="A6559" t="str">
        <f>"20200111155729875"</f>
        <v>20200111155729875</v>
      </c>
      <c r="B6559" t="str">
        <f>"1578729449870194"</f>
        <v>1578729449870194</v>
      </c>
      <c r="C6559" t="s">
        <v>37</v>
      </c>
      <c r="D6559">
        <v>5.1941819999999996</v>
      </c>
      <c r="E6559">
        <v>0.52619669999999996</v>
      </c>
      <c r="F6559" t="s">
        <v>38</v>
      </c>
      <c r="G6559">
        <v>-187.69319999999999</v>
      </c>
      <c r="H6559" s="1">
        <v>-9.8545000000000003E-7</v>
      </c>
      <c r="I6559">
        <v>20.740259999999999</v>
      </c>
      <c r="J6559">
        <v>-187.41050000000001</v>
      </c>
      <c r="K6559">
        <v>1.1042399999999899</v>
      </c>
      <c r="L6559">
        <v>2.7907099999999998</v>
      </c>
      <c r="M6559">
        <v>-1.981229E-2</v>
      </c>
      <c r="N6559">
        <v>0</v>
      </c>
      <c r="O6559">
        <v>0.99969769999999902</v>
      </c>
      <c r="P6559">
        <v>-8.3172389999999999E-2</v>
      </c>
      <c r="Q6559">
        <v>1.8364229999999999E-2</v>
      </c>
      <c r="R6559">
        <v>0.99636599999999997</v>
      </c>
      <c r="S6559">
        <v>-4.76532E-2</v>
      </c>
      <c r="T6559">
        <v>-0.1811961</v>
      </c>
      <c r="U6559">
        <v>3.0105900000000001</v>
      </c>
      <c r="V6559">
        <v>-6.338365E-2</v>
      </c>
      <c r="W6559">
        <v>3.2945219999999997E-2</v>
      </c>
      <c r="X6559">
        <v>0.99744529999999998</v>
      </c>
      <c r="Y6559">
        <v>4.0170420000000002E-3</v>
      </c>
      <c r="Z6559">
        <v>-6.0055879999999999E-2</v>
      </c>
      <c r="AA6559">
        <v>0.99818689999999999</v>
      </c>
      <c r="AB6559">
        <v>39</v>
      </c>
      <c r="AC6559">
        <v>-0.28269999999997703</v>
      </c>
      <c r="AD6559">
        <v>-1.1042409854499999</v>
      </c>
      <c r="AE6559">
        <v>17.949549999999999</v>
      </c>
      <c r="AF6559">
        <v>7.2739666842983206E-2</v>
      </c>
      <c r="AG6559">
        <v>-1.1042409854499999</v>
      </c>
      <c r="AH6559">
        <v>17.883960647744299</v>
      </c>
      <c r="AI6559">
        <v>93.533199921475799</v>
      </c>
      <c r="AJ6559">
        <v>89.766961412317698</v>
      </c>
      <c r="AK6559">
        <v>17.918166414651498</v>
      </c>
    </row>
    <row r="6560" spans="1:37" x14ac:dyDescent="0.2">
      <c r="A6560" t="str">
        <f>"20200111155729910"</f>
        <v>20200111155729910</v>
      </c>
      <c r="B6560" t="str">
        <f>"1578729449899476"</f>
        <v>1578729449899476</v>
      </c>
      <c r="C6560" t="s">
        <v>37</v>
      </c>
      <c r="D6560">
        <v>5.1606040000000002</v>
      </c>
      <c r="E6560">
        <v>0.52626459999999997</v>
      </c>
      <c r="F6560" t="s">
        <v>38</v>
      </c>
      <c r="G6560">
        <v>-187.6848</v>
      </c>
      <c r="H6560" s="1">
        <v>-1.146671E-6</v>
      </c>
      <c r="I6560">
        <v>21.207450000000001</v>
      </c>
      <c r="J6560">
        <v>-187.42140000000001</v>
      </c>
      <c r="K6560">
        <v>1.104195</v>
      </c>
      <c r="L6560">
        <v>3.3768309999999899</v>
      </c>
      <c r="M6560">
        <v>-1.90508E-2</v>
      </c>
      <c r="N6560">
        <v>0</v>
      </c>
      <c r="O6560">
        <v>0.99971129999999997</v>
      </c>
      <c r="P6560">
        <v>-8.1878800000000002E-2</v>
      </c>
      <c r="Q6560">
        <v>1.9384930000000002E-2</v>
      </c>
      <c r="R6560">
        <v>0.99645379999999995</v>
      </c>
      <c r="S6560">
        <v>-4.4845580000000003E-2</v>
      </c>
      <c r="T6560">
        <v>-0.1805071</v>
      </c>
      <c r="U6560">
        <v>3.010529</v>
      </c>
      <c r="V6560">
        <v>-6.2842880000000004E-2</v>
      </c>
      <c r="W6560">
        <v>3.4060390000000003E-2</v>
      </c>
      <c r="X6560">
        <v>0.9974421</v>
      </c>
      <c r="Y6560">
        <v>4.1855240000000004E-3</v>
      </c>
      <c r="Z6560">
        <v>-5.9831259999999997E-2</v>
      </c>
      <c r="AA6560">
        <v>0.99819969999999902</v>
      </c>
      <c r="AB6560">
        <v>39</v>
      </c>
      <c r="AC6560">
        <v>-0.26339999999998998</v>
      </c>
      <c r="AD6560">
        <v>-1.104196146671</v>
      </c>
      <c r="AE6560">
        <v>17.830618999999999</v>
      </c>
      <c r="AF6560">
        <v>7.6080087282402203E-2</v>
      </c>
      <c r="AG6560">
        <v>-1.104196146671</v>
      </c>
      <c r="AH6560">
        <v>17.764290582682001</v>
      </c>
      <c r="AI6560">
        <v>93.556793349872393</v>
      </c>
      <c r="AJ6560">
        <v>89.754617769003602</v>
      </c>
      <c r="AK6560">
        <v>17.798737517474901</v>
      </c>
    </row>
    <row r="6561" spans="1:37" x14ac:dyDescent="0.2">
      <c r="A6561" t="str">
        <f>"20200111155729931"</f>
        <v>20200111155729931</v>
      </c>
      <c r="B6561" t="str">
        <f>"1578729449919971"</f>
        <v>1578729449919971</v>
      </c>
      <c r="C6561" t="s">
        <v>37</v>
      </c>
      <c r="D6561">
        <v>5.1920960000000003</v>
      </c>
      <c r="E6561">
        <v>0.52630749999999904</v>
      </c>
      <c r="F6561" t="s">
        <v>38</v>
      </c>
      <c r="G6561">
        <v>-187.67330000000001</v>
      </c>
      <c r="H6561" s="1">
        <v>-1.477622E-6</v>
      </c>
      <c r="I6561">
        <v>22.115100000000002</v>
      </c>
      <c r="J6561">
        <v>-187.4282</v>
      </c>
      <c r="K6561">
        <v>1.1041829999999999</v>
      </c>
      <c r="L6561">
        <v>3.7583009999999999</v>
      </c>
      <c r="M6561">
        <v>-1.8548619999999998E-2</v>
      </c>
      <c r="N6561">
        <v>0</v>
      </c>
      <c r="O6561">
        <v>0.99972000000000005</v>
      </c>
      <c r="P6561">
        <v>-8.1692870000000001E-2</v>
      </c>
      <c r="Q6561">
        <v>2.069207E-2</v>
      </c>
      <c r="R6561">
        <v>0.99644270000000001</v>
      </c>
      <c r="S6561">
        <v>-4.0481570000000001E-2</v>
      </c>
      <c r="T6561">
        <v>-0.17741860000000001</v>
      </c>
      <c r="U6561">
        <v>3.0108029999999899</v>
      </c>
      <c r="V6561">
        <v>-6.3154279999999993E-2</v>
      </c>
      <c r="W6561">
        <v>3.54176E-2</v>
      </c>
      <c r="X6561">
        <v>0.99737509999999996</v>
      </c>
      <c r="Y6561">
        <v>5.1303059999999899E-3</v>
      </c>
      <c r="Z6561">
        <v>-5.8807110000000003E-2</v>
      </c>
      <c r="AA6561">
        <v>0.99825620000000004</v>
      </c>
      <c r="AB6561">
        <v>39</v>
      </c>
      <c r="AC6561">
        <v>-0.24510000000000701</v>
      </c>
      <c r="AD6561">
        <v>-1.104184477622</v>
      </c>
      <c r="AE6561">
        <v>18.356798999999999</v>
      </c>
      <c r="AF6561">
        <v>9.5128093848158499E-2</v>
      </c>
      <c r="AG6561">
        <v>-1.104184477622</v>
      </c>
      <c r="AH6561">
        <v>18.292015079051399</v>
      </c>
      <c r="AI6561">
        <v>93.454380639270198</v>
      </c>
      <c r="AJ6561">
        <v>89.702034514441607</v>
      </c>
      <c r="AK6561">
        <v>18.325558337117702</v>
      </c>
    </row>
    <row r="6562" spans="1:37" x14ac:dyDescent="0.2">
      <c r="A6562" t="str">
        <f>"20200111155729953"</f>
        <v>20200111155729953</v>
      </c>
      <c r="B6562" t="str">
        <f>"1578729449950226"</f>
        <v>1578729449950226</v>
      </c>
      <c r="C6562" t="s">
        <v>37</v>
      </c>
      <c r="D6562">
        <v>5.152183</v>
      </c>
      <c r="E6562">
        <v>0.52556669999999905</v>
      </c>
      <c r="F6562" t="s">
        <v>38</v>
      </c>
      <c r="G6562">
        <v>-187.67410000000001</v>
      </c>
      <c r="H6562" s="1">
        <v>-1.7011290000000001E-6</v>
      </c>
      <c r="I6562">
        <v>22.63644</v>
      </c>
      <c r="J6562">
        <v>-187.4349</v>
      </c>
      <c r="K6562">
        <v>1.1041799999999999</v>
      </c>
      <c r="L6562">
        <v>4.1457819999999996</v>
      </c>
      <c r="M6562">
        <v>-1.8036920000000001E-2</v>
      </c>
      <c r="N6562">
        <v>0</v>
      </c>
      <c r="O6562">
        <v>0.99972879999999997</v>
      </c>
      <c r="P6562">
        <v>-8.1852099999999997E-2</v>
      </c>
      <c r="Q6562">
        <v>2.2373500000000001E-2</v>
      </c>
      <c r="R6562">
        <v>0.99639330000000004</v>
      </c>
      <c r="S6562">
        <v>-3.9230349999999997E-2</v>
      </c>
      <c r="T6562">
        <v>-0.176122</v>
      </c>
      <c r="U6562">
        <v>3.011139</v>
      </c>
      <c r="V6562">
        <v>-6.3821320000000001E-2</v>
      </c>
      <c r="W6562">
        <v>3.7142139999999997E-2</v>
      </c>
      <c r="X6562">
        <v>0.99726990000000004</v>
      </c>
      <c r="Y6562">
        <v>5.0343829999999999E-3</v>
      </c>
      <c r="Z6562">
        <v>-5.837328E-2</v>
      </c>
      <c r="AA6562">
        <v>0.99828209999999995</v>
      </c>
      <c r="AB6562">
        <v>39</v>
      </c>
      <c r="AC6562">
        <v>-0.23920000000000999</v>
      </c>
      <c r="AD6562">
        <v>-1.104181701129</v>
      </c>
      <c r="AE6562">
        <v>18.490658</v>
      </c>
      <c r="AF6562">
        <v>9.4054294124307394E-2</v>
      </c>
      <c r="AG6562">
        <v>-1.104181701129</v>
      </c>
      <c r="AH6562">
        <v>18.426267890698899</v>
      </c>
      <c r="AI6562">
        <v>93.429265580947302</v>
      </c>
      <c r="AJ6562">
        <v>89.707544287898699</v>
      </c>
      <c r="AK6562">
        <v>18.459561528355799</v>
      </c>
    </row>
    <row r="6563" spans="1:37" x14ac:dyDescent="0.2">
      <c r="A6563" t="str">
        <f>"20200111155729976"</f>
        <v>20200111155729976</v>
      </c>
      <c r="B6563" t="str">
        <f>"1578729449969746"</f>
        <v>1578729449969746</v>
      </c>
      <c r="C6563" t="s">
        <v>37</v>
      </c>
      <c r="D6563">
        <v>5.2351779999999897</v>
      </c>
      <c r="E6563">
        <v>0.52557980000000004</v>
      </c>
      <c r="F6563" t="s">
        <v>38</v>
      </c>
      <c r="G6563">
        <v>-187.72880000000001</v>
      </c>
      <c r="H6563" s="1">
        <v>-2.0461849999999998E-6</v>
      </c>
      <c r="I6563">
        <v>23.463379999999901</v>
      </c>
      <c r="J6563">
        <v>-187.44149999999999</v>
      </c>
      <c r="K6563">
        <v>1.1041829999999999</v>
      </c>
      <c r="L6563">
        <v>4.5359189999999998</v>
      </c>
      <c r="M6563">
        <v>-1.7521559999999999E-2</v>
      </c>
      <c r="N6563">
        <v>0</v>
      </c>
      <c r="O6563">
        <v>0.99973749999999995</v>
      </c>
      <c r="P6563">
        <v>-8.2107159999999998E-2</v>
      </c>
      <c r="Q6563">
        <v>2.3459359999999999E-2</v>
      </c>
      <c r="R6563">
        <v>0.99634739999999999</v>
      </c>
      <c r="S6563">
        <v>-4.5806880000000001E-2</v>
      </c>
      <c r="T6563">
        <v>-0.17210439999999999</v>
      </c>
      <c r="U6563">
        <v>3.0109560000000002</v>
      </c>
      <c r="V6563">
        <v>-6.4588930000000003E-2</v>
      </c>
      <c r="W6563">
        <v>3.8264769999999997E-2</v>
      </c>
      <c r="X6563">
        <v>0.99717809999999996</v>
      </c>
      <c r="Y6563">
        <v>2.3369100000000002E-3</v>
      </c>
      <c r="Z6563">
        <v>-5.7049750000000003E-2</v>
      </c>
      <c r="AA6563">
        <v>0.99836859999999905</v>
      </c>
      <c r="AB6563">
        <v>39</v>
      </c>
      <c r="AC6563">
        <v>-0.28730000000001599</v>
      </c>
      <c r="AD6563">
        <v>-1.104185046185</v>
      </c>
      <c r="AE6563">
        <v>18.927460999999902</v>
      </c>
      <c r="AF6563">
        <v>4.4268276994015497E-2</v>
      </c>
      <c r="AG6563">
        <v>-1.104185046185</v>
      </c>
      <c r="AH6563">
        <v>18.865399580223499</v>
      </c>
      <c r="AI6563">
        <v>93.349670615998704</v>
      </c>
      <c r="AJ6563">
        <v>89.865553826622701</v>
      </c>
      <c r="AK6563">
        <v>18.897737579352299</v>
      </c>
    </row>
    <row r="6564" spans="1:37" x14ac:dyDescent="0.2">
      <c r="A6564" t="str">
        <f>"20200111155730000"</f>
        <v>20200111155730000</v>
      </c>
      <c r="B6564" t="str">
        <f>"1578729449990243"</f>
        <v>1578729449990243</v>
      </c>
      <c r="C6564" t="s">
        <v>37</v>
      </c>
      <c r="D6564">
        <v>5.2447780000000002</v>
      </c>
      <c r="E6564">
        <v>0.52536499999999997</v>
      </c>
      <c r="F6564" t="s">
        <v>38</v>
      </c>
      <c r="G6564">
        <v>-187.7458</v>
      </c>
      <c r="H6564" s="1">
        <v>-2.3409379999999899E-6</v>
      </c>
      <c r="I6564">
        <v>24.15746</v>
      </c>
      <c r="J6564">
        <v>-187.44810000000001</v>
      </c>
      <c r="K6564">
        <v>1.104185</v>
      </c>
      <c r="L6564">
        <v>4.9406429999999997</v>
      </c>
      <c r="M6564">
        <v>-1.6986580000000001E-2</v>
      </c>
      <c r="N6564">
        <v>0</v>
      </c>
      <c r="O6564">
        <v>0.99974629999999998</v>
      </c>
      <c r="P6564">
        <v>-8.1458230000000006E-2</v>
      </c>
      <c r="Q6564">
        <v>2.2811120000000001E-2</v>
      </c>
      <c r="R6564">
        <v>0.99641569999999902</v>
      </c>
      <c r="S6564">
        <v>-4.669189E-2</v>
      </c>
      <c r="T6564">
        <v>-0.1694493</v>
      </c>
      <c r="U6564">
        <v>3.011139</v>
      </c>
      <c r="V6564">
        <v>-6.4472039999999994E-2</v>
      </c>
      <c r="W6564">
        <v>3.7648189999999998E-2</v>
      </c>
      <c r="X6564">
        <v>0.99720909999999996</v>
      </c>
      <c r="Y6564">
        <v>1.5085910000000001E-3</v>
      </c>
      <c r="Z6564">
        <v>-5.6169719999999999E-2</v>
      </c>
      <c r="AA6564">
        <v>0.99842009999999903</v>
      </c>
      <c r="AB6564">
        <v>39</v>
      </c>
      <c r="AC6564">
        <v>-0.29769999999999103</v>
      </c>
      <c r="AD6564">
        <v>-1.1041873409379901</v>
      </c>
      <c r="AE6564">
        <v>19.216816999999999</v>
      </c>
      <c r="AF6564">
        <v>2.8711905228842899E-2</v>
      </c>
      <c r="AG6564">
        <v>-1.1041873409379901</v>
      </c>
      <c r="AH6564">
        <v>19.155871619975802</v>
      </c>
      <c r="AI6564">
        <v>93.299002792605506</v>
      </c>
      <c r="AJ6564">
        <v>89.914121905173104</v>
      </c>
      <c r="AK6564">
        <v>19.1876906265028</v>
      </c>
    </row>
    <row r="6565" spans="1:37" x14ac:dyDescent="0.2">
      <c r="A6565" t="str">
        <f>"20200111155730020"</f>
        <v>20200111155730020</v>
      </c>
      <c r="B6565" t="str">
        <f>"1578729450009762"</f>
        <v>1578729450009762</v>
      </c>
      <c r="C6565" t="s">
        <v>37</v>
      </c>
      <c r="D6565">
        <v>5.2481879999999999</v>
      </c>
      <c r="E6565">
        <v>0.52541800000000005</v>
      </c>
      <c r="F6565" t="s">
        <v>38</v>
      </c>
      <c r="G6565">
        <v>-187.74799999999999</v>
      </c>
      <c r="H6565" s="1">
        <v>-2.3791549999999998E-6</v>
      </c>
      <c r="I6565">
        <v>24.24747</v>
      </c>
      <c r="J6565">
        <v>-187.4538</v>
      </c>
      <c r="K6565">
        <v>1.1041809999999901</v>
      </c>
      <c r="L6565">
        <v>5.3034359999999996</v>
      </c>
      <c r="M6565">
        <v>-1.6505679999999998E-2</v>
      </c>
      <c r="N6565">
        <v>0</v>
      </c>
      <c r="O6565">
        <v>0.99975400000000003</v>
      </c>
      <c r="P6565">
        <v>-8.1295619999999999E-2</v>
      </c>
      <c r="Q6565">
        <v>2.270049E-2</v>
      </c>
      <c r="R6565">
        <v>0.99643150000000003</v>
      </c>
      <c r="S6565">
        <v>-4.6768190000000001E-2</v>
      </c>
      <c r="T6565">
        <v>-0.17219949999999901</v>
      </c>
      <c r="U6565">
        <v>3.0109249999999999</v>
      </c>
      <c r="V6565">
        <v>-6.4787979999999995E-2</v>
      </c>
      <c r="W6565">
        <v>3.7561949999999997E-2</v>
      </c>
      <c r="X6565">
        <v>0.99719179999999996</v>
      </c>
      <c r="Y6565">
        <v>1.0019860000000001E-3</v>
      </c>
      <c r="Z6565">
        <v>-5.7083160000000001E-2</v>
      </c>
      <c r="AA6565">
        <v>0.9983689</v>
      </c>
      <c r="AB6565">
        <v>39</v>
      </c>
      <c r="AC6565">
        <v>-0.29419999999998903</v>
      </c>
      <c r="AD6565">
        <v>-1.10418337915499</v>
      </c>
      <c r="AE6565">
        <v>18.944033999999998</v>
      </c>
      <c r="AF6565">
        <v>1.8495752260561101E-2</v>
      </c>
      <c r="AG6565">
        <v>-1.10418337915499</v>
      </c>
      <c r="AH6565">
        <v>18.8821757520593</v>
      </c>
      <c r="AI6565">
        <v>93.346703864841402</v>
      </c>
      <c r="AJ6565">
        <v>89.943876795850599</v>
      </c>
      <c r="AK6565">
        <v>18.914442211160001</v>
      </c>
    </row>
    <row r="6566" spans="1:37" x14ac:dyDescent="0.2">
      <c r="A6566" t="str">
        <f>"20200111155730042"</f>
        <v>20200111155730042</v>
      </c>
      <c r="B6566" t="str">
        <f>"1578729450040019"</f>
        <v>1578729450040019</v>
      </c>
      <c r="C6566" t="s">
        <v>37</v>
      </c>
      <c r="D6566">
        <v>5.2874059999999998</v>
      </c>
      <c r="E6566">
        <v>0.52514759999999905</v>
      </c>
      <c r="F6566" t="s">
        <v>38</v>
      </c>
      <c r="G6566">
        <v>-187.74529999999999</v>
      </c>
      <c r="H6566" s="1">
        <v>-2.4805790000000001E-6</v>
      </c>
      <c r="I6566">
        <v>24.482779999999899</v>
      </c>
      <c r="J6566">
        <v>-187.45959999999999</v>
      </c>
      <c r="K6566">
        <v>1.1041719999999999</v>
      </c>
      <c r="L6566">
        <v>5.6851500000000001</v>
      </c>
      <c r="M6566">
        <v>-1.5997230000000001E-2</v>
      </c>
      <c r="N6566">
        <v>0</v>
      </c>
      <c r="O6566">
        <v>0.99976189999999998</v>
      </c>
      <c r="P6566">
        <v>-8.0740999999999993E-2</v>
      </c>
      <c r="Q6566">
        <v>2.2360680000000001E-2</v>
      </c>
      <c r="R6566">
        <v>0.99648429999999999</v>
      </c>
      <c r="S6566">
        <v>-4.5761110000000001E-2</v>
      </c>
      <c r="T6566">
        <v>-0.1733452</v>
      </c>
      <c r="U6566">
        <v>3.0109560000000002</v>
      </c>
      <c r="V6566">
        <v>-6.4740259999999994E-2</v>
      </c>
      <c r="W6566">
        <v>3.724363E-2</v>
      </c>
      <c r="X6566">
        <v>0.99720689999999901</v>
      </c>
      <c r="Y6566">
        <v>8.2775729999999895E-4</v>
      </c>
      <c r="Z6566">
        <v>-5.7461980000000003E-2</v>
      </c>
      <c r="AA6566">
        <v>0.99834730000000005</v>
      </c>
      <c r="AB6566">
        <v>39</v>
      </c>
      <c r="AC6566">
        <v>-0.28569999999999102</v>
      </c>
      <c r="AD6566">
        <v>-1.1041744805789999</v>
      </c>
      <c r="AE6566">
        <v>18.797629999999899</v>
      </c>
      <c r="AF6566">
        <v>1.5027856228945299E-2</v>
      </c>
      <c r="AG6566">
        <v>-1.1041744805789999</v>
      </c>
      <c r="AH6566">
        <v>18.735166110682201</v>
      </c>
      <c r="AI6566">
        <v>93.372877539152796</v>
      </c>
      <c r="AJ6566">
        <v>89.954041904549996</v>
      </c>
      <c r="AK6566">
        <v>18.7676816979317</v>
      </c>
    </row>
    <row r="6567" spans="1:37" x14ac:dyDescent="0.2">
      <c r="A6567" t="str">
        <f>"20200111155730065"</f>
        <v>20200111155730065</v>
      </c>
      <c r="B6567" t="str">
        <f>"1578729450059539"</f>
        <v>1578729450059539</v>
      </c>
      <c r="C6567" t="s">
        <v>37</v>
      </c>
      <c r="D6567">
        <v>5.2443099999999996</v>
      </c>
      <c r="E6567">
        <v>0.52483630000000003</v>
      </c>
      <c r="F6567" t="s">
        <v>38</v>
      </c>
      <c r="G6567">
        <v>-187.7484</v>
      </c>
      <c r="H6567" s="1">
        <v>-2.5023900000000001E-6</v>
      </c>
      <c r="I6567">
        <v>24.53491</v>
      </c>
      <c r="J6567">
        <v>-187.46539999999999</v>
      </c>
      <c r="K6567">
        <v>1.1041719999999999</v>
      </c>
      <c r="L6567">
        <v>6.0784000000000002</v>
      </c>
      <c r="M6567">
        <v>-1.54673E-2</v>
      </c>
      <c r="N6567">
        <v>0</v>
      </c>
      <c r="O6567">
        <v>0.99977000000000005</v>
      </c>
      <c r="P6567">
        <v>-7.9786869999999996E-2</v>
      </c>
      <c r="Q6567">
        <v>2.196845E-2</v>
      </c>
      <c r="R6567">
        <v>0.99656979999999995</v>
      </c>
      <c r="S6567">
        <v>-4.6127319999999999E-2</v>
      </c>
      <c r="T6567">
        <v>-0.17636569999999999</v>
      </c>
      <c r="U6567">
        <v>3.0108029999999899</v>
      </c>
      <c r="V6567">
        <v>-6.4313190000000006E-2</v>
      </c>
      <c r="W6567">
        <v>3.6870050000000001E-2</v>
      </c>
      <c r="X6567">
        <v>0.99724840000000003</v>
      </c>
      <c r="Y6567">
        <v>1.7642569999999999E-4</v>
      </c>
      <c r="Z6567">
        <v>-5.8463500000000002E-2</v>
      </c>
      <c r="AA6567">
        <v>0.99828950000000005</v>
      </c>
      <c r="AB6567">
        <v>39</v>
      </c>
      <c r="AC6567">
        <v>-0.28300000000001502</v>
      </c>
      <c r="AD6567">
        <v>-1.10417450239</v>
      </c>
      <c r="AE6567">
        <v>18.456510000000002</v>
      </c>
      <c r="AF6567">
        <v>2.5286988020253799E-3</v>
      </c>
      <c r="AG6567">
        <v>-1.10417450239</v>
      </c>
      <c r="AH6567">
        <v>18.392864569828301</v>
      </c>
      <c r="AI6567">
        <v>93.435500845109601</v>
      </c>
      <c r="AJ6567">
        <v>89.992122827439204</v>
      </c>
      <c r="AK6567">
        <v>18.4259782592428</v>
      </c>
    </row>
    <row r="6568" spans="1:37" x14ac:dyDescent="0.2">
      <c r="A6568" t="str">
        <f>"20200111155730088"</f>
        <v>20200111155730088</v>
      </c>
      <c r="B6568" t="str">
        <f>"1578729450080036"</f>
        <v>1578729450080036</v>
      </c>
      <c r="C6568" t="s">
        <v>37</v>
      </c>
      <c r="D6568">
        <v>5.1832310000000001</v>
      </c>
      <c r="E6568">
        <v>0.52552929999999998</v>
      </c>
      <c r="F6568" t="s">
        <v>38</v>
      </c>
      <c r="G6568">
        <v>-187.749</v>
      </c>
      <c r="H6568" s="1">
        <v>-2.5901310000000002E-6</v>
      </c>
      <c r="I6568">
        <v>24.739660000000001</v>
      </c>
      <c r="J6568">
        <v>-187.47110000000001</v>
      </c>
      <c r="K6568">
        <v>1.1041639999999999</v>
      </c>
      <c r="L6568">
        <v>6.4817809999999998</v>
      </c>
      <c r="M6568">
        <v>-1.4913930000000001E-2</v>
      </c>
      <c r="N6568">
        <v>0</v>
      </c>
      <c r="O6568">
        <v>0.99977819999999995</v>
      </c>
      <c r="P6568">
        <v>-7.9365420000000006E-2</v>
      </c>
      <c r="Q6568">
        <v>2.172437E-2</v>
      </c>
      <c r="R6568">
        <v>0.99660890000000002</v>
      </c>
      <c r="S6568">
        <v>-4.5745849999999998E-2</v>
      </c>
      <c r="T6568">
        <v>-0.1781346</v>
      </c>
      <c r="U6568">
        <v>3.0105900000000001</v>
      </c>
      <c r="V6568">
        <v>-6.4443070000000005E-2</v>
      </c>
      <c r="W6568">
        <v>3.6642279999999999E-2</v>
      </c>
      <c r="X6568">
        <v>0.99724840000000003</v>
      </c>
      <c r="Y6568">
        <v>-2.5116070000000002E-4</v>
      </c>
      <c r="Z6568">
        <v>-5.9052779999999999E-2</v>
      </c>
      <c r="AA6568">
        <v>0.9982548</v>
      </c>
      <c r="AB6568">
        <v>39</v>
      </c>
      <c r="AC6568">
        <v>-0.27790000000001602</v>
      </c>
      <c r="AD6568">
        <v>-1.1041665901309901</v>
      </c>
      <c r="AE6568">
        <v>18.257878999999999</v>
      </c>
      <c r="AF6568">
        <v>-5.5220537254468899E-3</v>
      </c>
      <c r="AG6568">
        <v>-1.1041665901309901</v>
      </c>
      <c r="AH6568">
        <v>18.193468190056201</v>
      </c>
      <c r="AI6568">
        <v>93.4730365536862</v>
      </c>
      <c r="AJ6568">
        <v>90.017390327104806</v>
      </c>
      <c r="AK6568">
        <v>18.226944316983701</v>
      </c>
    </row>
    <row r="6569" spans="1:37" x14ac:dyDescent="0.2">
      <c r="A6569" t="str">
        <f>"20200111155730110"</f>
        <v>20200111155730110</v>
      </c>
      <c r="B6569" t="str">
        <f>"1578729450099554"</f>
        <v>1578729450099554</v>
      </c>
      <c r="C6569" t="s">
        <v>37</v>
      </c>
      <c r="D6569">
        <v>5.2314930000000004</v>
      </c>
      <c r="E6569">
        <v>0.5259933</v>
      </c>
      <c r="F6569" t="s">
        <v>38</v>
      </c>
      <c r="G6569">
        <v>-187.7141</v>
      </c>
      <c r="H6569" s="1">
        <v>-2.8475639999999999E-6</v>
      </c>
      <c r="I6569">
        <v>25.325310000000002</v>
      </c>
      <c r="J6569">
        <v>-187.47620000000001</v>
      </c>
      <c r="K6569">
        <v>1.10416</v>
      </c>
      <c r="L6569">
        <v>6.8532099999999998</v>
      </c>
      <c r="M6569">
        <v>-1.439285E-2</v>
      </c>
      <c r="N6569">
        <v>0</v>
      </c>
      <c r="O6569">
        <v>0.9997857</v>
      </c>
      <c r="P6569">
        <v>-7.8713870000000005E-2</v>
      </c>
      <c r="Q6569">
        <v>2.0764319999999999E-2</v>
      </c>
      <c r="R6569">
        <v>0.99668099999999904</v>
      </c>
      <c r="S6569">
        <v>-3.8818360000000003E-2</v>
      </c>
      <c r="T6569">
        <v>-0.1764318</v>
      </c>
      <c r="U6569">
        <v>3.0109560000000002</v>
      </c>
      <c r="V6569">
        <v>-6.4310709999999993E-2</v>
      </c>
      <c r="W6569">
        <v>3.569543E-2</v>
      </c>
      <c r="X6569">
        <v>0.99729129999999999</v>
      </c>
      <c r="Y6569">
        <v>1.525347E-3</v>
      </c>
      <c r="Z6569">
        <v>-5.8484719999999997E-2</v>
      </c>
      <c r="AA6569">
        <v>0.99828709999999898</v>
      </c>
      <c r="AB6569">
        <v>39</v>
      </c>
      <c r="AC6569">
        <v>-0.237899999999996</v>
      </c>
      <c r="AD6569">
        <v>-1.104162847564</v>
      </c>
      <c r="AE6569">
        <v>18.472100000000001</v>
      </c>
      <c r="AF6569">
        <v>2.7920504886262201E-2</v>
      </c>
      <c r="AG6569">
        <v>-1.104162847564</v>
      </c>
      <c r="AH6569">
        <v>18.4078501817621</v>
      </c>
      <c r="AI6569">
        <v>93.432670682077301</v>
      </c>
      <c r="AJ6569">
        <v>89.913095453880402</v>
      </c>
      <c r="AK6569">
        <v>18.4409572273983</v>
      </c>
    </row>
    <row r="6570" spans="1:37" x14ac:dyDescent="0.2">
      <c r="A6570" t="str">
        <f>"20200111155730132"</f>
        <v>20200111155730132</v>
      </c>
      <c r="B6570" t="str">
        <f>"1578729450129811"</f>
        <v>1578729450129811</v>
      </c>
      <c r="C6570" t="s">
        <v>37</v>
      </c>
      <c r="D6570">
        <v>5.2022059999999897</v>
      </c>
      <c r="E6570">
        <v>0.52659519999999904</v>
      </c>
      <c r="F6570" t="s">
        <v>38</v>
      </c>
      <c r="G6570">
        <v>-187.6823</v>
      </c>
      <c r="H6570" s="1">
        <v>-2.9597609999999898E-6</v>
      </c>
      <c r="I6570">
        <v>25.573720000000002</v>
      </c>
      <c r="J6570">
        <v>-187.4813</v>
      </c>
      <c r="K6570">
        <v>1.104147</v>
      </c>
      <c r="L6570">
        <v>7.2440490000000004</v>
      </c>
      <c r="M6570">
        <v>-1.3829070000000001E-2</v>
      </c>
      <c r="N6570">
        <v>0</v>
      </c>
      <c r="O6570">
        <v>0.9997935</v>
      </c>
      <c r="P6570">
        <v>-7.7883939999999999E-2</v>
      </c>
      <c r="Q6570">
        <v>1.9781759999999999E-2</v>
      </c>
      <c r="R6570">
        <v>0.99676609999999999</v>
      </c>
      <c r="S6570">
        <v>-3.3157350000000002E-2</v>
      </c>
      <c r="T6570">
        <v>-0.177597799999999</v>
      </c>
      <c r="U6570">
        <v>3.0110779999999999</v>
      </c>
      <c r="V6570">
        <v>-6.4042779999999994E-2</v>
      </c>
      <c r="W6570">
        <v>3.4725190000000003E-2</v>
      </c>
      <c r="X6570">
        <v>0.99734279999999997</v>
      </c>
      <c r="Y6570">
        <v>2.8387970000000001E-3</v>
      </c>
      <c r="Z6570">
        <v>-5.8868799999999999E-2</v>
      </c>
      <c r="AA6570">
        <v>0.99826170000000003</v>
      </c>
      <c r="AB6570">
        <v>38</v>
      </c>
      <c r="AC6570">
        <v>-0.20099999999999299</v>
      </c>
      <c r="AD6570">
        <v>-1.1041499597610001</v>
      </c>
      <c r="AE6570">
        <v>18.329671000000001</v>
      </c>
      <c r="AF6570">
        <v>5.2339732960347003E-2</v>
      </c>
      <c r="AG6570">
        <v>-1.1041499597610001</v>
      </c>
      <c r="AH6570">
        <v>18.264430250588902</v>
      </c>
      <c r="AI6570">
        <v>93.459509749684798</v>
      </c>
      <c r="AJ6570">
        <v>89.835809956867394</v>
      </c>
      <c r="AK6570">
        <v>18.2978495720102</v>
      </c>
    </row>
    <row r="6571" spans="1:37" x14ac:dyDescent="0.2">
      <c r="A6571" t="str">
        <f>"20200111155730155"</f>
        <v>20200111155730155</v>
      </c>
      <c r="B6571" t="str">
        <f>"1578729450149332"</f>
        <v>1578729450149332</v>
      </c>
      <c r="C6571" t="s">
        <v>37</v>
      </c>
      <c r="D6571">
        <v>5.22715</v>
      </c>
      <c r="E6571">
        <v>0.52697380000000005</v>
      </c>
      <c r="F6571" t="s">
        <v>38</v>
      </c>
      <c r="G6571">
        <v>-187.64179999999999</v>
      </c>
      <c r="H6571" s="1">
        <v>-3.1503309999999999E-6</v>
      </c>
      <c r="I6571">
        <v>26.001190000000001</v>
      </c>
      <c r="J6571">
        <v>-187.48589999999999</v>
      </c>
      <c r="K6571">
        <v>1.104136</v>
      </c>
      <c r="L6571">
        <v>7.6168820000000004</v>
      </c>
      <c r="M6571">
        <v>-1.327384E-2</v>
      </c>
      <c r="N6571">
        <v>0</v>
      </c>
      <c r="O6571">
        <v>0.99980089999999999</v>
      </c>
      <c r="P6571">
        <v>-7.7225039999999995E-2</v>
      </c>
      <c r="Q6571">
        <v>1.8365659999999999E-2</v>
      </c>
      <c r="R6571">
        <v>0.99684450000000002</v>
      </c>
      <c r="S6571">
        <v>-2.5772090000000001E-2</v>
      </c>
      <c r="T6571">
        <v>-0.1772579</v>
      </c>
      <c r="U6571">
        <v>3.0112299999999999</v>
      </c>
      <c r="V6571">
        <v>-6.3937400000000005E-2</v>
      </c>
      <c r="W6571">
        <v>3.3318849999999997E-2</v>
      </c>
      <c r="X6571">
        <v>0.99739750000000005</v>
      </c>
      <c r="Y6571">
        <v>4.7320219999999998E-3</v>
      </c>
      <c r="Z6571">
        <v>-5.8754729999999998E-2</v>
      </c>
      <c r="AA6571">
        <v>0.99826119999999996</v>
      </c>
      <c r="AB6571">
        <v>38</v>
      </c>
      <c r="AC6571">
        <v>-0.15590000000000201</v>
      </c>
      <c r="AD6571">
        <v>-1.1041391503310001</v>
      </c>
      <c r="AE6571">
        <v>18.384308000000001</v>
      </c>
      <c r="AF6571">
        <v>8.7854315851711398E-2</v>
      </c>
      <c r="AG6571">
        <v>-1.1041391503310001</v>
      </c>
      <c r="AH6571">
        <v>18.318685782060001</v>
      </c>
      <c r="AI6571">
        <v>93.449229161821293</v>
      </c>
      <c r="AJ6571">
        <v>89.725218119994693</v>
      </c>
      <c r="AK6571">
        <v>18.3521413035633</v>
      </c>
    </row>
    <row r="6572" spans="1:37" x14ac:dyDescent="0.2">
      <c r="A6572" t="str">
        <f>"20200111155730177"</f>
        <v>20200111155730177</v>
      </c>
      <c r="B6572" t="str">
        <f>"1578729450169828"</f>
        <v>1578729450169828</v>
      </c>
      <c r="C6572" t="s">
        <v>37</v>
      </c>
      <c r="D6572">
        <v>5.2093999999999996</v>
      </c>
      <c r="E6572">
        <v>0.52727959999999996</v>
      </c>
      <c r="F6572" t="s">
        <v>38</v>
      </c>
      <c r="G6572">
        <v>-187.61320000000001</v>
      </c>
      <c r="H6572" s="1">
        <v>-3.1866589999999998E-6</v>
      </c>
      <c r="I6572">
        <v>26.07404</v>
      </c>
      <c r="J6572">
        <v>-187.4905</v>
      </c>
      <c r="K6572">
        <v>1.1041219999999901</v>
      </c>
      <c r="L6572">
        <v>8.002777</v>
      </c>
      <c r="M6572">
        <v>-1.2679879999999999E-2</v>
      </c>
      <c r="N6572">
        <v>0</v>
      </c>
      <c r="O6572">
        <v>0.99980849999999899</v>
      </c>
      <c r="P6572">
        <v>-7.6679449999999996E-2</v>
      </c>
      <c r="Q6572">
        <v>1.7765110000000001E-2</v>
      </c>
      <c r="R6572">
        <v>0.99689749999999999</v>
      </c>
      <c r="S6572">
        <v>-2.0767210000000001E-2</v>
      </c>
      <c r="T6572">
        <v>-0.1801352</v>
      </c>
      <c r="U6572">
        <v>3.0112000000000001</v>
      </c>
      <c r="V6572">
        <v>-6.3983369999999998E-2</v>
      </c>
      <c r="W6572">
        <v>3.272742E-2</v>
      </c>
      <c r="X6572">
        <v>0.99741420000000003</v>
      </c>
      <c r="Y6572">
        <v>5.7973510000000001E-3</v>
      </c>
      <c r="Z6572">
        <v>-5.970657E-2</v>
      </c>
      <c r="AA6572">
        <v>0.99819919999999995</v>
      </c>
      <c r="AB6572">
        <v>38</v>
      </c>
      <c r="AC6572">
        <v>-0.122700000000008</v>
      </c>
      <c r="AD6572">
        <v>-1.1041251866589901</v>
      </c>
      <c r="AE6572">
        <v>18.071262999999998</v>
      </c>
      <c r="AF6572">
        <v>0.106080789891143</v>
      </c>
      <c r="AG6572">
        <v>-1.1041251866589901</v>
      </c>
      <c r="AH6572">
        <v>18.004159189512698</v>
      </c>
      <c r="AI6572">
        <v>93.509271956313498</v>
      </c>
      <c r="AJ6572">
        <v>89.662416269953695</v>
      </c>
      <c r="AK6572">
        <v>18.0382951989126</v>
      </c>
    </row>
    <row r="6573" spans="1:37" x14ac:dyDescent="0.2">
      <c r="A6573" t="str">
        <f>"20200111155730201"</f>
        <v>20200111155730201</v>
      </c>
      <c r="B6573" t="str">
        <f>"1578729450190323"</f>
        <v>1578729450190323</v>
      </c>
      <c r="C6573" t="s">
        <v>37</v>
      </c>
      <c r="D6573">
        <v>5.1912890000000003</v>
      </c>
      <c r="E6573">
        <v>0.52738280000000004</v>
      </c>
      <c r="F6573" t="s">
        <v>38</v>
      </c>
      <c r="G6573">
        <v>-187.59200000000001</v>
      </c>
      <c r="H6573" s="1">
        <v>-3.33424E-6</v>
      </c>
      <c r="I6573">
        <v>26.409309999999898</v>
      </c>
      <c r="J6573">
        <v>-187.4948</v>
      </c>
      <c r="K6573">
        <v>1.104106</v>
      </c>
      <c r="L6573">
        <v>8.3923649999999999</v>
      </c>
      <c r="M6573">
        <v>-1.205927E-2</v>
      </c>
      <c r="N6573">
        <v>0</v>
      </c>
      <c r="O6573">
        <v>0.99981609999999999</v>
      </c>
      <c r="P6573">
        <v>-7.653306E-2</v>
      </c>
      <c r="Q6573">
        <v>1.7820929999999999E-2</v>
      </c>
      <c r="R6573">
        <v>0.99690780000000001</v>
      </c>
      <c r="S6573">
        <v>-1.6616820000000001E-2</v>
      </c>
      <c r="T6573">
        <v>-0.18063209999999999</v>
      </c>
      <c r="U6573">
        <v>3.0112610000000002</v>
      </c>
      <c r="V6573">
        <v>-6.4455029999999996E-2</v>
      </c>
      <c r="W6573">
        <v>3.2790819999999998E-2</v>
      </c>
      <c r="X6573">
        <v>0.99738169999999904</v>
      </c>
      <c r="Y6573">
        <v>6.5525829999999998E-3</v>
      </c>
      <c r="Z6573">
        <v>-5.987029E-2</v>
      </c>
      <c r="AA6573">
        <v>0.99818469999999904</v>
      </c>
      <c r="AB6573">
        <v>38</v>
      </c>
      <c r="AC6573">
        <v>-9.7200000000014997E-2</v>
      </c>
      <c r="AD6573">
        <v>-1.1041093342399999</v>
      </c>
      <c r="AE6573">
        <v>18.016945</v>
      </c>
      <c r="AF6573">
        <v>0.119653093948622</v>
      </c>
      <c r="AG6573">
        <v>-1.1041093342399999</v>
      </c>
      <c r="AH6573">
        <v>17.949400790667799</v>
      </c>
      <c r="AI6573">
        <v>93.519883371647893</v>
      </c>
      <c r="AJ6573">
        <v>89.618064367543198</v>
      </c>
      <c r="AK6573">
        <v>17.983724948654999</v>
      </c>
    </row>
    <row r="6574" spans="1:37" x14ac:dyDescent="0.2">
      <c r="A6574" t="str">
        <f>"20200111155730221"</f>
        <v>20200111155730221</v>
      </c>
      <c r="B6574" t="str">
        <f>"1578729450209372"</f>
        <v>1578729450209372</v>
      </c>
      <c r="C6574" t="s">
        <v>37</v>
      </c>
      <c r="D6574">
        <v>5.2189410000000001</v>
      </c>
      <c r="E6574">
        <v>0.52764279999999997</v>
      </c>
      <c r="F6574" t="s">
        <v>40</v>
      </c>
      <c r="G6574">
        <v>-187.5</v>
      </c>
      <c r="H6574">
        <v>1.04165</v>
      </c>
      <c r="I6574">
        <v>9.439584</v>
      </c>
      <c r="J6574">
        <v>-187.49860000000001</v>
      </c>
      <c r="K6574">
        <v>1.104093</v>
      </c>
      <c r="L6574">
        <v>8.7535399999999992</v>
      </c>
      <c r="M6574">
        <v>-1.146575E-2</v>
      </c>
      <c r="N6574">
        <v>0</v>
      </c>
      <c r="O6574">
        <v>0.99982309999999996</v>
      </c>
      <c r="P6574">
        <v>-7.6400549999999998E-2</v>
      </c>
      <c r="Q6574">
        <v>1.685219E-2</v>
      </c>
      <c r="R6574">
        <v>0.99693480000000001</v>
      </c>
      <c r="S6574">
        <v>-1.524353E-2</v>
      </c>
      <c r="T6574">
        <v>-0.17957690000000001</v>
      </c>
      <c r="U6574">
        <v>3.01135299999999</v>
      </c>
      <c r="V6574">
        <v>-6.4914559999999996E-2</v>
      </c>
      <c r="W6574">
        <v>3.182857E-2</v>
      </c>
      <c r="X6574">
        <v>0.99738309999999997</v>
      </c>
      <c r="Y6574">
        <v>6.4142309999999899E-3</v>
      </c>
      <c r="Z6574">
        <v>-5.9520709999999998E-2</v>
      </c>
      <c r="AA6574">
        <v>0.99820640000000005</v>
      </c>
      <c r="AB6574">
        <v>38</v>
      </c>
      <c r="AC6574">
        <v>-1.39999999998963E-3</v>
      </c>
      <c r="AD6574">
        <v>-6.2442999999999999E-2</v>
      </c>
      <c r="AE6574">
        <v>0.68604399999999999</v>
      </c>
      <c r="AF6574">
        <v>6.41384060630815E-3</v>
      </c>
      <c r="AG6574">
        <v>-6.2442999999999999E-2</v>
      </c>
      <c r="AH6574">
        <v>0.68037841134384602</v>
      </c>
      <c r="AI6574">
        <v>95.243505810545003</v>
      </c>
      <c r="AJ6574">
        <v>89.459895984347298</v>
      </c>
      <c r="AK6574">
        <v>0.68326791833299105</v>
      </c>
    </row>
    <row r="6575" spans="1:37" x14ac:dyDescent="0.2">
      <c r="A6575" t="str">
        <f>"20200111155730243"</f>
        <v>20200111155730243</v>
      </c>
      <c r="B6575" t="str">
        <f>"1578729450239629"</f>
        <v>1578729450239629</v>
      </c>
      <c r="C6575" t="s">
        <v>37</v>
      </c>
      <c r="D6575">
        <v>5.2792579999999996</v>
      </c>
      <c r="E6575">
        <v>0.52803219999999995</v>
      </c>
      <c r="F6575" t="s">
        <v>40</v>
      </c>
      <c r="G6575">
        <v>-187.50280000000001</v>
      </c>
      <c r="H6575">
        <v>1.042165</v>
      </c>
      <c r="I6575">
        <v>9.7850699999999993</v>
      </c>
      <c r="J6575">
        <v>-187.50229999999999</v>
      </c>
      <c r="K6575">
        <v>1.1040809999999901</v>
      </c>
      <c r="L6575">
        <v>9.1322019999999995</v>
      </c>
      <c r="M6575">
        <v>-1.0827720000000001E-2</v>
      </c>
      <c r="N6575">
        <v>0</v>
      </c>
      <c r="O6575">
        <v>0.99983009999999894</v>
      </c>
      <c r="P6575">
        <v>-7.5868409999999997E-2</v>
      </c>
      <c r="Q6575">
        <v>1.5312920000000001E-2</v>
      </c>
      <c r="R6575">
        <v>0.99700029999999995</v>
      </c>
      <c r="S6575">
        <v>-1.2466430000000001E-2</v>
      </c>
      <c r="T6575">
        <v>-0.18077089999999901</v>
      </c>
      <c r="U6575">
        <v>3.0113219999999998</v>
      </c>
      <c r="V6575">
        <v>-6.501991E-2</v>
      </c>
      <c r="W6575">
        <v>3.029486E-2</v>
      </c>
      <c r="X6575">
        <v>0.99742399999999998</v>
      </c>
      <c r="Y6575">
        <v>6.6966940000000004E-3</v>
      </c>
      <c r="Z6575">
        <v>-5.991635E-2</v>
      </c>
      <c r="AA6575">
        <v>0.99818090000000004</v>
      </c>
      <c r="AB6575">
        <v>38</v>
      </c>
      <c r="AC6575">
        <v>-5.0000000001659795E-4</v>
      </c>
      <c r="AD6575">
        <v>-6.1915999999999798E-2</v>
      </c>
      <c r="AE6575">
        <v>0.65286799999999701</v>
      </c>
      <c r="AF6575">
        <v>6.5113247867977699E-3</v>
      </c>
      <c r="AG6575">
        <v>-6.1915999999999798E-2</v>
      </c>
      <c r="AH6575">
        <v>0.64701584812221502</v>
      </c>
      <c r="AI6575">
        <v>95.465983271939294</v>
      </c>
      <c r="AJ6575">
        <v>89.423416232062095</v>
      </c>
      <c r="AK6575">
        <v>0.65000422777685696</v>
      </c>
    </row>
    <row r="6576" spans="1:37" x14ac:dyDescent="0.2">
      <c r="A6576" t="str">
        <f>"20200111155730265"</f>
        <v>20200111155730265</v>
      </c>
      <c r="B6576" t="str">
        <f>"1578729450260125"</f>
        <v>1578729450260125</v>
      </c>
      <c r="C6576" t="s">
        <v>37</v>
      </c>
      <c r="D6576">
        <v>5.4187139999999996</v>
      </c>
      <c r="E6576">
        <v>0.52813769999999904</v>
      </c>
      <c r="F6576" t="s">
        <v>38</v>
      </c>
      <c r="G6576">
        <v>-187.5478</v>
      </c>
      <c r="H6576" s="1">
        <v>-3.730213E-6</v>
      </c>
      <c r="I6576">
        <v>27.314050000000002</v>
      </c>
      <c r="J6576">
        <v>-187.50579999999999</v>
      </c>
      <c r="K6576">
        <v>1.1040620000000001</v>
      </c>
      <c r="L6576">
        <v>9.5161440000000006</v>
      </c>
      <c r="M6576">
        <v>-1.016659E-2</v>
      </c>
      <c r="N6576">
        <v>0</v>
      </c>
      <c r="O6576">
        <v>0.99983699999999998</v>
      </c>
      <c r="P6576">
        <v>-7.4870419999999993E-2</v>
      </c>
      <c r="Q6576">
        <v>1.3825520000000001E-2</v>
      </c>
      <c r="R6576">
        <v>0.99709740000000002</v>
      </c>
      <c r="S6576">
        <v>-7.5378419999999899E-3</v>
      </c>
      <c r="T6576">
        <v>-0.18285750000000001</v>
      </c>
      <c r="U6576">
        <v>3.0112610000000002</v>
      </c>
      <c r="V6576">
        <v>-6.4682210000000004E-2</v>
      </c>
      <c r="W6576">
        <v>2.8811590000000002E-2</v>
      </c>
      <c r="X6576">
        <v>0.99748989999999904</v>
      </c>
      <c r="Y6576">
        <v>7.6692150000000001E-3</v>
      </c>
      <c r="Z6576">
        <v>-6.0607229999999998E-2</v>
      </c>
      <c r="AA6576">
        <v>0.99813220000000002</v>
      </c>
      <c r="AB6576">
        <v>38</v>
      </c>
      <c r="AC6576">
        <v>-4.2000000000001501E-2</v>
      </c>
      <c r="AD6576">
        <v>-1.1040657302129999</v>
      </c>
      <c r="AE6576">
        <v>17.797906000000001</v>
      </c>
      <c r="AF6576">
        <v>0.13843361751845701</v>
      </c>
      <c r="AG6576">
        <v>-1.1040657302129999</v>
      </c>
      <c r="AH6576">
        <v>17.7291888181039</v>
      </c>
      <c r="AI6576">
        <v>93.563321676840104</v>
      </c>
      <c r="AJ6576">
        <v>89.552630358895598</v>
      </c>
      <c r="AK6576">
        <v>17.764072200682801</v>
      </c>
    </row>
    <row r="6577" spans="1:37" x14ac:dyDescent="0.2">
      <c r="A6577" t="str">
        <f>"20200111155730289"</f>
        <v>20200111155730289</v>
      </c>
      <c r="B6577" t="str">
        <f>"1578729450279644"</f>
        <v>1578729450279644</v>
      </c>
      <c r="C6577" t="s">
        <v>37</v>
      </c>
      <c r="D6577">
        <v>5.2916639999999999</v>
      </c>
      <c r="E6577">
        <v>0.56221730000000003</v>
      </c>
      <c r="F6577" t="s">
        <v>38</v>
      </c>
      <c r="G6577">
        <v>-187.52670000000001</v>
      </c>
      <c r="H6577" s="1">
        <v>-3.7340949999999899E-6</v>
      </c>
      <c r="I6577">
        <v>27.314350000000001</v>
      </c>
      <c r="J6577">
        <v>-187.50919999999999</v>
      </c>
      <c r="K6577">
        <v>1.104047</v>
      </c>
      <c r="L6577">
        <v>9.9085999999999999</v>
      </c>
      <c r="M6577">
        <v>-9.4797879999999994E-3</v>
      </c>
      <c r="N6577">
        <v>0</v>
      </c>
      <c r="O6577">
        <v>0.99984379999999995</v>
      </c>
      <c r="P6577">
        <v>-7.3008879999999998E-2</v>
      </c>
      <c r="Q6577">
        <v>1.233712E-2</v>
      </c>
      <c r="R6577">
        <v>0.997254999999999</v>
      </c>
      <c r="S6577">
        <v>-3.5247799999999999E-3</v>
      </c>
      <c r="T6577">
        <v>-0.18678249999999999</v>
      </c>
      <c r="U6577">
        <v>3.011047</v>
      </c>
      <c r="V6577">
        <v>-6.3505710000000007E-2</v>
      </c>
      <c r="W6577">
        <v>2.7324919999999999E-2</v>
      </c>
      <c r="X6577">
        <v>0.99760740000000003</v>
      </c>
      <c r="Y6577">
        <v>8.3125190000000009E-3</v>
      </c>
      <c r="Z6577">
        <v>-6.1908129999999999E-2</v>
      </c>
      <c r="AA6577">
        <v>0.99804720000000002</v>
      </c>
      <c r="AB6577">
        <v>38</v>
      </c>
      <c r="AC6577">
        <v>-1.7500000000012499E-2</v>
      </c>
      <c r="AD6577">
        <v>-1.1040507340950001</v>
      </c>
      <c r="AE6577">
        <v>17.405750000000001</v>
      </c>
      <c r="AF6577">
        <v>0.146930806943252</v>
      </c>
      <c r="AG6577">
        <v>-1.1040507340950001</v>
      </c>
      <c r="AH6577">
        <v>17.335386604887201</v>
      </c>
      <c r="AI6577">
        <v>93.643983656567798</v>
      </c>
      <c r="AJ6577">
        <v>89.514385590177994</v>
      </c>
      <c r="AK6577">
        <v>17.371129653145399</v>
      </c>
    </row>
    <row r="6578" spans="1:37" x14ac:dyDescent="0.2">
      <c r="A6578" t="str">
        <f>"20200111155730311"</f>
        <v>20200111155730311</v>
      </c>
      <c r="B6578" t="str">
        <f>"1578729450300140"</f>
        <v>1578729450300140</v>
      </c>
      <c r="C6578" t="s">
        <v>37</v>
      </c>
      <c r="D6578">
        <v>5.3476400000000002</v>
      </c>
      <c r="E6578">
        <v>0.5667719</v>
      </c>
      <c r="F6578" t="s">
        <v>40</v>
      </c>
      <c r="G6578">
        <v>-187.42850000000001</v>
      </c>
      <c r="H6578">
        <v>1.0461639999999901</v>
      </c>
      <c r="I6578">
        <v>10.80395</v>
      </c>
      <c r="J6578">
        <v>-187.5121</v>
      </c>
      <c r="K6578">
        <v>1.104039</v>
      </c>
      <c r="L6578">
        <v>10.285739999999899</v>
      </c>
      <c r="M6578">
        <v>-8.8127139999999993E-3</v>
      </c>
      <c r="N6578">
        <v>0</v>
      </c>
      <c r="O6578">
        <v>0.99984989999999996</v>
      </c>
      <c r="P6578">
        <v>-7.1510409999999996E-2</v>
      </c>
      <c r="Q6578">
        <v>1.1866440000000001E-2</v>
      </c>
      <c r="R6578">
        <v>0.99736930000000001</v>
      </c>
      <c r="S6578">
        <v>0.2728119</v>
      </c>
      <c r="T6578">
        <v>-0.19590969999999999</v>
      </c>
      <c r="U6578">
        <v>3.03064</v>
      </c>
      <c r="V6578">
        <v>-6.2672580000000006E-2</v>
      </c>
      <c r="W6578">
        <v>2.6854929999999999E-2</v>
      </c>
      <c r="X6578">
        <v>0.99767280000000003</v>
      </c>
      <c r="Y6578">
        <v>9.8245029999999997E-2</v>
      </c>
      <c r="Z6578">
        <v>-6.4219289999999998E-2</v>
      </c>
      <c r="AA6578">
        <v>0.99308799999999997</v>
      </c>
      <c r="AB6578">
        <v>38</v>
      </c>
      <c r="AC6578">
        <v>8.3599999999989905E-2</v>
      </c>
      <c r="AD6578">
        <v>-5.78750000000001E-2</v>
      </c>
      <c r="AE6578">
        <v>0.51821000000000095</v>
      </c>
      <c r="AF6578">
        <v>8.7105194312023196E-2</v>
      </c>
      <c r="AG6578">
        <v>-5.78750000000001E-2</v>
      </c>
      <c r="AH6578">
        <v>0.51123812828858295</v>
      </c>
      <c r="AI6578">
        <v>96.367709147672898</v>
      </c>
      <c r="AJ6578">
        <v>80.330747025467602</v>
      </c>
      <c r="AK6578">
        <v>0.52182492688367099</v>
      </c>
    </row>
    <row r="6579" spans="1:37" x14ac:dyDescent="0.2">
      <c r="A6579" t="str">
        <f>"20200111155730331"</f>
        <v>20200111155730331</v>
      </c>
      <c r="B6579" t="str">
        <f>"1578729450320056"</f>
        <v>1578729450320056</v>
      </c>
      <c r="C6579" t="s">
        <v>37</v>
      </c>
      <c r="D6579">
        <v>5.4948249999999996</v>
      </c>
      <c r="E6579">
        <v>0.56812980000000002</v>
      </c>
      <c r="F6579" t="s">
        <v>40</v>
      </c>
      <c r="G6579">
        <v>-187.423</v>
      </c>
      <c r="H6579">
        <v>1.048934</v>
      </c>
      <c r="I6579">
        <v>11.14691</v>
      </c>
      <c r="J6579">
        <v>-187.5146</v>
      </c>
      <c r="K6579">
        <v>1.1040379999999901</v>
      </c>
      <c r="L6579">
        <v>10.638400000000001</v>
      </c>
      <c r="M6579">
        <v>-8.1848540000000001E-3</v>
      </c>
      <c r="N6579">
        <v>0</v>
      </c>
      <c r="O6579">
        <v>0.9998553</v>
      </c>
      <c r="P6579">
        <v>-7.0287859999999994E-2</v>
      </c>
      <c r="Q6579">
        <v>1.1899119999999999E-2</v>
      </c>
      <c r="R6579">
        <v>0.9974558</v>
      </c>
      <c r="S6579">
        <v>0.31364439999999999</v>
      </c>
      <c r="T6579">
        <v>-0.194046</v>
      </c>
      <c r="U6579">
        <v>3.032715</v>
      </c>
      <c r="V6579">
        <v>-6.2075480000000002E-2</v>
      </c>
      <c r="W6579">
        <v>2.6887339999999999E-2</v>
      </c>
      <c r="X6579">
        <v>0.99770919999999896</v>
      </c>
      <c r="Y6579">
        <v>0.110803</v>
      </c>
      <c r="Z6579">
        <v>-6.3485230000000004E-2</v>
      </c>
      <c r="AA6579">
        <v>0.99181260000000004</v>
      </c>
      <c r="AB6579">
        <v>38</v>
      </c>
      <c r="AC6579">
        <v>9.1599999999999598E-2</v>
      </c>
      <c r="AD6579">
        <v>-5.5103999999999799E-2</v>
      </c>
      <c r="AE6579">
        <v>0.50850999999999902</v>
      </c>
      <c r="AF6579">
        <v>9.4682589662173106E-2</v>
      </c>
      <c r="AG6579">
        <v>-5.5103999999999799E-2</v>
      </c>
      <c r="AH6579">
        <v>0.50203320897469395</v>
      </c>
      <c r="AI6579">
        <v>96.156132948619103</v>
      </c>
      <c r="AJ6579">
        <v>79.319568273481295</v>
      </c>
      <c r="AK6579">
        <v>0.51384685122569795</v>
      </c>
    </row>
    <row r="6580" spans="1:37" x14ac:dyDescent="0.2">
      <c r="A6580" t="str">
        <f>"20200111155730355"</f>
        <v>20200111155730355</v>
      </c>
      <c r="B6580" t="str">
        <f>"1578729450349339"</f>
        <v>1578729450349339</v>
      </c>
      <c r="C6580" t="s">
        <v>37</v>
      </c>
      <c r="D6580">
        <v>5.3078329999999996</v>
      </c>
      <c r="E6580">
        <v>0.56935000000000002</v>
      </c>
      <c r="F6580" t="s">
        <v>40</v>
      </c>
      <c r="G6580">
        <v>-187.42169999999999</v>
      </c>
      <c r="H6580">
        <v>1.049464</v>
      </c>
      <c r="I6580">
        <v>11.495200000000001</v>
      </c>
      <c r="J6580">
        <v>-187.5172</v>
      </c>
      <c r="K6580">
        <v>1.1040399999999999</v>
      </c>
      <c r="L6580">
        <v>11.03088</v>
      </c>
      <c r="M6580">
        <v>-7.4834690000000004E-3</v>
      </c>
      <c r="N6580">
        <v>0</v>
      </c>
      <c r="O6580">
        <v>0.99986079999999999</v>
      </c>
      <c r="P6580">
        <v>-6.9822399999999896E-2</v>
      </c>
      <c r="Q6580">
        <v>1.2120189999999999E-2</v>
      </c>
      <c r="R6580">
        <v>0.99748579999999998</v>
      </c>
      <c r="S6580">
        <v>0.32821659999999903</v>
      </c>
      <c r="T6580">
        <v>-0.19315760000000001</v>
      </c>
      <c r="U6580">
        <v>3.0330810000000001</v>
      </c>
      <c r="V6580">
        <v>-6.2309650000000001E-2</v>
      </c>
      <c r="W6580">
        <v>2.710804E-2</v>
      </c>
      <c r="X6580">
        <v>0.99768869999999898</v>
      </c>
      <c r="Y6580">
        <v>0.114807199999999</v>
      </c>
      <c r="Z6580">
        <v>-6.3158430000000002E-2</v>
      </c>
      <c r="AA6580">
        <v>0.99137799999999998</v>
      </c>
      <c r="AB6580">
        <v>38</v>
      </c>
      <c r="AC6580">
        <v>9.5500000000015406E-2</v>
      </c>
      <c r="AD6580">
        <v>-5.4575999999999902E-2</v>
      </c>
      <c r="AE6580">
        <v>0.46432000000000001</v>
      </c>
      <c r="AF6580">
        <v>9.76777329414832E-2</v>
      </c>
      <c r="AG6580">
        <v>-5.4575999999999902E-2</v>
      </c>
      <c r="AH6580">
        <v>0.45752778549491002</v>
      </c>
      <c r="AI6580">
        <v>96.653805528623593</v>
      </c>
      <c r="AJ6580">
        <v>77.948824439993302</v>
      </c>
      <c r="AK6580">
        <v>0.47101077884530901</v>
      </c>
    </row>
    <row r="6581" spans="1:37" x14ac:dyDescent="0.2">
      <c r="A6581" t="str">
        <f>"20200111155730377"</f>
        <v>20200111155730377</v>
      </c>
      <c r="B6581" t="str">
        <f>"1578729450369834"</f>
        <v>1578729450369834</v>
      </c>
      <c r="C6581" t="s">
        <v>37</v>
      </c>
      <c r="D6581">
        <v>5.3283740000000002</v>
      </c>
      <c r="E6581">
        <v>0.56989789999999996</v>
      </c>
      <c r="F6581" t="s">
        <v>38</v>
      </c>
      <c r="G6581">
        <v>-185.54599999999999</v>
      </c>
      <c r="H6581" s="1">
        <v>-4.6619070000000002E-6</v>
      </c>
      <c r="I6581">
        <v>28.65812</v>
      </c>
      <c r="J6581">
        <v>-187.51939999999999</v>
      </c>
      <c r="K6581">
        <v>1.1040430000000001</v>
      </c>
      <c r="L6581">
        <v>11.41943</v>
      </c>
      <c r="M6581">
        <v>-6.7876809999999899E-3</v>
      </c>
      <c r="N6581">
        <v>0</v>
      </c>
      <c r="O6581">
        <v>0.99986580000000003</v>
      </c>
      <c r="P6581">
        <v>-6.9275589999999998E-2</v>
      </c>
      <c r="Q6581">
        <v>1.256678E-2</v>
      </c>
      <c r="R6581">
        <v>0.99751840000000003</v>
      </c>
      <c r="S6581">
        <v>0.33923340000000002</v>
      </c>
      <c r="T6581">
        <v>-0.19000300000000001</v>
      </c>
      <c r="U6581">
        <v>3.0335999999999999</v>
      </c>
      <c r="V6581">
        <v>-6.245589E-2</v>
      </c>
      <c r="W6581">
        <v>2.7553709999999999E-2</v>
      </c>
      <c r="X6581">
        <v>0.99766730000000003</v>
      </c>
      <c r="Y6581">
        <v>0.117661999999999</v>
      </c>
      <c r="Z6581">
        <v>-6.2098309999999997E-2</v>
      </c>
      <c r="AA6581">
        <v>0.99111019999999905</v>
      </c>
      <c r="AB6581">
        <v>38</v>
      </c>
      <c r="AC6581">
        <v>1.9733999999999901</v>
      </c>
      <c r="AD6581">
        <v>-1.1040476619070001</v>
      </c>
      <c r="AE6581">
        <v>17.238689999999998</v>
      </c>
      <c r="AF6581">
        <v>2.08194913216321</v>
      </c>
      <c r="AG6581">
        <v>-1.1040476619070001</v>
      </c>
      <c r="AH6581">
        <v>17.155439701015201</v>
      </c>
      <c r="AI6581">
        <v>93.655476639205602</v>
      </c>
      <c r="AJ6581">
        <v>83.080538176684598</v>
      </c>
      <c r="AK6581">
        <v>17.3165396301873</v>
      </c>
    </row>
    <row r="6582" spans="1:37" x14ac:dyDescent="0.2">
      <c r="A6582" t="str">
        <f>"20200111155730402"</f>
        <v>20200111155730402</v>
      </c>
      <c r="B6582" t="str">
        <f>"1578729450389354"</f>
        <v>1578729450389354</v>
      </c>
      <c r="C6582" t="s">
        <v>37</v>
      </c>
      <c r="D6582">
        <v>5.3153689999999996</v>
      </c>
      <c r="E6582">
        <v>0.57027469999999902</v>
      </c>
      <c r="F6582" t="s">
        <v>38</v>
      </c>
      <c r="G6582">
        <v>-185.49019999999999</v>
      </c>
      <c r="H6582" s="1">
        <v>-4.9295549999999996E-6</v>
      </c>
      <c r="I6582">
        <v>29.258970000000001</v>
      </c>
      <c r="J6582">
        <v>-187.5214</v>
      </c>
      <c r="K6582">
        <v>1.104044</v>
      </c>
      <c r="L6582">
        <v>11.81073</v>
      </c>
      <c r="M6582">
        <v>-6.0869330000000001E-3</v>
      </c>
      <c r="N6582">
        <v>0</v>
      </c>
      <c r="O6582">
        <v>0.99987029999999999</v>
      </c>
      <c r="P6582">
        <v>-6.9020170000000006E-2</v>
      </c>
      <c r="Q6582">
        <v>1.3060489999999999E-2</v>
      </c>
      <c r="R6582">
        <v>0.99752969999999896</v>
      </c>
      <c r="S6582">
        <v>0.34507749999999998</v>
      </c>
      <c r="T6582">
        <v>-0.187753799999999</v>
      </c>
      <c r="U6582">
        <v>3.0337830000000001</v>
      </c>
      <c r="V6582">
        <v>-6.2898869999999996E-2</v>
      </c>
      <c r="W6582">
        <v>2.804657E-2</v>
      </c>
      <c r="X6582">
        <v>0.99762580000000001</v>
      </c>
      <c r="Y6582">
        <v>0.11884980000000001</v>
      </c>
      <c r="Z6582">
        <v>-6.1351820000000001E-2</v>
      </c>
      <c r="AA6582">
        <v>0.99101499999999998</v>
      </c>
      <c r="AB6582">
        <v>38</v>
      </c>
      <c r="AC6582">
        <v>2.0312000000000099</v>
      </c>
      <c r="AD6582">
        <v>-1.104048929555</v>
      </c>
      <c r="AE6582">
        <v>17.448239999999998</v>
      </c>
      <c r="AF6582">
        <v>2.1289704194834602</v>
      </c>
      <c r="AG6582">
        <v>-1.104048929555</v>
      </c>
      <c r="AH6582">
        <v>17.366947312638501</v>
      </c>
      <c r="AI6582">
        <v>93.610548020080898</v>
      </c>
      <c r="AJ6582">
        <v>83.011124092394596</v>
      </c>
      <c r="AK6582">
        <v>17.531751140312501</v>
      </c>
    </row>
    <row r="6583" spans="1:37" x14ac:dyDescent="0.2">
      <c r="A6583" t="str">
        <f>"20200111155730423"</f>
        <v>20200111155730423</v>
      </c>
      <c r="B6583" t="str">
        <f>"1578729450419609"</f>
        <v>1578729450419609</v>
      </c>
      <c r="C6583" t="s">
        <v>37</v>
      </c>
      <c r="D6583">
        <v>5.326263</v>
      </c>
      <c r="E6583">
        <v>0.57068189999999996</v>
      </c>
      <c r="F6583" t="s">
        <v>40</v>
      </c>
      <c r="G6583">
        <v>-187.4033</v>
      </c>
      <c r="H6583">
        <v>1.041129</v>
      </c>
      <c r="I6583">
        <v>12.83647</v>
      </c>
      <c r="J6583">
        <v>-187.523</v>
      </c>
      <c r="K6583">
        <v>1.1040479999999999</v>
      </c>
      <c r="L6583">
        <v>12.17548</v>
      </c>
      <c r="M6583">
        <v>-5.4386979999999996E-3</v>
      </c>
      <c r="N6583">
        <v>0</v>
      </c>
      <c r="O6583">
        <v>0.99987409999999999</v>
      </c>
      <c r="P6583">
        <v>-6.7862930000000002E-2</v>
      </c>
      <c r="Q6583">
        <v>1.3600330000000001E-2</v>
      </c>
      <c r="R6583">
        <v>0.99760190000000004</v>
      </c>
      <c r="S6583">
        <v>0.34887699999999999</v>
      </c>
      <c r="T6583">
        <v>-0.18607989999999999</v>
      </c>
      <c r="U6583">
        <v>3.0339969999999998</v>
      </c>
      <c r="V6583">
        <v>-6.2386999999999998E-2</v>
      </c>
      <c r="W6583">
        <v>2.8583279999999999E-2</v>
      </c>
      <c r="X6583">
        <v>0.99764259999999905</v>
      </c>
      <c r="Y6583">
        <v>0.11942709999999999</v>
      </c>
      <c r="Z6583">
        <v>-6.0796580000000003E-2</v>
      </c>
      <c r="AA6583">
        <v>0.99097979999999997</v>
      </c>
      <c r="AB6583">
        <v>38</v>
      </c>
      <c r="AC6583">
        <v>0.11969999999999401</v>
      </c>
      <c r="AD6583">
        <v>-6.2918999999999697E-2</v>
      </c>
      <c r="AE6583">
        <v>0.66098999999999997</v>
      </c>
      <c r="AF6583">
        <v>0.122221277135509</v>
      </c>
      <c r="AG6583">
        <v>-6.2918999999999697E-2</v>
      </c>
      <c r="AH6583">
        <v>0.65458629477764696</v>
      </c>
      <c r="AI6583">
        <v>95.397699746425403</v>
      </c>
      <c r="AJ6583">
        <v>79.423783882815201</v>
      </c>
      <c r="AK6583">
        <v>0.66886475348635499</v>
      </c>
    </row>
    <row r="6584" spans="1:37" x14ac:dyDescent="0.2">
      <c r="A6584" t="str">
        <f>"20200111155730445"</f>
        <v>20200111155730445</v>
      </c>
      <c r="B6584" t="str">
        <f>"1578729450440105"</f>
        <v>1578729450440105</v>
      </c>
      <c r="C6584" t="s">
        <v>37</v>
      </c>
      <c r="D6584">
        <v>5.3274319999999999</v>
      </c>
      <c r="E6584">
        <v>0.57092089999999995</v>
      </c>
      <c r="F6584" t="s">
        <v>40</v>
      </c>
      <c r="G6584">
        <v>-187.4058</v>
      </c>
      <c r="H6584">
        <v>1.043474</v>
      </c>
      <c r="I6584">
        <v>13.17587</v>
      </c>
      <c r="J6584">
        <v>-187.52440000000001</v>
      </c>
      <c r="K6584">
        <v>1.104052</v>
      </c>
      <c r="L6584">
        <v>12.5534699999999</v>
      </c>
      <c r="M6584">
        <v>-4.77436599999999E-3</v>
      </c>
      <c r="N6584">
        <v>0</v>
      </c>
      <c r="O6584">
        <v>0.99987749999999997</v>
      </c>
      <c r="P6584">
        <v>-6.649302E-2</v>
      </c>
      <c r="Q6584">
        <v>1.414345E-2</v>
      </c>
      <c r="R6584">
        <v>0.99768659999999998</v>
      </c>
      <c r="S6584">
        <v>0.35546879999999997</v>
      </c>
      <c r="T6584">
        <v>-0.18370619999999999</v>
      </c>
      <c r="U6584">
        <v>3.0339049999999999</v>
      </c>
      <c r="V6584">
        <v>-6.1679599999999897E-2</v>
      </c>
      <c r="W6584">
        <v>2.9122350000000002E-2</v>
      </c>
      <c r="X6584">
        <v>0.99767109999999903</v>
      </c>
      <c r="Y6584">
        <v>0.1209008</v>
      </c>
      <c r="Z6584">
        <v>-6.0013160000000003E-2</v>
      </c>
      <c r="AA6584">
        <v>0.99084879999999997</v>
      </c>
      <c r="AB6584">
        <v>38</v>
      </c>
      <c r="AC6584">
        <v>0.118600000000014</v>
      </c>
      <c r="AD6584">
        <v>-6.0578E-2</v>
      </c>
      <c r="AE6584">
        <v>0.62240000000000195</v>
      </c>
      <c r="AF6584">
        <v>0.12046931539403601</v>
      </c>
      <c r="AG6584">
        <v>-6.0578E-2</v>
      </c>
      <c r="AH6584">
        <v>0.61619388089717597</v>
      </c>
      <c r="AI6584">
        <v>95.511029883623294</v>
      </c>
      <c r="AJ6584">
        <v>78.937889581745694</v>
      </c>
      <c r="AK6584">
        <v>0.63077527606163397</v>
      </c>
    </row>
    <row r="6585" spans="1:37" x14ac:dyDescent="0.2">
      <c r="A6585" t="str">
        <f>"20200111155730468"</f>
        <v>20200111155730468</v>
      </c>
      <c r="B6585" t="str">
        <f>"1578729450459627"</f>
        <v>1578729450459627</v>
      </c>
      <c r="C6585" t="s">
        <v>37</v>
      </c>
      <c r="D6585">
        <v>5.2901800000000003</v>
      </c>
      <c r="E6585">
        <v>0.57086409999999999</v>
      </c>
      <c r="F6585" t="s">
        <v>38</v>
      </c>
      <c r="G6585">
        <v>-185.33160000000001</v>
      </c>
      <c r="H6585" s="1">
        <v>-1.6875679999999999E-6</v>
      </c>
      <c r="I6585">
        <v>30.956990000000001</v>
      </c>
      <c r="J6585">
        <v>-187.52549999999999</v>
      </c>
      <c r="K6585">
        <v>1.1040650000000001</v>
      </c>
      <c r="L6585">
        <v>12.93918</v>
      </c>
      <c r="M6585">
        <v>-4.1087850000000002E-3</v>
      </c>
      <c r="N6585">
        <v>0</v>
      </c>
      <c r="O6585">
        <v>0.99988049999999995</v>
      </c>
      <c r="P6585">
        <v>-6.5061339999999995E-2</v>
      </c>
      <c r="Q6585">
        <v>1.4164299999999999E-2</v>
      </c>
      <c r="R6585">
        <v>0.99778069999999897</v>
      </c>
      <c r="S6585">
        <v>0.3614502</v>
      </c>
      <c r="T6585">
        <v>-0.18199179999999901</v>
      </c>
      <c r="U6585">
        <v>3.03363</v>
      </c>
      <c r="V6585">
        <v>-6.0912199999999903E-2</v>
      </c>
      <c r="W6585">
        <v>2.913903E-2</v>
      </c>
      <c r="X6585">
        <v>0.99771769999999904</v>
      </c>
      <c r="Y6585">
        <v>0.122181</v>
      </c>
      <c r="Z6585">
        <v>-5.9449170000000003E-2</v>
      </c>
      <c r="AA6585">
        <v>0.99072579999999999</v>
      </c>
      <c r="AB6585">
        <v>38</v>
      </c>
      <c r="AC6585">
        <v>2.1938999999999802</v>
      </c>
      <c r="AD6585">
        <v>-1.1040666875680001</v>
      </c>
      <c r="AE6585">
        <v>18.017810000000001</v>
      </c>
      <c r="AF6585">
        <v>2.25956076290848</v>
      </c>
      <c r="AG6585">
        <v>-1.1040666875680001</v>
      </c>
      <c r="AH6585">
        <v>17.942257296765</v>
      </c>
      <c r="AI6585">
        <v>93.493697331490395</v>
      </c>
      <c r="AJ6585">
        <v>82.822234216818501</v>
      </c>
      <c r="AK6585">
        <v>18.117648164019201</v>
      </c>
    </row>
    <row r="6586" spans="1:37" x14ac:dyDescent="0.2">
      <c r="A6586" t="str">
        <f>"20200111155730490"</f>
        <v>20200111155730490</v>
      </c>
      <c r="B6586" t="str">
        <f>"1578729450480121"</f>
        <v>1578729450480121</v>
      </c>
      <c r="C6586" t="s">
        <v>37</v>
      </c>
      <c r="D6586">
        <v>5.314743</v>
      </c>
      <c r="E6586">
        <v>0.5710326</v>
      </c>
      <c r="F6586" t="s">
        <v>38</v>
      </c>
      <c r="G6586">
        <v>-185.2955</v>
      </c>
      <c r="H6586" s="1">
        <v>-1.8661179999999899E-6</v>
      </c>
      <c r="I6586">
        <v>31.453429999999901</v>
      </c>
      <c r="J6586">
        <v>-187.5265</v>
      </c>
      <c r="K6586">
        <v>1.1040779999999999</v>
      </c>
      <c r="L6586">
        <v>13.32626</v>
      </c>
      <c r="M6586">
        <v>-3.4591229999999902E-3</v>
      </c>
      <c r="N6586">
        <v>0</v>
      </c>
      <c r="O6586">
        <v>0.99988299999999997</v>
      </c>
      <c r="P6586">
        <v>-6.3732940000000002E-2</v>
      </c>
      <c r="Q6586">
        <v>1.370556E-2</v>
      </c>
      <c r="R6586">
        <v>0.99787289999999995</v>
      </c>
      <c r="S6586">
        <v>0.36532589999999998</v>
      </c>
      <c r="T6586">
        <v>-0.18087110000000001</v>
      </c>
      <c r="U6586">
        <v>3.0330509999999999</v>
      </c>
      <c r="V6586">
        <v>-6.0233620000000002E-2</v>
      </c>
      <c r="W6586">
        <v>2.8675269999999999E-2</v>
      </c>
      <c r="X6586">
        <v>0.99777229999999995</v>
      </c>
      <c r="Y6586">
        <v>0.122808999999999</v>
      </c>
      <c r="Z6586">
        <v>-5.9089009999999997E-2</v>
      </c>
      <c r="AA6586">
        <v>0.99066969999999999</v>
      </c>
      <c r="AB6586">
        <v>38</v>
      </c>
      <c r="AC6586">
        <v>2.2309999999999901</v>
      </c>
      <c r="AD6586">
        <v>-1.104079866118</v>
      </c>
      <c r="AE6586">
        <v>18.12717</v>
      </c>
      <c r="AF6586">
        <v>2.2853462343251199</v>
      </c>
      <c r="AG6586">
        <v>-1.104079866118</v>
      </c>
      <c r="AH6586">
        <v>18.053369774192198</v>
      </c>
      <c r="AI6586">
        <v>93.472007723075293</v>
      </c>
      <c r="AJ6586">
        <v>82.785395753797403</v>
      </c>
      <c r="AK6586">
        <v>18.2309067236171</v>
      </c>
    </row>
    <row r="6587" spans="1:37" x14ac:dyDescent="0.2">
      <c r="A6587" t="str">
        <f>"20200111155730514"</f>
        <v>20200111155730514</v>
      </c>
      <c r="B6587" t="str">
        <f>"1578729450510106"</f>
        <v>1578729450510106</v>
      </c>
      <c r="C6587" t="s">
        <v>37</v>
      </c>
      <c r="D6587">
        <v>5.3527309999999897</v>
      </c>
      <c r="E6587">
        <v>0.57094690000000003</v>
      </c>
      <c r="F6587" t="s">
        <v>38</v>
      </c>
      <c r="G6587">
        <v>-185.28710000000001</v>
      </c>
      <c r="H6587" s="1">
        <v>-1.933331E-6</v>
      </c>
      <c r="I6587">
        <v>31.644379999999899</v>
      </c>
      <c r="J6587">
        <v>-187.52719999999999</v>
      </c>
      <c r="K6587">
        <v>1.1040969999999899</v>
      </c>
      <c r="L6587">
        <v>13.7182</v>
      </c>
      <c r="M6587">
        <v>-2.8259309999999998E-3</v>
      </c>
      <c r="N6587">
        <v>0</v>
      </c>
      <c r="O6587">
        <v>0.99988500000000002</v>
      </c>
      <c r="P6587">
        <v>-6.2747629999999999E-2</v>
      </c>
      <c r="Q6587">
        <v>1.311968E-2</v>
      </c>
      <c r="R6587">
        <v>0.99794319999999903</v>
      </c>
      <c r="S6587">
        <v>0.37072749999999999</v>
      </c>
      <c r="T6587">
        <v>-0.18278220000000001</v>
      </c>
      <c r="U6587">
        <v>3.0325929999999999</v>
      </c>
      <c r="V6587">
        <v>-5.9882560000000001E-2</v>
      </c>
      <c r="W6587">
        <v>2.808327E-2</v>
      </c>
      <c r="X6587">
        <v>0.99781030000000004</v>
      </c>
      <c r="Y6587">
        <v>0.12393270000000001</v>
      </c>
      <c r="Z6587">
        <v>-5.9709659999999998E-2</v>
      </c>
      <c r="AA6587">
        <v>0.990492499999999</v>
      </c>
      <c r="AB6587">
        <v>38</v>
      </c>
      <c r="AC6587">
        <v>2.24009999999998</v>
      </c>
      <c r="AD6587">
        <v>-1.1040989333309901</v>
      </c>
      <c r="AE6587">
        <v>17.926179999999999</v>
      </c>
      <c r="AF6587">
        <v>2.2822302927559002</v>
      </c>
      <c r="AG6587">
        <v>-1.1040989333309901</v>
      </c>
      <c r="AH6587">
        <v>17.853092886005399</v>
      </c>
      <c r="AI6587">
        <v>93.5103744510144</v>
      </c>
      <c r="AJ6587">
        <v>82.715167930953299</v>
      </c>
      <c r="AK6587">
        <v>18.032208271869901</v>
      </c>
    </row>
    <row r="6588" spans="1:37" x14ac:dyDescent="0.2">
      <c r="A6588" t="str">
        <f>"20200111155730534"</f>
        <v>20200111155730534</v>
      </c>
      <c r="B6588" t="str">
        <f>"1578729450529625"</f>
        <v>1578729450529625</v>
      </c>
      <c r="C6588" t="s">
        <v>37</v>
      </c>
      <c r="D6588">
        <v>5.2835799999999997</v>
      </c>
      <c r="E6588">
        <v>0.57104630000000001</v>
      </c>
      <c r="F6588" t="s">
        <v>38</v>
      </c>
      <c r="G6588">
        <v>-185.29900000000001</v>
      </c>
      <c r="H6588" s="1">
        <v>-1.9928319999999998E-6</v>
      </c>
      <c r="I6588">
        <v>31.82854</v>
      </c>
      <c r="J6588">
        <v>-187.52770000000001</v>
      </c>
      <c r="K6588">
        <v>1.1041179999999999</v>
      </c>
      <c r="L6588">
        <v>14.05951</v>
      </c>
      <c r="M6588">
        <v>-2.2993329999999898E-3</v>
      </c>
      <c r="N6588">
        <v>0</v>
      </c>
      <c r="O6588">
        <v>0.99988650000000001</v>
      </c>
      <c r="P6588">
        <v>-6.2075579999999998E-2</v>
      </c>
      <c r="Q6588">
        <v>1.271592E-2</v>
      </c>
      <c r="R6588">
        <v>0.99799040000000006</v>
      </c>
      <c r="S6588">
        <v>0.37304690000000001</v>
      </c>
      <c r="T6588">
        <v>-0.18485070000000001</v>
      </c>
      <c r="U6588">
        <v>3.0320740000000002</v>
      </c>
      <c r="V6588">
        <v>-5.973813E-2</v>
      </c>
      <c r="W6588">
        <v>2.7673349999999999E-2</v>
      </c>
      <c r="X6588">
        <v>0.99783040000000001</v>
      </c>
      <c r="Y6588">
        <v>0.124172</v>
      </c>
      <c r="Z6588">
        <v>-6.038955E-2</v>
      </c>
      <c r="AA6588">
        <v>0.99042140000000001</v>
      </c>
      <c r="AB6588">
        <v>38</v>
      </c>
      <c r="AC6588">
        <v>2.2286999999999999</v>
      </c>
      <c r="AD6588">
        <v>-1.104119992832</v>
      </c>
      <c r="AE6588">
        <v>17.769029999999901</v>
      </c>
      <c r="AF6588">
        <v>2.2609610823124</v>
      </c>
      <c r="AG6588">
        <v>-1.104119992832</v>
      </c>
      <c r="AH6588">
        <v>17.696588819733499</v>
      </c>
      <c r="AI6588">
        <v>93.541439705192104</v>
      </c>
      <c r="AJ6588">
        <v>82.719190402908794</v>
      </c>
      <c r="AK6588">
        <v>17.8745708152397</v>
      </c>
    </row>
    <row r="6589" spans="1:37" x14ac:dyDescent="0.2">
      <c r="A6589" t="str">
        <f>"20200111155730557"</f>
        <v>20200111155730557</v>
      </c>
      <c r="B6589" t="str">
        <f>"1578729450550122"</f>
        <v>1578729450550122</v>
      </c>
      <c r="C6589" t="s">
        <v>37</v>
      </c>
      <c r="D6589">
        <v>5.3435030000000001</v>
      </c>
      <c r="E6589">
        <v>0.57120629999999994</v>
      </c>
      <c r="F6589" t="s">
        <v>38</v>
      </c>
      <c r="G6589">
        <v>-185.29570000000001</v>
      </c>
      <c r="H6589" s="1">
        <v>-2.0745569999999999E-6</v>
      </c>
      <c r="I6589">
        <v>32.066109999999902</v>
      </c>
      <c r="J6589">
        <v>-187.52799999999999</v>
      </c>
      <c r="K6589">
        <v>1.104149</v>
      </c>
      <c r="L6589">
        <v>14.43976</v>
      </c>
      <c r="M6589">
        <v>-1.741711E-3</v>
      </c>
      <c r="N6589">
        <v>0</v>
      </c>
      <c r="O6589">
        <v>0.99988759999999999</v>
      </c>
      <c r="P6589">
        <v>-6.1067990000000003E-2</v>
      </c>
      <c r="Q6589">
        <v>1.3245969999999999E-2</v>
      </c>
      <c r="R6589">
        <v>0.99804570000000004</v>
      </c>
      <c r="S6589">
        <v>0.3757935</v>
      </c>
      <c r="T6589">
        <v>-0.1859025</v>
      </c>
      <c r="U6589">
        <v>3.0317989999999999</v>
      </c>
      <c r="V6589">
        <v>-5.9288090000000002E-2</v>
      </c>
      <c r="W6589">
        <v>2.819576E-2</v>
      </c>
      <c r="X6589">
        <v>0.99784259999999902</v>
      </c>
      <c r="Y6589">
        <v>0.1245107</v>
      </c>
      <c r="Z6589">
        <v>-6.0732799999999899E-2</v>
      </c>
      <c r="AA6589">
        <v>0.99035779999999995</v>
      </c>
      <c r="AB6589">
        <v>38</v>
      </c>
      <c r="AC6589">
        <v>2.23229999999998</v>
      </c>
      <c r="AD6589">
        <v>-1.104151074557</v>
      </c>
      <c r="AE6589">
        <v>17.626349999999899</v>
      </c>
      <c r="AF6589">
        <v>2.2542937521211899</v>
      </c>
      <c r="AG6589">
        <v>-1.104151074557</v>
      </c>
      <c r="AH6589">
        <v>17.5546373101066</v>
      </c>
      <c r="AI6589">
        <v>93.569810047929494</v>
      </c>
      <c r="AJ6589">
        <v>82.682362291794206</v>
      </c>
      <c r="AK6589">
        <v>17.733197145627301</v>
      </c>
    </row>
    <row r="6590" spans="1:37" x14ac:dyDescent="0.2">
      <c r="A6590" t="str">
        <f>"20200111155730580"</f>
        <v>20200111155730580</v>
      </c>
      <c r="B6590" t="str">
        <f>"1578729450569641"</f>
        <v>1578729450569641</v>
      </c>
      <c r="C6590" t="s">
        <v>37</v>
      </c>
      <c r="D6590">
        <v>5.2866499999999998</v>
      </c>
      <c r="E6590">
        <v>0.57135800000000003</v>
      </c>
      <c r="F6590" t="s">
        <v>38</v>
      </c>
      <c r="G6590">
        <v>-185.25299999999999</v>
      </c>
      <c r="H6590" s="1">
        <v>-2.2644030000000002E-6</v>
      </c>
      <c r="I6590">
        <v>32.590559999999897</v>
      </c>
      <c r="J6590">
        <v>-187.52809999999999</v>
      </c>
      <c r="K6590">
        <v>1.1041829999999999</v>
      </c>
      <c r="L6590">
        <v>14.81537</v>
      </c>
      <c r="M6590">
        <v>-1.2245610000000001E-3</v>
      </c>
      <c r="N6590">
        <v>0</v>
      </c>
      <c r="O6590">
        <v>0.99988840000000001</v>
      </c>
      <c r="P6590">
        <v>-5.9748049999999997E-2</v>
      </c>
      <c r="Q6590">
        <v>1.316317E-2</v>
      </c>
      <c r="R6590">
        <v>0.99812670000000003</v>
      </c>
      <c r="S6590">
        <v>0.37997439999999999</v>
      </c>
      <c r="T6590">
        <v>-0.18441579999999999</v>
      </c>
      <c r="U6590">
        <v>3.031555</v>
      </c>
      <c r="V6590">
        <v>-5.8486009999999998E-2</v>
      </c>
      <c r="W6590">
        <v>2.810472E-2</v>
      </c>
      <c r="X6590">
        <v>0.99789259999999902</v>
      </c>
      <c r="Y6590">
        <v>0.12535579999999999</v>
      </c>
      <c r="Z6590">
        <v>-6.0245449999999999E-2</v>
      </c>
      <c r="AA6590">
        <v>0.99028099999999997</v>
      </c>
      <c r="AB6590">
        <v>38</v>
      </c>
      <c r="AC6590">
        <v>2.2751000000000001</v>
      </c>
      <c r="AD6590">
        <v>-1.1041852644029999</v>
      </c>
      <c r="AE6590">
        <v>17.775189999999899</v>
      </c>
      <c r="AF6590">
        <v>2.28818013679534</v>
      </c>
      <c r="AG6590">
        <v>-1.1041852644029999</v>
      </c>
      <c r="AH6590">
        <v>17.705170371606901</v>
      </c>
      <c r="AI6590">
        <v>93.539277784327993</v>
      </c>
      <c r="AJ6590">
        <v>82.636027986889005</v>
      </c>
      <c r="AK6590">
        <v>17.886532680320599</v>
      </c>
    </row>
    <row r="6591" spans="1:37" x14ac:dyDescent="0.2">
      <c r="A6591" t="str">
        <f>"20200111155730601"</f>
        <v>20200111155730601</v>
      </c>
      <c r="B6591" t="str">
        <f>"1578729450590137"</f>
        <v>1578729450590137</v>
      </c>
      <c r="C6591" t="s">
        <v>37</v>
      </c>
      <c r="D6591">
        <v>5.2885279999999897</v>
      </c>
      <c r="E6591">
        <v>0.57145100000000004</v>
      </c>
      <c r="F6591" t="s">
        <v>40</v>
      </c>
      <c r="G6591">
        <v>-187.39519999999999</v>
      </c>
      <c r="H6591">
        <v>1.0404610000000001</v>
      </c>
      <c r="I6591">
        <v>15.861599999999999</v>
      </c>
      <c r="J6591">
        <v>-187.52809999999999</v>
      </c>
      <c r="K6591">
        <v>1.1042130000000001</v>
      </c>
      <c r="L6591">
        <v>15.177339999999999</v>
      </c>
      <c r="M6591">
        <v>-7.5820679999999896E-4</v>
      </c>
      <c r="N6591">
        <v>0</v>
      </c>
      <c r="O6591">
        <v>0.99988899999999903</v>
      </c>
      <c r="P6591">
        <v>-5.8335499999999998E-2</v>
      </c>
      <c r="Q6591">
        <v>1.320671E-2</v>
      </c>
      <c r="R6591">
        <v>0.99820969999999998</v>
      </c>
      <c r="S6591">
        <v>0.38494869999999998</v>
      </c>
      <c r="T6591">
        <v>-0.1846129</v>
      </c>
      <c r="U6591">
        <v>3.0310969999999999</v>
      </c>
      <c r="V6591">
        <v>-5.7540920000000002E-2</v>
      </c>
      <c r="W6591">
        <v>2.8140470000000001E-2</v>
      </c>
      <c r="X6591">
        <v>0.99794640000000001</v>
      </c>
      <c r="Y6591">
        <v>0.1265107</v>
      </c>
      <c r="Z6591">
        <v>-6.030808E-2</v>
      </c>
      <c r="AA6591">
        <v>0.99013030000000002</v>
      </c>
      <c r="AB6591">
        <v>37</v>
      </c>
      <c r="AC6591">
        <v>0.13290000000000601</v>
      </c>
      <c r="AD6591">
        <v>-6.3751999999999795E-2</v>
      </c>
      <c r="AE6591">
        <v>0.68425999999999998</v>
      </c>
      <c r="AF6591">
        <v>0.13231204496347801</v>
      </c>
      <c r="AG6591">
        <v>-6.3751999999999795E-2</v>
      </c>
      <c r="AH6591">
        <v>0.67848353930930305</v>
      </c>
      <c r="AI6591">
        <v>95.2692100359194</v>
      </c>
      <c r="AJ6591">
        <v>78.965160119204597</v>
      </c>
      <c r="AK6591">
        <v>0.69419788811267402</v>
      </c>
    </row>
    <row r="6592" spans="1:37" x14ac:dyDescent="0.2">
      <c r="A6592" t="str">
        <f>"20200111155730624"</f>
        <v>20200111155730624</v>
      </c>
      <c r="B6592" t="str">
        <f>"1578729450619879"</f>
        <v>1578729450619879</v>
      </c>
      <c r="C6592" t="s">
        <v>37</v>
      </c>
      <c r="D6592">
        <v>5.304074</v>
      </c>
      <c r="E6592">
        <v>0.57158599999999904</v>
      </c>
      <c r="F6592" t="s">
        <v>38</v>
      </c>
      <c r="G6592">
        <v>-185.18510000000001</v>
      </c>
      <c r="H6592" s="1">
        <v>-2.5544239999999999E-6</v>
      </c>
      <c r="I6592">
        <v>33.389690000000002</v>
      </c>
      <c r="J6592">
        <v>-187.52789999999999</v>
      </c>
      <c r="K6592">
        <v>1.1042399999999899</v>
      </c>
      <c r="L6592">
        <v>15.56451</v>
      </c>
      <c r="M6592">
        <v>-2.8719979999999997E-4</v>
      </c>
      <c r="N6592">
        <v>0</v>
      </c>
      <c r="O6592">
        <v>0.99988929999999998</v>
      </c>
      <c r="P6592">
        <v>-5.7280560000000001E-2</v>
      </c>
      <c r="Q6592">
        <v>1.2879130000000001E-2</v>
      </c>
      <c r="R6592">
        <v>0.99827500000000002</v>
      </c>
      <c r="S6592">
        <v>0.38989259999999998</v>
      </c>
      <c r="T6592">
        <v>-0.18374589999999999</v>
      </c>
      <c r="U6592">
        <v>3.0306090000000001</v>
      </c>
      <c r="V6592">
        <v>-5.695853E-2</v>
      </c>
      <c r="W6592">
        <v>2.7805389999999999E-2</v>
      </c>
      <c r="X6592">
        <v>0.99798929999999997</v>
      </c>
      <c r="Y6592">
        <v>0.12765470000000001</v>
      </c>
      <c r="Z6592">
        <v>-6.0024859999999999E-2</v>
      </c>
      <c r="AA6592">
        <v>0.99000069999999996</v>
      </c>
      <c r="AB6592">
        <v>37</v>
      </c>
      <c r="AC6592">
        <v>2.34279999999998</v>
      </c>
      <c r="AD6592">
        <v>-1.104242554424</v>
      </c>
      <c r="AE6592">
        <v>17.82518</v>
      </c>
      <c r="AF6592">
        <v>2.3390957462670601</v>
      </c>
      <c r="AG6592">
        <v>-1.104242554424</v>
      </c>
      <c r="AH6592">
        <v>17.757517068876499</v>
      </c>
      <c r="AI6592">
        <v>93.527930832463397</v>
      </c>
      <c r="AJ6592">
        <v>82.495958560897805</v>
      </c>
      <c r="AK6592">
        <v>17.9449194197312</v>
      </c>
    </row>
    <row r="6593" spans="1:37" x14ac:dyDescent="0.2">
      <c r="A6593" t="str">
        <f>"20200111155730647"</f>
        <v>20200111155730647</v>
      </c>
      <c r="B6593" t="str">
        <f>"1578729450639400"</f>
        <v>1578729450639400</v>
      </c>
      <c r="C6593" t="s">
        <v>37</v>
      </c>
      <c r="D6593">
        <v>5.2407029999999999</v>
      </c>
      <c r="E6593">
        <v>0.57165459999999901</v>
      </c>
      <c r="F6593" t="s">
        <v>38</v>
      </c>
      <c r="G6593">
        <v>-185.16069999999999</v>
      </c>
      <c r="H6593" s="1">
        <v>-2.68563199999999E-6</v>
      </c>
      <c r="I6593">
        <v>33.756219999999999</v>
      </c>
      <c r="J6593">
        <v>-187.52760000000001</v>
      </c>
      <c r="K6593">
        <v>1.1042670000000001</v>
      </c>
      <c r="L6593">
        <v>15.93436</v>
      </c>
      <c r="M6593">
        <v>1.4015840000000001E-4</v>
      </c>
      <c r="N6593">
        <v>0</v>
      </c>
      <c r="O6593">
        <v>0.99988929999999998</v>
      </c>
      <c r="P6593">
        <v>-5.6492960000000002E-2</v>
      </c>
      <c r="Q6593">
        <v>1.3042079999999999E-2</v>
      </c>
      <c r="R6593">
        <v>0.99831780000000003</v>
      </c>
      <c r="S6593">
        <v>0.3943024</v>
      </c>
      <c r="T6593">
        <v>-0.18393309999999999</v>
      </c>
      <c r="U6593">
        <v>3.0301819999999999</v>
      </c>
      <c r="V6593">
        <v>-5.659898E-2</v>
      </c>
      <c r="W6593">
        <v>2.7960769999999999E-2</v>
      </c>
      <c r="X6593">
        <v>0.99800540000000004</v>
      </c>
      <c r="Y6593">
        <v>0.128665</v>
      </c>
      <c r="Z6593">
        <v>-6.0084690000000003E-2</v>
      </c>
      <c r="AA6593">
        <v>0.98986629999999998</v>
      </c>
      <c r="AB6593">
        <v>37</v>
      </c>
      <c r="AC6593">
        <v>2.36690000000001</v>
      </c>
      <c r="AD6593">
        <v>-1.104269685632</v>
      </c>
      <c r="AE6593">
        <v>17.821860000000001</v>
      </c>
      <c r="AF6593">
        <v>2.3555151937234902</v>
      </c>
      <c r="AG6593">
        <v>-1.104269685632</v>
      </c>
      <c r="AH6593">
        <v>17.755206753025501</v>
      </c>
      <c r="AI6593">
        <v>93.528044514758506</v>
      </c>
      <c r="AJ6593">
        <v>82.442918120961593</v>
      </c>
      <c r="AK6593">
        <v>17.944782813094999</v>
      </c>
    </row>
    <row r="6594" spans="1:37" x14ac:dyDescent="0.2">
      <c r="A6594" t="str">
        <f>"20200111155730669"</f>
        <v>20200111155730669</v>
      </c>
      <c r="B6594" t="str">
        <f>"1578729450659895"</f>
        <v>1578729450659895</v>
      </c>
      <c r="C6594" t="s">
        <v>37</v>
      </c>
      <c r="D6594">
        <v>5.5523920000000002</v>
      </c>
      <c r="E6594">
        <v>0.57151989999999997</v>
      </c>
      <c r="F6594" t="s">
        <v>38</v>
      </c>
      <c r="G6594">
        <v>-185.1266</v>
      </c>
      <c r="H6594" s="1">
        <v>-2.8567929999999999E-6</v>
      </c>
      <c r="I6594">
        <v>34.23254</v>
      </c>
      <c r="J6594">
        <v>-187.52709999999999</v>
      </c>
      <c r="K6594">
        <v>1.1042909999999999</v>
      </c>
      <c r="L6594">
        <v>16.317869999999999</v>
      </c>
      <c r="M6594">
        <v>5.6326710000000003E-4</v>
      </c>
      <c r="N6594">
        <v>0</v>
      </c>
      <c r="O6594">
        <v>0.99988929999999998</v>
      </c>
      <c r="P6594">
        <v>-5.6280860000000002E-2</v>
      </c>
      <c r="Q6594">
        <v>1.3489279999999999E-2</v>
      </c>
      <c r="R6594">
        <v>0.99832389999999904</v>
      </c>
      <c r="S6594">
        <v>0.39756770000000002</v>
      </c>
      <c r="T6594">
        <v>-0.1828525</v>
      </c>
      <c r="U6594">
        <v>3.029938</v>
      </c>
      <c r="V6594">
        <v>-5.6810520000000003E-2</v>
      </c>
      <c r="W6594">
        <v>2.8401200000000001E-2</v>
      </c>
      <c r="X6594">
        <v>0.99798099999999901</v>
      </c>
      <c r="Y6594">
        <v>0.12930719999999901</v>
      </c>
      <c r="Z6594">
        <v>-5.9731060000000002E-2</v>
      </c>
      <c r="AA6594">
        <v>0.98980400000000002</v>
      </c>
      <c r="AB6594">
        <v>37</v>
      </c>
      <c r="AC6594">
        <v>2.4004999999999899</v>
      </c>
      <c r="AD6594">
        <v>-1.1042938567929901</v>
      </c>
      <c r="AE6594">
        <v>17.914669999999902</v>
      </c>
      <c r="AF6594">
        <v>2.3815182658139999</v>
      </c>
      <c r="AG6594">
        <v>-1.1042938567929901</v>
      </c>
      <c r="AH6594">
        <v>17.849392998278699</v>
      </c>
      <c r="AI6594">
        <v>93.509204968540402</v>
      </c>
      <c r="AJ6594">
        <v>82.400312995479098</v>
      </c>
      <c r="AK6594">
        <v>18.041394751502899</v>
      </c>
    </row>
    <row r="6595" spans="1:37" x14ac:dyDescent="0.2">
      <c r="A6595" t="str">
        <f>"20200111155730691"</f>
        <v>20200111155730691</v>
      </c>
      <c r="B6595" t="str">
        <f>"1578729450679414"</f>
        <v>1578729450679414</v>
      </c>
      <c r="C6595" t="s">
        <v>37</v>
      </c>
      <c r="D6595">
        <v>5.2668220000000003</v>
      </c>
      <c r="E6595">
        <v>0.57168890000000006</v>
      </c>
      <c r="F6595" t="s">
        <v>38</v>
      </c>
      <c r="G6595">
        <v>-185.1095</v>
      </c>
      <c r="H6595" s="1">
        <v>-3.0679479999999999E-6</v>
      </c>
      <c r="I6595">
        <v>34.762070000000001</v>
      </c>
      <c r="J6595">
        <v>-187.5266</v>
      </c>
      <c r="K6595">
        <v>1.1043099999999999</v>
      </c>
      <c r="L6595">
        <v>16.668579999999999</v>
      </c>
      <c r="M6595">
        <v>9.3681669999999995E-4</v>
      </c>
      <c r="N6595">
        <v>0</v>
      </c>
      <c r="O6595">
        <v>0.99988899999999903</v>
      </c>
      <c r="P6595">
        <v>-5.6992229999999998E-2</v>
      </c>
      <c r="Q6595">
        <v>1.429211E-2</v>
      </c>
      <c r="R6595">
        <v>0.9982723</v>
      </c>
      <c r="S6595">
        <v>0.3971558</v>
      </c>
      <c r="T6595">
        <v>-0.18140519999999999</v>
      </c>
      <c r="U6595">
        <v>3.0298769999999999</v>
      </c>
      <c r="V6595">
        <v>-5.789511E-2</v>
      </c>
      <c r="W6595">
        <v>2.9198140000000001E-2</v>
      </c>
      <c r="X6595">
        <v>0.99789559999999999</v>
      </c>
      <c r="Y6595">
        <v>0.1288106</v>
      </c>
      <c r="Z6595">
        <v>-5.9263580000000003E-2</v>
      </c>
      <c r="AA6595">
        <v>0.98989680000000002</v>
      </c>
      <c r="AB6595">
        <v>37</v>
      </c>
      <c r="AC6595">
        <v>2.4171</v>
      </c>
      <c r="AD6595">
        <v>-1.104313067948</v>
      </c>
      <c r="AE6595">
        <v>18.093489999999999</v>
      </c>
      <c r="AF6595">
        <v>2.39139474988065</v>
      </c>
      <c r="AG6595">
        <v>-1.104313067948</v>
      </c>
      <c r="AH6595">
        <v>18.02976133129</v>
      </c>
      <c r="AI6595">
        <v>93.474602400047402</v>
      </c>
      <c r="AJ6595">
        <v>82.444618682783997</v>
      </c>
      <c r="AK6595">
        <v>18.221157204334698</v>
      </c>
    </row>
    <row r="6596" spans="1:37" x14ac:dyDescent="0.2">
      <c r="A6596" t="str">
        <f>"20200111155730712"</f>
        <v>20200111155730712</v>
      </c>
      <c r="B6596" t="str">
        <f>"1578729450699911"</f>
        <v>1578729450699911</v>
      </c>
      <c r="C6596" t="s">
        <v>37</v>
      </c>
      <c r="D6596">
        <v>5.3249769999999996</v>
      </c>
      <c r="E6596">
        <v>0.57173030000000002</v>
      </c>
      <c r="F6596" t="s">
        <v>38</v>
      </c>
      <c r="G6596">
        <v>-185.06599999999901</v>
      </c>
      <c r="H6596" s="1">
        <v>-3.3811929999999999E-6</v>
      </c>
      <c r="I6596">
        <v>35.474269999999997</v>
      </c>
      <c r="J6596">
        <v>-187.5258</v>
      </c>
      <c r="K6596">
        <v>1.1043289999999999</v>
      </c>
      <c r="L6596">
        <v>17.028559999999999</v>
      </c>
      <c r="M6596">
        <v>1.3119239999999999E-3</v>
      </c>
      <c r="N6596">
        <v>0</v>
      </c>
      <c r="O6596">
        <v>0.99988869999999896</v>
      </c>
      <c r="P6596">
        <v>-5.79099E-2</v>
      </c>
      <c r="Q6596">
        <v>1.475334E-2</v>
      </c>
      <c r="R6596">
        <v>0.99821280000000001</v>
      </c>
      <c r="S6596">
        <v>0.39649959999999901</v>
      </c>
      <c r="T6596">
        <v>-0.17795</v>
      </c>
      <c r="U6596">
        <v>3.0303650000000002</v>
      </c>
      <c r="V6596">
        <v>-5.9187570000000002E-2</v>
      </c>
      <c r="W6596">
        <v>2.965332E-2</v>
      </c>
      <c r="X6596">
        <v>0.99780639999999998</v>
      </c>
      <c r="Y6596">
        <v>0.12821589999999999</v>
      </c>
      <c r="Z6596">
        <v>-5.8132440000000001E-2</v>
      </c>
      <c r="AA6596">
        <v>0.99004110000000001</v>
      </c>
      <c r="AB6596">
        <v>37</v>
      </c>
      <c r="AC6596">
        <v>2.45980000000002</v>
      </c>
      <c r="AD6596">
        <v>-1.1043323811929999</v>
      </c>
      <c r="AE6596">
        <v>18.445709999999998</v>
      </c>
      <c r="AF6596">
        <v>2.4270484790809301</v>
      </c>
      <c r="AG6596">
        <v>-1.1043323811929999</v>
      </c>
      <c r="AH6596">
        <v>18.384177805284299</v>
      </c>
      <c r="AI6596">
        <v>93.408109782333</v>
      </c>
      <c r="AJ6596">
        <v>82.479397349370998</v>
      </c>
      <c r="AK6596">
        <v>18.576547254650599</v>
      </c>
    </row>
    <row r="6597" spans="1:37" x14ac:dyDescent="0.2">
      <c r="A6597" t="str">
        <f>"20200111155730735"</f>
        <v>20200111155730735</v>
      </c>
      <c r="B6597" t="str">
        <f>"1578729450729755"</f>
        <v>1578729450729755</v>
      </c>
      <c r="C6597" t="s">
        <v>37</v>
      </c>
      <c r="D6597">
        <v>5.2258009999999997</v>
      </c>
      <c r="E6597">
        <v>0.54610700000000001</v>
      </c>
      <c r="F6597" t="s">
        <v>38</v>
      </c>
      <c r="G6597">
        <v>-185.05420000000001</v>
      </c>
      <c r="H6597" s="1">
        <v>-3.62374E-6</v>
      </c>
      <c r="I6597">
        <v>36.034770000000002</v>
      </c>
      <c r="J6597">
        <v>-187.5249</v>
      </c>
      <c r="K6597">
        <v>1.1043449999999999</v>
      </c>
      <c r="L6597">
        <v>17.411739999999899</v>
      </c>
      <c r="M6597">
        <v>1.70539E-3</v>
      </c>
      <c r="N6597">
        <v>0</v>
      </c>
      <c r="O6597">
        <v>0.99988809999999995</v>
      </c>
      <c r="P6597">
        <v>-5.8460770000000002E-2</v>
      </c>
      <c r="Q6597">
        <v>1.542722E-2</v>
      </c>
      <c r="R6597">
        <v>0.99817049999999996</v>
      </c>
      <c r="S6597">
        <v>0.39414979999999999</v>
      </c>
      <c r="T6597">
        <v>-0.17610410000000001</v>
      </c>
      <c r="U6597">
        <v>3.030853</v>
      </c>
      <c r="V6597">
        <v>-6.0131270000000001E-2</v>
      </c>
      <c r="W6597">
        <v>3.0321549999999999E-2</v>
      </c>
      <c r="X6597">
        <v>0.9977298</v>
      </c>
      <c r="Y6597">
        <v>0.1270549</v>
      </c>
      <c r="Z6597">
        <v>-5.7529419999999998E-2</v>
      </c>
      <c r="AA6597">
        <v>0.99022600000000005</v>
      </c>
      <c r="AB6597">
        <v>37</v>
      </c>
      <c r="AC6597">
        <v>2.4706999999999901</v>
      </c>
      <c r="AD6597">
        <v>-1.10434862374</v>
      </c>
      <c r="AE6597">
        <v>18.62303</v>
      </c>
      <c r="AF6597">
        <v>2.4305342086312098</v>
      </c>
      <c r="AG6597">
        <v>-1.10434862374</v>
      </c>
      <c r="AH6597">
        <v>18.563068767702401</v>
      </c>
      <c r="AI6597">
        <v>93.375863939359604</v>
      </c>
      <c r="AJ6597">
        <v>82.540477275020507</v>
      </c>
      <c r="AK6597">
        <v>18.7540556812795</v>
      </c>
    </row>
    <row r="6598" spans="1:37" x14ac:dyDescent="0.2">
      <c r="A6598" t="str">
        <f>"20200111155730758"</f>
        <v>20200111155730758</v>
      </c>
      <c r="B6598" t="str">
        <f>"1578729450750251"</f>
        <v>1578729450750251</v>
      </c>
      <c r="C6598" t="s">
        <v>37</v>
      </c>
      <c r="D6598">
        <v>5.2037979999999999</v>
      </c>
      <c r="E6598">
        <v>0.54565129999999995</v>
      </c>
      <c r="F6598" t="s">
        <v>38</v>
      </c>
      <c r="G6598">
        <v>-186.3878</v>
      </c>
      <c r="H6598" s="1">
        <v>-3.2252769999999999E-6</v>
      </c>
      <c r="I6598">
        <v>35.657359999999997</v>
      </c>
      <c r="J6598">
        <v>-187.5239</v>
      </c>
      <c r="K6598">
        <v>1.1043590000000001</v>
      </c>
      <c r="L6598">
        <v>17.78397</v>
      </c>
      <c r="M6598">
        <v>2.084724E-3</v>
      </c>
      <c r="N6598">
        <v>0</v>
      </c>
      <c r="O6598">
        <v>0.99988750000000004</v>
      </c>
      <c r="P6598">
        <v>-5.8524350000000003E-2</v>
      </c>
      <c r="Q6598">
        <v>1.5836360000000001E-2</v>
      </c>
      <c r="R6598">
        <v>0.99816039999999995</v>
      </c>
      <c r="S6598">
        <v>0.18818660000000001</v>
      </c>
      <c r="T6598">
        <v>-0.18275139999999901</v>
      </c>
      <c r="U6598">
        <v>3.0193479999999999</v>
      </c>
      <c r="V6598">
        <v>-6.0573920000000003E-2</v>
      </c>
      <c r="W6598">
        <v>3.072476E-2</v>
      </c>
      <c r="X6598">
        <v>0.99769069999999904</v>
      </c>
      <c r="Y6598">
        <v>6.0011950000000001E-2</v>
      </c>
      <c r="Z6598">
        <v>-6.0303290000000002E-2</v>
      </c>
      <c r="AA6598">
        <v>0.99637450000000005</v>
      </c>
      <c r="AB6598">
        <v>37</v>
      </c>
      <c r="AC6598">
        <v>1.1360999999999899</v>
      </c>
      <c r="AD6598">
        <v>-1.104362225277</v>
      </c>
      <c r="AE6598">
        <v>17.873389999999901</v>
      </c>
      <c r="AF6598">
        <v>1.0946699587394</v>
      </c>
      <c r="AG6598">
        <v>-1.104362225277</v>
      </c>
      <c r="AH6598">
        <v>17.808006663993002</v>
      </c>
      <c r="AI6598">
        <v>93.541980461761597</v>
      </c>
      <c r="AJ6598">
        <v>86.482416610397706</v>
      </c>
      <c r="AK6598">
        <v>17.8757662657578</v>
      </c>
    </row>
    <row r="6599" spans="1:37" x14ac:dyDescent="0.2">
      <c r="A6599" t="str">
        <f>"20200111155730781"</f>
        <v>20200111155730781</v>
      </c>
      <c r="B6599" t="str">
        <f>"1578729450769771"</f>
        <v>1578729450769771</v>
      </c>
      <c r="C6599" t="s">
        <v>37</v>
      </c>
      <c r="D6599">
        <v>5.2050609999999997</v>
      </c>
      <c r="E6599">
        <v>0.54535059999999902</v>
      </c>
      <c r="F6599" t="s">
        <v>38</v>
      </c>
      <c r="G6599">
        <v>-186.39859999999999</v>
      </c>
      <c r="H6599" s="1">
        <v>-3.4603460000000001E-6</v>
      </c>
      <c r="I6599">
        <v>36.209780000000002</v>
      </c>
      <c r="J6599">
        <v>-187.52279999999999</v>
      </c>
      <c r="K6599">
        <v>1.1043689999999999</v>
      </c>
      <c r="L6599">
        <v>18.153870000000001</v>
      </c>
      <c r="M6599">
        <v>2.458699E-3</v>
      </c>
      <c r="N6599">
        <v>0</v>
      </c>
      <c r="O6599">
        <v>0.99988670000000002</v>
      </c>
      <c r="P6599">
        <v>-5.8486429999999999E-2</v>
      </c>
      <c r="Q6599">
        <v>1.7014169999999999E-2</v>
      </c>
      <c r="R6599">
        <v>0.99814319999999901</v>
      </c>
      <c r="S6599">
        <v>0.1844025</v>
      </c>
      <c r="T6599">
        <v>-0.18095729999999999</v>
      </c>
      <c r="U6599">
        <v>3.019196</v>
      </c>
      <c r="V6599">
        <v>-6.0908499999999997E-2</v>
      </c>
      <c r="W6599">
        <v>3.1897210000000002E-2</v>
      </c>
      <c r="X6599">
        <v>0.99763359999999901</v>
      </c>
      <c r="Y6599">
        <v>5.8399699999999999E-2</v>
      </c>
      <c r="Z6599">
        <v>-5.972148E-2</v>
      </c>
      <c r="AA6599">
        <v>0.99650530000000004</v>
      </c>
      <c r="AB6599">
        <v>37</v>
      </c>
      <c r="AC6599">
        <v>1.1242000000000001</v>
      </c>
      <c r="AD6599">
        <v>-1.1043724603459999</v>
      </c>
      <c r="AE6599">
        <v>18.055910000000001</v>
      </c>
      <c r="AF6599">
        <v>1.0757886299952599</v>
      </c>
      <c r="AG6599">
        <v>-1.1043724603459999</v>
      </c>
      <c r="AH6599">
        <v>17.9915725044984</v>
      </c>
      <c r="AI6599">
        <v>93.506319312681299</v>
      </c>
      <c r="AJ6599">
        <v>86.578128649502204</v>
      </c>
      <c r="AK6599">
        <v>18.057509266015</v>
      </c>
    </row>
    <row r="6600" spans="1:37" x14ac:dyDescent="0.2">
      <c r="A6600" t="str">
        <f>"20200111155730801"</f>
        <v>20200111155730801</v>
      </c>
      <c r="B6600" t="str">
        <f>"1578729450790266"</f>
        <v>1578729450790266</v>
      </c>
      <c r="C6600" t="s">
        <v>37</v>
      </c>
      <c r="D6600">
        <v>5.1512669999999998</v>
      </c>
      <c r="E6600">
        <v>0.54500269999999995</v>
      </c>
      <c r="F6600" t="s">
        <v>40</v>
      </c>
      <c r="G6600">
        <v>-187.4606</v>
      </c>
      <c r="H6600">
        <v>1.04484</v>
      </c>
      <c r="I6600">
        <v>19.184460000000001</v>
      </c>
      <c r="J6600">
        <v>-187.5215</v>
      </c>
      <c r="K6600">
        <v>1.104382</v>
      </c>
      <c r="L6600">
        <v>18.506989999999998</v>
      </c>
      <c r="M6600">
        <v>2.8129709999999901E-3</v>
      </c>
      <c r="N6600">
        <v>0</v>
      </c>
      <c r="O6600">
        <v>0.99988580000000005</v>
      </c>
      <c r="P6600">
        <v>-5.8187919999999997E-2</v>
      </c>
      <c r="Q6600">
        <v>1.895113E-2</v>
      </c>
      <c r="R6600">
        <v>0.9981257</v>
      </c>
      <c r="S6600">
        <v>0.18218989999999999</v>
      </c>
      <c r="T6600">
        <v>-0.17439470000000001</v>
      </c>
      <c r="U6600">
        <v>3.01922599999999</v>
      </c>
      <c r="V6600">
        <v>-6.0962189999999999E-2</v>
      </c>
      <c r="W6600">
        <v>3.3828299999999999E-2</v>
      </c>
      <c r="X6600">
        <v>0.99756659999999997</v>
      </c>
      <c r="Y6600">
        <v>5.7325420000000002E-2</v>
      </c>
      <c r="Z6600">
        <v>-5.7565360000000003E-2</v>
      </c>
      <c r="AA6600">
        <v>0.99669459999999999</v>
      </c>
      <c r="AB6600">
        <v>37</v>
      </c>
      <c r="AC6600">
        <v>6.0900000000003701E-2</v>
      </c>
      <c r="AD6600">
        <v>-5.9541999999999901E-2</v>
      </c>
      <c r="AE6600">
        <v>0.67747000000000301</v>
      </c>
      <c r="AF6600">
        <v>5.8545241613097397E-2</v>
      </c>
      <c r="AG6600">
        <v>-5.9541999999999901E-2</v>
      </c>
      <c r="AH6600">
        <v>0.67248571577807903</v>
      </c>
      <c r="AI6600">
        <v>95.040816240476104</v>
      </c>
      <c r="AJ6600">
        <v>85.024490357630697</v>
      </c>
      <c r="AK6600">
        <v>0.67765022910428596</v>
      </c>
    </row>
    <row r="6601" spans="1:37" x14ac:dyDescent="0.2">
      <c r="A6601" t="str">
        <f>"20200111155730824"</f>
        <v>20200111155730824</v>
      </c>
      <c r="B6601" t="str">
        <f>"1578729450819385"</f>
        <v>1578729450819385</v>
      </c>
      <c r="C6601" t="s">
        <v>37</v>
      </c>
      <c r="D6601">
        <v>5.1242720000000004</v>
      </c>
      <c r="E6601">
        <v>0.54487769999999902</v>
      </c>
      <c r="F6601" t="s">
        <v>40</v>
      </c>
      <c r="G6601">
        <v>-187.46099999999899</v>
      </c>
      <c r="H6601">
        <v>1.047455</v>
      </c>
      <c r="I6601">
        <v>19.517250000000001</v>
      </c>
      <c r="J6601">
        <v>-187.52010000000001</v>
      </c>
      <c r="K6601">
        <v>1.104393</v>
      </c>
      <c r="L6601">
        <v>18.877589999999898</v>
      </c>
      <c r="M6601">
        <v>3.181424E-3</v>
      </c>
      <c r="N6601">
        <v>0</v>
      </c>
      <c r="O6601">
        <v>0.99988469999999996</v>
      </c>
      <c r="P6601">
        <v>-5.9047370000000002E-2</v>
      </c>
      <c r="Q6601">
        <v>2.069385E-2</v>
      </c>
      <c r="R6601">
        <v>0.998040699999999</v>
      </c>
      <c r="S6601">
        <v>0.1803131</v>
      </c>
      <c r="T6601">
        <v>-0.17013029999999901</v>
      </c>
      <c r="U6601">
        <v>3.0193789999999998</v>
      </c>
      <c r="V6601">
        <v>-6.2188019999999997E-2</v>
      </c>
      <c r="W6601">
        <v>3.5565810000000003E-2</v>
      </c>
      <c r="X6601">
        <v>0.99743059999999995</v>
      </c>
      <c r="Y6601">
        <v>5.6341910000000002E-2</v>
      </c>
      <c r="Z6601">
        <v>-5.6161900000000001E-2</v>
      </c>
      <c r="AA6601">
        <v>0.99683069999999896</v>
      </c>
      <c r="AB6601">
        <v>37</v>
      </c>
      <c r="AC6601">
        <v>5.9100000000029199E-2</v>
      </c>
      <c r="AD6601">
        <v>-5.6937999999999898E-2</v>
      </c>
      <c r="AE6601">
        <v>0.639660000000002</v>
      </c>
      <c r="AF6601">
        <v>5.6619629718514801E-2</v>
      </c>
      <c r="AG6601">
        <v>-5.6937999999999898E-2</v>
      </c>
      <c r="AH6601">
        <v>0.63485721786772498</v>
      </c>
      <c r="AI6601">
        <v>95.104781597593302</v>
      </c>
      <c r="AJ6601">
        <v>84.903569625625295</v>
      </c>
      <c r="AK6601">
        <v>0.639915154838679</v>
      </c>
    </row>
    <row r="6602" spans="1:37" x14ac:dyDescent="0.2">
      <c r="A6602" t="str">
        <f>"20200111155730846"</f>
        <v>20200111155730846</v>
      </c>
      <c r="B6602" t="str">
        <f>"1578729450839882"</f>
        <v>1578729450839882</v>
      </c>
      <c r="C6602" t="s">
        <v>37</v>
      </c>
      <c r="D6602">
        <v>5.467981</v>
      </c>
      <c r="E6602">
        <v>0.54473280000000002</v>
      </c>
      <c r="F6602" t="s">
        <v>40</v>
      </c>
      <c r="G6602">
        <v>-187.46299999999999</v>
      </c>
      <c r="H6602">
        <v>1.0502069999999999</v>
      </c>
      <c r="I6602">
        <v>19.849829999999901</v>
      </c>
      <c r="J6602">
        <v>-187.51859999999999</v>
      </c>
      <c r="K6602">
        <v>1.104403</v>
      </c>
      <c r="L6602">
        <v>19.248049999999999</v>
      </c>
      <c r="M6602">
        <v>3.5396849999999999E-3</v>
      </c>
      <c r="N6602">
        <v>0</v>
      </c>
      <c r="O6602">
        <v>0.99988359999999998</v>
      </c>
      <c r="P6602">
        <v>-6.0197000000000001E-2</v>
      </c>
      <c r="Q6602">
        <v>2.032262E-2</v>
      </c>
      <c r="R6602">
        <v>0.99797959999999997</v>
      </c>
      <c r="S6602">
        <v>0.17727660000000001</v>
      </c>
      <c r="T6602">
        <v>-0.16830709999999999</v>
      </c>
      <c r="U6602">
        <v>3.0198669999999899</v>
      </c>
      <c r="V6602">
        <v>-6.3696489999999995E-2</v>
      </c>
      <c r="W6602">
        <v>3.518934E-2</v>
      </c>
      <c r="X6602">
        <v>0.99734869999999898</v>
      </c>
      <c r="Y6602">
        <v>5.49776999999999E-2</v>
      </c>
      <c r="Z6602">
        <v>-5.5556660000000001E-2</v>
      </c>
      <c r="AA6602">
        <v>0.99694079999999996</v>
      </c>
      <c r="AB6602">
        <v>37</v>
      </c>
      <c r="AC6602">
        <v>5.5599999999998297E-2</v>
      </c>
      <c r="AD6602">
        <v>-5.4196000000000098E-2</v>
      </c>
      <c r="AE6602">
        <v>0.60177999999999698</v>
      </c>
      <c r="AF6602">
        <v>5.30427324187773E-2</v>
      </c>
      <c r="AG6602">
        <v>-5.4196000000000098E-2</v>
      </c>
      <c r="AH6602">
        <v>0.59717057479715097</v>
      </c>
      <c r="AI6602">
        <v>95.165426006355801</v>
      </c>
      <c r="AJ6602">
        <v>84.924113880670703</v>
      </c>
      <c r="AK6602">
        <v>0.60196630576969201</v>
      </c>
    </row>
    <row r="6603" spans="1:37" x14ac:dyDescent="0.2">
      <c r="A6603" t="str">
        <f>"20200111155730869"</f>
        <v>20200111155730869</v>
      </c>
      <c r="B6603" t="str">
        <f>"1578729450860377"</f>
        <v>1578729450860377</v>
      </c>
      <c r="C6603" t="s">
        <v>37</v>
      </c>
      <c r="D6603">
        <v>5.1548470000000002</v>
      </c>
      <c r="E6603">
        <v>0.54510999999999998</v>
      </c>
      <c r="F6603" t="s">
        <v>40</v>
      </c>
      <c r="G6603">
        <v>-187.465</v>
      </c>
      <c r="H6603">
        <v>1.0506219999999999</v>
      </c>
      <c r="I6603">
        <v>20.179939999999998</v>
      </c>
      <c r="J6603">
        <v>-187.51689999999999</v>
      </c>
      <c r="K6603">
        <v>1.1044080000000001</v>
      </c>
      <c r="L6603">
        <v>19.62735</v>
      </c>
      <c r="M6603">
        <v>3.882323E-3</v>
      </c>
      <c r="N6603">
        <v>0</v>
      </c>
      <c r="O6603">
        <v>0.99988239999999995</v>
      </c>
      <c r="P6603">
        <v>-6.0013699999999899E-2</v>
      </c>
      <c r="Q6603">
        <v>1.7437979999999999E-2</v>
      </c>
      <c r="R6603">
        <v>0.99804519999999997</v>
      </c>
      <c r="S6603">
        <v>0.1730804</v>
      </c>
      <c r="T6603">
        <v>-0.17428969999999999</v>
      </c>
      <c r="U6603">
        <v>3.0200809999999998</v>
      </c>
      <c r="V6603">
        <v>-6.3859180000000001E-2</v>
      </c>
      <c r="W6603">
        <v>3.2298500000000001E-2</v>
      </c>
      <c r="X6603">
        <v>0.99743609999999905</v>
      </c>
      <c r="Y6603">
        <v>5.3244430000000002E-2</v>
      </c>
      <c r="Z6603">
        <v>-5.7525880000000001E-2</v>
      </c>
      <c r="AA6603">
        <v>0.99692309999999995</v>
      </c>
      <c r="AB6603">
        <v>37</v>
      </c>
      <c r="AC6603">
        <v>5.1899999999989101E-2</v>
      </c>
      <c r="AD6603">
        <v>-5.3786000000000098E-2</v>
      </c>
      <c r="AE6603">
        <v>0.55258999999999803</v>
      </c>
      <c r="AF6603">
        <v>4.9291139849885902E-2</v>
      </c>
      <c r="AG6603">
        <v>-5.3786000000000098E-2</v>
      </c>
      <c r="AH6603">
        <v>0.54764434550238705</v>
      </c>
      <c r="AI6603">
        <v>95.586782839671599</v>
      </c>
      <c r="AJ6603">
        <v>84.856908659449701</v>
      </c>
      <c r="AK6603">
        <v>0.55248246978925897</v>
      </c>
    </row>
    <row r="6604" spans="1:37" x14ac:dyDescent="0.2">
      <c r="A6604" t="str">
        <f>"20200111155730891"</f>
        <v>20200111155730891</v>
      </c>
      <c r="B6604" t="str">
        <f>"1578729450879897"</f>
        <v>1578729450879897</v>
      </c>
      <c r="C6604" t="s">
        <v>37</v>
      </c>
      <c r="D6604">
        <v>5.4114610000000001</v>
      </c>
      <c r="E6604">
        <v>0.54523789999999905</v>
      </c>
      <c r="F6604" t="s">
        <v>40</v>
      </c>
      <c r="G6604">
        <v>-187.46530000000001</v>
      </c>
      <c r="H6604">
        <v>1.0503370000000001</v>
      </c>
      <c r="I6604">
        <v>20.508959999999998</v>
      </c>
      <c r="J6604">
        <v>-187.51519999999999</v>
      </c>
      <c r="K6604">
        <v>1.1044229999999999</v>
      </c>
      <c r="L6604">
        <v>19.984100000000002</v>
      </c>
      <c r="M6604">
        <v>4.159902E-3</v>
      </c>
      <c r="N6604">
        <v>0</v>
      </c>
      <c r="O6604">
        <v>0.99988129999999997</v>
      </c>
      <c r="P6604">
        <v>-5.8982569999999998E-2</v>
      </c>
      <c r="Q6604">
        <v>1.36212E-2</v>
      </c>
      <c r="R6604">
        <v>0.99816609999999995</v>
      </c>
      <c r="S6604">
        <v>0.17686459999999901</v>
      </c>
      <c r="T6604">
        <v>-0.18520610000000001</v>
      </c>
      <c r="U6604">
        <v>3.0197449999999999</v>
      </c>
      <c r="V6604">
        <v>-6.3111219999999996E-2</v>
      </c>
      <c r="W6604">
        <v>2.8474119999999999E-2</v>
      </c>
      <c r="X6604">
        <v>0.99760020000000005</v>
      </c>
      <c r="Y6604">
        <v>5.420614E-2</v>
      </c>
      <c r="Z6604">
        <v>-6.1118699999999998E-2</v>
      </c>
      <c r="AA6604">
        <v>0.99665749999999997</v>
      </c>
      <c r="AB6604">
        <v>37</v>
      </c>
      <c r="AC6604">
        <v>4.98999999999796E-2</v>
      </c>
      <c r="AD6604">
        <v>-5.4085999999999801E-2</v>
      </c>
      <c r="AE6604">
        <v>0.52485999999999999</v>
      </c>
      <c r="AF6604">
        <v>4.7219035378092002E-2</v>
      </c>
      <c r="AG6604">
        <v>-5.4085999999999801E-2</v>
      </c>
      <c r="AH6604">
        <v>0.51959491777327604</v>
      </c>
      <c r="AI6604">
        <v>95.918451881049805</v>
      </c>
      <c r="AJ6604">
        <v>84.8074156946427</v>
      </c>
      <c r="AK6604">
        <v>0.52453199261232397</v>
      </c>
    </row>
    <row r="6605" spans="1:37" x14ac:dyDescent="0.2">
      <c r="A6605" t="str">
        <f>"20200111155730915"</f>
        <v>20200111155730915</v>
      </c>
      <c r="B6605" t="str">
        <f>"1578729450910153"</f>
        <v>1578729450910153</v>
      </c>
      <c r="C6605" t="s">
        <v>37</v>
      </c>
      <c r="D6605">
        <v>5.2127400000000002</v>
      </c>
      <c r="E6605">
        <v>0.545014</v>
      </c>
      <c r="F6605" t="s">
        <v>40</v>
      </c>
      <c r="G6605">
        <v>-187.46420000000001</v>
      </c>
      <c r="H6605">
        <v>1.047906</v>
      </c>
      <c r="I6605">
        <v>20.83558</v>
      </c>
      <c r="J6605">
        <v>-187.51329999999999</v>
      </c>
      <c r="K6605">
        <v>1.104452</v>
      </c>
      <c r="L6605">
        <v>20.36148</v>
      </c>
      <c r="M6605">
        <v>4.3862149999999997E-3</v>
      </c>
      <c r="N6605">
        <v>0</v>
      </c>
      <c r="O6605">
        <v>0.9998804</v>
      </c>
      <c r="P6605">
        <v>-5.6632969999999998E-2</v>
      </c>
      <c r="Q6605">
        <v>8.7699619999999992E-3</v>
      </c>
      <c r="R6605">
        <v>0.99835649999999998</v>
      </c>
      <c r="S6605">
        <v>0.18038940000000001</v>
      </c>
      <c r="T6605">
        <v>-0.20038220000000001</v>
      </c>
      <c r="U6605">
        <v>3.0188899999999999</v>
      </c>
      <c r="V6605">
        <v>-6.0995319999999999E-2</v>
      </c>
      <c r="W6605">
        <v>2.3612040000000001E-2</v>
      </c>
      <c r="X6605">
        <v>0.99785869999999999</v>
      </c>
      <c r="Y6605">
        <v>5.5137169999999999E-2</v>
      </c>
      <c r="Z6605">
        <v>-6.6120330000000005E-2</v>
      </c>
      <c r="AA6605">
        <v>0.99628709999999898</v>
      </c>
      <c r="AB6605">
        <v>37</v>
      </c>
      <c r="AC6605">
        <v>4.9099999999981402E-2</v>
      </c>
      <c r="AD6605">
        <v>-5.6545999999999902E-2</v>
      </c>
      <c r="AE6605">
        <v>0.47410000000000002</v>
      </c>
      <c r="AF6605">
        <v>4.6367202716221301E-2</v>
      </c>
      <c r="AG6605">
        <v>-5.6545999999999902E-2</v>
      </c>
      <c r="AH6605">
        <v>0.46772782617729702</v>
      </c>
      <c r="AI6605">
        <v>96.860022527813896</v>
      </c>
      <c r="AJ6605">
        <v>84.338601940911602</v>
      </c>
      <c r="AK6605">
        <v>0.47340963972469602</v>
      </c>
    </row>
    <row r="6606" spans="1:37" x14ac:dyDescent="0.2">
      <c r="A6606" t="str">
        <f>"20200111155730949"</f>
        <v>20200111155730949</v>
      </c>
      <c r="B6606" t="str">
        <f>"1578729450939433"</f>
        <v>1578729450939433</v>
      </c>
      <c r="C6606" t="s">
        <v>37</v>
      </c>
      <c r="D6606">
        <v>5.2368829999999997</v>
      </c>
      <c r="E6606">
        <v>0.50539650000000003</v>
      </c>
      <c r="F6606" t="s">
        <v>40</v>
      </c>
      <c r="G6606">
        <v>-187.46420000000001</v>
      </c>
      <c r="H6606">
        <v>1.046257</v>
      </c>
      <c r="I6606">
        <v>21.162589999999899</v>
      </c>
      <c r="J6606">
        <v>-187.51060000000001</v>
      </c>
      <c r="K6606">
        <v>1.1045739999999999</v>
      </c>
      <c r="L6606">
        <v>20.92624</v>
      </c>
      <c r="M6606">
        <v>4.5108370000000002E-3</v>
      </c>
      <c r="N6606">
        <v>0</v>
      </c>
      <c r="O6606">
        <v>0.99987999999999899</v>
      </c>
      <c r="P6606">
        <v>-5.3382010000000001E-2</v>
      </c>
      <c r="Q6606">
        <v>8.3388019999999993E-3</v>
      </c>
      <c r="R6606">
        <v>0.99853930000000002</v>
      </c>
      <c r="S6606">
        <v>0.18473819999999999</v>
      </c>
      <c r="T6606">
        <v>-0.21918789999999999</v>
      </c>
      <c r="U6606">
        <v>3.017334</v>
      </c>
      <c r="V6606">
        <v>-5.7877140000000001E-2</v>
      </c>
      <c r="W6606">
        <v>2.315774E-2</v>
      </c>
      <c r="X6606">
        <v>0.99805509999999997</v>
      </c>
      <c r="Y6606">
        <v>5.644764E-2</v>
      </c>
      <c r="Z6606">
        <v>-7.2325790000000001E-2</v>
      </c>
      <c r="AA6606">
        <v>0.99578239999999996</v>
      </c>
      <c r="AB6606">
        <v>37</v>
      </c>
      <c r="AC6606">
        <v>4.6400000000005499E-2</v>
      </c>
      <c r="AD6606">
        <v>-5.8316999999999897E-2</v>
      </c>
      <c r="AE6606">
        <v>0.23634999999999801</v>
      </c>
      <c r="AF6606">
        <v>4.2822938219213999E-2</v>
      </c>
      <c r="AG6606">
        <v>-5.8316999999999897E-2</v>
      </c>
      <c r="AH6606">
        <v>0.22345754931970199</v>
      </c>
      <c r="AI6606">
        <v>104.376093018893</v>
      </c>
      <c r="AJ6606">
        <v>79.151484509177607</v>
      </c>
      <c r="AK6606">
        <v>0.23487859177603601</v>
      </c>
    </row>
    <row r="6607" spans="1:37" x14ac:dyDescent="0.2">
      <c r="A6607" t="str">
        <f>"20200111155730970"</f>
        <v>20200111155730970</v>
      </c>
      <c r="B6607" t="str">
        <f>"1578729450959928"</f>
        <v>1578729450959928</v>
      </c>
      <c r="C6607" t="s">
        <v>37</v>
      </c>
      <c r="D6607">
        <v>5.1266769999999999</v>
      </c>
      <c r="E6607">
        <v>0.5035866</v>
      </c>
      <c r="F6607" t="s">
        <v>38</v>
      </c>
      <c r="G6607">
        <v>-188.4494</v>
      </c>
      <c r="H6607" s="1">
        <v>-2.2706770000000001E-6</v>
      </c>
      <c r="I6607">
        <v>44.284610000000001</v>
      </c>
      <c r="J6607">
        <v>-187.50909999999999</v>
      </c>
      <c r="K6607">
        <v>1.1046860000000001</v>
      </c>
      <c r="L6607">
        <v>21.276209999999999</v>
      </c>
      <c r="M6607">
        <v>4.423382E-3</v>
      </c>
      <c r="N6607">
        <v>0</v>
      </c>
      <c r="O6607">
        <v>0.9998804</v>
      </c>
      <c r="P6607">
        <v>-5.206384E-2</v>
      </c>
      <c r="Q6607">
        <v>1.0100080000000001E-2</v>
      </c>
      <c r="R6607">
        <v>0.9985927</v>
      </c>
      <c r="S6607">
        <v>-0.120529199999999</v>
      </c>
      <c r="T6607">
        <v>-0.1418229</v>
      </c>
      <c r="U6607">
        <v>2.9991150000000002</v>
      </c>
      <c r="V6607">
        <v>-5.6477439999999997E-2</v>
      </c>
      <c r="W6607">
        <v>2.4901019999999999E-2</v>
      </c>
      <c r="X6607">
        <v>0.99809329999999996</v>
      </c>
      <c r="Y6607">
        <v>-4.4531000000000001E-2</v>
      </c>
      <c r="Z6607">
        <v>-4.7192329999999998E-2</v>
      </c>
      <c r="AA6607">
        <v>0.99789269999999997</v>
      </c>
      <c r="AB6607">
        <v>37</v>
      </c>
      <c r="AC6607">
        <v>-0.94030000000000702</v>
      </c>
      <c r="AD6607">
        <v>-1.104688270677</v>
      </c>
      <c r="AE6607">
        <v>23.008400000000002</v>
      </c>
      <c r="AF6607">
        <v>-1.03968424583526</v>
      </c>
      <c r="AG6607">
        <v>-1.104688270677</v>
      </c>
      <c r="AH6607">
        <v>22.951196448921099</v>
      </c>
      <c r="AI6607">
        <v>92.752818294122704</v>
      </c>
      <c r="AJ6607">
        <v>92.593713255472096</v>
      </c>
      <c r="AK6607">
        <v>23.0012760068518</v>
      </c>
    </row>
    <row r="6608" spans="1:37" x14ac:dyDescent="0.2">
      <c r="A6608" t="str">
        <f>"20200111155730991"</f>
        <v>20200111155730991</v>
      </c>
      <c r="B6608" t="str">
        <f>"1578729450979449"</f>
        <v>1578729450979449</v>
      </c>
      <c r="C6608" t="s">
        <v>37</v>
      </c>
      <c r="D6608">
        <v>5.1385949999999996</v>
      </c>
      <c r="E6608">
        <v>0.50150189999999994</v>
      </c>
      <c r="F6608" t="s">
        <v>38</v>
      </c>
      <c r="G6608">
        <v>-188.74109999999999</v>
      </c>
      <c r="H6608" s="1">
        <v>-4.4716429999999998E-6</v>
      </c>
      <c r="I6608">
        <v>49.535730000000001</v>
      </c>
      <c r="J6608">
        <v>-187.5077</v>
      </c>
      <c r="K6608">
        <v>1.104824</v>
      </c>
      <c r="L6608">
        <v>21.62585</v>
      </c>
      <c r="M6608">
        <v>4.1779499999999997E-3</v>
      </c>
      <c r="N6608">
        <v>0</v>
      </c>
      <c r="O6608">
        <v>0.99988149999999998</v>
      </c>
      <c r="P6608">
        <v>-5.1930110000000002E-2</v>
      </c>
      <c r="Q6608">
        <v>1.2622950000000001E-2</v>
      </c>
      <c r="R6608">
        <v>0.99857090000000004</v>
      </c>
      <c r="S6608">
        <v>-0.130722</v>
      </c>
      <c r="T6608">
        <v>-0.117217899999999</v>
      </c>
      <c r="U6608">
        <v>2.998596</v>
      </c>
      <c r="V6608">
        <v>-5.6106830000000003E-2</v>
      </c>
      <c r="W6608">
        <v>2.7402619999999999E-2</v>
      </c>
      <c r="X6608">
        <v>0.99804869999999901</v>
      </c>
      <c r="Y6608">
        <v>-4.7693939999999997E-2</v>
      </c>
      <c r="Z6608">
        <v>-3.9019850000000002E-2</v>
      </c>
      <c r="AA6608">
        <v>0.99809959999999898</v>
      </c>
      <c r="AB6608">
        <v>37</v>
      </c>
      <c r="AC6608">
        <v>-1.2333999999999801</v>
      </c>
      <c r="AD6608">
        <v>-1.1048284716429999</v>
      </c>
      <c r="AE6608">
        <v>27.909880000000001</v>
      </c>
      <c r="AF6608">
        <v>-1.3479000518125199</v>
      </c>
      <c r="AG6608">
        <v>-1.1048284716429999</v>
      </c>
      <c r="AH6608">
        <v>27.860909280509301</v>
      </c>
      <c r="AI6608">
        <v>92.268232581017401</v>
      </c>
      <c r="AJ6608">
        <v>92.7697880981613</v>
      </c>
      <c r="AK6608">
        <v>27.9153675676713</v>
      </c>
    </row>
    <row r="6609" spans="1:37" x14ac:dyDescent="0.2">
      <c r="A6609" t="str">
        <f>"20200111155731013"</f>
        <v>20200111155731013</v>
      </c>
      <c r="B6609" t="str">
        <f>"1578729451009707"</f>
        <v>1578729451009707</v>
      </c>
      <c r="C6609" t="s">
        <v>37</v>
      </c>
      <c r="D6609">
        <v>5.1684779999999897</v>
      </c>
      <c r="E6609">
        <v>0.50093750000000004</v>
      </c>
      <c r="F6609" t="s">
        <v>38</v>
      </c>
      <c r="G6609">
        <v>-189.15610000000001</v>
      </c>
      <c r="H6609" s="1">
        <v>-2.5463679999999998E-6</v>
      </c>
      <c r="I6609">
        <v>55.219459999999998</v>
      </c>
      <c r="J6609">
        <v>-187.50659999999999</v>
      </c>
      <c r="K6609">
        <v>1.104997</v>
      </c>
      <c r="L6609">
        <v>21.991389999999999</v>
      </c>
      <c r="M6609">
        <v>3.6995359999999998E-3</v>
      </c>
      <c r="N6609">
        <v>0</v>
      </c>
      <c r="O6609">
        <v>0.99988349999999904</v>
      </c>
      <c r="P6609">
        <v>-5.2087349999999998E-2</v>
      </c>
      <c r="Q6609">
        <v>1.414751E-2</v>
      </c>
      <c r="R6609">
        <v>0.99854229999999999</v>
      </c>
      <c r="S6609">
        <v>-0.14709469999999999</v>
      </c>
      <c r="T6609">
        <v>-9.8594780000000007E-2</v>
      </c>
      <c r="U6609">
        <v>2.9978940000000001</v>
      </c>
      <c r="V6609">
        <v>-5.5798460000000001E-2</v>
      </c>
      <c r="W6609">
        <v>2.8900720000000001E-2</v>
      </c>
      <c r="X6609">
        <v>0.99802369999999996</v>
      </c>
      <c r="Y6609">
        <v>-5.2675800000000002E-2</v>
      </c>
      <c r="Z6609">
        <v>-3.282736E-2</v>
      </c>
      <c r="AA6609">
        <v>0.99807199999999996</v>
      </c>
      <c r="AB6609">
        <v>37</v>
      </c>
      <c r="AC6609">
        <v>-1.64950000000001</v>
      </c>
      <c r="AD6609">
        <v>-1.104999546368</v>
      </c>
      <c r="AE6609">
        <v>33.228070000000002</v>
      </c>
      <c r="AF6609">
        <v>-1.77047748261451</v>
      </c>
      <c r="AG6609">
        <v>-1.104999546368</v>
      </c>
      <c r="AH6609">
        <v>33.185130446377997</v>
      </c>
      <c r="AI6609">
        <v>91.904425636374995</v>
      </c>
      <c r="AJ6609">
        <v>93.053922148890607</v>
      </c>
      <c r="AK6609">
        <v>33.250691680881502</v>
      </c>
    </row>
    <row r="6610" spans="1:37" x14ac:dyDescent="0.2">
      <c r="A6610" t="str">
        <f>"20200111155731037"</f>
        <v>20200111155731037</v>
      </c>
      <c r="B6610" t="str">
        <f>"1578729451030201"</f>
        <v>1578729451030201</v>
      </c>
      <c r="C6610" t="s">
        <v>37</v>
      </c>
      <c r="D6610">
        <v>5.293647</v>
      </c>
      <c r="E6610">
        <v>0.49980209999999903</v>
      </c>
      <c r="F6610" t="s">
        <v>38</v>
      </c>
      <c r="G6610">
        <v>-189.3734</v>
      </c>
      <c r="H6610" s="1">
        <v>-4.0467410000000002E-6</v>
      </c>
      <c r="I6610">
        <v>58.806739999999998</v>
      </c>
      <c r="J6610">
        <v>-187.50579999999999</v>
      </c>
      <c r="K6610">
        <v>1.1052219999999999</v>
      </c>
      <c r="L6610">
        <v>22.374210000000001</v>
      </c>
      <c r="M6610">
        <v>2.9250859999999999E-3</v>
      </c>
      <c r="N6610">
        <v>0</v>
      </c>
      <c r="O6610">
        <v>0.99988600000000005</v>
      </c>
      <c r="P6610">
        <v>-5.3533270000000001E-2</v>
      </c>
      <c r="Q6610">
        <v>1.548482E-2</v>
      </c>
      <c r="R6610">
        <v>0.99844599999999994</v>
      </c>
      <c r="S6610">
        <v>-0.15200810000000001</v>
      </c>
      <c r="T6610">
        <v>-8.9976310000000004E-2</v>
      </c>
      <c r="U6610">
        <v>2.9977419999999899</v>
      </c>
      <c r="V6610">
        <v>-5.6487269999999999E-2</v>
      </c>
      <c r="W6610">
        <v>3.0204769999999999E-2</v>
      </c>
      <c r="X6610">
        <v>0.99794629999999995</v>
      </c>
      <c r="Y6610">
        <v>-5.3541159999999997E-2</v>
      </c>
      <c r="Z6610">
        <v>-2.9960250000000001E-2</v>
      </c>
      <c r="AA6610">
        <v>0.99811609999999995</v>
      </c>
      <c r="AB6610">
        <v>37</v>
      </c>
      <c r="AC6610">
        <v>-1.8676000000000099</v>
      </c>
      <c r="AD6610">
        <v>-1.105226046741</v>
      </c>
      <c r="AE6610">
        <v>36.43253</v>
      </c>
      <c r="AF6610">
        <v>-1.9723616034785301</v>
      </c>
      <c r="AG6610">
        <v>-1.105226046741</v>
      </c>
      <c r="AH6610">
        <v>36.393505903503701</v>
      </c>
      <c r="AI6610">
        <v>91.736920432409704</v>
      </c>
      <c r="AJ6610">
        <v>93.102134489576002</v>
      </c>
      <c r="AK6610">
        <v>36.463666942007201</v>
      </c>
    </row>
    <row r="6611" spans="1:37" x14ac:dyDescent="0.2">
      <c r="A6611" t="str">
        <f>"20200111155731059"</f>
        <v>20200111155731059</v>
      </c>
      <c r="B6611" t="str">
        <f>"1578729451049721"</f>
        <v>1578729451049721</v>
      </c>
      <c r="C6611" t="s">
        <v>37</v>
      </c>
      <c r="D6611">
        <v>5.2492900000000002</v>
      </c>
      <c r="E6611">
        <v>0.49796439999999997</v>
      </c>
      <c r="F6611" t="s">
        <v>38</v>
      </c>
      <c r="G6611">
        <v>-189.5179</v>
      </c>
      <c r="H6611" s="1">
        <v>-4.0106979999999999E-6</v>
      </c>
      <c r="I6611">
        <v>58.78246</v>
      </c>
      <c r="J6611">
        <v>-187.50569999999999</v>
      </c>
      <c r="K6611">
        <v>1.105461</v>
      </c>
      <c r="L6611">
        <v>22.72702</v>
      </c>
      <c r="M6611">
        <v>1.9352009999999999E-3</v>
      </c>
      <c r="N6611">
        <v>0</v>
      </c>
      <c r="O6611">
        <v>0.99988849999999996</v>
      </c>
      <c r="P6611">
        <v>-5.6355889999999999E-2</v>
      </c>
      <c r="Q6611">
        <v>1.6890570000000001E-2</v>
      </c>
      <c r="R6611">
        <v>0.99826789999999999</v>
      </c>
      <c r="S6611">
        <v>-0.16563420000000001</v>
      </c>
      <c r="T6611">
        <v>-9.0984229999999999E-2</v>
      </c>
      <c r="U6611">
        <v>2.9971919999999899</v>
      </c>
      <c r="V6611">
        <v>-5.8340540000000003E-2</v>
      </c>
      <c r="W6611">
        <v>3.1573120000000003E-2</v>
      </c>
      <c r="X6611">
        <v>0.9977973</v>
      </c>
      <c r="Y6611">
        <v>-5.7085950000000003E-2</v>
      </c>
      <c r="Z6611">
        <v>-3.029459E-2</v>
      </c>
      <c r="AA6611">
        <v>0.99790949999999901</v>
      </c>
      <c r="AB6611">
        <v>37</v>
      </c>
      <c r="AC6611">
        <v>-2.0122</v>
      </c>
      <c r="AD6611">
        <v>-1.105465010698</v>
      </c>
      <c r="AE6611">
        <v>36.055439999999997</v>
      </c>
      <c r="AF6611">
        <v>-2.0800291560822601</v>
      </c>
      <c r="AG6611">
        <v>-1.105465010698</v>
      </c>
      <c r="AH6611">
        <v>36.017724896603802</v>
      </c>
      <c r="AI6611">
        <v>91.755062134877903</v>
      </c>
      <c r="AJ6611">
        <v>93.305169012410005</v>
      </c>
      <c r="AK6611">
        <v>36.094668316906102</v>
      </c>
    </row>
    <row r="6612" spans="1:37" x14ac:dyDescent="0.2">
      <c r="A6612" t="str">
        <f>"20200111155731080"</f>
        <v>20200111155731080</v>
      </c>
      <c r="B6612" t="str">
        <f>"1578729451070216"</f>
        <v>1578729451070216</v>
      </c>
      <c r="C6612" t="s">
        <v>37</v>
      </c>
      <c r="D6612">
        <v>5.3831119999999997</v>
      </c>
      <c r="E6612">
        <v>0.49654549999999997</v>
      </c>
      <c r="F6612" t="s">
        <v>38</v>
      </c>
      <c r="G6612">
        <v>-189.8409</v>
      </c>
      <c r="H6612" s="1">
        <v>-8.5577449999999898E-8</v>
      </c>
      <c r="I6612">
        <v>59.766459999999903</v>
      </c>
      <c r="J6612">
        <v>-187.50630000000001</v>
      </c>
      <c r="K6612">
        <v>1.105718</v>
      </c>
      <c r="L6612">
        <v>23.081789999999899</v>
      </c>
      <c r="M6612">
        <v>6.5693390000000004E-4</v>
      </c>
      <c r="N6612">
        <v>0</v>
      </c>
      <c r="O6612">
        <v>0.9998901</v>
      </c>
      <c r="P6612">
        <v>-5.9656050000000002E-2</v>
      </c>
      <c r="Q6612">
        <v>1.805969E-2</v>
      </c>
      <c r="R6612">
        <v>0.99805560000000004</v>
      </c>
      <c r="S6612">
        <v>-0.18888849999999999</v>
      </c>
      <c r="T6612">
        <v>-8.9419009999999993E-2</v>
      </c>
      <c r="U6612">
        <v>2.9960629999999999</v>
      </c>
      <c r="V6612">
        <v>-6.0385540000000001E-2</v>
      </c>
      <c r="W6612">
        <v>3.2701210000000001E-2</v>
      </c>
      <c r="X6612">
        <v>0.99763930000000001</v>
      </c>
      <c r="Y6612">
        <v>-6.3548450000000006E-2</v>
      </c>
      <c r="Z6612">
        <v>-2.9772529999999998E-2</v>
      </c>
      <c r="AA6612">
        <v>0.99753459999999905</v>
      </c>
      <c r="AB6612">
        <v>36</v>
      </c>
      <c r="AC6612">
        <v>-2.3345999999999898</v>
      </c>
      <c r="AD6612">
        <v>-1.10571808557745</v>
      </c>
      <c r="AE6612">
        <v>36.684669999999997</v>
      </c>
      <c r="AF6612">
        <v>-2.35656926197009</v>
      </c>
      <c r="AG6612">
        <v>-1.10571808557745</v>
      </c>
      <c r="AH6612">
        <v>36.649966456491903</v>
      </c>
      <c r="AI6612">
        <v>91.724512582161793</v>
      </c>
      <c r="AJ6612">
        <v>93.679017150438796</v>
      </c>
      <c r="AK6612">
        <v>36.742292694294598</v>
      </c>
    </row>
    <row r="6613" spans="1:37" x14ac:dyDescent="0.2">
      <c r="A6613" t="str">
        <f>"20200111155731103"</f>
        <v>20200111155731103</v>
      </c>
      <c r="B6613" t="str">
        <f>"1578729451099497"</f>
        <v>1578729451099497</v>
      </c>
      <c r="C6613" t="s">
        <v>37</v>
      </c>
      <c r="D6613">
        <v>5.2278630000000001</v>
      </c>
      <c r="E6613">
        <v>0.49523709999999999</v>
      </c>
      <c r="F6613" t="s">
        <v>38</v>
      </c>
      <c r="G6613">
        <v>-190.0745</v>
      </c>
      <c r="H6613" s="1">
        <v>-6.7392009999999995E-8</v>
      </c>
      <c r="I6613">
        <v>59.699969999999901</v>
      </c>
      <c r="J6613">
        <v>-187.50749999999999</v>
      </c>
      <c r="K6613">
        <v>1.1059589999999999</v>
      </c>
      <c r="L6613">
        <v>23.444210000000002</v>
      </c>
      <c r="M6613">
        <v>-8.9081529999999998E-4</v>
      </c>
      <c r="N6613">
        <v>0</v>
      </c>
      <c r="O6613">
        <v>0.9998899</v>
      </c>
      <c r="P6613">
        <v>-6.3260919999999998E-2</v>
      </c>
      <c r="Q6613">
        <v>1.9715570000000002E-2</v>
      </c>
      <c r="R6613">
        <v>0.99780230000000003</v>
      </c>
      <c r="S6613">
        <v>-0.2100525</v>
      </c>
      <c r="T6613">
        <v>-9.0434669999999995E-2</v>
      </c>
      <c r="U6613">
        <v>2.9949340000000002</v>
      </c>
      <c r="V6613">
        <v>-6.2468959999999997E-2</v>
      </c>
      <c r="W6613">
        <v>3.4315819999999997E-2</v>
      </c>
      <c r="X6613">
        <v>0.99745680000000003</v>
      </c>
      <c r="Y6613">
        <v>-6.9043599999999997E-2</v>
      </c>
      <c r="Z6613">
        <v>-3.0109150000000001E-2</v>
      </c>
      <c r="AA6613">
        <v>0.99715919999999902</v>
      </c>
      <c r="AB6613">
        <v>36</v>
      </c>
      <c r="AC6613">
        <v>-2.5670000000000002</v>
      </c>
      <c r="AD6613">
        <v>-1.1059590673919999</v>
      </c>
      <c r="AE6613">
        <v>36.255759999999903</v>
      </c>
      <c r="AF6613">
        <v>-2.5323536089064702</v>
      </c>
      <c r="AG6613">
        <v>-1.1059590673919999</v>
      </c>
      <c r="AH6613">
        <v>36.224493229167699</v>
      </c>
      <c r="AI6613">
        <v>91.744482113271999</v>
      </c>
      <c r="AJ6613">
        <v>93.998882911401097</v>
      </c>
      <c r="AK6613">
        <v>36.329738093871597</v>
      </c>
    </row>
    <row r="6614" spans="1:37" x14ac:dyDescent="0.2">
      <c r="A6614" t="str">
        <f>"20200111155731127"</f>
        <v>20200111155731127</v>
      </c>
      <c r="B6614" t="str">
        <f>"1578729451119879"</f>
        <v>1578729451119879</v>
      </c>
      <c r="C6614" t="s">
        <v>37</v>
      </c>
      <c r="D6614">
        <v>5.3792439999999999</v>
      </c>
      <c r="E6614">
        <v>0.49528279999999902</v>
      </c>
      <c r="F6614" t="s">
        <v>38</v>
      </c>
      <c r="G6614">
        <v>-190.369</v>
      </c>
      <c r="H6614" s="1">
        <v>-4.7472470000000001E-7</v>
      </c>
      <c r="I6614">
        <v>60.466819999999998</v>
      </c>
      <c r="J6614">
        <v>-187.50970000000001</v>
      </c>
      <c r="K6614">
        <v>1.106185</v>
      </c>
      <c r="L6614">
        <v>23.823360000000001</v>
      </c>
      <c r="M6614">
        <v>-2.7604399999999999E-3</v>
      </c>
      <c r="N6614">
        <v>0</v>
      </c>
      <c r="O6614">
        <v>0.99988650000000001</v>
      </c>
      <c r="P6614">
        <v>-6.5865229999999997E-2</v>
      </c>
      <c r="Q6614">
        <v>2.1463800000000002E-2</v>
      </c>
      <c r="R6614">
        <v>0.99759759999999997</v>
      </c>
      <c r="S6614">
        <v>-0.23138429999999999</v>
      </c>
      <c r="T6614">
        <v>-8.942986E-2</v>
      </c>
      <c r="U6614">
        <v>2.9937130000000001</v>
      </c>
      <c r="V6614">
        <v>-6.3232319999999995E-2</v>
      </c>
      <c r="W6614">
        <v>3.6027089999999998E-2</v>
      </c>
      <c r="X6614">
        <v>0.99734840000000002</v>
      </c>
      <c r="Y6614">
        <v>-7.4273240000000004E-2</v>
      </c>
      <c r="Z6614">
        <v>-2.9773460000000002E-2</v>
      </c>
      <c r="AA6614">
        <v>0.99679340000000005</v>
      </c>
      <c r="AB6614">
        <v>36</v>
      </c>
      <c r="AC6614">
        <v>-2.8593000000000099</v>
      </c>
      <c r="AD6614">
        <v>-1.1061854747247</v>
      </c>
      <c r="AE6614">
        <v>36.643459999999997</v>
      </c>
      <c r="AF6614">
        <v>-2.7556299172145602</v>
      </c>
      <c r="AG6614">
        <v>-1.1061854747247</v>
      </c>
      <c r="AH6614">
        <v>36.618045954064499</v>
      </c>
      <c r="AI6614">
        <v>91.725432032586497</v>
      </c>
      <c r="AJ6614">
        <v>94.303586639713004</v>
      </c>
      <c r="AK6614">
        <v>36.738242092390898</v>
      </c>
    </row>
    <row r="6615" spans="1:37" x14ac:dyDescent="0.2">
      <c r="A6615" t="str">
        <f>"20200111155731170"</f>
        <v>20200111155731170</v>
      </c>
      <c r="B6615" t="str">
        <f>"1578729451159894"</f>
        <v>1578729451159894</v>
      </c>
      <c r="C6615" t="s">
        <v>37</v>
      </c>
      <c r="D6615">
        <v>5.1558449999999896</v>
      </c>
      <c r="E6615">
        <v>0.51991809999999905</v>
      </c>
      <c r="F6615" t="s">
        <v>38</v>
      </c>
      <c r="G6615">
        <v>-190.48699999999999</v>
      </c>
      <c r="H6615" s="1">
        <v>-7.7918650000000004E-7</v>
      </c>
      <c r="I6615">
        <v>61.103349999999999</v>
      </c>
      <c r="J6615">
        <v>-187.5162</v>
      </c>
      <c r="K6615">
        <v>1.1065499999999999</v>
      </c>
      <c r="L6615">
        <v>24.531099999999999</v>
      </c>
      <c r="M6615">
        <v>-6.8605640000000004E-3</v>
      </c>
      <c r="N6615">
        <v>0</v>
      </c>
      <c r="O6615">
        <v>0.99986679999999994</v>
      </c>
      <c r="P6615">
        <v>-6.8519830000000004E-2</v>
      </c>
      <c r="Q6615">
        <v>2.4042819999999999E-2</v>
      </c>
      <c r="R6615">
        <v>0.99736000000000002</v>
      </c>
      <c r="S6615">
        <v>-0.23905940000000001</v>
      </c>
      <c r="T6615">
        <v>-8.8819739999999994E-2</v>
      </c>
      <c r="U6615">
        <v>2.993347</v>
      </c>
      <c r="V6615">
        <v>-6.1838219999999999E-2</v>
      </c>
      <c r="W6615">
        <v>3.8556390000000003E-2</v>
      </c>
      <c r="X6615">
        <v>0.99734120000000004</v>
      </c>
      <c r="Y6615">
        <v>-7.2733899999999893E-2</v>
      </c>
      <c r="Z6615">
        <v>-2.957197E-2</v>
      </c>
      <c r="AA6615">
        <v>0.99691289999999999</v>
      </c>
      <c r="AB6615">
        <v>36</v>
      </c>
      <c r="AC6615">
        <v>-2.9707999999999899</v>
      </c>
      <c r="AD6615">
        <v>-1.1065507791864999</v>
      </c>
      <c r="AE6615">
        <v>36.572249999999997</v>
      </c>
      <c r="AF6615">
        <v>-2.7173249946410398</v>
      </c>
      <c r="AG6615">
        <v>-1.1065507791864999</v>
      </c>
      <c r="AH6615">
        <v>36.558524246051199</v>
      </c>
      <c r="AI6615">
        <v>91.728928826853803</v>
      </c>
      <c r="AJ6615">
        <v>94.250868701162503</v>
      </c>
      <c r="AK6615">
        <v>36.676068557065001</v>
      </c>
    </row>
    <row r="6616" spans="1:37" x14ac:dyDescent="0.2">
      <c r="A6616" t="str">
        <f>"20200111155731194"</f>
        <v>20200111155731194</v>
      </c>
      <c r="B6616" t="str">
        <f>"1578729451190151"</f>
        <v>1578729451190151</v>
      </c>
      <c r="C6616" t="s">
        <v>37</v>
      </c>
      <c r="D6616">
        <v>5.1809769999999897</v>
      </c>
      <c r="E6616">
        <v>0.51902760000000003</v>
      </c>
      <c r="F6616" t="s">
        <v>38</v>
      </c>
      <c r="G6616">
        <v>-187.9684</v>
      </c>
      <c r="H6616" s="1">
        <v>-8.6458519999999899E-7</v>
      </c>
      <c r="I6616">
        <v>50.600250000000003</v>
      </c>
      <c r="J6616">
        <v>-187.52090000000001</v>
      </c>
      <c r="K6616">
        <v>1.106716</v>
      </c>
      <c r="L6616">
        <v>24.897860000000001</v>
      </c>
      <c r="M6616">
        <v>-9.2270249999999998E-3</v>
      </c>
      <c r="N6616">
        <v>0</v>
      </c>
      <c r="O6616">
        <v>0.99984779999999995</v>
      </c>
      <c r="P6616">
        <v>-6.9176050000000003E-2</v>
      </c>
      <c r="Q6616">
        <v>2.4433759999999999E-2</v>
      </c>
      <c r="R6616">
        <v>0.9973052</v>
      </c>
      <c r="S6616">
        <v>-5.2169799999999898E-2</v>
      </c>
      <c r="T6616">
        <v>-0.12765499999999999</v>
      </c>
      <c r="U6616">
        <v>3.0074160000000001</v>
      </c>
      <c r="V6616">
        <v>-6.01509E-2</v>
      </c>
      <c r="W6616">
        <v>3.8931849999999997E-2</v>
      </c>
      <c r="X6616">
        <v>0.99742980000000003</v>
      </c>
      <c r="Y6616">
        <v>-8.1014559999999999E-3</v>
      </c>
      <c r="Z6616">
        <v>-4.2401960000000002E-2</v>
      </c>
      <c r="AA6616">
        <v>0.99906779999999995</v>
      </c>
      <c r="AB6616">
        <v>36</v>
      </c>
      <c r="AC6616">
        <v>-0.44749999999999002</v>
      </c>
      <c r="AD6616">
        <v>-1.1067168645851999</v>
      </c>
      <c r="AE6616">
        <v>25.702390000000001</v>
      </c>
      <c r="AF6616">
        <v>-0.20990928097794601</v>
      </c>
      <c r="AG6616">
        <v>-1.1067168645851999</v>
      </c>
      <c r="AH6616">
        <v>25.657868100818899</v>
      </c>
      <c r="AI6616">
        <v>92.469761165158204</v>
      </c>
      <c r="AJ6616">
        <v>90.468731366256506</v>
      </c>
      <c r="AK6616">
        <v>25.6825831956915</v>
      </c>
    </row>
    <row r="6617" spans="1:37" x14ac:dyDescent="0.2">
      <c r="A6617" t="str">
        <f>"20200111155731215"</f>
        <v>20200111155731215</v>
      </c>
      <c r="B6617" t="str">
        <f>"1578729451209543"</f>
        <v>1578729451209543</v>
      </c>
      <c r="C6617" t="s">
        <v>37</v>
      </c>
      <c r="D6617">
        <v>5.1908379999999896</v>
      </c>
      <c r="E6617">
        <v>0.51756210000000002</v>
      </c>
      <c r="F6617" t="s">
        <v>38</v>
      </c>
      <c r="G6617">
        <v>-188.00110000000001</v>
      </c>
      <c r="H6617" s="1">
        <v>-4.0806590000000001E-6</v>
      </c>
      <c r="I6617">
        <v>48.318390000000001</v>
      </c>
      <c r="J6617">
        <v>-187.5265</v>
      </c>
      <c r="K6617">
        <v>1.1068450000000001</v>
      </c>
      <c r="L6617">
        <v>25.257079999999998</v>
      </c>
      <c r="M6617">
        <v>-1.1649130000000001E-2</v>
      </c>
      <c r="N6617">
        <v>0</v>
      </c>
      <c r="O6617">
        <v>0.99982249999999995</v>
      </c>
      <c r="P6617">
        <v>-7.1057380000000003E-2</v>
      </c>
      <c r="Q6617">
        <v>2.3910440000000002E-2</v>
      </c>
      <c r="R6617">
        <v>0.99718560000000001</v>
      </c>
      <c r="S6617">
        <v>-6.1660769999999997E-2</v>
      </c>
      <c r="T6617">
        <v>-0.1421075</v>
      </c>
      <c r="U6617">
        <v>3.0072939999999999</v>
      </c>
      <c r="V6617">
        <v>-5.9626110000000003E-2</v>
      </c>
      <c r="W6617">
        <v>3.8391040000000001E-2</v>
      </c>
      <c r="X6617">
        <v>0.99748219999999999</v>
      </c>
      <c r="Y6617">
        <v>-8.8272369999999999E-3</v>
      </c>
      <c r="Z6617">
        <v>-4.7190950000000002E-2</v>
      </c>
      <c r="AA6617">
        <v>0.99884689999999998</v>
      </c>
      <c r="AB6617">
        <v>36</v>
      </c>
      <c r="AC6617">
        <v>-0.47460000000000901</v>
      </c>
      <c r="AD6617">
        <v>-1.1068490806589999</v>
      </c>
      <c r="AE6617">
        <v>23.061309999999999</v>
      </c>
      <c r="AF6617">
        <v>-0.205421124667413</v>
      </c>
      <c r="AG6617">
        <v>-1.1068490806589999</v>
      </c>
      <c r="AH6617">
        <v>23.012285273943601</v>
      </c>
      <c r="AI6617">
        <v>92.753591087649198</v>
      </c>
      <c r="AJ6617">
        <v>90.511442071954306</v>
      </c>
      <c r="AK6617">
        <v>23.0398043883878</v>
      </c>
    </row>
    <row r="6618" spans="1:37" x14ac:dyDescent="0.2">
      <c r="A6618" t="str">
        <f>"20200111155731238"</f>
        <v>20200111155731238</v>
      </c>
      <c r="B6618" t="str">
        <f>"1578729451230028"</f>
        <v>1578729451230028</v>
      </c>
      <c r="C6618" t="s">
        <v>37</v>
      </c>
      <c r="D6618">
        <v>5.2268210000000002</v>
      </c>
      <c r="E6618">
        <v>0.51675090000000001</v>
      </c>
      <c r="F6618" t="s">
        <v>38</v>
      </c>
      <c r="G6618">
        <v>-188.12180000000001</v>
      </c>
      <c r="H6618" s="1">
        <v>-3.8939990000000001E-6</v>
      </c>
      <c r="I6618">
        <v>47.933160000000001</v>
      </c>
      <c r="J6618">
        <v>-187.53319999999999</v>
      </c>
      <c r="K6618">
        <v>1.1069450000000001</v>
      </c>
      <c r="L6618">
        <v>25.626739999999899</v>
      </c>
      <c r="M6618">
        <v>-1.421365E-2</v>
      </c>
      <c r="N6618">
        <v>0</v>
      </c>
      <c r="O6618">
        <v>0.99978940000000005</v>
      </c>
      <c r="P6618">
        <v>-7.3914809999999997E-2</v>
      </c>
      <c r="Q6618">
        <v>2.2295969999999998E-2</v>
      </c>
      <c r="R6618">
        <v>0.99701530000000005</v>
      </c>
      <c r="S6618">
        <v>-7.8918459999999996E-2</v>
      </c>
      <c r="T6618">
        <v>-0.14674519999999999</v>
      </c>
      <c r="U6618">
        <v>3.00637799999999</v>
      </c>
      <c r="V6618">
        <v>-5.9927059999999997E-2</v>
      </c>
      <c r="W6618">
        <v>3.6758079999999999E-2</v>
      </c>
      <c r="X6618">
        <v>0.99752580000000002</v>
      </c>
      <c r="Y6618">
        <v>-1.199715E-2</v>
      </c>
      <c r="Z6618">
        <v>-4.873574E-2</v>
      </c>
      <c r="AA6618">
        <v>0.99873969999999901</v>
      </c>
      <c r="AB6618">
        <v>36</v>
      </c>
      <c r="AC6618">
        <v>-0.588600000000013</v>
      </c>
      <c r="AD6618">
        <v>-1.106948893999</v>
      </c>
      <c r="AE6618">
        <v>22.306419999999999</v>
      </c>
      <c r="AF6618">
        <v>-0.27078376651823299</v>
      </c>
      <c r="AG6618">
        <v>-1.106948893999</v>
      </c>
      <c r="AH6618">
        <v>22.257759193098199</v>
      </c>
      <c r="AI6618">
        <v>92.846944515142994</v>
      </c>
      <c r="AJ6618">
        <v>90.697015431066006</v>
      </c>
      <c r="AK6618">
        <v>22.286913290092102</v>
      </c>
    </row>
    <row r="6619" spans="1:37" x14ac:dyDescent="0.2">
      <c r="A6619" t="str">
        <f>"20200111155731261"</f>
        <v>20200111155731261</v>
      </c>
      <c r="B6619" t="str">
        <f>"1578729451249547"</f>
        <v>1578729451249547</v>
      </c>
      <c r="C6619" t="s">
        <v>37</v>
      </c>
      <c r="D6619">
        <v>5.2333999999999996</v>
      </c>
      <c r="E6619">
        <v>0.51617559999999996</v>
      </c>
      <c r="F6619" t="s">
        <v>38</v>
      </c>
      <c r="G6619">
        <v>-188.21080000000001</v>
      </c>
      <c r="H6619" s="1">
        <v>-3.6423599999999998E-6</v>
      </c>
      <c r="I6619">
        <v>47.383379999999903</v>
      </c>
      <c r="J6619">
        <v>-187.54069999999999</v>
      </c>
      <c r="K6619">
        <v>1.1070199999999999</v>
      </c>
      <c r="L6619">
        <v>25.979949999999999</v>
      </c>
      <c r="M6619">
        <v>-1.671272E-2</v>
      </c>
      <c r="N6619">
        <v>0</v>
      </c>
      <c r="O6619">
        <v>0.99975069999999999</v>
      </c>
      <c r="P6619">
        <v>-7.7092350000000004E-2</v>
      </c>
      <c r="Q6619">
        <v>2.086499E-2</v>
      </c>
      <c r="R6619">
        <v>0.99680559999999996</v>
      </c>
      <c r="S6619">
        <v>-9.3597410000000006E-2</v>
      </c>
      <c r="T6619">
        <v>-0.15291389999999999</v>
      </c>
      <c r="U6619">
        <v>3.0054630000000002</v>
      </c>
      <c r="V6619">
        <v>-6.0612779999999998E-2</v>
      </c>
      <c r="W6619">
        <v>3.530991E-2</v>
      </c>
      <c r="X6619">
        <v>0.9975366</v>
      </c>
      <c r="Y6619">
        <v>-1.4376369999999999E-2</v>
      </c>
      <c r="Z6619">
        <v>-5.0787409999999998E-2</v>
      </c>
      <c r="AA6619">
        <v>0.99860599999999999</v>
      </c>
      <c r="AB6619">
        <v>36</v>
      </c>
      <c r="AC6619">
        <v>-0.67010000000001901</v>
      </c>
      <c r="AD6619">
        <v>-1.1070236423599999</v>
      </c>
      <c r="AE6619">
        <v>21.40343</v>
      </c>
      <c r="AF6619">
        <v>-0.31142534871598099</v>
      </c>
      <c r="AG6619">
        <v>-1.1070236423599999</v>
      </c>
      <c r="AH6619">
        <v>21.354569815055701</v>
      </c>
      <c r="AI6619">
        <v>92.967249173253094</v>
      </c>
      <c r="AJ6619">
        <v>90.835516400317502</v>
      </c>
      <c r="AK6619">
        <v>21.3855123641838</v>
      </c>
    </row>
    <row r="6620" spans="1:37" x14ac:dyDescent="0.2">
      <c r="A6620" t="str">
        <f>"20200111155731282"</f>
        <v>20200111155731282</v>
      </c>
      <c r="B6620" t="str">
        <f>"1578729451270044"</f>
        <v>1578729451270044</v>
      </c>
      <c r="C6620" t="s">
        <v>37</v>
      </c>
      <c r="D6620">
        <v>5.1190989999999896</v>
      </c>
      <c r="E6620">
        <v>0.51623189999999997</v>
      </c>
      <c r="F6620" t="s">
        <v>38</v>
      </c>
      <c r="G6620">
        <v>-188.28819999999999</v>
      </c>
      <c r="H6620" s="1">
        <v>-3.3932199999999899E-6</v>
      </c>
      <c r="I6620">
        <v>46.83464</v>
      </c>
      <c r="J6620">
        <v>-187.5488</v>
      </c>
      <c r="K6620">
        <v>1.107078</v>
      </c>
      <c r="L6620">
        <v>26.324549999999999</v>
      </c>
      <c r="M6620">
        <v>-1.917081E-2</v>
      </c>
      <c r="N6620">
        <v>0</v>
      </c>
      <c r="O6620">
        <v>0.999706599999999</v>
      </c>
      <c r="P6620">
        <v>-8.0641599999999994E-2</v>
      </c>
      <c r="Q6620">
        <v>2.0723800000000001E-2</v>
      </c>
      <c r="R6620">
        <v>0.99652770000000002</v>
      </c>
      <c r="S6620">
        <v>-0.107696499999999</v>
      </c>
      <c r="T6620">
        <v>-0.15949269999999999</v>
      </c>
      <c r="U6620">
        <v>3.0046080000000002</v>
      </c>
      <c r="V6620">
        <v>-6.1716630000000001E-2</v>
      </c>
      <c r="W6620">
        <v>3.5151219999999997E-2</v>
      </c>
      <c r="X6620">
        <v>0.99747459999999899</v>
      </c>
      <c r="Y6620">
        <v>-1.6603299999999901E-2</v>
      </c>
      <c r="Z6620">
        <v>-5.2972869999999998E-2</v>
      </c>
      <c r="AA6620">
        <v>0.99845790000000001</v>
      </c>
      <c r="AB6620">
        <v>36</v>
      </c>
      <c r="AC6620">
        <v>-0.73939999999998895</v>
      </c>
      <c r="AD6620">
        <v>-1.1070813932200001</v>
      </c>
      <c r="AE6620">
        <v>20.510090000000002</v>
      </c>
      <c r="AF6620">
        <v>-0.34502200946648898</v>
      </c>
      <c r="AG6620">
        <v>-1.1070813932200001</v>
      </c>
      <c r="AH6620">
        <v>20.460959486996298</v>
      </c>
      <c r="AI6620">
        <v>93.096644147433096</v>
      </c>
      <c r="AJ6620">
        <v>90.966055949527203</v>
      </c>
      <c r="AK6620">
        <v>20.4937925364422</v>
      </c>
    </row>
    <row r="6621" spans="1:37" x14ac:dyDescent="0.2">
      <c r="A6621" t="str">
        <f>"20200111155731305"</f>
        <v>20200111155731305</v>
      </c>
      <c r="B6621" t="str">
        <f>"1578729451300300"</f>
        <v>1578729451300300</v>
      </c>
      <c r="C6621" t="s">
        <v>37</v>
      </c>
      <c r="D6621">
        <v>5.1578520000000001</v>
      </c>
      <c r="E6621">
        <v>0.51666679999999998</v>
      </c>
      <c r="F6621" t="s">
        <v>38</v>
      </c>
      <c r="G6621">
        <v>-188.3708</v>
      </c>
      <c r="H6621" s="1">
        <v>-3.5490689999999998E-6</v>
      </c>
      <c r="I6621">
        <v>47.232089999999999</v>
      </c>
      <c r="J6621">
        <v>-187.55840000000001</v>
      </c>
      <c r="K6621">
        <v>1.107121</v>
      </c>
      <c r="L6621">
        <v>26.69275</v>
      </c>
      <c r="M6621">
        <v>-2.1803840000000001E-2</v>
      </c>
      <c r="N6621">
        <v>0</v>
      </c>
      <c r="O6621">
        <v>0.99965269999999995</v>
      </c>
      <c r="P6621">
        <v>-8.4170709999999996E-2</v>
      </c>
      <c r="Q6621">
        <v>2.1387360000000001E-2</v>
      </c>
      <c r="R6621">
        <v>0.99622180000000005</v>
      </c>
      <c r="S6621">
        <v>-0.1181183</v>
      </c>
      <c r="T6621">
        <v>-0.15907689999999999</v>
      </c>
      <c r="U6621">
        <v>3.0042110000000002</v>
      </c>
      <c r="V6621">
        <v>-6.2629799999999999E-2</v>
      </c>
      <c r="W6621">
        <v>3.5799789999999998E-2</v>
      </c>
      <c r="X6621">
        <v>0.99739460000000002</v>
      </c>
      <c r="Y6621">
        <v>-1.74335999999999E-2</v>
      </c>
      <c r="Z6621">
        <v>-5.2833999999999999E-2</v>
      </c>
      <c r="AA6621">
        <v>0.99845110000000004</v>
      </c>
      <c r="AB6621">
        <v>36</v>
      </c>
      <c r="AC6621">
        <v>-0.81239999999999601</v>
      </c>
      <c r="AD6621">
        <v>-1.107124549069</v>
      </c>
      <c r="AE6621">
        <v>20.539339999999999</v>
      </c>
      <c r="AF6621">
        <v>-0.36326745611872502</v>
      </c>
      <c r="AG6621">
        <v>-1.107124549069</v>
      </c>
      <c r="AH6621">
        <v>20.492722972426101</v>
      </c>
      <c r="AI6621">
        <v>93.091927887202203</v>
      </c>
      <c r="AJ6621">
        <v>91.015556223708998</v>
      </c>
      <c r="AK6621">
        <v>20.5258223425135</v>
      </c>
    </row>
    <row r="6622" spans="1:37" x14ac:dyDescent="0.2">
      <c r="A6622" t="str">
        <f>"20200111155731327"</f>
        <v>20200111155731327</v>
      </c>
      <c r="B6622" t="str">
        <f>"1578729451319819"</f>
        <v>1578729451319819</v>
      </c>
      <c r="C6622" t="s">
        <v>37</v>
      </c>
      <c r="D6622">
        <v>5.1430709999999999</v>
      </c>
      <c r="E6622">
        <v>0.51717380000000002</v>
      </c>
      <c r="F6622" t="s">
        <v>38</v>
      </c>
      <c r="G6622">
        <v>-188.4871</v>
      </c>
      <c r="H6622" s="1">
        <v>-4.2483769999999901E-6</v>
      </c>
      <c r="I6622">
        <v>48.910269999999997</v>
      </c>
      <c r="J6622">
        <v>-187.5686</v>
      </c>
      <c r="K6622">
        <v>1.107143</v>
      </c>
      <c r="L6622">
        <v>27.04974</v>
      </c>
      <c r="M6622">
        <v>-2.434774E-2</v>
      </c>
      <c r="N6622">
        <v>0</v>
      </c>
      <c r="O6622">
        <v>0.99959399999999998</v>
      </c>
      <c r="P6622">
        <v>-8.7507340000000003E-2</v>
      </c>
      <c r="Q6622">
        <v>2.2346850000000001E-2</v>
      </c>
      <c r="R6622">
        <v>0.99591319999999905</v>
      </c>
      <c r="S6622">
        <v>-0.1255646</v>
      </c>
      <c r="T6622">
        <v>-0.1496912</v>
      </c>
      <c r="U6622">
        <v>3.0039669999999998</v>
      </c>
      <c r="V6622">
        <v>-6.3440869999999996E-2</v>
      </c>
      <c r="W6622">
        <v>3.6746639999999997E-2</v>
      </c>
      <c r="X6622">
        <v>0.99730889999999905</v>
      </c>
      <c r="Y6622">
        <v>-1.7369909999999999E-2</v>
      </c>
      <c r="Z6622">
        <v>-4.9721889999999998E-2</v>
      </c>
      <c r="AA6622">
        <v>0.99861200000000006</v>
      </c>
      <c r="AB6622">
        <v>36</v>
      </c>
      <c r="AC6622">
        <v>-0.91849999999999399</v>
      </c>
      <c r="AD6622">
        <v>-1.107147248377</v>
      </c>
      <c r="AE6622">
        <v>21.860530000000001</v>
      </c>
      <c r="AF6622">
        <v>-0.38492924452119598</v>
      </c>
      <c r="AG6622">
        <v>-1.107147248377</v>
      </c>
      <c r="AH6622">
        <v>21.820542552058999</v>
      </c>
      <c r="AI6622">
        <v>92.904174804806203</v>
      </c>
      <c r="AJ6622">
        <v>91.010631780729497</v>
      </c>
      <c r="AK6622">
        <v>21.852002718723401</v>
      </c>
    </row>
    <row r="6623" spans="1:37" x14ac:dyDescent="0.2">
      <c r="A6623" t="str">
        <f>"20200111155731350"</f>
        <v>20200111155731350</v>
      </c>
      <c r="B6623" t="str">
        <f>"1578729451339340"</f>
        <v>1578729451339340</v>
      </c>
      <c r="C6623" t="s">
        <v>37</v>
      </c>
      <c r="D6623">
        <v>5.0940149999999997</v>
      </c>
      <c r="E6623">
        <v>0.51801319999999995</v>
      </c>
      <c r="F6623" t="s">
        <v>38</v>
      </c>
      <c r="G6623">
        <v>-188.58019999999999</v>
      </c>
      <c r="H6623" s="1">
        <v>-5.6989290000000001E-7</v>
      </c>
      <c r="I6623">
        <v>50.212649999999996</v>
      </c>
      <c r="J6623">
        <v>-187.5797</v>
      </c>
      <c r="K6623">
        <v>1.1071530000000001</v>
      </c>
      <c r="L6623">
        <v>27.4057</v>
      </c>
      <c r="M6623">
        <v>-2.6864949999999999E-2</v>
      </c>
      <c r="N6623">
        <v>0</v>
      </c>
      <c r="O6623">
        <v>0.99952960000000002</v>
      </c>
      <c r="P6623">
        <v>-9.0519349999999998E-2</v>
      </c>
      <c r="Q6623">
        <v>2.2159350000000001E-2</v>
      </c>
      <c r="R6623">
        <v>0.99564809999999904</v>
      </c>
      <c r="S6623">
        <v>-0.13119510000000001</v>
      </c>
      <c r="T6623">
        <v>-0.1435854</v>
      </c>
      <c r="U6623">
        <v>3.0039980000000002</v>
      </c>
      <c r="V6623">
        <v>-6.3945870000000002E-2</v>
      </c>
      <c r="W6623">
        <v>3.6550319999999997E-2</v>
      </c>
      <c r="X6623">
        <v>0.99728379999999905</v>
      </c>
      <c r="Y6623">
        <v>-1.672417E-2</v>
      </c>
      <c r="Z6623">
        <v>-4.7691770000000001E-2</v>
      </c>
      <c r="AA6623">
        <v>0.99872209999999995</v>
      </c>
      <c r="AB6623">
        <v>36</v>
      </c>
      <c r="AC6623">
        <v>-1.00049999999998</v>
      </c>
      <c r="AD6623">
        <v>-1.10715356989289</v>
      </c>
      <c r="AE6623">
        <v>22.806950000000001</v>
      </c>
      <c r="AF6623">
        <v>-0.38645522207918098</v>
      </c>
      <c r="AG6623">
        <v>-1.10715356989289</v>
      </c>
      <c r="AH6623">
        <v>22.7720369128672</v>
      </c>
      <c r="AI6623">
        <v>92.783071350068994</v>
      </c>
      <c r="AJ6623">
        <v>90.972250659052904</v>
      </c>
      <c r="AK6623">
        <v>22.802210459229201</v>
      </c>
    </row>
    <row r="6624" spans="1:37" x14ac:dyDescent="0.2">
      <c r="A6624" t="str">
        <f>"20200111155731371"</f>
        <v>20200111155731371</v>
      </c>
      <c r="B6624" t="str">
        <f>"1578729451359835"</f>
        <v>1578729451359835</v>
      </c>
      <c r="C6624" t="s">
        <v>37</v>
      </c>
      <c r="D6624">
        <v>5.073366</v>
      </c>
      <c r="E6624">
        <v>0.51865909999999904</v>
      </c>
      <c r="F6624" t="s">
        <v>38</v>
      </c>
      <c r="G6624">
        <v>-188.607</v>
      </c>
      <c r="H6624" s="1">
        <v>-6.6433420000000001E-7</v>
      </c>
      <c r="I6624">
        <v>50.511060000000001</v>
      </c>
      <c r="J6624">
        <v>-187.59129999999999</v>
      </c>
      <c r="K6624">
        <v>1.1071469999999899</v>
      </c>
      <c r="L6624">
        <v>27.748259999999998</v>
      </c>
      <c r="M6624">
        <v>-2.9263419999999998E-2</v>
      </c>
      <c r="N6624">
        <v>0</v>
      </c>
      <c r="O6624">
        <v>0.99946229999999903</v>
      </c>
      <c r="P6624">
        <v>-9.2853459999999999E-2</v>
      </c>
      <c r="Q6624">
        <v>2.2239169999999999E-2</v>
      </c>
      <c r="R6624">
        <v>0.99543139999999997</v>
      </c>
      <c r="S6624">
        <v>-0.13356019999999999</v>
      </c>
      <c r="T6624">
        <v>-0.1439532</v>
      </c>
      <c r="U6624">
        <v>3.004181</v>
      </c>
      <c r="V6624">
        <v>-6.3891489999999995E-2</v>
      </c>
      <c r="W6624">
        <v>3.662704E-2</v>
      </c>
      <c r="X6624">
        <v>0.99728449999999902</v>
      </c>
      <c r="Y6624">
        <v>-1.5106670000000001E-2</v>
      </c>
      <c r="Z6624">
        <v>-4.7805699999999902E-2</v>
      </c>
      <c r="AA6624">
        <v>0.99874240000000003</v>
      </c>
      <c r="AB6624">
        <v>36</v>
      </c>
      <c r="AC6624">
        <v>-1.0157</v>
      </c>
      <c r="AD6624">
        <v>-1.1071476643342</v>
      </c>
      <c r="AE6624">
        <v>22.762799999999999</v>
      </c>
      <c r="AF6624">
        <v>-0.34825244191614002</v>
      </c>
      <c r="AG6624">
        <v>-1.1071476643342</v>
      </c>
      <c r="AH6624">
        <v>22.7291120280487</v>
      </c>
      <c r="AI6624">
        <v>92.788378252883206</v>
      </c>
      <c r="AJ6624">
        <v>90.877809652441599</v>
      </c>
      <c r="AK6624">
        <v>22.758725564001299</v>
      </c>
    </row>
    <row r="6625" spans="1:37" x14ac:dyDescent="0.2">
      <c r="A6625" t="str">
        <f>"20200111155731393"</f>
        <v>20200111155731393</v>
      </c>
      <c r="B6625" t="str">
        <f>"1578729451390093"</f>
        <v>1578729451390093</v>
      </c>
      <c r="C6625" t="s">
        <v>37</v>
      </c>
      <c r="D6625">
        <v>5.0723859999999998</v>
      </c>
      <c r="E6625">
        <v>0.51955129999999905</v>
      </c>
      <c r="F6625" t="s">
        <v>38</v>
      </c>
      <c r="G6625">
        <v>-188.6429</v>
      </c>
      <c r="H6625" s="1">
        <v>-8.8468200000000001E-7</v>
      </c>
      <c r="I6625">
        <v>51.133839999999999</v>
      </c>
      <c r="J6625">
        <v>-187.60390000000001</v>
      </c>
      <c r="K6625">
        <v>1.10714</v>
      </c>
      <c r="L6625">
        <v>28.099979999999999</v>
      </c>
      <c r="M6625">
        <v>-3.1698490000000003E-2</v>
      </c>
      <c r="N6625">
        <v>0</v>
      </c>
      <c r="O6625">
        <v>0.999388099999999</v>
      </c>
      <c r="P6625">
        <v>-9.5484949999999999E-2</v>
      </c>
      <c r="Q6625">
        <v>2.1363219999999999E-2</v>
      </c>
      <c r="R6625">
        <v>0.99520159999999902</v>
      </c>
      <c r="S6625">
        <v>-0.13510129999999901</v>
      </c>
      <c r="T6625">
        <v>-0.14223469999999999</v>
      </c>
      <c r="U6625">
        <v>3.0043329999999999</v>
      </c>
      <c r="V6625">
        <v>-6.4092300000000005E-2</v>
      </c>
      <c r="W6625">
        <v>3.5747370000000001E-2</v>
      </c>
      <c r="X6625">
        <v>0.99730350000000001</v>
      </c>
      <c r="Y6625">
        <v>-1.318073E-2</v>
      </c>
      <c r="Z6625">
        <v>-4.7228729999999997E-2</v>
      </c>
      <c r="AA6625">
        <v>0.99879709999999999</v>
      </c>
      <c r="AB6625">
        <v>36</v>
      </c>
      <c r="AC6625">
        <v>-1.0389999999999799</v>
      </c>
      <c r="AD6625">
        <v>-1.1071408846819999</v>
      </c>
      <c r="AE6625">
        <v>23.033860000000001</v>
      </c>
      <c r="AF6625">
        <v>-0.30755025740633801</v>
      </c>
      <c r="AG6625">
        <v>-1.1071408846819999</v>
      </c>
      <c r="AH6625">
        <v>23.002186220557601</v>
      </c>
      <c r="AI6625">
        <v>92.755387039600805</v>
      </c>
      <c r="AJ6625">
        <v>90.766026395391094</v>
      </c>
      <c r="AK6625">
        <v>23.030868829129599</v>
      </c>
    </row>
    <row r="6626" spans="1:37" x14ac:dyDescent="0.2">
      <c r="A6626" t="str">
        <f>"20200111155731416"</f>
        <v>20200111155731416</v>
      </c>
      <c r="B6626" t="str">
        <f>"1578729451409612"</f>
        <v>1578729451409612</v>
      </c>
      <c r="C6626" t="s">
        <v>37</v>
      </c>
      <c r="D6626">
        <v>5.0144190000000002</v>
      </c>
      <c r="E6626">
        <v>0.52020959999999905</v>
      </c>
      <c r="F6626" t="s">
        <v>38</v>
      </c>
      <c r="G6626">
        <v>-188.6456</v>
      </c>
      <c r="H6626" s="1">
        <v>-8.846395E-7</v>
      </c>
      <c r="I6626">
        <v>51.134839999999997</v>
      </c>
      <c r="J6626">
        <v>-187.6183</v>
      </c>
      <c r="K6626">
        <v>1.107124</v>
      </c>
      <c r="L6626">
        <v>28.474879999999999</v>
      </c>
      <c r="M6626">
        <v>-3.4262800000000003E-2</v>
      </c>
      <c r="N6626">
        <v>0</v>
      </c>
      <c r="O6626">
        <v>0.99930350000000001</v>
      </c>
      <c r="P6626">
        <v>-9.8230979999999996E-2</v>
      </c>
      <c r="Q6626">
        <v>2.09734E-2</v>
      </c>
      <c r="R6626">
        <v>0.99494259999999901</v>
      </c>
      <c r="S6626">
        <v>-0.13586429999999999</v>
      </c>
      <c r="T6626">
        <v>-0.14440819999999999</v>
      </c>
      <c r="U6626">
        <v>3.0045169999999999</v>
      </c>
      <c r="V6626">
        <v>-6.4281989999999997E-2</v>
      </c>
      <c r="W6626">
        <v>3.5354699999999899E-2</v>
      </c>
      <c r="X6626">
        <v>0.99730529999999995</v>
      </c>
      <c r="Y6626">
        <v>-1.086378E-2</v>
      </c>
      <c r="Z6626">
        <v>-4.7940190000000001E-2</v>
      </c>
      <c r="AA6626">
        <v>0.99879110000000004</v>
      </c>
      <c r="AB6626">
        <v>36</v>
      </c>
      <c r="AC6626">
        <v>-1.0272999999999901</v>
      </c>
      <c r="AD6626">
        <v>-1.1071248846395001</v>
      </c>
      <c r="AE6626">
        <v>22.659960000000002</v>
      </c>
      <c r="AF6626">
        <v>-0.249623495341176</v>
      </c>
      <c r="AG6626">
        <v>-1.1071248846395001</v>
      </c>
      <c r="AH6626">
        <v>22.6279495693245</v>
      </c>
      <c r="AI6626">
        <v>92.800924930459601</v>
      </c>
      <c r="AJ6626">
        <v>90.6320410323857</v>
      </c>
      <c r="AK6626">
        <v>22.656392897182599</v>
      </c>
    </row>
    <row r="6627" spans="1:37" x14ac:dyDescent="0.2">
      <c r="A6627" t="str">
        <f>"20200111155731440"</f>
        <v>20200111155731440</v>
      </c>
      <c r="B6627" t="str">
        <f>"1578729451430108"</f>
        <v>1578729451430108</v>
      </c>
      <c r="C6627" t="s">
        <v>37</v>
      </c>
      <c r="D6627">
        <v>5.1365030000000003</v>
      </c>
      <c r="E6627">
        <v>0.53218480000000001</v>
      </c>
      <c r="F6627" t="s">
        <v>38</v>
      </c>
      <c r="G6627">
        <v>-188.67850000000001</v>
      </c>
      <c r="H6627" s="1">
        <v>-9.9726780000000005E-7</v>
      </c>
      <c r="I6627">
        <v>51.411000000000001</v>
      </c>
      <c r="J6627">
        <v>-187.63339999999999</v>
      </c>
      <c r="K6627">
        <v>1.10711</v>
      </c>
      <c r="L6627">
        <v>28.842320000000001</v>
      </c>
      <c r="M6627">
        <v>-3.6741280000000001E-2</v>
      </c>
      <c r="N6627">
        <v>0</v>
      </c>
      <c r="O6627">
        <v>0.99921550000000003</v>
      </c>
      <c r="P6627">
        <v>-0.10062219999999999</v>
      </c>
      <c r="Q6627">
        <v>2.0943860000000002E-2</v>
      </c>
      <c r="R6627">
        <v>0.99470419999999904</v>
      </c>
      <c r="S6627">
        <v>-0.1388855</v>
      </c>
      <c r="T6627">
        <v>-0.145032299999999</v>
      </c>
      <c r="U6627">
        <v>3.0046080000000002</v>
      </c>
      <c r="V6627">
        <v>-6.4203129999999997E-2</v>
      </c>
      <c r="W6627">
        <v>3.5324679999999997E-2</v>
      </c>
      <c r="X6627">
        <v>0.99731150000000002</v>
      </c>
      <c r="Y6627">
        <v>-9.3840090000000004E-3</v>
      </c>
      <c r="Z6627">
        <v>-4.813833E-2</v>
      </c>
      <c r="AA6627">
        <v>0.99879660000000003</v>
      </c>
      <c r="AB6627">
        <v>36</v>
      </c>
      <c r="AC6627">
        <v>-1.0451000000000099</v>
      </c>
      <c r="AD6627">
        <v>-1.1071109972677999</v>
      </c>
      <c r="AE6627">
        <v>22.568680000000001</v>
      </c>
      <c r="AF6627">
        <v>-0.214586147306884</v>
      </c>
      <c r="AG6627">
        <v>-1.1071109972677999</v>
      </c>
      <c r="AH6627">
        <v>22.537722060541601</v>
      </c>
      <c r="AI6627">
        <v>92.812128546148998</v>
      </c>
      <c r="AJ6627">
        <v>90.545508061828698</v>
      </c>
      <c r="AK6627">
        <v>22.5659180547371</v>
      </c>
    </row>
    <row r="6628" spans="1:37" x14ac:dyDescent="0.2">
      <c r="A6628" t="str">
        <f>"20200111155731461"</f>
        <v>20200111155731461</v>
      </c>
      <c r="B6628" t="str">
        <f>"1578729451449627"</f>
        <v>1578729451449627</v>
      </c>
      <c r="C6628" t="s">
        <v>37</v>
      </c>
      <c r="D6628">
        <v>4.9884820000000003</v>
      </c>
      <c r="E6628">
        <v>0.53249049999999998</v>
      </c>
      <c r="F6628" t="s">
        <v>38</v>
      </c>
      <c r="G6628">
        <v>-188.03139999999999</v>
      </c>
      <c r="H6628" s="1">
        <v>-1.4969090000000001E-6</v>
      </c>
      <c r="I6628">
        <v>52.308100000000003</v>
      </c>
      <c r="J6628">
        <v>-187.64789999999999</v>
      </c>
      <c r="K6628">
        <v>1.1070979999999999</v>
      </c>
      <c r="L6628">
        <v>29.178799999999999</v>
      </c>
      <c r="M6628">
        <v>-3.8980529999999999E-2</v>
      </c>
      <c r="N6628">
        <v>0</v>
      </c>
      <c r="O6628">
        <v>0.99913069999999904</v>
      </c>
      <c r="P6628">
        <v>-0.10302559999999999</v>
      </c>
      <c r="Q6628">
        <v>2.0796099999999901E-2</v>
      </c>
      <c r="R6628">
        <v>0.99446129999999999</v>
      </c>
      <c r="S6628">
        <v>-5.111694E-2</v>
      </c>
      <c r="T6628">
        <v>-0.14219019999999999</v>
      </c>
      <c r="U6628">
        <v>3.0137939999999999</v>
      </c>
      <c r="V6628">
        <v>-6.4375150000000006E-2</v>
      </c>
      <c r="W6628">
        <v>3.5175999999999999E-2</v>
      </c>
      <c r="X6628">
        <v>0.99730560000000001</v>
      </c>
      <c r="Y6628">
        <v>2.2052309999999999E-2</v>
      </c>
      <c r="Z6628">
        <v>-4.706457E-2</v>
      </c>
      <c r="AA6628">
        <v>0.99864839999999999</v>
      </c>
      <c r="AB6628">
        <v>36</v>
      </c>
      <c r="AC6628">
        <v>-0.38349999999999801</v>
      </c>
      <c r="AD6628">
        <v>-1.107099496909</v>
      </c>
      <c r="AE6628">
        <v>23.129300000000001</v>
      </c>
      <c r="AF6628">
        <v>0.51729749451217</v>
      </c>
      <c r="AG6628">
        <v>-1.107099496909</v>
      </c>
      <c r="AH6628">
        <v>23.073817455348401</v>
      </c>
      <c r="AI6628">
        <v>92.746299803703707</v>
      </c>
      <c r="AJ6628">
        <v>88.715687206639402</v>
      </c>
      <c r="AK6628">
        <v>23.106153248791198</v>
      </c>
    </row>
    <row r="6629" spans="1:37" x14ac:dyDescent="0.2">
      <c r="A6629" t="str">
        <f>"20200111155731483"</f>
        <v>20200111155731483</v>
      </c>
      <c r="B6629" t="str">
        <f>"1578729451479884"</f>
        <v>1578729451479884</v>
      </c>
      <c r="C6629" t="s">
        <v>37</v>
      </c>
      <c r="D6629">
        <v>5.0001949999999997</v>
      </c>
      <c r="E6629">
        <v>0.53313489999999997</v>
      </c>
      <c r="F6629" t="s">
        <v>38</v>
      </c>
      <c r="G6629">
        <v>-188.06809999999999</v>
      </c>
      <c r="H6629" s="1">
        <v>-1.263266E-6</v>
      </c>
      <c r="I6629">
        <v>51.778649999999999</v>
      </c>
      <c r="J6629">
        <v>-187.66399999999999</v>
      </c>
      <c r="K6629">
        <v>1.107075</v>
      </c>
      <c r="L6629">
        <v>29.53229</v>
      </c>
      <c r="M6629">
        <v>-4.1305790000000002E-2</v>
      </c>
      <c r="N6629">
        <v>0</v>
      </c>
      <c r="O6629">
        <v>0.99903739999999996</v>
      </c>
      <c r="P6629">
        <v>-0.1050778</v>
      </c>
      <c r="Q6629">
        <v>1.9710189999999999E-2</v>
      </c>
      <c r="R6629">
        <v>0.99426870000000001</v>
      </c>
      <c r="S6629">
        <v>-5.603027E-2</v>
      </c>
      <c r="T6629">
        <v>-0.14764730000000001</v>
      </c>
      <c r="U6629">
        <v>3.014008</v>
      </c>
      <c r="V6629">
        <v>-6.4103629999999995E-2</v>
      </c>
      <c r="W6629">
        <v>3.409185E-2</v>
      </c>
      <c r="X6629">
        <v>0.99736080000000005</v>
      </c>
      <c r="Y6629">
        <v>2.2754489999999999E-2</v>
      </c>
      <c r="Z6629">
        <v>-4.8855229999999999E-2</v>
      </c>
      <c r="AA6629">
        <v>0.99854669999999901</v>
      </c>
      <c r="AB6629">
        <v>36</v>
      </c>
      <c r="AC6629">
        <v>-0.40409999999997098</v>
      </c>
      <c r="AD6629">
        <v>-1.1070762632660001</v>
      </c>
      <c r="AE6629">
        <v>22.246359999999999</v>
      </c>
      <c r="AF6629">
        <v>0.513976214534551</v>
      </c>
      <c r="AG6629">
        <v>-1.1070762632660001</v>
      </c>
      <c r="AH6629">
        <v>22.189130121534198</v>
      </c>
      <c r="AI6629">
        <v>92.855509681249004</v>
      </c>
      <c r="AJ6629">
        <v>88.673070888338799</v>
      </c>
      <c r="AK6629">
        <v>22.222675017921901</v>
      </c>
    </row>
    <row r="6630" spans="1:37" x14ac:dyDescent="0.2">
      <c r="A6630" t="str">
        <f>"20200111155731506"</f>
        <v>20200111155731506</v>
      </c>
      <c r="B6630" t="str">
        <f>"1578729451499405"</f>
        <v>1578729451499405</v>
      </c>
      <c r="C6630" t="s">
        <v>37</v>
      </c>
      <c r="D6630">
        <v>5.0048190000000004</v>
      </c>
      <c r="E6630">
        <v>0.53329550000000003</v>
      </c>
      <c r="F6630" t="s">
        <v>38</v>
      </c>
      <c r="G6630">
        <v>-188.08179999999999</v>
      </c>
      <c r="H6630" s="1">
        <v>-1.1731080000000001E-6</v>
      </c>
      <c r="I6630">
        <v>51.574159999999999</v>
      </c>
      <c r="J6630">
        <v>-187.68119999999999</v>
      </c>
      <c r="K6630">
        <v>1.1070450000000001</v>
      </c>
      <c r="L6630">
        <v>29.891390000000001</v>
      </c>
      <c r="M6630">
        <v>-4.3641239999999998E-2</v>
      </c>
      <c r="N6630">
        <v>0</v>
      </c>
      <c r="O6630">
        <v>0.99893809999999905</v>
      </c>
      <c r="P6630">
        <v>-0.1071372</v>
      </c>
      <c r="Q6630">
        <v>1.874547E-2</v>
      </c>
      <c r="R6630">
        <v>0.99406749999999899</v>
      </c>
      <c r="S6630">
        <v>-5.7128909999999998E-2</v>
      </c>
      <c r="T6630">
        <v>-0.1513939</v>
      </c>
      <c r="U6630">
        <v>3.0142519999999999</v>
      </c>
      <c r="V6630">
        <v>-6.3829380000000005E-2</v>
      </c>
      <c r="W6630">
        <v>3.3129169999999999E-2</v>
      </c>
      <c r="X6630">
        <v>0.99741080000000004</v>
      </c>
      <c r="Y6630">
        <v>2.4730490000000001E-2</v>
      </c>
      <c r="Z6630">
        <v>-5.0078999999999999E-2</v>
      </c>
      <c r="AA6630">
        <v>0.99843899999999997</v>
      </c>
      <c r="AB6630">
        <v>36</v>
      </c>
      <c r="AC6630">
        <v>-0.40059999999999701</v>
      </c>
      <c r="AD6630">
        <v>-1.1070461731079999</v>
      </c>
      <c r="AE6630">
        <v>21.682770000000001</v>
      </c>
      <c r="AF6630">
        <v>0.54472843653386605</v>
      </c>
      <c r="AG6630">
        <v>-1.1070461731079999</v>
      </c>
      <c r="AH6630">
        <v>21.623244701638299</v>
      </c>
      <c r="AI6630">
        <v>92.929887618779503</v>
      </c>
      <c r="AJ6630">
        <v>88.556921453344103</v>
      </c>
      <c r="AK6630">
        <v>21.658416186921201</v>
      </c>
    </row>
    <row r="6631" spans="1:37" x14ac:dyDescent="0.2">
      <c r="A6631" t="str">
        <f>"20200111155731529"</f>
        <v>20200111155731529</v>
      </c>
      <c r="B6631" t="str">
        <f>"1578729451519899"</f>
        <v>1578729451519899</v>
      </c>
      <c r="C6631" t="s">
        <v>37</v>
      </c>
      <c r="D6631">
        <v>5.01966</v>
      </c>
      <c r="E6631">
        <v>0.533591699999999</v>
      </c>
      <c r="F6631" t="s">
        <v>38</v>
      </c>
      <c r="G6631">
        <v>-188.13</v>
      </c>
      <c r="H6631" s="1">
        <v>-1.179127E-6</v>
      </c>
      <c r="I6631">
        <v>51.608129999999903</v>
      </c>
      <c r="J6631">
        <v>-187.69980000000001</v>
      </c>
      <c r="K6631">
        <v>1.10701</v>
      </c>
      <c r="L6631">
        <v>30.26154</v>
      </c>
      <c r="M6631">
        <v>-4.6021800000000002E-2</v>
      </c>
      <c r="N6631">
        <v>0</v>
      </c>
      <c r="O6631">
        <v>0.99883140000000004</v>
      </c>
      <c r="P6631">
        <v>-0.10876769999999999</v>
      </c>
      <c r="Q6631">
        <v>1.7633550000000001E-2</v>
      </c>
      <c r="R6631">
        <v>0.99391079999999998</v>
      </c>
      <c r="S6631">
        <v>-6.2286380000000002E-2</v>
      </c>
      <c r="T6631">
        <v>-0.1536486</v>
      </c>
      <c r="U6631">
        <v>3.0140989999999999</v>
      </c>
      <c r="V6631">
        <v>-6.307923E-2</v>
      </c>
      <c r="W6631">
        <v>3.2022080000000001E-2</v>
      </c>
      <c r="X6631">
        <v>0.99749460000000001</v>
      </c>
      <c r="Y6631">
        <v>2.5405009999999999E-2</v>
      </c>
      <c r="Z6631">
        <v>-5.0816029999999998E-2</v>
      </c>
      <c r="AA6631">
        <v>0.99838479999999996</v>
      </c>
      <c r="AB6631">
        <v>36</v>
      </c>
      <c r="AC6631">
        <v>-0.43019999999998398</v>
      </c>
      <c r="AD6631">
        <v>-1.1070111791270001</v>
      </c>
      <c r="AE6631">
        <v>21.3465899999999</v>
      </c>
      <c r="AF6631">
        <v>0.55128942811012904</v>
      </c>
      <c r="AG6631">
        <v>-1.1070111791270001</v>
      </c>
      <c r="AH6631">
        <v>21.286544035824701</v>
      </c>
      <c r="AI6631">
        <v>92.976001049921294</v>
      </c>
      <c r="AJ6631">
        <v>88.516457238415995</v>
      </c>
      <c r="AK6631">
        <v>21.322437730554199</v>
      </c>
    </row>
    <row r="6632" spans="1:37" x14ac:dyDescent="0.2">
      <c r="A6632" t="str">
        <f>"20200111155731552"</f>
        <v>20200111155731552</v>
      </c>
      <c r="B6632" t="str">
        <f>"1578729451539419"</f>
        <v>1578729451539419</v>
      </c>
      <c r="C6632" t="s">
        <v>37</v>
      </c>
      <c r="D6632">
        <v>4.9968570000000003</v>
      </c>
      <c r="E6632">
        <v>0.53383610000000004</v>
      </c>
      <c r="F6632" t="s">
        <v>38</v>
      </c>
      <c r="G6632">
        <v>-188.16159999999999</v>
      </c>
      <c r="H6632" s="1">
        <v>-1.1858200000000001E-6</v>
      </c>
      <c r="I6632">
        <v>51.636809999999997</v>
      </c>
      <c r="J6632">
        <v>-187.71780000000001</v>
      </c>
      <c r="K6632">
        <v>1.106984</v>
      </c>
      <c r="L6632">
        <v>30.6051</v>
      </c>
      <c r="M6632">
        <v>-4.8206880000000001E-2</v>
      </c>
      <c r="N6632">
        <v>0</v>
      </c>
      <c r="O6632">
        <v>0.99872830000000001</v>
      </c>
      <c r="P6632">
        <v>-0.11061839999999901</v>
      </c>
      <c r="Q6632">
        <v>1.7002759999999999E-2</v>
      </c>
      <c r="R6632">
        <v>0.99371749999999903</v>
      </c>
      <c r="S6632">
        <v>-6.5124509999999997E-2</v>
      </c>
      <c r="T6632">
        <v>-0.15609500000000001</v>
      </c>
      <c r="U6632">
        <v>3.0140380000000002</v>
      </c>
      <c r="V6632">
        <v>-6.2748479999999995E-2</v>
      </c>
      <c r="W6632">
        <v>3.1393440000000002E-2</v>
      </c>
      <c r="X6632">
        <v>0.99753549999999902</v>
      </c>
      <c r="Y6632">
        <v>2.6652800000000001E-2</v>
      </c>
      <c r="Z6632">
        <v>-5.1614689999999998E-2</v>
      </c>
      <c r="AA6632">
        <v>0.99831130000000001</v>
      </c>
      <c r="AB6632">
        <v>35</v>
      </c>
      <c r="AC6632">
        <v>-0.44379999999998099</v>
      </c>
      <c r="AD6632">
        <v>-1.1069851858199999</v>
      </c>
      <c r="AE6632">
        <v>21.03171</v>
      </c>
      <c r="AF6632">
        <v>0.56912370646335797</v>
      </c>
      <c r="AG6632">
        <v>-1.1069851858199999</v>
      </c>
      <c r="AH6632">
        <v>20.970579206813799</v>
      </c>
      <c r="AI6632">
        <v>93.020588259358902</v>
      </c>
      <c r="AJ6632">
        <v>88.445422804358401</v>
      </c>
      <c r="AK6632">
        <v>21.007487004973601</v>
      </c>
    </row>
    <row r="6633" spans="1:37" x14ac:dyDescent="0.2">
      <c r="A6633" t="str">
        <f>"20200111155731572"</f>
        <v>20200111155731572</v>
      </c>
      <c r="B6633" t="str">
        <f>"1578729451569676"</f>
        <v>1578729451569676</v>
      </c>
      <c r="C6633" t="s">
        <v>37</v>
      </c>
      <c r="D6633">
        <v>5.0878059999999996</v>
      </c>
      <c r="E6633">
        <v>0.53420249999999903</v>
      </c>
      <c r="F6633" t="s">
        <v>38</v>
      </c>
      <c r="G6633">
        <v>-188.20079999999999</v>
      </c>
      <c r="H6633" s="1">
        <v>-1.2600570000000001E-6</v>
      </c>
      <c r="I6633">
        <v>51.826050000000002</v>
      </c>
      <c r="J6633">
        <v>-187.73580000000001</v>
      </c>
      <c r="K6633">
        <v>1.106959</v>
      </c>
      <c r="L6633">
        <v>30.93552</v>
      </c>
      <c r="M6633">
        <v>-5.028498E-2</v>
      </c>
      <c r="N6633">
        <v>0</v>
      </c>
      <c r="O6633">
        <v>0.99862589999999996</v>
      </c>
      <c r="P6633">
        <v>-0.1127644</v>
      </c>
      <c r="Q6633">
        <v>1.6950110000000001E-2</v>
      </c>
      <c r="R6633">
        <v>0.99347719999999995</v>
      </c>
      <c r="S6633">
        <v>-6.8603520000000001E-2</v>
      </c>
      <c r="T6633">
        <v>-0.15722649999999999</v>
      </c>
      <c r="U6633">
        <v>3.0140380000000002</v>
      </c>
      <c r="V6633">
        <v>-6.282517E-2</v>
      </c>
      <c r="W6633">
        <v>3.134054E-2</v>
      </c>
      <c r="X6633">
        <v>0.99753239999999999</v>
      </c>
      <c r="Y6633">
        <v>2.7581580000000001E-2</v>
      </c>
      <c r="Z6633">
        <v>-5.1978499999999997E-2</v>
      </c>
      <c r="AA6633">
        <v>0.99826719999999902</v>
      </c>
      <c r="AB6633">
        <v>35</v>
      </c>
      <c r="AC6633">
        <v>-0.46499999999997499</v>
      </c>
      <c r="AD6633">
        <v>-1.1069602600570001</v>
      </c>
      <c r="AE6633">
        <v>20.890529999999998</v>
      </c>
      <c r="AF6633">
        <v>0.58454219783681505</v>
      </c>
      <c r="AG6633">
        <v>-1.1069602600570001</v>
      </c>
      <c r="AH6633">
        <v>20.829026265455202</v>
      </c>
      <c r="AI6633">
        <v>93.040931857614098</v>
      </c>
      <c r="AJ6633">
        <v>88.392483060125898</v>
      </c>
      <c r="AK6633">
        <v>20.866609349997901</v>
      </c>
    </row>
    <row r="6634" spans="1:37" x14ac:dyDescent="0.2">
      <c r="A6634" t="str">
        <f>"20200111155731595"</f>
        <v>20200111155731595</v>
      </c>
      <c r="B6634" t="str">
        <f>"1578729451590172"</f>
        <v>1578729451590172</v>
      </c>
      <c r="C6634" t="s">
        <v>37</v>
      </c>
      <c r="D6634">
        <v>5.0190630000000001</v>
      </c>
      <c r="E6634">
        <v>0.5342865</v>
      </c>
      <c r="F6634" t="s">
        <v>38</v>
      </c>
      <c r="G6634">
        <v>-188.25020000000001</v>
      </c>
      <c r="H6634" s="1">
        <v>-1.4876979999999999E-6</v>
      </c>
      <c r="I6634">
        <v>52.377109999999902</v>
      </c>
      <c r="J6634">
        <v>-187.7561</v>
      </c>
      <c r="K6634">
        <v>1.106927</v>
      </c>
      <c r="L6634">
        <v>31.295529999999999</v>
      </c>
      <c r="M6634">
        <v>-5.2521400000000003E-2</v>
      </c>
      <c r="N6634">
        <v>0</v>
      </c>
      <c r="O6634">
        <v>0.99851089999999998</v>
      </c>
      <c r="P6634">
        <v>-0.1155211</v>
      </c>
      <c r="Q6634">
        <v>1.7173979999999998E-2</v>
      </c>
      <c r="R6634">
        <v>0.99315659999999895</v>
      </c>
      <c r="S6634">
        <v>-7.2311399999999998E-2</v>
      </c>
      <c r="T6634">
        <v>-0.15560979999999999</v>
      </c>
      <c r="U6634">
        <v>3.01412999999999</v>
      </c>
      <c r="V6634">
        <v>-6.3358419999999999E-2</v>
      </c>
      <c r="W6634">
        <v>3.1561209999999999E-2</v>
      </c>
      <c r="X6634">
        <v>0.99749169999999998</v>
      </c>
      <c r="Y6634">
        <v>2.8592989999999999E-2</v>
      </c>
      <c r="Z6634">
        <v>-5.1433529999999998E-2</v>
      </c>
      <c r="AA6634">
        <v>0.99826700000000002</v>
      </c>
      <c r="AB6634">
        <v>35</v>
      </c>
      <c r="AC6634">
        <v>-0.49410000000000298</v>
      </c>
      <c r="AD6634">
        <v>-1.1069284876979999</v>
      </c>
      <c r="AE6634">
        <v>21.081579999999899</v>
      </c>
      <c r="AF6634">
        <v>0.61224959473100204</v>
      </c>
      <c r="AG6634">
        <v>-1.1069284876979999</v>
      </c>
      <c r="AH6634">
        <v>21.020509290330001</v>
      </c>
      <c r="AI6634">
        <v>93.013104621767198</v>
      </c>
      <c r="AJ6634">
        <v>88.3316577821561</v>
      </c>
      <c r="AK6634">
        <v>21.0585362992772</v>
      </c>
    </row>
    <row r="6635" spans="1:37" x14ac:dyDescent="0.2">
      <c r="A6635" t="str">
        <f>"20200111155731619"</f>
        <v>20200111155731619</v>
      </c>
      <c r="B6635" t="str">
        <f>"1578729451609692"</f>
        <v>1578729451609692</v>
      </c>
      <c r="C6635" t="s">
        <v>37</v>
      </c>
      <c r="D6635">
        <v>5.0649189999999997</v>
      </c>
      <c r="E6635">
        <v>0.53459540000000005</v>
      </c>
      <c r="F6635" t="s">
        <v>38</v>
      </c>
      <c r="G6635">
        <v>-188.32759999999999</v>
      </c>
      <c r="H6635" s="1">
        <v>-1.7011459999999999E-6</v>
      </c>
      <c r="I6635">
        <v>52.906669999999998</v>
      </c>
      <c r="J6635">
        <v>-187.77770000000001</v>
      </c>
      <c r="K6635">
        <v>1.1068979999999999</v>
      </c>
      <c r="L6635">
        <v>31.663019999999999</v>
      </c>
      <c r="M6635">
        <v>-5.4769579999999998E-2</v>
      </c>
      <c r="N6635">
        <v>0</v>
      </c>
      <c r="O6635">
        <v>0.99839009999999995</v>
      </c>
      <c r="P6635">
        <v>-0.1181875</v>
      </c>
      <c r="Q6635">
        <v>1.7006380000000001E-2</v>
      </c>
      <c r="R6635">
        <v>0.99284570000000005</v>
      </c>
      <c r="S6635">
        <v>-7.9696660000000002E-2</v>
      </c>
      <c r="T6635">
        <v>-0.1543815</v>
      </c>
      <c r="U6635">
        <v>3.0140689999999899</v>
      </c>
      <c r="V6635">
        <v>-6.3787300000000005E-2</v>
      </c>
      <c r="W6635">
        <v>3.1392009999999998E-2</v>
      </c>
      <c r="X6635">
        <v>0.99746970000000001</v>
      </c>
      <c r="Y6635">
        <v>2.839823E-2</v>
      </c>
      <c r="Z6635">
        <v>-5.101895E-2</v>
      </c>
      <c r="AA6635">
        <v>0.99829389999999996</v>
      </c>
      <c r="AB6635">
        <v>35</v>
      </c>
      <c r="AC6635">
        <v>-0.54989999999997896</v>
      </c>
      <c r="AD6635">
        <v>-1.106899701146</v>
      </c>
      <c r="AE6635">
        <v>21.243649999999999</v>
      </c>
      <c r="AF6635">
        <v>0.61289505783429699</v>
      </c>
      <c r="AG6635">
        <v>-1.106899701146</v>
      </c>
      <c r="AH6635">
        <v>21.184402225596799</v>
      </c>
      <c r="AI6635">
        <v>92.989775479251605</v>
      </c>
      <c r="AJ6635">
        <v>88.342813411933705</v>
      </c>
      <c r="AK6635">
        <v>21.2221526937346</v>
      </c>
    </row>
    <row r="6636" spans="1:37" x14ac:dyDescent="0.2">
      <c r="A6636" t="str">
        <f>"20200111155731640"</f>
        <v>20200111155731640</v>
      </c>
      <c r="B6636" t="str">
        <f>"1578729451630187"</f>
        <v>1578729451630187</v>
      </c>
      <c r="C6636" t="s">
        <v>37</v>
      </c>
      <c r="D6636">
        <v>5.0709369999999998</v>
      </c>
      <c r="E6636">
        <v>0.53474080000000002</v>
      </c>
      <c r="F6636" t="s">
        <v>38</v>
      </c>
      <c r="G6636">
        <v>-188.38929999999999</v>
      </c>
      <c r="H6636" s="1">
        <v>-1.8120279999999999E-6</v>
      </c>
      <c r="I6636">
        <v>53.190669999999997</v>
      </c>
      <c r="J6636">
        <v>-187.79900000000001</v>
      </c>
      <c r="K6636">
        <v>1.1068559999999901</v>
      </c>
      <c r="L6636">
        <v>32.012050000000002</v>
      </c>
      <c r="M6636">
        <v>-5.6858470000000001E-2</v>
      </c>
      <c r="N6636">
        <v>0</v>
      </c>
      <c r="O6636">
        <v>0.99827339999999998</v>
      </c>
      <c r="P6636">
        <v>-0.12064030000000001</v>
      </c>
      <c r="Q6636">
        <v>1.6831390000000002E-2</v>
      </c>
      <c r="R6636">
        <v>0.99255360000000004</v>
      </c>
      <c r="S6636">
        <v>-8.5632319999999998E-2</v>
      </c>
      <c r="T6636">
        <v>-0.15497610000000001</v>
      </c>
      <c r="U6636">
        <v>3.0140689999999899</v>
      </c>
      <c r="V6636">
        <v>-6.4160540000000002E-2</v>
      </c>
      <c r="W6636">
        <v>3.121614E-2</v>
      </c>
      <c r="X6636">
        <v>0.99745119999999898</v>
      </c>
      <c r="Y6636">
        <v>2.852555E-2</v>
      </c>
      <c r="Z6636">
        <v>-5.1204479999999997E-2</v>
      </c>
      <c r="AA6636">
        <v>0.99828069999999902</v>
      </c>
      <c r="AB6636">
        <v>35</v>
      </c>
      <c r="AC6636">
        <v>-0.59029999999998495</v>
      </c>
      <c r="AD6636">
        <v>-1.1068578120279999</v>
      </c>
      <c r="AE6636">
        <v>21.178619999999899</v>
      </c>
      <c r="AF6636">
        <v>0.61329610388030897</v>
      </c>
      <c r="AG6636">
        <v>-1.1068578120279999</v>
      </c>
      <c r="AH6636">
        <v>21.120274466568102</v>
      </c>
      <c r="AI6636">
        <v>92.998714287211698</v>
      </c>
      <c r="AJ6636">
        <v>88.336697438729502</v>
      </c>
      <c r="AK6636">
        <v>21.158148781740199</v>
      </c>
    </row>
    <row r="6637" spans="1:37" x14ac:dyDescent="0.2">
      <c r="A6637" t="str">
        <f>"20200111155731662"</f>
        <v>20200111155731662</v>
      </c>
      <c r="B6637" t="str">
        <f>"1578729451659468"</f>
        <v>1578729451659468</v>
      </c>
      <c r="C6637" t="s">
        <v>37</v>
      </c>
      <c r="D6637">
        <v>5.1204089999999898</v>
      </c>
      <c r="E6637">
        <v>0.53974820000000001</v>
      </c>
      <c r="F6637" t="s">
        <v>38</v>
      </c>
      <c r="G6637">
        <v>-188.4522</v>
      </c>
      <c r="H6637" s="1">
        <v>-1.8991569999999901E-6</v>
      </c>
      <c r="I6637">
        <v>53.4197699999999</v>
      </c>
      <c r="J6637">
        <v>-187.8202</v>
      </c>
      <c r="K6637">
        <v>1.1068169999999999</v>
      </c>
      <c r="L6637">
        <v>32.348140000000001</v>
      </c>
      <c r="M6637">
        <v>-5.8833259999999998E-2</v>
      </c>
      <c r="N6637">
        <v>0</v>
      </c>
      <c r="O6637">
        <v>0.99815909999999997</v>
      </c>
      <c r="P6637">
        <v>-0.1224663</v>
      </c>
      <c r="Q6637">
        <v>1.638966E-2</v>
      </c>
      <c r="R6637">
        <v>0.99233729999999998</v>
      </c>
      <c r="S6637">
        <v>-9.196472E-2</v>
      </c>
      <c r="T6637">
        <v>-0.15583369999999999</v>
      </c>
      <c r="U6637">
        <v>3.0139770000000001</v>
      </c>
      <c r="V6637">
        <v>-6.4016829999999997E-2</v>
      </c>
      <c r="W6637">
        <v>3.0777189999999999E-2</v>
      </c>
      <c r="X6637">
        <v>0.99747410000000003</v>
      </c>
      <c r="Y6637">
        <v>2.840705E-2</v>
      </c>
      <c r="Z6637">
        <v>-5.1478290000000003E-2</v>
      </c>
      <c r="AA6637">
        <v>0.99826999999999999</v>
      </c>
      <c r="AB6637">
        <v>35</v>
      </c>
      <c r="AC6637">
        <v>-0.632000000000005</v>
      </c>
      <c r="AD6637">
        <v>-1.106818899157</v>
      </c>
      <c r="AE6637">
        <v>21.071629999999899</v>
      </c>
      <c r="AF6637">
        <v>0.60726825966945297</v>
      </c>
      <c r="AG6637">
        <v>-1.106818899157</v>
      </c>
      <c r="AH6637">
        <v>21.014381684698801</v>
      </c>
      <c r="AI6637">
        <v>93.013703684572604</v>
      </c>
      <c r="AJ6637">
        <v>88.344741784263704</v>
      </c>
      <c r="AK6637">
        <v>21.052269720981101</v>
      </c>
    </row>
    <row r="6638" spans="1:37" x14ac:dyDescent="0.2">
      <c r="A6638" t="str">
        <f>"20200111155731684"</f>
        <v>20200111155731684</v>
      </c>
      <c r="B6638" t="str">
        <f>"1578729451679964"</f>
        <v>1578729451679964</v>
      </c>
      <c r="C6638" t="s">
        <v>37</v>
      </c>
      <c r="D6638">
        <v>5.1530649999999998</v>
      </c>
      <c r="E6638">
        <v>0.53997989999999996</v>
      </c>
      <c r="F6638" t="s">
        <v>38</v>
      </c>
      <c r="G6638">
        <v>-188.2474</v>
      </c>
      <c r="H6638" s="1">
        <v>-2.481104E-6</v>
      </c>
      <c r="I6638">
        <v>54.691630000000004</v>
      </c>
      <c r="J6638">
        <v>-187.84299999999999</v>
      </c>
      <c r="K6638">
        <v>1.1067709999999999</v>
      </c>
      <c r="L6638">
        <v>32.701079999999997</v>
      </c>
      <c r="M6638">
        <v>-6.0856029999999998E-2</v>
      </c>
      <c r="N6638">
        <v>0</v>
      </c>
      <c r="O6638">
        <v>0.99803790000000003</v>
      </c>
      <c r="P6638">
        <v>-0.1242448</v>
      </c>
      <c r="Q6638">
        <v>1.639902E-2</v>
      </c>
      <c r="R6638">
        <v>0.99211609999999995</v>
      </c>
      <c r="S6638">
        <v>-5.7723999999999998E-2</v>
      </c>
      <c r="T6638">
        <v>-0.14952579999999999</v>
      </c>
      <c r="U6638">
        <v>3.018494</v>
      </c>
      <c r="V6638">
        <v>-6.3779470000000005E-2</v>
      </c>
      <c r="W6638">
        <v>3.079053E-2</v>
      </c>
      <c r="X6638">
        <v>0.99748890000000001</v>
      </c>
      <c r="Y6638">
        <v>4.1790269999999997E-2</v>
      </c>
      <c r="Z6638">
        <v>-4.9312290000000002E-2</v>
      </c>
      <c r="AA6638">
        <v>0.99790879999999904</v>
      </c>
      <c r="AB6638">
        <v>35</v>
      </c>
      <c r="AC6638">
        <v>-0.40440000000000897</v>
      </c>
      <c r="AD6638">
        <v>-1.106773481104</v>
      </c>
      <c r="AE6638">
        <v>21.990549999999999</v>
      </c>
      <c r="AF6638">
        <v>0.93239141622065302</v>
      </c>
      <c r="AG6638">
        <v>-1.106773481104</v>
      </c>
      <c r="AH6638">
        <v>21.918892626229901</v>
      </c>
      <c r="AI6638">
        <v>92.888033106224</v>
      </c>
      <c r="AJ6638">
        <v>87.564206076775505</v>
      </c>
      <c r="AK6638">
        <v>21.966614560548699</v>
      </c>
    </row>
    <row r="6639" spans="1:37" x14ac:dyDescent="0.2">
      <c r="A6639" t="str">
        <f>"20200111155731708"</f>
        <v>20200111155731708</v>
      </c>
      <c r="B6639" t="str">
        <f>"1578729451699483"</f>
        <v>1578729451699483</v>
      </c>
      <c r="C6639" t="s">
        <v>37</v>
      </c>
      <c r="D6639">
        <v>5.0749139999999997</v>
      </c>
      <c r="E6639">
        <v>0.54000230000000005</v>
      </c>
      <c r="F6639" t="s">
        <v>38</v>
      </c>
      <c r="G6639">
        <v>-188.29419999999999</v>
      </c>
      <c r="H6639" s="1">
        <v>-2.56291299999999E-6</v>
      </c>
      <c r="I6639">
        <v>54.901649999999997</v>
      </c>
      <c r="J6639">
        <v>-187.86709999999999</v>
      </c>
      <c r="K6639">
        <v>1.1067089999999999</v>
      </c>
      <c r="L6639">
        <v>33.06268</v>
      </c>
      <c r="M6639">
        <v>-6.2858999999999998E-2</v>
      </c>
      <c r="N6639">
        <v>0</v>
      </c>
      <c r="O6639">
        <v>0.99791379999999996</v>
      </c>
      <c r="P6639">
        <v>-0.12583259999999999</v>
      </c>
      <c r="Q6639">
        <v>1.6544110000000001E-2</v>
      </c>
      <c r="R6639">
        <v>0.9919135</v>
      </c>
      <c r="S6639">
        <v>-6.1340329999999998E-2</v>
      </c>
      <c r="T6639">
        <v>-0.15048979999999901</v>
      </c>
      <c r="U6639">
        <v>3.0186459999999999</v>
      </c>
      <c r="V6639">
        <v>-6.3370590000000004E-2</v>
      </c>
      <c r="W6639">
        <v>3.0941139999999999E-2</v>
      </c>
      <c r="X6639">
        <v>0.99751029999999996</v>
      </c>
      <c r="Y6639">
        <v>4.2601779999999999E-2</v>
      </c>
      <c r="Z6639">
        <v>-4.9616239999999999E-2</v>
      </c>
      <c r="AA6639">
        <v>0.99785939999999995</v>
      </c>
      <c r="AB6639">
        <v>35</v>
      </c>
      <c r="AC6639">
        <v>-0.42709999999999498</v>
      </c>
      <c r="AD6639">
        <v>-1.106711562913</v>
      </c>
      <c r="AE6639">
        <v>21.83897</v>
      </c>
      <c r="AF6639">
        <v>0.944245504070788</v>
      </c>
      <c r="AG6639">
        <v>-1.106711562913</v>
      </c>
      <c r="AH6639">
        <v>21.766745390392298</v>
      </c>
      <c r="AI6639">
        <v>92.907918393775503</v>
      </c>
      <c r="AJ6639">
        <v>87.516055669349996</v>
      </c>
      <c r="AK6639">
        <v>21.815306895517399</v>
      </c>
    </row>
    <row r="6640" spans="1:37" x14ac:dyDescent="0.2">
      <c r="A6640" t="str">
        <f>"20200111155731730"</f>
        <v>20200111155731730</v>
      </c>
      <c r="B6640" t="str">
        <f>"1578729451719979"</f>
        <v>1578729451719979</v>
      </c>
      <c r="C6640" t="s">
        <v>37</v>
      </c>
      <c r="D6640">
        <v>5.1855129999999896</v>
      </c>
      <c r="E6640">
        <v>0.54011580000000003</v>
      </c>
      <c r="F6640" t="s">
        <v>38</v>
      </c>
      <c r="G6640">
        <v>-188.34049999999999</v>
      </c>
      <c r="H6640" s="1">
        <v>-2.46785599999999E-6</v>
      </c>
      <c r="I6640">
        <v>54.699210000000001</v>
      </c>
      <c r="J6640">
        <v>-187.89089999999999</v>
      </c>
      <c r="K6640">
        <v>1.106644</v>
      </c>
      <c r="L6640">
        <v>33.410429999999998</v>
      </c>
      <c r="M6640">
        <v>-6.4702850000000006E-2</v>
      </c>
      <c r="N6640">
        <v>0</v>
      </c>
      <c r="O6640">
        <v>0.99779599999999902</v>
      </c>
      <c r="P6640">
        <v>-0.1271321</v>
      </c>
      <c r="Q6640">
        <v>1.6421399999999999E-2</v>
      </c>
      <c r="R6640">
        <v>0.99174980000000001</v>
      </c>
      <c r="S6640">
        <v>-6.6040039999999994E-2</v>
      </c>
      <c r="T6640">
        <v>-0.15440419999999999</v>
      </c>
      <c r="U6640">
        <v>3.0186459999999999</v>
      </c>
      <c r="V6640">
        <v>-6.2828079999999994E-2</v>
      </c>
      <c r="W6640">
        <v>3.0826760000000002E-2</v>
      </c>
      <c r="X6640">
        <v>0.9975482</v>
      </c>
      <c r="Y6640">
        <v>4.2896459999999997E-2</v>
      </c>
      <c r="Z6640">
        <v>-5.0893309999999997E-2</v>
      </c>
      <c r="AA6640">
        <v>0.99778239999999996</v>
      </c>
      <c r="AB6640">
        <v>35</v>
      </c>
      <c r="AC6640">
        <v>-0.449600000000003</v>
      </c>
      <c r="AD6640">
        <v>-1.106646467856</v>
      </c>
      <c r="AE6640">
        <v>21.288779999999999</v>
      </c>
      <c r="AF6640">
        <v>0.92643401866504005</v>
      </c>
      <c r="AG6640">
        <v>-1.106646467856</v>
      </c>
      <c r="AH6640">
        <v>21.2159508167124</v>
      </c>
      <c r="AI6640">
        <v>92.983064971411395</v>
      </c>
      <c r="AJ6640">
        <v>87.499661446677393</v>
      </c>
      <c r="AK6640">
        <v>21.264983316544601</v>
      </c>
    </row>
    <row r="6641" spans="1:37" x14ac:dyDescent="0.2">
      <c r="A6641" t="str">
        <f>"20200111155731751"</f>
        <v>20200111155731751</v>
      </c>
      <c r="B6641" t="str">
        <f>"1578729451739499"</f>
        <v>1578729451739499</v>
      </c>
      <c r="C6641" t="s">
        <v>37</v>
      </c>
      <c r="D6641">
        <v>5.1920019999999996</v>
      </c>
      <c r="E6641">
        <v>0.54012729999999998</v>
      </c>
      <c r="F6641" t="s">
        <v>38</v>
      </c>
      <c r="G6641">
        <v>-188.3861</v>
      </c>
      <c r="H6641" s="1">
        <v>-2.6476409999999999E-6</v>
      </c>
      <c r="I6641">
        <v>55.137180000000001</v>
      </c>
      <c r="J6641">
        <v>-187.91370000000001</v>
      </c>
      <c r="K6641">
        <v>1.1065659999999999</v>
      </c>
      <c r="L6641">
        <v>33.735720000000001</v>
      </c>
      <c r="M6641">
        <v>-6.6339690000000007E-2</v>
      </c>
      <c r="N6641">
        <v>0</v>
      </c>
      <c r="O6641">
        <v>0.99768860000000004</v>
      </c>
      <c r="P6641">
        <v>-0.12851089999999901</v>
      </c>
      <c r="Q6641">
        <v>1.6325610000000001E-2</v>
      </c>
      <c r="R6641">
        <v>0.991573699999999</v>
      </c>
      <c r="S6641">
        <v>-6.8801879999999996E-2</v>
      </c>
      <c r="T6641">
        <v>-0.15375549999999999</v>
      </c>
      <c r="U6641">
        <v>3.0186769999999998</v>
      </c>
      <c r="V6641">
        <v>-6.2572349999999999E-2</v>
      </c>
      <c r="W6641">
        <v>3.0738580000000001E-2</v>
      </c>
      <c r="X6641">
        <v>0.99756690000000003</v>
      </c>
      <c r="Y6641">
        <v>4.3623000000000002E-2</v>
      </c>
      <c r="Z6641">
        <v>-5.0670020000000003E-2</v>
      </c>
      <c r="AA6641">
        <v>0.99776229999999999</v>
      </c>
      <c r="AB6641">
        <v>35</v>
      </c>
      <c r="AC6641">
        <v>-0.47239999999999299</v>
      </c>
      <c r="AD6641">
        <v>-1.1065686476409999</v>
      </c>
      <c r="AE6641">
        <v>21.40146</v>
      </c>
      <c r="AF6641">
        <v>0.94603288853661205</v>
      </c>
      <c r="AG6641">
        <v>-1.1065686476409999</v>
      </c>
      <c r="AH6641">
        <v>21.328653649622002</v>
      </c>
      <c r="AI6641">
        <v>92.967032569437194</v>
      </c>
      <c r="AJ6641">
        <v>87.4603091042366</v>
      </c>
      <c r="AK6641">
        <v>21.378281944620099</v>
      </c>
    </row>
    <row r="6642" spans="1:37" x14ac:dyDescent="0.2">
      <c r="A6642" t="str">
        <f>"20200111155731773"</f>
        <v>20200111155731773</v>
      </c>
      <c r="B6642" t="str">
        <f>"1578729451769757"</f>
        <v>1578729451769757</v>
      </c>
      <c r="C6642" t="s">
        <v>37</v>
      </c>
      <c r="D6642">
        <v>5.0640919999999996</v>
      </c>
      <c r="E6642">
        <v>0.54030009999999995</v>
      </c>
      <c r="F6642" t="s">
        <v>38</v>
      </c>
      <c r="G6642">
        <v>-188.43610000000001</v>
      </c>
      <c r="H6642" s="1">
        <v>-2.7298199999999998E-6</v>
      </c>
      <c r="I6642">
        <v>55.349379999999996</v>
      </c>
      <c r="J6642">
        <v>-187.9385</v>
      </c>
      <c r="K6642">
        <v>1.1064719999999999</v>
      </c>
      <c r="L6642">
        <v>34.082609999999903</v>
      </c>
      <c r="M6642">
        <v>-6.7980070000000004E-2</v>
      </c>
      <c r="N6642">
        <v>0</v>
      </c>
      <c r="O6642">
        <v>0.99757830000000003</v>
      </c>
      <c r="P6642">
        <v>-0.13010369999999999</v>
      </c>
      <c r="Q6642">
        <v>1.650917E-2</v>
      </c>
      <c r="R6642">
        <v>0.99136290000000005</v>
      </c>
      <c r="S6642">
        <v>-7.295227E-2</v>
      </c>
      <c r="T6642">
        <v>-0.1545445</v>
      </c>
      <c r="U6642">
        <v>3.0185849999999999</v>
      </c>
      <c r="V6642">
        <v>-6.2528680000000003E-2</v>
      </c>
      <c r="W6642">
        <v>3.0931139999999999E-2</v>
      </c>
      <c r="X6642">
        <v>0.99756369999999905</v>
      </c>
      <c r="Y6642">
        <v>4.389419E-2</v>
      </c>
      <c r="Z6642">
        <v>-5.0921319999999999E-2</v>
      </c>
      <c r="AA6642">
        <v>0.9977376</v>
      </c>
      <c r="AB6642">
        <v>35</v>
      </c>
      <c r="AC6642">
        <v>-0.49760000000000498</v>
      </c>
      <c r="AD6642">
        <v>-1.1064747298199999</v>
      </c>
      <c r="AE6642">
        <v>21.266770000000001</v>
      </c>
      <c r="AF6642">
        <v>0.94686250585350895</v>
      </c>
      <c r="AG6642">
        <v>-1.1064747298199999</v>
      </c>
      <c r="AH6642">
        <v>21.19405321799</v>
      </c>
      <c r="AI6642">
        <v>92.9855463455917</v>
      </c>
      <c r="AJ6642">
        <v>87.441962891835999</v>
      </c>
      <c r="AK6642">
        <v>21.244028025299599</v>
      </c>
    </row>
    <row r="6643" spans="1:37" x14ac:dyDescent="0.2">
      <c r="A6643" t="str">
        <f>"20200111155731797"</f>
        <v>20200111155731797</v>
      </c>
      <c r="B6643" t="str">
        <f>"1578729451790253"</f>
        <v>1578729451790253</v>
      </c>
      <c r="C6643" t="s">
        <v>37</v>
      </c>
      <c r="D6643">
        <v>5.1174900000000001</v>
      </c>
      <c r="E6643">
        <v>0.54040540000000004</v>
      </c>
      <c r="F6643" t="s">
        <v>38</v>
      </c>
      <c r="G6643">
        <v>-188.49430000000001</v>
      </c>
      <c r="H6643" s="1">
        <v>-3.03843799999999E-6</v>
      </c>
      <c r="I6643">
        <v>56.092859999999902</v>
      </c>
      <c r="J6643">
        <v>-187.9648</v>
      </c>
      <c r="K6643">
        <v>1.106363</v>
      </c>
      <c r="L6643">
        <v>34.44473</v>
      </c>
      <c r="M6643">
        <v>-6.9565399999999999E-2</v>
      </c>
      <c r="N6643">
        <v>0</v>
      </c>
      <c r="O6643">
        <v>0.997469099999999</v>
      </c>
      <c r="P6643">
        <v>-0.13126750000000001</v>
      </c>
      <c r="Q6643">
        <v>1.6090810000000001E-2</v>
      </c>
      <c r="R6643">
        <v>0.9912164</v>
      </c>
      <c r="S6643">
        <v>-7.6232910000000001E-2</v>
      </c>
      <c r="T6643">
        <v>-0.15175</v>
      </c>
      <c r="U6643">
        <v>3.0186459999999999</v>
      </c>
      <c r="V6643">
        <v>-6.2103720000000001E-2</v>
      </c>
      <c r="W6643">
        <v>3.052506E-2</v>
      </c>
      <c r="X6643">
        <v>0.99760280000000001</v>
      </c>
      <c r="Y6643">
        <v>4.4397569999999997E-2</v>
      </c>
      <c r="Z6643">
        <v>-4.9992439999999999E-2</v>
      </c>
      <c r="AA6643">
        <v>0.99776229999999999</v>
      </c>
      <c r="AB6643">
        <v>35</v>
      </c>
      <c r="AC6643">
        <v>-0.52950000000001296</v>
      </c>
      <c r="AD6643">
        <v>-1.1063660384380001</v>
      </c>
      <c r="AE6643">
        <v>21.648129999999899</v>
      </c>
      <c r="AF6643">
        <v>0.97536055504321495</v>
      </c>
      <c r="AG6643">
        <v>-1.1063660384380001</v>
      </c>
      <c r="AH6643">
        <v>21.576191396721399</v>
      </c>
      <c r="AI6643">
        <v>92.932405050877094</v>
      </c>
      <c r="AJ6643">
        <v>87.411682998194905</v>
      </c>
      <c r="AK6643">
        <v>21.626544088487599</v>
      </c>
    </row>
    <row r="6644" spans="1:37" x14ac:dyDescent="0.2">
      <c r="A6644" t="str">
        <f>"20200111155731819"</f>
        <v>20200111155731819</v>
      </c>
      <c r="B6644" t="str">
        <f>"1578729451809772"</f>
        <v>1578729451809772</v>
      </c>
      <c r="C6644" t="s">
        <v>37</v>
      </c>
      <c r="D6644">
        <v>5.2225729999999997</v>
      </c>
      <c r="E6644">
        <v>0.54091040000000001</v>
      </c>
      <c r="F6644" t="s">
        <v>38</v>
      </c>
      <c r="G6644">
        <v>-188.5402</v>
      </c>
      <c r="H6644" s="1">
        <v>-3.1453230000000002E-6</v>
      </c>
      <c r="I6644">
        <v>56.360990000000001</v>
      </c>
      <c r="J6644">
        <v>-187.99019999999999</v>
      </c>
      <c r="K6644">
        <v>1.1062459999999901</v>
      </c>
      <c r="L6644">
        <v>34.789490000000001</v>
      </c>
      <c r="M6644">
        <v>-7.0933930000000006E-2</v>
      </c>
      <c r="N6644">
        <v>0</v>
      </c>
      <c r="O6644">
        <v>0.997372699999999</v>
      </c>
      <c r="P6644">
        <v>-0.13228290000000001</v>
      </c>
      <c r="Q6644">
        <v>1.486312E-2</v>
      </c>
      <c r="R6644">
        <v>0.99110049999999905</v>
      </c>
      <c r="S6644">
        <v>-7.9254149999999995E-2</v>
      </c>
      <c r="T6644">
        <v>-0.15238119999999999</v>
      </c>
      <c r="U6644">
        <v>3.0185550000000001</v>
      </c>
      <c r="V6644">
        <v>-6.1742529999999997E-2</v>
      </c>
      <c r="W6644">
        <v>2.93111E-2</v>
      </c>
      <c r="X6644">
        <v>0.99766169999999998</v>
      </c>
      <c r="Y6644">
        <v>4.4769780000000002E-2</v>
      </c>
      <c r="Z6644">
        <v>-5.0193050000000003E-2</v>
      </c>
      <c r="AA6644">
        <v>0.99773559999999994</v>
      </c>
      <c r="AB6644">
        <v>35</v>
      </c>
      <c r="AC6644">
        <v>-0.55000000000001104</v>
      </c>
      <c r="AD6644">
        <v>-1.1062491453229999</v>
      </c>
      <c r="AE6644">
        <v>21.5715</v>
      </c>
      <c r="AF6644">
        <v>0.97912897851777503</v>
      </c>
      <c r="AG6644">
        <v>-1.1062491453229999</v>
      </c>
      <c r="AH6644">
        <v>21.499661853646899</v>
      </c>
      <c r="AI6644">
        <v>92.942469743484196</v>
      </c>
      <c r="AJ6644">
        <v>87.392460301229406</v>
      </c>
      <c r="AK6644">
        <v>21.550358246424999</v>
      </c>
    </row>
    <row r="6645" spans="1:37" x14ac:dyDescent="0.2">
      <c r="A6645" t="str">
        <f>"20200111155731841"</f>
        <v>20200111155731841</v>
      </c>
      <c r="B6645" t="str">
        <f>"1578729451830267"</f>
        <v>1578729451830267</v>
      </c>
      <c r="C6645" t="s">
        <v>37</v>
      </c>
      <c r="D6645">
        <v>5.2261870000000004</v>
      </c>
      <c r="E6645">
        <v>0.54130509999999998</v>
      </c>
      <c r="F6645" t="s">
        <v>38</v>
      </c>
      <c r="G6645">
        <v>-188.5558</v>
      </c>
      <c r="H6645" s="1">
        <v>-3.2491099999999998E-6</v>
      </c>
      <c r="I6645">
        <v>56.609380000000002</v>
      </c>
      <c r="J6645">
        <v>-188.01580000000001</v>
      </c>
      <c r="K6645">
        <v>1.1061270000000001</v>
      </c>
      <c r="L6645">
        <v>35.12988</v>
      </c>
      <c r="M6645">
        <v>-7.2134680000000007E-2</v>
      </c>
      <c r="N6645">
        <v>0</v>
      </c>
      <c r="O6645">
        <v>0.99728669999999997</v>
      </c>
      <c r="P6645">
        <v>-0.1331618</v>
      </c>
      <c r="Q6645">
        <v>1.421262E-2</v>
      </c>
      <c r="R6645">
        <v>0.9909924</v>
      </c>
      <c r="S6645">
        <v>-7.8247070000000002E-2</v>
      </c>
      <c r="T6645">
        <v>-0.15304889999999999</v>
      </c>
      <c r="U6645">
        <v>3.0187680000000001</v>
      </c>
      <c r="V6645">
        <v>-6.1414459999999997E-2</v>
      </c>
      <c r="W6645">
        <v>2.8674310000000001E-2</v>
      </c>
      <c r="X6645">
        <v>0.99770040000000004</v>
      </c>
      <c r="Y6645">
        <v>4.630724E-2</v>
      </c>
      <c r="Z6645">
        <v>-5.0400760000000003E-2</v>
      </c>
      <c r="AA6645">
        <v>0.99765499999999996</v>
      </c>
      <c r="AB6645">
        <v>35</v>
      </c>
      <c r="AC6645">
        <v>-0.53999999999999204</v>
      </c>
      <c r="AD6645">
        <v>-1.10613024911</v>
      </c>
      <c r="AE6645">
        <v>21.479500000000002</v>
      </c>
      <c r="AF6645">
        <v>1.00831883082245</v>
      </c>
      <c r="AG6645">
        <v>-1.10613024911</v>
      </c>
      <c r="AH6645">
        <v>21.405757610229799</v>
      </c>
      <c r="AI6645">
        <v>92.9548248995211</v>
      </c>
      <c r="AJ6645">
        <v>87.303074192980901</v>
      </c>
      <c r="AK6645">
        <v>21.4580215737728</v>
      </c>
    </row>
    <row r="6646" spans="1:37" x14ac:dyDescent="0.2">
      <c r="A6646" t="str">
        <f>"20200111155731863"</f>
        <v>20200111155731863</v>
      </c>
      <c r="B6646" t="str">
        <f>"1578729451859548"</f>
        <v>1578729451859548</v>
      </c>
      <c r="C6646" t="s">
        <v>37</v>
      </c>
      <c r="D6646">
        <v>5.2420460000000002</v>
      </c>
      <c r="E6646">
        <v>0.54111929999999997</v>
      </c>
      <c r="F6646" t="s">
        <v>38</v>
      </c>
      <c r="G6646">
        <v>-188.57919999999999</v>
      </c>
      <c r="H6646" s="1">
        <v>-3.412893E-6</v>
      </c>
      <c r="I6646">
        <v>57.000819999999997</v>
      </c>
      <c r="J6646">
        <v>-188.04179999999999</v>
      </c>
      <c r="K6646">
        <v>1.106015</v>
      </c>
      <c r="L6646">
        <v>35.474029999999999</v>
      </c>
      <c r="M6646">
        <v>-7.3226449999999998E-2</v>
      </c>
      <c r="N6646">
        <v>0</v>
      </c>
      <c r="O6646">
        <v>0.99720719999999996</v>
      </c>
      <c r="P6646">
        <v>-0.13433789999999901</v>
      </c>
      <c r="Q6646">
        <v>1.4425469999999999E-2</v>
      </c>
      <c r="R6646">
        <v>0.99083060000000001</v>
      </c>
      <c r="S6646">
        <v>-7.7774049999999997E-2</v>
      </c>
      <c r="T6646">
        <v>-0.15268760000000001</v>
      </c>
      <c r="U6646">
        <v>3.019012</v>
      </c>
      <c r="V6646">
        <v>-6.149922E-2</v>
      </c>
      <c r="W6646">
        <v>2.889833E-2</v>
      </c>
      <c r="X6646">
        <v>0.99768869999999898</v>
      </c>
      <c r="Y6646">
        <v>4.7558929999999999E-2</v>
      </c>
      <c r="Z6646">
        <v>-5.0270629999999997E-2</v>
      </c>
      <c r="AA6646">
        <v>0.99760260000000001</v>
      </c>
      <c r="AB6646">
        <v>35</v>
      </c>
      <c r="AC6646">
        <v>-0.537399999999991</v>
      </c>
      <c r="AD6646">
        <v>-1.106018412893</v>
      </c>
      <c r="AE6646">
        <v>21.526789999999998</v>
      </c>
      <c r="AF6646">
        <v>1.03780562200871</v>
      </c>
      <c r="AG6646">
        <v>-1.106018412893</v>
      </c>
      <c r="AH6646">
        <v>21.451749113505301</v>
      </c>
      <c r="AI6646">
        <v>92.948024974886096</v>
      </c>
      <c r="AJ6646">
        <v>87.230269808951405</v>
      </c>
      <c r="AK6646">
        <v>21.505298353371099</v>
      </c>
    </row>
    <row r="6647" spans="1:37" x14ac:dyDescent="0.2">
      <c r="A6647" t="str">
        <f>"20200111155731886"</f>
        <v>20200111155731886</v>
      </c>
      <c r="B6647" t="str">
        <f>"1578729451880043"</f>
        <v>1578729451880043</v>
      </c>
      <c r="C6647" t="s">
        <v>37</v>
      </c>
      <c r="D6647">
        <v>5.2324570000000001</v>
      </c>
      <c r="E6647">
        <v>0.54998840000000004</v>
      </c>
      <c r="F6647" t="s">
        <v>38</v>
      </c>
      <c r="G6647">
        <v>-188.65719999999999</v>
      </c>
      <c r="H6647" s="1">
        <v>-3.8212900000000003E-6</v>
      </c>
      <c r="I6647">
        <v>57.985069999999901</v>
      </c>
      <c r="J6647">
        <v>-188.06960000000001</v>
      </c>
      <c r="K6647">
        <v>1.105899</v>
      </c>
      <c r="L6647">
        <v>35.836849999999998</v>
      </c>
      <c r="M6647">
        <v>-7.4238479999999996E-2</v>
      </c>
      <c r="N6647">
        <v>0</v>
      </c>
      <c r="O6647">
        <v>0.99713249999999998</v>
      </c>
      <c r="P6647">
        <v>-0.13544900000000001</v>
      </c>
      <c r="Q6647">
        <v>1.544411E-2</v>
      </c>
      <c r="R6647">
        <v>0.99066390000000004</v>
      </c>
      <c r="S6647">
        <v>-8.2519529999999994E-2</v>
      </c>
      <c r="T6647">
        <v>-0.14831749999999999</v>
      </c>
      <c r="U6647">
        <v>3.0187379999999999</v>
      </c>
      <c r="V6647">
        <v>-6.1600580000000002E-2</v>
      </c>
      <c r="W6647">
        <v>2.992833E-2</v>
      </c>
      <c r="X6647">
        <v>0.99765210000000004</v>
      </c>
      <c r="Y6647">
        <v>4.7001250000000001E-2</v>
      </c>
      <c r="Z6647">
        <v>-4.88339E-2</v>
      </c>
      <c r="AA6647">
        <v>0.99770040000000004</v>
      </c>
      <c r="AB6647">
        <v>35</v>
      </c>
      <c r="AC6647">
        <v>-0.58759999999998003</v>
      </c>
      <c r="AD6647">
        <v>-1.1059028212899999</v>
      </c>
      <c r="AE6647">
        <v>22.148219999999899</v>
      </c>
      <c r="AF6647">
        <v>1.05581863473421</v>
      </c>
      <c r="AG6647">
        <v>-1.1059028212899999</v>
      </c>
      <c r="AH6647">
        <v>22.075716043261998</v>
      </c>
      <c r="AI6647">
        <v>92.864617073864096</v>
      </c>
      <c r="AJ6647">
        <v>87.261792576633098</v>
      </c>
      <c r="AK6647">
        <v>22.1286016924325</v>
      </c>
    </row>
    <row r="6648" spans="1:37" x14ac:dyDescent="0.2">
      <c r="A6648" t="str">
        <f>"20200111155731909"</f>
        <v>20200111155731909</v>
      </c>
      <c r="B6648" t="str">
        <f>"1578729451899563"</f>
        <v>1578729451899563</v>
      </c>
      <c r="C6648" t="s">
        <v>37</v>
      </c>
      <c r="D6648">
        <v>5.233581</v>
      </c>
      <c r="E6648">
        <v>0.54898919999999996</v>
      </c>
      <c r="F6648" t="s">
        <v>38</v>
      </c>
      <c r="G6648">
        <v>-188.25989999999999</v>
      </c>
      <c r="H6648" s="1">
        <v>-3.1749950000000002E-6</v>
      </c>
      <c r="I6648">
        <v>76.314260000000004</v>
      </c>
      <c r="J6648">
        <v>-188.0958</v>
      </c>
      <c r="K6648">
        <v>1.1057859999999999</v>
      </c>
      <c r="L6648">
        <v>36.176569999999998</v>
      </c>
      <c r="M6648">
        <v>-7.5049679999999994E-2</v>
      </c>
      <c r="N6648">
        <v>0</v>
      </c>
      <c r="O6648">
        <v>0.99707190000000001</v>
      </c>
      <c r="P6648">
        <v>-0.1362865</v>
      </c>
      <c r="Q6648">
        <v>1.6709129999999999E-2</v>
      </c>
      <c r="R6648">
        <v>0.99052850000000003</v>
      </c>
      <c r="S6648">
        <v>-1.4236449999999999E-2</v>
      </c>
      <c r="T6648">
        <v>-8.2718970000000003E-2</v>
      </c>
      <c r="U6648">
        <v>3.0276179999999999</v>
      </c>
      <c r="V6648">
        <v>-6.162815E-2</v>
      </c>
      <c r="W6648">
        <v>3.120471E-2</v>
      </c>
      <c r="X6648">
        <v>0.99761129999999998</v>
      </c>
      <c r="Y6648">
        <v>7.0369749999999995E-2</v>
      </c>
      <c r="Z6648">
        <v>-2.7161729999999999E-2</v>
      </c>
      <c r="AA6648">
        <v>0.99715109999999996</v>
      </c>
      <c r="AB6648">
        <v>35</v>
      </c>
      <c r="AC6648">
        <v>-0.16409999999999</v>
      </c>
      <c r="AD6648">
        <v>-1.105789174995</v>
      </c>
      <c r="AE6648">
        <v>40.137689999999999</v>
      </c>
      <c r="AF6648">
        <v>2.8468471095529102</v>
      </c>
      <c r="AG6648">
        <v>-1.105789174995</v>
      </c>
      <c r="AH6648">
        <v>40.006421870184198</v>
      </c>
      <c r="AI6648">
        <v>91.579277526373602</v>
      </c>
      <c r="AJ6648">
        <v>85.929707474793801</v>
      </c>
      <c r="AK6648">
        <v>40.122825162491502</v>
      </c>
    </row>
    <row r="6649" spans="1:37" x14ac:dyDescent="0.2">
      <c r="A6649" t="str">
        <f>"20200111155731931"</f>
        <v>20200111155731931</v>
      </c>
      <c r="B6649" t="str">
        <f>"1578729451920059"</f>
        <v>1578729451920059</v>
      </c>
      <c r="C6649" t="s">
        <v>37</v>
      </c>
      <c r="D6649">
        <v>5.3019800000000004</v>
      </c>
      <c r="E6649">
        <v>0.54891159999999894</v>
      </c>
      <c r="F6649" t="s">
        <v>38</v>
      </c>
      <c r="G6649">
        <v>-188.41489999999999</v>
      </c>
      <c r="H6649" s="1">
        <v>-2.6632029999999899E-6</v>
      </c>
      <c r="I6649">
        <v>75.185369999999907</v>
      </c>
      <c r="J6649">
        <v>-188.12309999999999</v>
      </c>
      <c r="K6649">
        <v>1.105661</v>
      </c>
      <c r="L6649">
        <v>36.528350000000003</v>
      </c>
      <c r="M6649">
        <v>-7.5746480000000005E-2</v>
      </c>
      <c r="N6649">
        <v>0</v>
      </c>
      <c r="O6649">
        <v>0.997019199999999</v>
      </c>
      <c r="P6649">
        <v>-0.13653419999999999</v>
      </c>
      <c r="Q6649">
        <v>1.7995339999999999E-2</v>
      </c>
      <c r="R6649">
        <v>0.99047189999999996</v>
      </c>
      <c r="S6649">
        <v>-2.476501E-2</v>
      </c>
      <c r="T6649">
        <v>-8.5799340000000002E-2</v>
      </c>
      <c r="U6649">
        <v>3.0267330000000001</v>
      </c>
      <c r="V6649">
        <v>-6.1175130000000001E-2</v>
      </c>
      <c r="W6649">
        <v>3.2505340000000001E-2</v>
      </c>
      <c r="X6649">
        <v>0.99759759999999997</v>
      </c>
      <c r="Y6649">
        <v>6.7597009999999999E-2</v>
      </c>
      <c r="Z6649">
        <v>-2.8180810000000001E-2</v>
      </c>
      <c r="AA6649">
        <v>0.99731460000000005</v>
      </c>
      <c r="AB6649">
        <v>35</v>
      </c>
      <c r="AC6649">
        <v>-0.29179999999999401</v>
      </c>
      <c r="AD6649">
        <v>-1.1056636632029999</v>
      </c>
      <c r="AE6649">
        <v>38.657019999999903</v>
      </c>
      <c r="AF6649">
        <v>2.63533102280805</v>
      </c>
      <c r="AG6649">
        <v>-1.1056636632029999</v>
      </c>
      <c r="AH6649">
        <v>38.536520152359103</v>
      </c>
      <c r="AI6649">
        <v>91.639613439560407</v>
      </c>
      <c r="AJ6649">
        <v>86.087902409833603</v>
      </c>
      <c r="AK6649">
        <v>38.642345259948698</v>
      </c>
    </row>
    <row r="6650" spans="1:37" x14ac:dyDescent="0.2">
      <c r="A6650" t="str">
        <f>"20200111155731952"</f>
        <v>20200111155731952</v>
      </c>
      <c r="B6650" t="str">
        <f>"1578729451939579"</f>
        <v>1578729451939579</v>
      </c>
      <c r="C6650" t="s">
        <v>37</v>
      </c>
      <c r="D6650">
        <v>5.1739639999999998</v>
      </c>
      <c r="E6650">
        <v>0.54883979999999999</v>
      </c>
      <c r="F6650" t="s">
        <v>38</v>
      </c>
      <c r="G6650">
        <v>-188.46430000000001</v>
      </c>
      <c r="H6650" s="1">
        <v>-2.97923499999999E-6</v>
      </c>
      <c r="I6650">
        <v>75.942440000000005</v>
      </c>
      <c r="J6650">
        <v>-188.148</v>
      </c>
      <c r="K6650">
        <v>1.1055409999999899</v>
      </c>
      <c r="L6650">
        <v>36.848659999999903</v>
      </c>
      <c r="M6650">
        <v>-7.6256279999999996E-2</v>
      </c>
      <c r="N6650">
        <v>0</v>
      </c>
      <c r="O6650">
        <v>0.99698050000000005</v>
      </c>
      <c r="P6650">
        <v>-0.1364098</v>
      </c>
      <c r="Q6650">
        <v>1.8622639999999999E-2</v>
      </c>
      <c r="R6650">
        <v>0.99047739999999995</v>
      </c>
      <c r="S6650">
        <v>-2.6199340000000002E-2</v>
      </c>
      <c r="T6650">
        <v>-8.4909200000000004E-2</v>
      </c>
      <c r="U6650">
        <v>3.02679399999999</v>
      </c>
      <c r="V6650">
        <v>-6.0531649999999999E-2</v>
      </c>
      <c r="W6650">
        <v>3.3146809999999999E-2</v>
      </c>
      <c r="X6650">
        <v>0.99761580000000005</v>
      </c>
      <c r="Y6650">
        <v>6.7634689999999997E-2</v>
      </c>
      <c r="Z6650">
        <v>-2.788639E-2</v>
      </c>
      <c r="AA6650">
        <v>0.9973204</v>
      </c>
      <c r="AB6650">
        <v>35</v>
      </c>
      <c r="AC6650">
        <v>-0.31630000000001202</v>
      </c>
      <c r="AD6650">
        <v>-1.1055439792349999</v>
      </c>
      <c r="AE6650">
        <v>39.093780000000002</v>
      </c>
      <c r="AF6650">
        <v>2.6639574636195502</v>
      </c>
      <c r="AG6650">
        <v>-1.1055439792349999</v>
      </c>
      <c r="AH6650">
        <v>38.972881405231199</v>
      </c>
      <c r="AI6650">
        <v>91.621093335542895</v>
      </c>
      <c r="AJ6650">
        <v>86.089679226221406</v>
      </c>
      <c r="AK6650">
        <v>39.079462405260998</v>
      </c>
    </row>
    <row r="6651" spans="1:37" x14ac:dyDescent="0.2">
      <c r="A6651" t="str">
        <f>"20200111155731986"</f>
        <v>20200111155731986</v>
      </c>
      <c r="B6651" t="str">
        <f>"1578729451979596"</f>
        <v>1578729451979596</v>
      </c>
      <c r="C6651" t="s">
        <v>37</v>
      </c>
      <c r="D6651">
        <v>5.191859</v>
      </c>
      <c r="E6651">
        <v>0.54895959999999999</v>
      </c>
      <c r="F6651" t="s">
        <v>38</v>
      </c>
      <c r="G6651">
        <v>-188.47329999999999</v>
      </c>
      <c r="H6651" s="1">
        <v>-2.1061189999999999E-6</v>
      </c>
      <c r="I6651">
        <v>73.910919999999905</v>
      </c>
      <c r="J6651">
        <v>-188.18819999999999</v>
      </c>
      <c r="K6651">
        <v>1.1053539999999999</v>
      </c>
      <c r="L6651">
        <v>37.364069999999998</v>
      </c>
      <c r="M6651">
        <v>-7.6841770000000004E-2</v>
      </c>
      <c r="N6651">
        <v>0</v>
      </c>
      <c r="O6651">
        <v>0.99693559999999903</v>
      </c>
      <c r="P6651">
        <v>-0.1360355</v>
      </c>
      <c r="Q6651">
        <v>1.9106689999999999E-2</v>
      </c>
      <c r="R6651">
        <v>0.9905197</v>
      </c>
      <c r="S6651">
        <v>-2.656555E-2</v>
      </c>
      <c r="T6651">
        <v>-9.029007E-2</v>
      </c>
      <c r="U6651">
        <v>3.0268860000000002</v>
      </c>
      <c r="V6651">
        <v>-5.955448E-2</v>
      </c>
      <c r="W6651">
        <v>3.3652929999999998E-2</v>
      </c>
      <c r="X6651">
        <v>0.99765769999999998</v>
      </c>
      <c r="Y6651">
        <v>6.8100659999999993E-2</v>
      </c>
      <c r="Z6651">
        <v>-2.9648689999999998E-2</v>
      </c>
      <c r="AA6651">
        <v>0.99723779999999995</v>
      </c>
      <c r="AB6651">
        <v>35</v>
      </c>
      <c r="AC6651">
        <v>-0.28509999999999902</v>
      </c>
      <c r="AD6651">
        <v>-1.105356106119</v>
      </c>
      <c r="AE6651">
        <v>36.5468499999999</v>
      </c>
      <c r="AF6651">
        <v>2.5220624459551</v>
      </c>
      <c r="AG6651">
        <v>-1.105356106119</v>
      </c>
      <c r="AH6651">
        <v>36.427358570095898</v>
      </c>
      <c r="AI6651">
        <v>91.733908371595206</v>
      </c>
      <c r="AJ6651">
        <v>86.039424574403299</v>
      </c>
      <c r="AK6651">
        <v>36.531288828851501</v>
      </c>
    </row>
    <row r="6652" spans="1:37" x14ac:dyDescent="0.2">
      <c r="A6652" t="str">
        <f>"20200111155732008"</f>
        <v>20200111155732008</v>
      </c>
      <c r="B6652" t="str">
        <f>"1578729452000091"</f>
        <v>1578729452000091</v>
      </c>
      <c r="C6652" t="s">
        <v>37</v>
      </c>
      <c r="D6652">
        <v>5.4300290000000002</v>
      </c>
      <c r="E6652">
        <v>0.54837969999999903</v>
      </c>
      <c r="F6652" t="s">
        <v>38</v>
      </c>
      <c r="G6652">
        <v>-188.48</v>
      </c>
      <c r="H6652" s="1">
        <v>-1.8025219999999899E-6</v>
      </c>
      <c r="I6652">
        <v>73.206000000000003</v>
      </c>
      <c r="J6652">
        <v>-188.21599999999901</v>
      </c>
      <c r="K6652">
        <v>1.105253</v>
      </c>
      <c r="L6652">
        <v>37.72</v>
      </c>
      <c r="M6652">
        <v>-7.710098E-2</v>
      </c>
      <c r="N6652">
        <v>0</v>
      </c>
      <c r="O6652">
        <v>0.99691569999999996</v>
      </c>
      <c r="P6652">
        <v>-0.1355025</v>
      </c>
      <c r="Q6652">
        <v>2.0887369999999999E-2</v>
      </c>
      <c r="R6652">
        <v>0.99055680000000002</v>
      </c>
      <c r="S6652">
        <v>-2.4642939999999999E-2</v>
      </c>
      <c r="T6652">
        <v>-9.3355889999999997E-2</v>
      </c>
      <c r="U6652">
        <v>3.0271300000000001</v>
      </c>
      <c r="V6652">
        <v>-5.8752550000000001E-2</v>
      </c>
      <c r="W6652">
        <v>3.5446199999999997E-2</v>
      </c>
      <c r="X6652">
        <v>0.9976431</v>
      </c>
      <c r="Y6652">
        <v>6.899429E-2</v>
      </c>
      <c r="Z6652">
        <v>-3.0650219999999999E-2</v>
      </c>
      <c r="AA6652">
        <v>0.99714609999999904</v>
      </c>
      <c r="AB6652">
        <v>35</v>
      </c>
      <c r="AC6652">
        <v>-0.26400000000001</v>
      </c>
      <c r="AD6652">
        <v>-1.1052548025219999</v>
      </c>
      <c r="AE6652">
        <v>35.485999999999997</v>
      </c>
      <c r="AF6652">
        <v>2.4706882660442</v>
      </c>
      <c r="AG6652">
        <v>-1.1052548025219999</v>
      </c>
      <c r="AH6652">
        <v>35.366395992336003</v>
      </c>
      <c r="AI6652">
        <v>91.785650306475603</v>
      </c>
      <c r="AJ6652">
        <v>86.003822585218302</v>
      </c>
      <c r="AK6652">
        <v>35.469816100075697</v>
      </c>
    </row>
    <row r="6653" spans="1:37" x14ac:dyDescent="0.2">
      <c r="A6653" t="str">
        <f>"20200111155732030"</f>
        <v>20200111155732030</v>
      </c>
      <c r="B6653" t="str">
        <f>"1578729452019611"</f>
        <v>1578729452019611</v>
      </c>
      <c r="C6653" t="s">
        <v>37</v>
      </c>
      <c r="D6653">
        <v>5.2324739999999998</v>
      </c>
      <c r="E6653">
        <v>0.54826379999999997</v>
      </c>
      <c r="F6653" t="s">
        <v>38</v>
      </c>
      <c r="G6653">
        <v>-188.5471</v>
      </c>
      <c r="H6653" s="1">
        <v>-1.9723280000000001E-6</v>
      </c>
      <c r="I6653">
        <v>73.629580000000004</v>
      </c>
      <c r="J6653">
        <v>-188.24199999999999</v>
      </c>
      <c r="K6653">
        <v>1.105175</v>
      </c>
      <c r="L6653">
        <v>38.053220000000003</v>
      </c>
      <c r="M6653">
        <v>-7.7260930000000005E-2</v>
      </c>
      <c r="N6653">
        <v>0</v>
      </c>
      <c r="O6653">
        <v>0.9969034</v>
      </c>
      <c r="P6653">
        <v>-0.13467850000000001</v>
      </c>
      <c r="Q6653">
        <v>2.3768210000000001E-2</v>
      </c>
      <c r="R6653">
        <v>0.99060419999999905</v>
      </c>
      <c r="S6653">
        <v>-2.7908329999999999E-2</v>
      </c>
      <c r="T6653">
        <v>-9.3159320000000004E-2</v>
      </c>
      <c r="U6653">
        <v>3.0267330000000001</v>
      </c>
      <c r="V6653">
        <v>-5.7761149999999997E-2</v>
      </c>
      <c r="W6653">
        <v>3.8335760000000003E-2</v>
      </c>
      <c r="X6653">
        <v>0.99759409999999904</v>
      </c>
      <c r="Y6653">
        <v>6.8077559999999995E-2</v>
      </c>
      <c r="Z6653">
        <v>-3.0590010000000001E-2</v>
      </c>
      <c r="AA6653">
        <v>0.99721099999999996</v>
      </c>
      <c r="AB6653">
        <v>35</v>
      </c>
      <c r="AC6653">
        <v>-0.305099999999981</v>
      </c>
      <c r="AD6653">
        <v>-1.1051769723280001</v>
      </c>
      <c r="AE6653">
        <v>35.576360000000001</v>
      </c>
      <c r="AF6653">
        <v>2.44241264926834</v>
      </c>
      <c r="AG6653">
        <v>-1.1051769723280001</v>
      </c>
      <c r="AH6653">
        <v>35.459354144348197</v>
      </c>
      <c r="AI6653">
        <v>91.780967317171005</v>
      </c>
      <c r="AJ6653">
        <v>86.059734871535298</v>
      </c>
      <c r="AK6653">
        <v>35.560548252575799</v>
      </c>
    </row>
    <row r="6654" spans="1:37" x14ac:dyDescent="0.2">
      <c r="A6654" t="str">
        <f>"20200111155732053"</f>
        <v>20200111155732053</v>
      </c>
      <c r="B6654" t="str">
        <f>"1578729452049867"</f>
        <v>1578729452049867</v>
      </c>
      <c r="C6654" t="s">
        <v>37</v>
      </c>
      <c r="D6654">
        <v>5.2094899999999997</v>
      </c>
      <c r="E6654">
        <v>0.5479598</v>
      </c>
      <c r="F6654" t="s">
        <v>38</v>
      </c>
      <c r="G6654">
        <v>-188.572</v>
      </c>
      <c r="H6654" s="1">
        <v>-2.9282129999999999E-6</v>
      </c>
      <c r="I6654">
        <v>75.868039999999993</v>
      </c>
      <c r="J6654">
        <v>-188.2688</v>
      </c>
      <c r="K6654">
        <v>1.105105</v>
      </c>
      <c r="L6654">
        <v>38.396329999999999</v>
      </c>
      <c r="M6654">
        <v>-7.7355499999999994E-2</v>
      </c>
      <c r="N6654">
        <v>0</v>
      </c>
      <c r="O6654">
        <v>0.99689609999999995</v>
      </c>
      <c r="P6654">
        <v>-0.1338222</v>
      </c>
      <c r="Q6654">
        <v>2.4977470000000002E-2</v>
      </c>
      <c r="R6654">
        <v>0.99069050000000003</v>
      </c>
      <c r="S6654">
        <v>-2.6412959999999999E-2</v>
      </c>
      <c r="T6654">
        <v>-8.8466639999999999E-2</v>
      </c>
      <c r="U6654">
        <v>3.02697799999999</v>
      </c>
      <c r="V6654">
        <v>-5.679944E-2</v>
      </c>
      <c r="W6654">
        <v>3.9552209999999997E-2</v>
      </c>
      <c r="X6654">
        <v>0.99760190000000004</v>
      </c>
      <c r="Y6654">
        <v>6.8665119999999996E-2</v>
      </c>
      <c r="Z6654">
        <v>-2.904727E-2</v>
      </c>
      <c r="AA6654">
        <v>0.99721680000000001</v>
      </c>
      <c r="AB6654">
        <v>34</v>
      </c>
      <c r="AC6654">
        <v>-0.30320000000000302</v>
      </c>
      <c r="AD6654">
        <v>-1.1051079282130001</v>
      </c>
      <c r="AE6654">
        <v>37.471710000000002</v>
      </c>
      <c r="AF6654">
        <v>2.59440582488544</v>
      </c>
      <c r="AG6654">
        <v>-1.1051079282130001</v>
      </c>
      <c r="AH6654">
        <v>37.350377436570902</v>
      </c>
      <c r="AI6654">
        <v>91.690678652789401</v>
      </c>
      <c r="AJ6654">
        <v>86.026542862813002</v>
      </c>
      <c r="AK6654">
        <v>37.456680309011702</v>
      </c>
    </row>
    <row r="6655" spans="1:37" x14ac:dyDescent="0.2">
      <c r="A6655" t="str">
        <f>"20200111155732075"</f>
        <v>20200111155732075</v>
      </c>
      <c r="B6655" t="str">
        <f>"1578729452070364"</f>
        <v>1578729452070364</v>
      </c>
      <c r="C6655" t="s">
        <v>37</v>
      </c>
      <c r="D6655">
        <v>5.2585350000000002</v>
      </c>
      <c r="E6655">
        <v>0.54795719999999903</v>
      </c>
      <c r="F6655" t="s">
        <v>38</v>
      </c>
      <c r="G6655">
        <v>-188.5882</v>
      </c>
      <c r="H6655" s="1">
        <v>-2.5613819999999899E-6</v>
      </c>
      <c r="I6655">
        <v>75.019649999999999</v>
      </c>
      <c r="J6655">
        <v>-188.29519999999999</v>
      </c>
      <c r="K6655">
        <v>1.1050329999999999</v>
      </c>
      <c r="L6655">
        <v>38.735929999999897</v>
      </c>
      <c r="M6655">
        <v>-7.7399599999999999E-2</v>
      </c>
      <c r="N6655">
        <v>0</v>
      </c>
      <c r="O6655">
        <v>0.99689280000000002</v>
      </c>
      <c r="P6655">
        <v>-0.1330942</v>
      </c>
      <c r="Q6655">
        <v>2.4385219999999999E-2</v>
      </c>
      <c r="R6655">
        <v>0.9908034</v>
      </c>
      <c r="S6655">
        <v>-2.6397710000000001E-2</v>
      </c>
      <c r="T6655">
        <v>-9.1338039999999995E-2</v>
      </c>
      <c r="U6655">
        <v>3.0269469999999998</v>
      </c>
      <c r="V6655">
        <v>-5.6014870000000001E-2</v>
      </c>
      <c r="W6655">
        <v>3.8965199999999998E-2</v>
      </c>
      <c r="X6655">
        <v>0.99766929999999998</v>
      </c>
      <c r="Y6655">
        <v>6.8714449999999996E-2</v>
      </c>
      <c r="Z6655">
        <v>-2.998932E-2</v>
      </c>
      <c r="AA6655">
        <v>0.99718549999999995</v>
      </c>
      <c r="AB6655">
        <v>34</v>
      </c>
      <c r="AC6655">
        <v>-0.29300000000000598</v>
      </c>
      <c r="AD6655">
        <v>-1.105035561382</v>
      </c>
      <c r="AE6655">
        <v>36.283720000000002</v>
      </c>
      <c r="AF6655">
        <v>2.5141933234767802</v>
      </c>
      <c r="AG6655">
        <v>-1.105035561382</v>
      </c>
      <c r="AH6655">
        <v>36.163990435326397</v>
      </c>
      <c r="AI6655">
        <v>91.7459872545314</v>
      </c>
      <c r="AJ6655">
        <v>86.023081203697501</v>
      </c>
      <c r="AK6655">
        <v>36.268119276661103</v>
      </c>
    </row>
    <row r="6656" spans="1:37" x14ac:dyDescent="0.2">
      <c r="A6656" t="str">
        <f>"20200111155732097"</f>
        <v>20200111155732097</v>
      </c>
      <c r="B6656" t="str">
        <f>"1578729452089885"</f>
        <v>1578729452089885</v>
      </c>
      <c r="C6656" t="s">
        <v>37</v>
      </c>
      <c r="D6656">
        <v>5.2872029999999999</v>
      </c>
      <c r="E6656">
        <v>0.54759690000000005</v>
      </c>
      <c r="F6656" t="s">
        <v>38</v>
      </c>
      <c r="G6656">
        <v>-188.5735</v>
      </c>
      <c r="H6656" s="1">
        <v>-1.8573110000000001E-6</v>
      </c>
      <c r="I6656">
        <v>73.372399999999999</v>
      </c>
      <c r="J6656">
        <v>-188.3219</v>
      </c>
      <c r="K6656">
        <v>1.1049819999999999</v>
      </c>
      <c r="L6656">
        <v>39.077579999999998</v>
      </c>
      <c r="M6656">
        <v>-7.7414620000000003E-2</v>
      </c>
      <c r="N6656">
        <v>0</v>
      </c>
      <c r="O6656">
        <v>0.99689169999999905</v>
      </c>
      <c r="P6656">
        <v>-0.1328724</v>
      </c>
      <c r="Q6656">
        <v>2.464616E-2</v>
      </c>
      <c r="R6656">
        <v>0.99082669999999995</v>
      </c>
      <c r="S6656">
        <v>-2.4322509999999999E-2</v>
      </c>
      <c r="T6656">
        <v>-9.6571089999999998E-2</v>
      </c>
      <c r="U6656">
        <v>3.0269469999999998</v>
      </c>
      <c r="V6656">
        <v>-5.5771670000000002E-2</v>
      </c>
      <c r="W6656">
        <v>3.9227730000000002E-2</v>
      </c>
      <c r="X6656">
        <v>0.99767260000000002</v>
      </c>
      <c r="Y6656">
        <v>6.9413459999999996E-2</v>
      </c>
      <c r="Z6656">
        <v>-3.1705070000000002E-2</v>
      </c>
      <c r="AA6656">
        <v>0.99708399999999997</v>
      </c>
      <c r="AB6656">
        <v>34</v>
      </c>
      <c r="AC6656">
        <v>-0.25159999999999599</v>
      </c>
      <c r="AD6656">
        <v>-1.104983857311</v>
      </c>
      <c r="AE6656">
        <v>34.294820000000001</v>
      </c>
      <c r="AF6656">
        <v>2.4018663517577501</v>
      </c>
      <c r="AG6656">
        <v>-1.104983857311</v>
      </c>
      <c r="AH6656">
        <v>34.175880939250497</v>
      </c>
      <c r="AI6656">
        <v>91.847304244997801</v>
      </c>
      <c r="AJ6656">
        <v>85.979887070233204</v>
      </c>
      <c r="AK6656">
        <v>34.277992783569601</v>
      </c>
    </row>
    <row r="6657" spans="1:37" x14ac:dyDescent="0.2">
      <c r="A6657" t="str">
        <f>"20200111155732122"</f>
        <v>20200111155732122</v>
      </c>
      <c r="B6657" t="str">
        <f>"1578729452110380"</f>
        <v>1578729452110380</v>
      </c>
      <c r="C6657" t="s">
        <v>37</v>
      </c>
      <c r="D6657">
        <v>5.2495440000000002</v>
      </c>
      <c r="E6657">
        <v>0.54741569999999995</v>
      </c>
      <c r="F6657" t="s">
        <v>38</v>
      </c>
      <c r="G6657">
        <v>-188.61599999999899</v>
      </c>
      <c r="H6657" s="1">
        <v>-1.457554E-6</v>
      </c>
      <c r="I6657">
        <v>72.458109999999905</v>
      </c>
      <c r="J6657">
        <v>-188.35040000000001</v>
      </c>
      <c r="K6657">
        <v>1.104941</v>
      </c>
      <c r="L6657">
        <v>39.44406</v>
      </c>
      <c r="M6657">
        <v>-7.7414070000000001E-2</v>
      </c>
      <c r="N6657">
        <v>0</v>
      </c>
      <c r="O6657">
        <v>0.99689179999999999</v>
      </c>
      <c r="P6657">
        <v>-0.13322429999999999</v>
      </c>
      <c r="Q6657">
        <v>2.4796740000000001E-2</v>
      </c>
      <c r="R6657">
        <v>0.99077559999999998</v>
      </c>
      <c r="S6657">
        <v>-2.6672359999999999E-2</v>
      </c>
      <c r="T6657">
        <v>-0.1001918</v>
      </c>
      <c r="U6657">
        <v>3.0267029999999999</v>
      </c>
      <c r="V6657">
        <v>-5.6123850000000003E-2</v>
      </c>
      <c r="W6657">
        <v>3.9377820000000001E-2</v>
      </c>
      <c r="X6657">
        <v>0.99764699999999995</v>
      </c>
      <c r="Y6657">
        <v>6.8638519999999995E-2</v>
      </c>
      <c r="Z6657">
        <v>-3.289595E-2</v>
      </c>
      <c r="AA6657">
        <v>0.99709910000000002</v>
      </c>
      <c r="AB6657">
        <v>34</v>
      </c>
      <c r="AC6657">
        <v>-0.26559999999997702</v>
      </c>
      <c r="AD6657">
        <v>-1.1049424575539999</v>
      </c>
      <c r="AE6657">
        <v>33.014049999999898</v>
      </c>
      <c r="AF6657">
        <v>2.2886589533042199</v>
      </c>
      <c r="AG6657">
        <v>-1.1049424575539999</v>
      </c>
      <c r="AH6657">
        <v>32.898668388300798</v>
      </c>
      <c r="AI6657">
        <v>91.918992063392807</v>
      </c>
      <c r="AJ6657">
        <v>86.020520601033198</v>
      </c>
      <c r="AK6657">
        <v>32.996685278409799</v>
      </c>
    </row>
    <row r="6658" spans="1:37" x14ac:dyDescent="0.2">
      <c r="A6658" t="str">
        <f>"20200111155732141"</f>
        <v>20200111155732141</v>
      </c>
      <c r="B6658" t="str">
        <f>"1578729452129900"</f>
        <v>1578729452129900</v>
      </c>
      <c r="C6658" t="s">
        <v>37</v>
      </c>
      <c r="D6658">
        <v>5.6258210000000002</v>
      </c>
      <c r="E6658">
        <v>0.5472553</v>
      </c>
      <c r="F6658" t="s">
        <v>38</v>
      </c>
      <c r="G6658">
        <v>-188.66050000000001</v>
      </c>
      <c r="H6658" s="1">
        <v>-1.0441779999999999E-6</v>
      </c>
      <c r="I6658">
        <v>71.512900000000002</v>
      </c>
      <c r="J6658">
        <v>-188.374</v>
      </c>
      <c r="K6658">
        <v>1.1049199999999999</v>
      </c>
      <c r="L6658">
        <v>39.748379999999997</v>
      </c>
      <c r="M6658">
        <v>-7.740851E-2</v>
      </c>
      <c r="N6658">
        <v>0</v>
      </c>
      <c r="O6658">
        <v>0.99689229999999995</v>
      </c>
      <c r="P6658">
        <v>-0.1330721</v>
      </c>
      <c r="Q6658">
        <v>2.464216E-2</v>
      </c>
      <c r="R6658">
        <v>0.99080000000000001</v>
      </c>
      <c r="S6658">
        <v>-2.9266360000000002E-2</v>
      </c>
      <c r="T6658">
        <v>-0.1042829</v>
      </c>
      <c r="U6658">
        <v>3.0266109999999999</v>
      </c>
      <c r="V6658">
        <v>-5.5973389999999998E-2</v>
      </c>
      <c r="W6658">
        <v>3.9222489999999999E-2</v>
      </c>
      <c r="X6658">
        <v>0.99766149999999998</v>
      </c>
      <c r="Y6658">
        <v>6.777859E-2</v>
      </c>
      <c r="Z6658">
        <v>-3.4239529999999997E-2</v>
      </c>
      <c r="AA6658">
        <v>0.99711269999999996</v>
      </c>
      <c r="AB6658">
        <v>34</v>
      </c>
      <c r="AC6658">
        <v>-0.28649999999998899</v>
      </c>
      <c r="AD6658">
        <v>-1.104921044178</v>
      </c>
      <c r="AE6658">
        <v>31.764520000000001</v>
      </c>
      <c r="AF6658">
        <v>2.1708402713068899</v>
      </c>
      <c r="AG6658">
        <v>-1.104921044178</v>
      </c>
      <c r="AH6658">
        <v>31.653072341909599</v>
      </c>
      <c r="AI6658">
        <v>91.994543731710095</v>
      </c>
      <c r="AJ6658">
        <v>86.076667556030998</v>
      </c>
      <c r="AK6658">
        <v>31.746659457013099</v>
      </c>
    </row>
    <row r="6659" spans="1:37" x14ac:dyDescent="0.2">
      <c r="A6659" t="str">
        <f>"20200111155732166"</f>
        <v>20200111155732166</v>
      </c>
      <c r="B6659" t="str">
        <f>"1578729452160155"</f>
        <v>1578729452160155</v>
      </c>
      <c r="C6659" t="s">
        <v>37</v>
      </c>
      <c r="D6659">
        <v>5.4571370000000003</v>
      </c>
      <c r="E6659">
        <v>0.54713109999999998</v>
      </c>
      <c r="F6659" t="s">
        <v>38</v>
      </c>
      <c r="G6659">
        <v>-188.69589999999999</v>
      </c>
      <c r="H6659" s="1">
        <v>-1.234646E-6</v>
      </c>
      <c r="I6659">
        <v>71.971530000000001</v>
      </c>
      <c r="J6659">
        <v>-188.40219999999999</v>
      </c>
      <c r="K6659">
        <v>1.1048979999999999</v>
      </c>
      <c r="L6659">
        <v>40.110500000000002</v>
      </c>
      <c r="M6659">
        <v>-7.740052E-2</v>
      </c>
      <c r="N6659">
        <v>0</v>
      </c>
      <c r="O6659">
        <v>0.99689300000000003</v>
      </c>
      <c r="P6659">
        <v>-0.13356299999999999</v>
      </c>
      <c r="Q6659">
        <v>2.4709720000000001E-2</v>
      </c>
      <c r="R6659">
        <v>0.99073230000000001</v>
      </c>
      <c r="S6659">
        <v>-3.022766E-2</v>
      </c>
      <c r="T6659">
        <v>-0.10377309999999999</v>
      </c>
      <c r="U6659">
        <v>3.026367</v>
      </c>
      <c r="V6659">
        <v>-5.6474179999999999E-2</v>
      </c>
      <c r="W6659">
        <v>3.928777E-2</v>
      </c>
      <c r="X6659">
        <v>0.99763080000000004</v>
      </c>
      <c r="Y6659">
        <v>6.7453059999999995E-2</v>
      </c>
      <c r="Z6659">
        <v>-3.4075469999999997E-2</v>
      </c>
      <c r="AA6659">
        <v>0.99714040000000004</v>
      </c>
      <c r="AB6659">
        <v>34</v>
      </c>
      <c r="AC6659">
        <v>-0.29370000000000102</v>
      </c>
      <c r="AD6659">
        <v>-1.104899234646</v>
      </c>
      <c r="AE6659">
        <v>31.86103</v>
      </c>
      <c r="AF6659">
        <v>2.17089433335823</v>
      </c>
      <c r="AG6659">
        <v>-1.104899234646</v>
      </c>
      <c r="AH6659">
        <v>31.749984291939601</v>
      </c>
      <c r="AI6659">
        <v>91.988449488285298</v>
      </c>
      <c r="AJ6659">
        <v>86.088508591485805</v>
      </c>
      <c r="AK6659">
        <v>31.843289513863699</v>
      </c>
    </row>
    <row r="6660" spans="1:37" x14ac:dyDescent="0.2">
      <c r="A6660" t="str">
        <f>"20200111155732188"</f>
        <v>20200111155732188</v>
      </c>
      <c r="B6660" t="str">
        <f>"1578729452179676"</f>
        <v>1578729452179676</v>
      </c>
      <c r="C6660" t="s">
        <v>37</v>
      </c>
      <c r="D6660">
        <v>5.2970319999999997</v>
      </c>
      <c r="E6660">
        <v>0.54695499999999997</v>
      </c>
      <c r="F6660" t="s">
        <v>38</v>
      </c>
      <c r="G6660">
        <v>-188.7637</v>
      </c>
      <c r="H6660" s="1">
        <v>-1.975293E-6</v>
      </c>
      <c r="I6660">
        <v>73.726039999999998</v>
      </c>
      <c r="J6660">
        <v>-188.429</v>
      </c>
      <c r="K6660">
        <v>1.104886</v>
      </c>
      <c r="L6660">
        <v>40.455869999999997</v>
      </c>
      <c r="M6660">
        <v>-7.7394000000000004E-2</v>
      </c>
      <c r="N6660">
        <v>0</v>
      </c>
      <c r="O6660">
        <v>0.99689359999999905</v>
      </c>
      <c r="P6660">
        <v>-0.13399169999999999</v>
      </c>
      <c r="Q6660">
        <v>2.440293E-2</v>
      </c>
      <c r="R6660">
        <v>0.9906819</v>
      </c>
      <c r="S6660">
        <v>-3.2547E-2</v>
      </c>
      <c r="T6660">
        <v>-9.9465849999999995E-2</v>
      </c>
      <c r="U6660">
        <v>3.026154</v>
      </c>
      <c r="V6660">
        <v>-5.6910620000000002E-2</v>
      </c>
      <c r="W6660">
        <v>3.8977589999999999E-2</v>
      </c>
      <c r="X6660">
        <v>0.99761809999999995</v>
      </c>
      <c r="Y6660">
        <v>6.668114E-2</v>
      </c>
      <c r="Z6660">
        <v>-3.2665710000000001E-2</v>
      </c>
      <c r="AA6660">
        <v>0.99723949999999995</v>
      </c>
      <c r="AB6660">
        <v>34</v>
      </c>
      <c r="AC6660">
        <v>-0.334699999999998</v>
      </c>
      <c r="AD6660">
        <v>-1.1048879752930001</v>
      </c>
      <c r="AE6660">
        <v>33.270169999999901</v>
      </c>
      <c r="AF6660">
        <v>2.23902122652806</v>
      </c>
      <c r="AG6660">
        <v>-1.1048879752930001</v>
      </c>
      <c r="AH6660">
        <v>33.159696888656299</v>
      </c>
      <c r="AI6660">
        <v>91.904068759430999</v>
      </c>
      <c r="AJ6660">
        <v>86.137116863853194</v>
      </c>
      <c r="AK6660">
        <v>33.253563587055702</v>
      </c>
    </row>
    <row r="6661" spans="1:37" x14ac:dyDescent="0.2">
      <c r="A6661" t="str">
        <f>"20200111155732210"</f>
        <v>20200111155732210</v>
      </c>
      <c r="B6661" t="str">
        <f>"1578729452200171"</f>
        <v>1578729452200171</v>
      </c>
      <c r="C6661" t="s">
        <v>37</v>
      </c>
      <c r="D6661">
        <v>5.3937569999999999</v>
      </c>
      <c r="E6661">
        <v>0.54697359999999995</v>
      </c>
      <c r="F6661" t="s">
        <v>38</v>
      </c>
      <c r="G6661">
        <v>-188.82650000000001</v>
      </c>
      <c r="H6661" s="1">
        <v>-2.427061E-6</v>
      </c>
      <c r="I6661">
        <v>74.805099999999996</v>
      </c>
      <c r="J6661">
        <v>-188.45529999999999</v>
      </c>
      <c r="K6661">
        <v>1.104878</v>
      </c>
      <c r="L6661">
        <v>40.79401</v>
      </c>
      <c r="M6661">
        <v>-7.7389890000000003E-2</v>
      </c>
      <c r="N6661">
        <v>0</v>
      </c>
      <c r="O6661">
        <v>0.9968939</v>
      </c>
      <c r="P6661">
        <v>-0.1345161</v>
      </c>
      <c r="Q6661">
        <v>2.414989E-2</v>
      </c>
      <c r="R6661">
        <v>0.99061710000000003</v>
      </c>
      <c r="S6661">
        <v>-3.5018920000000002E-2</v>
      </c>
      <c r="T6661">
        <v>-9.7331399999999998E-2</v>
      </c>
      <c r="U6661">
        <v>3.0258790000000002</v>
      </c>
      <c r="V6661">
        <v>-5.7441590000000001E-2</v>
      </c>
      <c r="W6661">
        <v>3.8721239999999997E-2</v>
      </c>
      <c r="X6661">
        <v>0.99759769999999903</v>
      </c>
      <c r="Y6661">
        <v>6.5861210000000003E-2</v>
      </c>
      <c r="Z6661">
        <v>-3.1969119999999997E-2</v>
      </c>
      <c r="AA6661">
        <v>0.99731650000000005</v>
      </c>
      <c r="AB6661">
        <v>34</v>
      </c>
      <c r="AC6661">
        <v>-0.37120000000001602</v>
      </c>
      <c r="AD6661">
        <v>-1.104880427061</v>
      </c>
      <c r="AE6661">
        <v>34.011090000000003</v>
      </c>
      <c r="AF6661">
        <v>2.25992416270494</v>
      </c>
      <c r="AG6661">
        <v>-1.104880427061</v>
      </c>
      <c r="AH6661">
        <v>33.902022251294603</v>
      </c>
      <c r="AI6661">
        <v>91.8625010111232</v>
      </c>
      <c r="AJ6661">
        <v>86.186279604377006</v>
      </c>
      <c r="AK6661">
        <v>33.995222174690298</v>
      </c>
    </row>
    <row r="6662" spans="1:37" x14ac:dyDescent="0.2">
      <c r="A6662" t="str">
        <f>"20200111155732231"</f>
        <v>20200111155732231</v>
      </c>
      <c r="B6662" t="str">
        <f>"1578729452219691"</f>
        <v>1578729452219691</v>
      </c>
      <c r="C6662" t="s">
        <v>37</v>
      </c>
      <c r="D6662">
        <v>5.3616359999999998</v>
      </c>
      <c r="E6662">
        <v>0.54706359999999998</v>
      </c>
      <c r="F6662" t="s">
        <v>38</v>
      </c>
      <c r="G6662">
        <v>-188.86490000000001</v>
      </c>
      <c r="H6662" s="1">
        <v>-2.341541E-6</v>
      </c>
      <c r="I6662">
        <v>74.621600000000001</v>
      </c>
      <c r="J6662">
        <v>-188.48050000000001</v>
      </c>
      <c r="K6662">
        <v>1.1048690000000001</v>
      </c>
      <c r="L6662">
        <v>41.117829999999998</v>
      </c>
      <c r="M6662">
        <v>-7.7387940000000002E-2</v>
      </c>
      <c r="N6662">
        <v>0</v>
      </c>
      <c r="O6662">
        <v>0.99689419999999995</v>
      </c>
      <c r="P6662">
        <v>-0.13474320000000001</v>
      </c>
      <c r="Q6662">
        <v>2.4065050000000001E-2</v>
      </c>
      <c r="R6662">
        <v>0.99058829999999998</v>
      </c>
      <c r="S6662">
        <v>-3.6636349999999998E-2</v>
      </c>
      <c r="T6662">
        <v>-9.8830580000000001E-2</v>
      </c>
      <c r="U6662">
        <v>3.0258479999999999</v>
      </c>
      <c r="V6662">
        <v>-5.7672019999999997E-2</v>
      </c>
      <c r="W6662">
        <v>3.8633580000000001E-2</v>
      </c>
      <c r="X6662">
        <v>0.99758780000000002</v>
      </c>
      <c r="Y6662">
        <v>6.532628E-2</v>
      </c>
      <c r="Z6662">
        <v>-3.2461810000000001E-2</v>
      </c>
      <c r="AA6662">
        <v>0.99733579999999999</v>
      </c>
      <c r="AB6662">
        <v>34</v>
      </c>
      <c r="AC6662">
        <v>-0.38439999999999902</v>
      </c>
      <c r="AD6662">
        <v>-1.1048713415410001</v>
      </c>
      <c r="AE6662">
        <v>33.503770000000003</v>
      </c>
      <c r="AF6662">
        <v>2.20741674992402</v>
      </c>
      <c r="AG6662">
        <v>-1.1048713415410001</v>
      </c>
      <c r="AH6662">
        <v>33.396709028603802</v>
      </c>
      <c r="AI6662">
        <v>91.890716360407296</v>
      </c>
      <c r="AJ6662">
        <v>86.218430904578099</v>
      </c>
      <c r="AK6662">
        <v>33.487812758232302</v>
      </c>
    </row>
    <row r="6663" spans="1:37" x14ac:dyDescent="0.2">
      <c r="A6663" t="str">
        <f>"20200111155732253"</f>
        <v>20200111155732253</v>
      </c>
      <c r="B6663" t="str">
        <f>"1578729452249949"</f>
        <v>1578729452249949</v>
      </c>
      <c r="C6663" t="s">
        <v>37</v>
      </c>
      <c r="D6663">
        <v>5.361891</v>
      </c>
      <c r="E6663">
        <v>0.54701140000000004</v>
      </c>
      <c r="F6663" t="s">
        <v>38</v>
      </c>
      <c r="G6663">
        <v>-188.8802</v>
      </c>
      <c r="H6663" s="1">
        <v>-2.14120999999999E-6</v>
      </c>
      <c r="I6663">
        <v>74.160960000000003</v>
      </c>
      <c r="J6663">
        <v>-188.50599999999901</v>
      </c>
      <c r="K6663">
        <v>1.104859</v>
      </c>
      <c r="L6663">
        <v>41.446040000000004</v>
      </c>
      <c r="M6663">
        <v>-7.7387540000000005E-2</v>
      </c>
      <c r="N6663">
        <v>0</v>
      </c>
      <c r="O6663">
        <v>0.99689419999999995</v>
      </c>
      <c r="P6663">
        <v>-0.13445760000000001</v>
      </c>
      <c r="Q6663">
        <v>2.3319719999999999E-2</v>
      </c>
      <c r="R6663">
        <v>0.99064490000000005</v>
      </c>
      <c r="S6663">
        <v>-3.6605829999999999E-2</v>
      </c>
      <c r="T6663">
        <v>-0.1011801</v>
      </c>
      <c r="U6663">
        <v>3.02597</v>
      </c>
      <c r="V6663">
        <v>-5.7382059999999999E-2</v>
      </c>
      <c r="W6663">
        <v>3.7885479999999999E-2</v>
      </c>
      <c r="X6663">
        <v>0.9976332</v>
      </c>
      <c r="Y6663">
        <v>6.5336729999999996E-2</v>
      </c>
      <c r="Z6663">
        <v>-3.3231339999999998E-2</v>
      </c>
      <c r="AA6663">
        <v>0.99730980000000002</v>
      </c>
      <c r="AB6663">
        <v>34</v>
      </c>
      <c r="AC6663">
        <v>-0.37420000000003001</v>
      </c>
      <c r="AD6663">
        <v>-1.10486114121</v>
      </c>
      <c r="AE6663">
        <v>32.714919999999999</v>
      </c>
      <c r="AF6663">
        <v>2.1564601582398302</v>
      </c>
      <c r="AG6663">
        <v>-1.10486114121</v>
      </c>
      <c r="AH6663">
        <v>32.608563746688098</v>
      </c>
      <c r="AI6663">
        <v>91.936358075110604</v>
      </c>
      <c r="AJ6663">
        <v>86.216441247972497</v>
      </c>
      <c r="AK6663">
        <v>32.6984627800338</v>
      </c>
    </row>
    <row r="6664" spans="1:37" x14ac:dyDescent="0.2">
      <c r="A6664" t="str">
        <f>"20200111155732277"</f>
        <v>20200111155732277</v>
      </c>
      <c r="B6664" t="str">
        <f>"1578729452270444"</f>
        <v>1578729452270444</v>
      </c>
      <c r="C6664" t="s">
        <v>37</v>
      </c>
      <c r="D6664">
        <v>5.3830419999999997</v>
      </c>
      <c r="E6664">
        <v>0.54700599999999999</v>
      </c>
      <c r="F6664" t="s">
        <v>38</v>
      </c>
      <c r="G6664">
        <v>-188.88</v>
      </c>
      <c r="H6664" s="1">
        <v>-1.48221E-6</v>
      </c>
      <c r="I6664">
        <v>72.62473</v>
      </c>
      <c r="J6664">
        <v>-188.53389999999999</v>
      </c>
      <c r="K6664">
        <v>1.1048469999999999</v>
      </c>
      <c r="L6664">
        <v>41.806150000000002</v>
      </c>
      <c r="M6664">
        <v>-7.7386449999999996E-2</v>
      </c>
      <c r="N6664">
        <v>0</v>
      </c>
      <c r="O6664">
        <v>0.99689439999999996</v>
      </c>
      <c r="P6664">
        <v>-0.13388820000000001</v>
      </c>
      <c r="Q6664">
        <v>2.2141250000000001E-2</v>
      </c>
      <c r="R6664">
        <v>0.99074910000000005</v>
      </c>
      <c r="S6664">
        <v>-3.6300659999999998E-2</v>
      </c>
      <c r="T6664">
        <v>-0.107228399999999</v>
      </c>
      <c r="U6664">
        <v>3.0259399999999999</v>
      </c>
      <c r="V6664">
        <v>-5.6807040000000003E-2</v>
      </c>
      <c r="W6664">
        <v>3.67047E-2</v>
      </c>
      <c r="X6664">
        <v>0.99771019999999899</v>
      </c>
      <c r="Y6664">
        <v>6.5436900000000006E-2</v>
      </c>
      <c r="Z6664">
        <v>-3.5215679999999999E-2</v>
      </c>
      <c r="AA6664">
        <v>0.99723510000000004</v>
      </c>
      <c r="AB6664">
        <v>34</v>
      </c>
      <c r="AC6664">
        <v>-0.34610000000000601</v>
      </c>
      <c r="AD6664">
        <v>-1.10484848221</v>
      </c>
      <c r="AE6664">
        <v>30.818579999999901</v>
      </c>
      <c r="AF6664">
        <v>2.0375141843453699</v>
      </c>
      <c r="AG6664">
        <v>-1.10484848221</v>
      </c>
      <c r="AH6664">
        <v>30.713458157451502</v>
      </c>
      <c r="AI6664">
        <v>92.055685530983794</v>
      </c>
      <c r="AJ6664">
        <v>86.204590260369301</v>
      </c>
      <c r="AK6664">
        <v>30.800790025737601</v>
      </c>
    </row>
    <row r="6665" spans="1:37" x14ac:dyDescent="0.2">
      <c r="A6665" t="str">
        <f>"20200111155732501"</f>
        <v>20200111155732501</v>
      </c>
      <c r="B6665" t="str">
        <f>"1578729452490044"</f>
        <v>1578729452490044</v>
      </c>
      <c r="C6665" t="s">
        <v>37</v>
      </c>
      <c r="D6665">
        <v>5.5173120000000004</v>
      </c>
      <c r="E6665">
        <v>0.54700599999999999</v>
      </c>
      <c r="F6665" t="s">
        <v>38</v>
      </c>
      <c r="G6665">
        <v>-188.87139999999999</v>
      </c>
      <c r="H6665" s="1">
        <v>-9.7676980000000005E-7</v>
      </c>
      <c r="I6665">
        <v>71.442980000000006</v>
      </c>
      <c r="J6665">
        <v>-188.78790000000001</v>
      </c>
      <c r="K6665">
        <v>1.103858</v>
      </c>
      <c r="L6665">
        <v>45.182009999999998</v>
      </c>
      <c r="M6665">
        <v>-7.2498110000000004E-2</v>
      </c>
      <c r="N6665">
        <v>0</v>
      </c>
      <c r="O6665">
        <v>0.99726219999999999</v>
      </c>
      <c r="P6665">
        <v>-0.12960139999999901</v>
      </c>
      <c r="Q6665">
        <v>1.7708809999999998E-2</v>
      </c>
      <c r="R6665">
        <v>0.99140810000000001</v>
      </c>
      <c r="S6665">
        <v>-3.4454350000000002E-2</v>
      </c>
      <c r="T6665">
        <v>-0.1128035</v>
      </c>
      <c r="U6665">
        <v>3.0258790000000002</v>
      </c>
      <c r="V6665">
        <v>-5.730039E-2</v>
      </c>
      <c r="W6665">
        <v>3.2380949999999999E-2</v>
      </c>
      <c r="X6665">
        <v>0.99783169999999899</v>
      </c>
      <c r="Y6665">
        <v>6.1153039999999999E-2</v>
      </c>
      <c r="Z6665">
        <v>-3.7070609999999997E-2</v>
      </c>
      <c r="AA6665">
        <v>0.99743969999999904</v>
      </c>
      <c r="AB6665">
        <v>34</v>
      </c>
      <c r="AC6665">
        <v>-8.3499999999986502E-2</v>
      </c>
      <c r="AD6665">
        <v>-1.1038589767697999</v>
      </c>
      <c r="AE6665">
        <v>26.26097</v>
      </c>
      <c r="AF6665">
        <v>1.8175810245087101</v>
      </c>
      <c r="AG6665">
        <v>-1.1038589767697999</v>
      </c>
      <c r="AH6665">
        <v>26.151698818917399</v>
      </c>
      <c r="AI6665">
        <v>92.411201137576796</v>
      </c>
      <c r="AJ6665">
        <v>86.024253490095006</v>
      </c>
      <c r="AK6665">
        <v>26.2380154839617</v>
      </c>
    </row>
    <row r="6666" spans="1:37" x14ac:dyDescent="0.2">
      <c r="A6666" t="str">
        <f>"20200111155732524"</f>
        <v>20200111155732524</v>
      </c>
      <c r="B6666" t="str">
        <f>"1578729452520300"</f>
        <v>1578729452520300</v>
      </c>
      <c r="C6666" t="s">
        <v>37</v>
      </c>
      <c r="D6666">
        <v>5.7013419999999897</v>
      </c>
      <c r="E6666">
        <v>0.54750600000000005</v>
      </c>
      <c r="F6666" t="s">
        <v>38</v>
      </c>
      <c r="G6666">
        <v>-188.9633</v>
      </c>
      <c r="H6666" s="1">
        <v>-1.431648E-6</v>
      </c>
      <c r="I6666">
        <v>72.541319999999999</v>
      </c>
      <c r="J6666">
        <v>-188.81059999999999</v>
      </c>
      <c r="K6666">
        <v>1.1036809999999999</v>
      </c>
      <c r="L6666">
        <v>45.514769999999999</v>
      </c>
      <c r="M6666">
        <v>-7.1018410000000004E-2</v>
      </c>
      <c r="N6666">
        <v>0</v>
      </c>
      <c r="O6666">
        <v>0.9973687</v>
      </c>
      <c r="P6666">
        <v>-0.12616910000000001</v>
      </c>
      <c r="Q6666">
        <v>1.688274E-2</v>
      </c>
      <c r="R6666">
        <v>0.99186509999999894</v>
      </c>
      <c r="S6666">
        <v>-1.9393919999999999E-2</v>
      </c>
      <c r="T6666">
        <v>-0.12207460000000001</v>
      </c>
      <c r="U6666">
        <v>3.0256349999999999</v>
      </c>
      <c r="V6666">
        <v>-5.5313330000000001E-2</v>
      </c>
      <c r="W6666">
        <v>3.1575979999999997E-2</v>
      </c>
      <c r="X6666">
        <v>0.99796960000000001</v>
      </c>
      <c r="Y6666">
        <v>6.463605E-2</v>
      </c>
      <c r="Z6666">
        <v>-4.0118750000000002E-2</v>
      </c>
      <c r="AA6666">
        <v>0.99710209999999999</v>
      </c>
      <c r="AB6666">
        <v>34</v>
      </c>
      <c r="AC6666">
        <v>-0.15270000000000999</v>
      </c>
      <c r="AD6666">
        <v>-1.1036824316479901</v>
      </c>
      <c r="AE6666">
        <v>27.02655</v>
      </c>
      <c r="AF6666">
        <v>1.7643295987993299</v>
      </c>
      <c r="AG6666">
        <v>-1.1036824316479901</v>
      </c>
      <c r="AH6666">
        <v>26.924240266368098</v>
      </c>
      <c r="AI6666">
        <v>92.342344704221205</v>
      </c>
      <c r="AJ6666">
        <v>86.250801682376107</v>
      </c>
      <c r="AK6666">
        <v>27.0045493901351</v>
      </c>
    </row>
    <row r="6667" spans="1:37" x14ac:dyDescent="0.2">
      <c r="A6667" t="str">
        <f>"20200111155732545"</f>
        <v>20200111155732545</v>
      </c>
      <c r="B6667" t="str">
        <f>"1578729452539821"</f>
        <v>1578729452539821</v>
      </c>
      <c r="C6667" t="s">
        <v>37</v>
      </c>
      <c r="D6667">
        <v>5.2924949999999997</v>
      </c>
      <c r="E6667">
        <v>0.54768619999999901</v>
      </c>
      <c r="F6667" t="s">
        <v>38</v>
      </c>
      <c r="G6667">
        <v>-188.8511</v>
      </c>
      <c r="H6667" s="1">
        <v>-9.7354769999999989E-7</v>
      </c>
      <c r="I6667">
        <v>71.427090000000007</v>
      </c>
      <c r="J6667">
        <v>-188.8323</v>
      </c>
      <c r="K6667">
        <v>1.103513</v>
      </c>
      <c r="L6667">
        <v>45.843139999999998</v>
      </c>
      <c r="M6667">
        <v>-6.9351350000000006E-2</v>
      </c>
      <c r="N6667">
        <v>0</v>
      </c>
      <c r="O6667">
        <v>0.99748599999999998</v>
      </c>
      <c r="P6667">
        <v>-0.12222899999999901</v>
      </c>
      <c r="Q6667">
        <v>1.5993150000000001E-2</v>
      </c>
      <c r="R6667">
        <v>0.99237299999999995</v>
      </c>
      <c r="S6667">
        <v>-4.7302250000000002E-3</v>
      </c>
      <c r="T6667">
        <v>-0.12889539999999999</v>
      </c>
      <c r="U6667">
        <v>3.0262150000000001</v>
      </c>
      <c r="V6667">
        <v>-5.300618E-2</v>
      </c>
      <c r="W6667">
        <v>3.0703790000000002E-2</v>
      </c>
      <c r="X6667">
        <v>0.99812199999999995</v>
      </c>
      <c r="Y6667">
        <v>6.7800639999999995E-2</v>
      </c>
      <c r="Z6667">
        <v>-4.2351710000000001E-2</v>
      </c>
      <c r="AA6667">
        <v>0.99679959999999901</v>
      </c>
      <c r="AB6667">
        <v>33</v>
      </c>
      <c r="AC6667">
        <v>-1.87999999999988E-2</v>
      </c>
      <c r="AD6667">
        <v>-1.1035139735477</v>
      </c>
      <c r="AE6667">
        <v>25.583950000000002</v>
      </c>
      <c r="AF6667">
        <v>1.75245454030919</v>
      </c>
      <c r="AG6667">
        <v>-1.1035139735477</v>
      </c>
      <c r="AH6667">
        <v>25.476244774527999</v>
      </c>
      <c r="AI6667">
        <v>92.474399831272905</v>
      </c>
      <c r="AJ6667">
        <v>86.064948790537599</v>
      </c>
      <c r="AK6667">
        <v>25.560279494115999</v>
      </c>
    </row>
    <row r="6668" spans="1:37" x14ac:dyDescent="0.2">
      <c r="A6668" t="str">
        <f>"20200111155732567"</f>
        <v>20200111155732567</v>
      </c>
      <c r="B6668" t="str">
        <f>"1578729452560316"</f>
        <v>1578729452560316</v>
      </c>
      <c r="C6668" t="s">
        <v>37</v>
      </c>
      <c r="D6668">
        <v>5.4362599999999999</v>
      </c>
      <c r="E6668">
        <v>0.54765889999999995</v>
      </c>
      <c r="F6668" t="s">
        <v>38</v>
      </c>
      <c r="G6668">
        <v>-188.7567</v>
      </c>
      <c r="H6668" s="1">
        <v>-1.1107720000000001E-6</v>
      </c>
      <c r="I6668">
        <v>71.707920000000001</v>
      </c>
      <c r="J6668">
        <v>-188.85310000000001</v>
      </c>
      <c r="K6668">
        <v>1.103351</v>
      </c>
      <c r="L6668">
        <v>46.167819999999999</v>
      </c>
      <c r="M6668">
        <v>-6.7495379999999994E-2</v>
      </c>
      <c r="N6668">
        <v>0</v>
      </c>
      <c r="O6668">
        <v>0.99761330000000004</v>
      </c>
      <c r="P6668">
        <v>-0.11831069999999901</v>
      </c>
      <c r="Q6668">
        <v>1.5401410000000001E-2</v>
      </c>
      <c r="R6668">
        <v>0.9928572</v>
      </c>
      <c r="S6668">
        <v>8.8500980000000007E-3</v>
      </c>
      <c r="T6668">
        <v>-0.129113899999999</v>
      </c>
      <c r="U6668">
        <v>3.0262449999999999</v>
      </c>
      <c r="V6668">
        <v>-5.0911379999999999E-2</v>
      </c>
      <c r="W6668">
        <v>3.0128039999999998E-2</v>
      </c>
      <c r="X6668">
        <v>0.99824859999999904</v>
      </c>
      <c r="Y6668">
        <v>7.0417309999999997E-2</v>
      </c>
      <c r="Z6668">
        <v>-4.2427149999999997E-2</v>
      </c>
      <c r="AA6668">
        <v>0.99661489999999997</v>
      </c>
      <c r="AB6668">
        <v>33</v>
      </c>
      <c r="AC6668">
        <v>9.6400000000016903E-2</v>
      </c>
      <c r="AD6668">
        <v>-1.1033521107719999</v>
      </c>
      <c r="AE6668">
        <v>25.540099999999999</v>
      </c>
      <c r="AF6668">
        <v>1.8168110201309999</v>
      </c>
      <c r="AG6668">
        <v>-1.1033521107719999</v>
      </c>
      <c r="AH6668">
        <v>25.427882844534501</v>
      </c>
      <c r="AI6668">
        <v>92.478277159207806</v>
      </c>
      <c r="AJ6668">
        <v>85.913186816322295</v>
      </c>
      <c r="AK6668">
        <v>25.516571362912099</v>
      </c>
    </row>
    <row r="6669" spans="1:37" x14ac:dyDescent="0.2">
      <c r="A6669" t="str">
        <f>"20200111155732589"</f>
        <v>20200111155732589</v>
      </c>
      <c r="B6669" t="str">
        <f>"1578729452579835"</f>
        <v>1578729452579835</v>
      </c>
      <c r="C6669" t="s">
        <v>37</v>
      </c>
      <c r="D6669">
        <v>5.4763469999999996</v>
      </c>
      <c r="E6669">
        <v>0.54705649999999995</v>
      </c>
      <c r="F6669" t="s">
        <v>38</v>
      </c>
      <c r="G6669">
        <v>-188.68020000000001</v>
      </c>
      <c r="H6669" s="1">
        <v>-1.0114979999999999E-6</v>
      </c>
      <c r="I6669">
        <v>71.444890000000001</v>
      </c>
      <c r="J6669">
        <v>-188.8732</v>
      </c>
      <c r="K6669">
        <v>1.103189</v>
      </c>
      <c r="L6669">
        <v>46.494659999999897</v>
      </c>
      <c r="M6669">
        <v>-6.5427620000000006E-2</v>
      </c>
      <c r="N6669">
        <v>0</v>
      </c>
      <c r="O6669">
        <v>0.9977511</v>
      </c>
      <c r="P6669">
        <v>-0.1148296</v>
      </c>
      <c r="Q6669">
        <v>1.6521620000000001E-2</v>
      </c>
      <c r="R6669">
        <v>0.99324780000000001</v>
      </c>
      <c r="S6669">
        <v>2.0690920000000002E-2</v>
      </c>
      <c r="T6669">
        <v>-0.13208989999999901</v>
      </c>
      <c r="U6669">
        <v>3.0260929999999999</v>
      </c>
      <c r="V6669">
        <v>-4.946445E-2</v>
      </c>
      <c r="W6669">
        <v>3.1265229999999998E-2</v>
      </c>
      <c r="X6669">
        <v>0.99828639999999902</v>
      </c>
      <c r="Y6669">
        <v>7.22492E-2</v>
      </c>
      <c r="Z6669">
        <v>-4.3411140000000001E-2</v>
      </c>
      <c r="AA6669">
        <v>0.99644140000000003</v>
      </c>
      <c r="AB6669">
        <v>33</v>
      </c>
      <c r="AC6669">
        <v>0.19299999999998299</v>
      </c>
      <c r="AD6669">
        <v>-1.103190011498</v>
      </c>
      <c r="AE6669">
        <v>24.950230000000001</v>
      </c>
      <c r="AF6669">
        <v>1.8216324645983</v>
      </c>
      <c r="AG6669">
        <v>-1.103190011498</v>
      </c>
      <c r="AH6669">
        <v>24.8355781848697</v>
      </c>
      <c r="AI6669">
        <v>92.536586722413404</v>
      </c>
      <c r="AJ6669">
        <v>85.804998634638906</v>
      </c>
      <c r="AK6669">
        <v>24.926718933993801</v>
      </c>
    </row>
    <row r="6670" spans="1:37" x14ac:dyDescent="0.2">
      <c r="A6670" t="str">
        <f>"20200111155732612"</f>
        <v>20200111155732612</v>
      </c>
      <c r="B6670" t="str">
        <f>"1578729452600331"</f>
        <v>1578729452600331</v>
      </c>
      <c r="C6670" t="s">
        <v>37</v>
      </c>
      <c r="D6670">
        <v>5.4171230000000001</v>
      </c>
      <c r="E6670">
        <v>0.54675299999999905</v>
      </c>
      <c r="F6670" t="s">
        <v>38</v>
      </c>
      <c r="G6670">
        <v>-188.65099999999899</v>
      </c>
      <c r="H6670" s="1">
        <v>-1.117136E-6</v>
      </c>
      <c r="I6670">
        <v>71.679059999999893</v>
      </c>
      <c r="J6670">
        <v>-188.89240000000001</v>
      </c>
      <c r="K6670">
        <v>1.103032</v>
      </c>
      <c r="L6670">
        <v>46.821529999999903</v>
      </c>
      <c r="M6670">
        <v>-6.3177049999999998E-2</v>
      </c>
      <c r="N6670">
        <v>0</v>
      </c>
      <c r="O6670">
        <v>0.99789599999999901</v>
      </c>
      <c r="P6670">
        <v>-0.1121455</v>
      </c>
      <c r="Q6670">
        <v>1.8643090000000001E-2</v>
      </c>
      <c r="R6670">
        <v>0.99351690000000004</v>
      </c>
      <c r="S6670">
        <v>2.6687619999999999E-2</v>
      </c>
      <c r="T6670">
        <v>-0.13253770000000001</v>
      </c>
      <c r="U6670">
        <v>3.025665</v>
      </c>
      <c r="V6670">
        <v>-4.8998369999999999E-2</v>
      </c>
      <c r="W6670">
        <v>3.3406070000000003E-2</v>
      </c>
      <c r="X6670">
        <v>0.99824009999999996</v>
      </c>
      <c r="Y6670">
        <v>7.1975289999999997E-2</v>
      </c>
      <c r="Z6670">
        <v>-4.3573800000000003E-2</v>
      </c>
      <c r="AA6670">
        <v>0.99645419999999996</v>
      </c>
      <c r="AB6670">
        <v>33</v>
      </c>
      <c r="AC6670">
        <v>0.24140000000002701</v>
      </c>
      <c r="AD6670">
        <v>-1.1030331171359999</v>
      </c>
      <c r="AE6670">
        <v>24.857530000000001</v>
      </c>
      <c r="AF6670">
        <v>1.8079501072120701</v>
      </c>
      <c r="AG6670">
        <v>-1.1030331171359999</v>
      </c>
      <c r="AH6670">
        <v>24.743892007016001</v>
      </c>
      <c r="AI6670">
        <v>92.545663905247494</v>
      </c>
      <c r="AJ6670">
        <v>85.821022951071001</v>
      </c>
      <c r="AK6670">
        <v>24.8343624299585</v>
      </c>
    </row>
    <row r="6671" spans="1:37" x14ac:dyDescent="0.2">
      <c r="A6671" t="str">
        <f>"20200111155732634"</f>
        <v>20200111155732634</v>
      </c>
      <c r="B6671" t="str">
        <f>"1578729452630118"</f>
        <v>1578729452630118</v>
      </c>
      <c r="C6671" t="s">
        <v>37</v>
      </c>
      <c r="D6671">
        <v>5.3651109999999997</v>
      </c>
      <c r="E6671">
        <v>0.54615789999999997</v>
      </c>
      <c r="F6671" t="s">
        <v>38</v>
      </c>
      <c r="G6671">
        <v>-188.6163</v>
      </c>
      <c r="H6671" s="1">
        <v>-1.581086E-6</v>
      </c>
      <c r="I6671">
        <v>72.746160000000003</v>
      </c>
      <c r="J6671">
        <v>-188.9111</v>
      </c>
      <c r="K6671">
        <v>1.102878</v>
      </c>
      <c r="L6671">
        <v>47.155909999999999</v>
      </c>
      <c r="M6671">
        <v>-6.0708459999999999E-2</v>
      </c>
      <c r="N6671">
        <v>0</v>
      </c>
      <c r="O6671">
        <v>0.99804930000000003</v>
      </c>
      <c r="P6671">
        <v>-0.10934480000000001</v>
      </c>
      <c r="Q6671">
        <v>2.085586E-2</v>
      </c>
      <c r="R6671">
        <v>0.99378509999999998</v>
      </c>
      <c r="S6671">
        <v>3.2226560000000001E-2</v>
      </c>
      <c r="T6671">
        <v>-0.12873380000000001</v>
      </c>
      <c r="U6671">
        <v>3.0256349999999999</v>
      </c>
      <c r="V6671">
        <v>-4.8632380000000003E-2</v>
      </c>
      <c r="W6671">
        <v>3.5637290000000002E-2</v>
      </c>
      <c r="X6671">
        <v>0.99818079999999998</v>
      </c>
      <c r="Y6671">
        <v>7.1332740000000006E-2</v>
      </c>
      <c r="Z6671">
        <v>-4.2336289999999999E-2</v>
      </c>
      <c r="AA6671">
        <v>0.99655369999999999</v>
      </c>
      <c r="AB6671">
        <v>33</v>
      </c>
      <c r="AC6671">
        <v>0.294800000000009</v>
      </c>
      <c r="AD6671">
        <v>-1.1028795810859999</v>
      </c>
      <c r="AE6671">
        <v>25.590250000000001</v>
      </c>
      <c r="AF6671">
        <v>1.8445399613751401</v>
      </c>
      <c r="AG6671">
        <v>-1.1028795810859999</v>
      </c>
      <c r="AH6671">
        <v>25.477824628217601</v>
      </c>
      <c r="AI6671">
        <v>92.472199745391293</v>
      </c>
      <c r="AJ6671">
        <v>85.859132850949607</v>
      </c>
      <c r="AK6671">
        <v>25.568304965830201</v>
      </c>
    </row>
    <row r="6672" spans="1:37" x14ac:dyDescent="0.2">
      <c r="A6672" t="str">
        <f>"20200111155732655"</f>
        <v>20200111155732655</v>
      </c>
      <c r="B6672" t="str">
        <f>"1578729452649638"</f>
        <v>1578729452649638</v>
      </c>
      <c r="C6672" t="s">
        <v>37</v>
      </c>
      <c r="D6672">
        <v>5.37737</v>
      </c>
      <c r="E6672">
        <v>0.5457149</v>
      </c>
      <c r="F6672" t="s">
        <v>38</v>
      </c>
      <c r="G6672">
        <v>-188.59379999999999</v>
      </c>
      <c r="H6672" s="1">
        <v>-2.0921019999999999E-6</v>
      </c>
      <c r="I6672">
        <v>73.928060000000002</v>
      </c>
      <c r="J6672">
        <v>-188.92869999999999</v>
      </c>
      <c r="K6672">
        <v>1.1027389999999999</v>
      </c>
      <c r="L6672">
        <v>47.486939999999997</v>
      </c>
      <c r="M6672">
        <v>-5.8124620000000002E-2</v>
      </c>
      <c r="N6672">
        <v>0</v>
      </c>
      <c r="O6672">
        <v>0.99820299999999995</v>
      </c>
      <c r="P6672">
        <v>-0.10740419999999901</v>
      </c>
      <c r="Q6672">
        <v>2.2632650000000001E-2</v>
      </c>
      <c r="R6672">
        <v>0.9939578</v>
      </c>
      <c r="S6672">
        <v>3.5858149999999998E-2</v>
      </c>
      <c r="T6672">
        <v>-0.1246287</v>
      </c>
      <c r="U6672">
        <v>3.0253299999999999</v>
      </c>
      <c r="V6672">
        <v>-4.9248849999999997E-2</v>
      </c>
      <c r="W6672">
        <v>3.7434240000000001E-2</v>
      </c>
      <c r="X6672">
        <v>0.99808479999999999</v>
      </c>
      <c r="Y6672">
        <v>6.9948430000000006E-2</v>
      </c>
      <c r="Z6672">
        <v>-4.1003919999999999E-2</v>
      </c>
      <c r="AA6672">
        <v>0.99670749999999997</v>
      </c>
      <c r="AB6672">
        <v>33</v>
      </c>
      <c r="AC6672">
        <v>0.33490000000000397</v>
      </c>
      <c r="AD6672">
        <v>-1.102741092102</v>
      </c>
      <c r="AE6672">
        <v>26.441120000000002</v>
      </c>
      <c r="AF6672">
        <v>1.8681280829698901</v>
      </c>
      <c r="AG6672">
        <v>-1.102741092102</v>
      </c>
      <c r="AH6672">
        <v>26.331147642170802</v>
      </c>
      <c r="AI6672">
        <v>92.392123966038895</v>
      </c>
      <c r="AJ6672">
        <v>85.941809798656706</v>
      </c>
      <c r="AK6672">
        <v>26.420357238394502</v>
      </c>
    </row>
    <row r="6673" spans="1:37" x14ac:dyDescent="0.2">
      <c r="A6673" t="str">
        <f>"20200111155732679"</f>
        <v>20200111155732679</v>
      </c>
      <c r="B6673" t="str">
        <f>"1578729452670133"</f>
        <v>1578729452670133</v>
      </c>
      <c r="C6673" t="s">
        <v>37</v>
      </c>
      <c r="D6673">
        <v>5.3628140000000002</v>
      </c>
      <c r="E6673">
        <v>0.54541240000000002</v>
      </c>
      <c r="F6673" t="s">
        <v>38</v>
      </c>
      <c r="G6673">
        <v>-188.58109999999999</v>
      </c>
      <c r="H6673" s="1">
        <v>-2.5803519999999998E-6</v>
      </c>
      <c r="I6673">
        <v>75.060940000000002</v>
      </c>
      <c r="J6673">
        <v>-188.94630000000001</v>
      </c>
      <c r="K6673">
        <v>1.1026149999999999</v>
      </c>
      <c r="L6673">
        <v>47.84</v>
      </c>
      <c r="M6673">
        <v>-5.524859E-2</v>
      </c>
      <c r="N6673">
        <v>0</v>
      </c>
      <c r="O6673">
        <v>0.99836639999999999</v>
      </c>
      <c r="P6673">
        <v>-0.10563119999999999</v>
      </c>
      <c r="Q6673">
        <v>2.314341E-2</v>
      </c>
      <c r="R6673">
        <v>0.99413600000000002</v>
      </c>
      <c r="S6673">
        <v>3.8131709999999999E-2</v>
      </c>
      <c r="T6673">
        <v>-0.12098059999999999</v>
      </c>
      <c r="U6673">
        <v>3.0251160000000001</v>
      </c>
      <c r="V6673">
        <v>-5.0331010000000002E-2</v>
      </c>
      <c r="W6673">
        <v>3.7965060000000002E-2</v>
      </c>
      <c r="X6673">
        <v>0.99801079999999998</v>
      </c>
      <c r="Y6673">
        <v>6.7824789999999996E-2</v>
      </c>
      <c r="Z6673">
        <v>-3.9820969999999997E-2</v>
      </c>
      <c r="AA6673">
        <v>0.99690219999999896</v>
      </c>
      <c r="AB6673">
        <v>33</v>
      </c>
      <c r="AC6673">
        <v>0.36520000000001501</v>
      </c>
      <c r="AD6673">
        <v>-1.102617580352</v>
      </c>
      <c r="AE6673">
        <v>27.220939999999999</v>
      </c>
      <c r="AF6673">
        <v>1.86565963561688</v>
      </c>
      <c r="AG6673">
        <v>-1.102617580352</v>
      </c>
      <c r="AH6673">
        <v>27.1146952550001</v>
      </c>
      <c r="AI6673">
        <v>92.323159955799895</v>
      </c>
      <c r="AJ6673">
        <v>86.063897832770706</v>
      </c>
      <c r="AK6673">
        <v>27.201160824053002</v>
      </c>
    </row>
    <row r="6674" spans="1:37" x14ac:dyDescent="0.2">
      <c r="A6674" t="str">
        <f>"20200111155732700"</f>
        <v>20200111155732700</v>
      </c>
      <c r="B6674" t="str">
        <f>"1578729452689653"</f>
        <v>1578729452689653</v>
      </c>
      <c r="C6674" t="s">
        <v>37</v>
      </c>
      <c r="D6674">
        <v>5.2972640000000002</v>
      </c>
      <c r="E6674">
        <v>0.54539190000000004</v>
      </c>
      <c r="F6674" t="s">
        <v>38</v>
      </c>
      <c r="G6674">
        <v>-188.5702</v>
      </c>
      <c r="H6674" s="1">
        <v>-2.7706740000000001E-6</v>
      </c>
      <c r="I6674">
        <v>75.500059999999905</v>
      </c>
      <c r="J6674">
        <v>-188.96080000000001</v>
      </c>
      <c r="K6674">
        <v>1.1025339999999999</v>
      </c>
      <c r="L6674">
        <v>48.147579999999998</v>
      </c>
      <c r="M6674">
        <v>-5.2670729999999999E-2</v>
      </c>
      <c r="N6674">
        <v>0</v>
      </c>
      <c r="O6674">
        <v>0.99850569999999905</v>
      </c>
      <c r="P6674">
        <v>-0.1045441</v>
      </c>
      <c r="Q6674">
        <v>2.3171290000000001E-2</v>
      </c>
      <c r="R6674">
        <v>0.99425030000000003</v>
      </c>
      <c r="S6674">
        <v>4.1137699999999902E-2</v>
      </c>
      <c r="T6674">
        <v>-0.12058089999999901</v>
      </c>
      <c r="U6674">
        <v>3.0248719999999998</v>
      </c>
      <c r="V6674">
        <v>-5.1810410000000001E-2</v>
      </c>
      <c r="W6674">
        <v>3.8008889999999997E-2</v>
      </c>
      <c r="X6674">
        <v>0.99793339999999997</v>
      </c>
      <c r="Y6674">
        <v>6.6240350000000003E-2</v>
      </c>
      <c r="Z6674">
        <v>-3.9702990000000001E-2</v>
      </c>
      <c r="AA6674">
        <v>0.9970135</v>
      </c>
      <c r="AB6674">
        <v>33</v>
      </c>
      <c r="AC6674">
        <v>0.390600000000006</v>
      </c>
      <c r="AD6674">
        <v>-1.1025367706739999</v>
      </c>
      <c r="AE6674">
        <v>27.35248</v>
      </c>
      <c r="AF6674">
        <v>1.82791630324823</v>
      </c>
      <c r="AG6674">
        <v>-1.1025367706739999</v>
      </c>
      <c r="AH6674">
        <v>27.2496640160136</v>
      </c>
      <c r="AI6674">
        <v>92.311766052736701</v>
      </c>
      <c r="AJ6674">
        <v>86.162329840913699</v>
      </c>
      <c r="AK6674">
        <v>27.333149367169401</v>
      </c>
    </row>
    <row r="6675" spans="1:37" x14ac:dyDescent="0.2">
      <c r="A6675" t="str">
        <f>"20200111155732722"</f>
        <v>20200111155732722</v>
      </c>
      <c r="B6675" t="str">
        <f>"1578729452719910"</f>
        <v>1578729452719910</v>
      </c>
      <c r="C6675" t="s">
        <v>37</v>
      </c>
      <c r="D6675">
        <v>5.4319309999999996</v>
      </c>
      <c r="E6675">
        <v>0.54545339999999998</v>
      </c>
      <c r="F6675" t="s">
        <v>38</v>
      </c>
      <c r="G6675">
        <v>-188.5591</v>
      </c>
      <c r="H6675" s="1">
        <v>-2.81488499999999E-6</v>
      </c>
      <c r="I6675">
        <v>75.598529999999997</v>
      </c>
      <c r="J6675">
        <v>-188.9753</v>
      </c>
      <c r="K6675">
        <v>1.102473</v>
      </c>
      <c r="L6675">
        <v>48.478639999999999</v>
      </c>
      <c r="M6675">
        <v>-4.9851720000000002E-2</v>
      </c>
      <c r="N6675">
        <v>0</v>
      </c>
      <c r="O6675">
        <v>0.99865040000000005</v>
      </c>
      <c r="P6675">
        <v>-0.10257239999999999</v>
      </c>
      <c r="Q6675">
        <v>2.2978370000000001E-2</v>
      </c>
      <c r="R6675">
        <v>0.99446009999999996</v>
      </c>
      <c r="S6675">
        <v>4.426575E-2</v>
      </c>
      <c r="T6675">
        <v>-0.12148929999999999</v>
      </c>
      <c r="U6675">
        <v>3.0248409999999999</v>
      </c>
      <c r="V6675">
        <v>-5.2644440000000001E-2</v>
      </c>
      <c r="W6675">
        <v>3.7825919999999999E-2</v>
      </c>
      <c r="X6675">
        <v>0.99789669999999897</v>
      </c>
      <c r="Y6675">
        <v>6.4454199999999906E-2</v>
      </c>
      <c r="Z6675">
        <v>-4.0012800000000001E-2</v>
      </c>
      <c r="AA6675">
        <v>0.99711819999999896</v>
      </c>
      <c r="AB6675">
        <v>33</v>
      </c>
      <c r="AC6675">
        <v>0.41620000000000301</v>
      </c>
      <c r="AD6675">
        <v>-1.102475814885</v>
      </c>
      <c r="AE6675">
        <v>27.119890000000002</v>
      </c>
      <c r="AF6675">
        <v>1.7648830965768301</v>
      </c>
      <c r="AG6675">
        <v>-1.102475814885</v>
      </c>
      <c r="AH6675">
        <v>27.0207688472507</v>
      </c>
      <c r="AI6675">
        <v>92.331469778983603</v>
      </c>
      <c r="AJ6675">
        <v>86.262988592853603</v>
      </c>
      <c r="AK6675">
        <v>27.100778851604002</v>
      </c>
    </row>
    <row r="6676" spans="1:37" x14ac:dyDescent="0.2">
      <c r="A6676" t="str">
        <f>"20200111155732946"</f>
        <v>20200111155732946</v>
      </c>
      <c r="B6676" t="str">
        <f>"1578729452940007"</f>
        <v>1578729452940007</v>
      </c>
      <c r="C6676" t="s">
        <v>37</v>
      </c>
      <c r="D6676">
        <v>5.2611970000000001</v>
      </c>
      <c r="E6676">
        <v>0.54593639999999999</v>
      </c>
      <c r="F6676" t="s">
        <v>38</v>
      </c>
      <c r="G6676">
        <v>-188.5162</v>
      </c>
      <c r="H6676" s="1">
        <v>-2.9241819999999998E-6</v>
      </c>
      <c r="I6676">
        <v>75.835579999999993</v>
      </c>
      <c r="J6676">
        <v>-189.0692</v>
      </c>
      <c r="K6676">
        <v>1.1024290000000001</v>
      </c>
      <c r="L6676">
        <v>51.782409999999999</v>
      </c>
      <c r="M6676">
        <v>-2.1699739999999999E-2</v>
      </c>
      <c r="N6676">
        <v>0</v>
      </c>
      <c r="O6676">
        <v>0.99965879999999996</v>
      </c>
      <c r="P6676">
        <v>-8.387828E-2</v>
      </c>
      <c r="Q6676">
        <v>2.607373E-2</v>
      </c>
      <c r="R6676">
        <v>0.99613479999999999</v>
      </c>
      <c r="S6676">
        <v>5.0765989999999997E-2</v>
      </c>
      <c r="T6676">
        <v>-0.12189649999999901</v>
      </c>
      <c r="U6676">
        <v>3.02475</v>
      </c>
      <c r="V6676">
        <v>-6.1994470000000003E-2</v>
      </c>
      <c r="W6676">
        <v>4.0954879999999999E-2</v>
      </c>
      <c r="X6676">
        <v>0.99723589999999995</v>
      </c>
      <c r="Y6676">
        <v>3.84626E-2</v>
      </c>
      <c r="Z6676">
        <v>-4.0235060000000003E-2</v>
      </c>
      <c r="AA6676">
        <v>0.998449699999999</v>
      </c>
      <c r="AB6676">
        <v>33</v>
      </c>
      <c r="AC6676">
        <v>0.55299999999999705</v>
      </c>
      <c r="AD6676">
        <v>-1.102431924182</v>
      </c>
      <c r="AE6676">
        <v>24.053170000000001</v>
      </c>
      <c r="AF6676">
        <v>1.07262043736937</v>
      </c>
      <c r="AG6676">
        <v>-1.102431924182</v>
      </c>
      <c r="AH6676">
        <v>23.985145464159</v>
      </c>
      <c r="AI6676">
        <v>92.6290162840845</v>
      </c>
      <c r="AJ6676">
        <v>87.439427486090693</v>
      </c>
      <c r="AK6676">
        <v>24.034414361223501</v>
      </c>
    </row>
    <row r="6677" spans="1:37" x14ac:dyDescent="0.2">
      <c r="A6677" t="str">
        <f>"20200111155732969"</f>
        <v>20200111155732969</v>
      </c>
      <c r="B6677" t="str">
        <f>"1578729452959526"</f>
        <v>1578729452959526</v>
      </c>
      <c r="C6677" t="s">
        <v>37</v>
      </c>
      <c r="D6677">
        <v>5.2610339999999898</v>
      </c>
      <c r="E6677">
        <v>0.5464717</v>
      </c>
      <c r="F6677" t="s">
        <v>38</v>
      </c>
      <c r="G6677">
        <v>-188.00739999999999</v>
      </c>
      <c r="H6677" s="1">
        <v>-8.7093880000000003E-7</v>
      </c>
      <c r="I6677">
        <v>80.649389999999997</v>
      </c>
      <c r="J6677">
        <v>-189.0735</v>
      </c>
      <c r="K6677">
        <v>1.1024229999999999</v>
      </c>
      <c r="L6677">
        <v>52.109769999999997</v>
      </c>
      <c r="M6677">
        <v>-1.892311E-2</v>
      </c>
      <c r="N6677">
        <v>0</v>
      </c>
      <c r="O6677">
        <v>0.99971520000000003</v>
      </c>
      <c r="P6677">
        <v>-8.2218849999999996E-2</v>
      </c>
      <c r="Q6677">
        <v>2.5751050000000001E-2</v>
      </c>
      <c r="R6677">
        <v>0.99628159999999899</v>
      </c>
      <c r="S6677">
        <v>0.1112366</v>
      </c>
      <c r="T6677">
        <v>-0.1154872</v>
      </c>
      <c r="U6677">
        <v>3.02401699999999</v>
      </c>
      <c r="V6677">
        <v>-6.3105599999999998E-2</v>
      </c>
      <c r="W6677">
        <v>4.0634709999999997E-2</v>
      </c>
      <c r="X6677">
        <v>0.99717929999999999</v>
      </c>
      <c r="Y6677">
        <v>5.563854E-2</v>
      </c>
      <c r="Z6677">
        <v>-3.8109499999999998E-2</v>
      </c>
      <c r="AA6677">
        <v>0.99772340000000004</v>
      </c>
      <c r="AB6677">
        <v>33</v>
      </c>
      <c r="AC6677">
        <v>1.0661</v>
      </c>
      <c r="AD6677">
        <v>-1.1024238709387999</v>
      </c>
      <c r="AE6677">
        <v>28.5396199999999</v>
      </c>
      <c r="AF6677">
        <v>1.6036350713705501</v>
      </c>
      <c r="AG6677">
        <v>-1.1024238709387999</v>
      </c>
      <c r="AH6677">
        <v>28.4719085877948</v>
      </c>
      <c r="AI6677">
        <v>92.213862690026104</v>
      </c>
      <c r="AJ6677">
        <v>86.776312122035705</v>
      </c>
      <c r="AK6677">
        <v>28.538334963082299</v>
      </c>
    </row>
    <row r="6678" spans="1:37" x14ac:dyDescent="0.2">
      <c r="A6678" t="str">
        <f>"20200111155732990"</f>
        <v>20200111155732990</v>
      </c>
      <c r="B6678" t="str">
        <f>"1578729452980021"</f>
        <v>1578729452980021</v>
      </c>
      <c r="C6678" t="s">
        <v>37</v>
      </c>
      <c r="D6678">
        <v>5.4293230000000001</v>
      </c>
      <c r="E6678">
        <v>0.54693130000000001</v>
      </c>
      <c r="F6678" t="s">
        <v>38</v>
      </c>
      <c r="G6678">
        <v>-187.93979999999999</v>
      </c>
      <c r="H6678" s="1">
        <v>-8.5072530000000005E-7</v>
      </c>
      <c r="I6678">
        <v>80.537130000000005</v>
      </c>
      <c r="J6678">
        <v>-189.07669999999999</v>
      </c>
      <c r="K6678">
        <v>1.102427</v>
      </c>
      <c r="L6678">
        <v>52.42548</v>
      </c>
      <c r="M6678">
        <v>-1.6243819999999999E-2</v>
      </c>
      <c r="N6678">
        <v>0</v>
      </c>
      <c r="O6678">
        <v>0.99976239999999905</v>
      </c>
      <c r="P6678">
        <v>-8.0690940000000003E-2</v>
      </c>
      <c r="Q6678">
        <v>2.5326009999999999E-2</v>
      </c>
      <c r="R6678">
        <v>0.99641729999999995</v>
      </c>
      <c r="S6678">
        <v>0.1206055</v>
      </c>
      <c r="T6678">
        <v>-0.1172796</v>
      </c>
      <c r="U6678">
        <v>3.0242</v>
      </c>
      <c r="V6678">
        <v>-6.4252589999999998E-2</v>
      </c>
      <c r="W6678">
        <v>4.0212100000000001E-2</v>
      </c>
      <c r="X6678">
        <v>0.99712319999999999</v>
      </c>
      <c r="Y6678">
        <v>5.6045940000000002E-2</v>
      </c>
      <c r="Z6678">
        <v>-3.8697759999999998E-2</v>
      </c>
      <c r="AA6678">
        <v>0.99767799999999995</v>
      </c>
      <c r="AB6678">
        <v>33</v>
      </c>
      <c r="AC6678">
        <v>1.13689999999999</v>
      </c>
      <c r="AD6678">
        <v>-1.1024278507253</v>
      </c>
      <c r="AE6678">
        <v>28.111650000000001</v>
      </c>
      <c r="AF6678">
        <v>1.59099600130437</v>
      </c>
      <c r="AG6678">
        <v>-1.1024278507253</v>
      </c>
      <c r="AH6678">
        <v>28.046408528928801</v>
      </c>
      <c r="AI6678">
        <v>92.247372666092303</v>
      </c>
      <c r="AJ6678">
        <v>86.753246910671706</v>
      </c>
      <c r="AK6678">
        <v>28.113122324170799</v>
      </c>
    </row>
    <row r="6679" spans="1:37" x14ac:dyDescent="0.2">
      <c r="A6679" t="str">
        <f>"20200111155733023"</f>
        <v>20200111155733023</v>
      </c>
      <c r="B6679" t="str">
        <f>"1578729453020039"</f>
        <v>1578729453020039</v>
      </c>
      <c r="C6679" t="s">
        <v>37</v>
      </c>
      <c r="D6679">
        <v>5.2736089999999898</v>
      </c>
      <c r="E6679">
        <v>0.54714940000000001</v>
      </c>
      <c r="F6679" t="s">
        <v>38</v>
      </c>
      <c r="G6679">
        <v>-187.8629</v>
      </c>
      <c r="H6679" s="1">
        <v>-9.8271039999999996E-7</v>
      </c>
      <c r="I6679">
        <v>80.864869999999996</v>
      </c>
      <c r="J6679">
        <v>-189.07990000000001</v>
      </c>
      <c r="K6679">
        <v>1.102419</v>
      </c>
      <c r="L6679">
        <v>52.90701</v>
      </c>
      <c r="M6679">
        <v>-1.2155020000000001E-2</v>
      </c>
      <c r="N6679">
        <v>0</v>
      </c>
      <c r="O6679">
        <v>0.9998205</v>
      </c>
      <c r="P6679">
        <v>-7.6090329999999998E-2</v>
      </c>
      <c r="Q6679">
        <v>2.232719E-2</v>
      </c>
      <c r="R6679">
        <v>0.99685089999999998</v>
      </c>
      <c r="S6679">
        <v>0.1290741</v>
      </c>
      <c r="T6679">
        <v>-0.11723160000000001</v>
      </c>
      <c r="U6679">
        <v>3.0242309999999999</v>
      </c>
      <c r="V6679">
        <v>-6.3744609999999993E-2</v>
      </c>
      <c r="W6679">
        <v>3.7206469999999998E-2</v>
      </c>
      <c r="X6679">
        <v>0.99727239999999995</v>
      </c>
      <c r="Y6679">
        <v>5.4751330000000001E-2</v>
      </c>
      <c r="Z6679">
        <v>-3.8684089999999997E-2</v>
      </c>
      <c r="AA6679">
        <v>0.99775040000000004</v>
      </c>
      <c r="AB6679">
        <v>33</v>
      </c>
      <c r="AC6679">
        <v>1.2170000000000101</v>
      </c>
      <c r="AD6679">
        <v>-1.1024199827104</v>
      </c>
      <c r="AE6679">
        <v>27.957859999999901</v>
      </c>
      <c r="AF6679">
        <v>1.5543621012011</v>
      </c>
      <c r="AG6679">
        <v>-1.1024199827104</v>
      </c>
      <c r="AH6679">
        <v>27.897705463580099</v>
      </c>
      <c r="AI6679">
        <v>92.259451199973199</v>
      </c>
      <c r="AJ6679">
        <v>86.810977728150704</v>
      </c>
      <c r="AK6679">
        <v>27.9627134143416</v>
      </c>
    </row>
    <row r="6680" spans="1:37" x14ac:dyDescent="0.2">
      <c r="A6680" t="str">
        <f>"20200111155733046"</f>
        <v>20200111155733046</v>
      </c>
      <c r="B6680" t="str">
        <f>"1578729453039559"</f>
        <v>1578729453039559</v>
      </c>
      <c r="C6680" t="s">
        <v>37</v>
      </c>
      <c r="D6680">
        <v>5.4313219999999998</v>
      </c>
      <c r="E6680">
        <v>0.54710300000000001</v>
      </c>
      <c r="F6680" t="s">
        <v>38</v>
      </c>
      <c r="G6680">
        <v>-187.8648</v>
      </c>
      <c r="H6680" s="1">
        <v>-4.0957170000000003E-6</v>
      </c>
      <c r="I6680">
        <v>78.297119999999893</v>
      </c>
      <c r="J6680">
        <v>-189.08099999999999</v>
      </c>
      <c r="K6680">
        <v>1.1024119999999999</v>
      </c>
      <c r="L6680">
        <v>53.244050000000001</v>
      </c>
      <c r="M6680">
        <v>-9.2918669999999901E-3</v>
      </c>
      <c r="N6680">
        <v>0</v>
      </c>
      <c r="O6680">
        <v>0.9998513</v>
      </c>
      <c r="P6680">
        <v>-7.2357299999999999E-2</v>
      </c>
      <c r="Q6680">
        <v>2.0142750000000001E-2</v>
      </c>
      <c r="R6680">
        <v>0.99717529999999999</v>
      </c>
      <c r="S6680">
        <v>0.1446991</v>
      </c>
      <c r="T6680">
        <v>-0.13127720000000001</v>
      </c>
      <c r="U6680">
        <v>3.0234679999999998</v>
      </c>
      <c r="V6680">
        <v>-6.2879329999999997E-2</v>
      </c>
      <c r="W6680">
        <v>3.5013969999999998E-2</v>
      </c>
      <c r="X6680">
        <v>0.99740669999999898</v>
      </c>
      <c r="Y6680">
        <v>5.7039220000000002E-2</v>
      </c>
      <c r="Z6680">
        <v>-4.3315670000000001E-2</v>
      </c>
      <c r="AA6680">
        <v>0.99743179999999998</v>
      </c>
      <c r="AB6680">
        <v>33</v>
      </c>
      <c r="AC6680">
        <v>1.21619999999998</v>
      </c>
      <c r="AD6680">
        <v>-1.1024160957169999</v>
      </c>
      <c r="AE6680">
        <v>25.053069999999899</v>
      </c>
      <c r="AF6680">
        <v>1.4461682375020699</v>
      </c>
      <c r="AG6680">
        <v>-1.1024160957169999</v>
      </c>
      <c r="AH6680">
        <v>24.9924076216485</v>
      </c>
      <c r="AI6680">
        <v>92.521469591114794</v>
      </c>
      <c r="AJ6680">
        <v>86.688312531282193</v>
      </c>
      <c r="AK6680">
        <v>25.058474864721699</v>
      </c>
    </row>
    <row r="6681" spans="1:37" x14ac:dyDescent="0.2">
      <c r="A6681" t="str">
        <f>"20200111155733068"</f>
        <v>20200111155733068</v>
      </c>
      <c r="B6681" t="str">
        <f>"1578729453060056"</f>
        <v>1578729453060056</v>
      </c>
      <c r="C6681" t="s">
        <v>37</v>
      </c>
      <c r="D6681">
        <v>5.2837449999999997</v>
      </c>
      <c r="E6681">
        <v>0.54711080000000001</v>
      </c>
      <c r="F6681" t="s">
        <v>38</v>
      </c>
      <c r="G6681">
        <v>-187.85210000000001</v>
      </c>
      <c r="H6681" s="1">
        <v>-3.584094E-6</v>
      </c>
      <c r="I6681">
        <v>77.099249999999998</v>
      </c>
      <c r="J6681">
        <v>-189.0812</v>
      </c>
      <c r="K6681">
        <v>1.1024080000000001</v>
      </c>
      <c r="L6681">
        <v>53.56409</v>
      </c>
      <c r="M6681">
        <v>-6.572558E-3</v>
      </c>
      <c r="N6681">
        <v>0</v>
      </c>
      <c r="O6681">
        <v>0.99987289999999995</v>
      </c>
      <c r="P6681">
        <v>-6.841324E-2</v>
      </c>
      <c r="Q6681">
        <v>1.7878069999999999E-2</v>
      </c>
      <c r="R6681">
        <v>0.99749679999999996</v>
      </c>
      <c r="S6681">
        <v>0.15571589999999999</v>
      </c>
      <c r="T6681">
        <v>-0.13968349999999999</v>
      </c>
      <c r="U6681">
        <v>3.0226139999999999</v>
      </c>
      <c r="V6681">
        <v>-6.1660800000000002E-2</v>
      </c>
      <c r="W6681">
        <v>3.2740289999999998E-2</v>
      </c>
      <c r="X6681">
        <v>0.99756</v>
      </c>
      <c r="Y6681">
        <v>5.7957500000000002E-2</v>
      </c>
      <c r="Z6681">
        <v>-4.6092750000000002E-2</v>
      </c>
      <c r="AA6681">
        <v>0.99725439999999999</v>
      </c>
      <c r="AB6681">
        <v>32</v>
      </c>
      <c r="AC6681">
        <v>1.2290999999999801</v>
      </c>
      <c r="AD6681">
        <v>-1.1024115840940001</v>
      </c>
      <c r="AE6681">
        <v>23.535160000000001</v>
      </c>
      <c r="AF6681">
        <v>1.3807547197710801</v>
      </c>
      <c r="AG6681">
        <v>-1.1024115840940001</v>
      </c>
      <c r="AH6681">
        <v>23.475205885216099</v>
      </c>
      <c r="AI6681">
        <v>92.684041442747599</v>
      </c>
      <c r="AJ6681">
        <v>86.633879232991205</v>
      </c>
      <c r="AK6681">
        <v>23.5416033067036</v>
      </c>
    </row>
    <row r="6682" spans="1:37" x14ac:dyDescent="0.2">
      <c r="A6682" t="str">
        <f>"20200111155733092"</f>
        <v>20200111155733092</v>
      </c>
      <c r="B6682" t="str">
        <f>"1578729453079575"</f>
        <v>1578729453079575</v>
      </c>
      <c r="C6682" t="s">
        <v>37</v>
      </c>
      <c r="D6682">
        <v>5.25101</v>
      </c>
      <c r="E6682">
        <v>0.54714439999999998</v>
      </c>
      <c r="F6682" t="s">
        <v>38</v>
      </c>
      <c r="G6682">
        <v>-187.83709999999999</v>
      </c>
      <c r="H6682" s="1">
        <v>-3.1012289999999998E-6</v>
      </c>
      <c r="I6682">
        <v>75.967469999999906</v>
      </c>
      <c r="J6682">
        <v>-189.0804</v>
      </c>
      <c r="K6682">
        <v>1.1024049999999901</v>
      </c>
      <c r="L6682">
        <v>53.893129999999999</v>
      </c>
      <c r="M6682">
        <v>-3.77583E-3</v>
      </c>
      <c r="N6682">
        <v>0</v>
      </c>
      <c r="O6682">
        <v>0.99988739999999998</v>
      </c>
      <c r="P6682">
        <v>-6.4538819999999997E-2</v>
      </c>
      <c r="Q6682">
        <v>1.5632380000000001E-2</v>
      </c>
      <c r="R6682">
        <v>0.99779269999999998</v>
      </c>
      <c r="S6682">
        <v>0.1678009</v>
      </c>
      <c r="T6682">
        <v>-0.14868970000000001</v>
      </c>
      <c r="U6682">
        <v>3.02169799999999</v>
      </c>
      <c r="V6682">
        <v>-6.0589589999999999E-2</v>
      </c>
      <c r="W6682">
        <v>3.0485979999999999E-2</v>
      </c>
      <c r="X6682">
        <v>0.9976971</v>
      </c>
      <c r="Y6682">
        <v>5.9149809999999997E-2</v>
      </c>
      <c r="Z6682">
        <v>-4.9066640000000002E-2</v>
      </c>
      <c r="AA6682">
        <v>0.99704249999999905</v>
      </c>
      <c r="AB6682">
        <v>32</v>
      </c>
      <c r="AC6682">
        <v>1.2433000000000001</v>
      </c>
      <c r="AD6682">
        <v>-1.1024081012289999</v>
      </c>
      <c r="AE6682">
        <v>22.0743399999999</v>
      </c>
      <c r="AF6682">
        <v>1.3233587648968901</v>
      </c>
      <c r="AG6682">
        <v>-1.1024081012289999</v>
      </c>
      <c r="AH6682">
        <v>22.014754827690702</v>
      </c>
      <c r="AI6682">
        <v>92.861584770157506</v>
      </c>
      <c r="AJ6682">
        <v>86.559955285769604</v>
      </c>
      <c r="AK6682">
        <v>22.082029167755699</v>
      </c>
    </row>
    <row r="6683" spans="1:37" x14ac:dyDescent="0.2">
      <c r="A6683" t="str">
        <f>"20200111155733113"</f>
        <v>20200111155733113</v>
      </c>
      <c r="B6683" t="str">
        <f>"1578729453109831"</f>
        <v>1578729453109831</v>
      </c>
      <c r="C6683" t="s">
        <v>37</v>
      </c>
      <c r="D6683">
        <v>5.2568869999999999</v>
      </c>
      <c r="E6683">
        <v>0.54711330000000002</v>
      </c>
      <c r="F6683" t="s">
        <v>38</v>
      </c>
      <c r="G6683">
        <v>-187.8235</v>
      </c>
      <c r="H6683" s="1">
        <v>-2.69758899999999E-6</v>
      </c>
      <c r="I6683">
        <v>75.020969999999906</v>
      </c>
      <c r="J6683">
        <v>-189.0788</v>
      </c>
      <c r="K6683">
        <v>1.1024020000000001</v>
      </c>
      <c r="L6683">
        <v>54.206180000000003</v>
      </c>
      <c r="M6683">
        <v>-1.1141910000000001E-3</v>
      </c>
      <c r="N6683">
        <v>0</v>
      </c>
      <c r="O6683">
        <v>0.99989399999999995</v>
      </c>
      <c r="P6683">
        <v>-6.1380419999999998E-2</v>
      </c>
      <c r="Q6683">
        <v>1.396289E-2</v>
      </c>
      <c r="R6683">
        <v>0.99801679999999904</v>
      </c>
      <c r="S6683">
        <v>0.179702799999999</v>
      </c>
      <c r="T6683">
        <v>-0.15761520000000001</v>
      </c>
      <c r="U6683">
        <v>3.020721</v>
      </c>
      <c r="V6683">
        <v>-6.00978E-2</v>
      </c>
      <c r="W6683">
        <v>2.881063E-2</v>
      </c>
      <c r="X6683">
        <v>0.99777660000000001</v>
      </c>
      <c r="Y6683">
        <v>6.0416940000000002E-2</v>
      </c>
      <c r="Z6683">
        <v>-5.2013620000000003E-2</v>
      </c>
      <c r="AA6683">
        <v>0.99681710000000001</v>
      </c>
      <c r="AB6683">
        <v>32</v>
      </c>
      <c r="AC6683">
        <v>1.2553000000000001</v>
      </c>
      <c r="AD6683">
        <v>-1.1024046975890001</v>
      </c>
      <c r="AE6683">
        <v>20.814789999999899</v>
      </c>
      <c r="AF6683">
        <v>1.274930054892</v>
      </c>
      <c r="AG6683">
        <v>-1.1024046975890001</v>
      </c>
      <c r="AH6683">
        <v>20.755369760441901</v>
      </c>
      <c r="AI6683">
        <v>93.034653026917496</v>
      </c>
      <c r="AJ6683">
        <v>86.484936469606097</v>
      </c>
      <c r="AK6683">
        <v>20.823691235100402</v>
      </c>
    </row>
    <row r="6684" spans="1:37" x14ac:dyDescent="0.2">
      <c r="A6684" t="str">
        <f>"20200111155733136"</f>
        <v>20200111155733136</v>
      </c>
      <c r="B6684" t="str">
        <f>"1578729453130326"</f>
        <v>1578729453130326</v>
      </c>
      <c r="C6684" t="s">
        <v>37</v>
      </c>
      <c r="D6684">
        <v>5.2486569999999997</v>
      </c>
      <c r="E6684">
        <v>0.54709030000000003</v>
      </c>
      <c r="F6684" t="s">
        <v>38</v>
      </c>
      <c r="G6684">
        <v>-187.804</v>
      </c>
      <c r="H6684" s="1">
        <v>-2.52427699999999E-6</v>
      </c>
      <c r="I6684">
        <v>74.608900000000006</v>
      </c>
      <c r="J6684">
        <v>-189.0762</v>
      </c>
      <c r="K6684">
        <v>1.1024</v>
      </c>
      <c r="L6684">
        <v>54.543950000000002</v>
      </c>
      <c r="M6684">
        <v>1.7583010000000001E-3</v>
      </c>
      <c r="N6684">
        <v>0</v>
      </c>
      <c r="O6684">
        <v>0.99989309999999998</v>
      </c>
      <c r="P6684">
        <v>-5.8579850000000003E-2</v>
      </c>
      <c r="Q6684">
        <v>1.260154E-2</v>
      </c>
      <c r="R6684">
        <v>0.99820319999999996</v>
      </c>
      <c r="S6684">
        <v>0.1886902</v>
      </c>
      <c r="T6684">
        <v>-0.16316849999999999</v>
      </c>
      <c r="U6684">
        <v>3.0198360000000002</v>
      </c>
      <c r="V6684">
        <v>-6.0173860000000003E-2</v>
      </c>
      <c r="W6684">
        <v>2.7445029999999999E-2</v>
      </c>
      <c r="X6684">
        <v>0.99781049999999905</v>
      </c>
      <c r="Y6684">
        <v>6.0516309999999997E-2</v>
      </c>
      <c r="Z6684">
        <v>-5.3851629999999998E-2</v>
      </c>
      <c r="AA6684">
        <v>0.99671350000000003</v>
      </c>
      <c r="AB6684">
        <v>32</v>
      </c>
      <c r="AC6684">
        <v>1.27219999999999</v>
      </c>
      <c r="AD6684">
        <v>-1.1024025242769999</v>
      </c>
      <c r="AE6684">
        <v>20.06495</v>
      </c>
      <c r="AF6684">
        <v>1.2332064534857501</v>
      </c>
      <c r="AG6684">
        <v>-1.1024025242769999</v>
      </c>
      <c r="AH6684">
        <v>20.007004975623101</v>
      </c>
      <c r="AI6684">
        <v>93.147893389020894</v>
      </c>
      <c r="AJ6684">
        <v>86.4728231566706</v>
      </c>
      <c r="AK6684">
        <v>20.075266812101301</v>
      </c>
    </row>
    <row r="6685" spans="1:37" x14ac:dyDescent="0.2">
      <c r="A6685" t="str">
        <f>"20200111155733160"</f>
        <v>20200111155733160</v>
      </c>
      <c r="B6685" t="str">
        <f>"1578729453149846"</f>
        <v>1578729453149846</v>
      </c>
      <c r="C6685" t="s">
        <v>37</v>
      </c>
      <c r="D6685">
        <v>5.235506</v>
      </c>
      <c r="E6685">
        <v>0.54701009999999906</v>
      </c>
      <c r="F6685" t="s">
        <v>38</v>
      </c>
      <c r="G6685">
        <v>-187.79179999999999</v>
      </c>
      <c r="H6685" s="1">
        <v>-2.3597960000000001E-6</v>
      </c>
      <c r="I6685">
        <v>74.220469999999906</v>
      </c>
      <c r="J6685">
        <v>-189.07259999999999</v>
      </c>
      <c r="K6685">
        <v>1.1024069999999999</v>
      </c>
      <c r="L6685">
        <v>54.882109999999997</v>
      </c>
      <c r="M6685">
        <v>4.6353979999999998E-3</v>
      </c>
      <c r="N6685">
        <v>0</v>
      </c>
      <c r="O6685">
        <v>0.99988390000000005</v>
      </c>
      <c r="P6685">
        <v>-5.5829570000000002E-2</v>
      </c>
      <c r="Q6685">
        <v>1.271369E-2</v>
      </c>
      <c r="R6685">
        <v>0.99835940000000001</v>
      </c>
      <c r="S6685">
        <v>0.197067299999999</v>
      </c>
      <c r="T6685">
        <v>-0.1691492</v>
      </c>
      <c r="U6685">
        <v>3.019104</v>
      </c>
      <c r="V6685">
        <v>-6.0295000000000001E-2</v>
      </c>
      <c r="W6685">
        <v>2.7553709999999999E-2</v>
      </c>
      <c r="X6685">
        <v>0.99780020000000003</v>
      </c>
      <c r="Y6685">
        <v>6.0406500000000002E-2</v>
      </c>
      <c r="Z6685">
        <v>-5.5827380000000003E-2</v>
      </c>
      <c r="AA6685">
        <v>0.99661139999999904</v>
      </c>
      <c r="AB6685">
        <v>32</v>
      </c>
      <c r="AC6685">
        <v>1.2807999999999899</v>
      </c>
      <c r="AD6685">
        <v>-1.1024093597960001</v>
      </c>
      <c r="AE6685">
        <v>19.338359999999899</v>
      </c>
      <c r="AF6685">
        <v>1.1872942685522601</v>
      </c>
      <c r="AG6685">
        <v>-1.1024093597960001</v>
      </c>
      <c r="AH6685">
        <v>19.2817032820411</v>
      </c>
      <c r="AI6685">
        <v>93.266085734557393</v>
      </c>
      <c r="AJ6685">
        <v>86.476391788233201</v>
      </c>
      <c r="AK6685">
        <v>19.3496525946431</v>
      </c>
    </row>
    <row r="6686" spans="1:37" x14ac:dyDescent="0.2">
      <c r="A6686" t="str">
        <f>"20200111155733181"</f>
        <v>20200111155733181</v>
      </c>
      <c r="B6686" t="str">
        <f>"1578729453170341"</f>
        <v>1578729453170341</v>
      </c>
      <c r="C6686" t="s">
        <v>37</v>
      </c>
      <c r="D6686">
        <v>5.2798049999999996</v>
      </c>
      <c r="E6686">
        <v>0.54702430000000002</v>
      </c>
      <c r="F6686" t="s">
        <v>40</v>
      </c>
      <c r="G6686">
        <v>-189.00470000000001</v>
      </c>
      <c r="H6686">
        <v>1.045712</v>
      </c>
      <c r="I6686">
        <v>55.88353</v>
      </c>
      <c r="J6686">
        <v>-189.0685</v>
      </c>
      <c r="K6686">
        <v>1.1024149999999999</v>
      </c>
      <c r="L6686">
        <v>55.188899999999997</v>
      </c>
      <c r="M6686">
        <v>7.2460179999999999E-3</v>
      </c>
      <c r="N6686">
        <v>0</v>
      </c>
      <c r="O6686">
        <v>0.99986849999999905</v>
      </c>
      <c r="P6686">
        <v>-5.3577189999999997E-2</v>
      </c>
      <c r="Q6686">
        <v>1.2978170000000001E-2</v>
      </c>
      <c r="R6686">
        <v>0.99847940000000002</v>
      </c>
      <c r="S6686">
        <v>0.20468139999999899</v>
      </c>
      <c r="T6686">
        <v>-0.17087449999999901</v>
      </c>
      <c r="U6686">
        <v>3.0185550000000001</v>
      </c>
      <c r="V6686">
        <v>-6.0648540000000001E-2</v>
      </c>
      <c r="W6686">
        <v>2.7815869999999999E-2</v>
      </c>
      <c r="X6686">
        <v>0.99777159999999998</v>
      </c>
      <c r="Y6686">
        <v>6.0312780000000003E-2</v>
      </c>
      <c r="Z6686">
        <v>-5.6399390000000001E-2</v>
      </c>
      <c r="AA6686">
        <v>0.9965849</v>
      </c>
      <c r="AB6686">
        <v>32</v>
      </c>
      <c r="AC6686">
        <v>6.3799999999986298E-2</v>
      </c>
      <c r="AD6686">
        <v>-5.6702999999999899E-2</v>
      </c>
      <c r="AE6686">
        <v>0.69463000000000996</v>
      </c>
      <c r="AF6686">
        <v>5.8378738613844502E-2</v>
      </c>
      <c r="AG6686">
        <v>-5.6702999999999899E-2</v>
      </c>
      <c r="AH6686">
        <v>0.69051134616256504</v>
      </c>
      <c r="AI6686">
        <v>94.677833965327096</v>
      </c>
      <c r="AJ6686">
        <v>85.1674653994057</v>
      </c>
      <c r="AK6686">
        <v>0.69529074962232995</v>
      </c>
    </row>
    <row r="6687" spans="1:37" x14ac:dyDescent="0.2">
      <c r="A6687" t="str">
        <f>"20200111155733202"</f>
        <v>20200111155733202</v>
      </c>
      <c r="B6687" t="str">
        <f>"1578729453199623"</f>
        <v>1578729453199623</v>
      </c>
      <c r="C6687" t="s">
        <v>37</v>
      </c>
      <c r="D6687">
        <v>5.3285539999999996</v>
      </c>
      <c r="E6687">
        <v>0.54696180000000005</v>
      </c>
      <c r="F6687" t="s">
        <v>40</v>
      </c>
      <c r="G6687">
        <v>-188.99950000000001</v>
      </c>
      <c r="H6687">
        <v>1.046395</v>
      </c>
      <c r="I6687">
        <v>56.172789999999999</v>
      </c>
      <c r="J6687">
        <v>-189.0634</v>
      </c>
      <c r="K6687">
        <v>1.1024259999999999</v>
      </c>
      <c r="L6687">
        <v>55.498049999999999</v>
      </c>
      <c r="M6687">
        <v>9.8771750000000002E-3</v>
      </c>
      <c r="N6687">
        <v>0</v>
      </c>
      <c r="O6687">
        <v>0.99984599999999901</v>
      </c>
      <c r="P6687">
        <v>-5.165521E-2</v>
      </c>
      <c r="Q6687">
        <v>1.4404210000000001E-2</v>
      </c>
      <c r="R6687">
        <v>0.99856109999999898</v>
      </c>
      <c r="S6687">
        <v>0.2113495</v>
      </c>
      <c r="T6687">
        <v>-0.1718073</v>
      </c>
      <c r="U6687">
        <v>3.0181269999999998</v>
      </c>
      <c r="V6687">
        <v>-6.1345419999999998E-2</v>
      </c>
      <c r="W6687">
        <v>2.9241039999999999E-2</v>
      </c>
      <c r="X6687">
        <v>0.99768819999999903</v>
      </c>
      <c r="Y6687">
        <v>5.9885729999999998E-2</v>
      </c>
      <c r="Z6687">
        <v>-5.670878E-2</v>
      </c>
      <c r="AA6687">
        <v>0.99659310000000001</v>
      </c>
      <c r="AB6687">
        <v>32</v>
      </c>
      <c r="AC6687">
        <v>6.3899999999989604E-2</v>
      </c>
      <c r="AD6687">
        <v>-5.6031000000000102E-2</v>
      </c>
      <c r="AE6687">
        <v>0.67473999999999901</v>
      </c>
      <c r="AF6687">
        <v>5.6843161882661301E-2</v>
      </c>
      <c r="AG6687">
        <v>-5.6031000000000102E-2</v>
      </c>
      <c r="AH6687">
        <v>0.67075403473095296</v>
      </c>
      <c r="AI6687">
        <v>94.758102835771496</v>
      </c>
      <c r="AJ6687">
        <v>85.156033581718603</v>
      </c>
      <c r="AK6687">
        <v>0.67548619017835698</v>
      </c>
    </row>
    <row r="6688" spans="1:37" x14ac:dyDescent="0.2">
      <c r="A6688" t="str">
        <f>"20200111155733225"</f>
        <v>20200111155733225</v>
      </c>
      <c r="B6688" t="str">
        <f>"1578729453219889"</f>
        <v>1578729453219889</v>
      </c>
      <c r="C6688" t="s">
        <v>37</v>
      </c>
      <c r="D6688">
        <v>5.2764989999999896</v>
      </c>
      <c r="E6688">
        <v>0.54686759999999901</v>
      </c>
      <c r="F6688" t="s">
        <v>40</v>
      </c>
      <c r="G6688">
        <v>-188.99420000000001</v>
      </c>
      <c r="H6688">
        <v>1.048271</v>
      </c>
      <c r="I6688">
        <v>56.462829999999997</v>
      </c>
      <c r="J6688">
        <v>-189.05709999999999</v>
      </c>
      <c r="K6688">
        <v>1.1024430000000001</v>
      </c>
      <c r="L6688">
        <v>55.83334</v>
      </c>
      <c r="M6688">
        <v>1.2732179999999999E-2</v>
      </c>
      <c r="N6688">
        <v>0</v>
      </c>
      <c r="O6688">
        <v>0.99981379999999997</v>
      </c>
      <c r="P6688">
        <v>-4.950885E-2</v>
      </c>
      <c r="Q6688">
        <v>1.5497810000000001E-2</v>
      </c>
      <c r="R6688">
        <v>0.99865339999999903</v>
      </c>
      <c r="S6688">
        <v>0.21646119999999999</v>
      </c>
      <c r="T6688">
        <v>-0.1693887</v>
      </c>
      <c r="U6688">
        <v>3.0179749999999999</v>
      </c>
      <c r="V6688">
        <v>-6.2044139999999998E-2</v>
      </c>
      <c r="W6688">
        <v>3.033346E-2</v>
      </c>
      <c r="X6688">
        <v>0.99761239999999995</v>
      </c>
      <c r="Y6688">
        <v>5.8721620000000002E-2</v>
      </c>
      <c r="Z6688">
        <v>-5.5911679999999998E-2</v>
      </c>
      <c r="AA6688">
        <v>0.99670740000000002</v>
      </c>
      <c r="AB6688">
        <v>32</v>
      </c>
      <c r="AC6688">
        <v>6.2899999999984801E-2</v>
      </c>
      <c r="AD6688">
        <v>-5.4172000000000102E-2</v>
      </c>
      <c r="AE6688">
        <v>0.62949000000000399</v>
      </c>
      <c r="AF6688">
        <v>5.4479799688879803E-2</v>
      </c>
      <c r="AG6688">
        <v>-5.4172000000000102E-2</v>
      </c>
      <c r="AH6688">
        <v>0.62565225143874403</v>
      </c>
      <c r="AI6688">
        <v>94.930041128521495</v>
      </c>
      <c r="AJ6688">
        <v>85.023419286127293</v>
      </c>
      <c r="AK6688">
        <v>0.63035180168578098</v>
      </c>
    </row>
    <row r="6689" spans="1:37" x14ac:dyDescent="0.2">
      <c r="A6689" t="str">
        <f>"20200111155733248"</f>
        <v>20200111155733248</v>
      </c>
      <c r="B6689" t="str">
        <f>"1578729453240384"</f>
        <v>1578729453240384</v>
      </c>
      <c r="C6689" t="s">
        <v>37</v>
      </c>
      <c r="D6689">
        <v>5.5228669999999997</v>
      </c>
      <c r="E6689">
        <v>0.54672100000000001</v>
      </c>
      <c r="F6689" t="s">
        <v>40</v>
      </c>
      <c r="G6689">
        <v>-188.98859999999999</v>
      </c>
      <c r="H6689">
        <v>1.050889</v>
      </c>
      <c r="I6689">
        <v>56.7630699999999</v>
      </c>
      <c r="J6689">
        <v>-189.05009999999999</v>
      </c>
      <c r="K6689">
        <v>1.102455</v>
      </c>
      <c r="L6689">
        <v>56.155000000000001</v>
      </c>
      <c r="M6689">
        <v>1.5472029999999999E-2</v>
      </c>
      <c r="N6689">
        <v>0</v>
      </c>
      <c r="O6689">
        <v>0.99977519999999998</v>
      </c>
      <c r="P6689">
        <v>-4.6888050000000001E-2</v>
      </c>
      <c r="Q6689">
        <v>1.628046E-2</v>
      </c>
      <c r="R6689">
        <v>0.99876749999999903</v>
      </c>
      <c r="S6689">
        <v>0.22221369999999999</v>
      </c>
      <c r="T6689">
        <v>-0.16736409999999999</v>
      </c>
      <c r="U6689">
        <v>3.0176699999999999</v>
      </c>
      <c r="V6689">
        <v>-6.21554E-2</v>
      </c>
      <c r="W6689">
        <v>3.111177E-2</v>
      </c>
      <c r="X6689">
        <v>0.99758150000000001</v>
      </c>
      <c r="Y6689">
        <v>5.7885869999999999E-2</v>
      </c>
      <c r="Z6689">
        <v>-5.5245379999999997E-2</v>
      </c>
      <c r="AA6689">
        <v>0.99679340000000005</v>
      </c>
      <c r="AB6689">
        <v>32</v>
      </c>
      <c r="AC6689">
        <v>6.1499999999995197E-2</v>
      </c>
      <c r="AD6689">
        <v>-5.1566000000000001E-2</v>
      </c>
      <c r="AE6689">
        <v>0.60806999999999001</v>
      </c>
      <c r="AF6689">
        <v>5.1715425054110101E-2</v>
      </c>
      <c r="AG6689">
        <v>-5.1566000000000001E-2</v>
      </c>
      <c r="AH6689">
        <v>0.60464455478374701</v>
      </c>
      <c r="AI6689">
        <v>94.856922611050507</v>
      </c>
      <c r="AJ6689">
        <v>85.111372911874199</v>
      </c>
      <c r="AK6689">
        <v>0.60903905882477105</v>
      </c>
    </row>
    <row r="6690" spans="1:37" x14ac:dyDescent="0.2">
      <c r="A6690" t="str">
        <f>"20200111155733269"</f>
        <v>20200111155733269</v>
      </c>
      <c r="B6690" t="str">
        <f>"1578729453259904"</f>
        <v>1578729453259904</v>
      </c>
      <c r="C6690" t="s">
        <v>37</v>
      </c>
      <c r="D6690">
        <v>5.3350289999999996</v>
      </c>
      <c r="E6690">
        <v>0.54664969999999902</v>
      </c>
      <c r="F6690" t="s">
        <v>38</v>
      </c>
      <c r="G6690">
        <v>-187.53280000000001</v>
      </c>
      <c r="H6690" s="1">
        <v>-3.238109E-6</v>
      </c>
      <c r="I6690">
        <v>76.160740000000004</v>
      </c>
      <c r="J6690">
        <v>-189.04239999999999</v>
      </c>
      <c r="K6690">
        <v>1.1024689999999999</v>
      </c>
      <c r="L6690">
        <v>56.468780000000002</v>
      </c>
      <c r="M6690">
        <v>1.8144999999999901E-2</v>
      </c>
      <c r="N6690">
        <v>0</v>
      </c>
      <c r="O6690">
        <v>0.99973029999999996</v>
      </c>
      <c r="P6690">
        <v>-4.3543800000000001E-2</v>
      </c>
      <c r="Q6690">
        <v>1.7465689999999999E-2</v>
      </c>
      <c r="R6690">
        <v>0.99889889999999903</v>
      </c>
      <c r="S6690">
        <v>0.22882079999999999</v>
      </c>
      <c r="T6690">
        <v>-0.16626640000000001</v>
      </c>
      <c r="U6690">
        <v>3.0171509999999899</v>
      </c>
      <c r="V6690">
        <v>-6.1475710000000003E-2</v>
      </c>
      <c r="W6690">
        <v>3.2289440000000003E-2</v>
      </c>
      <c r="X6690">
        <v>0.99758609999999903</v>
      </c>
      <c r="Y6690">
        <v>5.7401489999999999E-2</v>
      </c>
      <c r="Z6690">
        <v>-5.4886119999999997E-2</v>
      </c>
      <c r="AA6690">
        <v>0.99684130000000004</v>
      </c>
      <c r="AB6690">
        <v>32</v>
      </c>
      <c r="AC6690">
        <v>1.5095999999999701</v>
      </c>
      <c r="AD6690">
        <v>-1.102472238109</v>
      </c>
      <c r="AE6690">
        <v>19.691960000000002</v>
      </c>
      <c r="AF6690">
        <v>1.1484246468950801</v>
      </c>
      <c r="AG6690">
        <v>-1.102472238109</v>
      </c>
      <c r="AH6690">
        <v>19.6548652224329</v>
      </c>
      <c r="AI6690">
        <v>93.204991196069003</v>
      </c>
      <c r="AJ6690">
        <v>86.656036196530593</v>
      </c>
      <c r="AK6690">
        <v>19.719230489991201</v>
      </c>
    </row>
    <row r="6691" spans="1:37" x14ac:dyDescent="0.2">
      <c r="A6691" t="str">
        <f>"20200111155733292"</f>
        <v>20200111155733292</v>
      </c>
      <c r="B6691" t="str">
        <f>"1578729453279425"</f>
        <v>1578729453279425</v>
      </c>
      <c r="C6691" t="s">
        <v>37</v>
      </c>
      <c r="D6691">
        <v>5.213457</v>
      </c>
      <c r="E6691">
        <v>0.54679730000000004</v>
      </c>
      <c r="F6691" t="s">
        <v>38</v>
      </c>
      <c r="G6691">
        <v>-187.4408</v>
      </c>
      <c r="H6691" s="1">
        <v>-3.504259E-6</v>
      </c>
      <c r="I6691">
        <v>76.743099999999998</v>
      </c>
      <c r="J6691">
        <v>-189.03399999999999</v>
      </c>
      <c r="K6691">
        <v>1.102479</v>
      </c>
      <c r="L6691">
        <v>56.781459999999903</v>
      </c>
      <c r="M6691">
        <v>2.0808509999999999E-2</v>
      </c>
      <c r="N6691">
        <v>0</v>
      </c>
      <c r="O6691">
        <v>0.99967839999999997</v>
      </c>
      <c r="P6691">
        <v>-3.9830379999999999E-2</v>
      </c>
      <c r="Q6691">
        <v>1.892541E-2</v>
      </c>
      <c r="R6691">
        <v>0.999027199999999</v>
      </c>
      <c r="S6691">
        <v>0.23829649999999999</v>
      </c>
      <c r="T6691">
        <v>-0.1640344</v>
      </c>
      <c r="U6691">
        <v>3.0165709999999999</v>
      </c>
      <c r="V6691">
        <v>-6.041676E-2</v>
      </c>
      <c r="W6691">
        <v>3.3739190000000002E-2</v>
      </c>
      <c r="X6691">
        <v>0.99760289999999996</v>
      </c>
      <c r="Y6691">
        <v>5.7871840000000001E-2</v>
      </c>
      <c r="Z6691">
        <v>-5.4150370000000003E-2</v>
      </c>
      <c r="AA6691">
        <v>0.99685440000000003</v>
      </c>
      <c r="AB6691">
        <v>32</v>
      </c>
      <c r="AC6691">
        <v>1.5932000000000199</v>
      </c>
      <c r="AD6691">
        <v>-1.1024825042590001</v>
      </c>
      <c r="AE6691">
        <v>19.961639999999999</v>
      </c>
      <c r="AF6691">
        <v>1.1738812454177701</v>
      </c>
      <c r="AG6691">
        <v>-1.1024825042590001</v>
      </c>
      <c r="AH6691">
        <v>19.930063550864801</v>
      </c>
      <c r="AI6691">
        <v>93.160769001419894</v>
      </c>
      <c r="AJ6691">
        <v>86.629171583649494</v>
      </c>
      <c r="AK6691">
        <v>19.995021830246898</v>
      </c>
    </row>
    <row r="6692" spans="1:37" x14ac:dyDescent="0.2">
      <c r="A6692" t="str">
        <f>"20200111155733314"</f>
        <v>20200111155733314</v>
      </c>
      <c r="B6692" t="str">
        <f>"1578729453309680"</f>
        <v>1578729453309680</v>
      </c>
      <c r="C6692" t="s">
        <v>37</v>
      </c>
      <c r="D6692">
        <v>5.1270160000000002</v>
      </c>
      <c r="E6692">
        <v>0.58558109999999997</v>
      </c>
      <c r="F6692" t="s">
        <v>38</v>
      </c>
      <c r="G6692">
        <v>-187.30799999999999</v>
      </c>
      <c r="H6692" s="1">
        <v>-3.8769549999999997E-6</v>
      </c>
      <c r="I6692">
        <v>77.556960000000004</v>
      </c>
      <c r="J6692">
        <v>-189.0241</v>
      </c>
      <c r="K6692">
        <v>1.102487</v>
      </c>
      <c r="L6692">
        <v>57.112029999999997</v>
      </c>
      <c r="M6692">
        <v>2.3620209999999999E-2</v>
      </c>
      <c r="N6692">
        <v>0</v>
      </c>
      <c r="O6692">
        <v>0.99961599999999995</v>
      </c>
      <c r="P6692">
        <v>-3.6066479999999998E-2</v>
      </c>
      <c r="Q6692">
        <v>1.9852040000000001E-2</v>
      </c>
      <c r="R6692">
        <v>0.99915219999999905</v>
      </c>
      <c r="S6692">
        <v>0.25054929999999997</v>
      </c>
      <c r="T6692">
        <v>-0.16004640000000001</v>
      </c>
      <c r="U6692">
        <v>3.0159609999999999</v>
      </c>
      <c r="V6692">
        <v>-5.945872E-2</v>
      </c>
      <c r="W6692">
        <v>3.4655610000000003E-2</v>
      </c>
      <c r="X6692">
        <v>0.99762899999999999</v>
      </c>
      <c r="Y6692">
        <v>5.9108960000000002E-2</v>
      </c>
      <c r="Z6692">
        <v>-5.283272E-2</v>
      </c>
      <c r="AA6692">
        <v>0.99685249999999903</v>
      </c>
      <c r="AB6692">
        <v>32</v>
      </c>
      <c r="AC6692">
        <v>1.71610000000001</v>
      </c>
      <c r="AD6692">
        <v>-1.1024908769549999</v>
      </c>
      <c r="AE6692">
        <v>20.444929999999999</v>
      </c>
      <c r="AF6692">
        <v>1.22910776405155</v>
      </c>
      <c r="AG6692">
        <v>-1.1024908769549999</v>
      </c>
      <c r="AH6692">
        <v>20.420797552814399</v>
      </c>
      <c r="AI6692">
        <v>93.084748701218601</v>
      </c>
      <c r="AJ6692">
        <v>86.555578638732499</v>
      </c>
      <c r="AK6692">
        <v>20.487439193868301</v>
      </c>
    </row>
    <row r="6693" spans="1:37" x14ac:dyDescent="0.2">
      <c r="A6693" t="str">
        <f>"20200111155733337"</f>
        <v>20200111155733337</v>
      </c>
      <c r="B6693" t="str">
        <f>"1578729453329850"</f>
        <v>1578729453329850</v>
      </c>
      <c r="C6693" t="s">
        <v>37</v>
      </c>
      <c r="D6693">
        <v>5.0480849999999897</v>
      </c>
      <c r="E6693">
        <v>0.58619529999999997</v>
      </c>
      <c r="F6693" t="s">
        <v>38</v>
      </c>
      <c r="G6693">
        <v>-184.94099999999901</v>
      </c>
      <c r="H6693" s="1">
        <v>-4.810302E-6</v>
      </c>
      <c r="I6693">
        <v>78.753869999999907</v>
      </c>
      <c r="J6693">
        <v>-189.01349999999999</v>
      </c>
      <c r="K6693">
        <v>1.1025039999999999</v>
      </c>
      <c r="L6693">
        <v>57.436769999999903</v>
      </c>
      <c r="M6693">
        <v>2.6374680000000001E-2</v>
      </c>
      <c r="N6693">
        <v>0</v>
      </c>
      <c r="O6693">
        <v>0.99954719999999997</v>
      </c>
      <c r="P6693">
        <v>-3.2572469999999999E-2</v>
      </c>
      <c r="Q6693">
        <v>2.0065489999999998E-2</v>
      </c>
      <c r="R6693">
        <v>0.99926789999999999</v>
      </c>
      <c r="S6693">
        <v>0.57095340000000006</v>
      </c>
      <c r="T6693">
        <v>-0.154163299999999</v>
      </c>
      <c r="U6693">
        <v>3.0262150000000001</v>
      </c>
      <c r="V6693">
        <v>-5.8718569999999998E-2</v>
      </c>
      <c r="W6693">
        <v>3.4860049999999997E-2</v>
      </c>
      <c r="X6693">
        <v>0.99766569999999899</v>
      </c>
      <c r="Y6693">
        <v>0.15918109999999999</v>
      </c>
      <c r="Z6693">
        <v>-5.0085169999999998E-2</v>
      </c>
      <c r="AA6693">
        <v>0.98597809999999897</v>
      </c>
      <c r="AB6693">
        <v>32</v>
      </c>
      <c r="AC6693">
        <v>4.0725000000000096</v>
      </c>
      <c r="AD6693">
        <v>-1.102508810302</v>
      </c>
      <c r="AE6693">
        <v>21.3171</v>
      </c>
      <c r="AF6693">
        <v>3.49976044847469</v>
      </c>
      <c r="AG6693">
        <v>-1.102508810302</v>
      </c>
      <c r="AH6693">
        <v>21.361975858913901</v>
      </c>
      <c r="AI6693">
        <v>92.915658389950295</v>
      </c>
      <c r="AJ6693">
        <v>80.695813528241501</v>
      </c>
      <c r="AK6693">
        <v>21.674820909763501</v>
      </c>
    </row>
    <row r="6694" spans="1:37" x14ac:dyDescent="0.2">
      <c r="A6694" t="str">
        <f>"20200111155733360"</f>
        <v>20200111155733360</v>
      </c>
      <c r="B6694" t="str">
        <f>"1578729453350345"</f>
        <v>1578729453350345</v>
      </c>
      <c r="C6694" t="s">
        <v>37</v>
      </c>
      <c r="D6694">
        <v>5.0800549999999998</v>
      </c>
      <c r="E6694">
        <v>0.58646140000000002</v>
      </c>
      <c r="F6694" t="s">
        <v>38</v>
      </c>
      <c r="G6694">
        <v>-184.58449999999999</v>
      </c>
      <c r="H6694" s="1">
        <v>-1.6553249999999999E-6</v>
      </c>
      <c r="I6694">
        <v>80.278099999999995</v>
      </c>
      <c r="J6694">
        <v>-189.0025</v>
      </c>
      <c r="K6694">
        <v>1.1025180000000001</v>
      </c>
      <c r="L6694">
        <v>57.751309999999997</v>
      </c>
      <c r="M6694">
        <v>2.9028579999999998E-2</v>
      </c>
      <c r="N6694">
        <v>0</v>
      </c>
      <c r="O6694">
        <v>0.99947369999999902</v>
      </c>
      <c r="P6694">
        <v>-2.994724E-2</v>
      </c>
      <c r="Q6694">
        <v>1.9934980000000001E-2</v>
      </c>
      <c r="R6694">
        <v>0.99935269999999998</v>
      </c>
      <c r="S6694">
        <v>0.58641049999999995</v>
      </c>
      <c r="T6694">
        <v>-0.14597360000000001</v>
      </c>
      <c r="U6694">
        <v>3.0242309999999999</v>
      </c>
      <c r="V6694">
        <v>-5.8748799999999997E-2</v>
      </c>
      <c r="W6694">
        <v>3.4723759999999999E-2</v>
      </c>
      <c r="X6694">
        <v>0.99766869999999996</v>
      </c>
      <c r="Y6694">
        <v>0.16156329999999999</v>
      </c>
      <c r="Z6694">
        <v>-4.7424170000000002E-2</v>
      </c>
      <c r="AA6694">
        <v>0.98572219999999999</v>
      </c>
      <c r="AB6694">
        <v>32</v>
      </c>
      <c r="AC6694">
        <v>4.4180000000000001</v>
      </c>
      <c r="AD6694">
        <v>-1.1025196553250001</v>
      </c>
      <c r="AE6694">
        <v>22.526789999999998</v>
      </c>
      <c r="AF6694">
        <v>3.7534904879562898</v>
      </c>
      <c r="AG6694">
        <v>-1.1025196553250001</v>
      </c>
      <c r="AH6694">
        <v>22.593441248417701</v>
      </c>
      <c r="AI6694">
        <v>92.756001539461906</v>
      </c>
      <c r="AJ6694">
        <v>80.567494201723207</v>
      </c>
      <c r="AK6694">
        <v>22.9296277309349</v>
      </c>
    </row>
    <row r="6695" spans="1:37" x14ac:dyDescent="0.2">
      <c r="A6695" t="str">
        <f>"20200111155733381"</f>
        <v>20200111155733381</v>
      </c>
      <c r="B6695" t="str">
        <f>"1578729453369866"</f>
        <v>1578729453369866</v>
      </c>
      <c r="C6695" t="s">
        <v>37</v>
      </c>
      <c r="D6695">
        <v>4.9674259999999997</v>
      </c>
      <c r="E6695">
        <v>0.58675529999999998</v>
      </c>
      <c r="F6695" t="s">
        <v>38</v>
      </c>
      <c r="G6695">
        <v>-184.38730000000001</v>
      </c>
      <c r="H6695" s="1">
        <v>-1.99996199999999E-6</v>
      </c>
      <c r="I6695">
        <v>81.136659999999907</v>
      </c>
      <c r="J6695">
        <v>-188.99039999999999</v>
      </c>
      <c r="K6695">
        <v>1.102538</v>
      </c>
      <c r="L6695">
        <v>58.067779999999999</v>
      </c>
      <c r="M6695">
        <v>3.1676009999999998E-2</v>
      </c>
      <c r="N6695">
        <v>0</v>
      </c>
      <c r="O6695">
        <v>0.99939330000000004</v>
      </c>
      <c r="P6695">
        <v>-2.7612970000000001E-2</v>
      </c>
      <c r="Q6695">
        <v>1.9513900000000001E-2</v>
      </c>
      <c r="R6695">
        <v>0.99942819999999899</v>
      </c>
      <c r="S6695">
        <v>0.59652709999999998</v>
      </c>
      <c r="T6695">
        <v>-0.1425062</v>
      </c>
      <c r="U6695">
        <v>3.022675</v>
      </c>
      <c r="V6695">
        <v>-5.9065550000000001E-2</v>
      </c>
      <c r="W6695">
        <v>3.4297719999999997E-2</v>
      </c>
      <c r="X6695">
        <v>0.99766469999999896</v>
      </c>
      <c r="Y6695">
        <v>0.16223180000000001</v>
      </c>
      <c r="Z6695">
        <v>-4.6300649999999999E-2</v>
      </c>
      <c r="AA6695">
        <v>0.98566580000000004</v>
      </c>
      <c r="AB6695">
        <v>32</v>
      </c>
      <c r="AC6695">
        <v>4.60309999999998</v>
      </c>
      <c r="AD6695">
        <v>-1.102539999962</v>
      </c>
      <c r="AE6695">
        <v>23.068879999999901</v>
      </c>
      <c r="AF6695">
        <v>3.86150021191792</v>
      </c>
      <c r="AG6695">
        <v>-1.102539999962</v>
      </c>
      <c r="AH6695">
        <v>23.1522648768183</v>
      </c>
      <c r="AI6695">
        <v>92.689343644392295</v>
      </c>
      <c r="AJ6695">
        <v>80.530961460861505</v>
      </c>
      <c r="AK6695">
        <v>23.497960491594</v>
      </c>
    </row>
    <row r="6696" spans="1:37" x14ac:dyDescent="0.2">
      <c r="A6696" t="str">
        <f>"20200111155733403"</f>
        <v>20200111155733403</v>
      </c>
      <c r="B6696" t="str">
        <f>"1578729453400121"</f>
        <v>1578729453400121</v>
      </c>
      <c r="C6696" t="s">
        <v>37</v>
      </c>
      <c r="D6696">
        <v>4.9306859999999997</v>
      </c>
      <c r="E6696">
        <v>0.58659819999999996</v>
      </c>
      <c r="F6696" t="s">
        <v>38</v>
      </c>
      <c r="G6696">
        <v>-184.3261</v>
      </c>
      <c r="H6696" s="1">
        <v>-2.0795359999999999E-6</v>
      </c>
      <c r="I6696">
        <v>81.322580000000002</v>
      </c>
      <c r="J6696">
        <v>-188.97790000000001</v>
      </c>
      <c r="K6696">
        <v>1.1025609999999999</v>
      </c>
      <c r="L6696">
        <v>58.37811</v>
      </c>
      <c r="M6696">
        <v>3.4251469999999999E-2</v>
      </c>
      <c r="N6696">
        <v>0</v>
      </c>
      <c r="O6696">
        <v>0.99930849999999904</v>
      </c>
      <c r="P6696">
        <v>-2.5988649999999999E-2</v>
      </c>
      <c r="Q6696">
        <v>1.9089869999999998E-2</v>
      </c>
      <c r="R6696">
        <v>0.99947989999999998</v>
      </c>
      <c r="S6696">
        <v>0.60598750000000001</v>
      </c>
      <c r="T6696">
        <v>-0.14324089999999901</v>
      </c>
      <c r="U6696">
        <v>3.0212400000000001</v>
      </c>
      <c r="V6696">
        <v>-6.0020699999999899E-2</v>
      </c>
      <c r="W6696">
        <v>3.3871199999999997E-2</v>
      </c>
      <c r="X6696">
        <v>0.99762229999999996</v>
      </c>
      <c r="Y6696">
        <v>0.16274439999999901</v>
      </c>
      <c r="Z6696">
        <v>-4.6538459999999997E-2</v>
      </c>
      <c r="AA6696">
        <v>0.98557009999999901</v>
      </c>
      <c r="AB6696">
        <v>32</v>
      </c>
      <c r="AC6696">
        <v>4.6517999999999997</v>
      </c>
      <c r="AD6696">
        <v>-1.102563079536</v>
      </c>
      <c r="AE6696">
        <v>22.944469999999999</v>
      </c>
      <c r="AF6696">
        <v>3.8545565529400401</v>
      </c>
      <c r="AG6696">
        <v>-1.102563079536</v>
      </c>
      <c r="AH6696">
        <v>23.0392516126347</v>
      </c>
      <c r="AI6696">
        <v>92.702345914085001</v>
      </c>
      <c r="AJ6696">
        <v>80.502157693974596</v>
      </c>
      <c r="AK6696">
        <v>23.3854734062507</v>
      </c>
    </row>
    <row r="6697" spans="1:37" x14ac:dyDescent="0.2">
      <c r="A6697" t="str">
        <f>"20200111155733428"</f>
        <v>20200111155733428</v>
      </c>
      <c r="B6697" t="str">
        <f>"1578729453419643"</f>
        <v>1578729453419643</v>
      </c>
      <c r="C6697" t="s">
        <v>37</v>
      </c>
      <c r="D6697">
        <v>5.1919420000000001</v>
      </c>
      <c r="E6697">
        <v>0.58608879999999997</v>
      </c>
      <c r="F6697" t="s">
        <v>38</v>
      </c>
      <c r="G6697">
        <v>-184.3374</v>
      </c>
      <c r="H6697" s="1">
        <v>-2.0929700000000001E-6</v>
      </c>
      <c r="I6697">
        <v>81.370890000000003</v>
      </c>
      <c r="J6697">
        <v>-188.96289999999999</v>
      </c>
      <c r="K6697">
        <v>1.1025959999999999</v>
      </c>
      <c r="L6697">
        <v>58.725589999999997</v>
      </c>
      <c r="M6697">
        <v>3.7099109999999998E-2</v>
      </c>
      <c r="N6697">
        <v>0</v>
      </c>
      <c r="O6697">
        <v>0.99920679999999995</v>
      </c>
      <c r="P6697">
        <v>-2.4612350000000002E-2</v>
      </c>
      <c r="Q6697">
        <v>1.8550589999999999E-2</v>
      </c>
      <c r="R6697">
        <v>0.999525</v>
      </c>
      <c r="S6697">
        <v>0.60954280000000005</v>
      </c>
      <c r="T6697">
        <v>-0.14482509999999901</v>
      </c>
      <c r="U6697">
        <v>3.0201720000000001</v>
      </c>
      <c r="V6697">
        <v>-6.1495969999999997E-2</v>
      </c>
      <c r="W6697">
        <v>3.3329820000000003E-2</v>
      </c>
      <c r="X6697">
        <v>0.99755070000000001</v>
      </c>
      <c r="Y6697">
        <v>0.1611099</v>
      </c>
      <c r="Z6697">
        <v>-4.7062029999999998E-2</v>
      </c>
      <c r="AA6697">
        <v>0.98581369999999902</v>
      </c>
      <c r="AB6697">
        <v>32</v>
      </c>
      <c r="AC6697">
        <v>4.6254999999999802</v>
      </c>
      <c r="AD6697">
        <v>-1.1025980929700001</v>
      </c>
      <c r="AE6697">
        <v>22.645299999999999</v>
      </c>
      <c r="AF6697">
        <v>3.7735190087029</v>
      </c>
      <c r="AG6697">
        <v>-1.1025980929700001</v>
      </c>
      <c r="AH6697">
        <v>22.749554863546301</v>
      </c>
      <c r="AI6697">
        <v>92.737427051180802</v>
      </c>
      <c r="AJ6697">
        <v>80.581972095876495</v>
      </c>
      <c r="AK6697">
        <v>23.086736771427201</v>
      </c>
    </row>
    <row r="6698" spans="1:37" x14ac:dyDescent="0.2">
      <c r="A6698" t="str">
        <f>"20200111155733449"</f>
        <v>20200111155733449</v>
      </c>
      <c r="B6698" t="str">
        <f>"1578729453440138"</f>
        <v>1578729453440138</v>
      </c>
      <c r="C6698" t="s">
        <v>37</v>
      </c>
      <c r="D6698">
        <v>4.9164639999999897</v>
      </c>
      <c r="E6698">
        <v>0.58594230000000003</v>
      </c>
      <c r="F6698" t="s">
        <v>38</v>
      </c>
      <c r="G6698">
        <v>-184.3741</v>
      </c>
      <c r="H6698" s="1">
        <v>-2.11195699999999E-6</v>
      </c>
      <c r="I6698">
        <v>81.455439999999996</v>
      </c>
      <c r="J6698">
        <v>-188.9486</v>
      </c>
      <c r="K6698">
        <v>1.1026320000000001</v>
      </c>
      <c r="L6698">
        <v>59.037779999999998</v>
      </c>
      <c r="M6698">
        <v>3.9609779999999997E-2</v>
      </c>
      <c r="N6698">
        <v>0</v>
      </c>
      <c r="O6698">
        <v>0.99911049999999901</v>
      </c>
      <c r="P6698">
        <v>-2.347923E-2</v>
      </c>
      <c r="Q6698">
        <v>1.882503E-2</v>
      </c>
      <c r="R6698">
        <v>0.99954709999999902</v>
      </c>
      <c r="S6698">
        <v>0.60951230000000001</v>
      </c>
      <c r="T6698">
        <v>-0.14645610000000001</v>
      </c>
      <c r="U6698">
        <v>3.0191650000000001</v>
      </c>
      <c r="V6698">
        <v>-6.287384E-2</v>
      </c>
      <c r="W6698">
        <v>3.3600030000000003E-2</v>
      </c>
      <c r="X6698">
        <v>0.99745569999999895</v>
      </c>
      <c r="Y6698">
        <v>0.1586786</v>
      </c>
      <c r="Z6698">
        <v>-4.7608940000000002E-2</v>
      </c>
      <c r="AA6698">
        <v>0.9861818</v>
      </c>
      <c r="AB6698">
        <v>32</v>
      </c>
      <c r="AC6698">
        <v>4.5744999999999996</v>
      </c>
      <c r="AD6698">
        <v>-1.102634111957</v>
      </c>
      <c r="AE6698">
        <v>22.417659999999898</v>
      </c>
      <c r="AF6698">
        <v>3.6743239892088999</v>
      </c>
      <c r="AG6698">
        <v>-1.102634111957</v>
      </c>
      <c r="AH6698">
        <v>22.528952805187199</v>
      </c>
      <c r="AI6698">
        <v>92.765509079895295</v>
      </c>
      <c r="AJ6698">
        <v>80.736991069427106</v>
      </c>
      <c r="AK6698">
        <v>22.8532311339311</v>
      </c>
    </row>
    <row r="6699" spans="1:37" x14ac:dyDescent="0.2">
      <c r="A6699" t="str">
        <f>"20200111155733472"</f>
        <v>20200111155733472</v>
      </c>
      <c r="B6699" t="str">
        <f>"1578729453459658"</f>
        <v>1578729453459658</v>
      </c>
      <c r="C6699" t="s">
        <v>37</v>
      </c>
      <c r="D6699">
        <v>4.9448800000000004</v>
      </c>
      <c r="E6699">
        <v>0.58574649999999995</v>
      </c>
      <c r="F6699" t="s">
        <v>38</v>
      </c>
      <c r="G6699">
        <v>-184.30160000000001</v>
      </c>
      <c r="H6699" s="1">
        <v>-2.3072160000000001E-6</v>
      </c>
      <c r="I6699">
        <v>81.972470000000001</v>
      </c>
      <c r="J6699">
        <v>-188.93340000000001</v>
      </c>
      <c r="K6699">
        <v>1.1026830000000001</v>
      </c>
      <c r="L6699">
        <v>59.354979999999998</v>
      </c>
      <c r="M6699">
        <v>4.2092160000000003E-2</v>
      </c>
      <c r="N6699">
        <v>0</v>
      </c>
      <c r="O6699">
        <v>0.99900909999999998</v>
      </c>
      <c r="P6699">
        <v>-2.2520519999999999E-2</v>
      </c>
      <c r="Q6699">
        <v>1.828782E-2</v>
      </c>
      <c r="R6699">
        <v>0.99957909999999905</v>
      </c>
      <c r="S6699">
        <v>0.6116028</v>
      </c>
      <c r="T6699">
        <v>-0.145119</v>
      </c>
      <c r="U6699">
        <v>3.0184630000000001</v>
      </c>
      <c r="V6699">
        <v>-6.4403569999999993E-2</v>
      </c>
      <c r="W6699">
        <v>3.3056740000000001E-2</v>
      </c>
      <c r="X6699">
        <v>0.99737629999999999</v>
      </c>
      <c r="Y6699">
        <v>0.15692990000000001</v>
      </c>
      <c r="Z6699">
        <v>-4.7182229999999999E-2</v>
      </c>
      <c r="AA6699">
        <v>0.98648210000000003</v>
      </c>
      <c r="AB6699">
        <v>32</v>
      </c>
      <c r="AC6699">
        <v>4.6317999999999904</v>
      </c>
      <c r="AD6699">
        <v>-1.1026853072160001</v>
      </c>
      <c r="AE6699">
        <v>22.61749</v>
      </c>
      <c r="AF6699">
        <v>3.6672097722807901</v>
      </c>
      <c r="AG6699">
        <v>-1.1026853072160001</v>
      </c>
      <c r="AH6699">
        <v>22.740546695743099</v>
      </c>
      <c r="AI6699">
        <v>92.740734671434197</v>
      </c>
      <c r="AJ6699">
        <v>80.839176304664605</v>
      </c>
      <c r="AK6699">
        <v>23.0607199892357</v>
      </c>
    </row>
    <row r="6700" spans="1:37" x14ac:dyDescent="0.2">
      <c r="A6700" t="str">
        <f>"20200111155733493"</f>
        <v>20200111155733493</v>
      </c>
      <c r="B6700" t="str">
        <f>"1578729453489913"</f>
        <v>1578729453489913</v>
      </c>
      <c r="C6700" t="s">
        <v>37</v>
      </c>
      <c r="D6700">
        <v>5.0102149999999996</v>
      </c>
      <c r="E6700">
        <v>0.58531979999999995</v>
      </c>
      <c r="F6700" t="s">
        <v>38</v>
      </c>
      <c r="G6700">
        <v>-184.30330000000001</v>
      </c>
      <c r="H6700" s="1">
        <v>-2.3677319999999998E-6</v>
      </c>
      <c r="I6700">
        <v>82.151629999999997</v>
      </c>
      <c r="J6700">
        <v>-188.91810000000001</v>
      </c>
      <c r="K6700">
        <v>1.1027469999999999</v>
      </c>
      <c r="L6700">
        <v>59.6601</v>
      </c>
      <c r="M6700">
        <v>4.4389329999999998E-2</v>
      </c>
      <c r="N6700">
        <v>0</v>
      </c>
      <c r="O6700">
        <v>0.99890979999999996</v>
      </c>
      <c r="P6700">
        <v>-2.125668E-2</v>
      </c>
      <c r="Q6700">
        <v>1.735867E-2</v>
      </c>
      <c r="R6700">
        <v>0.99962340000000005</v>
      </c>
      <c r="S6700">
        <v>0.61291499999999999</v>
      </c>
      <c r="T6700">
        <v>-0.14596909999999999</v>
      </c>
      <c r="U6700">
        <v>3.0177309999999999</v>
      </c>
      <c r="V6700">
        <v>-6.5447560000000002E-2</v>
      </c>
      <c r="W6700">
        <v>3.2115959999999999E-2</v>
      </c>
      <c r="X6700">
        <v>0.99733909999999903</v>
      </c>
      <c r="Y6700">
        <v>0.15511449999999999</v>
      </c>
      <c r="Z6700">
        <v>-4.7466969999999997E-2</v>
      </c>
      <c r="AA6700">
        <v>0.98675550000000001</v>
      </c>
      <c r="AB6700">
        <v>32</v>
      </c>
      <c r="AC6700">
        <v>4.6147999999999998</v>
      </c>
      <c r="AD6700">
        <v>-1.1027493677319999</v>
      </c>
      <c r="AE6700">
        <v>22.491530000000001</v>
      </c>
      <c r="AF6700">
        <v>3.6034497052433601</v>
      </c>
      <c r="AG6700">
        <v>-1.1027493677319999</v>
      </c>
      <c r="AH6700">
        <v>22.622040765409601</v>
      </c>
      <c r="AI6700">
        <v>92.756078379302494</v>
      </c>
      <c r="AJ6700">
        <v>80.949429523381397</v>
      </c>
      <c r="AK6700">
        <v>22.933766248440499</v>
      </c>
    </row>
    <row r="6701" spans="1:37" x14ac:dyDescent="0.2">
      <c r="A6701" t="str">
        <f>"20200111155733517"</f>
        <v>20200111155733517</v>
      </c>
      <c r="B6701" t="str">
        <f>"1578729453510410"</f>
        <v>1578729453510410</v>
      </c>
      <c r="C6701" t="s">
        <v>37</v>
      </c>
      <c r="D6701">
        <v>5.0775110000000003</v>
      </c>
      <c r="E6701">
        <v>0.58497860000000002</v>
      </c>
      <c r="F6701" t="s">
        <v>38</v>
      </c>
      <c r="G6701">
        <v>-184.28829999999999</v>
      </c>
      <c r="H6701" s="1">
        <v>-2.4648600000000001E-6</v>
      </c>
      <c r="I6701">
        <v>82.425349999999995</v>
      </c>
      <c r="J6701">
        <v>-188.9008</v>
      </c>
      <c r="K6701">
        <v>1.1028469999999999</v>
      </c>
      <c r="L6701">
        <v>59.992159999999998</v>
      </c>
      <c r="M6701">
        <v>4.6761209999999997E-2</v>
      </c>
      <c r="N6701">
        <v>0</v>
      </c>
      <c r="O6701">
        <v>0.99880159999999996</v>
      </c>
      <c r="P6701">
        <v>-1.8684570000000001E-2</v>
      </c>
      <c r="Q6701">
        <v>1.674871E-2</v>
      </c>
      <c r="R6701">
        <v>0.99968509999999999</v>
      </c>
      <c r="S6701">
        <v>0.61351009999999995</v>
      </c>
      <c r="T6701">
        <v>-0.14613010000000001</v>
      </c>
      <c r="U6701">
        <v>3.016724</v>
      </c>
      <c r="V6701">
        <v>-6.52615E-2</v>
      </c>
      <c r="W6701">
        <v>3.1482570000000001E-2</v>
      </c>
      <c r="X6701">
        <v>0.99737140000000002</v>
      </c>
      <c r="Y6701">
        <v>0.15301899999999999</v>
      </c>
      <c r="Z6701">
        <v>-4.7533880000000001E-2</v>
      </c>
      <c r="AA6701">
        <v>0.98707939999999905</v>
      </c>
      <c r="AB6701">
        <v>32</v>
      </c>
      <c r="AC6701">
        <v>4.6125000000000096</v>
      </c>
      <c r="AD6701">
        <v>-1.10284946486</v>
      </c>
      <c r="AE6701">
        <v>22.43319</v>
      </c>
      <c r="AF6701">
        <v>3.5501086208516699</v>
      </c>
      <c r="AG6701">
        <v>-1.10284946486</v>
      </c>
      <c r="AH6701">
        <v>22.572013194105001</v>
      </c>
      <c r="AI6701">
        <v>92.763283950273006</v>
      </c>
      <c r="AJ6701">
        <v>81.061785347253604</v>
      </c>
      <c r="AK6701">
        <v>22.876086374133902</v>
      </c>
    </row>
    <row r="6702" spans="1:37" x14ac:dyDescent="0.2">
      <c r="A6702" t="str">
        <f>"20200111155733541"</f>
        <v>20200111155733541</v>
      </c>
      <c r="B6702" t="str">
        <f>"1578729453530438"</f>
        <v>1578729453530438</v>
      </c>
      <c r="C6702" t="s">
        <v>37</v>
      </c>
      <c r="D6702">
        <v>4.8772070000000003</v>
      </c>
      <c r="E6702">
        <v>0.58477509999999999</v>
      </c>
      <c r="F6702" t="s">
        <v>38</v>
      </c>
      <c r="G6702">
        <v>-184.24510000000001</v>
      </c>
      <c r="H6702" s="1">
        <v>-2.56640899999999E-6</v>
      </c>
      <c r="I6702">
        <v>82.689989999999995</v>
      </c>
      <c r="J6702">
        <v>-188.88329999999999</v>
      </c>
      <c r="K6702">
        <v>1.102975</v>
      </c>
      <c r="L6702">
        <v>60.315369999999902</v>
      </c>
      <c r="M6702">
        <v>4.8892150000000002E-2</v>
      </c>
      <c r="N6702">
        <v>0</v>
      </c>
      <c r="O6702">
        <v>0.99869969999999997</v>
      </c>
      <c r="P6702">
        <v>-1.664858E-2</v>
      </c>
      <c r="Q6702">
        <v>1.67285E-2</v>
      </c>
      <c r="R6702">
        <v>0.99972150000000004</v>
      </c>
      <c r="S6702">
        <v>0.61840819999999996</v>
      </c>
      <c r="T6702">
        <v>-0.1464916</v>
      </c>
      <c r="U6702">
        <v>3.0149539999999999</v>
      </c>
      <c r="V6702">
        <v>-6.5368120000000002E-2</v>
      </c>
      <c r="W6702">
        <v>3.1434429999999999E-2</v>
      </c>
      <c r="X6702">
        <v>0.99736599999999997</v>
      </c>
      <c r="Y6702">
        <v>0.1525618</v>
      </c>
      <c r="Z6702">
        <v>-4.7665249999999999E-2</v>
      </c>
      <c r="AA6702">
        <v>0.98714380000000002</v>
      </c>
      <c r="AB6702">
        <v>32</v>
      </c>
      <c r="AC6702">
        <v>4.6381999999999799</v>
      </c>
      <c r="AD6702">
        <v>-1.102977566409</v>
      </c>
      <c r="AE6702">
        <v>22.37462</v>
      </c>
      <c r="AF6702">
        <v>3.5303688965123898</v>
      </c>
      <c r="AG6702">
        <v>-1.102977566409</v>
      </c>
      <c r="AH6702">
        <v>22.522175141297399</v>
      </c>
      <c r="AI6702">
        <v>92.769934268944994</v>
      </c>
      <c r="AJ6702">
        <v>81.091333285233105</v>
      </c>
      <c r="AK6702">
        <v>22.823856754561401</v>
      </c>
    </row>
    <row r="6703" spans="1:37" x14ac:dyDescent="0.2">
      <c r="A6703" t="str">
        <f>"20200111155733561"</f>
        <v>20200111155733561</v>
      </c>
      <c r="B6703" t="str">
        <f>"1578729453549959"</f>
        <v>1578729453549959</v>
      </c>
      <c r="C6703" t="s">
        <v>37</v>
      </c>
      <c r="D6703">
        <v>4.8767290000000001</v>
      </c>
      <c r="E6703">
        <v>0.58479729999999996</v>
      </c>
      <c r="F6703" t="s">
        <v>38</v>
      </c>
      <c r="G6703">
        <v>-184.22</v>
      </c>
      <c r="H6703" s="1">
        <v>-2.637393E-6</v>
      </c>
      <c r="I6703">
        <v>82.878910000000005</v>
      </c>
      <c r="J6703">
        <v>-188.86660000000001</v>
      </c>
      <c r="K6703">
        <v>1.103124</v>
      </c>
      <c r="L6703">
        <v>60.615229999999997</v>
      </c>
      <c r="M6703">
        <v>5.0685960000000002E-2</v>
      </c>
      <c r="N6703">
        <v>0</v>
      </c>
      <c r="O6703">
        <v>0.99861039999999901</v>
      </c>
      <c r="P6703">
        <v>-1.544181E-2</v>
      </c>
      <c r="Q6703">
        <v>1.654307E-2</v>
      </c>
      <c r="R6703">
        <v>0.99974390000000002</v>
      </c>
      <c r="S6703">
        <v>0.62284849999999903</v>
      </c>
      <c r="T6703">
        <v>-0.1473178</v>
      </c>
      <c r="U6703">
        <v>3.0136720000000001</v>
      </c>
      <c r="V6703">
        <v>-6.5967789999999998E-2</v>
      </c>
      <c r="W6703">
        <v>3.1221390000000002E-2</v>
      </c>
      <c r="X6703">
        <v>0.99733320000000003</v>
      </c>
      <c r="Y6703">
        <v>0.15226189999999901</v>
      </c>
      <c r="Z6703">
        <v>-4.7940999999999998E-2</v>
      </c>
      <c r="AA6703">
        <v>0.98717679999999997</v>
      </c>
      <c r="AB6703">
        <v>32</v>
      </c>
      <c r="AC6703">
        <v>4.6466000000000003</v>
      </c>
      <c r="AD6703">
        <v>-1.103126637393</v>
      </c>
      <c r="AE6703">
        <v>22.263680000000001</v>
      </c>
      <c r="AF6703">
        <v>3.5038098115990501</v>
      </c>
      <c r="AG6703">
        <v>-1.103126637393</v>
      </c>
      <c r="AH6703">
        <v>22.417859850623401</v>
      </c>
      <c r="AI6703">
        <v>92.783372005645504</v>
      </c>
      <c r="AJ6703">
        <v>81.116798041361093</v>
      </c>
      <c r="AK6703">
        <v>22.716822221784899</v>
      </c>
    </row>
    <row r="6704" spans="1:37" x14ac:dyDescent="0.2">
      <c r="A6704" t="str">
        <f>"20200111155733583"</f>
        <v>20200111155733583</v>
      </c>
      <c r="B6704" t="str">
        <f>"1578729453569478"</f>
        <v>1578729453569478</v>
      </c>
      <c r="C6704" t="s">
        <v>37</v>
      </c>
      <c r="D6704">
        <v>4.9652510000000003</v>
      </c>
      <c r="E6704">
        <v>0.58439859999999999</v>
      </c>
      <c r="F6704" t="s">
        <v>38</v>
      </c>
      <c r="G6704">
        <v>-184.1696</v>
      </c>
      <c r="H6704" s="1">
        <v>-2.7601090000000001E-6</v>
      </c>
      <c r="I6704">
        <v>83.20017</v>
      </c>
      <c r="J6704">
        <v>-188.84960000000001</v>
      </c>
      <c r="K6704">
        <v>1.1032709999999999</v>
      </c>
      <c r="L6704">
        <v>60.914400000000001</v>
      </c>
      <c r="M6704">
        <v>5.2320760000000001E-2</v>
      </c>
      <c r="N6704">
        <v>0</v>
      </c>
      <c r="O6704">
        <v>0.99852619999999903</v>
      </c>
      <c r="P6704">
        <v>-1.459767E-2</v>
      </c>
      <c r="Q6704">
        <v>1.647028E-2</v>
      </c>
      <c r="R6704">
        <v>0.99975780000000003</v>
      </c>
      <c r="S6704">
        <v>0.62658689999999995</v>
      </c>
      <c r="T6704">
        <v>-0.1471594</v>
      </c>
      <c r="U6704">
        <v>3.01287799999999</v>
      </c>
      <c r="V6704">
        <v>-6.6769789999999996E-2</v>
      </c>
      <c r="W6704">
        <v>3.1120829999999999E-2</v>
      </c>
      <c r="X6704">
        <v>0.99728300000000003</v>
      </c>
      <c r="Y6704">
        <v>0.15187029999999899</v>
      </c>
      <c r="Z6704">
        <v>-4.7891330000000003E-2</v>
      </c>
      <c r="AA6704">
        <v>0.98723950000000005</v>
      </c>
      <c r="AB6704">
        <v>32</v>
      </c>
      <c r="AC6704">
        <v>4.68</v>
      </c>
      <c r="AD6704">
        <v>-1.1032737601089999</v>
      </c>
      <c r="AE6704">
        <v>22.285769999999999</v>
      </c>
      <c r="AF6704">
        <v>3.4992451363474801</v>
      </c>
      <c r="AG6704">
        <v>-1.1032737601089999</v>
      </c>
      <c r="AH6704">
        <v>22.4474351930638</v>
      </c>
      <c r="AI6704">
        <v>92.7802538205475</v>
      </c>
      <c r="AJ6704">
        <v>81.139690005842098</v>
      </c>
      <c r="AK6704">
        <v>22.745313281218898</v>
      </c>
    </row>
    <row r="6705" spans="1:37" x14ac:dyDescent="0.2">
      <c r="A6705" t="str">
        <f>"20200111155733604"</f>
        <v>20200111155733604</v>
      </c>
      <c r="B6705" t="str">
        <f>"1578729453599735"</f>
        <v>1578729453599735</v>
      </c>
      <c r="C6705" t="s">
        <v>37</v>
      </c>
      <c r="D6705">
        <v>4.8899410000000003</v>
      </c>
      <c r="E6705">
        <v>0.58474689999999996</v>
      </c>
      <c r="F6705" t="s">
        <v>38</v>
      </c>
      <c r="G6705">
        <v>-184.2176</v>
      </c>
      <c r="H6705" s="1">
        <v>-2.7481130000000001E-6</v>
      </c>
      <c r="I6705">
        <v>83.202439999999996</v>
      </c>
      <c r="J6705">
        <v>-188.83150000000001</v>
      </c>
      <c r="K6705">
        <v>1.1034250000000001</v>
      </c>
      <c r="L6705">
        <v>61.227719999999998</v>
      </c>
      <c r="M6705">
        <v>5.3832959999999999E-2</v>
      </c>
      <c r="N6705">
        <v>0</v>
      </c>
      <c r="O6705">
        <v>0.9984459</v>
      </c>
      <c r="P6705">
        <v>-1.377506E-2</v>
      </c>
      <c r="Q6705">
        <v>1.6393189999999998E-2</v>
      </c>
      <c r="R6705">
        <v>0.99977070000000001</v>
      </c>
      <c r="S6705">
        <v>0.62603759999999997</v>
      </c>
      <c r="T6705">
        <v>-0.14911250000000001</v>
      </c>
      <c r="U6705">
        <v>3.0123289999999998</v>
      </c>
      <c r="V6705">
        <v>-6.7471890000000007E-2</v>
      </c>
      <c r="W6705">
        <v>3.1013579999999999E-2</v>
      </c>
      <c r="X6705">
        <v>0.99723909999999905</v>
      </c>
      <c r="Y6705">
        <v>0.15023020000000001</v>
      </c>
      <c r="Z6705">
        <v>-4.8535210000000002E-2</v>
      </c>
      <c r="AA6705">
        <v>0.98745899999999998</v>
      </c>
      <c r="AB6705">
        <v>31</v>
      </c>
      <c r="AC6705">
        <v>4.6139000000000001</v>
      </c>
      <c r="AD6705">
        <v>-1.1034277481129999</v>
      </c>
      <c r="AE6705">
        <v>21.974720000000001</v>
      </c>
      <c r="AF6705">
        <v>3.41587198912219</v>
      </c>
      <c r="AG6705">
        <v>-1.1034277481129999</v>
      </c>
      <c r="AH6705">
        <v>22.137793428075</v>
      </c>
      <c r="AI6705">
        <v>92.820147927513204</v>
      </c>
      <c r="AJ6705">
        <v>81.2284107883101</v>
      </c>
      <c r="AK6705">
        <v>22.426939873854799</v>
      </c>
    </row>
    <row r="6706" spans="1:37" x14ac:dyDescent="0.2">
      <c r="A6706" t="str">
        <f>"20200111155733629"</f>
        <v>20200111155733629</v>
      </c>
      <c r="B6706" t="str">
        <f>"1578729453620231"</f>
        <v>1578729453620231</v>
      </c>
      <c r="C6706" t="s">
        <v>37</v>
      </c>
      <c r="D6706">
        <v>4.9441879999999996</v>
      </c>
      <c r="E6706">
        <v>0.53260390000000002</v>
      </c>
      <c r="F6706" t="s">
        <v>38</v>
      </c>
      <c r="G6706">
        <v>-184.12370000000001</v>
      </c>
      <c r="H6706" s="1">
        <v>-2.9433499999999999E-6</v>
      </c>
      <c r="I6706">
        <v>83.702669999999998</v>
      </c>
      <c r="J6706">
        <v>-188.81219999999999</v>
      </c>
      <c r="K6706">
        <v>1.1036059999999901</v>
      </c>
      <c r="L6706">
        <v>61.556269999999998</v>
      </c>
      <c r="M6706">
        <v>5.5163810000000001E-2</v>
      </c>
      <c r="N6706">
        <v>0</v>
      </c>
      <c r="O6706">
        <v>0.99837330000000002</v>
      </c>
      <c r="P6706">
        <v>-1.2917359999999999E-2</v>
      </c>
      <c r="Q6706">
        <v>1.5485840000000001E-2</v>
      </c>
      <c r="R6706">
        <v>0.99979660000000004</v>
      </c>
      <c r="S6706">
        <v>0.6308899</v>
      </c>
      <c r="T6706">
        <v>-0.14786759999999999</v>
      </c>
      <c r="U6706">
        <v>3.0118099999999899</v>
      </c>
      <c r="V6706">
        <v>-6.7963170000000003E-2</v>
      </c>
      <c r="W6706">
        <v>3.0069889999999998E-2</v>
      </c>
      <c r="X6706">
        <v>0.99723459999999997</v>
      </c>
      <c r="Y6706">
        <v>0.15047489999999999</v>
      </c>
      <c r="Z6706">
        <v>-4.8125069999999999E-2</v>
      </c>
      <c r="AA6706">
        <v>0.98744179999999904</v>
      </c>
      <c r="AB6706">
        <v>31</v>
      </c>
      <c r="AC6706">
        <v>4.6884999999999701</v>
      </c>
      <c r="AD6706">
        <v>-1.10360894334999</v>
      </c>
      <c r="AE6706">
        <v>22.1464</v>
      </c>
      <c r="AF6706">
        <v>3.4513497341510999</v>
      </c>
      <c r="AG6706">
        <v>-1.10360894334999</v>
      </c>
      <c r="AH6706">
        <v>22.318288502553902</v>
      </c>
      <c r="AI6706">
        <v>92.797691478401305</v>
      </c>
      <c r="AJ6706">
        <v>81.209286306468201</v>
      </c>
      <c r="AK6706">
        <v>22.610523420975799</v>
      </c>
    </row>
    <row r="6707" spans="1:37" x14ac:dyDescent="0.2">
      <c r="A6707" t="str">
        <f>"20200111155733649"</f>
        <v>20200111155733649</v>
      </c>
      <c r="B6707" t="str">
        <f>"1578729453639750"</f>
        <v>1578729453639750</v>
      </c>
      <c r="C6707" t="s">
        <v>37</v>
      </c>
      <c r="D6707">
        <v>4.9049969999999998</v>
      </c>
      <c r="E6707">
        <v>0.52396849999999995</v>
      </c>
      <c r="F6707" t="s">
        <v>38</v>
      </c>
      <c r="G6707">
        <v>-184.78630000000001</v>
      </c>
      <c r="H6707" s="1">
        <v>-3.9895099999999902E-6</v>
      </c>
      <c r="I6707">
        <v>116.7766</v>
      </c>
      <c r="J6707">
        <v>-188.7945</v>
      </c>
      <c r="K6707">
        <v>1.103799</v>
      </c>
      <c r="L6707">
        <v>61.856900000000003</v>
      </c>
      <c r="M6707">
        <v>5.612429E-2</v>
      </c>
      <c r="N6707">
        <v>0</v>
      </c>
      <c r="O6707">
        <v>0.99831990000000004</v>
      </c>
      <c r="P6707">
        <v>-1.326276E-2</v>
      </c>
      <c r="Q6707">
        <v>1.4405869999999999E-2</v>
      </c>
      <c r="R6707">
        <v>0.99980829999999998</v>
      </c>
      <c r="S6707">
        <v>0.21903989999999901</v>
      </c>
      <c r="T6707">
        <v>-6.0043930000000002E-2</v>
      </c>
      <c r="U6707">
        <v>3.0043639999999998</v>
      </c>
      <c r="V6707">
        <v>-6.928542E-2</v>
      </c>
      <c r="W6707">
        <v>2.895315E-2</v>
      </c>
      <c r="X6707">
        <v>0.99717659999999997</v>
      </c>
      <c r="Y6707">
        <v>1.6603650000000001E-2</v>
      </c>
      <c r="Z6707">
        <v>-1.990658E-2</v>
      </c>
      <c r="AA6707">
        <v>0.99966390000000005</v>
      </c>
      <c r="AB6707">
        <v>31</v>
      </c>
      <c r="AC6707">
        <v>4.00819999999998</v>
      </c>
      <c r="AD6707">
        <v>-1.1038029895100001</v>
      </c>
      <c r="AE6707">
        <v>54.919699999999999</v>
      </c>
      <c r="AF6707">
        <v>0.91886279460657605</v>
      </c>
      <c r="AG6707">
        <v>-1.1038029895100001</v>
      </c>
      <c r="AH6707">
        <v>55.0359837951356</v>
      </c>
      <c r="AI6707">
        <v>91.148811407676206</v>
      </c>
      <c r="AJ6707">
        <v>89.043497261802599</v>
      </c>
      <c r="AK6707">
        <v>55.054720071701297</v>
      </c>
    </row>
    <row r="6708" spans="1:37" x14ac:dyDescent="0.2">
      <c r="A6708" t="str">
        <f>"20200111155733670"</f>
        <v>20200111155733670</v>
      </c>
      <c r="B6708" t="str">
        <f>"1578729453660246"</f>
        <v>1578729453660246</v>
      </c>
      <c r="C6708" t="s">
        <v>37</v>
      </c>
      <c r="D6708">
        <v>4.8477180000000004</v>
      </c>
      <c r="E6708">
        <v>0.5196944</v>
      </c>
      <c r="F6708" t="s">
        <v>38</v>
      </c>
      <c r="G6708">
        <v>-186.82919999999999</v>
      </c>
      <c r="H6708" s="1">
        <v>-1.4987459999999999E-6</v>
      </c>
      <c r="I6708">
        <v>101.57299999999999</v>
      </c>
      <c r="J6708">
        <v>-188.77690000000001</v>
      </c>
      <c r="K6708">
        <v>1.1040319999999999</v>
      </c>
      <c r="L6708">
        <v>62.153410000000001</v>
      </c>
      <c r="M6708">
        <v>5.6805330000000001E-2</v>
      </c>
      <c r="N6708">
        <v>0</v>
      </c>
      <c r="O6708">
        <v>0.99828150000000004</v>
      </c>
      <c r="P6708">
        <v>-1.4492069999999999E-2</v>
      </c>
      <c r="Q6708">
        <v>1.383319E-2</v>
      </c>
      <c r="R6708">
        <v>0.99979929999999995</v>
      </c>
      <c r="S6708">
        <v>0.14863589999999999</v>
      </c>
      <c r="T6708">
        <v>-8.3481070000000004E-2</v>
      </c>
      <c r="U6708">
        <v>3.0037539999999998</v>
      </c>
      <c r="V6708">
        <v>-7.1209910000000001E-2</v>
      </c>
      <c r="W6708">
        <v>2.8338760000000001E-2</v>
      </c>
      <c r="X6708">
        <v>0.99705869999999996</v>
      </c>
      <c r="Y6708">
        <v>-7.4176969999999896E-3</v>
      </c>
      <c r="Z6708">
        <v>-2.769696E-2</v>
      </c>
      <c r="AA6708">
        <v>0.99958880000000006</v>
      </c>
      <c r="AB6708">
        <v>31</v>
      </c>
      <c r="AC6708">
        <v>1.94770000000002</v>
      </c>
      <c r="AD6708">
        <v>-1.1040334987459901</v>
      </c>
      <c r="AE6708">
        <v>39.4195899999999</v>
      </c>
      <c r="AF6708">
        <v>-0.294689903136653</v>
      </c>
      <c r="AG6708">
        <v>-1.1040334987459901</v>
      </c>
      <c r="AH6708">
        <v>39.435717913186799</v>
      </c>
      <c r="AI6708">
        <v>91.603576156670798</v>
      </c>
      <c r="AJ6708">
        <v>90.428144188522097</v>
      </c>
      <c r="AK6708">
        <v>39.452269636027403</v>
      </c>
    </row>
    <row r="6709" spans="1:37" x14ac:dyDescent="0.2">
      <c r="A6709" t="str">
        <f>"20200111155733694"</f>
        <v>20200111155733694</v>
      </c>
      <c r="B6709" t="str">
        <f>"1578729453689526"</f>
        <v>1578729453689526</v>
      </c>
      <c r="C6709" t="s">
        <v>37</v>
      </c>
      <c r="D6709">
        <v>4.8680180000000002</v>
      </c>
      <c r="E6709">
        <v>0.51658139999999997</v>
      </c>
      <c r="F6709" t="s">
        <v>38</v>
      </c>
      <c r="G6709">
        <v>-187.49199999999999</v>
      </c>
      <c r="H6709" s="1">
        <v>-3.5926369999999899E-6</v>
      </c>
      <c r="I6709">
        <v>96.970290000000006</v>
      </c>
      <c r="J6709">
        <v>-188.75839999999999</v>
      </c>
      <c r="K6709">
        <v>1.104293</v>
      </c>
      <c r="L6709">
        <v>62.467469999999999</v>
      </c>
      <c r="M6709">
        <v>5.7226079999999999E-2</v>
      </c>
      <c r="N6709">
        <v>0</v>
      </c>
      <c r="O6709">
        <v>0.99825750000000002</v>
      </c>
      <c r="P6709">
        <v>-1.5429109999999999E-2</v>
      </c>
      <c r="Q6709">
        <v>1.5839969999999998E-2</v>
      </c>
      <c r="R6709">
        <v>0.99975550000000002</v>
      </c>
      <c r="S6709">
        <v>0.1108398</v>
      </c>
      <c r="T6709">
        <v>-9.524059E-2</v>
      </c>
      <c r="U6709">
        <v>3.0035099999999999</v>
      </c>
      <c r="V6709">
        <v>-7.257777E-2</v>
      </c>
      <c r="W6709">
        <v>3.029486E-2</v>
      </c>
      <c r="X6709">
        <v>0.99690249999999903</v>
      </c>
      <c r="Y6709">
        <v>-2.0393640000000001E-2</v>
      </c>
      <c r="Z6709">
        <v>-3.160193E-2</v>
      </c>
      <c r="AA6709">
        <v>0.99929239999999997</v>
      </c>
      <c r="AB6709">
        <v>31</v>
      </c>
      <c r="AC6709">
        <v>1.26639999999997</v>
      </c>
      <c r="AD6709">
        <v>-1.1042965926369901</v>
      </c>
      <c r="AE6709">
        <v>34.50282</v>
      </c>
      <c r="AF6709">
        <v>-0.70961547332419705</v>
      </c>
      <c r="AG6709">
        <v>-1.1042965926369901</v>
      </c>
      <c r="AH6709">
        <v>34.483468478943301</v>
      </c>
      <c r="AI6709">
        <v>91.833821894590898</v>
      </c>
      <c r="AJ6709">
        <v>91.178890517237093</v>
      </c>
      <c r="AK6709">
        <v>34.508442784668901</v>
      </c>
    </row>
    <row r="6710" spans="1:37" x14ac:dyDescent="0.2">
      <c r="A6710" t="str">
        <f>"20200111155733716"</f>
        <v>20200111155733716</v>
      </c>
      <c r="B6710" t="str">
        <f>"1578729453710023"</f>
        <v>1578729453710023</v>
      </c>
      <c r="C6710" t="s">
        <v>37</v>
      </c>
      <c r="D6710">
        <v>4.8796720000000002</v>
      </c>
      <c r="E6710">
        <v>0.5145052</v>
      </c>
      <c r="F6710" t="s">
        <v>38</v>
      </c>
      <c r="G6710">
        <v>-187.80090000000001</v>
      </c>
      <c r="H6710" s="1">
        <v>-3.6291979999999999E-6</v>
      </c>
      <c r="I6710">
        <v>97.183229999999995</v>
      </c>
      <c r="J6710">
        <v>-188.73920000000001</v>
      </c>
      <c r="K6710">
        <v>1.1045909999999901</v>
      </c>
      <c r="L6710">
        <v>62.797150000000002</v>
      </c>
      <c r="M6710">
        <v>5.7321839999999999E-2</v>
      </c>
      <c r="N6710">
        <v>0</v>
      </c>
      <c r="O6710">
        <v>0.99825209999999998</v>
      </c>
      <c r="P6710">
        <v>-1.5659739999999998E-2</v>
      </c>
      <c r="Q6710">
        <v>1.893682E-2</v>
      </c>
      <c r="R6710">
        <v>0.99969799999999998</v>
      </c>
      <c r="S6710">
        <v>8.2839969999999999E-2</v>
      </c>
      <c r="T6710">
        <v>-9.5540639999999996E-2</v>
      </c>
      <c r="U6710">
        <v>3.0035099999999999</v>
      </c>
      <c r="V6710">
        <v>-7.2919150000000002E-2</v>
      </c>
      <c r="W6710">
        <v>3.3334589999999997E-2</v>
      </c>
      <c r="X6710">
        <v>0.99678060000000002</v>
      </c>
      <c r="Y6710">
        <v>-2.9794620000000001E-2</v>
      </c>
      <c r="Z6710">
        <v>-3.170212E-2</v>
      </c>
      <c r="AA6710">
        <v>0.99905319999999997</v>
      </c>
      <c r="AB6710">
        <v>31</v>
      </c>
      <c r="AC6710">
        <v>0.93829999999999703</v>
      </c>
      <c r="AD6710">
        <v>-1.10459462919799</v>
      </c>
      <c r="AE6710">
        <v>34.38608</v>
      </c>
      <c r="AF6710">
        <v>-1.0334548481572501</v>
      </c>
      <c r="AG6710">
        <v>-1.10459462919799</v>
      </c>
      <c r="AH6710">
        <v>34.347902211490897</v>
      </c>
      <c r="AI6710">
        <v>91.841108309649599</v>
      </c>
      <c r="AJ6710">
        <v>91.723387427595398</v>
      </c>
      <c r="AK6710">
        <v>34.381194635267903</v>
      </c>
    </row>
    <row r="6711" spans="1:37" x14ac:dyDescent="0.2">
      <c r="A6711" t="str">
        <f>"20200111155733740"</f>
        <v>20200111155733740</v>
      </c>
      <c r="B6711" t="str">
        <f>"1578729453730518"</f>
        <v>1578729453730518</v>
      </c>
      <c r="C6711" t="s">
        <v>37</v>
      </c>
      <c r="D6711">
        <v>4.8821430000000001</v>
      </c>
      <c r="E6711">
        <v>0.51306379999999996</v>
      </c>
      <c r="F6711" t="s">
        <v>38</v>
      </c>
      <c r="G6711">
        <v>-187.98439999999999</v>
      </c>
      <c r="H6711" s="1">
        <v>-3.7953349999999998E-6</v>
      </c>
      <c r="I6711">
        <v>97.646360000000001</v>
      </c>
      <c r="J6711">
        <v>-188.72139999999999</v>
      </c>
      <c r="K6711">
        <v>1.1048899999999999</v>
      </c>
      <c r="L6711">
        <v>63.109159999999903</v>
      </c>
      <c r="M6711">
        <v>5.7037230000000001E-2</v>
      </c>
      <c r="N6711">
        <v>0</v>
      </c>
      <c r="O6711">
        <v>0.9982685</v>
      </c>
      <c r="P6711">
        <v>-1.5712480000000001E-2</v>
      </c>
      <c r="Q6711">
        <v>2.180445E-2</v>
      </c>
      <c r="R6711">
        <v>0.99963880000000005</v>
      </c>
      <c r="S6711">
        <v>6.5063480000000007E-2</v>
      </c>
      <c r="T6711">
        <v>-9.520721E-2</v>
      </c>
      <c r="U6711">
        <v>3.0037229999999999</v>
      </c>
      <c r="V6711">
        <v>-7.2706220000000002E-2</v>
      </c>
      <c r="W6711">
        <v>3.6146699999999997E-2</v>
      </c>
      <c r="X6711">
        <v>0.99669810000000003</v>
      </c>
      <c r="Y6711">
        <v>-3.5419970000000002E-2</v>
      </c>
      <c r="Z6711">
        <v>-3.1589510000000001E-2</v>
      </c>
      <c r="AA6711">
        <v>0.99887309999999996</v>
      </c>
      <c r="AB6711">
        <v>31</v>
      </c>
      <c r="AC6711">
        <v>0.73699999999999399</v>
      </c>
      <c r="AD6711">
        <v>-1.104893795335</v>
      </c>
      <c r="AE6711">
        <v>34.537199999999999</v>
      </c>
      <c r="AF6711">
        <v>-1.23304855303767</v>
      </c>
      <c r="AG6711">
        <v>-1.104893795335</v>
      </c>
      <c r="AH6711">
        <v>34.487723974673699</v>
      </c>
      <c r="AI6711">
        <v>91.833803944889198</v>
      </c>
      <c r="AJ6711">
        <v>92.047638688207101</v>
      </c>
      <c r="AK6711">
        <v>34.527442766390998</v>
      </c>
    </row>
    <row r="6712" spans="1:37" x14ac:dyDescent="0.2">
      <c r="A6712" t="str">
        <f>"20200111155733760"</f>
        <v>20200111155733760</v>
      </c>
      <c r="B6712" t="str">
        <f>"1578729453750038"</f>
        <v>1578729453750038</v>
      </c>
      <c r="C6712" t="s">
        <v>37</v>
      </c>
      <c r="D6712">
        <v>5.0688360000000001</v>
      </c>
      <c r="E6712">
        <v>0.5117834</v>
      </c>
      <c r="F6712" t="s">
        <v>38</v>
      </c>
      <c r="G6712">
        <v>-188.08539999999999</v>
      </c>
      <c r="H6712" s="1">
        <v>-4.3951819999999998E-6</v>
      </c>
      <c r="I6712">
        <v>99.086410000000001</v>
      </c>
      <c r="J6712">
        <v>-188.70480000000001</v>
      </c>
      <c r="K6712">
        <v>1.105172</v>
      </c>
      <c r="L6712">
        <v>63.408450000000002</v>
      </c>
      <c r="M6712">
        <v>5.6418399999999903E-2</v>
      </c>
      <c r="N6712">
        <v>0</v>
      </c>
      <c r="O6712">
        <v>0.99830370000000002</v>
      </c>
      <c r="P6712">
        <v>-1.6520150000000001E-2</v>
      </c>
      <c r="Q6712">
        <v>2.2873069999999999E-2</v>
      </c>
      <c r="R6712">
        <v>0.99960190000000004</v>
      </c>
      <c r="S6712">
        <v>5.3100590000000003E-2</v>
      </c>
      <c r="T6712">
        <v>-9.2253680000000005E-2</v>
      </c>
      <c r="U6712">
        <v>3.0039370000000001</v>
      </c>
      <c r="V6712">
        <v>-7.2917369999999995E-2</v>
      </c>
      <c r="W6712">
        <v>3.716407E-2</v>
      </c>
      <c r="X6712">
        <v>0.99664529999999996</v>
      </c>
      <c r="Y6712">
        <v>-3.8777619999999999E-2</v>
      </c>
      <c r="Z6712">
        <v>-3.0609190000000001E-2</v>
      </c>
      <c r="AA6712">
        <v>0.99877890000000003</v>
      </c>
      <c r="AB6712">
        <v>31</v>
      </c>
      <c r="AC6712">
        <v>0.61940000000001205</v>
      </c>
      <c r="AD6712">
        <v>-1.1051763951819999</v>
      </c>
      <c r="AE6712">
        <v>35.677959999999999</v>
      </c>
      <c r="AF6712">
        <v>-1.3933516717994301</v>
      </c>
      <c r="AG6712">
        <v>-1.1051763951819999</v>
      </c>
      <c r="AH6712">
        <v>35.621899695997598</v>
      </c>
      <c r="AI6712">
        <v>91.775685726797406</v>
      </c>
      <c r="AJ6712">
        <v>92.239984213495504</v>
      </c>
      <c r="AK6712">
        <v>35.666266719373503</v>
      </c>
    </row>
    <row r="6713" spans="1:37" x14ac:dyDescent="0.2">
      <c r="A6713" t="str">
        <f>"20200111155733784"</f>
        <v>20200111155733784</v>
      </c>
      <c r="B6713" t="str">
        <f>"1578729453780295"</f>
        <v>1578729453780295</v>
      </c>
      <c r="C6713" t="s">
        <v>37</v>
      </c>
      <c r="D6713">
        <v>4.940798</v>
      </c>
      <c r="E6713">
        <v>0.51063740000000002</v>
      </c>
      <c r="F6713" t="s">
        <v>38</v>
      </c>
      <c r="G6713">
        <v>-188.22579999999999</v>
      </c>
      <c r="H6713" s="1">
        <v>-4.3638630000000003E-6</v>
      </c>
      <c r="I6713">
        <v>99.071460000000002</v>
      </c>
      <c r="J6713">
        <v>-188.68770000000001</v>
      </c>
      <c r="K6713">
        <v>1.1054379999999999</v>
      </c>
      <c r="L6713">
        <v>63.724789999999999</v>
      </c>
      <c r="M6713">
        <v>5.5478420000000001E-2</v>
      </c>
      <c r="N6713">
        <v>0</v>
      </c>
      <c r="O6713">
        <v>0.99835640000000003</v>
      </c>
      <c r="P6713">
        <v>-1.667399E-2</v>
      </c>
      <c r="Q6713">
        <v>2.4134929999999999E-2</v>
      </c>
      <c r="R6713">
        <v>0.99956970000000001</v>
      </c>
      <c r="S6713">
        <v>4.0344240000000003E-2</v>
      </c>
      <c r="T6713">
        <v>-9.30922E-2</v>
      </c>
      <c r="U6713">
        <v>3.0039980000000002</v>
      </c>
      <c r="V6713">
        <v>-7.2155090000000005E-2</v>
      </c>
      <c r="W6713">
        <v>3.8378660000000002E-2</v>
      </c>
      <c r="X6713">
        <v>0.99665469999999901</v>
      </c>
      <c r="Y6713">
        <v>-4.207727E-2</v>
      </c>
      <c r="Z6713">
        <v>-3.0887910000000001E-2</v>
      </c>
      <c r="AA6713">
        <v>0.99863679999999999</v>
      </c>
      <c r="AB6713">
        <v>31</v>
      </c>
      <c r="AC6713">
        <v>0.46190000000001402</v>
      </c>
      <c r="AD6713">
        <v>-1.105442363863</v>
      </c>
      <c r="AE6713">
        <v>35.346670000000003</v>
      </c>
      <c r="AF6713">
        <v>-1.4985261414897699</v>
      </c>
      <c r="AG6713">
        <v>-1.105442363863</v>
      </c>
      <c r="AH6713">
        <v>35.283344878821502</v>
      </c>
      <c r="AI6713">
        <v>91.792899161664806</v>
      </c>
      <c r="AJ6713">
        <v>92.431959189593499</v>
      </c>
      <c r="AK6713">
        <v>35.3324498054467</v>
      </c>
    </row>
    <row r="6714" spans="1:37" x14ac:dyDescent="0.2">
      <c r="A6714" t="str">
        <f>"20200111155733797"</f>
        <v>20200111155733797</v>
      </c>
      <c r="B6714" t="str">
        <f>"1578729453790055"</f>
        <v>1578729453790055</v>
      </c>
      <c r="C6714" t="s">
        <v>37</v>
      </c>
      <c r="D6714">
        <v>4.9446899999999996</v>
      </c>
      <c r="E6714">
        <v>0.51024720000000001</v>
      </c>
      <c r="F6714" t="s">
        <v>38</v>
      </c>
      <c r="G6714">
        <v>-188.33750000000001</v>
      </c>
      <c r="H6714" s="1">
        <v>-3.8845870000000003E-6</v>
      </c>
      <c r="I6714">
        <v>98.000399999999999</v>
      </c>
      <c r="J6714">
        <v>-188.6772</v>
      </c>
      <c r="K6714">
        <v>1.1055969999999999</v>
      </c>
      <c r="L6714">
        <v>63.924900000000001</v>
      </c>
      <c r="M6714">
        <v>5.4764489999999999E-2</v>
      </c>
      <c r="N6714">
        <v>0</v>
      </c>
      <c r="O6714">
        <v>0.9983959</v>
      </c>
      <c r="P6714">
        <v>-1.712702E-2</v>
      </c>
      <c r="Q6714">
        <v>2.4925269999999999E-2</v>
      </c>
      <c r="R6714">
        <v>0.99954259999999995</v>
      </c>
      <c r="S6714">
        <v>3.0700680000000001E-2</v>
      </c>
      <c r="T6714">
        <v>-9.6888539999999995E-2</v>
      </c>
      <c r="U6714">
        <v>3.0041500000000001</v>
      </c>
      <c r="V6714">
        <v>-7.1908200000000005E-2</v>
      </c>
      <c r="W6714">
        <v>3.9141009999999997E-2</v>
      </c>
      <c r="X6714">
        <v>0.9966429</v>
      </c>
      <c r="Y6714">
        <v>-4.4569020000000001E-2</v>
      </c>
      <c r="Z6714">
        <v>-3.2145390000000003E-2</v>
      </c>
      <c r="AA6714">
        <v>0.99848899999999996</v>
      </c>
      <c r="AB6714">
        <v>31</v>
      </c>
      <c r="AC6714">
        <v>0.33969999999999301</v>
      </c>
      <c r="AD6714">
        <v>-1.105600884587</v>
      </c>
      <c r="AE6714">
        <v>34.075499999999998</v>
      </c>
      <c r="AF6714">
        <v>-1.52552417086474</v>
      </c>
      <c r="AG6714">
        <v>-1.105600884587</v>
      </c>
      <c r="AH6714">
        <v>34.007161309057203</v>
      </c>
      <c r="AI6714">
        <v>91.860207815714503</v>
      </c>
      <c r="AJ6714">
        <v>92.568504224726794</v>
      </c>
      <c r="AK6714">
        <v>34.059309999060901</v>
      </c>
    </row>
    <row r="6715" spans="1:37" x14ac:dyDescent="0.2">
      <c r="A6715" t="str">
        <f>"20200111155733818"</f>
        <v>20200111155733818</v>
      </c>
      <c r="B6715" t="str">
        <f>"1578729453809575"</f>
        <v>1578729453809575</v>
      </c>
      <c r="C6715" t="s">
        <v>37</v>
      </c>
      <c r="D6715">
        <v>5.14689</v>
      </c>
      <c r="E6715">
        <v>0.50972839999999997</v>
      </c>
      <c r="F6715" t="s">
        <v>38</v>
      </c>
      <c r="G6715">
        <v>-188.3784</v>
      </c>
      <c r="H6715" s="1">
        <v>-4.0293279999999996E-6</v>
      </c>
      <c r="I6715">
        <v>98.354709999999997</v>
      </c>
      <c r="J6715">
        <v>-188.66329999999999</v>
      </c>
      <c r="K6715">
        <v>1.105802</v>
      </c>
      <c r="L6715">
        <v>64.198490000000007</v>
      </c>
      <c r="M6715">
        <v>5.3599599999999997E-2</v>
      </c>
      <c r="N6715">
        <v>0</v>
      </c>
      <c r="O6715">
        <v>0.99845910000000004</v>
      </c>
      <c r="P6715">
        <v>-1.7222080000000001E-2</v>
      </c>
      <c r="Q6715">
        <v>2.727226E-2</v>
      </c>
      <c r="R6715">
        <v>0.99947969999999897</v>
      </c>
      <c r="S6715">
        <v>2.607727E-2</v>
      </c>
      <c r="T6715">
        <v>-9.6471429999999997E-2</v>
      </c>
      <c r="U6715">
        <v>3.0042419999999899</v>
      </c>
      <c r="V6715">
        <v>-7.0859829999999999E-2</v>
      </c>
      <c r="W6715">
        <v>4.145418E-2</v>
      </c>
      <c r="X6715">
        <v>0.99662450000000002</v>
      </c>
      <c r="Y6715">
        <v>-4.4940229999999998E-2</v>
      </c>
      <c r="Z6715">
        <v>-3.2009179999999998E-2</v>
      </c>
      <c r="AA6715">
        <v>0.99847669999999999</v>
      </c>
      <c r="AB6715">
        <v>31</v>
      </c>
      <c r="AC6715">
        <v>0.28489999999999299</v>
      </c>
      <c r="AD6715">
        <v>-1.1058060293279901</v>
      </c>
      <c r="AE6715">
        <v>34.156219999999898</v>
      </c>
      <c r="AF6715">
        <v>-1.54483932703036</v>
      </c>
      <c r="AG6715">
        <v>-1.1058060293279901</v>
      </c>
      <c r="AH6715">
        <v>34.086657647528298</v>
      </c>
      <c r="AI6715">
        <v>91.856178059876299</v>
      </c>
      <c r="AJ6715">
        <v>92.594922845702996</v>
      </c>
      <c r="AK6715">
        <v>34.139560118733797</v>
      </c>
    </row>
    <row r="6716" spans="1:37" x14ac:dyDescent="0.2">
      <c r="A6716" t="str">
        <f>"20200111155733839"</f>
        <v>20200111155733839</v>
      </c>
      <c r="B6716" t="str">
        <f>"1578729453830070"</f>
        <v>1578729453830070</v>
      </c>
      <c r="C6716" t="s">
        <v>37</v>
      </c>
      <c r="D6716">
        <v>4.9526050000000001</v>
      </c>
      <c r="E6716">
        <v>0.50962499999999999</v>
      </c>
      <c r="F6716" t="s">
        <v>38</v>
      </c>
      <c r="G6716">
        <v>-188.3963</v>
      </c>
      <c r="H6716" s="1">
        <v>-9.680943999999999E-7</v>
      </c>
      <c r="I6716">
        <v>101.22629999999999</v>
      </c>
      <c r="J6716">
        <v>-188.649</v>
      </c>
      <c r="K6716">
        <v>1.106004</v>
      </c>
      <c r="L6716">
        <v>64.490840000000006</v>
      </c>
      <c r="M6716">
        <v>5.2156220000000003E-2</v>
      </c>
      <c r="N6716">
        <v>0</v>
      </c>
      <c r="O6716">
        <v>0.99853559999999997</v>
      </c>
      <c r="P6716">
        <v>-1.7178639999999998E-2</v>
      </c>
      <c r="Q6716">
        <v>2.9029929999999999E-2</v>
      </c>
      <c r="R6716">
        <v>0.99943090000000001</v>
      </c>
      <c r="S6716">
        <v>2.1667479999999999E-2</v>
      </c>
      <c r="T6716">
        <v>-8.9723590000000006E-2</v>
      </c>
      <c r="U6716">
        <v>3.0043950000000001</v>
      </c>
      <c r="V6716">
        <v>-6.9396180000000002E-2</v>
      </c>
      <c r="W6716">
        <v>4.3181650000000002E-2</v>
      </c>
      <c r="X6716">
        <v>0.99665419999999905</v>
      </c>
      <c r="Y6716">
        <v>-4.4961519999999998E-2</v>
      </c>
      <c r="Z6716">
        <v>-2.977438E-2</v>
      </c>
      <c r="AA6716">
        <v>0.99854489999999996</v>
      </c>
      <c r="AB6716">
        <v>31</v>
      </c>
      <c r="AC6716">
        <v>0.25270000000000398</v>
      </c>
      <c r="AD6716">
        <v>-1.1060049680944</v>
      </c>
      <c r="AE6716">
        <v>36.735459999999897</v>
      </c>
      <c r="AF6716">
        <v>-1.66231775555102</v>
      </c>
      <c r="AG6716">
        <v>-1.1060049680944</v>
      </c>
      <c r="AH6716">
        <v>36.665397947671501</v>
      </c>
      <c r="AI6716">
        <v>91.7260207780066</v>
      </c>
      <c r="AJ6716">
        <v>92.595870214244599</v>
      </c>
      <c r="AK6716">
        <v>36.719721594410103</v>
      </c>
    </row>
    <row r="6717" spans="1:37" x14ac:dyDescent="0.2">
      <c r="A6717" t="str">
        <f>"20200111155733861"</f>
        <v>20200111155733861</v>
      </c>
      <c r="B6717" t="str">
        <f>"1578729453849590"</f>
        <v>1578729453849590</v>
      </c>
      <c r="C6717" t="s">
        <v>37</v>
      </c>
      <c r="D6717">
        <v>5.2456160000000001</v>
      </c>
      <c r="E6717">
        <v>0.50940419999999997</v>
      </c>
      <c r="F6717" t="s">
        <v>38</v>
      </c>
      <c r="G6717">
        <v>-188.3767</v>
      </c>
      <c r="H6717" s="1">
        <v>-1.857062E-6</v>
      </c>
      <c r="I6717">
        <v>103.29040000000001</v>
      </c>
      <c r="J6717">
        <v>-188.6352</v>
      </c>
      <c r="K6717">
        <v>1.1061749999999999</v>
      </c>
      <c r="L6717">
        <v>64.787379999999999</v>
      </c>
      <c r="M6717">
        <v>5.0522129999999998E-2</v>
      </c>
      <c r="N6717">
        <v>0</v>
      </c>
      <c r="O6717">
        <v>0.99861959999999905</v>
      </c>
      <c r="P6717">
        <v>-1.7824380000000001E-2</v>
      </c>
      <c r="Q6717">
        <v>3.0014289999999999E-2</v>
      </c>
      <c r="R6717">
        <v>0.99939049999999996</v>
      </c>
      <c r="S6717">
        <v>2.1087649999999999E-2</v>
      </c>
      <c r="T6717">
        <v>-8.5647340000000002E-2</v>
      </c>
      <c r="U6717">
        <v>3.004578</v>
      </c>
      <c r="V6717">
        <v>-6.8427600000000005E-2</v>
      </c>
      <c r="W6717">
        <v>4.4139169999999998E-2</v>
      </c>
      <c r="X6717">
        <v>0.99667919999999999</v>
      </c>
      <c r="Y6717">
        <v>-4.351957E-2</v>
      </c>
      <c r="Z6717">
        <v>-2.8425619999999999E-2</v>
      </c>
      <c r="AA6717">
        <v>0.99864809999999904</v>
      </c>
      <c r="AB6717">
        <v>31</v>
      </c>
      <c r="AC6717">
        <v>0.25849999999999701</v>
      </c>
      <c r="AD6717">
        <v>-1.1061768570620001</v>
      </c>
      <c r="AE6717">
        <v>38.503019999999999</v>
      </c>
      <c r="AF6717">
        <v>-1.6858941010639199</v>
      </c>
      <c r="AG6717">
        <v>-1.1061768570620001</v>
      </c>
      <c r="AH6717">
        <v>38.435177954789602</v>
      </c>
      <c r="AI6717">
        <v>91.646953282031006</v>
      </c>
      <c r="AJ6717">
        <v>92.511572580810807</v>
      </c>
      <c r="AK6717">
        <v>38.488034121989699</v>
      </c>
    </row>
    <row r="6718" spans="1:37" x14ac:dyDescent="0.2">
      <c r="A6718" t="str">
        <f>"20200111155733884"</f>
        <v>20200111155733884</v>
      </c>
      <c r="B6718" t="str">
        <f>"1578729453879846"</f>
        <v>1578729453879846</v>
      </c>
      <c r="C6718" t="s">
        <v>37</v>
      </c>
      <c r="D6718">
        <v>4.9816560000000001</v>
      </c>
      <c r="E6718">
        <v>0.50887380000000004</v>
      </c>
      <c r="F6718" t="s">
        <v>38</v>
      </c>
      <c r="G6718">
        <v>-188.40049999999999</v>
      </c>
      <c r="H6718" s="1">
        <v>-2.465925E-6</v>
      </c>
      <c r="I6718">
        <v>104.7196</v>
      </c>
      <c r="J6718">
        <v>-188.62029999999999</v>
      </c>
      <c r="K6718">
        <v>1.106317</v>
      </c>
      <c r="L6718">
        <v>65.121219999999994</v>
      </c>
      <c r="M6718">
        <v>4.8545480000000002E-2</v>
      </c>
      <c r="N6718">
        <v>0</v>
      </c>
      <c r="O6718">
        <v>0.99871769999999904</v>
      </c>
      <c r="P6718">
        <v>-1.945245E-2</v>
      </c>
      <c r="Q6718">
        <v>2.9981399999999998E-2</v>
      </c>
      <c r="R6718">
        <v>0.99936119999999995</v>
      </c>
      <c r="S6718">
        <v>1.7654420000000001E-2</v>
      </c>
      <c r="T6718">
        <v>-8.3233589999999996E-2</v>
      </c>
      <c r="U6718">
        <v>3.0046689999999998</v>
      </c>
      <c r="V6718">
        <v>-6.8093669999999995E-2</v>
      </c>
      <c r="W6718">
        <v>4.4082009999999998E-2</v>
      </c>
      <c r="X6718">
        <v>0.99670460000000005</v>
      </c>
      <c r="Y6718">
        <v>-4.2683270000000002E-2</v>
      </c>
      <c r="Z6718">
        <v>-2.7628969999999999E-2</v>
      </c>
      <c r="AA6718">
        <v>0.998706599999999</v>
      </c>
      <c r="AB6718">
        <v>31</v>
      </c>
      <c r="AC6718">
        <v>0.219799999999992</v>
      </c>
      <c r="AD6718">
        <v>-1.106319465925</v>
      </c>
      <c r="AE6718">
        <v>39.598379999999999</v>
      </c>
      <c r="AF6718">
        <v>-1.7016516783075799</v>
      </c>
      <c r="AG6718">
        <v>-1.106319465925</v>
      </c>
      <c r="AH6718">
        <v>39.531498450258702</v>
      </c>
      <c r="AI6718">
        <v>91.601565832166898</v>
      </c>
      <c r="AJ6718">
        <v>92.464801790424602</v>
      </c>
      <c r="AK6718">
        <v>39.583568951242597</v>
      </c>
    </row>
    <row r="6719" spans="1:37" x14ac:dyDescent="0.2">
      <c r="A6719" t="str">
        <f>"20200111155733899"</f>
        <v>20200111155733899</v>
      </c>
      <c r="B6719" t="str">
        <f>"1578729453889607"</f>
        <v>1578729453889607</v>
      </c>
      <c r="C6719" t="s">
        <v>37</v>
      </c>
      <c r="D6719">
        <v>4.9811350000000001</v>
      </c>
      <c r="E6719">
        <v>0.5087872</v>
      </c>
      <c r="F6719" t="s">
        <v>38</v>
      </c>
      <c r="G6719">
        <v>-188.50219999999999</v>
      </c>
      <c r="H6719" s="1">
        <v>-2.3751739999999999E-6</v>
      </c>
      <c r="I6719">
        <v>104.55</v>
      </c>
      <c r="J6719">
        <v>-188.61160000000001</v>
      </c>
      <c r="K6719">
        <v>1.1063769999999999</v>
      </c>
      <c r="L6719">
        <v>65.324619999999996</v>
      </c>
      <c r="M6719">
        <v>4.7299699999999903E-2</v>
      </c>
      <c r="N6719">
        <v>0</v>
      </c>
      <c r="O6719">
        <v>0.99877739999999904</v>
      </c>
      <c r="P6719">
        <v>-2.089508E-2</v>
      </c>
      <c r="Q6719">
        <v>2.9580410000000001E-2</v>
      </c>
      <c r="R6719">
        <v>0.99934400000000001</v>
      </c>
      <c r="S6719">
        <v>9.0026859999999993E-3</v>
      </c>
      <c r="T6719">
        <v>-8.4306119999999998E-2</v>
      </c>
      <c r="U6719">
        <v>3.0046390000000001</v>
      </c>
      <c r="V6719">
        <v>-6.829549E-2</v>
      </c>
      <c r="W6719">
        <v>4.3667560000000001E-2</v>
      </c>
      <c r="X6719">
        <v>0.99670899999999996</v>
      </c>
      <c r="Y6719">
        <v>-4.4312629999999999E-2</v>
      </c>
      <c r="Z6719">
        <v>-2.798668E-2</v>
      </c>
      <c r="AA6719">
        <v>0.998625599999999</v>
      </c>
      <c r="AB6719">
        <v>31</v>
      </c>
      <c r="AC6719">
        <v>0.10940000000002199</v>
      </c>
      <c r="AD6719">
        <v>-1.1063793751739901</v>
      </c>
      <c r="AE6719">
        <v>39.225380000000001</v>
      </c>
      <c r="AF6719">
        <v>-1.7448745760906299</v>
      </c>
      <c r="AG6719">
        <v>-1.1063793751739901</v>
      </c>
      <c r="AH6719">
        <v>39.155492398103803</v>
      </c>
      <c r="AI6719">
        <v>91.616917684299494</v>
      </c>
      <c r="AJ6719">
        <v>92.551566699089506</v>
      </c>
      <c r="AK6719">
        <v>39.209963625921198</v>
      </c>
    </row>
    <row r="6720" spans="1:37" x14ac:dyDescent="0.2">
      <c r="A6720" t="str">
        <f>"20200111155733918"</f>
        <v>20200111155733918</v>
      </c>
      <c r="B6720" t="str">
        <f>"1578729453910103"</f>
        <v>1578729453910103</v>
      </c>
      <c r="C6720" t="s">
        <v>37</v>
      </c>
      <c r="D6720">
        <v>5.02996</v>
      </c>
      <c r="E6720">
        <v>0.50845829999999903</v>
      </c>
      <c r="F6720" t="s">
        <v>38</v>
      </c>
      <c r="G6720">
        <v>-188.56</v>
      </c>
      <c r="H6720" s="1">
        <v>-2.0802750000000002E-6</v>
      </c>
      <c r="I6720">
        <v>103.8865</v>
      </c>
      <c r="J6720">
        <v>-188.601</v>
      </c>
      <c r="K6720">
        <v>1.1064240000000001</v>
      </c>
      <c r="L6720">
        <v>65.584379999999996</v>
      </c>
      <c r="M6720">
        <v>4.5668420000000001E-2</v>
      </c>
      <c r="N6720">
        <v>0</v>
      </c>
      <c r="O6720">
        <v>0.9988534</v>
      </c>
      <c r="P6720">
        <v>-2.3229929999999999E-2</v>
      </c>
      <c r="Q6720">
        <v>2.8404140000000001E-2</v>
      </c>
      <c r="R6720">
        <v>0.99932659999999995</v>
      </c>
      <c r="S6720">
        <v>4.0283200000000002E-3</v>
      </c>
      <c r="T6720">
        <v>-8.6205240000000002E-2</v>
      </c>
      <c r="U6720">
        <v>3.0046080000000002</v>
      </c>
      <c r="V6720">
        <v>-6.9000039999999999E-2</v>
      </c>
      <c r="W6720">
        <v>4.247658E-2</v>
      </c>
      <c r="X6720">
        <v>0.99671200000000004</v>
      </c>
      <c r="Y6720">
        <v>-4.4334320000000003E-2</v>
      </c>
      <c r="Z6720">
        <v>-2.8620219999999998E-2</v>
      </c>
      <c r="AA6720">
        <v>0.99860669999999996</v>
      </c>
      <c r="AB6720">
        <v>31</v>
      </c>
      <c r="AC6720">
        <v>4.0999999999996803E-2</v>
      </c>
      <c r="AD6720">
        <v>-1.1064260802749999</v>
      </c>
      <c r="AE6720">
        <v>38.302119999999903</v>
      </c>
      <c r="AF6720">
        <v>-1.7069961322837801</v>
      </c>
      <c r="AG6720">
        <v>-1.1064260802749999</v>
      </c>
      <c r="AH6720">
        <v>38.232119291070603</v>
      </c>
      <c r="AI6720">
        <v>91.656011175929507</v>
      </c>
      <c r="AJ6720">
        <v>92.556456824828302</v>
      </c>
      <c r="AK6720">
        <v>38.286198034714801</v>
      </c>
    </row>
    <row r="6721" spans="1:37" x14ac:dyDescent="0.2">
      <c r="A6721" t="str">
        <f>"20200111155733940"</f>
        <v>20200111155733940</v>
      </c>
      <c r="B6721" t="str">
        <f>"1578729453929622"</f>
        <v>1578729453929622</v>
      </c>
      <c r="C6721" t="s">
        <v>37</v>
      </c>
      <c r="D6721">
        <v>4.9833569999999998</v>
      </c>
      <c r="E6721">
        <v>0.5083048</v>
      </c>
      <c r="F6721" t="s">
        <v>38</v>
      </c>
      <c r="G6721">
        <v>-188.66550000000001</v>
      </c>
      <c r="H6721" s="1">
        <v>-1.278157E-6</v>
      </c>
      <c r="I6721">
        <v>102.0604</v>
      </c>
      <c r="J6721">
        <v>-188.58949999999999</v>
      </c>
      <c r="K6721">
        <v>1.106452</v>
      </c>
      <c r="L6721">
        <v>65.879549999999995</v>
      </c>
      <c r="M6721">
        <v>4.3800539999999999E-2</v>
      </c>
      <c r="N6721">
        <v>0</v>
      </c>
      <c r="O6721">
        <v>0.99893709999999902</v>
      </c>
      <c r="P6721">
        <v>-2.615659E-2</v>
      </c>
      <c r="Q6721">
        <v>2.653343E-2</v>
      </c>
      <c r="R6721">
        <v>0.99930569999999896</v>
      </c>
      <c r="S6721">
        <v>-5.3100589999999998E-3</v>
      </c>
      <c r="T6721">
        <v>-9.1135030000000006E-2</v>
      </c>
      <c r="U6721">
        <v>3.004486</v>
      </c>
      <c r="V6721">
        <v>-7.0054870000000005E-2</v>
      </c>
      <c r="W6721">
        <v>4.059231E-2</v>
      </c>
      <c r="X6721">
        <v>0.99671690000000002</v>
      </c>
      <c r="Y6721">
        <v>-4.5569850000000002E-2</v>
      </c>
      <c r="Z6721">
        <v>-3.0259620000000001E-2</v>
      </c>
      <c r="AA6721">
        <v>0.99850269999999997</v>
      </c>
      <c r="AB6721">
        <v>31</v>
      </c>
      <c r="AC6721">
        <v>-7.60000000000218E-2</v>
      </c>
      <c r="AD6721">
        <v>-1.106453278157</v>
      </c>
      <c r="AE6721">
        <v>36.18085</v>
      </c>
      <c r="AF6721">
        <v>-1.65927944756547</v>
      </c>
      <c r="AG6721">
        <v>-1.106453278157</v>
      </c>
      <c r="AH6721">
        <v>36.109021410002597</v>
      </c>
      <c r="AI6721">
        <v>91.753260182959096</v>
      </c>
      <c r="AJ6721">
        <v>92.631001188627906</v>
      </c>
      <c r="AK6721">
        <v>36.164055003966098</v>
      </c>
    </row>
    <row r="6722" spans="1:37" x14ac:dyDescent="0.2">
      <c r="A6722" t="str">
        <f>"20200111155733961"</f>
        <v>20200111155733961</v>
      </c>
      <c r="B6722" t="str">
        <f>"1578729453950118"</f>
        <v>1578729453950118</v>
      </c>
      <c r="C6722" t="s">
        <v>37</v>
      </c>
      <c r="D6722">
        <v>5.0746969999999996</v>
      </c>
      <c r="E6722">
        <v>0.50814280000000001</v>
      </c>
      <c r="F6722" t="s">
        <v>38</v>
      </c>
      <c r="G6722">
        <v>-188.76439999999999</v>
      </c>
      <c r="H6722" s="1">
        <v>-3.1895259999999999E-7</v>
      </c>
      <c r="I6722">
        <v>99.619259999999997</v>
      </c>
      <c r="J6722">
        <v>-188.5787</v>
      </c>
      <c r="K6722">
        <v>1.106452</v>
      </c>
      <c r="L6722">
        <v>66.168430000000001</v>
      </c>
      <c r="M6722">
        <v>4.1989190000000003E-2</v>
      </c>
      <c r="N6722">
        <v>0</v>
      </c>
      <c r="O6722">
        <v>0.99901499999999999</v>
      </c>
      <c r="P6722">
        <v>-2.8651949999999999E-2</v>
      </c>
      <c r="Q6722">
        <v>2.518422E-2</v>
      </c>
      <c r="R6722">
        <v>0.99927219999999894</v>
      </c>
      <c r="S6722">
        <v>-1.557922E-2</v>
      </c>
      <c r="T6722">
        <v>-9.852147E-2</v>
      </c>
      <c r="U6722">
        <v>3.0042719999999998</v>
      </c>
      <c r="V6722">
        <v>-7.0734539999999999E-2</v>
      </c>
      <c r="W6722">
        <v>3.9235840000000001E-2</v>
      </c>
      <c r="X6722">
        <v>0.99672320000000003</v>
      </c>
      <c r="Y6722">
        <v>-4.7171199999999899E-2</v>
      </c>
      <c r="Z6722">
        <v>-3.2714340000000001E-2</v>
      </c>
      <c r="AA6722">
        <v>0.99835099999999999</v>
      </c>
      <c r="AB6722">
        <v>31</v>
      </c>
      <c r="AC6722">
        <v>-0.18569999999999701</v>
      </c>
      <c r="AD6722">
        <v>-1.1064523189526001</v>
      </c>
      <c r="AE6722">
        <v>33.450829999999897</v>
      </c>
      <c r="AF6722">
        <v>-1.58851617674495</v>
      </c>
      <c r="AG6722">
        <v>-1.1064523189526001</v>
      </c>
      <c r="AH6722">
        <v>33.377008064712001</v>
      </c>
      <c r="AI6722">
        <v>91.896522393722194</v>
      </c>
      <c r="AJ6722">
        <v>92.724829198139005</v>
      </c>
      <c r="AK6722">
        <v>33.433101676777497</v>
      </c>
    </row>
    <row r="6723" spans="1:37" x14ac:dyDescent="0.2">
      <c r="A6723" t="str">
        <f>"20200111155733985"</f>
        <v>20200111155733985</v>
      </c>
      <c r="B6723" t="str">
        <f>"1578729453980375"</f>
        <v>1578729453980375</v>
      </c>
      <c r="C6723" t="s">
        <v>37</v>
      </c>
      <c r="D6723">
        <v>5.069204</v>
      </c>
      <c r="E6723">
        <v>0.50807079999999905</v>
      </c>
      <c r="F6723" t="s">
        <v>38</v>
      </c>
      <c r="G6723">
        <v>-188.83949999999999</v>
      </c>
      <c r="H6723" s="1">
        <v>-3.788959E-6</v>
      </c>
      <c r="I6723">
        <v>97.985079999999996</v>
      </c>
      <c r="J6723">
        <v>-188.56720000000001</v>
      </c>
      <c r="K6723">
        <v>1.1064339999999999</v>
      </c>
      <c r="L6723">
        <v>66.493380000000002</v>
      </c>
      <c r="M6723">
        <v>4.0002219999999998E-2</v>
      </c>
      <c r="N6723">
        <v>0</v>
      </c>
      <c r="O6723">
        <v>0.9990966</v>
      </c>
      <c r="P6723">
        <v>-3.1442009999999999E-2</v>
      </c>
      <c r="Q6723">
        <v>2.4091129999999999E-2</v>
      </c>
      <c r="R6723">
        <v>0.99921519999999997</v>
      </c>
      <c r="S6723">
        <v>-2.4627690000000001E-2</v>
      </c>
      <c r="T6723">
        <v>-0.1044712</v>
      </c>
      <c r="U6723">
        <v>3.0041199999999999</v>
      </c>
      <c r="V6723">
        <v>-7.1531250000000005E-2</v>
      </c>
      <c r="W6723">
        <v>3.8138030000000003E-2</v>
      </c>
      <c r="X6723">
        <v>0.99670899999999996</v>
      </c>
      <c r="Y6723">
        <v>-4.819118E-2</v>
      </c>
      <c r="Z6723">
        <v>-3.4692470000000003E-2</v>
      </c>
      <c r="AA6723">
        <v>0.99823549999999905</v>
      </c>
      <c r="AB6723">
        <v>31</v>
      </c>
      <c r="AC6723">
        <v>-0.27229999999997201</v>
      </c>
      <c r="AD6723">
        <v>-1.106437788959</v>
      </c>
      <c r="AE6723">
        <v>31.491700000000002</v>
      </c>
      <c r="AF6723">
        <v>-1.53006097465413</v>
      </c>
      <c r="AG6723">
        <v>-1.106437788959</v>
      </c>
      <c r="AH6723">
        <v>31.4168162960522</v>
      </c>
      <c r="AI6723">
        <v>92.014623937765194</v>
      </c>
      <c r="AJ6723">
        <v>92.788214525592807</v>
      </c>
      <c r="AK6723">
        <v>31.473506912114001</v>
      </c>
    </row>
    <row r="6724" spans="1:37" x14ac:dyDescent="0.2">
      <c r="A6724" t="str">
        <f>"20200111155734007"</f>
        <v>20200111155734007</v>
      </c>
      <c r="B6724" t="str">
        <f>"1578729453999895"</f>
        <v>1578729453999895</v>
      </c>
      <c r="C6724" t="s">
        <v>37</v>
      </c>
      <c r="D6724">
        <v>5.0400910000000003</v>
      </c>
      <c r="E6724">
        <v>0.50819049999999999</v>
      </c>
      <c r="F6724" t="s">
        <v>38</v>
      </c>
      <c r="G6724">
        <v>-188.9083</v>
      </c>
      <c r="H6724" s="1">
        <v>-3.2842559999999899E-6</v>
      </c>
      <c r="I6724">
        <v>96.837040000000002</v>
      </c>
      <c r="J6724">
        <v>-188.55670000000001</v>
      </c>
      <c r="K6724">
        <v>1.1063989999999999</v>
      </c>
      <c r="L6724">
        <v>66.804839999999999</v>
      </c>
      <c r="M6724">
        <v>3.8166489999999997E-2</v>
      </c>
      <c r="N6724">
        <v>0</v>
      </c>
      <c r="O6724">
        <v>0.99916839999999996</v>
      </c>
      <c r="P6724">
        <v>-3.446801E-2</v>
      </c>
      <c r="Q6724">
        <v>2.2655850000000002E-2</v>
      </c>
      <c r="R6724">
        <v>0.99914899999999995</v>
      </c>
      <c r="S6724">
        <v>-3.3767699999999998E-2</v>
      </c>
      <c r="T6724">
        <v>-0.109534199999999</v>
      </c>
      <c r="U6724">
        <v>3.0039370000000001</v>
      </c>
      <c r="V6724">
        <v>-7.2711890000000001E-2</v>
      </c>
      <c r="W6724">
        <v>3.6698509999999997E-2</v>
      </c>
      <c r="X6724">
        <v>0.99667759999999905</v>
      </c>
      <c r="Y6724">
        <v>-4.9392800000000001E-2</v>
      </c>
      <c r="Z6724">
        <v>-3.6376119999999998E-2</v>
      </c>
      <c r="AA6724">
        <v>0.99811679999999903</v>
      </c>
      <c r="AB6724">
        <v>31</v>
      </c>
      <c r="AC6724">
        <v>-0.35159999999998998</v>
      </c>
      <c r="AD6724">
        <v>-1.106402284256</v>
      </c>
      <c r="AE6724">
        <v>30.0322</v>
      </c>
      <c r="AF6724">
        <v>-1.4956557476655701</v>
      </c>
      <c r="AG6724">
        <v>-1.106402284256</v>
      </c>
      <c r="AH6724">
        <v>29.956241349898399</v>
      </c>
      <c r="AI6724">
        <v>92.112568858947995</v>
      </c>
      <c r="AJ6724">
        <v>92.858291213058905</v>
      </c>
      <c r="AK6724">
        <v>30.013955219922199</v>
      </c>
    </row>
    <row r="6725" spans="1:37" x14ac:dyDescent="0.2">
      <c r="A6725" t="str">
        <f>"20200111155734040"</f>
        <v>20200111155734040</v>
      </c>
      <c r="B6725" t="str">
        <f>"1578729454030150"</f>
        <v>1578729454030150</v>
      </c>
      <c r="C6725" t="s">
        <v>37</v>
      </c>
      <c r="D6725">
        <v>5.0356290000000001</v>
      </c>
      <c r="E6725">
        <v>0.50835819999999998</v>
      </c>
      <c r="F6725" t="s">
        <v>38</v>
      </c>
      <c r="G6725">
        <v>-188.9615</v>
      </c>
      <c r="H6725" s="1">
        <v>-2.8357790000000001E-6</v>
      </c>
      <c r="I6725">
        <v>95.813630000000003</v>
      </c>
      <c r="J6725">
        <v>-188.54259999999999</v>
      </c>
      <c r="K6725">
        <v>1.106328</v>
      </c>
      <c r="L6725">
        <v>67.24615</v>
      </c>
      <c r="M6725">
        <v>3.569754E-2</v>
      </c>
      <c r="N6725">
        <v>0</v>
      </c>
      <c r="O6725">
        <v>0.99925980000000003</v>
      </c>
      <c r="P6725">
        <v>-3.774748E-2</v>
      </c>
      <c r="Q6725">
        <v>2.1122470000000001E-2</v>
      </c>
      <c r="R6725">
        <v>0.99906399999999995</v>
      </c>
      <c r="S6725">
        <v>-4.1915889999999997E-2</v>
      </c>
      <c r="T6725">
        <v>-0.1145615</v>
      </c>
      <c r="U6725">
        <v>3.0036930000000002</v>
      </c>
      <c r="V6725">
        <v>-7.3511499999999994E-2</v>
      </c>
      <c r="W6725">
        <v>3.516743E-2</v>
      </c>
      <c r="X6725">
        <v>0.99667410000000001</v>
      </c>
      <c r="Y6725">
        <v>-4.9632139999999998E-2</v>
      </c>
      <c r="Z6725">
        <v>-3.805074E-2</v>
      </c>
      <c r="AA6725">
        <v>0.99804249999999906</v>
      </c>
      <c r="AB6725">
        <v>31</v>
      </c>
      <c r="AC6725">
        <v>-0.41890000000000699</v>
      </c>
      <c r="AD6725">
        <v>-1.106330835779</v>
      </c>
      <c r="AE6725">
        <v>28.56748</v>
      </c>
      <c r="AF6725">
        <v>-1.4363727604093399</v>
      </c>
      <c r="AG6725">
        <v>-1.106330835779</v>
      </c>
      <c r="AH6725">
        <v>28.491591445134102</v>
      </c>
      <c r="AI6725">
        <v>92.220865054642601</v>
      </c>
      <c r="AJ6725">
        <v>92.886061360578395</v>
      </c>
      <c r="AK6725">
        <v>28.549219213517599</v>
      </c>
    </row>
    <row r="6726" spans="1:37" x14ac:dyDescent="0.2">
      <c r="A6726" t="str">
        <f>"20200111155734062"</f>
        <v>20200111155734062</v>
      </c>
      <c r="B6726" t="str">
        <f>"1578729454049670"</f>
        <v>1578729454049670</v>
      </c>
      <c r="C6726" t="s">
        <v>37</v>
      </c>
      <c r="D6726">
        <v>5.0887270000000004</v>
      </c>
      <c r="E6726">
        <v>0.50846650000000004</v>
      </c>
      <c r="F6726" t="s">
        <v>38</v>
      </c>
      <c r="G6726">
        <v>-189.00899999999999</v>
      </c>
      <c r="H6726" s="1">
        <v>-2.445112E-6</v>
      </c>
      <c r="I6726">
        <v>94.922629999999998</v>
      </c>
      <c r="J6726">
        <v>-188.53370000000001</v>
      </c>
      <c r="K6726">
        <v>1.106268</v>
      </c>
      <c r="L6726">
        <v>67.543909999999997</v>
      </c>
      <c r="M6726">
        <v>3.4134780000000003E-2</v>
      </c>
      <c r="N6726">
        <v>0</v>
      </c>
      <c r="O6726">
        <v>0.99931440000000005</v>
      </c>
      <c r="P6726">
        <v>-3.9304390000000002E-2</v>
      </c>
      <c r="Q6726">
        <v>1.9298260000000001E-2</v>
      </c>
      <c r="R6726">
        <v>0.99904090000000001</v>
      </c>
      <c r="S6726">
        <v>-5.0613400000000003E-2</v>
      </c>
      <c r="T6726">
        <v>-0.120058999999999</v>
      </c>
      <c r="U6726">
        <v>3.0034480000000001</v>
      </c>
      <c r="V6726">
        <v>-7.3496599999999995E-2</v>
      </c>
      <c r="W6726">
        <v>3.334935E-2</v>
      </c>
      <c r="X6726">
        <v>0.99673769999999995</v>
      </c>
      <c r="Y6726">
        <v>-5.0959560000000001E-2</v>
      </c>
      <c r="Z6726">
        <v>-3.9878110000000001E-2</v>
      </c>
      <c r="AA6726">
        <v>0.99790419999999902</v>
      </c>
      <c r="AB6726">
        <v>31</v>
      </c>
      <c r="AC6726">
        <v>-0.475300000000004</v>
      </c>
      <c r="AD6726">
        <v>-1.106270445112</v>
      </c>
      <c r="AE6726">
        <v>27.378720000000001</v>
      </c>
      <c r="AF6726">
        <v>-1.4073885060607301</v>
      </c>
      <c r="AG6726">
        <v>-1.106270445112</v>
      </c>
      <c r="AH6726">
        <v>27.301974057372298</v>
      </c>
      <c r="AI6726">
        <v>92.317270585453102</v>
      </c>
      <c r="AJ6726">
        <v>92.950926156480094</v>
      </c>
      <c r="AK6726">
        <v>27.360598753209899</v>
      </c>
    </row>
    <row r="6727" spans="1:37" x14ac:dyDescent="0.2">
      <c r="A6727" t="str">
        <f>"20200111155734085"</f>
        <v>20200111155734085</v>
      </c>
      <c r="B6727" t="str">
        <f>"1578729454079927"</f>
        <v>1578729454079927</v>
      </c>
      <c r="C6727" t="s">
        <v>37</v>
      </c>
      <c r="D6727">
        <v>5.0503460000000002</v>
      </c>
      <c r="E6727">
        <v>0.50856440000000003</v>
      </c>
      <c r="F6727" t="s">
        <v>38</v>
      </c>
      <c r="G6727">
        <v>-189.01240000000001</v>
      </c>
      <c r="H6727" s="1">
        <v>-1.9822529999999998E-6</v>
      </c>
      <c r="I6727">
        <v>93.845079999999996</v>
      </c>
      <c r="J6727">
        <v>-188.52459999999999</v>
      </c>
      <c r="K6727">
        <v>1.106203</v>
      </c>
      <c r="L6727">
        <v>67.861879999999999</v>
      </c>
      <c r="M6727">
        <v>3.253818E-2</v>
      </c>
      <c r="N6727">
        <v>0</v>
      </c>
      <c r="O6727">
        <v>0.99936780000000003</v>
      </c>
      <c r="P6727">
        <v>-4.0614850000000001E-2</v>
      </c>
      <c r="Q6727">
        <v>1.821735E-2</v>
      </c>
      <c r="R6727">
        <v>0.99900879999999903</v>
      </c>
      <c r="S6727">
        <v>-5.4656980000000001E-2</v>
      </c>
      <c r="T6727">
        <v>-0.1263185</v>
      </c>
      <c r="U6727">
        <v>3.003174</v>
      </c>
      <c r="V6727">
        <v>-7.3204019999999995E-2</v>
      </c>
      <c r="W6727">
        <v>3.2275619999999998E-2</v>
      </c>
      <c r="X6727">
        <v>0.99679459999999998</v>
      </c>
      <c r="Y6727">
        <v>-5.0707160000000001E-2</v>
      </c>
      <c r="Z6727">
        <v>-4.1960610000000002E-2</v>
      </c>
      <c r="AA6727">
        <v>0.99783169999999899</v>
      </c>
      <c r="AB6727">
        <v>31</v>
      </c>
      <c r="AC6727">
        <v>-0.48780000000002099</v>
      </c>
      <c r="AD6727">
        <v>-1.106204982253</v>
      </c>
      <c r="AE6727">
        <v>25.9832</v>
      </c>
      <c r="AF6727">
        <v>-1.33066345484783</v>
      </c>
      <c r="AG6727">
        <v>-1.106204982253</v>
      </c>
      <c r="AH6727">
        <v>25.906625069276298</v>
      </c>
      <c r="AI6727">
        <v>92.4418120194224</v>
      </c>
      <c r="AJ6727">
        <v>92.940346643656397</v>
      </c>
      <c r="AK6727">
        <v>25.964352046081999</v>
      </c>
    </row>
    <row r="6728" spans="1:37" x14ac:dyDescent="0.2">
      <c r="A6728" t="str">
        <f>"20200111155734108"</f>
        <v>20200111155734108</v>
      </c>
      <c r="B6728" t="str">
        <f>"1578729454099448"</f>
        <v>1578729454099448</v>
      </c>
      <c r="C6728" t="s">
        <v>37</v>
      </c>
      <c r="D6728">
        <v>5.0592759999999997</v>
      </c>
      <c r="E6728">
        <v>0.50865879999999997</v>
      </c>
      <c r="F6728" t="s">
        <v>38</v>
      </c>
      <c r="G6728">
        <v>-189.0189</v>
      </c>
      <c r="H6728" s="1">
        <v>-1.8217939999999999E-6</v>
      </c>
      <c r="I6728">
        <v>93.473730000000003</v>
      </c>
      <c r="J6728">
        <v>-188.51589999999999</v>
      </c>
      <c r="K6728">
        <v>1.1061449999999999</v>
      </c>
      <c r="L6728">
        <v>68.179630000000003</v>
      </c>
      <c r="M6728">
        <v>3.1013909999999999E-2</v>
      </c>
      <c r="N6728">
        <v>0</v>
      </c>
      <c r="O6728">
        <v>0.99941630000000004</v>
      </c>
      <c r="P6728">
        <v>-4.1431639999999999E-2</v>
      </c>
      <c r="Q6728">
        <v>1.755288E-2</v>
      </c>
      <c r="R6728">
        <v>0.99898709999999902</v>
      </c>
      <c r="S6728">
        <v>-5.7952879999999998E-2</v>
      </c>
      <c r="T6728">
        <v>-0.1297026</v>
      </c>
      <c r="U6728">
        <v>3.0029910000000002</v>
      </c>
      <c r="V6728">
        <v>-7.249303E-2</v>
      </c>
      <c r="W6728">
        <v>3.1619349999999997E-2</v>
      </c>
      <c r="X6728">
        <v>0.99686759999999996</v>
      </c>
      <c r="Y6728">
        <v>-5.027889E-2</v>
      </c>
      <c r="Z6728">
        <v>-4.3088479999999998E-2</v>
      </c>
      <c r="AA6728">
        <v>0.99780530000000001</v>
      </c>
      <c r="AB6728">
        <v>31</v>
      </c>
      <c r="AC6728">
        <v>-0.50300000000001399</v>
      </c>
      <c r="AD6728">
        <v>-1.106146821794</v>
      </c>
      <c r="AE6728">
        <v>25.2941</v>
      </c>
      <c r="AF6728">
        <v>-1.2848511968437399</v>
      </c>
      <c r="AG6728">
        <v>-1.106146821794</v>
      </c>
      <c r="AH6728">
        <v>25.218119258953099</v>
      </c>
      <c r="AI6728">
        <v>92.508315658709805</v>
      </c>
      <c r="AJ6728">
        <v>92.916670742969103</v>
      </c>
      <c r="AK6728">
        <v>25.2750458426524</v>
      </c>
    </row>
    <row r="6729" spans="1:37" x14ac:dyDescent="0.2">
      <c r="A6729" t="str">
        <f>"20200111155734130"</f>
        <v>20200111155734130</v>
      </c>
      <c r="B6729" t="str">
        <f>"1578729454119942"</f>
        <v>1578729454119942</v>
      </c>
      <c r="C6729" t="s">
        <v>37</v>
      </c>
      <c r="D6729">
        <v>5.0087619999999999</v>
      </c>
      <c r="E6729">
        <v>0.50884960000000001</v>
      </c>
      <c r="F6729" t="s">
        <v>38</v>
      </c>
      <c r="G6729">
        <v>-189.0172</v>
      </c>
      <c r="H6729" s="1">
        <v>-1.782997E-6</v>
      </c>
      <c r="I6729">
        <v>93.38261</v>
      </c>
      <c r="J6729">
        <v>-188.50819999999999</v>
      </c>
      <c r="K6729">
        <v>1.1060969999999899</v>
      </c>
      <c r="L6729">
        <v>68.479060000000004</v>
      </c>
      <c r="M6729">
        <v>2.963768E-2</v>
      </c>
      <c r="N6729">
        <v>0</v>
      </c>
      <c r="O6729">
        <v>0.99945810000000002</v>
      </c>
      <c r="P6729">
        <v>-4.2167250000000003E-2</v>
      </c>
      <c r="Q6729">
        <v>1.7222399999999999E-2</v>
      </c>
      <c r="R6729">
        <v>0.99896209999999996</v>
      </c>
      <c r="S6729">
        <v>-5.9722900000000002E-2</v>
      </c>
      <c r="T6729">
        <v>-0.13179449999999901</v>
      </c>
      <c r="U6729">
        <v>3.002869</v>
      </c>
      <c r="V6729">
        <v>-7.1849650000000001E-2</v>
      </c>
      <c r="W6729">
        <v>3.1295740000000002E-2</v>
      </c>
      <c r="X6729">
        <v>0.99692440000000004</v>
      </c>
      <c r="Y6729">
        <v>-4.9491710000000001E-2</v>
      </c>
      <c r="Z6729">
        <v>-4.3787239999999998E-2</v>
      </c>
      <c r="AA6729">
        <v>0.99781419999999998</v>
      </c>
      <c r="AB6729">
        <v>31</v>
      </c>
      <c r="AC6729">
        <v>-0.509000000000014</v>
      </c>
      <c r="AD6729">
        <v>-1.1060987829969999</v>
      </c>
      <c r="AE6729">
        <v>24.903549999999999</v>
      </c>
      <c r="AF6729">
        <v>-1.2444815197018899</v>
      </c>
      <c r="AG6729">
        <v>-1.1060987829969999</v>
      </c>
      <c r="AH6729">
        <v>24.828561353927199</v>
      </c>
      <c r="AI6729">
        <v>92.547614961856198</v>
      </c>
      <c r="AJ6729">
        <v>92.869433928057504</v>
      </c>
      <c r="AK6729">
        <v>24.884325340992401</v>
      </c>
    </row>
    <row r="6730" spans="1:37" x14ac:dyDescent="0.2">
      <c r="A6730" t="str">
        <f>"20200111155734151"</f>
        <v>20200111155734151</v>
      </c>
      <c r="B6730" t="str">
        <f>"1578729454139462"</f>
        <v>1578729454139462</v>
      </c>
      <c r="C6730" t="s">
        <v>37</v>
      </c>
      <c r="D6730">
        <v>5.0519629999999998</v>
      </c>
      <c r="E6730">
        <v>0.50899490000000003</v>
      </c>
      <c r="F6730" t="s">
        <v>38</v>
      </c>
      <c r="G6730">
        <v>-189.0128</v>
      </c>
      <c r="H6730" s="1">
        <v>-1.8259889999999899E-6</v>
      </c>
      <c r="I6730">
        <v>93.480999999999995</v>
      </c>
      <c r="J6730">
        <v>-188.50110000000001</v>
      </c>
      <c r="K6730">
        <v>1.106055</v>
      </c>
      <c r="L6730">
        <v>68.763180000000006</v>
      </c>
      <c r="M6730">
        <v>2.837833E-2</v>
      </c>
      <c r="N6730">
        <v>0</v>
      </c>
      <c r="O6730">
        <v>0.99949469999999996</v>
      </c>
      <c r="P6730">
        <v>-4.2618709999999997E-2</v>
      </c>
      <c r="Q6730">
        <v>1.678928E-2</v>
      </c>
      <c r="R6730">
        <v>0.99895029999999996</v>
      </c>
      <c r="S6730">
        <v>-6.0607910000000001E-2</v>
      </c>
      <c r="T6730">
        <v>-0.1328472</v>
      </c>
      <c r="U6730">
        <v>3.0028380000000001</v>
      </c>
      <c r="V6730">
        <v>-7.1039119999999997E-2</v>
      </c>
      <c r="W6730">
        <v>3.0869170000000001E-2</v>
      </c>
      <c r="X6730">
        <v>0.99699570000000004</v>
      </c>
      <c r="Y6730">
        <v>-4.852708E-2</v>
      </c>
      <c r="Z6730">
        <v>-4.414009E-2</v>
      </c>
      <c r="AA6730">
        <v>0.99784609999999996</v>
      </c>
      <c r="AB6730">
        <v>30</v>
      </c>
      <c r="AC6730">
        <v>-0.51169999999999005</v>
      </c>
      <c r="AD6730">
        <v>-1.106056825989</v>
      </c>
      <c r="AE6730">
        <v>24.71782</v>
      </c>
      <c r="AF6730">
        <v>-1.2105932778091</v>
      </c>
      <c r="AG6730">
        <v>-1.106056825989</v>
      </c>
      <c r="AH6730">
        <v>24.644016088185001</v>
      </c>
      <c r="AI6730">
        <v>92.566696831092401</v>
      </c>
      <c r="AJ6730">
        <v>92.812292191181299</v>
      </c>
      <c r="AK6730">
        <v>24.698510617875598</v>
      </c>
    </row>
    <row r="6731" spans="1:37" x14ac:dyDescent="0.2">
      <c r="A6731" t="str">
        <f>"20200111155734174"</f>
        <v>20200111155734174</v>
      </c>
      <c r="B6731" t="str">
        <f>"1578729454169719"</f>
        <v>1578729454169719</v>
      </c>
      <c r="C6731" t="s">
        <v>37</v>
      </c>
      <c r="D6731">
        <v>5.0204750000000002</v>
      </c>
      <c r="E6731">
        <v>0.50923260000000004</v>
      </c>
      <c r="F6731" t="s">
        <v>38</v>
      </c>
      <c r="G6731">
        <v>-189.00399999999999</v>
      </c>
      <c r="H6731" s="1">
        <v>-1.8807649999999999E-6</v>
      </c>
      <c r="I6731">
        <v>93.605059999999995</v>
      </c>
      <c r="J6731">
        <v>-188.4939</v>
      </c>
      <c r="K6731">
        <v>1.1060179999999999</v>
      </c>
      <c r="L6731">
        <v>69.06738</v>
      </c>
      <c r="M6731">
        <v>2.707033E-2</v>
      </c>
      <c r="N6731">
        <v>0</v>
      </c>
      <c r="O6731">
        <v>0.99953099999999995</v>
      </c>
      <c r="P6731">
        <v>-4.327429E-2</v>
      </c>
      <c r="Q6731">
        <v>1.6358569999999999E-2</v>
      </c>
      <c r="R6731">
        <v>0.99892930000000002</v>
      </c>
      <c r="S6731">
        <v>-6.0791020000000001E-2</v>
      </c>
      <c r="T6731">
        <v>-0.1336967</v>
      </c>
      <c r="U6731">
        <v>3.0028079999999999</v>
      </c>
      <c r="V6731">
        <v>-7.0384909999999995E-2</v>
      </c>
      <c r="W6731">
        <v>3.044403E-2</v>
      </c>
      <c r="X6731">
        <v>0.99705519999999903</v>
      </c>
      <c r="Y6731">
        <v>-4.7280709999999997E-2</v>
      </c>
      <c r="Z6731">
        <v>-4.4425949999999999E-2</v>
      </c>
      <c r="AA6731">
        <v>0.99789319999999904</v>
      </c>
      <c r="AB6731">
        <v>30</v>
      </c>
      <c r="AC6731">
        <v>-0.51010000000002198</v>
      </c>
      <c r="AD6731">
        <v>-1.1060198807649999</v>
      </c>
      <c r="AE6731">
        <v>24.537679999999899</v>
      </c>
      <c r="AF6731">
        <v>-1.17184440501121</v>
      </c>
      <c r="AG6731">
        <v>-1.1060198807649999</v>
      </c>
      <c r="AH6731">
        <v>24.465191501010501</v>
      </c>
      <c r="AI6731">
        <v>92.585499146607802</v>
      </c>
      <c r="AJ6731">
        <v>92.7422823297631</v>
      </c>
      <c r="AK6731">
        <v>24.518199250094199</v>
      </c>
    </row>
    <row r="6732" spans="1:37" x14ac:dyDescent="0.2">
      <c r="A6732" t="str">
        <f>"20200111155734197"</f>
        <v>20200111155734197</v>
      </c>
      <c r="B6732" t="str">
        <f>"1578729454190214"</f>
        <v>1578729454190214</v>
      </c>
      <c r="C6732" t="s">
        <v>37</v>
      </c>
      <c r="D6732">
        <v>5.044168</v>
      </c>
      <c r="E6732">
        <v>0.50929990000000003</v>
      </c>
      <c r="F6732" t="s">
        <v>38</v>
      </c>
      <c r="G6732">
        <v>-188.9966</v>
      </c>
      <c r="H6732" s="1">
        <v>-1.9464760000000001E-6</v>
      </c>
      <c r="I6732">
        <v>93.75515</v>
      </c>
      <c r="J6732">
        <v>-188.48679999999999</v>
      </c>
      <c r="K6732">
        <v>1.10598</v>
      </c>
      <c r="L6732">
        <v>69.381200000000007</v>
      </c>
      <c r="M6732">
        <v>2.575678E-2</v>
      </c>
      <c r="N6732">
        <v>0</v>
      </c>
      <c r="O6732">
        <v>0.99956579999999995</v>
      </c>
      <c r="P6732">
        <v>-4.3868230000000001E-2</v>
      </c>
      <c r="Q6732">
        <v>1.6729819999999999E-2</v>
      </c>
      <c r="R6732">
        <v>0.99889729999999999</v>
      </c>
      <c r="S6732">
        <v>-6.1141969999999997E-2</v>
      </c>
      <c r="T6732">
        <v>-0.134524</v>
      </c>
      <c r="U6732">
        <v>3.0027469999999998</v>
      </c>
      <c r="V6732">
        <v>-6.9664760000000006E-2</v>
      </c>
      <c r="W6732">
        <v>3.0819610000000001E-2</v>
      </c>
      <c r="X6732">
        <v>0.99709429999999999</v>
      </c>
      <c r="Y6732">
        <v>-4.6084750000000001E-2</v>
      </c>
      <c r="Z6732">
        <v>-4.4704769999999998E-2</v>
      </c>
      <c r="AA6732">
        <v>0.99793670000000001</v>
      </c>
      <c r="AB6732">
        <v>30</v>
      </c>
      <c r="AC6732">
        <v>-0.50980000000001202</v>
      </c>
      <c r="AD6732">
        <v>-1.1059819464759999</v>
      </c>
      <c r="AE6732">
        <v>24.373949999999901</v>
      </c>
      <c r="AF6732">
        <v>-1.13515340376944</v>
      </c>
      <c r="AG6732">
        <v>-1.1059819464759999</v>
      </c>
      <c r="AH6732">
        <v>24.3027138558197</v>
      </c>
      <c r="AI6732">
        <v>92.602817784817702</v>
      </c>
      <c r="AJ6732">
        <v>92.674279998365904</v>
      </c>
      <c r="AK6732">
        <v>24.354335755135502</v>
      </c>
    </row>
    <row r="6733" spans="1:37" x14ac:dyDescent="0.2">
      <c r="A6733" t="str">
        <f>"20200111155734219"</f>
        <v>20200111155734219</v>
      </c>
      <c r="B6733" t="str">
        <f>"1578729454209734"</f>
        <v>1578729454209734</v>
      </c>
      <c r="C6733" t="s">
        <v>37</v>
      </c>
      <c r="D6733">
        <v>5.1209579999999999</v>
      </c>
      <c r="E6733">
        <v>0.50939880000000004</v>
      </c>
      <c r="F6733" t="s">
        <v>38</v>
      </c>
      <c r="G6733">
        <v>-189.00739999999999</v>
      </c>
      <c r="H6733" s="1">
        <v>-2.253779E-6</v>
      </c>
      <c r="I6733">
        <v>94.475939999999994</v>
      </c>
      <c r="J6733">
        <v>-188.48050000000001</v>
      </c>
      <c r="K6733">
        <v>1.1059570000000001</v>
      </c>
      <c r="L6733">
        <v>69.679779999999994</v>
      </c>
      <c r="M6733">
        <v>2.4537440000000001E-2</v>
      </c>
      <c r="N6733">
        <v>0</v>
      </c>
      <c r="O6733">
        <v>0.9995965</v>
      </c>
      <c r="P6733">
        <v>-4.4641050000000002E-2</v>
      </c>
      <c r="Q6733">
        <v>1.653468E-2</v>
      </c>
      <c r="R6733">
        <v>0.99886629999999998</v>
      </c>
      <c r="S6733">
        <v>-6.2286380000000002E-2</v>
      </c>
      <c r="T6733">
        <v>-0.1323406</v>
      </c>
      <c r="U6733">
        <v>3.0028079999999999</v>
      </c>
      <c r="V6733">
        <v>-6.9217290000000001E-2</v>
      </c>
      <c r="W6733">
        <v>3.0627049999999999E-2</v>
      </c>
      <c r="X6733">
        <v>0.99713130000000005</v>
      </c>
      <c r="Y6733">
        <v>-4.5246590000000003E-2</v>
      </c>
      <c r="Z6733">
        <v>-4.3982380000000001E-2</v>
      </c>
      <c r="AA6733">
        <v>0.99800719999999998</v>
      </c>
      <c r="AB6733">
        <v>30</v>
      </c>
      <c r="AC6733">
        <v>-0.52689999999998305</v>
      </c>
      <c r="AD6733">
        <v>-1.105959253779</v>
      </c>
      <c r="AE6733">
        <v>24.79616</v>
      </c>
      <c r="AF6733">
        <v>-1.1329850335404099</v>
      </c>
      <c r="AG6733">
        <v>-1.105959253779</v>
      </c>
      <c r="AH6733">
        <v>24.726595089119499</v>
      </c>
      <c r="AI6733">
        <v>92.558310553841395</v>
      </c>
      <c r="AJ6733">
        <v>92.623486465430403</v>
      </c>
      <c r="AK6733">
        <v>24.7772336159329</v>
      </c>
    </row>
    <row r="6734" spans="1:37" x14ac:dyDescent="0.2">
      <c r="A6734" t="str">
        <f>"20200111155734240"</f>
        <v>20200111155734240</v>
      </c>
      <c r="B6734" t="str">
        <f>"1578729454230231"</f>
        <v>1578729454230231</v>
      </c>
      <c r="C6734" t="s">
        <v>37</v>
      </c>
      <c r="D6734">
        <v>5.1307150000000004</v>
      </c>
      <c r="E6734">
        <v>0.50957739999999996</v>
      </c>
      <c r="F6734" t="s">
        <v>38</v>
      </c>
      <c r="G6734">
        <v>-189.01589999999999</v>
      </c>
      <c r="H6734" s="1">
        <v>-2.3847810000000001E-6</v>
      </c>
      <c r="I6734">
        <v>94.784850000000006</v>
      </c>
      <c r="J6734">
        <v>-188.47460000000001</v>
      </c>
      <c r="K6734">
        <v>1.1059270000000001</v>
      </c>
      <c r="L6734">
        <v>69.973079999999996</v>
      </c>
      <c r="M6734">
        <v>2.3365549999999999E-2</v>
      </c>
      <c r="N6734">
        <v>0</v>
      </c>
      <c r="O6734">
        <v>0.99962469999999903</v>
      </c>
      <c r="P6734">
        <v>-4.4805890000000001E-2</v>
      </c>
      <c r="Q6734">
        <v>1.561821E-2</v>
      </c>
      <c r="R6734">
        <v>0.99887359999999903</v>
      </c>
      <c r="S6734">
        <v>-6.4041139999999996E-2</v>
      </c>
      <c r="T6734">
        <v>-0.13227929999999999</v>
      </c>
      <c r="U6734">
        <v>3.0027159999999999</v>
      </c>
      <c r="V6734">
        <v>-6.8208290000000005E-2</v>
      </c>
      <c r="W6734">
        <v>2.9714799999999899E-2</v>
      </c>
      <c r="X6734">
        <v>0.99722849999999996</v>
      </c>
      <c r="Y6734">
        <v>-4.4659070000000002E-2</v>
      </c>
      <c r="Z6734">
        <v>-4.3965579999999997E-2</v>
      </c>
      <c r="AA6734">
        <v>0.99803439999999999</v>
      </c>
      <c r="AB6734">
        <v>30</v>
      </c>
      <c r="AC6734">
        <v>-0.54129999999997802</v>
      </c>
      <c r="AD6734">
        <v>-1.1059293847809999</v>
      </c>
      <c r="AE6734">
        <v>24.811769999999999</v>
      </c>
      <c r="AF6734">
        <v>-1.1187305710295801</v>
      </c>
      <c r="AG6734">
        <v>-1.1059293847809999</v>
      </c>
      <c r="AH6734">
        <v>24.743210899303801</v>
      </c>
      <c r="AI6734">
        <v>92.556596276165095</v>
      </c>
      <c r="AJ6734">
        <v>92.588787509572597</v>
      </c>
      <c r="AK6734">
        <v>24.793166871178499</v>
      </c>
    </row>
    <row r="6735" spans="1:37" x14ac:dyDescent="0.2">
      <c r="A6735" t="str">
        <f>"20200111155734264"</f>
        <v>20200111155734264</v>
      </c>
      <c r="B6735" t="str">
        <f>"1578729454260487"</f>
        <v>1578729454260487</v>
      </c>
      <c r="C6735" t="s">
        <v>37</v>
      </c>
      <c r="D6735">
        <v>5.0601219999999998</v>
      </c>
      <c r="E6735">
        <v>0.50985619999999998</v>
      </c>
      <c r="F6735" t="s">
        <v>38</v>
      </c>
      <c r="G6735">
        <v>-188.99780000000001</v>
      </c>
      <c r="H6735" s="1">
        <v>-2.3631159999999999E-6</v>
      </c>
      <c r="I6735">
        <v>94.726839999999996</v>
      </c>
      <c r="J6735">
        <v>-188.46879999999999</v>
      </c>
      <c r="K6735">
        <v>1.1059019999999999</v>
      </c>
      <c r="L6735">
        <v>70.276060000000001</v>
      </c>
      <c r="M6735">
        <v>2.2173890000000002E-2</v>
      </c>
      <c r="N6735">
        <v>0</v>
      </c>
      <c r="O6735">
        <v>0.99965190000000004</v>
      </c>
      <c r="P6735">
        <v>-4.5081669999999997E-2</v>
      </c>
      <c r="Q6735">
        <v>1.451886E-2</v>
      </c>
      <c r="R6735">
        <v>0.99887780000000004</v>
      </c>
      <c r="S6735">
        <v>-6.3461299999999998E-2</v>
      </c>
      <c r="T6735">
        <v>-0.13414899999999999</v>
      </c>
      <c r="U6735">
        <v>3.0026250000000001</v>
      </c>
      <c r="V6735">
        <v>-6.7290760000000005E-2</v>
      </c>
      <c r="W6735">
        <v>2.861855E-2</v>
      </c>
      <c r="X6735">
        <v>0.99732289999999901</v>
      </c>
      <c r="Y6735">
        <v>-4.3275540000000001E-2</v>
      </c>
      <c r="Z6735">
        <v>-4.4590390000000001E-2</v>
      </c>
      <c r="AA6735">
        <v>0.99806759999999906</v>
      </c>
      <c r="AB6735">
        <v>30</v>
      </c>
      <c r="AC6735">
        <v>-0.52900000000002401</v>
      </c>
      <c r="AD6735">
        <v>-1.1059043631159999</v>
      </c>
      <c r="AE6735">
        <v>24.450779999999899</v>
      </c>
      <c r="AF6735">
        <v>-1.06890854907014</v>
      </c>
      <c r="AG6735">
        <v>-1.1059043631159999</v>
      </c>
      <c r="AH6735">
        <v>24.3831776281285</v>
      </c>
      <c r="AI6735">
        <v>92.594394625009798</v>
      </c>
      <c r="AJ6735">
        <v>92.510122449056993</v>
      </c>
      <c r="AK6735">
        <v>24.431638119280901</v>
      </c>
    </row>
    <row r="6736" spans="1:37" x14ac:dyDescent="0.2">
      <c r="A6736" t="str">
        <f>"20200111155734286"</f>
        <v>20200111155734286</v>
      </c>
      <c r="B6736" t="str">
        <f>"1578729454280007"</f>
        <v>1578729454280007</v>
      </c>
      <c r="C6736" t="s">
        <v>37</v>
      </c>
      <c r="D6736">
        <v>5.2866869999999997</v>
      </c>
      <c r="E6736">
        <v>0.50989430000000002</v>
      </c>
      <c r="F6736" t="s">
        <v>38</v>
      </c>
      <c r="G6736">
        <v>-188.9727</v>
      </c>
      <c r="H6736" s="1">
        <v>-2.312437E-6</v>
      </c>
      <c r="I6736">
        <v>94.59836</v>
      </c>
      <c r="J6736">
        <v>-188.4632</v>
      </c>
      <c r="K6736">
        <v>1.1058760000000001</v>
      </c>
      <c r="L6736">
        <v>70.589569999999995</v>
      </c>
      <c r="M6736">
        <v>2.09605E-2</v>
      </c>
      <c r="N6736">
        <v>0</v>
      </c>
      <c r="O6736">
        <v>0.99967809999999901</v>
      </c>
      <c r="P6736">
        <v>-4.5998669999999998E-2</v>
      </c>
      <c r="Q6736">
        <v>1.430826E-2</v>
      </c>
      <c r="R6736">
        <v>0.99883899999999903</v>
      </c>
      <c r="S6736">
        <v>-6.2210080000000001E-2</v>
      </c>
      <c r="T6736">
        <v>-0.136522799999999</v>
      </c>
      <c r="U6736">
        <v>3.0025629999999999</v>
      </c>
      <c r="V6736">
        <v>-6.6993940000000002E-2</v>
      </c>
      <c r="W6736">
        <v>2.8408349999999999E-2</v>
      </c>
      <c r="X6736">
        <v>0.99734889999999998</v>
      </c>
      <c r="Y6736">
        <v>-4.1646790000000003E-2</v>
      </c>
      <c r="Z6736">
        <v>-4.5382289999999999E-2</v>
      </c>
      <c r="AA6736">
        <v>0.99810119999999902</v>
      </c>
      <c r="AB6736">
        <v>30</v>
      </c>
      <c r="AC6736">
        <v>-0.50950000000000195</v>
      </c>
      <c r="AD6736">
        <v>-1.105878312437</v>
      </c>
      <c r="AE6736">
        <v>24.008790000000001</v>
      </c>
      <c r="AF6736">
        <v>-1.0105326786108499</v>
      </c>
      <c r="AG6736">
        <v>-1.105878312437</v>
      </c>
      <c r="AH6736">
        <v>23.942059982785899</v>
      </c>
      <c r="AI6736">
        <v>92.642250209146297</v>
      </c>
      <c r="AJ6736">
        <v>92.416872751303103</v>
      </c>
      <c r="AK6736">
        <v>23.988880327263601</v>
      </c>
    </row>
    <row r="6737" spans="1:37" x14ac:dyDescent="0.2">
      <c r="A6737" t="str">
        <f>"20200111155734309"</f>
        <v>20200111155734309</v>
      </c>
      <c r="B6737" t="str">
        <f>"1578729454300503"</f>
        <v>1578729454300503</v>
      </c>
      <c r="C6737" t="s">
        <v>37</v>
      </c>
      <c r="D6737">
        <v>5.0689209999999996</v>
      </c>
      <c r="E6737">
        <v>0.51000519999999905</v>
      </c>
      <c r="F6737" t="s">
        <v>38</v>
      </c>
      <c r="G6737">
        <v>-188.98490000000001</v>
      </c>
      <c r="H6737" s="1">
        <v>-2.4189010000000001E-6</v>
      </c>
      <c r="I6737">
        <v>94.851559999999907</v>
      </c>
      <c r="J6737">
        <v>-188.45820000000001</v>
      </c>
      <c r="K6737">
        <v>1.105856</v>
      </c>
      <c r="L6737">
        <v>70.890379999999993</v>
      </c>
      <c r="M6737">
        <v>1.9817479999999998E-2</v>
      </c>
      <c r="N6737">
        <v>0</v>
      </c>
      <c r="O6737">
        <v>0.99970149999999902</v>
      </c>
      <c r="P6737">
        <v>-4.6751149999999998E-2</v>
      </c>
      <c r="Q6737">
        <v>1.4516279999999999E-2</v>
      </c>
      <c r="R6737">
        <v>0.9988011</v>
      </c>
      <c r="S6737">
        <v>-6.4559939999999996E-2</v>
      </c>
      <c r="T6737">
        <v>-0.136854799999999</v>
      </c>
      <c r="U6737">
        <v>3.002472</v>
      </c>
      <c r="V6737">
        <v>-6.6603579999999996E-2</v>
      </c>
      <c r="W6737">
        <v>2.8617119999999999E-2</v>
      </c>
      <c r="X6737">
        <v>0.99736909999999901</v>
      </c>
      <c r="Y6737">
        <v>-4.1285719999999998E-2</v>
      </c>
      <c r="Z6737">
        <v>-4.5495349999999997E-2</v>
      </c>
      <c r="AA6737">
        <v>0.99811109999999903</v>
      </c>
      <c r="AB6737">
        <v>30</v>
      </c>
      <c r="AC6737">
        <v>-0.52670000000000505</v>
      </c>
      <c r="AD6737">
        <v>-1.1058584189009999</v>
      </c>
      <c r="AE6737">
        <v>23.961179999999899</v>
      </c>
      <c r="AF6737">
        <v>-0.99936759264742403</v>
      </c>
      <c r="AG6737">
        <v>-1.1058584189009999</v>
      </c>
      <c r="AH6737">
        <v>23.895162005237701</v>
      </c>
      <c r="AI6737">
        <v>92.647423732078906</v>
      </c>
      <c r="AJ6737">
        <v>92.394886244119107</v>
      </c>
      <c r="AK6737">
        <v>23.941604492690999</v>
      </c>
    </row>
    <row r="6738" spans="1:37" x14ac:dyDescent="0.2">
      <c r="A6738" t="str">
        <f>"20200111155734331"</f>
        <v>20200111155734331</v>
      </c>
      <c r="B6738" t="str">
        <f>"1578729454320022"</f>
        <v>1578729454320022</v>
      </c>
      <c r="C6738" t="s">
        <v>37</v>
      </c>
      <c r="D6738">
        <v>5.0825009999999997</v>
      </c>
      <c r="E6738">
        <v>0.51006269999999998</v>
      </c>
      <c r="F6738" t="s">
        <v>38</v>
      </c>
      <c r="G6738">
        <v>-188.99610000000001</v>
      </c>
      <c r="H6738" s="1">
        <v>-2.637917E-6</v>
      </c>
      <c r="I6738">
        <v>95.366739999999993</v>
      </c>
      <c r="J6738">
        <v>-188.45349999999999</v>
      </c>
      <c r="K6738">
        <v>1.105836</v>
      </c>
      <c r="L6738">
        <v>71.186709999999906</v>
      </c>
      <c r="M6738">
        <v>1.8714350000000001E-2</v>
      </c>
      <c r="N6738">
        <v>0</v>
      </c>
      <c r="O6738">
        <v>0.99972280000000002</v>
      </c>
      <c r="P6738">
        <v>-4.7501679999999998E-2</v>
      </c>
      <c r="Q6738">
        <v>1.516526E-2</v>
      </c>
      <c r="R6738">
        <v>0.99875609999999904</v>
      </c>
      <c r="S6738">
        <v>-6.5994259999999999E-2</v>
      </c>
      <c r="T6738">
        <v>-0.1356551</v>
      </c>
      <c r="U6738">
        <v>3.0025019999999998</v>
      </c>
      <c r="V6738">
        <v>-6.62523E-2</v>
      </c>
      <c r="W6738">
        <v>2.9267250000000002E-2</v>
      </c>
      <c r="X6738">
        <v>0.99737359999999897</v>
      </c>
      <c r="Y6738">
        <v>-4.0659969999999997E-2</v>
      </c>
      <c r="Z6738">
        <v>-4.5098680000000002E-2</v>
      </c>
      <c r="AA6738">
        <v>0.99815480000000001</v>
      </c>
      <c r="AB6738">
        <v>30</v>
      </c>
      <c r="AC6738">
        <v>-0.54260000000002095</v>
      </c>
      <c r="AD6738">
        <v>-1.105838637917</v>
      </c>
      <c r="AE6738">
        <v>24.180029999999999</v>
      </c>
      <c r="AF6738">
        <v>-0.99298883724007903</v>
      </c>
      <c r="AG6738">
        <v>-1.105838637917</v>
      </c>
      <c r="AH6738">
        <v>24.115226072487701</v>
      </c>
      <c r="AI6738">
        <v>92.623321776165994</v>
      </c>
      <c r="AJ6738">
        <v>92.357927175789797</v>
      </c>
      <c r="AK6738">
        <v>24.1609816533017</v>
      </c>
    </row>
    <row r="6739" spans="1:37" x14ac:dyDescent="0.2">
      <c r="A6739" t="str">
        <f>"20200111155734352"</f>
        <v>20200111155734352</v>
      </c>
      <c r="B6739" t="str">
        <f>"1578729454339543"</f>
        <v>1578729454339543</v>
      </c>
      <c r="C6739" t="s">
        <v>37</v>
      </c>
      <c r="D6739">
        <v>5.107723</v>
      </c>
      <c r="E6739">
        <v>0.51008790000000004</v>
      </c>
      <c r="F6739" t="s">
        <v>38</v>
      </c>
      <c r="G6739">
        <v>-189.0181</v>
      </c>
      <c r="H6739" s="1">
        <v>-2.9602099999999902E-6</v>
      </c>
      <c r="I6739">
        <v>96.127069999999904</v>
      </c>
      <c r="J6739">
        <v>-188.44929999999999</v>
      </c>
      <c r="K6739">
        <v>1.1058129999999999</v>
      </c>
      <c r="L6739">
        <v>71.471279999999993</v>
      </c>
      <c r="M6739">
        <v>1.7680230000000002E-2</v>
      </c>
      <c r="N6739">
        <v>0</v>
      </c>
      <c r="O6739">
        <v>0.99974169999999996</v>
      </c>
      <c r="P6739">
        <v>-4.7950930000000003E-2</v>
      </c>
      <c r="Q6739">
        <v>1.605523E-2</v>
      </c>
      <c r="R6739">
        <v>0.99872059999999996</v>
      </c>
      <c r="S6739">
        <v>-6.7962649999999999E-2</v>
      </c>
      <c r="T6739">
        <v>-0.13313029999999901</v>
      </c>
      <c r="U6739">
        <v>3.0025330000000001</v>
      </c>
      <c r="V6739">
        <v>-6.5668900000000002E-2</v>
      </c>
      <c r="W6739">
        <v>3.0159020000000002E-2</v>
      </c>
      <c r="X6739">
        <v>0.99738559999999998</v>
      </c>
      <c r="Y6739">
        <v>-4.0281089999999999E-2</v>
      </c>
      <c r="Z6739">
        <v>-4.4261790000000002E-2</v>
      </c>
      <c r="AA6739">
        <v>0.99820759999999897</v>
      </c>
      <c r="AB6739">
        <v>30</v>
      </c>
      <c r="AC6739">
        <v>-0.56880000000000996</v>
      </c>
      <c r="AD6739">
        <v>-1.1058159602099999</v>
      </c>
      <c r="AE6739">
        <v>24.6557899999999</v>
      </c>
      <c r="AF6739">
        <v>-1.00265975675163</v>
      </c>
      <c r="AG6739">
        <v>-1.1058159602099999</v>
      </c>
      <c r="AH6739">
        <v>24.592435526977301</v>
      </c>
      <c r="AI6739">
        <v>92.572475954485299</v>
      </c>
      <c r="AJ6739">
        <v>92.3347168016073</v>
      </c>
      <c r="AK6739">
        <v>24.637695522800001</v>
      </c>
    </row>
    <row r="6740" spans="1:37" x14ac:dyDescent="0.2">
      <c r="A6740" t="str">
        <f>"20200111155734375"</f>
        <v>20200111155734375</v>
      </c>
      <c r="B6740" t="str">
        <f>"1578729454369799"</f>
        <v>1578729454369799</v>
      </c>
      <c r="C6740" t="s">
        <v>37</v>
      </c>
      <c r="D6740">
        <v>5.1086049999999998</v>
      </c>
      <c r="E6740">
        <v>0.51029199999999997</v>
      </c>
      <c r="F6740" t="s">
        <v>38</v>
      </c>
      <c r="G6740">
        <v>-189.0403</v>
      </c>
      <c r="H6740" s="1">
        <v>-3.3650110000000001E-6</v>
      </c>
      <c r="I6740">
        <v>97.079859999999996</v>
      </c>
      <c r="J6740">
        <v>-188.44499999999999</v>
      </c>
      <c r="K6740">
        <v>1.105788</v>
      </c>
      <c r="L6740">
        <v>71.786159999999995</v>
      </c>
      <c r="M6740">
        <v>1.6569029999999998E-2</v>
      </c>
      <c r="N6740">
        <v>0</v>
      </c>
      <c r="O6740">
        <v>0.99976080000000001</v>
      </c>
      <c r="P6740">
        <v>-4.877488E-2</v>
      </c>
      <c r="Q6740">
        <v>1.615287E-2</v>
      </c>
      <c r="R6740">
        <v>0.99867919999999999</v>
      </c>
      <c r="S6740">
        <v>-6.9290160000000003E-2</v>
      </c>
      <c r="T6740">
        <v>-0.12965650000000001</v>
      </c>
      <c r="U6740">
        <v>3.00259399999999</v>
      </c>
      <c r="V6740">
        <v>-6.5381439999999999E-2</v>
      </c>
      <c r="W6740">
        <v>3.0258159999999999E-2</v>
      </c>
      <c r="X6740">
        <v>0.99740149999999905</v>
      </c>
      <c r="Y6740">
        <v>-3.9612309999999998E-2</v>
      </c>
      <c r="Z6740">
        <v>-4.3109740000000001E-2</v>
      </c>
      <c r="AA6740">
        <v>0.99828479999999997</v>
      </c>
      <c r="AB6740">
        <v>30</v>
      </c>
      <c r="AC6740">
        <v>-0.59530000000000804</v>
      </c>
      <c r="AD6740">
        <v>-1.1057913650110001</v>
      </c>
      <c r="AE6740">
        <v>25.293700000000001</v>
      </c>
      <c r="AF6740">
        <v>-1.0124191179345099</v>
      </c>
      <c r="AG6740">
        <v>-1.1057913650110001</v>
      </c>
      <c r="AH6740">
        <v>25.2321637932309</v>
      </c>
      <c r="AI6740">
        <v>92.507348253149601</v>
      </c>
      <c r="AJ6740">
        <v>92.297711899654203</v>
      </c>
      <c r="AK6740">
        <v>25.276666249759401</v>
      </c>
    </row>
    <row r="6741" spans="1:37" x14ac:dyDescent="0.2">
      <c r="A6741" t="str">
        <f>"20200111155734400"</f>
        <v>20200111155734400</v>
      </c>
      <c r="B6741" t="str">
        <f>"1578729454390294"</f>
        <v>1578729454390294</v>
      </c>
      <c r="C6741" t="s">
        <v>37</v>
      </c>
      <c r="D6741">
        <v>5.2429480000000002</v>
      </c>
      <c r="E6741">
        <v>0.51031939999999998</v>
      </c>
      <c r="F6741" t="s">
        <v>38</v>
      </c>
      <c r="G6741">
        <v>-189.04849999999999</v>
      </c>
      <c r="H6741" s="1">
        <v>-3.57888599999999E-6</v>
      </c>
      <c r="I6741">
        <v>97.581819999999993</v>
      </c>
      <c r="J6741">
        <v>-188.4409</v>
      </c>
      <c r="K6741">
        <v>1.105758</v>
      </c>
      <c r="L6741">
        <v>72.098749999999995</v>
      </c>
      <c r="M6741">
        <v>1.550872E-2</v>
      </c>
      <c r="N6741">
        <v>0</v>
      </c>
      <c r="O6741">
        <v>0.9997779</v>
      </c>
      <c r="P6741">
        <v>-4.9371850000000002E-2</v>
      </c>
      <c r="Q6741">
        <v>1.6224579999999999E-2</v>
      </c>
      <c r="R6741">
        <v>0.99864869999999994</v>
      </c>
      <c r="S6741">
        <v>-7.0251460000000002E-2</v>
      </c>
      <c r="T6741">
        <v>-0.1287133</v>
      </c>
      <c r="U6741">
        <v>3.00259399999999</v>
      </c>
      <c r="V6741">
        <v>-6.4916630000000003E-2</v>
      </c>
      <c r="W6741">
        <v>3.033251E-2</v>
      </c>
      <c r="X6741">
        <v>0.99742960000000003</v>
      </c>
      <c r="Y6741">
        <v>-3.8872320000000002E-2</v>
      </c>
      <c r="Z6741">
        <v>-4.2798259999999998E-2</v>
      </c>
      <c r="AA6741">
        <v>0.99832730000000003</v>
      </c>
      <c r="AB6741">
        <v>30</v>
      </c>
      <c r="AC6741">
        <v>-0.60759999999999004</v>
      </c>
      <c r="AD6741">
        <v>-1.105761578886</v>
      </c>
      <c r="AE6741">
        <v>25.483070000000001</v>
      </c>
      <c r="AF6741">
        <v>-1.0008934745861899</v>
      </c>
      <c r="AG6741">
        <v>-1.105761578886</v>
      </c>
      <c r="AH6741">
        <v>25.422740109733901</v>
      </c>
      <c r="AI6741">
        <v>92.488583587751805</v>
      </c>
      <c r="AJ6741">
        <v>92.254570903532596</v>
      </c>
      <c r="AK6741">
        <v>25.466452660390001</v>
      </c>
    </row>
    <row r="6742" spans="1:37" x14ac:dyDescent="0.2">
      <c r="A6742" t="str">
        <f>"20200111155734422"</f>
        <v>20200111155734422</v>
      </c>
      <c r="B6742" t="str">
        <f>"1578729454409814"</f>
        <v>1578729454409814</v>
      </c>
      <c r="C6742" t="s">
        <v>37</v>
      </c>
      <c r="D6742">
        <v>5.0830080000000004</v>
      </c>
      <c r="E6742">
        <v>0.51033819999999996</v>
      </c>
      <c r="F6742" t="s">
        <v>38</v>
      </c>
      <c r="G6742">
        <v>-189.0626</v>
      </c>
      <c r="H6742" s="1">
        <v>-3.734141E-6</v>
      </c>
      <c r="I6742">
        <v>97.949539999999999</v>
      </c>
      <c r="J6742">
        <v>-188.4374</v>
      </c>
      <c r="K6742">
        <v>1.1057239999999999</v>
      </c>
      <c r="L6742">
        <v>72.396909999999906</v>
      </c>
      <c r="M6742">
        <v>1.455205E-2</v>
      </c>
      <c r="N6742">
        <v>0</v>
      </c>
      <c r="O6742">
        <v>0.99979229999999997</v>
      </c>
      <c r="P6742">
        <v>-5.0123139999999997E-2</v>
      </c>
      <c r="Q6742">
        <v>1.811521E-2</v>
      </c>
      <c r="R6742">
        <v>0.99857870000000004</v>
      </c>
      <c r="S6742">
        <v>-7.2204589999999999E-2</v>
      </c>
      <c r="T6742">
        <v>-0.12843389999999999</v>
      </c>
      <c r="U6742">
        <v>3.0025629999999999</v>
      </c>
      <c r="V6742">
        <v>-6.4713039999999999E-2</v>
      </c>
      <c r="W6742">
        <v>3.22251E-2</v>
      </c>
      <c r="X6742">
        <v>0.99738349999999898</v>
      </c>
      <c r="Y6742">
        <v>-3.8565530000000001E-2</v>
      </c>
      <c r="Z6742">
        <v>-4.2706830000000001E-2</v>
      </c>
      <c r="AA6742">
        <v>0.99834310000000004</v>
      </c>
      <c r="AB6742">
        <v>30</v>
      </c>
      <c r="AC6742">
        <v>-0.62520000000000597</v>
      </c>
      <c r="AD6742">
        <v>-1.1057277341409999</v>
      </c>
      <c r="AE6742">
        <v>25.552630000000001</v>
      </c>
      <c r="AF6742">
        <v>-0.995152471399261</v>
      </c>
      <c r="AG6742">
        <v>-1.1057277341409999</v>
      </c>
      <c r="AH6742">
        <v>25.493117225514499</v>
      </c>
      <c r="AI6742">
        <v>92.481678653687794</v>
      </c>
      <c r="AJ6742">
        <v>92.235470099967202</v>
      </c>
      <c r="AK6742">
        <v>25.5364834724205</v>
      </c>
    </row>
    <row r="6743" spans="1:37" x14ac:dyDescent="0.2">
      <c r="A6743" t="str">
        <f>"20200111155734442"</f>
        <v>20200111155734442</v>
      </c>
      <c r="B6743" t="str">
        <f>"1578729454430311"</f>
        <v>1578729454430311</v>
      </c>
      <c r="C6743" t="s">
        <v>37</v>
      </c>
      <c r="D6743">
        <v>5.2157859999999996</v>
      </c>
      <c r="E6743">
        <v>0.51038430000000001</v>
      </c>
      <c r="F6743" t="s">
        <v>38</v>
      </c>
      <c r="G6743">
        <v>-189.10499999999999</v>
      </c>
      <c r="H6743" s="1">
        <v>-4.35602E-6</v>
      </c>
      <c r="I6743">
        <v>99.416679999999999</v>
      </c>
      <c r="J6743">
        <v>-188.43430000000001</v>
      </c>
      <c r="K6743">
        <v>1.1056979999999901</v>
      </c>
      <c r="L6743">
        <v>72.674469999999999</v>
      </c>
      <c r="M6743">
        <v>1.3701899999999999E-2</v>
      </c>
      <c r="N6743">
        <v>0</v>
      </c>
      <c r="O6743">
        <v>0.99980440000000004</v>
      </c>
      <c r="P6743">
        <v>-5.0212099999999898E-2</v>
      </c>
      <c r="Q6743">
        <v>1.9904410000000001E-2</v>
      </c>
      <c r="R6743">
        <v>0.99854019999999999</v>
      </c>
      <c r="S6743">
        <v>-7.4188229999999994E-2</v>
      </c>
      <c r="T6743">
        <v>-0.12288250000000001</v>
      </c>
      <c r="U6743">
        <v>3.002777</v>
      </c>
      <c r="V6743">
        <v>-6.3953499999999996E-2</v>
      </c>
      <c r="W6743">
        <v>3.4017980000000003E-2</v>
      </c>
      <c r="X6743">
        <v>0.99737289999999901</v>
      </c>
      <c r="Y6743">
        <v>-3.837517E-2</v>
      </c>
      <c r="Z6743">
        <v>-4.0861679999999997E-2</v>
      </c>
      <c r="AA6743">
        <v>0.99842759999999997</v>
      </c>
      <c r="AB6743">
        <v>30</v>
      </c>
      <c r="AC6743">
        <v>-0.67069999999998198</v>
      </c>
      <c r="AD6743">
        <v>-1.1057023560200001</v>
      </c>
      <c r="AE6743">
        <v>26.74221</v>
      </c>
      <c r="AF6743">
        <v>-1.0353245594683</v>
      </c>
      <c r="AG6743">
        <v>-1.1057023560200001</v>
      </c>
      <c r="AH6743">
        <v>26.684917721799302</v>
      </c>
      <c r="AI6743">
        <v>92.370939029127797</v>
      </c>
      <c r="AJ6743">
        <v>92.221853955654296</v>
      </c>
      <c r="AK6743">
        <v>26.727875120606701</v>
      </c>
    </row>
    <row r="6744" spans="1:37" x14ac:dyDescent="0.2">
      <c r="A6744" t="str">
        <f>"20200111155734465"</f>
        <v>20200111155734465</v>
      </c>
      <c r="B6744" t="str">
        <f>"1578729454459591"</f>
        <v>1578729454459591</v>
      </c>
      <c r="C6744" t="s">
        <v>37</v>
      </c>
      <c r="D6744">
        <v>5.184526</v>
      </c>
      <c r="E6744">
        <v>0.52642869999999997</v>
      </c>
      <c r="F6744" t="s">
        <v>38</v>
      </c>
      <c r="G6744">
        <v>-189.1326</v>
      </c>
      <c r="H6744" s="1">
        <v>-7.2388619999999903E-7</v>
      </c>
      <c r="I6744">
        <v>100.9615</v>
      </c>
      <c r="J6744">
        <v>-188.43119999999999</v>
      </c>
      <c r="K6744">
        <v>1.105656</v>
      </c>
      <c r="L6744">
        <v>72.979709999999997</v>
      </c>
      <c r="M6744">
        <v>1.282732E-2</v>
      </c>
      <c r="N6744">
        <v>0</v>
      </c>
      <c r="O6744">
        <v>0.99981600000000004</v>
      </c>
      <c r="P6744">
        <v>-4.987664E-2</v>
      </c>
      <c r="Q6744">
        <v>2.0770489999999999E-2</v>
      </c>
      <c r="R6744">
        <v>0.99853939999999997</v>
      </c>
      <c r="S6744">
        <v>-7.4127199999999893E-2</v>
      </c>
      <c r="T6744">
        <v>-0.1173825</v>
      </c>
      <c r="U6744">
        <v>3.0029910000000002</v>
      </c>
      <c r="V6744">
        <v>-6.2743110000000005E-2</v>
      </c>
      <c r="W6744">
        <v>3.4890070000000002E-2</v>
      </c>
      <c r="X6744">
        <v>0.99741970000000002</v>
      </c>
      <c r="Y6744">
        <v>-3.7480819999999998E-2</v>
      </c>
      <c r="Z6744">
        <v>-3.9034239999999998E-2</v>
      </c>
      <c r="AA6744">
        <v>0.9985347</v>
      </c>
      <c r="AB6744">
        <v>30</v>
      </c>
      <c r="AC6744">
        <v>-0.70140000000000602</v>
      </c>
      <c r="AD6744">
        <v>-1.1056567238861901</v>
      </c>
      <c r="AE6744">
        <v>27.98179</v>
      </c>
      <c r="AF6744">
        <v>-1.0586583119189299</v>
      </c>
      <c r="AG6744">
        <v>-1.1056567238861901</v>
      </c>
      <c r="AH6744">
        <v>27.926914134672</v>
      </c>
      <c r="AI6744">
        <v>92.265592185310197</v>
      </c>
      <c r="AJ6744">
        <v>92.170938859093397</v>
      </c>
      <c r="AK6744">
        <v>27.968835644299102</v>
      </c>
    </row>
    <row r="6745" spans="1:37" x14ac:dyDescent="0.2">
      <c r="A6745" t="str">
        <f>"20200111155734487"</f>
        <v>20200111155734487</v>
      </c>
      <c r="B6745" t="str">
        <f>"1578729454480087"</f>
        <v>1578729454480087</v>
      </c>
      <c r="C6745" t="s">
        <v>37</v>
      </c>
      <c r="D6745">
        <v>5.1688999999999998</v>
      </c>
      <c r="E6745">
        <v>0.52690990000000004</v>
      </c>
      <c r="F6745" t="s">
        <v>38</v>
      </c>
      <c r="G6745">
        <v>-188.0086</v>
      </c>
      <c r="H6745" s="1">
        <v>-3.3028329999999998E-6</v>
      </c>
      <c r="I6745">
        <v>96.508330000000001</v>
      </c>
      <c r="J6745">
        <v>-188.4281</v>
      </c>
      <c r="K6745">
        <v>1.105599</v>
      </c>
      <c r="L6745">
        <v>73.287350000000004</v>
      </c>
      <c r="M6745">
        <v>1.2034309999999999E-2</v>
      </c>
      <c r="N6745">
        <v>0</v>
      </c>
      <c r="O6745">
        <v>0.99982599999999999</v>
      </c>
      <c r="P6745">
        <v>-4.8639509999999997E-2</v>
      </c>
      <c r="Q6745">
        <v>2.1713389999999999E-2</v>
      </c>
      <c r="R6745">
        <v>0.99858029999999998</v>
      </c>
      <c r="S6745">
        <v>5.4061890000000001E-2</v>
      </c>
      <c r="T6745">
        <v>-0.14144809999999999</v>
      </c>
      <c r="U6745">
        <v>3.01004</v>
      </c>
      <c r="V6745">
        <v>-6.0711519999999998E-2</v>
      </c>
      <c r="W6745">
        <v>3.584267E-2</v>
      </c>
      <c r="X6745">
        <v>0.99751160000000005</v>
      </c>
      <c r="Y6745">
        <v>5.9029429999999999E-3</v>
      </c>
      <c r="Z6745">
        <v>-4.693104E-2</v>
      </c>
      <c r="AA6745">
        <v>0.99888069999999896</v>
      </c>
      <c r="AB6745">
        <v>30</v>
      </c>
      <c r="AC6745">
        <v>0.41949999999999898</v>
      </c>
      <c r="AD6745">
        <v>-1.105602302833</v>
      </c>
      <c r="AE6745">
        <v>23.220979999999901</v>
      </c>
      <c r="AF6745">
        <v>0.139676223373044</v>
      </c>
      <c r="AG6745">
        <v>-1.105602302833</v>
      </c>
      <c r="AH6745">
        <v>23.1718353885</v>
      </c>
      <c r="AI6745">
        <v>92.731643467829898</v>
      </c>
      <c r="AJ6745">
        <v>89.654634126394001</v>
      </c>
      <c r="AK6745">
        <v>23.1986167943511</v>
      </c>
    </row>
    <row r="6746" spans="1:37" x14ac:dyDescent="0.2">
      <c r="A6746" t="str">
        <f>"20200111155734511"</f>
        <v>20200111155734511</v>
      </c>
      <c r="B6746" t="str">
        <f>"1578729454499606"</f>
        <v>1578729454499606</v>
      </c>
      <c r="C6746" t="s">
        <v>37</v>
      </c>
      <c r="D6746">
        <v>5.138496</v>
      </c>
      <c r="E6746">
        <v>0.52728379999999997</v>
      </c>
      <c r="F6746" t="s">
        <v>38</v>
      </c>
      <c r="G6746">
        <v>-187.95480000000001</v>
      </c>
      <c r="H6746" s="1">
        <v>-3.3001220000000001E-6</v>
      </c>
      <c r="I6746">
        <v>96.479789999999994</v>
      </c>
      <c r="J6746">
        <v>-188.42529999999999</v>
      </c>
      <c r="K6746">
        <v>1.1055109999999999</v>
      </c>
      <c r="L6746">
        <v>73.588409999999996</v>
      </c>
      <c r="M6746">
        <v>1.1369499999999999E-2</v>
      </c>
      <c r="N6746">
        <v>0</v>
      </c>
      <c r="O6746">
        <v>0.99983379999999999</v>
      </c>
      <c r="P6746">
        <v>-4.755529E-2</v>
      </c>
      <c r="Q6746">
        <v>2.134057E-2</v>
      </c>
      <c r="R6746">
        <v>0.99864059999999899</v>
      </c>
      <c r="S6746">
        <v>6.1431880000000001E-2</v>
      </c>
      <c r="T6746">
        <v>-0.1435071</v>
      </c>
      <c r="U6746">
        <v>3.0103759999999999</v>
      </c>
      <c r="V6746">
        <v>-5.8956559999999998E-2</v>
      </c>
      <c r="W6746">
        <v>3.5481930000000002E-2</v>
      </c>
      <c r="X6746">
        <v>0.99762980000000001</v>
      </c>
      <c r="Y6746">
        <v>9.0097300000000005E-3</v>
      </c>
      <c r="Z6746">
        <v>-4.7606219999999998E-2</v>
      </c>
      <c r="AA6746">
        <v>0.99882559999999998</v>
      </c>
      <c r="AB6746">
        <v>30</v>
      </c>
      <c r="AC6746">
        <v>0.47049999999998698</v>
      </c>
      <c r="AD6746">
        <v>-1.105514300122</v>
      </c>
      <c r="AE6746">
        <v>22.891380000000002</v>
      </c>
      <c r="AF6746">
        <v>0.209690747904097</v>
      </c>
      <c r="AG6746">
        <v>-1.105514300122</v>
      </c>
      <c r="AH6746">
        <v>22.841998070591998</v>
      </c>
      <c r="AI6746">
        <v>92.770740692923894</v>
      </c>
      <c r="AJ6746">
        <v>89.474036494533493</v>
      </c>
      <c r="AK6746">
        <v>22.869696279890999</v>
      </c>
    </row>
    <row r="6747" spans="1:37" x14ac:dyDescent="0.2">
      <c r="A6747" t="str">
        <f>"20200111155734533"</f>
        <v>20200111155734533</v>
      </c>
      <c r="B6747" t="str">
        <f>"1578729454529862"</f>
        <v>1578729454529862</v>
      </c>
      <c r="C6747" t="s">
        <v>37</v>
      </c>
      <c r="D6747">
        <v>5.1679589999999997</v>
      </c>
      <c r="E6747">
        <v>0.52741709999999997</v>
      </c>
      <c r="F6747" t="s">
        <v>38</v>
      </c>
      <c r="G6747">
        <v>-187.91239999999999</v>
      </c>
      <c r="H6747" s="1">
        <v>-3.3267630000000001E-6</v>
      </c>
      <c r="I6747">
        <v>96.524330000000006</v>
      </c>
      <c r="J6747">
        <v>-188.42259999999999</v>
      </c>
      <c r="K6747">
        <v>1.1054010000000001</v>
      </c>
      <c r="L6747">
        <v>73.880069999999904</v>
      </c>
      <c r="M6747">
        <v>1.0851049999999999E-2</v>
      </c>
      <c r="N6747">
        <v>0</v>
      </c>
      <c r="O6747">
        <v>0.99983960000000005</v>
      </c>
      <c r="P6747">
        <v>-4.8857499999999998E-2</v>
      </c>
      <c r="Q6747">
        <v>1.9490730000000001E-2</v>
      </c>
      <c r="R6747">
        <v>0.99861559999999905</v>
      </c>
      <c r="S6747">
        <v>6.7321779999999998E-2</v>
      </c>
      <c r="T6747">
        <v>-0.14510049999999999</v>
      </c>
      <c r="U6747">
        <v>3.0103759999999999</v>
      </c>
      <c r="V6747">
        <v>-5.9730989999999998E-2</v>
      </c>
      <c r="W6747">
        <v>3.3641020000000001E-2</v>
      </c>
      <c r="X6747">
        <v>0.99764750000000002</v>
      </c>
      <c r="Y6747">
        <v>1.148099E-2</v>
      </c>
      <c r="Z6747">
        <v>-4.8132389999999997E-2</v>
      </c>
      <c r="AA6747">
        <v>0.99877499999999997</v>
      </c>
      <c r="AB6747">
        <v>30</v>
      </c>
      <c r="AC6747">
        <v>0.51019999999999699</v>
      </c>
      <c r="AD6747">
        <v>-1.105404326763</v>
      </c>
      <c r="AE6747">
        <v>22.644259999999999</v>
      </c>
      <c r="AF6747">
        <v>0.26380268564654602</v>
      </c>
      <c r="AG6747">
        <v>-1.105404326763</v>
      </c>
      <c r="AH6747">
        <v>22.594647355936399</v>
      </c>
      <c r="AI6747">
        <v>92.800673870469794</v>
      </c>
      <c r="AJ6747">
        <v>89.331076359208296</v>
      </c>
      <c r="AK6747">
        <v>22.623209315252002</v>
      </c>
    </row>
    <row r="6748" spans="1:37" x14ac:dyDescent="0.2">
      <c r="A6748" t="str">
        <f>"20200111155734554"</f>
        <v>20200111155734554</v>
      </c>
      <c r="B6748" t="str">
        <f>"1578729454550359"</f>
        <v>1578729454550359</v>
      </c>
      <c r="C6748" t="s">
        <v>37</v>
      </c>
      <c r="D6748">
        <v>5.2159309999999897</v>
      </c>
      <c r="E6748">
        <v>0.52741579999999999</v>
      </c>
      <c r="F6748" t="s">
        <v>38</v>
      </c>
      <c r="G6748">
        <v>-187.96129999999999</v>
      </c>
      <c r="H6748" s="1">
        <v>-2.8600799999999998E-6</v>
      </c>
      <c r="I6748">
        <v>95.456729999999993</v>
      </c>
      <c r="J6748">
        <v>-188.42009999999999</v>
      </c>
      <c r="K6748">
        <v>1.1052899999999899</v>
      </c>
      <c r="L6748">
        <v>74.160609999999906</v>
      </c>
      <c r="M6748">
        <v>1.047709E-2</v>
      </c>
      <c r="N6748">
        <v>0</v>
      </c>
      <c r="O6748">
        <v>0.9998437</v>
      </c>
      <c r="P6748">
        <v>-5.0916169999999997E-2</v>
      </c>
      <c r="Q6748">
        <v>1.5838979999999999E-2</v>
      </c>
      <c r="R6748">
        <v>0.9985773</v>
      </c>
      <c r="S6748">
        <v>6.4361570000000007E-2</v>
      </c>
      <c r="T6748">
        <v>-0.15422279999999999</v>
      </c>
      <c r="U6748">
        <v>3.0103149999999999</v>
      </c>
      <c r="V6748">
        <v>-6.1403510000000001E-2</v>
      </c>
      <c r="W6748">
        <v>2.999887E-2</v>
      </c>
      <c r="X6748">
        <v>0.997662099999999</v>
      </c>
      <c r="Y6748">
        <v>1.087054E-2</v>
      </c>
      <c r="Z6748">
        <v>-5.1152820000000002E-2</v>
      </c>
      <c r="AA6748">
        <v>0.99863169999999901</v>
      </c>
      <c r="AB6748">
        <v>30</v>
      </c>
      <c r="AC6748">
        <v>0.45879999999999599</v>
      </c>
      <c r="AD6748">
        <v>-1.1052928600799901</v>
      </c>
      <c r="AE6748">
        <v>21.296119999999998</v>
      </c>
      <c r="AF6748">
        <v>0.23499809127825599</v>
      </c>
      <c r="AG6748">
        <v>-1.1052928600799901</v>
      </c>
      <c r="AH6748">
        <v>21.242563132788501</v>
      </c>
      <c r="AI6748">
        <v>92.978345575394002</v>
      </c>
      <c r="AJ6748">
        <v>89.366185261317895</v>
      </c>
      <c r="AK6748">
        <v>21.272597040792999</v>
      </c>
    </row>
    <row r="6749" spans="1:37" x14ac:dyDescent="0.2">
      <c r="A6749" t="str">
        <f>"20200111155734579"</f>
        <v>20200111155734579</v>
      </c>
      <c r="B6749" t="str">
        <f>"1578729454569878"</f>
        <v>1578729454569878</v>
      </c>
      <c r="C6749" t="s">
        <v>37</v>
      </c>
      <c r="D6749">
        <v>5.2001400000000002</v>
      </c>
      <c r="E6749">
        <v>0.52733580000000002</v>
      </c>
      <c r="F6749" t="s">
        <v>38</v>
      </c>
      <c r="G6749">
        <v>-188.0274</v>
      </c>
      <c r="H6749" s="1">
        <v>-2.368246E-6</v>
      </c>
      <c r="I6749">
        <v>94.337559999999996</v>
      </c>
      <c r="J6749">
        <v>-188.4171</v>
      </c>
      <c r="K6749">
        <v>1.10517</v>
      </c>
      <c r="L6749">
        <v>74.487880000000004</v>
      </c>
      <c r="M6749">
        <v>1.0185799999999899E-2</v>
      </c>
      <c r="N6749">
        <v>0</v>
      </c>
      <c r="O6749">
        <v>0.99984669999999898</v>
      </c>
      <c r="P6749">
        <v>-5.3437329999999998E-2</v>
      </c>
      <c r="Q6749">
        <v>1.407981E-2</v>
      </c>
      <c r="R6749">
        <v>0.99847189999999997</v>
      </c>
      <c r="S6749">
        <v>5.8578489999999997E-2</v>
      </c>
      <c r="T6749">
        <v>-0.16488149999999999</v>
      </c>
      <c r="U6749">
        <v>3.0098880000000001</v>
      </c>
      <c r="V6749">
        <v>-6.3622520000000002E-2</v>
      </c>
      <c r="W6749">
        <v>2.8251060000000001E-2</v>
      </c>
      <c r="X6749">
        <v>0.99757410000000002</v>
      </c>
      <c r="Y6749">
        <v>9.2433040000000008E-3</v>
      </c>
      <c r="Z6749">
        <v>-5.4687350000000003E-2</v>
      </c>
      <c r="AA6749">
        <v>0.99846080000000004</v>
      </c>
      <c r="AB6749">
        <v>30</v>
      </c>
      <c r="AC6749">
        <v>0.38970000000000399</v>
      </c>
      <c r="AD6749">
        <v>-1.105172368246</v>
      </c>
      <c r="AE6749">
        <v>19.8496799999999</v>
      </c>
      <c r="AF6749">
        <v>0.18689526123810299</v>
      </c>
      <c r="AG6749">
        <v>-1.105172368246</v>
      </c>
      <c r="AH6749">
        <v>19.791291725578802</v>
      </c>
      <c r="AI6749">
        <v>93.196011856442198</v>
      </c>
      <c r="AJ6749">
        <v>89.458954395845296</v>
      </c>
      <c r="AK6749">
        <v>19.8230059266795</v>
      </c>
    </row>
    <row r="6750" spans="1:37" x14ac:dyDescent="0.2">
      <c r="A6750" t="str">
        <f>"20200111155734600"</f>
        <v>20200111155734600</v>
      </c>
      <c r="B6750" t="str">
        <f>"1578729454590374"</f>
        <v>1578729454590374</v>
      </c>
      <c r="C6750" t="s">
        <v>37</v>
      </c>
      <c r="D6750">
        <v>5.2483420000000001</v>
      </c>
      <c r="E6750">
        <v>0.52720239999999996</v>
      </c>
      <c r="F6750" t="s">
        <v>38</v>
      </c>
      <c r="G6750">
        <v>-188.08840000000001</v>
      </c>
      <c r="H6750" s="1">
        <v>-2.2257550000000002E-6</v>
      </c>
      <c r="I6750">
        <v>94.030649999999994</v>
      </c>
      <c r="J6750">
        <v>-188.4144</v>
      </c>
      <c r="K6750">
        <v>1.105091</v>
      </c>
      <c r="L6750">
        <v>74.771150000000006</v>
      </c>
      <c r="M6750">
        <v>1.005995E-2</v>
      </c>
      <c r="N6750">
        <v>0</v>
      </c>
      <c r="O6750">
        <v>0.99984799999999996</v>
      </c>
      <c r="P6750">
        <v>-5.5546039999999998E-2</v>
      </c>
      <c r="Q6750">
        <v>1.451743E-2</v>
      </c>
      <c r="R6750">
        <v>0.99835059999999998</v>
      </c>
      <c r="S6750">
        <v>5.0613400000000003E-2</v>
      </c>
      <c r="T6750">
        <v>-0.1702033</v>
      </c>
      <c r="U6750">
        <v>3.0097049999999999</v>
      </c>
      <c r="V6750">
        <v>-6.5598480000000001E-2</v>
      </c>
      <c r="W6750">
        <v>2.8696240000000001E-2</v>
      </c>
      <c r="X6750">
        <v>0.99743340000000003</v>
      </c>
      <c r="Y6750">
        <v>6.7271469999999898E-3</v>
      </c>
      <c r="Z6750">
        <v>-5.6452389999999998E-2</v>
      </c>
      <c r="AA6750">
        <v>0.99838259999999901</v>
      </c>
      <c r="AB6750">
        <v>30</v>
      </c>
      <c r="AC6750">
        <v>0.32599999999999302</v>
      </c>
      <c r="AD6750">
        <v>-1.1050932257549999</v>
      </c>
      <c r="AE6750">
        <v>19.2594999999999</v>
      </c>
      <c r="AF6750">
        <v>0.13178050140264599</v>
      </c>
      <c r="AG6750">
        <v>-1.1050932257549999</v>
      </c>
      <c r="AH6750">
        <v>19.198614380368099</v>
      </c>
      <c r="AI6750">
        <v>93.294295069685802</v>
      </c>
      <c r="AJ6750">
        <v>89.606724327846706</v>
      </c>
      <c r="AK6750">
        <v>19.2308447881063</v>
      </c>
    </row>
    <row r="6751" spans="1:37" x14ac:dyDescent="0.2">
      <c r="A6751" t="str">
        <f>"20200111155734620"</f>
        <v>20200111155734620</v>
      </c>
      <c r="B6751" t="str">
        <f>"1578729454609894"</f>
        <v>1578729454609894</v>
      </c>
      <c r="C6751" t="s">
        <v>37</v>
      </c>
      <c r="D6751">
        <v>5.2344239999999997</v>
      </c>
      <c r="E6751">
        <v>0.52746340000000003</v>
      </c>
      <c r="F6751" t="s">
        <v>38</v>
      </c>
      <c r="G6751">
        <v>-188.12440000000001</v>
      </c>
      <c r="H6751" s="1">
        <v>-2.55548499999999E-6</v>
      </c>
      <c r="I6751">
        <v>94.814130000000006</v>
      </c>
      <c r="J6751">
        <v>-188.4117</v>
      </c>
      <c r="K6751">
        <v>1.105037</v>
      </c>
      <c r="L6751">
        <v>75.047419999999903</v>
      </c>
      <c r="M6751">
        <v>1.0012739999999999E-2</v>
      </c>
      <c r="N6751">
        <v>0</v>
      </c>
      <c r="O6751">
        <v>0.99984850000000003</v>
      </c>
      <c r="P6751">
        <v>-5.6960549999999999E-2</v>
      </c>
      <c r="Q6751">
        <v>1.8081280000000002E-2</v>
      </c>
      <c r="R6751">
        <v>0.99821269999999995</v>
      </c>
      <c r="S6751">
        <v>4.3548580000000003E-2</v>
      </c>
      <c r="T6751">
        <v>-0.1659487</v>
      </c>
      <c r="U6751">
        <v>3.0097959999999899</v>
      </c>
      <c r="V6751">
        <v>-6.6960420000000007E-2</v>
      </c>
      <c r="W6751">
        <v>3.2265130000000003E-2</v>
      </c>
      <c r="X6751">
        <v>0.99723379999999995</v>
      </c>
      <c r="Y6751">
        <v>4.4320699999999998E-3</v>
      </c>
      <c r="Z6751">
        <v>-5.5045299999999998E-2</v>
      </c>
      <c r="AA6751">
        <v>0.99847399999999997</v>
      </c>
      <c r="AB6751">
        <v>30</v>
      </c>
      <c r="AC6751">
        <v>0.28729999999998701</v>
      </c>
      <c r="AD6751">
        <v>-1.1050395554850001</v>
      </c>
      <c r="AE6751">
        <v>19.76671</v>
      </c>
      <c r="AF6751">
        <v>8.9068299629503606E-2</v>
      </c>
      <c r="AG6751">
        <v>-1.1050395554850001</v>
      </c>
      <c r="AH6751">
        <v>19.707019218890999</v>
      </c>
      <c r="AI6751">
        <v>93.209375520212802</v>
      </c>
      <c r="AJ6751">
        <v>89.741046433608901</v>
      </c>
      <c r="AK6751">
        <v>19.738177526684801</v>
      </c>
    </row>
    <row r="6752" spans="1:37" x14ac:dyDescent="0.2">
      <c r="A6752" t="str">
        <f>"20200111155734643"</f>
        <v>20200111155734643</v>
      </c>
      <c r="B6752" t="str">
        <f>"1578729454640151"</f>
        <v>1578729454640151</v>
      </c>
      <c r="C6752" t="s">
        <v>37</v>
      </c>
      <c r="D6752">
        <v>5.2977319999999999</v>
      </c>
      <c r="E6752">
        <v>0.52784969999999998</v>
      </c>
      <c r="F6752" t="s">
        <v>38</v>
      </c>
      <c r="G6752">
        <v>-188.11869999999999</v>
      </c>
      <c r="H6752" s="1">
        <v>-3.2603719999999998E-6</v>
      </c>
      <c r="I6752">
        <v>96.454880000000003</v>
      </c>
      <c r="J6752">
        <v>-188.40880000000001</v>
      </c>
      <c r="K6752">
        <v>1.1050040000000001</v>
      </c>
      <c r="L6752">
        <v>75.341309999999993</v>
      </c>
      <c r="M6752">
        <v>1.001839E-2</v>
      </c>
      <c r="N6752">
        <v>0</v>
      </c>
      <c r="O6752">
        <v>0.99984850000000003</v>
      </c>
      <c r="P6752">
        <v>-5.7070629999999997E-2</v>
      </c>
      <c r="Q6752">
        <v>2.137211E-2</v>
      </c>
      <c r="R6752">
        <v>0.99814130000000001</v>
      </c>
      <c r="S6752">
        <v>4.1213989999999999E-2</v>
      </c>
      <c r="T6752">
        <v>-0.1554017</v>
      </c>
      <c r="U6752">
        <v>3.010529</v>
      </c>
      <c r="V6752">
        <v>-6.7071320000000004E-2</v>
      </c>
      <c r="W6752">
        <v>3.5559140000000003E-2</v>
      </c>
      <c r="X6752">
        <v>0.99711430000000001</v>
      </c>
      <c r="Y6752">
        <v>3.65132E-3</v>
      </c>
      <c r="Z6752">
        <v>-5.1544319999999998E-2</v>
      </c>
      <c r="AA6752">
        <v>0.998664</v>
      </c>
      <c r="AB6752">
        <v>30</v>
      </c>
      <c r="AC6752">
        <v>0.29010000000002301</v>
      </c>
      <c r="AD6752">
        <v>-1.105007260372</v>
      </c>
      <c r="AE6752">
        <v>21.113569999999999</v>
      </c>
      <c r="AF6752">
        <v>7.8325527676605694E-2</v>
      </c>
      <c r="AG6752">
        <v>-1.105007260372</v>
      </c>
      <c r="AH6752">
        <v>21.057748559964601</v>
      </c>
      <c r="AI6752">
        <v>93.003825327720605</v>
      </c>
      <c r="AJ6752">
        <v>89.786885979033002</v>
      </c>
      <c r="AK6752">
        <v>21.086866774095501</v>
      </c>
    </row>
    <row r="6753" spans="1:37" x14ac:dyDescent="0.2">
      <c r="A6753" t="str">
        <f>"20200111155734666"</f>
        <v>20200111155734666</v>
      </c>
      <c r="B6753" t="str">
        <f>"1578729454659671"</f>
        <v>1578729454659671</v>
      </c>
      <c r="C6753" t="s">
        <v>37</v>
      </c>
      <c r="D6753">
        <v>5.2451749999999997</v>
      </c>
      <c r="E6753">
        <v>0.52794079999999999</v>
      </c>
      <c r="F6753" t="s">
        <v>38</v>
      </c>
      <c r="G6753">
        <v>-188.07069999999999</v>
      </c>
      <c r="H6753" s="1">
        <v>-4.1582149999999996E-6</v>
      </c>
      <c r="I6753">
        <v>98.527929999999998</v>
      </c>
      <c r="J6753">
        <v>-188.4057</v>
      </c>
      <c r="K6753">
        <v>1.1049739999999999</v>
      </c>
      <c r="L6753">
        <v>75.65213</v>
      </c>
      <c r="M6753">
        <v>1.007157E-2</v>
      </c>
      <c r="N6753">
        <v>0</v>
      </c>
      <c r="O6753">
        <v>0.99984810000000002</v>
      </c>
      <c r="P6753">
        <v>-5.6275739999999998E-2</v>
      </c>
      <c r="Q6753">
        <v>2.2745359999999999E-2</v>
      </c>
      <c r="R6753">
        <v>0.99815609999999999</v>
      </c>
      <c r="S6753">
        <v>4.3914790000000002E-2</v>
      </c>
      <c r="T6753">
        <v>-0.14350370000000001</v>
      </c>
      <c r="U6753">
        <v>3.01116899999999</v>
      </c>
      <c r="V6753">
        <v>-6.6326750000000004E-2</v>
      </c>
      <c r="W6753">
        <v>3.693486E-2</v>
      </c>
      <c r="X6753">
        <v>0.9971141</v>
      </c>
      <c r="Y6753">
        <v>4.493627E-3</v>
      </c>
      <c r="Z6753">
        <v>-4.7596729999999997E-2</v>
      </c>
      <c r="AA6753">
        <v>0.99885650000000004</v>
      </c>
      <c r="AB6753">
        <v>30</v>
      </c>
      <c r="AC6753">
        <v>0.33500000000000801</v>
      </c>
      <c r="AD6753">
        <v>-1.104978158215</v>
      </c>
      <c r="AE6753">
        <v>22.875800000000002</v>
      </c>
      <c r="AF6753">
        <v>0.104321120397579</v>
      </c>
      <c r="AG6753">
        <v>-1.104978158215</v>
      </c>
      <c r="AH6753">
        <v>22.824770149048799</v>
      </c>
      <c r="AI6753">
        <v>92.771573809424794</v>
      </c>
      <c r="AJ6753">
        <v>89.738130186896001</v>
      </c>
      <c r="AK6753">
        <v>22.851739364503601</v>
      </c>
    </row>
    <row r="6754" spans="1:37" x14ac:dyDescent="0.2">
      <c r="A6754" t="str">
        <f>"20200111155734689"</f>
        <v>20200111155734689</v>
      </c>
      <c r="B6754" t="str">
        <f>"1578729454680168"</f>
        <v>1578729454680168</v>
      </c>
      <c r="C6754" t="s">
        <v>37</v>
      </c>
      <c r="D6754">
        <v>5.4575389999999997</v>
      </c>
      <c r="E6754">
        <v>0.52788930000000001</v>
      </c>
      <c r="F6754" t="s">
        <v>38</v>
      </c>
      <c r="G6754">
        <v>-188.0335</v>
      </c>
      <c r="H6754" s="1">
        <v>-4.6051789999999996E-6</v>
      </c>
      <c r="I6754">
        <v>99.554459999999906</v>
      </c>
      <c r="J6754">
        <v>-188.40270000000001</v>
      </c>
      <c r="K6754">
        <v>1.1049329999999999</v>
      </c>
      <c r="L6754">
        <v>75.953280000000007</v>
      </c>
      <c r="M6754">
        <v>1.0155249999999999E-2</v>
      </c>
      <c r="N6754">
        <v>0</v>
      </c>
      <c r="O6754">
        <v>0.99984729999999999</v>
      </c>
      <c r="P6754">
        <v>-5.4787460000000003E-2</v>
      </c>
      <c r="Q6754">
        <v>2.187122E-2</v>
      </c>
      <c r="R6754">
        <v>0.99825849999999905</v>
      </c>
      <c r="S6754">
        <v>4.6890260000000003E-2</v>
      </c>
      <c r="T6754">
        <v>-0.13921149999999999</v>
      </c>
      <c r="U6754">
        <v>3.01135299999999</v>
      </c>
      <c r="V6754">
        <v>-6.4920430000000001E-2</v>
      </c>
      <c r="W6754">
        <v>3.6063789999999998E-2</v>
      </c>
      <c r="X6754">
        <v>0.99723859999999998</v>
      </c>
      <c r="Y6754">
        <v>5.3968250000000001E-3</v>
      </c>
      <c r="Z6754">
        <v>-4.6172900000000003E-2</v>
      </c>
      <c r="AA6754">
        <v>0.99891890000000005</v>
      </c>
      <c r="AB6754">
        <v>30</v>
      </c>
      <c r="AC6754">
        <v>0.36920000000000602</v>
      </c>
      <c r="AD6754">
        <v>-1.1049376051790001</v>
      </c>
      <c r="AE6754">
        <v>23.6011799999999</v>
      </c>
      <c r="AF6754">
        <v>0.12919772326724299</v>
      </c>
      <c r="AG6754">
        <v>-1.1049376051790001</v>
      </c>
      <c r="AH6754">
        <v>23.552102716350898</v>
      </c>
      <c r="AI6754">
        <v>92.685999048160696</v>
      </c>
      <c r="AJ6754">
        <v>89.685700673749906</v>
      </c>
      <c r="AK6754">
        <v>23.578361298541999</v>
      </c>
    </row>
    <row r="6755" spans="1:37" x14ac:dyDescent="0.2">
      <c r="A6755" t="str">
        <f>"20200111155734711"</f>
        <v>20200111155734711</v>
      </c>
      <c r="B6755" t="str">
        <f>"1578729454699686"</f>
        <v>1578729454699686</v>
      </c>
      <c r="C6755" t="s">
        <v>37</v>
      </c>
      <c r="D6755">
        <v>5.2625330000000003</v>
      </c>
      <c r="E6755">
        <v>0.52784310000000001</v>
      </c>
      <c r="F6755" t="s">
        <v>38</v>
      </c>
      <c r="G6755">
        <v>-188.00280000000001</v>
      </c>
      <c r="H6755" s="1">
        <v>-4.59098E-6</v>
      </c>
      <c r="I6755">
        <v>99.50864</v>
      </c>
      <c r="J6755">
        <v>-188.3997</v>
      </c>
      <c r="K6755">
        <v>1.104895</v>
      </c>
      <c r="L6755">
        <v>76.241489999999999</v>
      </c>
      <c r="M6755">
        <v>1.025297E-2</v>
      </c>
      <c r="N6755">
        <v>0</v>
      </c>
      <c r="O6755">
        <v>0.99984629999999997</v>
      </c>
      <c r="P6755">
        <v>-5.2724399999999998E-2</v>
      </c>
      <c r="Q6755">
        <v>1.9790820000000001E-2</v>
      </c>
      <c r="R6755">
        <v>0.998412999999999</v>
      </c>
      <c r="S6755">
        <v>5.111694E-2</v>
      </c>
      <c r="T6755">
        <v>-0.1412467</v>
      </c>
      <c r="U6755">
        <v>3.011139</v>
      </c>
      <c r="V6755">
        <v>-6.2954330000000003E-2</v>
      </c>
      <c r="W6755">
        <v>3.3986530000000001E-2</v>
      </c>
      <c r="X6755">
        <v>0.99743749999999998</v>
      </c>
      <c r="Y6755">
        <v>6.7014419999999898E-3</v>
      </c>
      <c r="Z6755">
        <v>-4.6848979999999998E-2</v>
      </c>
      <c r="AA6755">
        <v>0.99887950000000003</v>
      </c>
      <c r="AB6755">
        <v>29</v>
      </c>
      <c r="AC6755">
        <v>0.39689999999998798</v>
      </c>
      <c r="AD6755">
        <v>-1.1048995909799999</v>
      </c>
      <c r="AE6755">
        <v>23.267150000000001</v>
      </c>
      <c r="AF6755">
        <v>0.15794154942792399</v>
      </c>
      <c r="AG6755">
        <v>-1.1048995909799999</v>
      </c>
      <c r="AH6755">
        <v>23.217654464019599</v>
      </c>
      <c r="AI6755">
        <v>92.724517125182601</v>
      </c>
      <c r="AJ6755">
        <v>89.610242945943696</v>
      </c>
      <c r="AK6755">
        <v>23.2444665985218</v>
      </c>
    </row>
    <row r="6756" spans="1:37" x14ac:dyDescent="0.2">
      <c r="A6756" t="str">
        <f>"20200111155734734"</f>
        <v>20200111155734734</v>
      </c>
      <c r="B6756" t="str">
        <f>"1578729454729943"</f>
        <v>1578729454729943</v>
      </c>
      <c r="C6756" t="s">
        <v>37</v>
      </c>
      <c r="D6756">
        <v>5.2652960000000002</v>
      </c>
      <c r="E6756">
        <v>0.53859969999999902</v>
      </c>
      <c r="F6756" t="s">
        <v>38</v>
      </c>
      <c r="G6756">
        <v>-187.9717</v>
      </c>
      <c r="H6756" s="1">
        <v>-4.327498E-6</v>
      </c>
      <c r="I6756">
        <v>98.881590000000003</v>
      </c>
      <c r="J6756">
        <v>-188.3965</v>
      </c>
      <c r="K6756">
        <v>1.1048690000000001</v>
      </c>
      <c r="L6756">
        <v>76.536739999999995</v>
      </c>
      <c r="M6756">
        <v>1.0362130000000001E-2</v>
      </c>
      <c r="N6756">
        <v>0</v>
      </c>
      <c r="O6756">
        <v>0.99984530000000005</v>
      </c>
      <c r="P6756">
        <v>-4.9759119999999997E-2</v>
      </c>
      <c r="Q6756">
        <v>1.8562180000000001E-2</v>
      </c>
      <c r="R6756">
        <v>0.998588699999999</v>
      </c>
      <c r="S6756">
        <v>5.6915279999999999E-2</v>
      </c>
      <c r="T6756">
        <v>-0.14692949999999999</v>
      </c>
      <c r="U6756">
        <v>3.0106809999999999</v>
      </c>
      <c r="V6756">
        <v>-6.009809E-2</v>
      </c>
      <c r="W6756">
        <v>3.2760780000000003E-2</v>
      </c>
      <c r="X6756">
        <v>0.99765469999999901</v>
      </c>
      <c r="Y6756">
        <v>8.5162780000000004E-3</v>
      </c>
      <c r="Z6756">
        <v>-4.8735590000000002E-2</v>
      </c>
      <c r="AA6756">
        <v>0.99877539999999998</v>
      </c>
      <c r="AB6756">
        <v>29</v>
      </c>
      <c r="AC6756">
        <v>0.42480000000000401</v>
      </c>
      <c r="AD6756">
        <v>-1.104873327498</v>
      </c>
      <c r="AE6756">
        <v>22.344849999999902</v>
      </c>
      <c r="AF6756">
        <v>0.19274248309346101</v>
      </c>
      <c r="AG6756">
        <v>-1.104873327498</v>
      </c>
      <c r="AH6756">
        <v>22.2935654041218</v>
      </c>
      <c r="AI6756">
        <v>92.837162375734295</v>
      </c>
      <c r="AJ6756">
        <v>89.504652778816407</v>
      </c>
      <c r="AK6756">
        <v>22.321759634098399</v>
      </c>
    </row>
    <row r="6757" spans="1:37" x14ac:dyDescent="0.2">
      <c r="A6757" t="str">
        <f>"20200111155734755"</f>
        <v>20200111155734755</v>
      </c>
      <c r="B6757" t="str">
        <f>"1578729454750439"</f>
        <v>1578729454750439</v>
      </c>
      <c r="C6757" t="s">
        <v>37</v>
      </c>
      <c r="D6757">
        <v>5.360112</v>
      </c>
      <c r="E6757">
        <v>0.57324430000000004</v>
      </c>
      <c r="F6757" t="s">
        <v>38</v>
      </c>
      <c r="G6757">
        <v>-187.3295</v>
      </c>
      <c r="H6757" s="1">
        <v>-3.9665769999999999E-6</v>
      </c>
      <c r="I6757">
        <v>97.774769999999904</v>
      </c>
      <c r="J6757">
        <v>-188.39349999999999</v>
      </c>
      <c r="K6757">
        <v>1.1048549999999999</v>
      </c>
      <c r="L6757">
        <v>76.817629999999994</v>
      </c>
      <c r="M6757">
        <v>1.047236E-2</v>
      </c>
      <c r="N6757">
        <v>0</v>
      </c>
      <c r="O6757">
        <v>0.99984409999999901</v>
      </c>
      <c r="P6757">
        <v>-4.7384089999999997E-2</v>
      </c>
      <c r="Q6757">
        <v>1.934659E-2</v>
      </c>
      <c r="R6757">
        <v>0.99868939999999995</v>
      </c>
      <c r="S6757">
        <v>0.1514587</v>
      </c>
      <c r="T6757">
        <v>-0.15683359999999999</v>
      </c>
      <c r="U6757">
        <v>3.0146790000000001</v>
      </c>
      <c r="V6757">
        <v>-5.7833429999999998E-2</v>
      </c>
      <c r="W6757">
        <v>3.3545230000000002E-2</v>
      </c>
      <c r="X6757">
        <v>0.9977625</v>
      </c>
      <c r="Y6757">
        <v>3.9646540000000001E-2</v>
      </c>
      <c r="Z6757">
        <v>-5.1895749999999997E-2</v>
      </c>
      <c r="AA6757">
        <v>0.99786520000000001</v>
      </c>
      <c r="AB6757">
        <v>29</v>
      </c>
      <c r="AC6757">
        <v>1.0639999999999901</v>
      </c>
      <c r="AD6757">
        <v>-1.1048589665769999</v>
      </c>
      <c r="AE6757">
        <v>20.9571399999999</v>
      </c>
      <c r="AF6757">
        <v>0.842114198759914</v>
      </c>
      <c r="AG6757">
        <v>-1.1048589665769999</v>
      </c>
      <c r="AH6757">
        <v>20.9091689202933</v>
      </c>
      <c r="AI6757">
        <v>93.022300888971699</v>
      </c>
      <c r="AJ6757">
        <v>87.693666017997302</v>
      </c>
      <c r="AK6757">
        <v>20.9552669894024</v>
      </c>
    </row>
    <row r="6758" spans="1:37" x14ac:dyDescent="0.2">
      <c r="A6758" t="str">
        <f>"20200111155734777"</f>
        <v>20200111155734777</v>
      </c>
      <c r="B6758" t="str">
        <f>"1578729454769958"</f>
        <v>1578729454769958</v>
      </c>
      <c r="C6758" t="s">
        <v>37</v>
      </c>
      <c r="D6758">
        <v>5.2992229999999996</v>
      </c>
      <c r="E6758">
        <v>0.58055080000000003</v>
      </c>
      <c r="F6758" t="s">
        <v>38</v>
      </c>
      <c r="G6758">
        <v>-185.89340000000001</v>
      </c>
      <c r="H6758" s="1">
        <v>-2.7261360000000002E-6</v>
      </c>
      <c r="I6758">
        <v>94.289450000000002</v>
      </c>
      <c r="J6758">
        <v>-188.3903</v>
      </c>
      <c r="K6758">
        <v>1.104849</v>
      </c>
      <c r="L6758">
        <v>77.117279999999994</v>
      </c>
      <c r="M6758">
        <v>1.0596080000000001E-2</v>
      </c>
      <c r="N6758">
        <v>0</v>
      </c>
      <c r="O6758">
        <v>0.99984289999999998</v>
      </c>
      <c r="P6758">
        <v>-4.6683710000000003E-2</v>
      </c>
      <c r="Q6758">
        <v>1.9860039999999999E-2</v>
      </c>
      <c r="R6758">
        <v>0.9987123</v>
      </c>
      <c r="S6758">
        <v>0.43331909999999901</v>
      </c>
      <c r="T6758">
        <v>-0.19149289999999999</v>
      </c>
      <c r="U6758">
        <v>3.0281980000000002</v>
      </c>
      <c r="V6758">
        <v>-5.7255800000000003E-2</v>
      </c>
      <c r="W6758">
        <v>3.4056580000000003E-2</v>
      </c>
      <c r="X6758">
        <v>0.99777850000000001</v>
      </c>
      <c r="Y6758">
        <v>0.13087660000000001</v>
      </c>
      <c r="Z6758">
        <v>-6.2516669999999996E-2</v>
      </c>
      <c r="AA6758">
        <v>0.98942559999999902</v>
      </c>
      <c r="AB6758">
        <v>29</v>
      </c>
      <c r="AC6758">
        <v>2.4968999999999801</v>
      </c>
      <c r="AD6758">
        <v>-1.104851726136</v>
      </c>
      <c r="AE6758">
        <v>17.172169999999898</v>
      </c>
      <c r="AF6758">
        <v>2.3054377587464199</v>
      </c>
      <c r="AG6758">
        <v>-1.104851726136</v>
      </c>
      <c r="AH6758">
        <v>17.128229915703901</v>
      </c>
      <c r="AI6758">
        <v>93.657840460438095</v>
      </c>
      <c r="AJ6758">
        <v>82.334133767435802</v>
      </c>
      <c r="AK6758">
        <v>17.317967566704102</v>
      </c>
    </row>
    <row r="6759" spans="1:37" x14ac:dyDescent="0.2">
      <c r="A6759" t="str">
        <f>"20200111155734800"</f>
        <v>20200111155734800</v>
      </c>
      <c r="B6759" t="str">
        <f>"1578729454790454"</f>
        <v>1578729454790454</v>
      </c>
      <c r="C6759" t="s">
        <v>37</v>
      </c>
      <c r="D6759">
        <v>5.2258279999999999</v>
      </c>
      <c r="E6759">
        <v>0.58380529999999997</v>
      </c>
      <c r="F6759" t="s">
        <v>38</v>
      </c>
      <c r="G6759">
        <v>-185.4332</v>
      </c>
      <c r="H6759" s="1">
        <v>-3.2222299999999998E-6</v>
      </c>
      <c r="I6759">
        <v>95.255560000000003</v>
      </c>
      <c r="J6759">
        <v>-188.3871</v>
      </c>
      <c r="K6759">
        <v>1.1048519999999999</v>
      </c>
      <c r="L6759">
        <v>77.403930000000003</v>
      </c>
      <c r="M6759">
        <v>1.071855E-2</v>
      </c>
      <c r="N6759">
        <v>0</v>
      </c>
      <c r="O6759">
        <v>0.999841599999999</v>
      </c>
      <c r="P6759">
        <v>-4.6954389999999999E-2</v>
      </c>
      <c r="Q6759">
        <v>2.0491099999999901E-2</v>
      </c>
      <c r="R6759">
        <v>0.99868690000000004</v>
      </c>
      <c r="S6759">
        <v>0.49407959999999901</v>
      </c>
      <c r="T6759">
        <v>-0.18460270000000001</v>
      </c>
      <c r="U6759">
        <v>3.0306090000000001</v>
      </c>
      <c r="V6759">
        <v>-5.7647549999999999E-2</v>
      </c>
      <c r="W6759">
        <v>3.4684680000000002E-2</v>
      </c>
      <c r="X6759">
        <v>0.99773429999999996</v>
      </c>
      <c r="Y6759">
        <v>0.15002599999999999</v>
      </c>
      <c r="Z6759">
        <v>-6.0055810000000001E-2</v>
      </c>
      <c r="AA6759">
        <v>0.98685639999999997</v>
      </c>
      <c r="AB6759">
        <v>29</v>
      </c>
      <c r="AC6759">
        <v>2.9539</v>
      </c>
      <c r="AD6759">
        <v>-1.1048552222299901</v>
      </c>
      <c r="AE6759">
        <v>17.85163</v>
      </c>
      <c r="AF6759">
        <v>2.7521063867462998</v>
      </c>
      <c r="AG6759">
        <v>-1.1048552222299901</v>
      </c>
      <c r="AH6759">
        <v>17.815844226114201</v>
      </c>
      <c r="AI6759">
        <v>93.507178486006694</v>
      </c>
      <c r="AJ6759">
        <v>81.218631813555504</v>
      </c>
      <c r="AK6759">
        <v>18.060982811442599</v>
      </c>
    </row>
    <row r="6760" spans="1:37" x14ac:dyDescent="0.2">
      <c r="A6760" t="str">
        <f>"20200111155734821"</f>
        <v>20200111155734821</v>
      </c>
      <c r="B6760" t="str">
        <f>"1578729454809974"</f>
        <v>1578729454809974</v>
      </c>
      <c r="C6760" t="s">
        <v>37</v>
      </c>
      <c r="D6760">
        <v>5.277552</v>
      </c>
      <c r="E6760">
        <v>0.58449099999999998</v>
      </c>
      <c r="F6760" t="s">
        <v>38</v>
      </c>
      <c r="G6760">
        <v>-185.04570000000001</v>
      </c>
      <c r="H6760" s="1">
        <v>-3.9952089999999999E-6</v>
      </c>
      <c r="I6760">
        <v>96.897169999999903</v>
      </c>
      <c r="J6760">
        <v>-188.38399999999999</v>
      </c>
      <c r="K6760">
        <v>1.1048549999999999</v>
      </c>
      <c r="L6760">
        <v>77.685850000000002</v>
      </c>
      <c r="M6760">
        <v>1.083893E-2</v>
      </c>
      <c r="N6760">
        <v>0</v>
      </c>
      <c r="O6760">
        <v>0.99984039999999996</v>
      </c>
      <c r="P6760">
        <v>-4.8195410000000001E-2</v>
      </c>
      <c r="Q6760">
        <v>2.1538450000000001E-2</v>
      </c>
      <c r="R6760">
        <v>0.99860569999999904</v>
      </c>
      <c r="S6760">
        <v>0.51971440000000002</v>
      </c>
      <c r="T6760">
        <v>-0.1718461</v>
      </c>
      <c r="U6760">
        <v>3.0319210000000001</v>
      </c>
      <c r="V6760">
        <v>-5.900789E-2</v>
      </c>
      <c r="W6760">
        <v>3.572736E-2</v>
      </c>
      <c r="X6760">
        <v>0.997618</v>
      </c>
      <c r="Y6760">
        <v>0.15799260000000001</v>
      </c>
      <c r="Z6760">
        <v>-5.5822030000000002E-2</v>
      </c>
      <c r="AA6760">
        <v>0.98586119999999899</v>
      </c>
      <c r="AB6760">
        <v>29</v>
      </c>
      <c r="AC6760">
        <v>3.3382999999999998</v>
      </c>
      <c r="AD6760">
        <v>-1.104858995209</v>
      </c>
      <c r="AE6760">
        <v>19.211319999999901</v>
      </c>
      <c r="AF6760">
        <v>3.1198363045071198</v>
      </c>
      <c r="AG6760">
        <v>-1.104858995209</v>
      </c>
      <c r="AH6760">
        <v>19.184784727278899</v>
      </c>
      <c r="AI6760">
        <v>93.253400475973095</v>
      </c>
      <c r="AJ6760">
        <v>80.763396036568295</v>
      </c>
      <c r="AK6760">
        <v>19.468180628868399</v>
      </c>
    </row>
    <row r="6761" spans="1:37" x14ac:dyDescent="0.2">
      <c r="A6761" t="str">
        <f>"20200111155734844"</f>
        <v>20200111155734844</v>
      </c>
      <c r="B6761" t="str">
        <f>"1578729454840231"</f>
        <v>1578729454840231</v>
      </c>
      <c r="C6761" t="s">
        <v>37</v>
      </c>
      <c r="D6761">
        <v>5.2875120000000004</v>
      </c>
      <c r="E6761">
        <v>0.58561669999999999</v>
      </c>
      <c r="F6761" t="s">
        <v>38</v>
      </c>
      <c r="G6761">
        <v>-184.84540000000001</v>
      </c>
      <c r="H6761" s="1">
        <v>-4.6155070000000001E-6</v>
      </c>
      <c r="I6761">
        <v>98.260269999999906</v>
      </c>
      <c r="J6761">
        <v>-188.38069999999999</v>
      </c>
      <c r="K6761">
        <v>1.104857</v>
      </c>
      <c r="L6761">
        <v>77.978059999999999</v>
      </c>
      <c r="M6761">
        <v>1.096067E-2</v>
      </c>
      <c r="N6761">
        <v>0</v>
      </c>
      <c r="O6761">
        <v>0.99983909999999998</v>
      </c>
      <c r="P6761">
        <v>-4.8774449999999997E-2</v>
      </c>
      <c r="Q6761">
        <v>2.1546550000000001E-2</v>
      </c>
      <c r="R6761">
        <v>0.99857739999999995</v>
      </c>
      <c r="S6761">
        <v>0.52162169999999997</v>
      </c>
      <c r="T6761">
        <v>-0.16286700000000001</v>
      </c>
      <c r="U6761">
        <v>3.032867</v>
      </c>
      <c r="V6761">
        <v>-5.97081E-2</v>
      </c>
      <c r="W6761">
        <v>3.5731640000000002E-2</v>
      </c>
      <c r="X6761">
        <v>0.99757619999999902</v>
      </c>
      <c r="Y6761">
        <v>0.15845039999999999</v>
      </c>
      <c r="Z6761">
        <v>-5.2892710000000003E-2</v>
      </c>
      <c r="AA6761">
        <v>0.98594919999999997</v>
      </c>
      <c r="AB6761">
        <v>29</v>
      </c>
      <c r="AC6761">
        <v>3.5352999999999701</v>
      </c>
      <c r="AD6761">
        <v>-1.1048616155069999</v>
      </c>
      <c r="AE6761">
        <v>20.2822099999999</v>
      </c>
      <c r="AF6761">
        <v>3.3032453432787801</v>
      </c>
      <c r="AG6761">
        <v>-1.1048616155069999</v>
      </c>
      <c r="AH6761">
        <v>20.261392521706401</v>
      </c>
      <c r="AI6761">
        <v>93.080677139194293</v>
      </c>
      <c r="AJ6761">
        <v>80.740446648561104</v>
      </c>
      <c r="AK6761">
        <v>20.558603452228301</v>
      </c>
    </row>
    <row r="6762" spans="1:37" x14ac:dyDescent="0.2">
      <c r="A6762" t="str">
        <f>"20200111155734867"</f>
        <v>20200111155734867</v>
      </c>
      <c r="B6762" t="str">
        <f>"1578729454859750"</f>
        <v>1578729454859750</v>
      </c>
      <c r="C6762" t="s">
        <v>37</v>
      </c>
      <c r="D6762">
        <v>5.220243</v>
      </c>
      <c r="E6762">
        <v>0.58716020000000002</v>
      </c>
      <c r="F6762" t="s">
        <v>38</v>
      </c>
      <c r="G6762">
        <v>-184.8655</v>
      </c>
      <c r="H6762" s="1">
        <v>-4.5674889999999998E-6</v>
      </c>
      <c r="I6762">
        <v>98.156660000000002</v>
      </c>
      <c r="J6762">
        <v>-188.37710000000001</v>
      </c>
      <c r="K6762">
        <v>1.1048629999999999</v>
      </c>
      <c r="L6762">
        <v>78.289280000000005</v>
      </c>
      <c r="M6762">
        <v>1.108664E-2</v>
      </c>
      <c r="N6762">
        <v>0</v>
      </c>
      <c r="O6762">
        <v>0.9998378</v>
      </c>
      <c r="P6762">
        <v>-4.8932009999999998E-2</v>
      </c>
      <c r="Q6762">
        <v>2.2001900000000001E-2</v>
      </c>
      <c r="R6762">
        <v>0.9985598</v>
      </c>
      <c r="S6762">
        <v>0.52847290000000002</v>
      </c>
      <c r="T6762">
        <v>-0.16610539999999999</v>
      </c>
      <c r="U6762">
        <v>3.0336609999999999</v>
      </c>
      <c r="V6762">
        <v>-5.999111E-2</v>
      </c>
      <c r="W6762">
        <v>3.618292E-2</v>
      </c>
      <c r="X6762">
        <v>0.99754290000000001</v>
      </c>
      <c r="Y6762">
        <v>0.1604352</v>
      </c>
      <c r="Z6762">
        <v>-5.390839E-2</v>
      </c>
      <c r="AA6762">
        <v>0.98557320000000004</v>
      </c>
      <c r="AB6762">
        <v>29</v>
      </c>
      <c r="AC6762">
        <v>3.5116000000000098</v>
      </c>
      <c r="AD6762">
        <v>-1.1048675674889901</v>
      </c>
      <c r="AE6762">
        <v>19.867379999999901</v>
      </c>
      <c r="AF6762">
        <v>3.2812589059638801</v>
      </c>
      <c r="AG6762">
        <v>-1.1048675674889901</v>
      </c>
      <c r="AH6762">
        <v>19.8455772697985</v>
      </c>
      <c r="AI6762">
        <v>93.143955793834195</v>
      </c>
      <c r="AJ6762">
        <v>80.611676519040699</v>
      </c>
      <c r="AK6762">
        <v>20.1453302162362</v>
      </c>
    </row>
    <row r="6763" spans="1:37" x14ac:dyDescent="0.2">
      <c r="A6763" t="str">
        <f>"20200111155734890"</f>
        <v>20200111155734890</v>
      </c>
      <c r="B6763" t="str">
        <f>"1578729454880246"</f>
        <v>1578729454880246</v>
      </c>
      <c r="C6763" t="s">
        <v>37</v>
      </c>
      <c r="D6763">
        <v>5.2445300000000001</v>
      </c>
      <c r="E6763">
        <v>0.58842159999999999</v>
      </c>
      <c r="F6763" t="s">
        <v>38</v>
      </c>
      <c r="G6763">
        <v>-184.6113</v>
      </c>
      <c r="H6763" s="1">
        <v>-5.1560159999999999E-6</v>
      </c>
      <c r="I6763">
        <v>99.423410000000004</v>
      </c>
      <c r="J6763">
        <v>-188.37379999999999</v>
      </c>
      <c r="K6763">
        <v>1.104868</v>
      </c>
      <c r="L6763">
        <v>78.576080000000005</v>
      </c>
      <c r="M6763">
        <v>1.120023E-2</v>
      </c>
      <c r="N6763">
        <v>0</v>
      </c>
      <c r="O6763">
        <v>0.99983659999999996</v>
      </c>
      <c r="P6763">
        <v>-4.899916E-2</v>
      </c>
      <c r="Q6763">
        <v>2.3197880000000001E-2</v>
      </c>
      <c r="R6763">
        <v>0.99852940000000001</v>
      </c>
      <c r="S6763">
        <v>0.54067989999999999</v>
      </c>
      <c r="T6763">
        <v>-0.15862979999999999</v>
      </c>
      <c r="U6763">
        <v>3.0343019999999998</v>
      </c>
      <c r="V6763">
        <v>-6.0170649999999999E-2</v>
      </c>
      <c r="W6763">
        <v>3.7375159999999998E-2</v>
      </c>
      <c r="X6763">
        <v>0.99748809999999999</v>
      </c>
      <c r="Y6763">
        <v>0.1641552</v>
      </c>
      <c r="Z6763">
        <v>-5.1444509999999999E-2</v>
      </c>
      <c r="AA6763">
        <v>0.98509219999999897</v>
      </c>
      <c r="AB6763">
        <v>29</v>
      </c>
      <c r="AC6763">
        <v>3.7624999999999802</v>
      </c>
      <c r="AD6763">
        <v>-1.1048731560159999</v>
      </c>
      <c r="AE6763">
        <v>20.847329999999999</v>
      </c>
      <c r="AF6763">
        <v>3.51917264302313</v>
      </c>
      <c r="AG6763">
        <v>-1.1048731560159999</v>
      </c>
      <c r="AH6763">
        <v>20.8315010252159</v>
      </c>
      <c r="AI6763">
        <v>92.9937023770689</v>
      </c>
      <c r="AJ6763">
        <v>80.411263091656494</v>
      </c>
      <c r="AK6763">
        <v>21.155537236049</v>
      </c>
    </row>
    <row r="6764" spans="1:37" x14ac:dyDescent="0.2">
      <c r="A6764" t="str">
        <f>"20200111155734911"</f>
        <v>20200111155734911</v>
      </c>
      <c r="B6764" t="str">
        <f>"1578729454899766"</f>
        <v>1578729454899766</v>
      </c>
      <c r="C6764" t="s">
        <v>37</v>
      </c>
      <c r="D6764">
        <v>5.2029329999999998</v>
      </c>
      <c r="E6764">
        <v>0.58954240000000002</v>
      </c>
      <c r="F6764" t="s">
        <v>38</v>
      </c>
      <c r="G6764">
        <v>-184.28380000000001</v>
      </c>
      <c r="H6764" s="1">
        <v>-2.0181460000000002E-6</v>
      </c>
      <c r="I6764">
        <v>101.1091</v>
      </c>
      <c r="J6764">
        <v>-188.3707</v>
      </c>
      <c r="K6764">
        <v>1.1048690000000001</v>
      </c>
      <c r="L6764">
        <v>78.849059999999994</v>
      </c>
      <c r="M6764">
        <v>1.1307589999999999E-2</v>
      </c>
      <c r="N6764">
        <v>0</v>
      </c>
      <c r="O6764">
        <v>0.99983539999999904</v>
      </c>
      <c r="P6764">
        <v>-4.8563500000000002E-2</v>
      </c>
      <c r="Q6764">
        <v>2.4107030000000002E-2</v>
      </c>
      <c r="R6764">
        <v>0.99852909999999995</v>
      </c>
      <c r="S6764">
        <v>0.55087280000000005</v>
      </c>
      <c r="T6764">
        <v>-0.14881040000000001</v>
      </c>
      <c r="U6764">
        <v>3.0348820000000001</v>
      </c>
      <c r="V6764">
        <v>-5.9842310000000003E-2</v>
      </c>
      <c r="W6764">
        <v>3.8280979999999999E-2</v>
      </c>
      <c r="X6764">
        <v>0.99747350000000001</v>
      </c>
      <c r="Y6764">
        <v>0.16724939999999999</v>
      </c>
      <c r="Z6764">
        <v>-4.823181E-2</v>
      </c>
      <c r="AA6764">
        <v>0.98473409999999995</v>
      </c>
      <c r="AB6764">
        <v>29</v>
      </c>
      <c r="AC6764">
        <v>4.0868999999999804</v>
      </c>
      <c r="AD6764">
        <v>-1.104871018146</v>
      </c>
      <c r="AE6764">
        <v>22.26004</v>
      </c>
      <c r="AF6764">
        <v>3.82578802794895</v>
      </c>
      <c r="AG6764">
        <v>-1.104871018146</v>
      </c>
      <c r="AH6764">
        <v>22.251802148378001</v>
      </c>
      <c r="AI6764">
        <v>92.801539772172106</v>
      </c>
      <c r="AJ6764">
        <v>80.244424993631498</v>
      </c>
      <c r="AK6764">
        <v>22.605311164682</v>
      </c>
    </row>
    <row r="6765" spans="1:37" x14ac:dyDescent="0.2">
      <c r="A6765" t="str">
        <f>"20200111155734933"</f>
        <v>20200111155734933</v>
      </c>
      <c r="B6765" t="str">
        <f>"1578729454930022"</f>
        <v>1578729454930022</v>
      </c>
      <c r="C6765" t="s">
        <v>37</v>
      </c>
      <c r="D6765">
        <v>5.3594629999999999</v>
      </c>
      <c r="E6765">
        <v>0.59029030000000005</v>
      </c>
      <c r="F6765" t="s">
        <v>38</v>
      </c>
      <c r="G6765">
        <v>-184.01669999999999</v>
      </c>
      <c r="H6765" s="1">
        <v>-2.5280420000000001E-6</v>
      </c>
      <c r="I6765">
        <v>102.3986</v>
      </c>
      <c r="J6765">
        <v>-188.3672</v>
      </c>
      <c r="K6765">
        <v>1.1048709999999999</v>
      </c>
      <c r="L6765">
        <v>79.144469999999998</v>
      </c>
      <c r="M6765">
        <v>1.1423529999999999E-2</v>
      </c>
      <c r="N6765">
        <v>0</v>
      </c>
      <c r="O6765">
        <v>0.99983409999999995</v>
      </c>
      <c r="P6765">
        <v>-4.8612990000000002E-2</v>
      </c>
      <c r="Q6765">
        <v>2.4634690000000001E-2</v>
      </c>
      <c r="R6765">
        <v>0.99851389999999995</v>
      </c>
      <c r="S6765">
        <v>0.56115719999999902</v>
      </c>
      <c r="T6765">
        <v>-0.1423999</v>
      </c>
      <c r="U6765">
        <v>3.0351560000000002</v>
      </c>
      <c r="V6765">
        <v>-6.0007079999999997E-2</v>
      </c>
      <c r="W6765">
        <v>3.8805569999999998E-2</v>
      </c>
      <c r="X6765">
        <v>0.99744339999999998</v>
      </c>
      <c r="Y6765">
        <v>0.17036499999999999</v>
      </c>
      <c r="Z6765">
        <v>-4.6128130000000003E-2</v>
      </c>
      <c r="AA6765">
        <v>0.98430069999999903</v>
      </c>
      <c r="AB6765">
        <v>29</v>
      </c>
      <c r="AC6765">
        <v>4.35050000000001</v>
      </c>
      <c r="AD6765">
        <v>-1.1048735280419999</v>
      </c>
      <c r="AE6765">
        <v>23.25413</v>
      </c>
      <c r="AF6765">
        <v>4.07565549059888</v>
      </c>
      <c r="AG6765">
        <v>-1.1048735280419999</v>
      </c>
      <c r="AH6765">
        <v>23.251600338460999</v>
      </c>
      <c r="AI6765">
        <v>92.679749230034602</v>
      </c>
      <c r="AJ6765">
        <v>80.057914235520599</v>
      </c>
      <c r="AK6765">
        <v>23.631940916702899</v>
      </c>
    </row>
    <row r="6766" spans="1:37" x14ac:dyDescent="0.2">
      <c r="A6766" t="str">
        <f>"20200111155734956"</f>
        <v>20200111155734956</v>
      </c>
      <c r="B6766" t="str">
        <f>"1578729454950519"</f>
        <v>1578729454950519</v>
      </c>
      <c r="C6766" t="s">
        <v>37</v>
      </c>
      <c r="D6766">
        <v>5.4435149999999997</v>
      </c>
      <c r="E6766">
        <v>0.58997540000000004</v>
      </c>
      <c r="F6766" t="s">
        <v>38</v>
      </c>
      <c r="G6766">
        <v>-183.93610000000001</v>
      </c>
      <c r="H6766" s="1">
        <v>-2.7097089999999899E-6</v>
      </c>
      <c r="I6766">
        <v>102.8695</v>
      </c>
      <c r="J6766">
        <v>-188.36359999999999</v>
      </c>
      <c r="K6766">
        <v>1.104873</v>
      </c>
      <c r="L6766">
        <v>79.443969999999993</v>
      </c>
      <c r="M6766">
        <v>1.1541589999999999E-2</v>
      </c>
      <c r="N6766">
        <v>0</v>
      </c>
      <c r="O6766">
        <v>0.99983279999999997</v>
      </c>
      <c r="P6766">
        <v>-4.900873E-2</v>
      </c>
      <c r="Q6766">
        <v>2.4900450000000001E-2</v>
      </c>
      <c r="R6766">
        <v>0.99848789999999998</v>
      </c>
      <c r="S6766">
        <v>0.5669556</v>
      </c>
      <c r="T6766">
        <v>-0.1413672</v>
      </c>
      <c r="U6766">
        <v>3.0355829999999999</v>
      </c>
      <c r="V6766">
        <v>-6.0520119999999997E-2</v>
      </c>
      <c r="W6766">
        <v>3.9067169999999998E-2</v>
      </c>
      <c r="X6766">
        <v>0.99740209999999996</v>
      </c>
      <c r="Y6766">
        <v>0.172044</v>
      </c>
      <c r="Z6766">
        <v>-4.5773260000000003E-2</v>
      </c>
      <c r="AA6766">
        <v>0.98402520000000004</v>
      </c>
      <c r="AB6766">
        <v>29</v>
      </c>
      <c r="AC6766">
        <v>4.4274999999999798</v>
      </c>
      <c r="AD6766">
        <v>-1.1048757097090001</v>
      </c>
      <c r="AE6766">
        <v>23.425529999999998</v>
      </c>
      <c r="AF6766">
        <v>4.1479008953505598</v>
      </c>
      <c r="AG6766">
        <v>-1.1048757097090001</v>
      </c>
      <c r="AH6766">
        <v>23.424761963332401</v>
      </c>
      <c r="AI6766">
        <v>92.659162085977499</v>
      </c>
      <c r="AJ6766">
        <v>79.958531399719107</v>
      </c>
      <c r="AK6766">
        <v>23.814812726753502</v>
      </c>
    </row>
    <row r="6767" spans="1:37" x14ac:dyDescent="0.2">
      <c r="A6767" t="str">
        <f>"20200111155734979"</f>
        <v>20200111155734979</v>
      </c>
      <c r="B6767" t="str">
        <f>"1578729454970038"</f>
        <v>1578729454970038</v>
      </c>
      <c r="C6767" t="s">
        <v>37</v>
      </c>
      <c r="D6767">
        <v>5.3640910000000002</v>
      </c>
      <c r="E6767">
        <v>0.5897329</v>
      </c>
      <c r="F6767" t="s">
        <v>38</v>
      </c>
      <c r="G6767">
        <v>-184.0598</v>
      </c>
      <c r="H6767" s="1">
        <v>-2.5976400000000002E-6</v>
      </c>
      <c r="I6767">
        <v>102.6369</v>
      </c>
      <c r="J6767">
        <v>-188.36019999999999</v>
      </c>
      <c r="K6767">
        <v>1.1048789999999999</v>
      </c>
      <c r="L6767">
        <v>79.734650000000002</v>
      </c>
      <c r="M6767">
        <v>1.165602E-2</v>
      </c>
      <c r="N6767">
        <v>0</v>
      </c>
      <c r="O6767">
        <v>0.99983149999999998</v>
      </c>
      <c r="P6767">
        <v>-4.9180090000000003E-2</v>
      </c>
      <c r="Q6767">
        <v>2.5288040000000001E-2</v>
      </c>
      <c r="R6767">
        <v>0.99846979999999996</v>
      </c>
      <c r="S6767">
        <v>0.56333919999999904</v>
      </c>
      <c r="T6767">
        <v>-0.14462069999999999</v>
      </c>
      <c r="U6767">
        <v>3.0357970000000001</v>
      </c>
      <c r="V6767">
        <v>-6.080551E-2</v>
      </c>
      <c r="W6767">
        <v>3.9450720000000002E-2</v>
      </c>
      <c r="X6767">
        <v>0.99736970000000003</v>
      </c>
      <c r="Y6767">
        <v>0.17077679999999901</v>
      </c>
      <c r="Z6767">
        <v>-4.6831329999999997E-2</v>
      </c>
      <c r="AA6767">
        <v>0.98419619999999997</v>
      </c>
      <c r="AB6767">
        <v>29</v>
      </c>
      <c r="AC6767">
        <v>4.30039999999999</v>
      </c>
      <c r="AD6767">
        <v>-1.1048815976399999</v>
      </c>
      <c r="AE6767">
        <v>22.902249999999899</v>
      </c>
      <c r="AF6767">
        <v>4.02408509680237</v>
      </c>
      <c r="AG6767">
        <v>-1.1048815976399999</v>
      </c>
      <c r="AH6767">
        <v>22.8993431446263</v>
      </c>
      <c r="AI6767">
        <v>92.720724245964405</v>
      </c>
      <c r="AJ6767">
        <v>80.033216451559596</v>
      </c>
      <c r="AK6767">
        <v>23.276467529813299</v>
      </c>
    </row>
    <row r="6768" spans="1:37" x14ac:dyDescent="0.2">
      <c r="A6768" t="str">
        <f>"20200111155735000"</f>
        <v>20200111155735000</v>
      </c>
      <c r="B6768" t="str">
        <f>"1578729454990534"</f>
        <v>1578729454990534</v>
      </c>
      <c r="C6768" t="s">
        <v>37</v>
      </c>
      <c r="D6768">
        <v>5.3471659999999996</v>
      </c>
      <c r="E6768">
        <v>0.58955259999999998</v>
      </c>
      <c r="F6768" t="s">
        <v>38</v>
      </c>
      <c r="G6768">
        <v>-184.17609999999999</v>
      </c>
      <c r="H6768" s="1">
        <v>-2.480761E-6</v>
      </c>
      <c r="I6768">
        <v>102.3843</v>
      </c>
      <c r="J6768">
        <v>-188.35679999999999</v>
      </c>
      <c r="K6768">
        <v>1.104878</v>
      </c>
      <c r="L6768">
        <v>80.011539999999997</v>
      </c>
      <c r="M6768">
        <v>1.176524E-2</v>
      </c>
      <c r="N6768">
        <v>0</v>
      </c>
      <c r="O6768">
        <v>0.99983029999999995</v>
      </c>
      <c r="P6768">
        <v>-4.9485920000000003E-2</v>
      </c>
      <c r="Q6768">
        <v>2.5694939999999999E-2</v>
      </c>
      <c r="R6768">
        <v>0.99844429999999995</v>
      </c>
      <c r="S6768">
        <v>0.56083680000000002</v>
      </c>
      <c r="T6768">
        <v>-0.14809910000000001</v>
      </c>
      <c r="U6768">
        <v>3.0359799999999999</v>
      </c>
      <c r="V6768">
        <v>-6.1220179999999999E-2</v>
      </c>
      <c r="W6768">
        <v>3.9854279999999999E-2</v>
      </c>
      <c r="X6768">
        <v>0.99732829999999995</v>
      </c>
      <c r="Y6768">
        <v>0.1698644</v>
      </c>
      <c r="Z6768">
        <v>-4.7959540000000002E-2</v>
      </c>
      <c r="AA6768">
        <v>0.984299699999999</v>
      </c>
      <c r="AB6768">
        <v>29</v>
      </c>
      <c r="AC6768">
        <v>4.1806999999999999</v>
      </c>
      <c r="AD6768">
        <v>-1.104880480761</v>
      </c>
      <c r="AE6768">
        <v>22.37276</v>
      </c>
      <c r="AF6768">
        <v>3.9079537718884998</v>
      </c>
      <c r="AG6768">
        <v>-1.104880480761</v>
      </c>
      <c r="AH6768">
        <v>22.3676914668103</v>
      </c>
      <c r="AI6768">
        <v>92.785768868590594</v>
      </c>
      <c r="AJ6768">
        <v>80.089642688987993</v>
      </c>
      <c r="AK6768">
        <v>22.7333782160594</v>
      </c>
    </row>
    <row r="6769" spans="1:37" x14ac:dyDescent="0.2">
      <c r="A6769" t="str">
        <f>"20200111155735022"</f>
        <v>20200111155735022</v>
      </c>
      <c r="B6769" t="str">
        <f>"1578729455010054"</f>
        <v>1578729455010054</v>
      </c>
      <c r="C6769" t="s">
        <v>37</v>
      </c>
      <c r="D6769">
        <v>5.3548530000000003</v>
      </c>
      <c r="E6769">
        <v>0.58947360000000004</v>
      </c>
      <c r="F6769" t="s">
        <v>38</v>
      </c>
      <c r="G6769">
        <v>-184.26820000000001</v>
      </c>
      <c r="H6769" s="1">
        <v>-2.41045999999999E-6</v>
      </c>
      <c r="I6769">
        <v>102.24979999999999</v>
      </c>
      <c r="J6769">
        <v>-188.35339999999999</v>
      </c>
      <c r="K6769">
        <v>1.1048830000000001</v>
      </c>
      <c r="L6769">
        <v>80.293000000000006</v>
      </c>
      <c r="M6769">
        <v>1.187625E-2</v>
      </c>
      <c r="N6769">
        <v>0</v>
      </c>
      <c r="O6769">
        <v>0.99982899999999997</v>
      </c>
      <c r="P6769">
        <v>-4.9324989999999999E-2</v>
      </c>
      <c r="Q6769">
        <v>2.6180180000000001E-2</v>
      </c>
      <c r="R6769">
        <v>0.99843959999999998</v>
      </c>
      <c r="S6769">
        <v>0.55822749999999999</v>
      </c>
      <c r="T6769">
        <v>-0.15085109999999999</v>
      </c>
      <c r="U6769">
        <v>3.0362239999999998</v>
      </c>
      <c r="V6769">
        <v>-6.1170019999999999E-2</v>
      </c>
      <c r="W6769">
        <v>4.033598E-2</v>
      </c>
      <c r="X6769">
        <v>0.99731199999999998</v>
      </c>
      <c r="Y6769">
        <v>0.1689148</v>
      </c>
      <c r="Z6769">
        <v>-4.8852439999999997E-2</v>
      </c>
      <c r="AA6769">
        <v>0.98441919999999905</v>
      </c>
      <c r="AB6769">
        <v>29</v>
      </c>
      <c r="AC6769">
        <v>4.08519999999998</v>
      </c>
      <c r="AD6769">
        <v>-1.1048854104600001</v>
      </c>
      <c r="AE6769">
        <v>21.956799999999902</v>
      </c>
      <c r="AF6769">
        <v>3.81478462709345</v>
      </c>
      <c r="AG6769">
        <v>-1.1048854104600001</v>
      </c>
      <c r="AH6769">
        <v>21.950050893392401</v>
      </c>
      <c r="AI6769">
        <v>92.839141206417395</v>
      </c>
      <c r="AJ6769">
        <v>80.140820018064403</v>
      </c>
      <c r="AK6769">
        <v>22.306458431222801</v>
      </c>
    </row>
    <row r="6770" spans="1:37" x14ac:dyDescent="0.2">
      <c r="A6770" t="str">
        <f>"20200111155735045"</f>
        <v>20200111155735045</v>
      </c>
      <c r="B6770" t="str">
        <f>"1578729455040365"</f>
        <v>1578729455040365</v>
      </c>
      <c r="C6770" t="s">
        <v>37</v>
      </c>
      <c r="D6770">
        <v>5.3947529999999997</v>
      </c>
      <c r="E6770">
        <v>0.58943950000000001</v>
      </c>
      <c r="F6770" t="s">
        <v>38</v>
      </c>
      <c r="G6770">
        <v>-184.2971</v>
      </c>
      <c r="H6770" s="1">
        <v>-2.4405350000000001E-6</v>
      </c>
      <c r="I6770">
        <v>102.3608</v>
      </c>
      <c r="J6770">
        <v>-188.34979999999999</v>
      </c>
      <c r="K6770">
        <v>1.104884</v>
      </c>
      <c r="L6770">
        <v>80.588380000000001</v>
      </c>
      <c r="M6770">
        <v>1.199273E-2</v>
      </c>
      <c r="N6770">
        <v>0</v>
      </c>
      <c r="O6770">
        <v>0.99982769999999999</v>
      </c>
      <c r="P6770">
        <v>-4.9101310000000002E-2</v>
      </c>
      <c r="Q6770">
        <v>2.5926399999999999E-2</v>
      </c>
      <c r="R6770">
        <v>0.99845729999999999</v>
      </c>
      <c r="S6770">
        <v>0.55809019999999898</v>
      </c>
      <c r="T6770">
        <v>-0.1520185</v>
      </c>
      <c r="U6770">
        <v>3.0362550000000001</v>
      </c>
      <c r="V6770">
        <v>-6.1062699999999998E-2</v>
      </c>
      <c r="W6770">
        <v>4.0079169999999997E-2</v>
      </c>
      <c r="X6770">
        <v>0.99732889999999996</v>
      </c>
      <c r="Y6770">
        <v>0.16875179999999901</v>
      </c>
      <c r="Z6770">
        <v>-4.9229889999999998E-2</v>
      </c>
      <c r="AA6770">
        <v>0.98442839999999998</v>
      </c>
      <c r="AB6770">
        <v>29</v>
      </c>
      <c r="AC6770">
        <v>4.0526999999999802</v>
      </c>
      <c r="AD6770">
        <v>-1.1048864405350001</v>
      </c>
      <c r="AE6770">
        <v>21.77242</v>
      </c>
      <c r="AF6770">
        <v>3.7818583813118898</v>
      </c>
      <c r="AG6770">
        <v>-1.1048864405350001</v>
      </c>
      <c r="AH6770">
        <v>21.765287374446</v>
      </c>
      <c r="AI6770">
        <v>92.863223208842996</v>
      </c>
      <c r="AJ6770">
        <v>80.142903783221698</v>
      </c>
      <c r="AK6770">
        <v>22.119018092017399</v>
      </c>
    </row>
    <row r="6771" spans="1:37" x14ac:dyDescent="0.2">
      <c r="A6771" t="str">
        <f>"20200111155735080"</f>
        <v>20200111155735080</v>
      </c>
      <c r="B6771" t="str">
        <f>"1578729455069644"</f>
        <v>1578729455069644</v>
      </c>
      <c r="C6771" t="s">
        <v>37</v>
      </c>
      <c r="D6771">
        <v>5.3814830000000002</v>
      </c>
      <c r="E6771">
        <v>0.58928530000000001</v>
      </c>
      <c r="F6771" t="s">
        <v>38</v>
      </c>
      <c r="G6771">
        <v>-184.42949999999999</v>
      </c>
      <c r="H6771" s="1">
        <v>-2.2488419999999999E-6</v>
      </c>
      <c r="I6771">
        <v>101.90089999999999</v>
      </c>
      <c r="J6771">
        <v>-188.3442</v>
      </c>
      <c r="K6771">
        <v>1.1048750000000001</v>
      </c>
      <c r="L6771">
        <v>81.032780000000002</v>
      </c>
      <c r="M6771">
        <v>1.2168409999999999E-2</v>
      </c>
      <c r="N6771">
        <v>0</v>
      </c>
      <c r="O6771">
        <v>0.99982559999999998</v>
      </c>
      <c r="P6771">
        <v>-4.7913419999999998E-2</v>
      </c>
      <c r="Q6771">
        <v>2.3477540000000002E-2</v>
      </c>
      <c r="R6771">
        <v>0.99857559999999901</v>
      </c>
      <c r="S6771">
        <v>0.55848690000000001</v>
      </c>
      <c r="T6771">
        <v>-0.1574024</v>
      </c>
      <c r="U6771">
        <v>3.0361940000000001</v>
      </c>
      <c r="V6771">
        <v>-6.0052109999999999E-2</v>
      </c>
      <c r="W6771">
        <v>3.762675E-2</v>
      </c>
      <c r="X6771">
        <v>0.99748579999999998</v>
      </c>
      <c r="Y6771">
        <v>0.1686908</v>
      </c>
      <c r="Z6771">
        <v>-5.0969380000000002E-2</v>
      </c>
      <c r="AA6771">
        <v>0.98435030000000001</v>
      </c>
      <c r="AB6771">
        <v>29</v>
      </c>
      <c r="AC6771">
        <v>3.9147000000000101</v>
      </c>
      <c r="AD6771">
        <v>-1.104877248842</v>
      </c>
      <c r="AE6771">
        <v>20.868119999999902</v>
      </c>
      <c r="AF6771">
        <v>3.6505672190516298</v>
      </c>
      <c r="AG6771">
        <v>-1.104877248842</v>
      </c>
      <c r="AH6771">
        <v>20.857733373376899</v>
      </c>
      <c r="AI6771">
        <v>92.986922106417794</v>
      </c>
      <c r="AJ6771">
        <v>80.072518097183703</v>
      </c>
      <c r="AK6771">
        <v>21.203594889327199</v>
      </c>
    </row>
    <row r="6772" spans="1:37" x14ac:dyDescent="0.2">
      <c r="A6772" t="str">
        <f>"20200111155735100"</f>
        <v>20200111155735100</v>
      </c>
      <c r="B6772" t="str">
        <f>"1578729455090140"</f>
        <v>1578729455090140</v>
      </c>
      <c r="C6772" t="s">
        <v>37</v>
      </c>
      <c r="D6772">
        <v>5.380477</v>
      </c>
      <c r="E6772">
        <v>0.58919279999999996</v>
      </c>
      <c r="F6772" t="s">
        <v>38</v>
      </c>
      <c r="G6772">
        <v>-184.6866</v>
      </c>
      <c r="H6772" s="1">
        <v>-1.815391E-6</v>
      </c>
      <c r="I6772">
        <v>100.8283</v>
      </c>
      <c r="J6772">
        <v>-188.3408</v>
      </c>
      <c r="K6772">
        <v>1.1048739999999999</v>
      </c>
      <c r="L6772">
        <v>81.304349999999999</v>
      </c>
      <c r="M6772">
        <v>1.227572E-2</v>
      </c>
      <c r="N6772">
        <v>0</v>
      </c>
      <c r="O6772">
        <v>0.9998243</v>
      </c>
      <c r="P6772">
        <v>-4.7771760000000003E-2</v>
      </c>
      <c r="Q6772">
        <v>2.2565370000000001E-2</v>
      </c>
      <c r="R6772">
        <v>0.99860329999999997</v>
      </c>
      <c r="S6772">
        <v>0.56080629999999998</v>
      </c>
      <c r="T6772">
        <v>-0.1694058</v>
      </c>
      <c r="U6772">
        <v>3.0351560000000002</v>
      </c>
      <c r="V6772">
        <v>-6.0018009999999997E-2</v>
      </c>
      <c r="W6772">
        <v>3.6712330000000001E-2</v>
      </c>
      <c r="X6772">
        <v>0.99752189999999996</v>
      </c>
      <c r="Y6772">
        <v>0.16933489999999901</v>
      </c>
      <c r="Z6772">
        <v>-5.4856309999999998E-2</v>
      </c>
      <c r="AA6772">
        <v>0.98403069999999904</v>
      </c>
      <c r="AB6772">
        <v>29</v>
      </c>
      <c r="AC6772">
        <v>3.6541999999999999</v>
      </c>
      <c r="AD6772">
        <v>-1.1048758153910001</v>
      </c>
      <c r="AE6772">
        <v>19.523949999999999</v>
      </c>
      <c r="AF6772">
        <v>3.40369852760834</v>
      </c>
      <c r="AG6772">
        <v>-1.1048758153910001</v>
      </c>
      <c r="AH6772">
        <v>19.5069839121638</v>
      </c>
      <c r="AI6772">
        <v>93.193621092023605</v>
      </c>
      <c r="AJ6772">
        <v>80.102323549336006</v>
      </c>
      <c r="AK6772">
        <v>19.8325070423206</v>
      </c>
    </row>
    <row r="6773" spans="1:37" x14ac:dyDescent="0.2">
      <c r="A6773" t="str">
        <f>"20200111155735124"</f>
        <v>20200111155735124</v>
      </c>
      <c r="B6773" t="str">
        <f>"1578729455120397"</f>
        <v>1578729455120397</v>
      </c>
      <c r="C6773" t="s">
        <v>37</v>
      </c>
      <c r="D6773">
        <v>5.3627560000000001</v>
      </c>
      <c r="E6773">
        <v>0.58927459999999998</v>
      </c>
      <c r="F6773" t="s">
        <v>38</v>
      </c>
      <c r="G6773">
        <v>-184.79519999999999</v>
      </c>
      <c r="H6773" s="1">
        <v>-1.678551E-6</v>
      </c>
      <c r="I6773">
        <v>100.5111</v>
      </c>
      <c r="J6773">
        <v>-188.33699999999999</v>
      </c>
      <c r="K6773">
        <v>1.104868</v>
      </c>
      <c r="L6773">
        <v>81.605959999999996</v>
      </c>
      <c r="M6773">
        <v>1.239525E-2</v>
      </c>
      <c r="N6773">
        <v>0</v>
      </c>
      <c r="O6773">
        <v>0.99982289999999996</v>
      </c>
      <c r="P6773">
        <v>-4.7609970000000001E-2</v>
      </c>
      <c r="Q6773">
        <v>2.2459839999999998E-2</v>
      </c>
      <c r="R6773">
        <v>0.99861350000000004</v>
      </c>
      <c r="S6773">
        <v>0.56025700000000001</v>
      </c>
      <c r="T6773">
        <v>-0.1745864</v>
      </c>
      <c r="U6773">
        <v>3.0349430000000002</v>
      </c>
      <c r="V6773">
        <v>-5.997591E-2</v>
      </c>
      <c r="W6773">
        <v>3.6603199999999898E-2</v>
      </c>
      <c r="X6773">
        <v>0.99752850000000004</v>
      </c>
      <c r="Y6773">
        <v>0.1690402</v>
      </c>
      <c r="Z6773">
        <v>-5.6534639999999997E-2</v>
      </c>
      <c r="AA6773">
        <v>0.98398639999999904</v>
      </c>
      <c r="AB6773">
        <v>29</v>
      </c>
      <c r="AC6773">
        <v>3.5418000000000198</v>
      </c>
      <c r="AD6773">
        <v>-1.1048696785509999</v>
      </c>
      <c r="AE6773">
        <v>18.905139999999999</v>
      </c>
      <c r="AF6773">
        <v>3.2962934801859798</v>
      </c>
      <c r="AG6773">
        <v>-1.1048696785509999</v>
      </c>
      <c r="AH6773">
        <v>18.885276602689601</v>
      </c>
      <c r="AI6773">
        <v>93.298477328772805</v>
      </c>
      <c r="AJ6773">
        <v>80.099160670149303</v>
      </c>
      <c r="AK6773">
        <v>19.2026029504907</v>
      </c>
    </row>
    <row r="6774" spans="1:37" x14ac:dyDescent="0.2">
      <c r="A6774" t="str">
        <f>"20200111155735146"</f>
        <v>20200111155735146</v>
      </c>
      <c r="B6774" t="str">
        <f>"1578729455139917"</f>
        <v>1578729455139917</v>
      </c>
      <c r="C6774" t="s">
        <v>37</v>
      </c>
      <c r="D6774">
        <v>5.348338</v>
      </c>
      <c r="E6774">
        <v>0.58984110000000001</v>
      </c>
      <c r="F6774" t="s">
        <v>38</v>
      </c>
      <c r="G6774">
        <v>-184.84110000000001</v>
      </c>
      <c r="H6774" s="1">
        <v>-1.663477E-6</v>
      </c>
      <c r="I6774">
        <v>100.5026</v>
      </c>
      <c r="J6774">
        <v>-188.33330000000001</v>
      </c>
      <c r="K6774">
        <v>1.104867</v>
      </c>
      <c r="L6774">
        <v>81.891970000000001</v>
      </c>
      <c r="M6774">
        <v>1.250855E-2</v>
      </c>
      <c r="N6774">
        <v>0</v>
      </c>
      <c r="O6774">
        <v>0.99982150000000003</v>
      </c>
      <c r="P6774">
        <v>-4.8168469999999998E-2</v>
      </c>
      <c r="Q6774">
        <v>2.17472999999999E-2</v>
      </c>
      <c r="R6774">
        <v>0.998602399999999</v>
      </c>
      <c r="S6774">
        <v>0.56146240000000003</v>
      </c>
      <c r="T6774">
        <v>-0.1774482</v>
      </c>
      <c r="U6774">
        <v>3.0349119999999998</v>
      </c>
      <c r="V6774">
        <v>-6.0647689999999997E-2</v>
      </c>
      <c r="W6774">
        <v>3.5887950000000002E-2</v>
      </c>
      <c r="X6774">
        <v>0.99751389999999995</v>
      </c>
      <c r="Y6774">
        <v>0.1692987</v>
      </c>
      <c r="Z6774">
        <v>-5.7455399999999997E-2</v>
      </c>
      <c r="AA6774">
        <v>0.9838886</v>
      </c>
      <c r="AB6774">
        <v>29</v>
      </c>
      <c r="AC6774">
        <v>3.4921999999999902</v>
      </c>
      <c r="AD6774">
        <v>-1.104868663477</v>
      </c>
      <c r="AE6774">
        <v>18.61063</v>
      </c>
      <c r="AF6774">
        <v>3.2480529659488</v>
      </c>
      <c r="AG6774">
        <v>-1.104868663477</v>
      </c>
      <c r="AH6774">
        <v>18.589569772930201</v>
      </c>
      <c r="AI6774">
        <v>93.350722163588102</v>
      </c>
      <c r="AJ6774">
        <v>80.089072096802298</v>
      </c>
      <c r="AK6774">
        <v>18.903509916832501</v>
      </c>
    </row>
    <row r="6775" spans="1:37" x14ac:dyDescent="0.2">
      <c r="A6775" t="str">
        <f>"20200111155735169"</f>
        <v>20200111155735169</v>
      </c>
      <c r="B6775" t="str">
        <f>"1578729455160413"</f>
        <v>1578729455160413</v>
      </c>
      <c r="C6775" t="s">
        <v>37</v>
      </c>
      <c r="D6775">
        <v>5.3754749999999998</v>
      </c>
      <c r="E6775">
        <v>0.55239300000000002</v>
      </c>
      <c r="F6775" t="s">
        <v>38</v>
      </c>
      <c r="G6775">
        <v>-184.88630000000001</v>
      </c>
      <c r="H6775" s="1">
        <v>-1.629114E-6</v>
      </c>
      <c r="I6775">
        <v>100.437</v>
      </c>
      <c r="J6775">
        <v>-188.3295</v>
      </c>
      <c r="K6775">
        <v>1.104865</v>
      </c>
      <c r="L6775">
        <v>82.179500000000004</v>
      </c>
      <c r="M6775">
        <v>1.2622120000000001E-2</v>
      </c>
      <c r="N6775">
        <v>0</v>
      </c>
      <c r="O6775">
        <v>0.99982039999999905</v>
      </c>
      <c r="P6775">
        <v>-4.8340069999999999E-2</v>
      </c>
      <c r="Q6775">
        <v>2.1464090000000002E-2</v>
      </c>
      <c r="R6775">
        <v>0.9986003</v>
      </c>
      <c r="S6775">
        <v>0.56417850000000003</v>
      </c>
      <c r="T6775">
        <v>-0.18083769999999999</v>
      </c>
      <c r="U6775">
        <v>3.035339</v>
      </c>
      <c r="V6775">
        <v>-6.0932769999999997E-2</v>
      </c>
      <c r="W6775">
        <v>3.5590589999999998E-2</v>
      </c>
      <c r="X6775">
        <v>0.99750720000000004</v>
      </c>
      <c r="Y6775">
        <v>0.1700016</v>
      </c>
      <c r="Z6775">
        <v>-5.8532590000000002E-2</v>
      </c>
      <c r="AA6775">
        <v>0.98370389999999996</v>
      </c>
      <c r="AB6775">
        <v>29</v>
      </c>
      <c r="AC6775">
        <v>3.4431999999999898</v>
      </c>
      <c r="AD6775">
        <v>-1.1048666291139999</v>
      </c>
      <c r="AE6775">
        <v>18.2575</v>
      </c>
      <c r="AF6775">
        <v>3.2011338360523398</v>
      </c>
      <c r="AG6775">
        <v>-1.1048666291139999</v>
      </c>
      <c r="AH6775">
        <v>18.235024108106899</v>
      </c>
      <c r="AI6775">
        <v>93.415234390110101</v>
      </c>
      <c r="AJ6775">
        <v>80.043256196115294</v>
      </c>
      <c r="AK6775">
        <v>18.546808143928398</v>
      </c>
    </row>
    <row r="6776" spans="1:37" x14ac:dyDescent="0.2">
      <c r="A6776" t="str">
        <f>"20200111155735189"</f>
        <v>20200111155735189</v>
      </c>
      <c r="B6776" t="str">
        <f>"1578729455179931"</f>
        <v>1578729455179931</v>
      </c>
      <c r="C6776" t="s">
        <v>37</v>
      </c>
      <c r="D6776">
        <v>5.3077180000000004</v>
      </c>
      <c r="E6776">
        <v>0.55221030000000004</v>
      </c>
      <c r="F6776" t="s">
        <v>40</v>
      </c>
      <c r="G6776">
        <v>-188.26339999999999</v>
      </c>
      <c r="H6776">
        <v>0.93529379999999995</v>
      </c>
      <c r="I6776">
        <v>82.974609999999998</v>
      </c>
      <c r="J6776">
        <v>-188.32599999999999</v>
      </c>
      <c r="K6776">
        <v>1.104851</v>
      </c>
      <c r="L6776">
        <v>82.450130000000001</v>
      </c>
      <c r="M6776">
        <v>1.2733889999999999E-2</v>
      </c>
      <c r="N6776">
        <v>0</v>
      </c>
      <c r="O6776">
        <v>0.99981989999999998</v>
      </c>
      <c r="P6776">
        <v>-4.8844270000000002E-2</v>
      </c>
      <c r="Q6776">
        <v>2.1248099999999999E-2</v>
      </c>
      <c r="R6776">
        <v>0.99858040000000003</v>
      </c>
      <c r="S6776">
        <v>0.25129699999999999</v>
      </c>
      <c r="T6776">
        <v>-0.64626609999999995</v>
      </c>
      <c r="U6776">
        <v>3.03027299999999</v>
      </c>
      <c r="V6776">
        <v>-6.1548400000000003E-2</v>
      </c>
      <c r="W6776">
        <v>3.5304189999999999E-2</v>
      </c>
      <c r="X6776">
        <v>0.99747949999999996</v>
      </c>
      <c r="Y6776">
        <v>6.8139980000000003E-2</v>
      </c>
      <c r="Z6776">
        <v>-0.207971299999999</v>
      </c>
      <c r="AA6776">
        <v>0.97575859999999903</v>
      </c>
      <c r="AB6776">
        <v>29</v>
      </c>
      <c r="AC6776">
        <v>6.2600000000003306E-2</v>
      </c>
      <c r="AD6776">
        <v>-0.16955719999999899</v>
      </c>
      <c r="AE6776">
        <v>0.52447999999999695</v>
      </c>
      <c r="AF6776">
        <v>5.0691983017176201E-2</v>
      </c>
      <c r="AG6776">
        <v>-0.16955719999999899</v>
      </c>
      <c r="AH6776">
        <v>0.47616750827568399</v>
      </c>
      <c r="AI6776">
        <v>109.49836467140901</v>
      </c>
      <c r="AJ6776">
        <v>83.923276380847696</v>
      </c>
      <c r="AK6776">
        <v>0.50799096168291002</v>
      </c>
    </row>
    <row r="6777" spans="1:37" x14ac:dyDescent="0.2">
      <c r="A6777" t="str">
        <f>"20200111155735213"</f>
        <v>20200111155735213</v>
      </c>
      <c r="B6777" t="str">
        <f>"1578729455200428"</f>
        <v>1578729455200428</v>
      </c>
      <c r="C6777" t="s">
        <v>37</v>
      </c>
      <c r="D6777">
        <v>5.242515</v>
      </c>
      <c r="E6777">
        <v>0.55394919999999903</v>
      </c>
      <c r="F6777" t="s">
        <v>40</v>
      </c>
      <c r="G6777">
        <v>-188.2621</v>
      </c>
      <c r="H6777">
        <v>0.9350929</v>
      </c>
      <c r="I6777">
        <v>83.230639999999994</v>
      </c>
      <c r="J6777">
        <v>-188.32220000000001</v>
      </c>
      <c r="K6777">
        <v>1.1047959999999999</v>
      </c>
      <c r="L6777">
        <v>82.736909999999995</v>
      </c>
      <c r="M6777">
        <v>1.284955E-2</v>
      </c>
      <c r="N6777">
        <v>0</v>
      </c>
      <c r="O6777">
        <v>0.99982099999999996</v>
      </c>
      <c r="P6777">
        <v>-4.8745219999999999E-2</v>
      </c>
      <c r="Q6777">
        <v>2.1573269999999999E-2</v>
      </c>
      <c r="R6777">
        <v>0.99857830000000003</v>
      </c>
      <c r="S6777">
        <v>0.24804689999999999</v>
      </c>
      <c r="T6777">
        <v>-0.65909859999999998</v>
      </c>
      <c r="U6777">
        <v>3.0304259999999998</v>
      </c>
      <c r="V6777">
        <v>-6.156379E-2</v>
      </c>
      <c r="W6777">
        <v>3.5443339999999997E-2</v>
      </c>
      <c r="X6777">
        <v>0.99747369999999902</v>
      </c>
      <c r="Y6777">
        <v>6.6911849999999995E-2</v>
      </c>
      <c r="Z6777">
        <v>-0.2119238</v>
      </c>
      <c r="AA6777">
        <v>0.97499290000000005</v>
      </c>
      <c r="AB6777">
        <v>29</v>
      </c>
      <c r="AC6777">
        <v>6.0100000000005503E-2</v>
      </c>
      <c r="AD6777">
        <v>-0.169703099999999</v>
      </c>
      <c r="AE6777">
        <v>0.49373000000001299</v>
      </c>
      <c r="AF6777">
        <v>4.8145330646350203E-2</v>
      </c>
      <c r="AG6777">
        <v>-0.169703099999999</v>
      </c>
      <c r="AH6777">
        <v>0.44290082392667401</v>
      </c>
      <c r="AI6777">
        <v>110.85277620491</v>
      </c>
      <c r="AJ6777">
        <v>83.796048769718595</v>
      </c>
      <c r="AK6777">
        <v>0.47673709195696401</v>
      </c>
    </row>
    <row r="6778" spans="1:37" x14ac:dyDescent="0.2">
      <c r="A6778" t="str">
        <f>"20200111155735235"</f>
        <v>20200111155735235</v>
      </c>
      <c r="B6778" t="str">
        <f>"1578729455229709"</f>
        <v>1578729455229709</v>
      </c>
      <c r="C6778" t="s">
        <v>37</v>
      </c>
      <c r="D6778">
        <v>5.2724099999999998</v>
      </c>
      <c r="E6778">
        <v>0.55514619999999903</v>
      </c>
      <c r="F6778" t="s">
        <v>40</v>
      </c>
      <c r="G6778">
        <v>-188.2569</v>
      </c>
      <c r="H6778">
        <v>0.94195649999999997</v>
      </c>
      <c r="I6778">
        <v>83.490200000000002</v>
      </c>
      <c r="J6778">
        <v>-188.3184</v>
      </c>
      <c r="K6778">
        <v>1.1047309999999999</v>
      </c>
      <c r="L6778">
        <v>83.024690000000007</v>
      </c>
      <c r="M6778">
        <v>1.2961459999999999E-2</v>
      </c>
      <c r="N6778">
        <v>0</v>
      </c>
      <c r="O6778">
        <v>0.99982369999999898</v>
      </c>
      <c r="P6778">
        <v>-4.7940209999999997E-2</v>
      </c>
      <c r="Q6778">
        <v>2.101507E-2</v>
      </c>
      <c r="R6778">
        <v>0.99862909999999905</v>
      </c>
      <c r="S6778">
        <v>0.26206970000000002</v>
      </c>
      <c r="T6778">
        <v>-0.65526850000000003</v>
      </c>
      <c r="U6778">
        <v>3.0312189999999899</v>
      </c>
      <c r="V6778">
        <v>-6.0871649999999999E-2</v>
      </c>
      <c r="W6778">
        <v>3.4586989999999998E-2</v>
      </c>
      <c r="X6778">
        <v>0.99754619999999905</v>
      </c>
      <c r="Y6778">
        <v>7.1281780000000003E-2</v>
      </c>
      <c r="Z6778">
        <v>-0.21062349999999999</v>
      </c>
      <c r="AA6778">
        <v>0.97496499999999997</v>
      </c>
      <c r="AB6778">
        <v>29</v>
      </c>
      <c r="AC6778">
        <v>6.1499999999995197E-2</v>
      </c>
      <c r="AD6778">
        <v>-0.16277449999999899</v>
      </c>
      <c r="AE6778">
        <v>0.46550999999999398</v>
      </c>
      <c r="AF6778">
        <v>4.9510818088778899E-2</v>
      </c>
      <c r="AG6778">
        <v>-0.16277449999999899</v>
      </c>
      <c r="AH6778">
        <v>0.41624721345125798</v>
      </c>
      <c r="AI6778">
        <v>111.22194599556001</v>
      </c>
      <c r="AJ6778">
        <v>83.216783162940303</v>
      </c>
      <c r="AK6778">
        <v>0.449676107508512</v>
      </c>
    </row>
    <row r="6779" spans="1:37" x14ac:dyDescent="0.2">
      <c r="A6779" t="str">
        <f>"20200111155735258"</f>
        <v>20200111155735258</v>
      </c>
      <c r="B6779" t="str">
        <f>"1578729455250204"</f>
        <v>1578729455250204</v>
      </c>
      <c r="C6779" t="s">
        <v>37</v>
      </c>
      <c r="D6779">
        <v>5.2438029999999998</v>
      </c>
      <c r="E6779">
        <v>0.55479230000000002</v>
      </c>
      <c r="F6779" t="s">
        <v>40</v>
      </c>
      <c r="G6779">
        <v>-188.25290000000001</v>
      </c>
      <c r="H6779">
        <v>0.94711100000000004</v>
      </c>
      <c r="I6779">
        <v>83.749340000000004</v>
      </c>
      <c r="J6779">
        <v>-188.31440000000001</v>
      </c>
      <c r="K6779">
        <v>1.104651</v>
      </c>
      <c r="L6779">
        <v>83.320160000000001</v>
      </c>
      <c r="M6779">
        <v>1.3079449999999999E-2</v>
      </c>
      <c r="N6779">
        <v>0</v>
      </c>
      <c r="O6779">
        <v>0.99982739999999903</v>
      </c>
      <c r="P6779">
        <v>-4.6916300000000001E-2</v>
      </c>
      <c r="Q6779">
        <v>2.0983660000000001E-2</v>
      </c>
      <c r="R6779">
        <v>0.99867839999999997</v>
      </c>
      <c r="S6779">
        <v>0.27323909999999901</v>
      </c>
      <c r="T6779">
        <v>-0.6592962</v>
      </c>
      <c r="U6779">
        <v>3.0310969999999999</v>
      </c>
      <c r="V6779">
        <v>-5.9966819999999997E-2</v>
      </c>
      <c r="W6779">
        <v>3.4166179999999997E-2</v>
      </c>
      <c r="X6779">
        <v>0.99761549999999999</v>
      </c>
      <c r="Y6779">
        <v>7.4709029999999996E-2</v>
      </c>
      <c r="Z6779">
        <v>-0.21180839999999901</v>
      </c>
      <c r="AA6779">
        <v>0.97445149999999903</v>
      </c>
      <c r="AB6779">
        <v>29</v>
      </c>
      <c r="AC6779">
        <v>6.1499999999995197E-2</v>
      </c>
      <c r="AD6779">
        <v>-0.15754000000000001</v>
      </c>
      <c r="AE6779">
        <v>0.429180000000002</v>
      </c>
      <c r="AF6779">
        <v>4.9363330636206397E-2</v>
      </c>
      <c r="AG6779">
        <v>-0.15754000000000001</v>
      </c>
      <c r="AH6779">
        <v>0.37980215095616798</v>
      </c>
      <c r="AI6779">
        <v>112.359091576998</v>
      </c>
      <c r="AJ6779">
        <v>82.594712157684398</v>
      </c>
      <c r="AK6779">
        <v>0.41413194018625399</v>
      </c>
    </row>
    <row r="6780" spans="1:37" x14ac:dyDescent="0.2">
      <c r="A6780" t="str">
        <f>"20200111155735279"</f>
        <v>20200111155735279</v>
      </c>
      <c r="B6780" t="str">
        <f>"1578729455269725"</f>
        <v>1578729455269725</v>
      </c>
      <c r="C6780" t="s">
        <v>37</v>
      </c>
      <c r="D6780">
        <v>5.2859339999999904</v>
      </c>
      <c r="E6780">
        <v>0.55505280000000001</v>
      </c>
      <c r="F6780" t="s">
        <v>40</v>
      </c>
      <c r="G6780">
        <v>-188.25219999999999</v>
      </c>
      <c r="H6780">
        <v>0.9540594</v>
      </c>
      <c r="I6780">
        <v>84.009900000000002</v>
      </c>
      <c r="J6780">
        <v>-188.3107</v>
      </c>
      <c r="K6780">
        <v>1.104576</v>
      </c>
      <c r="L6780">
        <v>83.59796</v>
      </c>
      <c r="M6780">
        <v>1.3193079999999999E-2</v>
      </c>
      <c r="N6780">
        <v>0</v>
      </c>
      <c r="O6780">
        <v>0.99983129999999998</v>
      </c>
      <c r="P6780">
        <v>-4.5588629999999998E-2</v>
      </c>
      <c r="Q6780">
        <v>2.0584760000000001E-2</v>
      </c>
      <c r="R6780">
        <v>0.99874819999999997</v>
      </c>
      <c r="S6780">
        <v>0.27272029999999903</v>
      </c>
      <c r="T6780">
        <v>-0.66169129999999998</v>
      </c>
      <c r="U6780">
        <v>3.0306700000000002</v>
      </c>
      <c r="V6780">
        <v>-5.8753939999999998E-2</v>
      </c>
      <c r="W6780">
        <v>3.3351739999999998E-2</v>
      </c>
      <c r="X6780">
        <v>0.99771520000000002</v>
      </c>
      <c r="Y6780">
        <v>7.4427679999999996E-2</v>
      </c>
      <c r="Z6780">
        <v>-0.21257489999999901</v>
      </c>
      <c r="AA6780">
        <v>0.97430620000000001</v>
      </c>
      <c r="AB6780">
        <v>29</v>
      </c>
      <c r="AC6780">
        <v>5.8500000000009302E-2</v>
      </c>
      <c r="AD6780">
        <v>-0.150516599999999</v>
      </c>
      <c r="AE6780">
        <v>0.41194000000000103</v>
      </c>
      <c r="AF6780">
        <v>4.6919500702436903E-2</v>
      </c>
      <c r="AG6780">
        <v>-0.150516599999999</v>
      </c>
      <c r="AH6780">
        <v>0.36492007097519003</v>
      </c>
      <c r="AI6780">
        <v>112.24931991689</v>
      </c>
      <c r="AJ6780">
        <v>82.673407087324193</v>
      </c>
      <c r="AK6780">
        <v>0.397521502087955</v>
      </c>
    </row>
    <row r="6781" spans="1:37" x14ac:dyDescent="0.2">
      <c r="A6781" t="str">
        <f>"20200111155735301"</f>
        <v>20200111155735301</v>
      </c>
      <c r="B6781" t="str">
        <f>"1578729455290219"</f>
        <v>1578729455290219</v>
      </c>
      <c r="C6781" t="s">
        <v>37</v>
      </c>
      <c r="D6781">
        <v>5.3027569999999997</v>
      </c>
      <c r="E6781">
        <v>0.55535259999999997</v>
      </c>
      <c r="F6781" t="s">
        <v>40</v>
      </c>
      <c r="G6781">
        <v>-188.22720000000001</v>
      </c>
      <c r="H6781">
        <v>0.90649190000000002</v>
      </c>
      <c r="I6781">
        <v>84.502330000000001</v>
      </c>
      <c r="J6781">
        <v>-188.30670000000001</v>
      </c>
      <c r="K6781">
        <v>1.104501</v>
      </c>
      <c r="L6781">
        <v>83.887240000000006</v>
      </c>
      <c r="M6781">
        <v>1.331106E-2</v>
      </c>
      <c r="N6781">
        <v>0</v>
      </c>
      <c r="O6781">
        <v>0.99983549999999999</v>
      </c>
      <c r="P6781">
        <v>-4.4515779999999998E-2</v>
      </c>
      <c r="Q6781">
        <v>2.0820930000000001E-2</v>
      </c>
      <c r="R6781">
        <v>0.99879169999999995</v>
      </c>
      <c r="S6781">
        <v>0.2787018</v>
      </c>
      <c r="T6781">
        <v>-0.66370530000000005</v>
      </c>
      <c r="U6781">
        <v>3.030151</v>
      </c>
      <c r="V6781">
        <v>-5.7799509999999998E-2</v>
      </c>
      <c r="W6781">
        <v>3.3130140000000002E-2</v>
      </c>
      <c r="X6781">
        <v>0.99777839999999995</v>
      </c>
      <c r="Y6781">
        <v>7.6220010000000005E-2</v>
      </c>
      <c r="Z6781">
        <v>-0.2131941</v>
      </c>
      <c r="AA6781">
        <v>0.97403220000000001</v>
      </c>
      <c r="AB6781">
        <v>29</v>
      </c>
      <c r="AC6781">
        <v>7.9499999999995893E-2</v>
      </c>
      <c r="AD6781">
        <v>-0.19800909999999899</v>
      </c>
      <c r="AE6781">
        <v>0.61508999999999503</v>
      </c>
      <c r="AF6781">
        <v>6.4709099309261303E-2</v>
      </c>
      <c r="AG6781">
        <v>-0.19800909999999899</v>
      </c>
      <c r="AH6781">
        <v>0.55910480372447802</v>
      </c>
      <c r="AI6781">
        <v>109.382148832308</v>
      </c>
      <c r="AJ6781">
        <v>83.398132616867301</v>
      </c>
      <c r="AK6781">
        <v>0.59665153378166502</v>
      </c>
    </row>
    <row r="6782" spans="1:37" x14ac:dyDescent="0.2">
      <c r="A6782" t="str">
        <f>"20200111155735324"</f>
        <v>20200111155735324</v>
      </c>
      <c r="B6782" t="str">
        <f>"1578729455320476"</f>
        <v>1578729455320476</v>
      </c>
      <c r="C6782" t="s">
        <v>37</v>
      </c>
      <c r="D6782">
        <v>5.2561669999999996</v>
      </c>
      <c r="E6782">
        <v>0.55549059999999995</v>
      </c>
      <c r="F6782" t="s">
        <v>40</v>
      </c>
      <c r="G6782">
        <v>-188.2244</v>
      </c>
      <c r="H6782">
        <v>0.91319799999999995</v>
      </c>
      <c r="I6782">
        <v>84.76397</v>
      </c>
      <c r="J6782">
        <v>-188.30269999999999</v>
      </c>
      <c r="K6782">
        <v>1.104425</v>
      </c>
      <c r="L6782">
        <v>84.175539999999998</v>
      </c>
      <c r="M6782">
        <v>1.342603E-2</v>
      </c>
      <c r="N6782">
        <v>0</v>
      </c>
      <c r="O6782">
        <v>0.99983940000000004</v>
      </c>
      <c r="P6782">
        <v>-4.3408179999999998E-2</v>
      </c>
      <c r="Q6782">
        <v>2.1796599999999999E-2</v>
      </c>
      <c r="R6782">
        <v>0.99881960000000003</v>
      </c>
      <c r="S6782">
        <v>0.28405759999999902</v>
      </c>
      <c r="T6782">
        <v>-0.66117559999999997</v>
      </c>
      <c r="U6782">
        <v>3.03009</v>
      </c>
      <c r="V6782">
        <v>-5.6806959999999997E-2</v>
      </c>
      <c r="W6782">
        <v>3.365435E-2</v>
      </c>
      <c r="X6782">
        <v>0.99781779999999998</v>
      </c>
      <c r="Y6782">
        <v>7.7830369999999996E-2</v>
      </c>
      <c r="Z6782">
        <v>-0.2123922</v>
      </c>
      <c r="AA6782">
        <v>0.97408009999999901</v>
      </c>
      <c r="AB6782">
        <v>29</v>
      </c>
      <c r="AC6782">
        <v>7.8299999999984493E-2</v>
      </c>
      <c r="AD6782">
        <v>-0.19122700000000001</v>
      </c>
      <c r="AE6782">
        <v>0.58843000000000201</v>
      </c>
      <c r="AF6782">
        <v>6.3774052772360201E-2</v>
      </c>
      <c r="AG6782">
        <v>-0.19122700000000001</v>
      </c>
      <c r="AH6782">
        <v>0.53401201973904799</v>
      </c>
      <c r="AI6782">
        <v>109.57377523690801</v>
      </c>
      <c r="AJ6782">
        <v>83.189741384705201</v>
      </c>
      <c r="AK6782">
        <v>0.570792197355385</v>
      </c>
    </row>
    <row r="6783" spans="1:37" x14ac:dyDescent="0.2">
      <c r="A6783" t="str">
        <f>"20200111155735347"</f>
        <v>20200111155735347</v>
      </c>
      <c r="B6783" t="str">
        <f>"1578729455339814"</f>
        <v>1578729455339814</v>
      </c>
      <c r="C6783" t="s">
        <v>37</v>
      </c>
      <c r="D6783">
        <v>5.2123919999999897</v>
      </c>
      <c r="E6783">
        <v>0.55528109999999997</v>
      </c>
      <c r="F6783" t="s">
        <v>40</v>
      </c>
      <c r="G6783">
        <v>-188.2217</v>
      </c>
      <c r="H6783">
        <v>0.919596999999999</v>
      </c>
      <c r="I6783">
        <v>85.026330000000002</v>
      </c>
      <c r="J6783">
        <v>-188.29849999999999</v>
      </c>
      <c r="K6783">
        <v>1.10436</v>
      </c>
      <c r="L6783">
        <v>84.481629999999996</v>
      </c>
      <c r="M6783">
        <v>1.354616E-2</v>
      </c>
      <c r="N6783">
        <v>0</v>
      </c>
      <c r="O6783">
        <v>0.99984329999999999</v>
      </c>
      <c r="P6783">
        <v>-4.2767310000000003E-2</v>
      </c>
      <c r="Q6783">
        <v>2.1657719999999998E-2</v>
      </c>
      <c r="R6783">
        <v>0.99885029999999997</v>
      </c>
      <c r="S6783">
        <v>0.28790279999999902</v>
      </c>
      <c r="T6783">
        <v>-0.65834110000000001</v>
      </c>
      <c r="U6783">
        <v>3.0304259999999998</v>
      </c>
      <c r="V6783">
        <v>-5.6286629999999997E-2</v>
      </c>
      <c r="W6783">
        <v>3.3043870000000003E-2</v>
      </c>
      <c r="X6783">
        <v>0.99786769999999902</v>
      </c>
      <c r="Y6783">
        <v>7.8944410000000007E-2</v>
      </c>
      <c r="Z6783">
        <v>-0.21147849999999899</v>
      </c>
      <c r="AA6783">
        <v>0.97418919999999998</v>
      </c>
      <c r="AB6783">
        <v>29</v>
      </c>
      <c r="AC6783">
        <v>7.67999999999915E-2</v>
      </c>
      <c r="AD6783">
        <v>-0.18476300000000001</v>
      </c>
      <c r="AE6783">
        <v>0.54469999999999097</v>
      </c>
      <c r="AF6783">
        <v>6.23768441884568E-2</v>
      </c>
      <c r="AG6783">
        <v>-0.18476300000000001</v>
      </c>
      <c r="AH6783">
        <v>0.49036946028032602</v>
      </c>
      <c r="AI6783">
        <v>110.494306705299</v>
      </c>
      <c r="AJ6783">
        <v>82.750693385652795</v>
      </c>
      <c r="AK6783">
        <v>0.52772193855811</v>
      </c>
    </row>
    <row r="6784" spans="1:37" x14ac:dyDescent="0.2">
      <c r="A6784" t="str">
        <f>"20200111155735370"</f>
        <v>20200111155735370</v>
      </c>
      <c r="B6784" t="str">
        <f>"1578729455360310"</f>
        <v>1578729455360310</v>
      </c>
      <c r="C6784" t="s">
        <v>37</v>
      </c>
      <c r="D6784">
        <v>8.7386809999999997</v>
      </c>
      <c r="E6784">
        <v>0.55534340000000004</v>
      </c>
      <c r="F6784" t="s">
        <v>40</v>
      </c>
      <c r="G6784">
        <v>-188.22130000000001</v>
      </c>
      <c r="H6784">
        <v>0.92824769999999901</v>
      </c>
      <c r="I6784">
        <v>85.290719999999993</v>
      </c>
      <c r="J6784">
        <v>-188.2945</v>
      </c>
      <c r="K6784">
        <v>1.1043099999999999</v>
      </c>
      <c r="L6784">
        <v>84.769260000000003</v>
      </c>
      <c r="M6784">
        <v>1.365826E-2</v>
      </c>
      <c r="N6784">
        <v>0</v>
      </c>
      <c r="O6784">
        <v>0.99984680000000004</v>
      </c>
      <c r="P6784">
        <v>-4.2179389999999997E-2</v>
      </c>
      <c r="Q6784">
        <v>2.1951020000000002E-2</v>
      </c>
      <c r="R6784">
        <v>0.99886889999999995</v>
      </c>
      <c r="S6784">
        <v>0.28820800000000002</v>
      </c>
      <c r="T6784">
        <v>-0.65956599999999999</v>
      </c>
      <c r="U6784">
        <v>3.03009</v>
      </c>
      <c r="V6784">
        <v>-5.5810600000000002E-2</v>
      </c>
      <c r="W6784">
        <v>3.2894699999999902E-2</v>
      </c>
      <c r="X6784">
        <v>0.99789939999999999</v>
      </c>
      <c r="Y6784">
        <v>7.8932009999999997E-2</v>
      </c>
      <c r="Z6784">
        <v>-0.21187529999999899</v>
      </c>
      <c r="AA6784">
        <v>0.97410399999999997</v>
      </c>
      <c r="AB6784">
        <v>29</v>
      </c>
      <c r="AC6784">
        <v>7.3199999999985693E-2</v>
      </c>
      <c r="AD6784">
        <v>-0.1760623</v>
      </c>
      <c r="AE6784">
        <v>0.52145999999999004</v>
      </c>
      <c r="AF6784">
        <v>5.9426966247941103E-2</v>
      </c>
      <c r="AG6784">
        <v>-0.1760623</v>
      </c>
      <c r="AH6784">
        <v>0.46988154731863202</v>
      </c>
      <c r="AI6784">
        <v>110.391805962373</v>
      </c>
      <c r="AJ6784">
        <v>82.791944027439797</v>
      </c>
      <c r="AK6784">
        <v>0.50529018030165196</v>
      </c>
    </row>
    <row r="6785" spans="1:37" x14ac:dyDescent="0.2">
      <c r="A6785" t="str">
        <f>"20200111155735390"</f>
        <v>20200111155735390</v>
      </c>
      <c r="B6785" t="str">
        <f>"1578729455379830"</f>
        <v>1578729455379830</v>
      </c>
      <c r="C6785" t="s">
        <v>37</v>
      </c>
      <c r="D6785">
        <v>5.4267300000000001</v>
      </c>
      <c r="E6785">
        <v>0.55683359999999904</v>
      </c>
      <c r="F6785" t="s">
        <v>40</v>
      </c>
      <c r="G6785">
        <v>-188.2191</v>
      </c>
      <c r="H6785">
        <v>0.93364789999999998</v>
      </c>
      <c r="I6785">
        <v>85.554220000000001</v>
      </c>
      <c r="J6785">
        <v>-188.29060000000001</v>
      </c>
      <c r="K6785">
        <v>1.104263</v>
      </c>
      <c r="L6785">
        <v>85.043549999999996</v>
      </c>
      <c r="M6785">
        <v>1.376554E-2</v>
      </c>
      <c r="N6785">
        <v>0</v>
      </c>
      <c r="O6785">
        <v>0.99984989999999996</v>
      </c>
      <c r="P6785">
        <v>-4.154824E-2</v>
      </c>
      <c r="Q6785">
        <v>2.26868E-2</v>
      </c>
      <c r="R6785">
        <v>0.99887890000000001</v>
      </c>
      <c r="S6785">
        <v>0.2903442</v>
      </c>
      <c r="T6785">
        <v>-0.65879759999999998</v>
      </c>
      <c r="U6785">
        <v>3.0301209999999998</v>
      </c>
      <c r="V6785">
        <v>-5.5286599999999998E-2</v>
      </c>
      <c r="W6785">
        <v>3.3204949999999997E-2</v>
      </c>
      <c r="X6785">
        <v>0.99791819999999898</v>
      </c>
      <c r="Y6785">
        <v>7.9509910000000003E-2</v>
      </c>
      <c r="Z6785">
        <v>-0.21162549999999999</v>
      </c>
      <c r="AA6785">
        <v>0.97411130000000001</v>
      </c>
      <c r="AB6785">
        <v>29</v>
      </c>
      <c r="AC6785">
        <v>7.1500000000014496E-2</v>
      </c>
      <c r="AD6785">
        <v>-0.17061509999999999</v>
      </c>
      <c r="AE6785">
        <v>0.51067000000000395</v>
      </c>
      <c r="AF6785">
        <v>5.8102318612139797E-2</v>
      </c>
      <c r="AG6785">
        <v>-0.17061509999999999</v>
      </c>
      <c r="AH6785">
        <v>0.46112347582698598</v>
      </c>
      <c r="AI6785">
        <v>110.15799016649601</v>
      </c>
      <c r="AJ6785">
        <v>82.818483269145602</v>
      </c>
      <c r="AK6785">
        <v>0.49509620452481501</v>
      </c>
    </row>
    <row r="6786" spans="1:37" x14ac:dyDescent="0.2">
      <c r="A6786" t="str">
        <f>"20200111155735413"</f>
        <v>20200111155735413</v>
      </c>
      <c r="B6786" t="str">
        <f>"1578729455410086"</f>
        <v>1578729455410086</v>
      </c>
      <c r="C6786" t="s">
        <v>37</v>
      </c>
      <c r="D6786">
        <v>5.0584160000000002</v>
      </c>
      <c r="E6786">
        <v>0.58065710000000004</v>
      </c>
      <c r="F6786" t="s">
        <v>40</v>
      </c>
      <c r="G6786">
        <v>-188.21080000000001</v>
      </c>
      <c r="H6786">
        <v>0.96042989999999995</v>
      </c>
      <c r="I6786">
        <v>85.828950000000006</v>
      </c>
      <c r="J6786">
        <v>-188.28639999999999</v>
      </c>
      <c r="K6786">
        <v>1.1042099999999999</v>
      </c>
      <c r="L6786">
        <v>85.341709999999907</v>
      </c>
      <c r="M6786">
        <v>1.388291E-2</v>
      </c>
      <c r="N6786">
        <v>0</v>
      </c>
      <c r="O6786">
        <v>0.99985309999999905</v>
      </c>
      <c r="P6786">
        <v>-4.1752499999999998E-2</v>
      </c>
      <c r="Q6786">
        <v>2.3505970000000001E-2</v>
      </c>
      <c r="R6786">
        <v>0.99885139999999994</v>
      </c>
      <c r="S6786">
        <v>0.30735780000000001</v>
      </c>
      <c r="T6786">
        <v>-0.554678</v>
      </c>
      <c r="U6786">
        <v>3.02874799999999</v>
      </c>
      <c r="V6786">
        <v>-5.560764E-2</v>
      </c>
      <c r="W6786">
        <v>3.3551900000000003E-2</v>
      </c>
      <c r="X6786">
        <v>0.99788880000000002</v>
      </c>
      <c r="Y6786">
        <v>8.5502590000000003E-2</v>
      </c>
      <c r="Z6786">
        <v>-0.17934140000000001</v>
      </c>
      <c r="AA6786">
        <v>0.9800643</v>
      </c>
      <c r="AB6786">
        <v>29</v>
      </c>
      <c r="AC6786">
        <v>7.55999999999801E-2</v>
      </c>
      <c r="AD6786">
        <v>-0.14378009999999999</v>
      </c>
      <c r="AE6786">
        <v>0.487240000000014</v>
      </c>
      <c r="AF6786">
        <v>6.3434157509596995E-2</v>
      </c>
      <c r="AG6786">
        <v>-0.14378009999999999</v>
      </c>
      <c r="AH6786">
        <v>0.44998012892588801</v>
      </c>
      <c r="AI6786">
        <v>107.55721804241</v>
      </c>
      <c r="AJ6786">
        <v>81.975831069979407</v>
      </c>
      <c r="AK6786">
        <v>0.47663269497918598</v>
      </c>
    </row>
    <row r="6787" spans="1:37" x14ac:dyDescent="0.2">
      <c r="A6787" t="str">
        <f>"20200111155735436"</f>
        <v>20200111155735436</v>
      </c>
      <c r="B6787" t="str">
        <f>"1578729455430179"</f>
        <v>1578729455430179</v>
      </c>
      <c r="C6787" t="s">
        <v>37</v>
      </c>
      <c r="D6787">
        <v>5.1267239999999896</v>
      </c>
      <c r="E6787">
        <v>0.58272400000000002</v>
      </c>
      <c r="F6787" t="s">
        <v>40</v>
      </c>
      <c r="G6787">
        <v>-188.16679999999999</v>
      </c>
      <c r="H6787">
        <v>0.93532870000000001</v>
      </c>
      <c r="I6787">
        <v>86.079700000000003</v>
      </c>
      <c r="J6787">
        <v>-188.28210000000001</v>
      </c>
      <c r="K6787">
        <v>1.10416</v>
      </c>
      <c r="L6787">
        <v>85.637330000000006</v>
      </c>
      <c r="M6787">
        <v>1.399977E-2</v>
      </c>
      <c r="N6787">
        <v>0</v>
      </c>
      <c r="O6787">
        <v>0.99985619999999997</v>
      </c>
      <c r="P6787">
        <v>-4.2170979999999997E-2</v>
      </c>
      <c r="Q6787">
        <v>2.443408E-2</v>
      </c>
      <c r="R6787">
        <v>0.99881160000000002</v>
      </c>
      <c r="S6787">
        <v>0.492172199999999</v>
      </c>
      <c r="T6787">
        <v>-0.69576740000000004</v>
      </c>
      <c r="U6787">
        <v>3.0404049999999998</v>
      </c>
      <c r="V6787">
        <v>-5.6142079999999997E-2</v>
      </c>
      <c r="W6787">
        <v>3.4000339999999997E-2</v>
      </c>
      <c r="X6787">
        <v>0.9978437</v>
      </c>
      <c r="Y6787">
        <v>0.1420275</v>
      </c>
      <c r="Z6787">
        <v>-0.22054940000000001</v>
      </c>
      <c r="AA6787">
        <v>0.9649799</v>
      </c>
      <c r="AB6787">
        <v>29</v>
      </c>
      <c r="AC6787">
        <v>0.115300000000019</v>
      </c>
      <c r="AD6787">
        <v>-0.16883129999999999</v>
      </c>
      <c r="AE6787">
        <v>0.44236999999999599</v>
      </c>
      <c r="AF6787">
        <v>9.6001466903083602E-2</v>
      </c>
      <c r="AG6787">
        <v>-0.16883129999999999</v>
      </c>
      <c r="AH6787">
        <v>0.39065809480643499</v>
      </c>
      <c r="AI6787">
        <v>112.76706033501</v>
      </c>
      <c r="AJ6787">
        <v>76.193549563167593</v>
      </c>
      <c r="AK6787">
        <v>0.43627289228764499</v>
      </c>
    </row>
    <row r="6788" spans="1:37" x14ac:dyDescent="0.2">
      <c r="A6788" t="str">
        <f>"20200111155735459"</f>
        <v>20200111155735459</v>
      </c>
      <c r="B6788" t="str">
        <f>"1578729455449699"</f>
        <v>1578729455449699</v>
      </c>
      <c r="C6788" t="s">
        <v>37</v>
      </c>
      <c r="D6788">
        <v>5.1030769999999999</v>
      </c>
      <c r="E6788">
        <v>0.58331369999999905</v>
      </c>
      <c r="F6788" t="s">
        <v>40</v>
      </c>
      <c r="G6788">
        <v>-188.16380000000001</v>
      </c>
      <c r="H6788">
        <v>0.94389380000000001</v>
      </c>
      <c r="I6788">
        <v>86.347329999999999</v>
      </c>
      <c r="J6788">
        <v>-188.27780000000001</v>
      </c>
      <c r="K6788">
        <v>1.104096</v>
      </c>
      <c r="L6788">
        <v>85.936980000000005</v>
      </c>
      <c r="M6788">
        <v>1.411837E-2</v>
      </c>
      <c r="N6788">
        <v>0</v>
      </c>
      <c r="O6788">
        <v>0.9998591</v>
      </c>
      <c r="P6788">
        <v>-4.2029039999999997E-2</v>
      </c>
      <c r="Q6788">
        <v>2.4702180000000001E-2</v>
      </c>
      <c r="R6788">
        <v>0.99881089999999995</v>
      </c>
      <c r="S6788">
        <v>0.50694269999999997</v>
      </c>
      <c r="T6788">
        <v>-0.68662749999999995</v>
      </c>
      <c r="U6788">
        <v>3.041779</v>
      </c>
      <c r="V6788">
        <v>-5.611824E-2</v>
      </c>
      <c r="W6788">
        <v>3.3778269999999999E-2</v>
      </c>
      <c r="X6788">
        <v>0.99785259999999998</v>
      </c>
      <c r="Y6788">
        <v>0.14651359999999999</v>
      </c>
      <c r="Z6788">
        <v>-0.2175464</v>
      </c>
      <c r="AA6788">
        <v>0.96499089999999998</v>
      </c>
      <c r="AB6788">
        <v>29</v>
      </c>
      <c r="AC6788">
        <v>0.114000000000004</v>
      </c>
      <c r="AD6788">
        <v>-0.16020219999999899</v>
      </c>
      <c r="AE6788">
        <v>0.410349999999993</v>
      </c>
      <c r="AF6788">
        <v>9.4783556796381202E-2</v>
      </c>
      <c r="AG6788">
        <v>-0.16020219999999899</v>
      </c>
      <c r="AH6788">
        <v>0.36085902904770101</v>
      </c>
      <c r="AI6788">
        <v>113.237819144429</v>
      </c>
      <c r="AJ6788">
        <v>75.283071920369807</v>
      </c>
      <c r="AK6788">
        <v>0.40603929165668501</v>
      </c>
    </row>
    <row r="6789" spans="1:37" x14ac:dyDescent="0.2">
      <c r="A6789" t="str">
        <f>"20200111155735480"</f>
        <v>20200111155735480</v>
      </c>
      <c r="B6789" t="str">
        <f>"1578729455470195"</f>
        <v>1578729455470195</v>
      </c>
      <c r="C6789" t="s">
        <v>37</v>
      </c>
      <c r="D6789">
        <v>5.0298099999999897</v>
      </c>
      <c r="E6789">
        <v>0.58349519999999899</v>
      </c>
      <c r="F6789" t="s">
        <v>40</v>
      </c>
      <c r="G6789">
        <v>-188.12299999999999</v>
      </c>
      <c r="H6789">
        <v>0.89684339999999996</v>
      </c>
      <c r="I6789">
        <v>86.857969999999995</v>
      </c>
      <c r="J6789">
        <v>-188.27359999999999</v>
      </c>
      <c r="K6789">
        <v>1.1040399999999999</v>
      </c>
      <c r="L6789">
        <v>86.228639999999999</v>
      </c>
      <c r="M6789">
        <v>1.4233579999999999E-2</v>
      </c>
      <c r="N6789">
        <v>0</v>
      </c>
      <c r="O6789">
        <v>0.99986169999999996</v>
      </c>
      <c r="P6789">
        <v>-4.2121489999999998E-2</v>
      </c>
      <c r="Q6789">
        <v>2.4949450000000001E-2</v>
      </c>
      <c r="R6789">
        <v>0.99880089999999999</v>
      </c>
      <c r="S6789">
        <v>0.51139829999999997</v>
      </c>
      <c r="T6789">
        <v>-0.68456049999999902</v>
      </c>
      <c r="U6789">
        <v>3.0420529999999899</v>
      </c>
      <c r="V6789">
        <v>-5.6325640000000003E-2</v>
      </c>
      <c r="W6789">
        <v>3.3552369999999998E-2</v>
      </c>
      <c r="X6789">
        <v>0.99784850000000003</v>
      </c>
      <c r="Y6789">
        <v>0.14778579999999999</v>
      </c>
      <c r="Z6789">
        <v>-0.21685839999999901</v>
      </c>
      <c r="AA6789">
        <v>0.96495169999999997</v>
      </c>
      <c r="AB6789">
        <v>30</v>
      </c>
      <c r="AC6789">
        <v>0.15059999999999699</v>
      </c>
      <c r="AD6789">
        <v>-0.20719659999999901</v>
      </c>
      <c r="AE6789">
        <v>0.62932999999999595</v>
      </c>
      <c r="AF6789">
        <v>0.12845691300342099</v>
      </c>
      <c r="AG6789">
        <v>-0.20719659999999901</v>
      </c>
      <c r="AH6789">
        <v>0.57269507471304404</v>
      </c>
      <c r="AI6789">
        <v>109.444083286465</v>
      </c>
      <c r="AJ6789">
        <v>77.357662596835596</v>
      </c>
      <c r="AK6789">
        <v>0.62242369664924202</v>
      </c>
    </row>
    <row r="6790" spans="1:37" x14ac:dyDescent="0.2">
      <c r="A6790" t="str">
        <f>"20200111155735504"</f>
        <v>20200111155735504</v>
      </c>
      <c r="B6790" t="str">
        <f>"1578729455500451"</f>
        <v>1578729455500451</v>
      </c>
      <c r="C6790" t="s">
        <v>37</v>
      </c>
      <c r="D6790">
        <v>5.0027379999999999</v>
      </c>
      <c r="E6790">
        <v>0.5835513</v>
      </c>
      <c r="F6790" t="s">
        <v>40</v>
      </c>
      <c r="G6790">
        <v>-188.12200000000001</v>
      </c>
      <c r="H6790">
        <v>0.90237919999999905</v>
      </c>
      <c r="I6790">
        <v>87.127209999999906</v>
      </c>
      <c r="J6790">
        <v>-188.26910000000001</v>
      </c>
      <c r="K6790">
        <v>1.1039859999999999</v>
      </c>
      <c r="L6790">
        <v>86.537199999999999</v>
      </c>
      <c r="M6790">
        <v>1.4354779999999999E-2</v>
      </c>
      <c r="N6790">
        <v>0</v>
      </c>
      <c r="O6790">
        <v>0.99986390000000003</v>
      </c>
      <c r="P6790">
        <v>-4.1889759999999998E-2</v>
      </c>
      <c r="Q6790">
        <v>2.5314329999999999E-2</v>
      </c>
      <c r="R6790">
        <v>0.99880149999999901</v>
      </c>
      <c r="S6790">
        <v>0.51264949999999998</v>
      </c>
      <c r="T6790">
        <v>-0.68276349999999997</v>
      </c>
      <c r="U6790">
        <v>3.0422669999999998</v>
      </c>
      <c r="V6790">
        <v>-5.6214519999999997E-2</v>
      </c>
      <c r="W6790">
        <v>3.3439429999999999E-2</v>
      </c>
      <c r="X6790">
        <v>0.99785859999999904</v>
      </c>
      <c r="Y6790">
        <v>0.1480619</v>
      </c>
      <c r="Z6790">
        <v>-0.21628979999999901</v>
      </c>
      <c r="AA6790">
        <v>0.96503700000000003</v>
      </c>
      <c r="AB6790">
        <v>30</v>
      </c>
      <c r="AC6790">
        <v>0.14709999999999401</v>
      </c>
      <c r="AD6790">
        <v>-0.2016068</v>
      </c>
      <c r="AE6790">
        <v>0.59000999999999204</v>
      </c>
      <c r="AF6790">
        <v>0.124886750466322</v>
      </c>
      <c r="AG6790">
        <v>-0.2016068</v>
      </c>
      <c r="AH6790">
        <v>0.53342354344312404</v>
      </c>
      <c r="AI6790">
        <v>110.203500411184</v>
      </c>
      <c r="AJ6790">
        <v>76.8230736814739</v>
      </c>
      <c r="AK6790">
        <v>0.58376594534770199</v>
      </c>
    </row>
    <row r="6791" spans="1:37" x14ac:dyDescent="0.2">
      <c r="A6791" t="str">
        <f>"20200111155735526"</f>
        <v>20200111155735526</v>
      </c>
      <c r="B6791" t="str">
        <f>"1578729455519972"</f>
        <v>1578729455519972</v>
      </c>
      <c r="C6791" t="s">
        <v>37</v>
      </c>
      <c r="D6791">
        <v>4.9715749999999996</v>
      </c>
      <c r="E6791">
        <v>0.58342869999999902</v>
      </c>
      <c r="F6791" t="s">
        <v>40</v>
      </c>
      <c r="G6791">
        <v>-188.1233</v>
      </c>
      <c r="H6791">
        <v>0.91139230000000004</v>
      </c>
      <c r="I6791">
        <v>87.398989999999998</v>
      </c>
      <c r="J6791">
        <v>-188.2645</v>
      </c>
      <c r="K6791">
        <v>1.103934</v>
      </c>
      <c r="L6791">
        <v>86.847660000000005</v>
      </c>
      <c r="M6791">
        <v>1.4476549999999999E-2</v>
      </c>
      <c r="N6791">
        <v>0</v>
      </c>
      <c r="O6791">
        <v>0.99986580000000003</v>
      </c>
      <c r="P6791">
        <v>-4.1336890000000001E-2</v>
      </c>
      <c r="Q6791">
        <v>2.6076619999999998E-2</v>
      </c>
      <c r="R6791">
        <v>0.9988049</v>
      </c>
      <c r="S6791">
        <v>0.51441959999999998</v>
      </c>
      <c r="T6791">
        <v>-0.67991759999999901</v>
      </c>
      <c r="U6791">
        <v>3.042389</v>
      </c>
      <c r="V6791">
        <v>-5.578284E-2</v>
      </c>
      <c r="W6791">
        <v>3.3747770000000003E-2</v>
      </c>
      <c r="X6791">
        <v>0.99787239999999999</v>
      </c>
      <c r="Y6791">
        <v>0.1485137</v>
      </c>
      <c r="Z6791">
        <v>-0.21540479999999901</v>
      </c>
      <c r="AA6791">
        <v>0.96516550000000001</v>
      </c>
      <c r="AB6791">
        <v>30</v>
      </c>
      <c r="AC6791">
        <v>0.14119999999999699</v>
      </c>
      <c r="AD6791">
        <v>-0.19254169999999901</v>
      </c>
      <c r="AE6791">
        <v>0.55132999999999199</v>
      </c>
      <c r="AF6791">
        <v>0.119523518253747</v>
      </c>
      <c r="AG6791">
        <v>-0.19254169999999901</v>
      </c>
      <c r="AH6791">
        <v>0.49649043731945902</v>
      </c>
      <c r="AI6791">
        <v>110.658146961859</v>
      </c>
      <c r="AJ6791">
        <v>76.464357143439301</v>
      </c>
      <c r="AK6791">
        <v>0.54576637126549998</v>
      </c>
    </row>
    <row r="6792" spans="1:37" x14ac:dyDescent="0.2">
      <c r="A6792" t="str">
        <f>"20200111155735548"</f>
        <v>20200111155735548</v>
      </c>
      <c r="B6792" t="str">
        <f>"1578729455540233"</f>
        <v>1578729455540233</v>
      </c>
      <c r="C6792" t="s">
        <v>37</v>
      </c>
      <c r="D6792">
        <v>4.9050909999999996</v>
      </c>
      <c r="E6792">
        <v>0.58297959999999904</v>
      </c>
      <c r="F6792" t="s">
        <v>40</v>
      </c>
      <c r="G6792">
        <v>-188.12479999999999</v>
      </c>
      <c r="H6792">
        <v>0.91994010000000004</v>
      </c>
      <c r="I6792">
        <v>87.671750000000003</v>
      </c>
      <c r="J6792">
        <v>-188.26009999999999</v>
      </c>
      <c r="K6792">
        <v>1.1038889999999999</v>
      </c>
      <c r="L6792">
        <v>87.142269999999996</v>
      </c>
      <c r="M6792">
        <v>1.4591899999999901E-2</v>
      </c>
      <c r="N6792">
        <v>0</v>
      </c>
      <c r="O6792">
        <v>0.99986719999999896</v>
      </c>
      <c r="P6792">
        <v>-4.090133E-2</v>
      </c>
      <c r="Q6792">
        <v>2.6395120000000001E-2</v>
      </c>
      <c r="R6792">
        <v>0.99881450000000005</v>
      </c>
      <c r="S6792">
        <v>0.51521300000000003</v>
      </c>
      <c r="T6792">
        <v>-0.67932349999999997</v>
      </c>
      <c r="U6792">
        <v>3.0426639999999998</v>
      </c>
      <c r="V6792">
        <v>-5.5462789999999998E-2</v>
      </c>
      <c r="W6792">
        <v>3.365626E-2</v>
      </c>
      <c r="X6792">
        <v>0.99789329999999998</v>
      </c>
      <c r="Y6792">
        <v>0.14863760000000001</v>
      </c>
      <c r="Z6792">
        <v>-0.21520010000000001</v>
      </c>
      <c r="AA6792">
        <v>0.9651921</v>
      </c>
      <c r="AB6792">
        <v>30</v>
      </c>
      <c r="AC6792">
        <v>0.1353</v>
      </c>
      <c r="AD6792">
        <v>-0.183948899999999</v>
      </c>
      <c r="AE6792">
        <v>0.52948000000000595</v>
      </c>
      <c r="AF6792">
        <v>0.114577775293753</v>
      </c>
      <c r="AG6792">
        <v>-0.183948899999999</v>
      </c>
      <c r="AH6792">
        <v>0.47731846844326797</v>
      </c>
      <c r="AI6792">
        <v>110.54271399122</v>
      </c>
      <c r="AJ6792">
        <v>76.501844344568596</v>
      </c>
      <c r="AK6792">
        <v>0.52421196544861803</v>
      </c>
    </row>
    <row r="6793" spans="1:37" x14ac:dyDescent="0.2">
      <c r="A6793" t="str">
        <f>"20200111155735570"</f>
        <v>20200111155735570</v>
      </c>
      <c r="B6793" t="str">
        <f>"1578729455559752"</f>
        <v>1578729455559752</v>
      </c>
      <c r="C6793" t="s">
        <v>37</v>
      </c>
      <c r="D6793">
        <v>4.8133280000000003</v>
      </c>
      <c r="E6793">
        <v>0.58271059999999997</v>
      </c>
      <c r="F6793" t="s">
        <v>40</v>
      </c>
      <c r="G6793">
        <v>-188.125</v>
      </c>
      <c r="H6793">
        <v>0.92448209999999997</v>
      </c>
      <c r="I6793">
        <v>87.944100000000006</v>
      </c>
      <c r="J6793">
        <v>-188.25559999999999</v>
      </c>
      <c r="K6793">
        <v>1.1038459999999899</v>
      </c>
      <c r="L6793">
        <v>87.442719999999994</v>
      </c>
      <c r="M6793">
        <v>1.470934E-2</v>
      </c>
      <c r="N6793">
        <v>0</v>
      </c>
      <c r="O6793">
        <v>0.99986830000000004</v>
      </c>
      <c r="P6793">
        <v>-4.088352E-2</v>
      </c>
      <c r="Q6793">
        <v>2.6527040000000002E-2</v>
      </c>
      <c r="R6793">
        <v>0.99881169999999997</v>
      </c>
      <c r="S6793">
        <v>0.51249690000000003</v>
      </c>
      <c r="T6793">
        <v>-0.68075889999999994</v>
      </c>
      <c r="U6793">
        <v>3.0425419999999899</v>
      </c>
      <c r="V6793">
        <v>-5.5562250000000001E-2</v>
      </c>
      <c r="W6793">
        <v>3.3387E-2</v>
      </c>
      <c r="X6793">
        <v>0.99789689999999998</v>
      </c>
      <c r="Y6793">
        <v>0.1476729</v>
      </c>
      <c r="Z6793">
        <v>-0.2156719</v>
      </c>
      <c r="AA6793">
        <v>0.96523490000000001</v>
      </c>
      <c r="AB6793">
        <v>30</v>
      </c>
      <c r="AC6793">
        <v>0.13059999999998601</v>
      </c>
      <c r="AD6793">
        <v>-0.17936389999999899</v>
      </c>
      <c r="AE6793">
        <v>0.50138000000001104</v>
      </c>
      <c r="AF6793">
        <v>0.11002464944774799</v>
      </c>
      <c r="AG6793">
        <v>-0.17936389999999899</v>
      </c>
      <c r="AH6793">
        <v>0.44938909208310601</v>
      </c>
      <c r="AI6793">
        <v>111.19022504819399</v>
      </c>
      <c r="AJ6793">
        <v>76.242802034670405</v>
      </c>
      <c r="AK6793">
        <v>0.49621304718093401</v>
      </c>
    </row>
    <row r="6794" spans="1:37" x14ac:dyDescent="0.2">
      <c r="A6794" t="str">
        <f>"20200111155735592"</f>
        <v>20200111155735592</v>
      </c>
      <c r="B6794" t="str">
        <f>"1578729455580248"</f>
        <v>1578729455580248</v>
      </c>
      <c r="C6794" t="s">
        <v>37</v>
      </c>
      <c r="D6794">
        <v>4.9391410000000002</v>
      </c>
      <c r="E6794">
        <v>0.52838629999999998</v>
      </c>
      <c r="F6794" t="s">
        <v>40</v>
      </c>
      <c r="G6794">
        <v>-188.1251</v>
      </c>
      <c r="H6794">
        <v>0.93162099999999903</v>
      </c>
      <c r="I6794">
        <v>88.219169999999906</v>
      </c>
      <c r="J6794">
        <v>-188.25120000000001</v>
      </c>
      <c r="K6794">
        <v>1.1038110000000001</v>
      </c>
      <c r="L6794">
        <v>87.733490000000003</v>
      </c>
      <c r="M6794">
        <v>1.4822780000000001E-2</v>
      </c>
      <c r="N6794">
        <v>0</v>
      </c>
      <c r="O6794">
        <v>0.99986909999999896</v>
      </c>
      <c r="P6794">
        <v>-4.0990859999999997E-2</v>
      </c>
      <c r="Q6794">
        <v>2.6740070000000001E-2</v>
      </c>
      <c r="R6794">
        <v>0.99880159999999996</v>
      </c>
      <c r="S6794">
        <v>0.51063539999999996</v>
      </c>
      <c r="T6794">
        <v>-0.67483459999999995</v>
      </c>
      <c r="U6794">
        <v>3.042389</v>
      </c>
      <c r="V6794">
        <v>-5.5782379999999999E-2</v>
      </c>
      <c r="W6794">
        <v>3.3231169999999997E-2</v>
      </c>
      <c r="X6794">
        <v>0.99788980000000005</v>
      </c>
      <c r="Y6794">
        <v>0.14705839999999901</v>
      </c>
      <c r="Z6794">
        <v>-0.21391189999999999</v>
      </c>
      <c r="AA6794">
        <v>0.96572019999999903</v>
      </c>
      <c r="AB6794">
        <v>30</v>
      </c>
      <c r="AC6794">
        <v>0.12610000000000801</v>
      </c>
      <c r="AD6794">
        <v>-0.17219000000000001</v>
      </c>
      <c r="AE6794">
        <v>0.48567999999998701</v>
      </c>
      <c r="AF6794">
        <v>0.106362072340275</v>
      </c>
      <c r="AG6794">
        <v>-0.17219000000000001</v>
      </c>
      <c r="AH6794">
        <v>0.43613788824760702</v>
      </c>
      <c r="AI6794">
        <v>110.98506636474301</v>
      </c>
      <c r="AJ6794">
        <v>76.294653708024398</v>
      </c>
      <c r="AK6794">
        <v>0.48081029949201398</v>
      </c>
    </row>
    <row r="6795" spans="1:37" x14ac:dyDescent="0.2">
      <c r="A6795" t="str">
        <f>"20200111155735616"</f>
        <v>20200111155735616</v>
      </c>
      <c r="B6795" t="str">
        <f>"1578729455611481"</f>
        <v>1578729455611481</v>
      </c>
      <c r="C6795" t="s">
        <v>37</v>
      </c>
      <c r="D6795">
        <v>4.8572329999999999</v>
      </c>
      <c r="E6795">
        <v>0.52335949999999998</v>
      </c>
      <c r="F6795" t="s">
        <v>40</v>
      </c>
      <c r="G6795">
        <v>-188.22630000000001</v>
      </c>
      <c r="H6795">
        <v>1.0392189999999999</v>
      </c>
      <c r="I6795">
        <v>88.545190000000005</v>
      </c>
      <c r="J6795">
        <v>-188.24629999999999</v>
      </c>
      <c r="K6795">
        <v>1.1037699999999999</v>
      </c>
      <c r="L6795">
        <v>88.058779999999999</v>
      </c>
      <c r="M6795">
        <v>1.4949280000000001E-2</v>
      </c>
      <c r="N6795">
        <v>0</v>
      </c>
      <c r="O6795">
        <v>0.99986960000000003</v>
      </c>
      <c r="P6795">
        <v>-4.0453860000000001E-2</v>
      </c>
      <c r="Q6795">
        <v>2.7097670000000001E-2</v>
      </c>
      <c r="R6795">
        <v>0.99881390000000003</v>
      </c>
      <c r="S6795">
        <v>9.2285160000000005E-2</v>
      </c>
      <c r="T6795">
        <v>-0.2398217</v>
      </c>
      <c r="U6795">
        <v>3.0138240000000001</v>
      </c>
      <c r="V6795">
        <v>-5.537226E-2</v>
      </c>
      <c r="W6795">
        <v>3.3203049999999998E-2</v>
      </c>
      <c r="X6795">
        <v>0.99791350000000001</v>
      </c>
      <c r="Y6795">
        <v>1.556394E-2</v>
      </c>
      <c r="Z6795">
        <v>-7.9286629999999997E-2</v>
      </c>
      <c r="AA6795">
        <v>0.99673029999999996</v>
      </c>
      <c r="AB6795">
        <v>30</v>
      </c>
      <c r="AC6795">
        <v>1.99999999999818E-2</v>
      </c>
      <c r="AD6795">
        <v>-6.4550999999999997E-2</v>
      </c>
      <c r="AE6795">
        <v>0.486410000000006</v>
      </c>
      <c r="AF6795">
        <v>1.25062653900853E-2</v>
      </c>
      <c r="AG6795">
        <v>-6.4550999999999997E-2</v>
      </c>
      <c r="AH6795">
        <v>0.47824612915126902</v>
      </c>
      <c r="AI6795">
        <v>97.6844135022111</v>
      </c>
      <c r="AJ6795">
        <v>88.5020412882741</v>
      </c>
      <c r="AK6795">
        <v>0.48274485841195602</v>
      </c>
    </row>
    <row r="6796" spans="1:37" x14ac:dyDescent="0.2">
      <c r="A6796" t="str">
        <f>"20200111155735638"</f>
        <v>20200111155735638</v>
      </c>
      <c r="B6796" t="str">
        <f>"1578729455630532"</f>
        <v>1578729455630532</v>
      </c>
      <c r="C6796" t="s">
        <v>37</v>
      </c>
      <c r="D6796">
        <v>5.0100350000000002</v>
      </c>
      <c r="E6796">
        <v>0.5187505</v>
      </c>
      <c r="F6796" t="s">
        <v>38</v>
      </c>
      <c r="G6796">
        <v>-187.905</v>
      </c>
      <c r="H6796" s="1">
        <v>-3.290006E-6</v>
      </c>
      <c r="I6796">
        <v>106.43559999999999</v>
      </c>
      <c r="J6796">
        <v>-188.24160000000001</v>
      </c>
      <c r="K6796">
        <v>1.103739</v>
      </c>
      <c r="L6796">
        <v>88.365780000000001</v>
      </c>
      <c r="M6796">
        <v>1.5068099999999999E-2</v>
      </c>
      <c r="N6796">
        <v>0</v>
      </c>
      <c r="O6796">
        <v>0.99986980000000003</v>
      </c>
      <c r="P6796">
        <v>-4.0115940000000003E-2</v>
      </c>
      <c r="Q6796">
        <v>2.7424730000000001E-2</v>
      </c>
      <c r="R6796">
        <v>0.9988186</v>
      </c>
      <c r="S6796">
        <v>5.5908199999999998E-2</v>
      </c>
      <c r="T6796">
        <v>-0.1808351</v>
      </c>
      <c r="U6796">
        <v>3.010742</v>
      </c>
      <c r="V6796">
        <v>-5.5152439999999997E-2</v>
      </c>
      <c r="W6796">
        <v>3.319399E-2</v>
      </c>
      <c r="X6796">
        <v>0.99792610000000004</v>
      </c>
      <c r="Y6796">
        <v>3.465129E-3</v>
      </c>
      <c r="Z6796">
        <v>-5.9939720000000002E-2</v>
      </c>
      <c r="AA6796">
        <v>0.99819599999999897</v>
      </c>
      <c r="AB6796">
        <v>31</v>
      </c>
      <c r="AC6796">
        <v>0.33660000000000401</v>
      </c>
      <c r="AD6796">
        <v>-1.1037422900060001</v>
      </c>
      <c r="AE6796">
        <v>18.06982</v>
      </c>
      <c r="AF6796">
        <v>6.4040537615985604E-2</v>
      </c>
      <c r="AG6796">
        <v>-1.1037422900060001</v>
      </c>
      <c r="AH6796">
        <v>18.005684181118699</v>
      </c>
      <c r="AI6796">
        <v>93.507800255256598</v>
      </c>
      <c r="AJ6796">
        <v>89.796217849078403</v>
      </c>
      <c r="AK6796">
        <v>18.0395956457841</v>
      </c>
    </row>
    <row r="6797" spans="1:37" x14ac:dyDescent="0.2">
      <c r="A6797" t="str">
        <f>"20200111155735660"</f>
        <v>20200111155735660</v>
      </c>
      <c r="B6797" t="str">
        <f>"1578729455650053"</f>
        <v>1578729455650053</v>
      </c>
      <c r="C6797" t="s">
        <v>37</v>
      </c>
      <c r="D6797">
        <v>4.7695069999999999</v>
      </c>
      <c r="E6797">
        <v>0.51841879999999996</v>
      </c>
      <c r="F6797" t="s">
        <v>38</v>
      </c>
      <c r="G6797">
        <v>-188.1096</v>
      </c>
      <c r="H6797" s="1">
        <v>-3.7159069999999998E-6</v>
      </c>
      <c r="I6797">
        <v>107.512999999999</v>
      </c>
      <c r="J6797">
        <v>-188.23679999999999</v>
      </c>
      <c r="K6797">
        <v>1.103704</v>
      </c>
      <c r="L6797">
        <v>88.677149999999997</v>
      </c>
      <c r="M6797">
        <v>1.5188449999999999E-2</v>
      </c>
      <c r="N6797">
        <v>0</v>
      </c>
      <c r="O6797">
        <v>0.99986980000000003</v>
      </c>
      <c r="P6797">
        <v>-3.9301719999999998E-2</v>
      </c>
      <c r="Q6797">
        <v>2.8537369999999999E-2</v>
      </c>
      <c r="R6797">
        <v>0.99881980000000004</v>
      </c>
      <c r="S6797">
        <v>2.0736689999999999E-2</v>
      </c>
      <c r="T6797">
        <v>-0.17346300000000001</v>
      </c>
      <c r="U6797">
        <v>3.0091549999999998</v>
      </c>
      <c r="V6797">
        <v>-5.4458600000000003E-2</v>
      </c>
      <c r="W6797">
        <v>3.3995579999999997E-2</v>
      </c>
      <c r="X6797">
        <v>0.99793709999999902</v>
      </c>
      <c r="Y6797">
        <v>-8.3094969999999903E-3</v>
      </c>
      <c r="Z6797">
        <v>-5.7537919999999999E-2</v>
      </c>
      <c r="AA6797">
        <v>0.99830869999999905</v>
      </c>
      <c r="AB6797">
        <v>31</v>
      </c>
      <c r="AC6797">
        <v>0.12719999999998699</v>
      </c>
      <c r="AD6797">
        <v>-1.1037077159069999</v>
      </c>
      <c r="AE6797">
        <v>18.835849999999901</v>
      </c>
      <c r="AF6797">
        <v>-0.15836257275127499</v>
      </c>
      <c r="AG6797">
        <v>-1.1037077159069999</v>
      </c>
      <c r="AH6797">
        <v>18.771161256965101</v>
      </c>
      <c r="AI6797">
        <v>93.364886478049399</v>
      </c>
      <c r="AJ6797">
        <v>90.483363371600703</v>
      </c>
      <c r="AK6797">
        <v>18.804248040312299</v>
      </c>
    </row>
    <row r="6798" spans="1:37" x14ac:dyDescent="0.2">
      <c r="A6798" t="str">
        <f>"20200111155735682"</f>
        <v>20200111155735682</v>
      </c>
      <c r="B6798" t="str">
        <f>"1578729455680309"</f>
        <v>1578729455680309</v>
      </c>
      <c r="C6798" t="s">
        <v>37</v>
      </c>
      <c r="D6798">
        <v>4.7831900000000003</v>
      </c>
      <c r="E6798">
        <v>0.51913450000000005</v>
      </c>
      <c r="F6798" t="s">
        <v>38</v>
      </c>
      <c r="G6798">
        <v>-188.09880000000001</v>
      </c>
      <c r="H6798" s="1">
        <v>-4.2321889999999998E-6</v>
      </c>
      <c r="I6798">
        <v>108.712</v>
      </c>
      <c r="J6798">
        <v>-188.2321</v>
      </c>
      <c r="K6798">
        <v>1.1036790000000001</v>
      </c>
      <c r="L6798">
        <v>88.979429999999994</v>
      </c>
      <c r="M6798">
        <v>1.5305249999999999E-2</v>
      </c>
      <c r="N6798">
        <v>0</v>
      </c>
      <c r="O6798">
        <v>0.99986949999999997</v>
      </c>
      <c r="P6798">
        <v>-3.8345829999999997E-2</v>
      </c>
      <c r="Q6798">
        <v>3.0529609999999999E-2</v>
      </c>
      <c r="R6798">
        <v>0.99879810000000002</v>
      </c>
      <c r="S6798">
        <v>2.0721440000000001E-2</v>
      </c>
      <c r="T6798">
        <v>-0.16576949999999999</v>
      </c>
      <c r="U6798">
        <v>3.0090939999999899</v>
      </c>
      <c r="V6798">
        <v>-5.361834E-2</v>
      </c>
      <c r="W6798">
        <v>3.5711619999999999E-2</v>
      </c>
      <c r="X6798">
        <v>0.99792269999999905</v>
      </c>
      <c r="Y6798">
        <v>-8.4302149999999996E-3</v>
      </c>
      <c r="Z6798">
        <v>-5.4994809999999998E-2</v>
      </c>
      <c r="AA6798">
        <v>0.99845110000000004</v>
      </c>
      <c r="AB6798">
        <v>31</v>
      </c>
      <c r="AC6798">
        <v>0.13329999999999101</v>
      </c>
      <c r="AD6798">
        <v>-1.103683232189</v>
      </c>
      <c r="AE6798">
        <v>19.732569999999999</v>
      </c>
      <c r="AF6798">
        <v>-0.168205379091661</v>
      </c>
      <c r="AG6798">
        <v>-1.103683232189</v>
      </c>
      <c r="AH6798">
        <v>19.670763724980802</v>
      </c>
      <c r="AI6798">
        <v>93.211255784205207</v>
      </c>
      <c r="AJ6798">
        <v>90.489926245914802</v>
      </c>
      <c r="AK6798">
        <v>19.702420035381198</v>
      </c>
    </row>
    <row r="6799" spans="1:37" x14ac:dyDescent="0.2">
      <c r="A6799" t="str">
        <f>"20200111155735703"</f>
        <v>20200111155735703</v>
      </c>
      <c r="B6799" t="str">
        <f>"1578729455699828"</f>
        <v>1578729455699828</v>
      </c>
      <c r="C6799" t="s">
        <v>37</v>
      </c>
      <c r="D6799">
        <v>4.6678420000000003</v>
      </c>
      <c r="E6799">
        <v>0.51953369999999999</v>
      </c>
      <c r="F6799" t="s">
        <v>38</v>
      </c>
      <c r="G6799">
        <v>-188.01669999999999</v>
      </c>
      <c r="H6799" s="1">
        <v>-9.4393180000000003E-7</v>
      </c>
      <c r="I6799">
        <v>110.8712</v>
      </c>
      <c r="J6799">
        <v>-188.22739999999999</v>
      </c>
      <c r="K6799">
        <v>1.103658</v>
      </c>
      <c r="L6799">
        <v>89.280299999999997</v>
      </c>
      <c r="M6799">
        <v>1.542119E-2</v>
      </c>
      <c r="N6799">
        <v>0</v>
      </c>
      <c r="O6799">
        <v>0.99986889999999995</v>
      </c>
      <c r="P6799">
        <v>-3.7231489999999999E-2</v>
      </c>
      <c r="Q6799">
        <v>3.234472E-2</v>
      </c>
      <c r="R6799">
        <v>0.99878310000000003</v>
      </c>
      <c r="S6799">
        <v>2.9602050000000001E-2</v>
      </c>
      <c r="T6799">
        <v>-0.1517184</v>
      </c>
      <c r="U6799">
        <v>3.009369</v>
      </c>
      <c r="V6799">
        <v>-5.261888E-2</v>
      </c>
      <c r="W6799">
        <v>3.7277940000000002E-2</v>
      </c>
      <c r="X6799">
        <v>0.99791869999999905</v>
      </c>
      <c r="Y6799">
        <v>-5.5981169999999997E-3</v>
      </c>
      <c r="Z6799">
        <v>-5.034081E-2</v>
      </c>
      <c r="AA6799">
        <v>0.99871639999999995</v>
      </c>
      <c r="AB6799">
        <v>31</v>
      </c>
      <c r="AC6799">
        <v>0.210700000000002</v>
      </c>
      <c r="AD6799">
        <v>-1.1036589439318001</v>
      </c>
      <c r="AE6799">
        <v>21.590900000000001</v>
      </c>
      <c r="AF6799">
        <v>-0.12196782059093</v>
      </c>
      <c r="AG6799">
        <v>-1.1036589439318001</v>
      </c>
      <c r="AH6799">
        <v>21.535316786941099</v>
      </c>
      <c r="AI6799">
        <v>92.933725784725496</v>
      </c>
      <c r="AJ6799">
        <v>90.324497972666293</v>
      </c>
      <c r="AK6799">
        <v>21.5639237692886</v>
      </c>
    </row>
    <row r="6800" spans="1:37" x14ac:dyDescent="0.2">
      <c r="A6800" t="str">
        <f>"20200111155735727"</f>
        <v>20200111155735727</v>
      </c>
      <c r="B6800" t="str">
        <f>"1578729455720324"</f>
        <v>1578729455720324</v>
      </c>
      <c r="C6800" t="s">
        <v>37</v>
      </c>
      <c r="D6800">
        <v>4.7344540000000004</v>
      </c>
      <c r="E6800">
        <v>0.51938960000000001</v>
      </c>
      <c r="F6800" t="s">
        <v>38</v>
      </c>
      <c r="G6800">
        <v>-187.94759999999999</v>
      </c>
      <c r="H6800" s="1">
        <v>-1.5837519999999999E-6</v>
      </c>
      <c r="I6800">
        <v>112.4759</v>
      </c>
      <c r="J6800">
        <v>-188.22210000000001</v>
      </c>
      <c r="K6800">
        <v>1.103631</v>
      </c>
      <c r="L6800">
        <v>89.611909999999995</v>
      </c>
      <c r="M6800">
        <v>1.554872E-2</v>
      </c>
      <c r="N6800">
        <v>0</v>
      </c>
      <c r="O6800">
        <v>0.99986819999999899</v>
      </c>
      <c r="P6800">
        <v>-3.5872050000000003E-2</v>
      </c>
      <c r="Q6800">
        <v>3.323139E-2</v>
      </c>
      <c r="R6800">
        <v>0.99880369999999996</v>
      </c>
      <c r="S6800">
        <v>3.6300659999999998E-2</v>
      </c>
      <c r="T6800">
        <v>-0.14320060000000001</v>
      </c>
      <c r="U6800">
        <v>3.00964399999999</v>
      </c>
      <c r="V6800">
        <v>-5.1387540000000002E-2</v>
      </c>
      <c r="W6800">
        <v>3.7921219999999999E-2</v>
      </c>
      <c r="X6800">
        <v>0.99795849999999897</v>
      </c>
      <c r="Y6800">
        <v>-3.502275E-3</v>
      </c>
      <c r="Z6800">
        <v>-4.7516349999999999E-2</v>
      </c>
      <c r="AA6800">
        <v>0.99886430000000004</v>
      </c>
      <c r="AB6800">
        <v>31</v>
      </c>
      <c r="AC6800">
        <v>0.27450000000001701</v>
      </c>
      <c r="AD6800">
        <v>-1.103632583752</v>
      </c>
      <c r="AE6800">
        <v>22.863990000000001</v>
      </c>
      <c r="AF6800">
        <v>-8.0854482820950202E-2</v>
      </c>
      <c r="AG6800">
        <v>-1.103632583752</v>
      </c>
      <c r="AH6800">
        <v>22.812350335106999</v>
      </c>
      <c r="AI6800">
        <v>92.769720281899296</v>
      </c>
      <c r="AJ6800">
        <v>90.203074262568407</v>
      </c>
      <c r="AK6800">
        <v>22.839174024884699</v>
      </c>
    </row>
    <row r="6801" spans="1:37" x14ac:dyDescent="0.2">
      <c r="A6801" t="str">
        <f>"20200111155735749"</f>
        <v>20200111155735749</v>
      </c>
      <c r="B6801" t="str">
        <f>"1578729455739843"</f>
        <v>1578729455739843</v>
      </c>
      <c r="C6801" t="s">
        <v>37</v>
      </c>
      <c r="D6801">
        <v>4.8313949999999997</v>
      </c>
      <c r="E6801">
        <v>0.5193468</v>
      </c>
      <c r="F6801" t="s">
        <v>38</v>
      </c>
      <c r="G6801">
        <v>-187.90520000000001</v>
      </c>
      <c r="H6801" s="1">
        <v>-2.1551980000000001E-6</v>
      </c>
      <c r="I6801">
        <v>113.79040000000001</v>
      </c>
      <c r="J6801">
        <v>-188.21709999999999</v>
      </c>
      <c r="K6801">
        <v>1.1036029999999999</v>
      </c>
      <c r="L6801">
        <v>89.927980000000005</v>
      </c>
      <c r="M6801">
        <v>1.5670179999999999E-2</v>
      </c>
      <c r="N6801">
        <v>0</v>
      </c>
      <c r="O6801">
        <v>0.99986719999999896</v>
      </c>
      <c r="P6801">
        <v>-3.4863270000000002E-2</v>
      </c>
      <c r="Q6801">
        <v>3.2861410000000001E-2</v>
      </c>
      <c r="R6801">
        <v>0.99885170000000001</v>
      </c>
      <c r="S6801">
        <v>3.9443970000000002E-2</v>
      </c>
      <c r="T6801">
        <v>-0.137373</v>
      </c>
      <c r="U6801">
        <v>3.0095830000000001</v>
      </c>
      <c r="V6801">
        <v>-5.0500650000000001E-2</v>
      </c>
      <c r="W6801">
        <v>3.7348939999999997E-2</v>
      </c>
      <c r="X6801">
        <v>0.99802539999999995</v>
      </c>
      <c r="Y6801">
        <v>-2.5792219999999999E-3</v>
      </c>
      <c r="Z6801">
        <v>-4.5587290000000003E-2</v>
      </c>
      <c r="AA6801">
        <v>0.99895699999999998</v>
      </c>
      <c r="AB6801">
        <v>31</v>
      </c>
      <c r="AC6801">
        <v>0.31189999999998003</v>
      </c>
      <c r="AD6801">
        <v>-1.103605155198</v>
      </c>
      <c r="AE6801">
        <v>23.86242</v>
      </c>
      <c r="AF6801">
        <v>-6.1937999532298699E-2</v>
      </c>
      <c r="AG6801">
        <v>-1.103605155198</v>
      </c>
      <c r="AH6801">
        <v>23.8134507504484</v>
      </c>
      <c r="AI6801">
        <v>92.653395110266999</v>
      </c>
      <c r="AJ6801">
        <v>90.149024095640598</v>
      </c>
      <c r="AK6801">
        <v>23.839090110538901</v>
      </c>
    </row>
    <row r="6802" spans="1:37" x14ac:dyDescent="0.2">
      <c r="A6802" t="str">
        <f>"20200111155735765"</f>
        <v>20200111155735765</v>
      </c>
      <c r="B6802" t="str">
        <f>"1578729455760341"</f>
        <v>1578729455760341</v>
      </c>
      <c r="C6802" t="s">
        <v>37</v>
      </c>
      <c r="D6802">
        <v>4.8821580000000004</v>
      </c>
      <c r="E6802">
        <v>0.51934820000000004</v>
      </c>
      <c r="F6802" t="s">
        <v>38</v>
      </c>
      <c r="G6802">
        <v>-187.87389999999999</v>
      </c>
      <c r="H6802" s="1">
        <v>-2.4293549999999998E-6</v>
      </c>
      <c r="I6802">
        <v>114.4165</v>
      </c>
      <c r="J6802">
        <v>-188.21350000000001</v>
      </c>
      <c r="K6802">
        <v>1.1035809999999999</v>
      </c>
      <c r="L6802">
        <v>90.154880000000006</v>
      </c>
      <c r="M6802">
        <v>1.5757159999999999E-2</v>
      </c>
      <c r="N6802">
        <v>0</v>
      </c>
      <c r="O6802">
        <v>0.99986640000000004</v>
      </c>
      <c r="P6802">
        <v>-3.4309619999999999E-2</v>
      </c>
      <c r="Q6802">
        <v>3.1875090000000002E-2</v>
      </c>
      <c r="R6802">
        <v>0.99890279999999998</v>
      </c>
      <c r="S6802">
        <v>4.2175289999999997E-2</v>
      </c>
      <c r="T6802">
        <v>-0.13562060000000001</v>
      </c>
      <c r="U6802">
        <v>3.009369</v>
      </c>
      <c r="V6802">
        <v>-5.0034879999999997E-2</v>
      </c>
      <c r="W6802">
        <v>3.623676E-2</v>
      </c>
      <c r="X6802">
        <v>0.99808980000000003</v>
      </c>
      <c r="Y6802">
        <v>-1.7584199999999999E-3</v>
      </c>
      <c r="Z6802">
        <v>-4.5009819999999999E-2</v>
      </c>
      <c r="AA6802">
        <v>0.99898500000000001</v>
      </c>
      <c r="AB6802">
        <v>32</v>
      </c>
      <c r="AC6802">
        <v>0.339600000000018</v>
      </c>
      <c r="AD6802">
        <v>-1.103583429355</v>
      </c>
      <c r="AE6802">
        <v>24.261619999999901</v>
      </c>
      <c r="AF6802">
        <v>-4.2651771215003E-2</v>
      </c>
      <c r="AG6802">
        <v>-1.103583429355</v>
      </c>
      <c r="AH6802">
        <v>24.213869137896001</v>
      </c>
      <c r="AI6802">
        <v>92.609531248054694</v>
      </c>
      <c r="AJ6802">
        <v>90.100924141367301</v>
      </c>
      <c r="AK6802">
        <v>24.239042352912499</v>
      </c>
    </row>
    <row r="6803" spans="1:37" x14ac:dyDescent="0.2">
      <c r="A6803" t="str">
        <f>"20200111155735782"</f>
        <v>20200111155735782</v>
      </c>
      <c r="B6803" t="str">
        <f>"1578729455770100"</f>
        <v>1578729455770100</v>
      </c>
      <c r="C6803" t="s">
        <v>37</v>
      </c>
      <c r="D6803">
        <v>4.6544210000000001</v>
      </c>
      <c r="E6803">
        <v>0.5194628</v>
      </c>
      <c r="F6803" t="s">
        <v>38</v>
      </c>
      <c r="G6803">
        <v>-187.8527</v>
      </c>
      <c r="H6803" s="1">
        <v>-2.6147339999999998E-6</v>
      </c>
      <c r="I6803">
        <v>114.8399</v>
      </c>
      <c r="J6803">
        <v>-188.2097</v>
      </c>
      <c r="K6803">
        <v>1.1035549999999901</v>
      </c>
      <c r="L6803">
        <v>90.394440000000003</v>
      </c>
      <c r="M6803">
        <v>1.5848770000000002E-2</v>
      </c>
      <c r="N6803">
        <v>0</v>
      </c>
      <c r="O6803">
        <v>0.99986540000000002</v>
      </c>
      <c r="P6803">
        <v>-3.3830789999999999E-2</v>
      </c>
      <c r="Q6803">
        <v>2.942353E-2</v>
      </c>
      <c r="R6803">
        <v>0.99899439999999995</v>
      </c>
      <c r="S6803">
        <v>4.397583E-2</v>
      </c>
      <c r="T6803">
        <v>-0.13452629999999999</v>
      </c>
      <c r="U6803">
        <v>3.0090939999999899</v>
      </c>
      <c r="V6803">
        <v>-4.9649560000000002E-2</v>
      </c>
      <c r="W6803">
        <v>3.3669129999999999E-2</v>
      </c>
      <c r="X6803">
        <v>0.99819899999999995</v>
      </c>
      <c r="Y6803">
        <v>-1.250889E-3</v>
      </c>
      <c r="Z6803">
        <v>-4.4651169999999997E-2</v>
      </c>
      <c r="AA6803">
        <v>0.9990019</v>
      </c>
      <c r="AB6803">
        <v>32</v>
      </c>
      <c r="AC6803">
        <v>0.35699999999999898</v>
      </c>
      <c r="AD6803">
        <v>-1.1035576147339901</v>
      </c>
      <c r="AE6803">
        <v>24.445460000000001</v>
      </c>
      <c r="AF6803">
        <v>-3.0416824809231299E-2</v>
      </c>
      <c r="AG6803">
        <v>-1.1035576147339901</v>
      </c>
      <c r="AH6803">
        <v>24.3983356715048</v>
      </c>
      <c r="AI6803">
        <v>92.589770044382803</v>
      </c>
      <c r="AJ6803">
        <v>90.071429248632299</v>
      </c>
      <c r="AK6803">
        <v>24.423299288419098</v>
      </c>
    </row>
    <row r="6804" spans="1:37" x14ac:dyDescent="0.2">
      <c r="A6804" t="str">
        <f>"20200111155735805"</f>
        <v>20200111155735805</v>
      </c>
      <c r="B6804" t="str">
        <f>"1578729455800356"</f>
        <v>1578729455800356</v>
      </c>
      <c r="C6804" t="s">
        <v>37</v>
      </c>
      <c r="D6804">
        <v>4.9460169999999897</v>
      </c>
      <c r="E6804">
        <v>0.51845429999999904</v>
      </c>
      <c r="F6804" t="s">
        <v>38</v>
      </c>
      <c r="G6804">
        <v>-187.84479999999999</v>
      </c>
      <c r="H6804" s="1">
        <v>-2.2176869999999998E-6</v>
      </c>
      <c r="I6804">
        <v>113.9111</v>
      </c>
      <c r="J6804">
        <v>-188.20439999999999</v>
      </c>
      <c r="K6804">
        <v>1.103534</v>
      </c>
      <c r="L6804">
        <v>90.717159999999893</v>
      </c>
      <c r="M6804">
        <v>1.5972429999999999E-2</v>
      </c>
      <c r="N6804">
        <v>0</v>
      </c>
      <c r="O6804">
        <v>0.99986399999999998</v>
      </c>
      <c r="P6804">
        <v>-3.3494459999999997E-2</v>
      </c>
      <c r="Q6804">
        <v>2.7112509999999999E-2</v>
      </c>
      <c r="R6804">
        <v>0.99907109999999899</v>
      </c>
      <c r="S6804">
        <v>4.6676639999999998E-2</v>
      </c>
      <c r="T6804">
        <v>-0.1411907</v>
      </c>
      <c r="U6804">
        <v>3.008759</v>
      </c>
      <c r="V6804">
        <v>-4.9438799999999998E-2</v>
      </c>
      <c r="W6804">
        <v>3.1234729999999999E-2</v>
      </c>
      <c r="X6804">
        <v>0.99828859999999997</v>
      </c>
      <c r="Y6804">
        <v>-4.77944E-4</v>
      </c>
      <c r="Z6804">
        <v>-4.6863210000000002E-2</v>
      </c>
      <c r="AA6804">
        <v>0.99890119999999905</v>
      </c>
      <c r="AB6804">
        <v>32</v>
      </c>
      <c r="AC6804">
        <v>0.35959999999999998</v>
      </c>
      <c r="AD6804">
        <v>-1.1035362176870001</v>
      </c>
      <c r="AE6804">
        <v>23.193940000000001</v>
      </c>
      <c r="AF6804">
        <v>-1.0887939280862499E-2</v>
      </c>
      <c r="AG6804">
        <v>-1.1035362176870001</v>
      </c>
      <c r="AH6804">
        <v>23.144344997216699</v>
      </c>
      <c r="AI6804">
        <v>92.729829299890596</v>
      </c>
      <c r="AJ6804">
        <v>90.0269540106856</v>
      </c>
      <c r="AK6804">
        <v>23.1706412531281</v>
      </c>
    </row>
    <row r="6805" spans="1:37" x14ac:dyDescent="0.2">
      <c r="A6805" t="str">
        <f>"20200111155735828"</f>
        <v>20200111155735828</v>
      </c>
      <c r="B6805" t="str">
        <f>"1578729455819876"</f>
        <v>1578729455819876</v>
      </c>
      <c r="C6805" t="s">
        <v>37</v>
      </c>
      <c r="D6805">
        <v>4.7950549999999996</v>
      </c>
      <c r="E6805">
        <v>0.51797260000000001</v>
      </c>
      <c r="F6805" t="s">
        <v>38</v>
      </c>
      <c r="G6805">
        <v>-187.91030000000001</v>
      </c>
      <c r="H6805" s="1">
        <v>-1.7678099999999899E-6</v>
      </c>
      <c r="I6805">
        <v>112.8895</v>
      </c>
      <c r="J6805">
        <v>-188.19890000000001</v>
      </c>
      <c r="K6805">
        <v>1.1035170000000001</v>
      </c>
      <c r="L6805">
        <v>91.053740000000005</v>
      </c>
      <c r="M6805">
        <v>1.610017E-2</v>
      </c>
      <c r="N6805">
        <v>0</v>
      </c>
      <c r="O6805">
        <v>0.99986229999999998</v>
      </c>
      <c r="P6805">
        <v>-3.3759959999999999E-2</v>
      </c>
      <c r="Q6805">
        <v>2.5852360000000001E-2</v>
      </c>
      <c r="R6805">
        <v>0.99909559999999997</v>
      </c>
      <c r="S6805">
        <v>3.9901730000000003E-2</v>
      </c>
      <c r="T6805">
        <v>-0.1497194</v>
      </c>
      <c r="U6805">
        <v>3.0081790000000002</v>
      </c>
      <c r="V6805">
        <v>-4.983216E-2</v>
      </c>
      <c r="W6805">
        <v>2.98759E-2</v>
      </c>
      <c r="X6805">
        <v>0.9983107</v>
      </c>
      <c r="Y6805">
        <v>-2.8537419999999998E-3</v>
      </c>
      <c r="Z6805">
        <v>-4.9697320000000003E-2</v>
      </c>
      <c r="AA6805">
        <v>0.99876019999999899</v>
      </c>
      <c r="AB6805">
        <v>32</v>
      </c>
      <c r="AC6805">
        <v>0.28860000000000202</v>
      </c>
      <c r="AD6805">
        <v>-1.10351876781</v>
      </c>
      <c r="AE6805">
        <v>21.835760000000001</v>
      </c>
      <c r="AF6805">
        <v>-6.2839233429405006E-2</v>
      </c>
      <c r="AG6805">
        <v>-1.10351876781</v>
      </c>
      <c r="AH6805">
        <v>21.7819545910295</v>
      </c>
      <c r="AI6805">
        <v>92.900230773097604</v>
      </c>
      <c r="AJ6805">
        <v>90.165293378968499</v>
      </c>
      <c r="AK6805">
        <v>21.809980473302598</v>
      </c>
    </row>
    <row r="6806" spans="1:37" x14ac:dyDescent="0.2">
      <c r="A6806" t="str">
        <f>"20200111155735850"</f>
        <v>20200111155735850</v>
      </c>
      <c r="B6806" t="str">
        <f>"1578729455840371"</f>
        <v>1578729455840371</v>
      </c>
      <c r="C6806" t="s">
        <v>37</v>
      </c>
      <c r="D6806">
        <v>4.6396100000000002</v>
      </c>
      <c r="E6806">
        <v>0.51731640000000001</v>
      </c>
      <c r="F6806" t="s">
        <v>38</v>
      </c>
      <c r="G6806">
        <v>-187.93530000000001</v>
      </c>
      <c r="H6806" s="1">
        <v>-1.9143570000000001E-6</v>
      </c>
      <c r="I6806">
        <v>113.2415</v>
      </c>
      <c r="J6806">
        <v>-188.19380000000001</v>
      </c>
      <c r="K6806">
        <v>1.103515</v>
      </c>
      <c r="L6806">
        <v>91.366640000000004</v>
      </c>
      <c r="M6806">
        <v>1.6214059999999999E-2</v>
      </c>
      <c r="N6806">
        <v>0</v>
      </c>
      <c r="O6806">
        <v>0.99986079999999999</v>
      </c>
      <c r="P6806">
        <v>-3.5556900000000002E-2</v>
      </c>
      <c r="Q6806">
        <v>2.5934269999999999E-2</v>
      </c>
      <c r="R6806">
        <v>0.99903109999999995</v>
      </c>
      <c r="S6806">
        <v>3.5736080000000003E-2</v>
      </c>
      <c r="T6806">
        <v>-0.1495938</v>
      </c>
      <c r="U6806">
        <v>3.0077820000000002</v>
      </c>
      <c r="V6806">
        <v>-5.1742349999999999E-2</v>
      </c>
      <c r="W6806">
        <v>2.9890199999999999E-2</v>
      </c>
      <c r="X6806">
        <v>0.99821309999999996</v>
      </c>
      <c r="Y6806">
        <v>-4.3488889999999999E-3</v>
      </c>
      <c r="Z6806">
        <v>-4.9662400000000002E-2</v>
      </c>
      <c r="AA6806">
        <v>0.998756599999999</v>
      </c>
      <c r="AB6806">
        <v>32</v>
      </c>
      <c r="AC6806">
        <v>0.25849999999999701</v>
      </c>
      <c r="AD6806">
        <v>-1.1035169143570001</v>
      </c>
      <c r="AE6806">
        <v>21.874860000000002</v>
      </c>
      <c r="AF6806">
        <v>-9.5972815428041203E-2</v>
      </c>
      <c r="AG6806">
        <v>-1.1035169143570001</v>
      </c>
      <c r="AH6806">
        <v>21.8206525263098</v>
      </c>
      <c r="AI6806">
        <v>92.895075322108397</v>
      </c>
      <c r="AJ6806">
        <v>90.251999879842799</v>
      </c>
      <c r="AK6806">
        <v>21.848749095440802</v>
      </c>
    </row>
    <row r="6807" spans="1:37" x14ac:dyDescent="0.2">
      <c r="A6807" t="str">
        <f>"20200111155735871"</f>
        <v>20200111155735871</v>
      </c>
      <c r="B6807" t="str">
        <f>"1578729455859891"</f>
        <v>1578729455859891</v>
      </c>
      <c r="C6807" t="s">
        <v>37</v>
      </c>
      <c r="D6807">
        <v>4.8126610000000003</v>
      </c>
      <c r="E6807">
        <v>0.51666920000000005</v>
      </c>
      <c r="F6807" t="s">
        <v>38</v>
      </c>
      <c r="G6807">
        <v>-188.00710000000001</v>
      </c>
      <c r="H6807" s="1">
        <v>-2.0056400000000002E-6</v>
      </c>
      <c r="I6807">
        <v>113.48390000000001</v>
      </c>
      <c r="J6807">
        <v>-188.18860000000001</v>
      </c>
      <c r="K6807">
        <v>1.1035189999999999</v>
      </c>
      <c r="L6807">
        <v>91.680940000000007</v>
      </c>
      <c r="M6807">
        <v>1.631937E-2</v>
      </c>
      <c r="N6807">
        <v>0</v>
      </c>
      <c r="O6807">
        <v>0.99985919999999895</v>
      </c>
      <c r="P6807">
        <v>-3.7616499999999997E-2</v>
      </c>
      <c r="Q6807">
        <v>2.71379E-2</v>
      </c>
      <c r="R6807">
        <v>0.99892369999999997</v>
      </c>
      <c r="S6807">
        <v>2.5390630000000001E-2</v>
      </c>
      <c r="T6807">
        <v>-0.15006529999999901</v>
      </c>
      <c r="U6807">
        <v>3.0076900000000002</v>
      </c>
      <c r="V6807">
        <v>-5.3904630000000002E-2</v>
      </c>
      <c r="W6807">
        <v>3.104838E-2</v>
      </c>
      <c r="X6807">
        <v>0.99806329999999999</v>
      </c>
      <c r="Y6807">
        <v>-7.8889240000000003E-3</v>
      </c>
      <c r="Z6807">
        <v>-4.982027E-2</v>
      </c>
      <c r="AA6807">
        <v>0.99872700000000003</v>
      </c>
      <c r="AB6807">
        <v>32</v>
      </c>
      <c r="AC6807">
        <v>0.181499999999999</v>
      </c>
      <c r="AD6807">
        <v>-1.10352100564</v>
      </c>
      <c r="AE6807">
        <v>21.802959999999999</v>
      </c>
      <c r="AF6807">
        <v>-0.17389202617774399</v>
      </c>
      <c r="AG6807">
        <v>-1.10352100564</v>
      </c>
      <c r="AH6807">
        <v>21.7473119600518</v>
      </c>
      <c r="AI6807">
        <v>92.904768071142598</v>
      </c>
      <c r="AJ6807">
        <v>90.4581286587823</v>
      </c>
      <c r="AK6807">
        <v>21.775986189710601</v>
      </c>
    </row>
    <row r="6808" spans="1:37" x14ac:dyDescent="0.2">
      <c r="A6808" t="str">
        <f>"20200111155735894"</f>
        <v>20200111155735894</v>
      </c>
      <c r="B6808" t="str">
        <f>"1578729455890148"</f>
        <v>1578729455890148</v>
      </c>
      <c r="C6808" t="s">
        <v>37</v>
      </c>
      <c r="D6808">
        <v>4.8484509999999998</v>
      </c>
      <c r="E6808">
        <v>0.51572390000000001</v>
      </c>
      <c r="F6808" t="s">
        <v>38</v>
      </c>
      <c r="G6808">
        <v>-188.08150000000001</v>
      </c>
      <c r="H6808" s="1">
        <v>-2.3512809999999999E-6</v>
      </c>
      <c r="I6808">
        <v>114.32040000000001</v>
      </c>
      <c r="J6808">
        <v>-188.1832</v>
      </c>
      <c r="K6808">
        <v>1.1035360000000001</v>
      </c>
      <c r="L6808">
        <v>92.007599999999996</v>
      </c>
      <c r="M6808">
        <v>1.6418249999999999E-2</v>
      </c>
      <c r="N6808">
        <v>0</v>
      </c>
      <c r="O6808">
        <v>0.99985769999999996</v>
      </c>
      <c r="P6808">
        <v>-3.9117109999999997E-2</v>
      </c>
      <c r="Q6808">
        <v>2.9299080000000002E-2</v>
      </c>
      <c r="R6808">
        <v>0.99880499999999905</v>
      </c>
      <c r="S6808">
        <v>1.4236449999999999E-2</v>
      </c>
      <c r="T6808">
        <v>-0.14660789999999899</v>
      </c>
      <c r="U6808">
        <v>3.0077509999999998</v>
      </c>
      <c r="V6808">
        <v>-5.5501729999999999E-2</v>
      </c>
      <c r="W6808">
        <v>3.3186849999999997E-2</v>
      </c>
      <c r="X6808">
        <v>0.99790689999999904</v>
      </c>
      <c r="Y6808">
        <v>-1.169124E-2</v>
      </c>
      <c r="Z6808">
        <v>-4.867378E-2</v>
      </c>
      <c r="AA6808">
        <v>0.99874629999999998</v>
      </c>
      <c r="AB6808">
        <v>32</v>
      </c>
      <c r="AC6808">
        <v>0.101699999999993</v>
      </c>
      <c r="AD6808">
        <v>-1.103538351281</v>
      </c>
      <c r="AE6808">
        <v>22.312799999999999</v>
      </c>
      <c r="AF6808">
        <v>-0.26400782319280602</v>
      </c>
      <c r="AG6808">
        <v>-1.103538351281</v>
      </c>
      <c r="AH6808">
        <v>22.257021363554301</v>
      </c>
      <c r="AI6808">
        <v>92.838291639846901</v>
      </c>
      <c r="AJ6808">
        <v>90.679597884951207</v>
      </c>
      <c r="AK6808">
        <v>22.285925984826498</v>
      </c>
    </row>
    <row r="6809" spans="1:37" x14ac:dyDescent="0.2">
      <c r="A6809" t="str">
        <f>"20200111155735916"</f>
        <v>20200111155735916</v>
      </c>
      <c r="B6809" t="str">
        <f>"1578729455909669"</f>
        <v>1578729455909669</v>
      </c>
      <c r="C6809" t="s">
        <v>37</v>
      </c>
      <c r="D6809">
        <v>4.6681739999999996</v>
      </c>
      <c r="E6809">
        <v>0.51550149999999995</v>
      </c>
      <c r="F6809" t="s">
        <v>38</v>
      </c>
      <c r="G6809">
        <v>-188.1662</v>
      </c>
      <c r="H6809" s="1">
        <v>-2.94855299999999E-6</v>
      </c>
      <c r="I6809">
        <v>115.74769999999999</v>
      </c>
      <c r="J6809">
        <v>-188.17760000000001</v>
      </c>
      <c r="K6809">
        <v>1.103553</v>
      </c>
      <c r="L6809">
        <v>92.346100000000007</v>
      </c>
      <c r="M6809">
        <v>1.6509799999999901E-2</v>
      </c>
      <c r="N6809">
        <v>0</v>
      </c>
      <c r="O6809">
        <v>0.99985609999999903</v>
      </c>
      <c r="P6809">
        <v>-3.985271E-2</v>
      </c>
      <c r="Q6809">
        <v>3.0202219999999998E-2</v>
      </c>
      <c r="R6809">
        <v>0.998749</v>
      </c>
      <c r="S6809">
        <v>2.1514889999999999E-3</v>
      </c>
      <c r="T6809">
        <v>-0.13981440000000001</v>
      </c>
      <c r="U6809">
        <v>3.0077820000000002</v>
      </c>
      <c r="V6809">
        <v>-5.6328410000000002E-2</v>
      </c>
      <c r="W6809">
        <v>3.4098040000000003E-2</v>
      </c>
      <c r="X6809">
        <v>0.99782990000000005</v>
      </c>
      <c r="Y6809">
        <v>-1.5795480000000001E-2</v>
      </c>
      <c r="Z6809">
        <v>-4.6421690000000002E-2</v>
      </c>
      <c r="AA6809">
        <v>0.99879709999999999</v>
      </c>
      <c r="AB6809">
        <v>33</v>
      </c>
      <c r="AC6809">
        <v>1.14000000000089E-2</v>
      </c>
      <c r="AD6809">
        <v>-1.103555948553</v>
      </c>
      <c r="AE6809">
        <v>23.401599999999899</v>
      </c>
      <c r="AF6809">
        <v>-0.37412823715201798</v>
      </c>
      <c r="AG6809">
        <v>-1.103555948553</v>
      </c>
      <c r="AH6809">
        <v>23.3466800594429</v>
      </c>
      <c r="AI6809">
        <v>92.705908150558002</v>
      </c>
      <c r="AJ6809">
        <v>90.9180806141528</v>
      </c>
      <c r="AK6809">
        <v>23.375741217497499</v>
      </c>
    </row>
    <row r="6810" spans="1:37" x14ac:dyDescent="0.2">
      <c r="A6810" t="str">
        <f>"20200111155735940"</f>
        <v>20200111155735940</v>
      </c>
      <c r="B6810" t="str">
        <f>"1578729455930165"</f>
        <v>1578729455930165</v>
      </c>
      <c r="C6810" t="s">
        <v>37</v>
      </c>
      <c r="D6810">
        <v>4.655265</v>
      </c>
      <c r="E6810">
        <v>0.51528589999999996</v>
      </c>
      <c r="F6810" t="s">
        <v>38</v>
      </c>
      <c r="G6810">
        <v>-188.1927</v>
      </c>
      <c r="H6810" s="1">
        <v>-3.238192E-6</v>
      </c>
      <c r="I6810">
        <v>116.43380000000001</v>
      </c>
      <c r="J6810">
        <v>-188.172</v>
      </c>
      <c r="K6810">
        <v>1.103572</v>
      </c>
      <c r="L6810">
        <v>92.683229999999995</v>
      </c>
      <c r="M6810">
        <v>1.6590520000000001E-2</v>
      </c>
      <c r="N6810">
        <v>0</v>
      </c>
      <c r="O6810">
        <v>0.99985449999999998</v>
      </c>
      <c r="P6810">
        <v>-3.9552509999999999E-2</v>
      </c>
      <c r="Q6810">
        <v>3.042255E-2</v>
      </c>
      <c r="R6810">
        <v>0.99875429999999998</v>
      </c>
      <c r="S6810">
        <v>-1.8920899999999999E-3</v>
      </c>
      <c r="T6810">
        <v>-0.1378016</v>
      </c>
      <c r="U6810">
        <v>3.0078429999999998</v>
      </c>
      <c r="V6810">
        <v>-5.610946E-2</v>
      </c>
      <c r="W6810">
        <v>3.4384919999999999E-2</v>
      </c>
      <c r="X6810">
        <v>0.99783239999999995</v>
      </c>
      <c r="Y6810">
        <v>-1.721895E-2</v>
      </c>
      <c r="Z6810">
        <v>-4.5753240000000001E-2</v>
      </c>
      <c r="AA6810">
        <v>0.99880429999999998</v>
      </c>
      <c r="AB6810">
        <v>33</v>
      </c>
      <c r="AC6810">
        <v>-2.0700000000004999E-2</v>
      </c>
      <c r="AD6810">
        <v>-1.1035752381920001</v>
      </c>
      <c r="AE6810">
        <v>23.75057</v>
      </c>
      <c r="AF6810">
        <v>-0.413841068639692</v>
      </c>
      <c r="AG6810">
        <v>-1.1035752381920001</v>
      </c>
      <c r="AH6810">
        <v>23.695798116437601</v>
      </c>
      <c r="AI6810">
        <v>92.666081425853903</v>
      </c>
      <c r="AJ6810">
        <v>91.000554450895606</v>
      </c>
      <c r="AK6810">
        <v>23.7250920148144</v>
      </c>
    </row>
    <row r="6811" spans="1:37" x14ac:dyDescent="0.2">
      <c r="A6811" t="str">
        <f>"20200111155735961"</f>
        <v>20200111155735961</v>
      </c>
      <c r="B6811" t="str">
        <f>"1578729455949684"</f>
        <v>1578729455949684</v>
      </c>
      <c r="C6811" t="s">
        <v>37</v>
      </c>
      <c r="D6811">
        <v>4.8092680000000003</v>
      </c>
      <c r="E6811">
        <v>0.51497440000000005</v>
      </c>
      <c r="F6811" t="s">
        <v>38</v>
      </c>
      <c r="G6811">
        <v>-188.19479999999999</v>
      </c>
      <c r="H6811" s="1">
        <v>-3.3651249999999998E-6</v>
      </c>
      <c r="I6811">
        <v>116.73050000000001</v>
      </c>
      <c r="J6811">
        <v>-188.16669999999999</v>
      </c>
      <c r="K6811">
        <v>1.1036090000000001</v>
      </c>
      <c r="L6811">
        <v>92.997339999999994</v>
      </c>
      <c r="M6811">
        <v>1.665755E-2</v>
      </c>
      <c r="N6811">
        <v>0</v>
      </c>
      <c r="O6811">
        <v>0.99985279999999999</v>
      </c>
      <c r="P6811">
        <v>-3.895216E-2</v>
      </c>
      <c r="Q6811">
        <v>3.0061379999999999E-2</v>
      </c>
      <c r="R6811">
        <v>0.99878880000000003</v>
      </c>
      <c r="S6811">
        <v>-2.853394E-3</v>
      </c>
      <c r="T6811">
        <v>-0.13803550000000001</v>
      </c>
      <c r="U6811">
        <v>3.0078429999999998</v>
      </c>
      <c r="V6811">
        <v>-5.5576939999999998E-2</v>
      </c>
      <c r="W6811">
        <v>3.41862E-2</v>
      </c>
      <c r="X6811">
        <v>0.99786900000000001</v>
      </c>
      <c r="Y6811">
        <v>-1.7605200000000001E-2</v>
      </c>
      <c r="Z6811">
        <v>-4.5830500000000003E-2</v>
      </c>
      <c r="AA6811">
        <v>0.99879409999999902</v>
      </c>
      <c r="AB6811">
        <v>33</v>
      </c>
      <c r="AC6811">
        <v>-2.80999999999949E-2</v>
      </c>
      <c r="AD6811">
        <v>-1.103612365125</v>
      </c>
      <c r="AE6811">
        <v>23.733160000000002</v>
      </c>
      <c r="AF6811">
        <v>-0.42252211103663101</v>
      </c>
      <c r="AG6811">
        <v>-1.103612365125</v>
      </c>
      <c r="AH6811">
        <v>23.678198958614999</v>
      </c>
      <c r="AI6811">
        <v>92.668131946770998</v>
      </c>
      <c r="AJ6811">
        <v>91.0222975456998</v>
      </c>
      <c r="AK6811">
        <v>23.707669457593902</v>
      </c>
    </row>
    <row r="6812" spans="1:37" x14ac:dyDescent="0.2">
      <c r="A6812" t="str">
        <f>"20200111155735983"</f>
        <v>20200111155735983</v>
      </c>
      <c r="B6812" t="str">
        <f>"1578729455979940"</f>
        <v>1578729455979940</v>
      </c>
      <c r="C6812" t="s">
        <v>37</v>
      </c>
      <c r="D6812">
        <v>4.6739239999999898</v>
      </c>
      <c r="E6812">
        <v>0.51469359999999997</v>
      </c>
      <c r="F6812" t="s">
        <v>38</v>
      </c>
      <c r="G6812">
        <v>-188.1908</v>
      </c>
      <c r="H6812" s="1">
        <v>-3.4365449999999998E-6</v>
      </c>
      <c r="I6812">
        <v>116.8954</v>
      </c>
      <c r="J6812">
        <v>-188.16099999999901</v>
      </c>
      <c r="K6812">
        <v>1.103661</v>
      </c>
      <c r="L6812">
        <v>93.336699999999993</v>
      </c>
      <c r="M6812">
        <v>1.672351E-2</v>
      </c>
      <c r="N6812">
        <v>0</v>
      </c>
      <c r="O6812">
        <v>0.99985049999999998</v>
      </c>
      <c r="P6812">
        <v>-3.8090840000000001E-2</v>
      </c>
      <c r="Q6812">
        <v>2.8854210000000002E-2</v>
      </c>
      <c r="R6812">
        <v>0.99885759999999901</v>
      </c>
      <c r="S6812">
        <v>-3.0364989999999998E-3</v>
      </c>
      <c r="T6812">
        <v>-0.1388953</v>
      </c>
      <c r="U6812">
        <v>3.0076900000000002</v>
      </c>
      <c r="V6812">
        <v>-5.478355E-2</v>
      </c>
      <c r="W6812">
        <v>3.3242599999999997E-2</v>
      </c>
      <c r="X6812">
        <v>0.99794470000000002</v>
      </c>
      <c r="Y6812">
        <v>-1.7732020000000001E-2</v>
      </c>
      <c r="Z6812">
        <v>-4.611759E-2</v>
      </c>
      <c r="AA6812">
        <v>0.99877859999999996</v>
      </c>
      <c r="AB6812">
        <v>33</v>
      </c>
      <c r="AC6812">
        <v>-2.9800000000022898E-2</v>
      </c>
      <c r="AD6812">
        <v>-1.1036644365449999</v>
      </c>
      <c r="AE6812">
        <v>23.558700000000002</v>
      </c>
      <c r="AF6812">
        <v>-0.42285575774707901</v>
      </c>
      <c r="AG6812">
        <v>-1.1036644365449999</v>
      </c>
      <c r="AH6812">
        <v>23.503324718109301</v>
      </c>
      <c r="AI6812">
        <v>92.688074492602595</v>
      </c>
      <c r="AJ6812">
        <v>91.030715312660504</v>
      </c>
      <c r="AK6812">
        <v>23.533022648721499</v>
      </c>
    </row>
    <row r="6813" spans="1:37" x14ac:dyDescent="0.2">
      <c r="A6813" t="str">
        <f>"20200111155736006"</f>
        <v>20200111155736006</v>
      </c>
      <c r="B6813" t="str">
        <f>"1578729456000438"</f>
        <v>1578729456000438</v>
      </c>
      <c r="C6813" t="s">
        <v>37</v>
      </c>
      <c r="D6813">
        <v>4.8586989999999997</v>
      </c>
      <c r="E6813">
        <v>0.51439290000000004</v>
      </c>
      <c r="F6813" t="s">
        <v>38</v>
      </c>
      <c r="G6813">
        <v>-188.1798</v>
      </c>
      <c r="H6813" s="1">
        <v>-3.4543909999999999E-6</v>
      </c>
      <c r="I6813">
        <v>116.9324</v>
      </c>
      <c r="J6813">
        <v>-188.15530000000001</v>
      </c>
      <c r="K6813">
        <v>1.103742</v>
      </c>
      <c r="L6813">
        <v>93.673519999999996</v>
      </c>
      <c r="M6813">
        <v>1.6779949999999998E-2</v>
      </c>
      <c r="N6813">
        <v>0</v>
      </c>
      <c r="O6813">
        <v>0.99984779999999995</v>
      </c>
      <c r="P6813">
        <v>-3.7828849999999997E-2</v>
      </c>
      <c r="Q6813">
        <v>2.7975779999999999E-2</v>
      </c>
      <c r="R6813">
        <v>0.99889249999999996</v>
      </c>
      <c r="S6813">
        <v>-2.3956300000000002E-3</v>
      </c>
      <c r="T6813">
        <v>-0.14066719999999999</v>
      </c>
      <c r="U6813">
        <v>3.00738499999999</v>
      </c>
      <c r="V6813">
        <v>-5.4578870000000002E-2</v>
      </c>
      <c r="W6813">
        <v>3.27584E-2</v>
      </c>
      <c r="X6813">
        <v>0.99797199999999997</v>
      </c>
      <c r="Y6813">
        <v>-1.7575730000000001E-2</v>
      </c>
      <c r="Z6813">
        <v>-4.6709359999999998E-2</v>
      </c>
      <c r="AA6813">
        <v>0.99875389999999997</v>
      </c>
      <c r="AB6813">
        <v>33</v>
      </c>
      <c r="AC6813">
        <v>-2.4499999999988999E-2</v>
      </c>
      <c r="AD6813">
        <v>-1.1037454543909999</v>
      </c>
      <c r="AE6813">
        <v>23.258880000000001</v>
      </c>
      <c r="AF6813">
        <v>-0.41385186927932799</v>
      </c>
      <c r="AG6813">
        <v>-1.1037454543909999</v>
      </c>
      <c r="AH6813">
        <v>23.202942128023999</v>
      </c>
      <c r="AI6813">
        <v>92.7230290865065</v>
      </c>
      <c r="AJ6813">
        <v>91.021829529706693</v>
      </c>
      <c r="AK6813">
        <v>23.232865746485601</v>
      </c>
    </row>
    <row r="6814" spans="1:37" x14ac:dyDescent="0.2">
      <c r="A6814" t="str">
        <f>"20200111155736027"</f>
        <v>20200111155736027</v>
      </c>
      <c r="B6814" t="str">
        <f>"1578729456019955"</f>
        <v>1578729456019955</v>
      </c>
      <c r="C6814" t="s">
        <v>37</v>
      </c>
      <c r="D6814">
        <v>4.7315069999999997</v>
      </c>
      <c r="E6814">
        <v>0.51417029999999997</v>
      </c>
      <c r="F6814" t="s">
        <v>38</v>
      </c>
      <c r="G6814">
        <v>-188.18599999999901</v>
      </c>
      <c r="H6814" s="1">
        <v>-3.4969060000000001E-6</v>
      </c>
      <c r="I6814">
        <v>117.0341</v>
      </c>
      <c r="J6814">
        <v>-188.1498</v>
      </c>
      <c r="K6814">
        <v>1.1038459999999899</v>
      </c>
      <c r="L6814">
        <v>93.999759999999995</v>
      </c>
      <c r="M6814">
        <v>1.6821760000000002E-2</v>
      </c>
      <c r="N6814">
        <v>0</v>
      </c>
      <c r="O6814">
        <v>0.99984430000000002</v>
      </c>
      <c r="P6814">
        <v>-3.8355489999999999E-2</v>
      </c>
      <c r="Q6814">
        <v>2.7759840000000001E-2</v>
      </c>
      <c r="R6814">
        <v>0.9988785</v>
      </c>
      <c r="S6814">
        <v>-3.952026E-3</v>
      </c>
      <c r="T6814">
        <v>-0.14208209999999999</v>
      </c>
      <c r="U6814">
        <v>3.0071409999999998</v>
      </c>
      <c r="V6814">
        <v>-5.5147389999999998E-2</v>
      </c>
      <c r="W6814">
        <v>3.308676E-2</v>
      </c>
      <c r="X6814">
        <v>0.99792990000000004</v>
      </c>
      <c r="Y6814">
        <v>-1.8134549999999999E-2</v>
      </c>
      <c r="Z6814">
        <v>-4.7181670000000002E-2</v>
      </c>
      <c r="AA6814">
        <v>0.99872169999999905</v>
      </c>
      <c r="AB6814">
        <v>33</v>
      </c>
      <c r="AC6814">
        <v>-3.6199999999979499E-2</v>
      </c>
      <c r="AD6814">
        <v>-1.103849496906</v>
      </c>
      <c r="AE6814">
        <v>23.03434</v>
      </c>
      <c r="AF6814">
        <v>-0.42270777018588901</v>
      </c>
      <c r="AG6814">
        <v>-1.103849496906</v>
      </c>
      <c r="AH6814">
        <v>22.977703312517399</v>
      </c>
      <c r="AI6814">
        <v>92.749911734531807</v>
      </c>
      <c r="AJ6814">
        <v>91.053919064376998</v>
      </c>
      <c r="AK6814">
        <v>23.0080858632105</v>
      </c>
    </row>
    <row r="6815" spans="1:37" x14ac:dyDescent="0.2">
      <c r="A6815" t="str">
        <f>"20200111155736050"</f>
        <v>20200111155736050</v>
      </c>
      <c r="B6815" t="str">
        <f>"1578729456040451"</f>
        <v>1578729456040451</v>
      </c>
      <c r="C6815" t="s">
        <v>37</v>
      </c>
      <c r="D6815">
        <v>4.6790669999999999</v>
      </c>
      <c r="E6815">
        <v>0.51410840000000002</v>
      </c>
      <c r="F6815" t="s">
        <v>38</v>
      </c>
      <c r="G6815">
        <v>-188.2073</v>
      </c>
      <c r="H6815" s="1">
        <v>-3.511478E-6</v>
      </c>
      <c r="I6815">
        <v>117.07689999999999</v>
      </c>
      <c r="J6815">
        <v>-188.14439999999999</v>
      </c>
      <c r="K6815">
        <v>1.103988</v>
      </c>
      <c r="L6815">
        <v>94.317539999999994</v>
      </c>
      <c r="M6815">
        <v>1.6849220000000002E-2</v>
      </c>
      <c r="N6815">
        <v>0</v>
      </c>
      <c r="O6815">
        <v>0.999839899999999</v>
      </c>
      <c r="P6815">
        <v>-3.9345599999999897E-2</v>
      </c>
      <c r="Q6815">
        <v>2.818677E-2</v>
      </c>
      <c r="R6815">
        <v>0.998828099999999</v>
      </c>
      <c r="S6815">
        <v>-7.492065E-3</v>
      </c>
      <c r="T6815">
        <v>-0.14383799999999999</v>
      </c>
      <c r="U6815">
        <v>3.00707999999999</v>
      </c>
      <c r="V6815">
        <v>-5.6165010000000001E-2</v>
      </c>
      <c r="W6815">
        <v>3.4202400000000001E-2</v>
      </c>
      <c r="X6815">
        <v>0.99783549999999999</v>
      </c>
      <c r="Y6815">
        <v>-1.9337739999999999E-2</v>
      </c>
      <c r="Z6815">
        <v>-4.776379E-2</v>
      </c>
      <c r="AA6815">
        <v>0.99867150000000005</v>
      </c>
      <c r="AB6815">
        <v>33</v>
      </c>
      <c r="AC6815">
        <v>-6.2900000000013195E-2</v>
      </c>
      <c r="AD6815">
        <v>-1.1039915114779999</v>
      </c>
      <c r="AE6815">
        <v>22.759359999999901</v>
      </c>
      <c r="AF6815">
        <v>-0.44532766777668698</v>
      </c>
      <c r="AG6815">
        <v>-1.1039915114779999</v>
      </c>
      <c r="AH6815">
        <v>22.701653884179599</v>
      </c>
      <c r="AI6815">
        <v>92.783591162974602</v>
      </c>
      <c r="AJ6815">
        <v>91.123800226396298</v>
      </c>
      <c r="AK6815">
        <v>22.732844148196399</v>
      </c>
    </row>
    <row r="6816" spans="1:37" x14ac:dyDescent="0.2">
      <c r="A6816" t="str">
        <f>"20200111155736063"</f>
        <v>20200111155736063</v>
      </c>
      <c r="B6816" t="str">
        <f>"1578729456059972"</f>
        <v>1578729456059972</v>
      </c>
      <c r="C6816" t="s">
        <v>37</v>
      </c>
      <c r="D6816">
        <v>4.8357479999999997</v>
      </c>
      <c r="E6816">
        <v>0.51399949999999905</v>
      </c>
      <c r="F6816" t="s">
        <v>38</v>
      </c>
      <c r="G6816">
        <v>-188.22640000000001</v>
      </c>
      <c r="H6816" s="1">
        <v>-3.632155E-6</v>
      </c>
      <c r="I6816">
        <v>117.3661</v>
      </c>
      <c r="J6816">
        <v>-188.14080000000001</v>
      </c>
      <c r="K6816">
        <v>1.1040939999999999</v>
      </c>
      <c r="L6816">
        <v>94.529910000000001</v>
      </c>
      <c r="M6816">
        <v>1.6862329999999998E-2</v>
      </c>
      <c r="N6816">
        <v>0</v>
      </c>
      <c r="O6816">
        <v>0.99983639999999996</v>
      </c>
      <c r="P6816">
        <v>-3.9734810000000002E-2</v>
      </c>
      <c r="Q6816">
        <v>2.843561E-2</v>
      </c>
      <c r="R6816">
        <v>0.99880559999999996</v>
      </c>
      <c r="S6816">
        <v>-1.069641E-2</v>
      </c>
      <c r="T6816">
        <v>-0.14403920000000001</v>
      </c>
      <c r="U6816">
        <v>3.0071720000000002</v>
      </c>
      <c r="V6816">
        <v>-5.656746E-2</v>
      </c>
      <c r="W6816">
        <v>3.4968699999999998E-2</v>
      </c>
      <c r="X6816">
        <v>0.99778619999999996</v>
      </c>
      <c r="Y6816">
        <v>-2.0414959999999999E-2</v>
      </c>
      <c r="Z6816">
        <v>-4.7828379999999997E-2</v>
      </c>
      <c r="AA6816">
        <v>0.9986469</v>
      </c>
      <c r="AB6816">
        <v>33</v>
      </c>
      <c r="AC6816">
        <v>-8.5599999999999399E-2</v>
      </c>
      <c r="AD6816">
        <v>-1.104097632155</v>
      </c>
      <c r="AE6816">
        <v>22.836189999999998</v>
      </c>
      <c r="AF6816">
        <v>-0.469569803667373</v>
      </c>
      <c r="AG6816">
        <v>-1.104097632155</v>
      </c>
      <c r="AH6816">
        <v>22.778254195641399</v>
      </c>
      <c r="AI6816">
        <v>92.774455606121506</v>
      </c>
      <c r="AJ6816">
        <v>91.180975393633901</v>
      </c>
      <c r="AK6816">
        <v>22.809831029253601</v>
      </c>
    </row>
    <row r="6817" spans="1:37" x14ac:dyDescent="0.2">
      <c r="A6817" t="str">
        <f>"20200111155736084"</f>
        <v>20200111155736084</v>
      </c>
      <c r="B6817" t="str">
        <f>"1578729456080469"</f>
        <v>1578729456080469</v>
      </c>
      <c r="C6817" t="s">
        <v>37</v>
      </c>
      <c r="D6817">
        <v>4.7608439999999996</v>
      </c>
      <c r="E6817">
        <v>0.51391149999999997</v>
      </c>
      <c r="F6817" t="s">
        <v>38</v>
      </c>
      <c r="G6817">
        <v>-188.2388</v>
      </c>
      <c r="H6817" s="1">
        <v>-3.720692E-6</v>
      </c>
      <c r="I6817">
        <v>117.5776</v>
      </c>
      <c r="J6817">
        <v>-188.13579999999999</v>
      </c>
      <c r="K6817">
        <v>1.1042299999999901</v>
      </c>
      <c r="L6817">
        <v>94.824950000000001</v>
      </c>
      <c r="M6817">
        <v>1.6874070000000001E-2</v>
      </c>
      <c r="N6817">
        <v>0</v>
      </c>
      <c r="O6817">
        <v>0.99983109999999997</v>
      </c>
      <c r="P6817">
        <v>-3.9991779999999998E-2</v>
      </c>
      <c r="Q6817">
        <v>2.8632700000000001E-2</v>
      </c>
      <c r="R6817">
        <v>0.998789699999999</v>
      </c>
      <c r="S6817">
        <v>-1.2786870000000001E-2</v>
      </c>
      <c r="T6817">
        <v>-0.14405850000000001</v>
      </c>
      <c r="U6817">
        <v>3.0071720000000002</v>
      </c>
      <c r="V6817">
        <v>-5.6836280000000003E-2</v>
      </c>
      <c r="W6817">
        <v>3.5907950000000001E-2</v>
      </c>
      <c r="X6817">
        <v>0.9977376</v>
      </c>
      <c r="Y6817">
        <v>-2.1120980000000001E-2</v>
      </c>
      <c r="Z6817">
        <v>-4.7834330000000001E-2</v>
      </c>
      <c r="AA6817">
        <v>0.99863199999999996</v>
      </c>
      <c r="AB6817">
        <v>33</v>
      </c>
      <c r="AC6817">
        <v>-0.103000000000008</v>
      </c>
      <c r="AD6817">
        <v>-1.1042337206919901</v>
      </c>
      <c r="AE6817">
        <v>22.752649999999999</v>
      </c>
      <c r="AF6817">
        <v>-0.48578115682787898</v>
      </c>
      <c r="AG6817">
        <v>-1.1042337206919901</v>
      </c>
      <c r="AH6817">
        <v>22.694220238403201</v>
      </c>
      <c r="AI6817">
        <v>92.785009463748594</v>
      </c>
      <c r="AJ6817">
        <v>91.226257607098802</v>
      </c>
      <c r="AK6817">
        <v>22.726261189896402</v>
      </c>
    </row>
    <row r="6818" spans="1:37" x14ac:dyDescent="0.2">
      <c r="A6818" t="str">
        <f>"20200111155736106"</f>
        <v>20200111155736106</v>
      </c>
      <c r="B6818" t="str">
        <f>"1578729456099988"</f>
        <v>1578729456099988</v>
      </c>
      <c r="C6818" t="s">
        <v>37</v>
      </c>
      <c r="D6818">
        <v>4.8869129999999998</v>
      </c>
      <c r="E6818">
        <v>0.51371429999999996</v>
      </c>
      <c r="F6818" t="s">
        <v>38</v>
      </c>
      <c r="G6818">
        <v>-188.24510000000001</v>
      </c>
      <c r="H6818" s="1">
        <v>-3.8068469999999999E-6</v>
      </c>
      <c r="I6818">
        <v>117.78100000000001</v>
      </c>
      <c r="J6818">
        <v>-188.1302</v>
      </c>
      <c r="K6818">
        <v>1.1043559999999999</v>
      </c>
      <c r="L6818">
        <v>95.160519999999906</v>
      </c>
      <c r="M6818">
        <v>1.687381E-2</v>
      </c>
      <c r="N6818">
        <v>0</v>
      </c>
      <c r="O6818">
        <v>0.99982479999999996</v>
      </c>
      <c r="P6818">
        <v>-3.9647599999999998E-2</v>
      </c>
      <c r="Q6818">
        <v>2.798459E-2</v>
      </c>
      <c r="R6818">
        <v>0.99882179999999998</v>
      </c>
      <c r="S6818">
        <v>-1.4312739999999999E-2</v>
      </c>
      <c r="T6818">
        <v>-0.1446527</v>
      </c>
      <c r="U6818">
        <v>3.0072019999999999</v>
      </c>
      <c r="V6818">
        <v>-5.6493889999999998E-2</v>
      </c>
      <c r="W6818">
        <v>3.6069509999999999E-2</v>
      </c>
      <c r="X6818">
        <v>0.99775119999999895</v>
      </c>
      <c r="Y6818">
        <v>-2.1627440000000001E-2</v>
      </c>
      <c r="Z6818">
        <v>-4.8030400000000001E-2</v>
      </c>
      <c r="AA6818">
        <v>0.99861169999999999</v>
      </c>
      <c r="AB6818">
        <v>33</v>
      </c>
      <c r="AC6818">
        <v>-0.114900000000005</v>
      </c>
      <c r="AD6818">
        <v>-1.104359806847</v>
      </c>
      <c r="AE6818">
        <v>22.620480000000001</v>
      </c>
      <c r="AF6818">
        <v>-0.49540906689049002</v>
      </c>
      <c r="AG6818">
        <v>-1.104359806847</v>
      </c>
      <c r="AH6818">
        <v>22.5615460274363</v>
      </c>
      <c r="AI6818">
        <v>92.801646690759597</v>
      </c>
      <c r="AJ6818">
        <v>91.257905284844199</v>
      </c>
      <c r="AK6818">
        <v>22.593990348645001</v>
      </c>
    </row>
    <row r="6819" spans="1:37" x14ac:dyDescent="0.2">
      <c r="A6819" t="str">
        <f>"20200111155736129"</f>
        <v>20200111155736129</v>
      </c>
      <c r="B6819" t="str">
        <f>"1578729456120483"</f>
        <v>1578729456120483</v>
      </c>
      <c r="C6819" t="s">
        <v>37</v>
      </c>
      <c r="D6819">
        <v>5.1614469999999999</v>
      </c>
      <c r="E6819">
        <v>0.51369049999999905</v>
      </c>
      <c r="F6819" t="s">
        <v>38</v>
      </c>
      <c r="G6819">
        <v>-188.24019999999999</v>
      </c>
      <c r="H6819" s="1">
        <v>-3.764057E-6</v>
      </c>
      <c r="I6819">
        <v>117.67919999999999</v>
      </c>
      <c r="J6819">
        <v>-188.12459999999999</v>
      </c>
      <c r="K6819">
        <v>1.104447</v>
      </c>
      <c r="L6819">
        <v>95.491669999999999</v>
      </c>
      <c r="M6819">
        <v>1.6851769999999999E-2</v>
      </c>
      <c r="N6819">
        <v>0</v>
      </c>
      <c r="O6819">
        <v>0.99981889999999995</v>
      </c>
      <c r="P6819">
        <v>-3.862881E-2</v>
      </c>
      <c r="Q6819">
        <v>2.6795039999999999E-2</v>
      </c>
      <c r="R6819">
        <v>0.99889430000000001</v>
      </c>
      <c r="S6819">
        <v>-1.4694209999999999E-2</v>
      </c>
      <c r="T6819">
        <v>-0.14747279999999999</v>
      </c>
      <c r="U6819">
        <v>3.00707999999999</v>
      </c>
      <c r="V6819">
        <v>-5.5455669999999999E-2</v>
      </c>
      <c r="W6819">
        <v>3.5622979999999999E-2</v>
      </c>
      <c r="X6819">
        <v>0.99782539999999997</v>
      </c>
      <c r="Y6819">
        <v>-2.1732149999999999E-2</v>
      </c>
      <c r="Z6819">
        <v>-4.8966490000000001E-2</v>
      </c>
      <c r="AA6819">
        <v>0.99856389999999995</v>
      </c>
      <c r="AB6819">
        <v>33</v>
      </c>
      <c r="AC6819">
        <v>-0.11559999999999999</v>
      </c>
      <c r="AD6819">
        <v>-1.104450764057</v>
      </c>
      <c r="AE6819">
        <v>22.187529999999899</v>
      </c>
      <c r="AF6819">
        <v>-0.48828748360917301</v>
      </c>
      <c r="AG6819">
        <v>-1.104450764057</v>
      </c>
      <c r="AH6819">
        <v>22.127603589857799</v>
      </c>
      <c r="AI6819">
        <v>92.856727458533399</v>
      </c>
      <c r="AJ6819">
        <v>91.264134732444504</v>
      </c>
      <c r="AK6819">
        <v>22.1605297045617</v>
      </c>
    </row>
    <row r="6820" spans="1:37" x14ac:dyDescent="0.2">
      <c r="A6820" t="str">
        <f>"20200111155736150"</f>
        <v>20200111155736150</v>
      </c>
      <c r="B6820" t="str">
        <f>"1578729456140003"</f>
        <v>1578729456140003</v>
      </c>
      <c r="C6820" t="s">
        <v>37</v>
      </c>
      <c r="D6820">
        <v>4.8257629999999896</v>
      </c>
      <c r="E6820">
        <v>0.51355269999999997</v>
      </c>
      <c r="F6820" t="s">
        <v>38</v>
      </c>
      <c r="G6820">
        <v>-188.20849999999999</v>
      </c>
      <c r="H6820" s="1">
        <v>-3.7389490000000002E-6</v>
      </c>
      <c r="I6820">
        <v>117.60760000000001</v>
      </c>
      <c r="J6820">
        <v>-188.11940000000001</v>
      </c>
      <c r="K6820">
        <v>1.104528</v>
      </c>
      <c r="L6820">
        <v>95.80386</v>
      </c>
      <c r="M6820">
        <v>1.6803579999999999E-2</v>
      </c>
      <c r="N6820">
        <v>0</v>
      </c>
      <c r="O6820">
        <v>0.99981369999999903</v>
      </c>
      <c r="P6820">
        <v>-3.8016679999999997E-2</v>
      </c>
      <c r="Q6820">
        <v>2.6120580000000001E-2</v>
      </c>
      <c r="R6820">
        <v>0.99893559999999904</v>
      </c>
      <c r="S6820">
        <v>-1.141357E-2</v>
      </c>
      <c r="T6820">
        <v>-0.15016179999999901</v>
      </c>
      <c r="U6820">
        <v>3.0068969999999999</v>
      </c>
      <c r="V6820">
        <v>-5.4798149999999997E-2</v>
      </c>
      <c r="W6820">
        <v>3.5592489999999997E-2</v>
      </c>
      <c r="X6820">
        <v>0.9978629</v>
      </c>
      <c r="Y6820">
        <v>-2.0594729999999999E-2</v>
      </c>
      <c r="Z6820">
        <v>-4.9860939999999999E-2</v>
      </c>
      <c r="AA6820">
        <v>0.99854379999999998</v>
      </c>
      <c r="AB6820">
        <v>33</v>
      </c>
      <c r="AC6820">
        <v>-8.9099999999973506E-2</v>
      </c>
      <c r="AD6820">
        <v>-1.1045317389489999</v>
      </c>
      <c r="AE6820">
        <v>21.803740000000001</v>
      </c>
      <c r="AF6820">
        <v>-0.45431896965773999</v>
      </c>
      <c r="AG6820">
        <v>-1.1045317389489999</v>
      </c>
      <c r="AH6820">
        <v>21.743366585215998</v>
      </c>
      <c r="AI6820">
        <v>92.907409980587104</v>
      </c>
      <c r="AJ6820">
        <v>91.196998276499897</v>
      </c>
      <c r="AK6820">
        <v>21.776142600277598</v>
      </c>
    </row>
    <row r="6821" spans="1:37" x14ac:dyDescent="0.2">
      <c r="A6821" t="str">
        <f>"20200111155736172"</f>
        <v>20200111155736172</v>
      </c>
      <c r="B6821" t="str">
        <f>"1578729456170260"</f>
        <v>1578729456170260</v>
      </c>
      <c r="C6821" t="s">
        <v>37</v>
      </c>
      <c r="D6821">
        <v>5.1020510000000003</v>
      </c>
      <c r="E6821">
        <v>0.51355620000000002</v>
      </c>
      <c r="F6821" t="s">
        <v>38</v>
      </c>
      <c r="G6821">
        <v>-188.19659999999999</v>
      </c>
      <c r="H6821" s="1">
        <v>-3.7016229999999998E-6</v>
      </c>
      <c r="I6821">
        <v>117.5157</v>
      </c>
      <c r="J6821">
        <v>-188.1139</v>
      </c>
      <c r="K6821">
        <v>1.104598</v>
      </c>
      <c r="L6821">
        <v>96.132080000000002</v>
      </c>
      <c r="M6821">
        <v>1.6720120000000002E-2</v>
      </c>
      <c r="N6821">
        <v>0</v>
      </c>
      <c r="O6821">
        <v>0.99980910000000001</v>
      </c>
      <c r="P6821">
        <v>-3.7498160000000003E-2</v>
      </c>
      <c r="Q6821">
        <v>2.6263990000000001E-2</v>
      </c>
      <c r="R6821">
        <v>0.99895149999999999</v>
      </c>
      <c r="S6821">
        <v>-1.069641E-2</v>
      </c>
      <c r="T6821">
        <v>-0.1529635</v>
      </c>
      <c r="U6821">
        <v>3.0068049999999999</v>
      </c>
      <c r="V6821">
        <v>-5.4199520000000001E-2</v>
      </c>
      <c r="W6821">
        <v>3.6351599999999998E-2</v>
      </c>
      <c r="X6821">
        <v>0.99786819999999898</v>
      </c>
      <c r="Y6821">
        <v>-2.0273159999999998E-2</v>
      </c>
      <c r="Z6821">
        <v>-5.0790689999999999E-2</v>
      </c>
      <c r="AA6821">
        <v>0.99850349999999999</v>
      </c>
      <c r="AB6821">
        <v>33</v>
      </c>
      <c r="AC6821">
        <v>-8.2699999999988394E-2</v>
      </c>
      <c r="AD6821">
        <v>-1.1046017016230001</v>
      </c>
      <c r="AE6821">
        <v>21.383620000000001</v>
      </c>
      <c r="AF6821">
        <v>-0.439071805906945</v>
      </c>
      <c r="AG6821">
        <v>-1.1046017016230001</v>
      </c>
      <c r="AH6821">
        <v>21.3223521775687</v>
      </c>
      <c r="AI6821">
        <v>92.964922004654696</v>
      </c>
      <c r="AJ6821">
        <v>91.179673155787398</v>
      </c>
      <c r="AK6821">
        <v>21.355459052763099</v>
      </c>
    </row>
    <row r="6822" spans="1:37" x14ac:dyDescent="0.2">
      <c r="A6822" t="str">
        <f>"20200111155736195"</f>
        <v>20200111155736195</v>
      </c>
      <c r="B6822" t="str">
        <f>"1578729456189780"</f>
        <v>1578729456189780</v>
      </c>
      <c r="C6822" t="s">
        <v>37</v>
      </c>
      <c r="D6822">
        <v>4.8741329999999996</v>
      </c>
      <c r="E6822">
        <v>0.51480669999999995</v>
      </c>
      <c r="F6822" t="s">
        <v>38</v>
      </c>
      <c r="G6822">
        <v>-188.17930000000001</v>
      </c>
      <c r="H6822" s="1">
        <v>-3.8162890000000001E-6</v>
      </c>
      <c r="I6822">
        <v>117.7758</v>
      </c>
      <c r="J6822">
        <v>-188.10830000000001</v>
      </c>
      <c r="K6822">
        <v>1.1046659999999999</v>
      </c>
      <c r="L6822">
        <v>96.474760000000003</v>
      </c>
      <c r="M6822">
        <v>1.6595800000000001E-2</v>
      </c>
      <c r="N6822">
        <v>0</v>
      </c>
      <c r="O6822">
        <v>0.9998051</v>
      </c>
      <c r="P6822">
        <v>-3.8151190000000001E-2</v>
      </c>
      <c r="Q6822">
        <v>2.661287E-2</v>
      </c>
      <c r="R6822">
        <v>0.99891749999999901</v>
      </c>
      <c r="S6822">
        <v>-9.0789789999999992E-3</v>
      </c>
      <c r="T6822">
        <v>-0.15345590000000001</v>
      </c>
      <c r="U6822">
        <v>3.0068359999999998</v>
      </c>
      <c r="V6822">
        <v>-5.4730569999999999E-2</v>
      </c>
      <c r="W6822">
        <v>3.7276040000000003E-2</v>
      </c>
      <c r="X6822">
        <v>0.9978051</v>
      </c>
      <c r="Y6822">
        <v>-1.9611770000000001E-2</v>
      </c>
      <c r="Z6822">
        <v>-5.0953810000000002E-2</v>
      </c>
      <c r="AA6822">
        <v>0.99850849999999902</v>
      </c>
      <c r="AB6822">
        <v>33</v>
      </c>
      <c r="AC6822">
        <v>-7.0999999999997898E-2</v>
      </c>
      <c r="AD6822">
        <v>-1.1046698162890001</v>
      </c>
      <c r="AE6822">
        <v>21.30104</v>
      </c>
      <c r="AF6822">
        <v>-0.42337958715984397</v>
      </c>
      <c r="AG6822">
        <v>-1.1046698162890001</v>
      </c>
      <c r="AH6822">
        <v>21.2398049772588</v>
      </c>
      <c r="AI6822">
        <v>92.976647168490501</v>
      </c>
      <c r="AJ6822">
        <v>91.141943225031298</v>
      </c>
      <c r="AK6822">
        <v>21.272725757406601</v>
      </c>
    </row>
    <row r="6823" spans="1:37" x14ac:dyDescent="0.2">
      <c r="A6823" t="str">
        <f>"20200111155736218"</f>
        <v>20200111155736218</v>
      </c>
      <c r="B6823" t="str">
        <f>"1578729456210276"</f>
        <v>1578729456210276</v>
      </c>
      <c r="C6823" t="s">
        <v>37</v>
      </c>
      <c r="D6823">
        <v>4.8801259999999997</v>
      </c>
      <c r="E6823">
        <v>0.59731429999999996</v>
      </c>
      <c r="F6823" t="s">
        <v>38</v>
      </c>
      <c r="G6823">
        <v>-188.1164</v>
      </c>
      <c r="H6823" s="1">
        <v>-4.0674399999999996E-6</v>
      </c>
      <c r="I6823">
        <v>118.3353</v>
      </c>
      <c r="J6823">
        <v>-188.10310000000001</v>
      </c>
      <c r="K6823">
        <v>1.1047260000000001</v>
      </c>
      <c r="L6823">
        <v>96.801360000000003</v>
      </c>
      <c r="M6823">
        <v>1.6442729999999999E-2</v>
      </c>
      <c r="N6823">
        <v>0</v>
      </c>
      <c r="O6823">
        <v>0.99980219999999898</v>
      </c>
      <c r="P6823">
        <v>-3.9890420000000003E-2</v>
      </c>
      <c r="Q6823">
        <v>2.8024670000000002E-2</v>
      </c>
      <c r="R6823">
        <v>0.998811</v>
      </c>
      <c r="S6823">
        <v>-1.113892E-3</v>
      </c>
      <c r="T6823">
        <v>-0.151965299999999</v>
      </c>
      <c r="U6823">
        <v>3.007263</v>
      </c>
      <c r="V6823">
        <v>-5.6318880000000002E-2</v>
      </c>
      <c r="W6823">
        <v>3.9171989999999997E-2</v>
      </c>
      <c r="X6823">
        <v>0.99764409999999903</v>
      </c>
      <c r="Y6823">
        <v>-1.681363E-2</v>
      </c>
      <c r="Z6823">
        <v>-5.0454550000000001E-2</v>
      </c>
      <c r="AA6823">
        <v>0.99858480000000005</v>
      </c>
      <c r="AB6823">
        <v>33</v>
      </c>
      <c r="AC6823">
        <v>-1.3299999999986699E-2</v>
      </c>
      <c r="AD6823">
        <v>-1.10473006744</v>
      </c>
      <c r="AE6823">
        <v>21.533940000000001</v>
      </c>
      <c r="AF6823">
        <v>-0.36643272487245199</v>
      </c>
      <c r="AG6823">
        <v>-1.10473006744</v>
      </c>
      <c r="AH6823">
        <v>21.474292099360799</v>
      </c>
      <c r="AI6823">
        <v>92.944517635687504</v>
      </c>
      <c r="AJ6823">
        <v>90.977588045299996</v>
      </c>
      <c r="AK6823">
        <v>21.505811368847102</v>
      </c>
    </row>
    <row r="6824" spans="1:37" x14ac:dyDescent="0.2">
      <c r="A6824" t="str">
        <f>"20200111155736240"</f>
        <v>20200111155736240</v>
      </c>
      <c r="B6824" t="str">
        <f>"1578729456229796"</f>
        <v>1578729456229796</v>
      </c>
      <c r="C6824" t="s">
        <v>37</v>
      </c>
      <c r="D6824">
        <v>4.9082819999999998</v>
      </c>
      <c r="E6824">
        <v>0.5978523</v>
      </c>
      <c r="F6824" t="s">
        <v>38</v>
      </c>
      <c r="G6824">
        <v>-184.10749999999999</v>
      </c>
      <c r="H6824" s="1">
        <v>-3.5392299999999999E-6</v>
      </c>
      <c r="I6824">
        <v>115.44110000000001</v>
      </c>
      <c r="J6824">
        <v>-188.09799999999899</v>
      </c>
      <c r="K6824">
        <v>1.104779</v>
      </c>
      <c r="L6824">
        <v>97.118009999999998</v>
      </c>
      <c r="M6824">
        <v>1.626418E-2</v>
      </c>
      <c r="N6824">
        <v>0</v>
      </c>
      <c r="O6824">
        <v>0.99980040000000003</v>
      </c>
      <c r="P6824">
        <v>-4.1334589999999997E-2</v>
      </c>
      <c r="Q6824">
        <v>2.8894840000000001E-2</v>
      </c>
      <c r="R6824">
        <v>0.99872739999999904</v>
      </c>
      <c r="S6824">
        <v>0.65048219999999901</v>
      </c>
      <c r="T6824">
        <v>-0.1798534</v>
      </c>
      <c r="U6824">
        <v>3.0346069999999998</v>
      </c>
      <c r="V6824">
        <v>-5.7586039999999998E-2</v>
      </c>
      <c r="W6824">
        <v>4.0454619999999997E-2</v>
      </c>
      <c r="X6824">
        <v>0.99752059999999998</v>
      </c>
      <c r="Y6824">
        <v>0.19330999999999901</v>
      </c>
      <c r="Z6824">
        <v>-5.793823E-2</v>
      </c>
      <c r="AA6824">
        <v>0.97942549999999995</v>
      </c>
      <c r="AB6824">
        <v>33</v>
      </c>
      <c r="AC6824">
        <v>3.9904999999999902</v>
      </c>
      <c r="AD6824">
        <v>-1.1047825392299999</v>
      </c>
      <c r="AE6824">
        <v>18.323090000000001</v>
      </c>
      <c r="AF6824">
        <v>3.67917229380134</v>
      </c>
      <c r="AG6824">
        <v>-1.1047825392299999</v>
      </c>
      <c r="AH6824">
        <v>18.321980514980002</v>
      </c>
      <c r="AI6824">
        <v>93.3832780130017</v>
      </c>
      <c r="AJ6824">
        <v>78.645644112175702</v>
      </c>
      <c r="AK6824">
        <v>18.720358522682499</v>
      </c>
    </row>
    <row r="6825" spans="1:37" x14ac:dyDescent="0.2">
      <c r="A6825" t="str">
        <f>"20200111155736262"</f>
        <v>20200111155736262</v>
      </c>
      <c r="B6825" t="str">
        <f>"1578729456250292"</f>
        <v>1578729456250292</v>
      </c>
      <c r="C6825" t="s">
        <v>37</v>
      </c>
      <c r="D6825">
        <v>4.8743309999999997</v>
      </c>
      <c r="E6825">
        <v>0.59862169999999904</v>
      </c>
      <c r="F6825" t="s">
        <v>38</v>
      </c>
      <c r="G6825">
        <v>-183.9562</v>
      </c>
      <c r="H6825" s="1">
        <v>-3.9990429999999901E-6</v>
      </c>
      <c r="I6825">
        <v>116.4556</v>
      </c>
      <c r="J6825">
        <v>-188.09299999999999</v>
      </c>
      <c r="K6825">
        <v>1.1048129999999901</v>
      </c>
      <c r="L6825">
        <v>97.441190000000006</v>
      </c>
      <c r="M6825">
        <v>1.605842E-2</v>
      </c>
      <c r="N6825">
        <v>0</v>
      </c>
      <c r="O6825">
        <v>0.99979929999999995</v>
      </c>
      <c r="P6825">
        <v>-4.3197859999999998E-2</v>
      </c>
      <c r="Q6825">
        <v>2.922191E-2</v>
      </c>
      <c r="R6825">
        <v>0.9986391</v>
      </c>
      <c r="S6825">
        <v>0.65020749999999905</v>
      </c>
      <c r="T6825">
        <v>-0.1734356</v>
      </c>
      <c r="U6825">
        <v>3.035736</v>
      </c>
      <c r="V6825">
        <v>-5.9244310000000001E-2</v>
      </c>
      <c r="W6825">
        <v>4.1151649999999998E-2</v>
      </c>
      <c r="X6825">
        <v>0.99739489999999997</v>
      </c>
      <c r="Y6825">
        <v>0.1933772</v>
      </c>
      <c r="Z6825">
        <v>-5.5857650000000002E-2</v>
      </c>
      <c r="AA6825">
        <v>0.97953310000000005</v>
      </c>
      <c r="AB6825">
        <v>33</v>
      </c>
      <c r="AC6825">
        <v>4.1367999999999903</v>
      </c>
      <c r="AD6825">
        <v>-1.1048169990429999</v>
      </c>
      <c r="AE6825">
        <v>19.014410000000002</v>
      </c>
      <c r="AF6825">
        <v>3.8185939045174</v>
      </c>
      <c r="AG6825">
        <v>-1.1048169990429999</v>
      </c>
      <c r="AH6825">
        <v>19.017091124252801</v>
      </c>
      <c r="AI6825">
        <v>93.259991338030005</v>
      </c>
      <c r="AJ6825">
        <v>78.646110669322695</v>
      </c>
      <c r="AK6825">
        <v>19.4281248409909</v>
      </c>
    </row>
    <row r="6826" spans="1:37" x14ac:dyDescent="0.2">
      <c r="A6826" t="str">
        <f>"20200111155736285"</f>
        <v>20200111155736285</v>
      </c>
      <c r="B6826" t="str">
        <f>"1578729456279573"</f>
        <v>1578729456279573</v>
      </c>
      <c r="C6826" t="s">
        <v>37</v>
      </c>
      <c r="D6826">
        <v>4.9414639999999999</v>
      </c>
      <c r="E6826">
        <v>0.59935719999999904</v>
      </c>
      <c r="F6826" t="s">
        <v>38</v>
      </c>
      <c r="G6826">
        <v>-183.9436</v>
      </c>
      <c r="H6826" s="1">
        <v>-4.1499249999999999E-6</v>
      </c>
      <c r="I6826">
        <v>116.8021</v>
      </c>
      <c r="J6826">
        <v>-188.08779999999999</v>
      </c>
      <c r="K6826">
        <v>1.104843</v>
      </c>
      <c r="L6826">
        <v>97.777190000000004</v>
      </c>
      <c r="M6826">
        <v>1.5828249999999999E-2</v>
      </c>
      <c r="N6826">
        <v>0</v>
      </c>
      <c r="O6826">
        <v>0.99979879999999999</v>
      </c>
      <c r="P6826">
        <v>-4.4422089999999997E-2</v>
      </c>
      <c r="Q6826">
        <v>2.904151E-2</v>
      </c>
      <c r="R6826">
        <v>0.998590599999999</v>
      </c>
      <c r="S6826">
        <v>0.65095519999999996</v>
      </c>
      <c r="T6826">
        <v>-0.1733227</v>
      </c>
      <c r="U6826">
        <v>3.03732299999999</v>
      </c>
      <c r="V6826">
        <v>-6.0239309999999997E-2</v>
      </c>
      <c r="W6826">
        <v>4.130839E-2</v>
      </c>
      <c r="X6826">
        <v>0.99732889999999996</v>
      </c>
      <c r="Y6826">
        <v>0.1937295</v>
      </c>
      <c r="Z6826">
        <v>-5.5789909999999998E-2</v>
      </c>
      <c r="AA6826">
        <v>0.97946739999999999</v>
      </c>
      <c r="AB6826">
        <v>33</v>
      </c>
      <c r="AC6826">
        <v>4.1441999999999801</v>
      </c>
      <c r="AD6826">
        <v>-1.1048471499250001</v>
      </c>
      <c r="AE6826">
        <v>19.024909999999899</v>
      </c>
      <c r="AF6826">
        <v>3.8301944896024298</v>
      </c>
      <c r="AG6826">
        <v>-1.1048471499250001</v>
      </c>
      <c r="AH6826">
        <v>19.026864441583399</v>
      </c>
      <c r="AI6826">
        <v>93.258090901297606</v>
      </c>
      <c r="AJ6826">
        <v>78.618214891502902</v>
      </c>
      <c r="AK6826">
        <v>19.4399755023321</v>
      </c>
    </row>
    <row r="6827" spans="1:37" x14ac:dyDescent="0.2">
      <c r="A6827" t="str">
        <f>"20200111155736307"</f>
        <v>20200111155736307</v>
      </c>
      <c r="B6827" t="str">
        <f>"1578729456300068"</f>
        <v>1578729456300068</v>
      </c>
      <c r="C6827" t="s">
        <v>37</v>
      </c>
      <c r="D6827">
        <v>4.9629729999999999</v>
      </c>
      <c r="E6827">
        <v>0.59992730000000005</v>
      </c>
      <c r="F6827" t="s">
        <v>38</v>
      </c>
      <c r="G6827">
        <v>-183.93389999999999</v>
      </c>
      <c r="H6827" s="1">
        <v>-4.280525E-6</v>
      </c>
      <c r="I6827">
        <v>117.1026</v>
      </c>
      <c r="J6827">
        <v>-188.08279999999999</v>
      </c>
      <c r="K6827">
        <v>1.1048639999999901</v>
      </c>
      <c r="L6827">
        <v>98.108519999999999</v>
      </c>
      <c r="M6827">
        <v>1.559255E-2</v>
      </c>
      <c r="N6827">
        <v>0</v>
      </c>
      <c r="O6827">
        <v>0.99979889999999905</v>
      </c>
      <c r="P6827">
        <v>-4.485799E-2</v>
      </c>
      <c r="Q6827">
        <v>2.892805E-2</v>
      </c>
      <c r="R6827">
        <v>0.99857439999999997</v>
      </c>
      <c r="S6827">
        <v>0.6530762</v>
      </c>
      <c r="T6827">
        <v>-0.17370379999999999</v>
      </c>
      <c r="U6827">
        <v>3.03832999999999</v>
      </c>
      <c r="V6827">
        <v>-6.0440979999999998E-2</v>
      </c>
      <c r="W6827">
        <v>4.1485149999999998E-2</v>
      </c>
      <c r="X6827">
        <v>0.99730929999999995</v>
      </c>
      <c r="Y6827">
        <v>0.19454669999999999</v>
      </c>
      <c r="Z6827">
        <v>-5.5885839999999999E-2</v>
      </c>
      <c r="AA6827">
        <v>0.97929999999999995</v>
      </c>
      <c r="AB6827">
        <v>33</v>
      </c>
      <c r="AC6827">
        <v>4.1488999999999896</v>
      </c>
      <c r="AD6827">
        <v>-1.1048682805249901</v>
      </c>
      <c r="AE6827">
        <v>18.99408</v>
      </c>
      <c r="AF6827">
        <v>3.8398049824763598</v>
      </c>
      <c r="AG6827">
        <v>-1.1048682805249901</v>
      </c>
      <c r="AH6827">
        <v>18.9951218124706</v>
      </c>
      <c r="AI6827">
        <v>93.263054321847505</v>
      </c>
      <c r="AJ6827">
        <v>78.571839306364097</v>
      </c>
      <c r="AK6827">
        <v>19.410808558412899</v>
      </c>
    </row>
    <row r="6828" spans="1:37" x14ac:dyDescent="0.2">
      <c r="A6828" t="str">
        <f>"20200111155736329"</f>
        <v>20200111155736329</v>
      </c>
      <c r="B6828" t="str">
        <f>"1578729456319587"</f>
        <v>1578729456319587</v>
      </c>
      <c r="C6828" t="s">
        <v>37</v>
      </c>
      <c r="D6828">
        <v>4.9697469999999999</v>
      </c>
      <c r="E6828">
        <v>0.60032430000000003</v>
      </c>
      <c r="F6828" t="s">
        <v>38</v>
      </c>
      <c r="G6828">
        <v>-183.93950000000001</v>
      </c>
      <c r="H6828" s="1">
        <v>-4.3640719999999902E-6</v>
      </c>
      <c r="I6828">
        <v>117.2996</v>
      </c>
      <c r="J6828">
        <v>-188.07810000000001</v>
      </c>
      <c r="K6828">
        <v>1.104876</v>
      </c>
      <c r="L6828">
        <v>98.426969999999997</v>
      </c>
      <c r="M6828">
        <v>1.5362890000000001E-2</v>
      </c>
      <c r="N6828">
        <v>0</v>
      </c>
      <c r="O6828">
        <v>0.99979929999999995</v>
      </c>
      <c r="P6828">
        <v>-4.4347009999999999E-2</v>
      </c>
      <c r="Q6828">
        <v>2.823264E-2</v>
      </c>
      <c r="R6828">
        <v>0.99861719999999898</v>
      </c>
      <c r="S6828">
        <v>0.65608219999999995</v>
      </c>
      <c r="T6828">
        <v>-0.17495089999999999</v>
      </c>
      <c r="U6828">
        <v>3.038818</v>
      </c>
      <c r="V6828">
        <v>-5.9702119999999997E-2</v>
      </c>
      <c r="W6828">
        <v>4.1034439999999998E-2</v>
      </c>
      <c r="X6828">
        <v>0.99737240000000005</v>
      </c>
      <c r="Y6828">
        <v>0.19566069999999999</v>
      </c>
      <c r="Z6828">
        <v>-5.6265199999999897E-2</v>
      </c>
      <c r="AA6828">
        <v>0.97905620000000004</v>
      </c>
      <c r="AB6828">
        <v>33</v>
      </c>
      <c r="AC6828">
        <v>4.1385999999999896</v>
      </c>
      <c r="AD6828">
        <v>-1.104880364072</v>
      </c>
      <c r="AE6828">
        <v>18.872630000000001</v>
      </c>
      <c r="AF6828">
        <v>3.8356063785340599</v>
      </c>
      <c r="AG6828">
        <v>-1.104880364072</v>
      </c>
      <c r="AH6828">
        <v>18.872273306434501</v>
      </c>
      <c r="AI6828">
        <v>93.283587023375404</v>
      </c>
      <c r="AJ6828">
        <v>78.511664674995799</v>
      </c>
      <c r="AK6828">
        <v>19.289772851506701</v>
      </c>
    </row>
    <row r="6829" spans="1:37" x14ac:dyDescent="0.2">
      <c r="A6829" t="str">
        <f>"20200111155736351"</f>
        <v>20200111155736351</v>
      </c>
      <c r="B6829" t="str">
        <f>"1578729456340084"</f>
        <v>1578729456340084</v>
      </c>
      <c r="C6829" t="s">
        <v>37</v>
      </c>
      <c r="D6829">
        <v>4.9793810000000001</v>
      </c>
      <c r="E6829">
        <v>0.60074740000000004</v>
      </c>
      <c r="F6829" t="s">
        <v>38</v>
      </c>
      <c r="G6829">
        <v>-183.97579999999999</v>
      </c>
      <c r="H6829" s="1">
        <v>-4.3555290000000002E-6</v>
      </c>
      <c r="I6829">
        <v>117.29470000000001</v>
      </c>
      <c r="J6829">
        <v>-188.0735</v>
      </c>
      <c r="K6829">
        <v>1.104886</v>
      </c>
      <c r="L6829">
        <v>98.744780000000006</v>
      </c>
      <c r="M6829">
        <v>1.5133779999999999E-2</v>
      </c>
      <c r="N6829">
        <v>0</v>
      </c>
      <c r="O6829">
        <v>0.99980000000000002</v>
      </c>
      <c r="P6829">
        <v>-4.3112329999999997E-2</v>
      </c>
      <c r="Q6829">
        <v>2.7816810000000001E-2</v>
      </c>
      <c r="R6829">
        <v>0.99868289999999904</v>
      </c>
      <c r="S6829">
        <v>0.66065980000000002</v>
      </c>
      <c r="T6829">
        <v>-0.17793510000000001</v>
      </c>
      <c r="U6829">
        <v>3.0385439999999999</v>
      </c>
      <c r="V6829">
        <v>-5.8240590000000002E-2</v>
      </c>
      <c r="W6829">
        <v>4.0832439999999998E-2</v>
      </c>
      <c r="X6829">
        <v>0.997467199999999</v>
      </c>
      <c r="Y6829">
        <v>0.197300799999999</v>
      </c>
      <c r="Z6829">
        <v>-5.7208599999999998E-2</v>
      </c>
      <c r="AA6829">
        <v>0.97867230000000005</v>
      </c>
      <c r="AB6829">
        <v>33</v>
      </c>
      <c r="AC6829">
        <v>4.0976999999999997</v>
      </c>
      <c r="AD6829">
        <v>-1.1048903555289999</v>
      </c>
      <c r="AE6829">
        <v>18.54992</v>
      </c>
      <c r="AF6829">
        <v>3.80360979061793</v>
      </c>
      <c r="AG6829">
        <v>-1.1048903555289999</v>
      </c>
      <c r="AH6829">
        <v>18.5470751716745</v>
      </c>
      <c r="AI6829">
        <v>93.339860303811307</v>
      </c>
      <c r="AJ6829">
        <v>78.410547333457302</v>
      </c>
      <c r="AK6829">
        <v>18.965290073203999</v>
      </c>
    </row>
    <row r="6830" spans="1:37" x14ac:dyDescent="0.2">
      <c r="A6830" t="str">
        <f>"20200111155736375"</f>
        <v>20200111155736375</v>
      </c>
      <c r="B6830" t="str">
        <f>"1578729456370339"</f>
        <v>1578729456370339</v>
      </c>
      <c r="C6830" t="s">
        <v>37</v>
      </c>
      <c r="D6830">
        <v>4.9998620000000003</v>
      </c>
      <c r="E6830">
        <v>0.60138539999999996</v>
      </c>
      <c r="F6830" t="s">
        <v>38</v>
      </c>
      <c r="G6830">
        <v>-183.97049999999999</v>
      </c>
      <c r="H6830" s="1">
        <v>-4.4049099999999998E-6</v>
      </c>
      <c r="I6830">
        <v>117.4076</v>
      </c>
      <c r="J6830">
        <v>-188.0686</v>
      </c>
      <c r="K6830">
        <v>1.1048959999999901</v>
      </c>
      <c r="L6830">
        <v>99.083740000000006</v>
      </c>
      <c r="M6830">
        <v>1.4890759999999999E-2</v>
      </c>
      <c r="N6830">
        <v>0</v>
      </c>
      <c r="O6830">
        <v>0.9998011</v>
      </c>
      <c r="P6830">
        <v>-4.1785299999999997E-2</v>
      </c>
      <c r="Q6830">
        <v>2.6606149999999999E-2</v>
      </c>
      <c r="R6830">
        <v>0.99877229999999995</v>
      </c>
      <c r="S6830">
        <v>0.66784670000000002</v>
      </c>
      <c r="T6830">
        <v>-0.179844899999999</v>
      </c>
      <c r="U6830">
        <v>3.0377809999999998</v>
      </c>
      <c r="V6830">
        <v>-5.6671840000000001E-2</v>
      </c>
      <c r="W6830">
        <v>3.9820460000000002E-2</v>
      </c>
      <c r="X6830">
        <v>0.9975984</v>
      </c>
      <c r="Y6830">
        <v>0.19979179999999999</v>
      </c>
      <c r="Z6830">
        <v>-5.7805879999999997E-2</v>
      </c>
      <c r="AA6830">
        <v>0.9781318</v>
      </c>
      <c r="AB6830">
        <v>33</v>
      </c>
      <c r="AC6830">
        <v>4.0981000000000103</v>
      </c>
      <c r="AD6830">
        <v>-1.10490040491</v>
      </c>
      <c r="AE6830">
        <v>18.32386</v>
      </c>
      <c r="AF6830">
        <v>3.81156700164725</v>
      </c>
      <c r="AG6830">
        <v>-1.10490040491</v>
      </c>
      <c r="AH6830">
        <v>18.3194224704513</v>
      </c>
      <c r="AI6830">
        <v>93.379306267973405</v>
      </c>
      <c r="AJ6830">
        <v>78.246637457227195</v>
      </c>
      <c r="AK6830">
        <v>18.744334812515799</v>
      </c>
    </row>
    <row r="6831" spans="1:37" x14ac:dyDescent="0.2">
      <c r="A6831" t="str">
        <f>"20200111155736398"</f>
        <v>20200111155736398</v>
      </c>
      <c r="B6831" t="str">
        <f>"1578729456389863"</f>
        <v>1578729456389863</v>
      </c>
      <c r="C6831" t="s">
        <v>37</v>
      </c>
      <c r="D6831">
        <v>5.0810750000000002</v>
      </c>
      <c r="E6831">
        <v>0.60187270000000004</v>
      </c>
      <c r="F6831" t="s">
        <v>38</v>
      </c>
      <c r="G6831">
        <v>-184.01689999999999</v>
      </c>
      <c r="H6831" s="1">
        <v>-4.335347E-6</v>
      </c>
      <c r="I6831">
        <v>117.2646</v>
      </c>
      <c r="J6831">
        <v>-188.06370000000001</v>
      </c>
      <c r="K6831">
        <v>1.1049040000000001</v>
      </c>
      <c r="L6831">
        <v>99.429289999999995</v>
      </c>
      <c r="M6831">
        <v>1.464493E-2</v>
      </c>
      <c r="N6831">
        <v>0</v>
      </c>
      <c r="O6831">
        <v>0.99980239999999998</v>
      </c>
      <c r="P6831">
        <v>-4.038717E-2</v>
      </c>
      <c r="Q6831">
        <v>2.525123E-2</v>
      </c>
      <c r="R6831">
        <v>0.998865</v>
      </c>
      <c r="S6831">
        <v>0.67678830000000001</v>
      </c>
      <c r="T6831">
        <v>-0.1845618</v>
      </c>
      <c r="U6831">
        <v>3.0369259999999998</v>
      </c>
      <c r="V6831">
        <v>-5.5029839999999997E-2</v>
      </c>
      <c r="W6831">
        <v>3.863929E-2</v>
      </c>
      <c r="X6831">
        <v>0.99773679999999998</v>
      </c>
      <c r="Y6831">
        <v>0.20281579999999999</v>
      </c>
      <c r="Z6831">
        <v>-5.9296000000000001E-2</v>
      </c>
      <c r="AA6831">
        <v>0.97741999999999996</v>
      </c>
      <c r="AB6831">
        <v>33</v>
      </c>
      <c r="AC6831">
        <v>4.0468000000000099</v>
      </c>
      <c r="AD6831">
        <v>-1.1049083353469999</v>
      </c>
      <c r="AE6831">
        <v>17.8353099999999</v>
      </c>
      <c r="AF6831">
        <v>3.7713800497781298</v>
      </c>
      <c r="AG6831">
        <v>-1.1049083353469999</v>
      </c>
      <c r="AH6831">
        <v>17.827597253218599</v>
      </c>
      <c r="AI6831">
        <v>93.469908344580901</v>
      </c>
      <c r="AJ6831">
        <v>78.055338141208793</v>
      </c>
      <c r="AK6831">
        <v>18.255611568291801</v>
      </c>
    </row>
    <row r="6832" spans="1:37" x14ac:dyDescent="0.2">
      <c r="A6832" t="str">
        <f>"20200111155736420"</f>
        <v>20200111155736420</v>
      </c>
      <c r="B6832" t="str">
        <f>"1578729456410355"</f>
        <v>1578729456410355</v>
      </c>
      <c r="C6832" t="s">
        <v>37</v>
      </c>
      <c r="D6832">
        <v>5.0203920000000002</v>
      </c>
      <c r="E6832">
        <v>0.60230760000000005</v>
      </c>
      <c r="F6832" t="s">
        <v>38</v>
      </c>
      <c r="G6832">
        <v>-184.06280000000001</v>
      </c>
      <c r="H6832" s="1">
        <v>-4.2856519999999998E-6</v>
      </c>
      <c r="I6832">
        <v>117.1678</v>
      </c>
      <c r="J6832">
        <v>-188.05930000000001</v>
      </c>
      <c r="K6832">
        <v>1.104905</v>
      </c>
      <c r="L6832">
        <v>99.74194</v>
      </c>
      <c r="M6832">
        <v>1.442357E-2</v>
      </c>
      <c r="N6832">
        <v>0</v>
      </c>
      <c r="O6832">
        <v>0.99980380000000002</v>
      </c>
      <c r="P6832">
        <v>-3.8754799999999999E-2</v>
      </c>
      <c r="Q6832">
        <v>2.3422350000000002E-2</v>
      </c>
      <c r="R6832">
        <v>0.99897420000000003</v>
      </c>
      <c r="S6832">
        <v>0.68473819999999996</v>
      </c>
      <c r="T6832">
        <v>-0.18909979999999901</v>
      </c>
      <c r="U6832">
        <v>3.0358580000000002</v>
      </c>
      <c r="V6832">
        <v>-5.3177219999999997E-2</v>
      </c>
      <c r="W6832">
        <v>3.6945819999999997E-2</v>
      </c>
      <c r="X6832">
        <v>0.99790140000000005</v>
      </c>
      <c r="Y6832">
        <v>0.2055227</v>
      </c>
      <c r="Z6832">
        <v>-6.073514E-2</v>
      </c>
      <c r="AA6832">
        <v>0.97676589999999996</v>
      </c>
      <c r="AB6832">
        <v>33</v>
      </c>
      <c r="AC6832">
        <v>3.9964999999999899</v>
      </c>
      <c r="AD6832">
        <v>-1.104909285652</v>
      </c>
      <c r="AE6832">
        <v>17.42586</v>
      </c>
      <c r="AF6832">
        <v>3.7304695225681299</v>
      </c>
      <c r="AG6832">
        <v>-1.104909285652</v>
      </c>
      <c r="AH6832">
        <v>17.415179437754801</v>
      </c>
      <c r="AI6832">
        <v>93.549957051385604</v>
      </c>
      <c r="AJ6832">
        <v>77.9095040900296</v>
      </c>
      <c r="AK6832">
        <v>17.844486606162899</v>
      </c>
    </row>
    <row r="6833" spans="1:37" x14ac:dyDescent="0.2">
      <c r="A6833" t="str">
        <f>"20200111155736440"</f>
        <v>20200111155736440</v>
      </c>
      <c r="B6833" t="str">
        <f>"1578729456429876"</f>
        <v>1578729456429876</v>
      </c>
      <c r="C6833" t="s">
        <v>37</v>
      </c>
      <c r="D6833">
        <v>5.0444699999999996</v>
      </c>
      <c r="E6833">
        <v>0.60267150000000003</v>
      </c>
      <c r="F6833" t="s">
        <v>38</v>
      </c>
      <c r="G6833">
        <v>-184.12029999999999</v>
      </c>
      <c r="H6833" s="1">
        <v>-4.1955699999999997E-6</v>
      </c>
      <c r="I6833">
        <v>116.9816</v>
      </c>
      <c r="J6833">
        <v>-188.05520000000001</v>
      </c>
      <c r="K6833">
        <v>1.104905</v>
      </c>
      <c r="L6833">
        <v>100.0415</v>
      </c>
      <c r="M6833">
        <v>1.4209919999999999E-2</v>
      </c>
      <c r="N6833">
        <v>0</v>
      </c>
      <c r="O6833">
        <v>0.99980539999999996</v>
      </c>
      <c r="P6833">
        <v>-3.7651209999999997E-2</v>
      </c>
      <c r="Q6833">
        <v>2.2067819999999998E-2</v>
      </c>
      <c r="R6833">
        <v>0.99904720000000002</v>
      </c>
      <c r="S6833">
        <v>0.69334410000000002</v>
      </c>
      <c r="T6833">
        <v>-0.19448760000000001</v>
      </c>
      <c r="U6833">
        <v>3.03454599999999</v>
      </c>
      <c r="V6833">
        <v>-5.1861450000000003E-2</v>
      </c>
      <c r="W6833">
        <v>3.5703529999999997E-2</v>
      </c>
      <c r="X6833">
        <v>0.99801589999999996</v>
      </c>
      <c r="Y6833">
        <v>0.20843229999999999</v>
      </c>
      <c r="Z6833">
        <v>-6.2446590000000003E-2</v>
      </c>
      <c r="AA6833">
        <v>0.97604120000000005</v>
      </c>
      <c r="AB6833">
        <v>32</v>
      </c>
      <c r="AC6833">
        <v>3.9349000000000198</v>
      </c>
      <c r="AD6833">
        <v>-1.1049091955699999</v>
      </c>
      <c r="AE6833">
        <v>16.940100000000001</v>
      </c>
      <c r="AF6833">
        <v>3.67891290206977</v>
      </c>
      <c r="AG6833">
        <v>-1.1049091955699999</v>
      </c>
      <c r="AH6833">
        <v>16.925988344058499</v>
      </c>
      <c r="AI6833">
        <v>93.649921897156602</v>
      </c>
      <c r="AJ6833">
        <v>77.737326591066505</v>
      </c>
      <c r="AK6833">
        <v>17.356390923653301</v>
      </c>
    </row>
    <row r="6834" spans="1:37" x14ac:dyDescent="0.2">
      <c r="A6834" t="str">
        <f>"20200111155736464"</f>
        <v>20200111155736464</v>
      </c>
      <c r="B6834" t="str">
        <f>"1578729456460132"</f>
        <v>1578729456460132</v>
      </c>
      <c r="C6834" t="s">
        <v>37</v>
      </c>
      <c r="D6834">
        <v>5.0287420000000003</v>
      </c>
      <c r="E6834">
        <v>0.60315419999999997</v>
      </c>
      <c r="F6834" t="s">
        <v>38</v>
      </c>
      <c r="G6834">
        <v>-184.1611</v>
      </c>
      <c r="H6834" s="1">
        <v>-4.1656889999999997E-6</v>
      </c>
      <c r="I6834">
        <v>116.9288</v>
      </c>
      <c r="J6834">
        <v>-188.05070000000001</v>
      </c>
      <c r="K6834">
        <v>1.1049209999999901</v>
      </c>
      <c r="L6834">
        <v>100.37609999999999</v>
      </c>
      <c r="M6834">
        <v>1.3969000000000001E-2</v>
      </c>
      <c r="N6834">
        <v>0</v>
      </c>
      <c r="O6834">
        <v>0.99980740000000001</v>
      </c>
      <c r="P6834">
        <v>-3.6985850000000001E-2</v>
      </c>
      <c r="Q6834">
        <v>2.1242500000000001E-2</v>
      </c>
      <c r="R6834">
        <v>0.99908999999999903</v>
      </c>
      <c r="S6834">
        <v>0.69953920000000003</v>
      </c>
      <c r="T6834">
        <v>-0.1984842</v>
      </c>
      <c r="U6834">
        <v>3.0335999999999999</v>
      </c>
      <c r="V6834">
        <v>-5.0955680000000003E-2</v>
      </c>
      <c r="W6834">
        <v>3.4985389999999998E-2</v>
      </c>
      <c r="X6834">
        <v>0.99808790000000003</v>
      </c>
      <c r="Y6834">
        <v>0.21060889999999999</v>
      </c>
      <c r="Z6834">
        <v>-6.3714850000000003E-2</v>
      </c>
      <c r="AA6834">
        <v>0.97549180000000002</v>
      </c>
      <c r="AB6834">
        <v>32</v>
      </c>
      <c r="AC6834">
        <v>3.8896000000000002</v>
      </c>
      <c r="AD6834">
        <v>-1.10492516568899</v>
      </c>
      <c r="AE6834">
        <v>16.552700000000002</v>
      </c>
      <c r="AF6834">
        <v>3.64259234015746</v>
      </c>
      <c r="AG6834">
        <v>-1.10492516568899</v>
      </c>
      <c r="AH6834">
        <v>16.535599368118401</v>
      </c>
      <c r="AI6834">
        <v>93.733623022183394</v>
      </c>
      <c r="AJ6834">
        <v>77.576848887083102</v>
      </c>
      <c r="AK6834">
        <v>16.9680695732091</v>
      </c>
    </row>
    <row r="6835" spans="1:37" x14ac:dyDescent="0.2">
      <c r="A6835" t="str">
        <f>"20200111155736486"</f>
        <v>20200111155736486</v>
      </c>
      <c r="B6835" t="str">
        <f>"1578729456479652"</f>
        <v>1578729456479652</v>
      </c>
      <c r="C6835" t="s">
        <v>37</v>
      </c>
      <c r="D6835">
        <v>5.0119309999999997</v>
      </c>
      <c r="E6835">
        <v>0.60352569999999905</v>
      </c>
      <c r="F6835" t="s">
        <v>38</v>
      </c>
      <c r="G6835">
        <v>-184.18790000000001</v>
      </c>
      <c r="H6835" s="1">
        <v>-4.1856290000000004E-6</v>
      </c>
      <c r="I6835">
        <v>116.9864</v>
      </c>
      <c r="J6835">
        <v>-188.0463</v>
      </c>
      <c r="K6835">
        <v>1.10494</v>
      </c>
      <c r="L6835">
        <v>100.7092</v>
      </c>
      <c r="M6835">
        <v>1.372657E-2</v>
      </c>
      <c r="N6835">
        <v>0</v>
      </c>
      <c r="O6835">
        <v>0.99980939999999996</v>
      </c>
      <c r="P6835">
        <v>-3.6494029999999997E-2</v>
      </c>
      <c r="Q6835">
        <v>2.1647130000000001E-2</v>
      </c>
      <c r="R6835">
        <v>0.99909939999999997</v>
      </c>
      <c r="S6835">
        <v>0.70536799999999999</v>
      </c>
      <c r="T6835">
        <v>-0.2017642</v>
      </c>
      <c r="U6835">
        <v>3.033112</v>
      </c>
      <c r="V6835">
        <v>-5.0222339999999997E-2</v>
      </c>
      <c r="W6835">
        <v>3.548051E-2</v>
      </c>
      <c r="X6835">
        <v>0.99810759999999898</v>
      </c>
      <c r="Y6835">
        <v>0.212644</v>
      </c>
      <c r="Z6835">
        <v>-6.4745490000000003E-2</v>
      </c>
      <c r="AA6835">
        <v>0.97498229999999997</v>
      </c>
      <c r="AB6835">
        <v>32</v>
      </c>
      <c r="AC6835">
        <v>3.8583999999999801</v>
      </c>
      <c r="AD6835">
        <v>-1.1049441856290001</v>
      </c>
      <c r="AE6835">
        <v>16.277200000000001</v>
      </c>
      <c r="AF6835">
        <v>3.6187961567905802</v>
      </c>
      <c r="AG6835">
        <v>-1.1049441856290001</v>
      </c>
      <c r="AH6835">
        <v>16.257702457045401</v>
      </c>
      <c r="AI6835">
        <v>93.795483613331399</v>
      </c>
      <c r="AJ6835">
        <v>77.451132956694295</v>
      </c>
      <c r="AK6835">
        <v>16.692198071541601</v>
      </c>
    </row>
    <row r="6836" spans="1:37" x14ac:dyDescent="0.2">
      <c r="A6836" t="str">
        <f>"20200111155736509"</f>
        <v>20200111155736509</v>
      </c>
      <c r="B6836" t="str">
        <f>"1578729456500147"</f>
        <v>1578729456500147</v>
      </c>
      <c r="C6836" t="s">
        <v>37</v>
      </c>
      <c r="D6836">
        <v>5.0344670000000002</v>
      </c>
      <c r="E6836">
        <v>0.60387679999999999</v>
      </c>
      <c r="F6836" t="s">
        <v>38</v>
      </c>
      <c r="G6836">
        <v>-184.1482</v>
      </c>
      <c r="H6836" s="1">
        <v>-4.3575129999999999E-6</v>
      </c>
      <c r="I6836">
        <v>117.3706</v>
      </c>
      <c r="J6836">
        <v>-188.0421</v>
      </c>
      <c r="K6836">
        <v>1.104949</v>
      </c>
      <c r="L6836">
        <v>101.0377</v>
      </c>
      <c r="M6836">
        <v>1.348385E-2</v>
      </c>
      <c r="N6836">
        <v>0</v>
      </c>
      <c r="O6836">
        <v>0.99981169999999997</v>
      </c>
      <c r="P6836">
        <v>-3.5856369999999999E-2</v>
      </c>
      <c r="Q6836">
        <v>2.2553730000000001E-2</v>
      </c>
      <c r="R6836">
        <v>0.99910239999999995</v>
      </c>
      <c r="S6836">
        <v>0.70959469999999902</v>
      </c>
      <c r="T6836">
        <v>-0.2011404</v>
      </c>
      <c r="U6836">
        <v>3.0329899999999999</v>
      </c>
      <c r="V6836">
        <v>-4.9342949999999997E-2</v>
      </c>
      <c r="W6836">
        <v>3.646406E-2</v>
      </c>
      <c r="X6836">
        <v>0.99811609999999995</v>
      </c>
      <c r="Y6836">
        <v>0.21418139999999999</v>
      </c>
      <c r="Z6836">
        <v>-6.4528000000000002E-2</v>
      </c>
      <c r="AA6836">
        <v>0.97466019999999898</v>
      </c>
      <c r="AB6836">
        <v>32</v>
      </c>
      <c r="AC6836">
        <v>3.8938999999999999</v>
      </c>
      <c r="AD6836">
        <v>-1.1049533575129999</v>
      </c>
      <c r="AE6836">
        <v>16.332899999999899</v>
      </c>
      <c r="AF6836">
        <v>3.65745496891856</v>
      </c>
      <c r="AG6836">
        <v>-1.1049533575129999</v>
      </c>
      <c r="AH6836">
        <v>16.313277719949902</v>
      </c>
      <c r="AI6836">
        <v>93.781329247158297</v>
      </c>
      <c r="AJ6836">
        <v>77.363191391536802</v>
      </c>
      <c r="AK6836">
        <v>16.754728548686199</v>
      </c>
    </row>
    <row r="6837" spans="1:37" x14ac:dyDescent="0.2">
      <c r="A6837" t="str">
        <f>"20200111155736531"</f>
        <v>20200111155736531</v>
      </c>
      <c r="B6837" t="str">
        <f>"1578729456520643"</f>
        <v>1578729456520643</v>
      </c>
      <c r="C6837" t="s">
        <v>37</v>
      </c>
      <c r="D6837">
        <v>5.0028430000000004</v>
      </c>
      <c r="E6837">
        <v>0.60419089999999998</v>
      </c>
      <c r="F6837" t="s">
        <v>38</v>
      </c>
      <c r="G6837">
        <v>-184.05699999999999</v>
      </c>
      <c r="H6837" s="1">
        <v>-4.6251549999999996E-6</v>
      </c>
      <c r="I6837">
        <v>117.9568</v>
      </c>
      <c r="J6837">
        <v>-188.03809999999999</v>
      </c>
      <c r="K6837">
        <v>1.1049639999999901</v>
      </c>
      <c r="L6837">
        <v>101.34739999999999</v>
      </c>
      <c r="M6837">
        <v>1.3248090000000001E-2</v>
      </c>
      <c r="N6837">
        <v>0</v>
      </c>
      <c r="O6837">
        <v>0.99981399999999998</v>
      </c>
      <c r="P6837">
        <v>-3.599086E-2</v>
      </c>
      <c r="Q6837">
        <v>2.342727E-2</v>
      </c>
      <c r="R6837">
        <v>0.99907749999999995</v>
      </c>
      <c r="S6837">
        <v>0.71434019999999898</v>
      </c>
      <c r="T6837">
        <v>-0.1980671</v>
      </c>
      <c r="U6837">
        <v>3.0328059999999999</v>
      </c>
      <c r="V6837">
        <v>-4.9242719999999997E-2</v>
      </c>
      <c r="W6837">
        <v>3.7398500000000001E-2</v>
      </c>
      <c r="X6837">
        <v>0.99808639999999904</v>
      </c>
      <c r="Y6837">
        <v>0.21588460000000001</v>
      </c>
      <c r="Z6837">
        <v>-6.3526970000000002E-2</v>
      </c>
      <c r="AA6837">
        <v>0.97435020000000006</v>
      </c>
      <c r="AB6837">
        <v>32</v>
      </c>
      <c r="AC6837">
        <v>3.9810999999999601</v>
      </c>
      <c r="AD6837">
        <v>-1.1049686251549999</v>
      </c>
      <c r="AE6837">
        <v>16.609400000000001</v>
      </c>
      <c r="AF6837">
        <v>3.7450119242497899</v>
      </c>
      <c r="AG6837">
        <v>-1.1049686251549999</v>
      </c>
      <c r="AH6837">
        <v>16.591249054991401</v>
      </c>
      <c r="AI6837">
        <v>93.716999576724405</v>
      </c>
      <c r="AJ6837">
        <v>77.280241780739203</v>
      </c>
      <c r="AK6837">
        <v>17.0445186256492</v>
      </c>
    </row>
    <row r="6838" spans="1:37" x14ac:dyDescent="0.2">
      <c r="A6838" t="str">
        <f>"20200111155736552"</f>
        <v>20200111155736552</v>
      </c>
      <c r="B6838" t="str">
        <f>"1578729456540164"</f>
        <v>1578729456540164</v>
      </c>
      <c r="C6838" t="s">
        <v>37</v>
      </c>
      <c r="D6838">
        <v>4.9524179999999998</v>
      </c>
      <c r="E6838">
        <v>0.60458040000000002</v>
      </c>
      <c r="F6838" t="s">
        <v>38</v>
      </c>
      <c r="G6838">
        <v>-183.97669999999999</v>
      </c>
      <c r="H6838" s="1">
        <v>-4.889042E-6</v>
      </c>
      <c r="I6838">
        <v>118.53870000000001</v>
      </c>
      <c r="J6838">
        <v>-188.0343</v>
      </c>
      <c r="K6838">
        <v>1.1049789999999999</v>
      </c>
      <c r="L6838">
        <v>101.6593</v>
      </c>
      <c r="M6838">
        <v>1.299169E-2</v>
      </c>
      <c r="N6838">
        <v>0</v>
      </c>
      <c r="O6838">
        <v>0.99981659999999895</v>
      </c>
      <c r="P6838">
        <v>-3.605978E-2</v>
      </c>
      <c r="Q6838">
        <v>2.410464E-2</v>
      </c>
      <c r="R6838">
        <v>0.99905889999999997</v>
      </c>
      <c r="S6838">
        <v>0.71658330000000003</v>
      </c>
      <c r="T6838">
        <v>-0.19495709999999999</v>
      </c>
      <c r="U6838">
        <v>3.0331730000000001</v>
      </c>
      <c r="V6838">
        <v>-4.9056710000000003E-2</v>
      </c>
      <c r="W6838">
        <v>3.8128500000000003E-2</v>
      </c>
      <c r="X6838">
        <v>0.99806799999999996</v>
      </c>
      <c r="Y6838">
        <v>0.21680579999999999</v>
      </c>
      <c r="Z6838">
        <v>-6.2514829999999993E-2</v>
      </c>
      <c r="AA6838">
        <v>0.97421100000000005</v>
      </c>
      <c r="AB6838">
        <v>32</v>
      </c>
      <c r="AC6838">
        <v>4.0575999999999999</v>
      </c>
      <c r="AD6838">
        <v>-1.1049838890420001</v>
      </c>
      <c r="AE6838">
        <v>16.8794</v>
      </c>
      <c r="AF6838">
        <v>3.8224577239964099</v>
      </c>
      <c r="AG6838">
        <v>-1.1049838890420001</v>
      </c>
      <c r="AH6838">
        <v>16.862380036420799</v>
      </c>
      <c r="AI6838">
        <v>93.6566915671673</v>
      </c>
      <c r="AJ6838">
        <v>77.227728920765998</v>
      </c>
      <c r="AK6838">
        <v>17.325473527135301</v>
      </c>
    </row>
    <row r="6839" spans="1:37" x14ac:dyDescent="0.2">
      <c r="A6839" t="str">
        <f>"20200111155736574"</f>
        <v>20200111155736574</v>
      </c>
      <c r="B6839" t="str">
        <f>"1578729456570420"</f>
        <v>1578729456570420</v>
      </c>
      <c r="C6839" t="s">
        <v>37</v>
      </c>
      <c r="D6839">
        <v>4.9295029999999898</v>
      </c>
      <c r="E6839">
        <v>0.60507659999999996</v>
      </c>
      <c r="F6839" t="s">
        <v>38</v>
      </c>
      <c r="G6839">
        <v>-183.91149999999999</v>
      </c>
      <c r="H6839" s="1">
        <v>-5.1186609999999998E-6</v>
      </c>
      <c r="I6839">
        <v>119.047</v>
      </c>
      <c r="J6839">
        <v>-188.03049999999999</v>
      </c>
      <c r="K6839">
        <v>1.105011</v>
      </c>
      <c r="L6839">
        <v>101.9761</v>
      </c>
      <c r="M6839">
        <v>1.268856E-2</v>
      </c>
      <c r="N6839">
        <v>0</v>
      </c>
      <c r="O6839">
        <v>0.99981980000000004</v>
      </c>
      <c r="P6839">
        <v>-3.5956389999999998E-2</v>
      </c>
      <c r="Q6839">
        <v>2.319191E-2</v>
      </c>
      <c r="R6839">
        <v>0.99908419999999898</v>
      </c>
      <c r="S6839">
        <v>0.71925349999999999</v>
      </c>
      <c r="T6839">
        <v>-0.19277269999999999</v>
      </c>
      <c r="U6839">
        <v>3.033417</v>
      </c>
      <c r="V6839">
        <v>-4.8652340000000002E-2</v>
      </c>
      <c r="W6839">
        <v>3.726032E-2</v>
      </c>
      <c r="X6839">
        <v>0.99812049999999997</v>
      </c>
      <c r="Y6839">
        <v>0.217906399999999</v>
      </c>
      <c r="Z6839">
        <v>-6.1798869999999999E-2</v>
      </c>
      <c r="AA6839">
        <v>0.97401109999999902</v>
      </c>
      <c r="AB6839">
        <v>32</v>
      </c>
      <c r="AC6839">
        <v>4.1189999999999998</v>
      </c>
      <c r="AD6839">
        <v>-1.1050161186609999</v>
      </c>
      <c r="AE6839">
        <v>17.070900000000002</v>
      </c>
      <c r="AF6839">
        <v>3.8866521196387702</v>
      </c>
      <c r="AG6839">
        <v>-1.1050161186609999</v>
      </c>
      <c r="AH6839">
        <v>17.054267216971802</v>
      </c>
      <c r="AI6839">
        <v>93.614817296227002</v>
      </c>
      <c r="AJ6839">
        <v>77.161612837707807</v>
      </c>
      <c r="AK6839">
        <v>17.5264130850973</v>
      </c>
    </row>
    <row r="6840" spans="1:37" x14ac:dyDescent="0.2">
      <c r="A6840" t="str">
        <f>"20200111155736598"</f>
        <v>20200111155736598</v>
      </c>
      <c r="B6840" t="str">
        <f>"1578729456589939"</f>
        <v>1578729456589939</v>
      </c>
      <c r="C6840" t="s">
        <v>37</v>
      </c>
      <c r="D6840">
        <v>4.9657599999999897</v>
      </c>
      <c r="E6840">
        <v>0.61251699999999998</v>
      </c>
      <c r="F6840" t="s">
        <v>38</v>
      </c>
      <c r="G6840">
        <v>-183.9195</v>
      </c>
      <c r="H6840" s="1">
        <v>-5.1843740000000004E-6</v>
      </c>
      <c r="I6840">
        <v>119.20350000000001</v>
      </c>
      <c r="J6840">
        <v>-188.0265</v>
      </c>
      <c r="K6840">
        <v>1.105075</v>
      </c>
      <c r="L6840">
        <v>102.31699999999999</v>
      </c>
      <c r="M6840">
        <v>1.2277369999999999E-2</v>
      </c>
      <c r="N6840">
        <v>0</v>
      </c>
      <c r="O6840">
        <v>0.9998243</v>
      </c>
      <c r="P6840">
        <v>-3.6244539999999999E-2</v>
      </c>
      <c r="Q6840">
        <v>2.3082430000000001E-2</v>
      </c>
      <c r="R6840">
        <v>0.99907639999999998</v>
      </c>
      <c r="S6840">
        <v>0.72383120000000001</v>
      </c>
      <c r="T6840">
        <v>-0.19456619999999999</v>
      </c>
      <c r="U6840">
        <v>3.033325</v>
      </c>
      <c r="V6840">
        <v>-4.8534910000000001E-2</v>
      </c>
      <c r="W6840">
        <v>3.7187400000000002E-2</v>
      </c>
      <c r="X6840">
        <v>0.99812900000000004</v>
      </c>
      <c r="Y6840">
        <v>0.21969720000000001</v>
      </c>
      <c r="Z6840">
        <v>-6.2350469999999998E-2</v>
      </c>
      <c r="AA6840">
        <v>0.97357359999999904</v>
      </c>
      <c r="AB6840">
        <v>32</v>
      </c>
      <c r="AC6840">
        <v>4.1069999999999904</v>
      </c>
      <c r="AD6840">
        <v>-1.1050801843739999</v>
      </c>
      <c r="AE6840">
        <v>16.886499999999899</v>
      </c>
      <c r="AF6840">
        <v>3.88364453849998</v>
      </c>
      <c r="AG6840">
        <v>-1.1050801843739999</v>
      </c>
      <c r="AH6840">
        <v>16.867452860387299</v>
      </c>
      <c r="AI6840">
        <v>93.653095821238594</v>
      </c>
      <c r="AJ6840">
        <v>77.033910927848495</v>
      </c>
      <c r="AK6840">
        <v>17.344015195816201</v>
      </c>
    </row>
    <row r="6841" spans="1:37" x14ac:dyDescent="0.2">
      <c r="A6841" t="str">
        <f>"20200111155736620"</f>
        <v>20200111155736620</v>
      </c>
      <c r="B6841" t="str">
        <f>"1578729456610437"</f>
        <v>1578729456610437</v>
      </c>
      <c r="C6841" t="s">
        <v>37</v>
      </c>
      <c r="D6841">
        <v>4.8621650000000001</v>
      </c>
      <c r="E6841">
        <v>0.61238990000000004</v>
      </c>
      <c r="F6841" t="s">
        <v>38</v>
      </c>
      <c r="G6841">
        <v>-183.78649999999999</v>
      </c>
      <c r="H6841" s="1">
        <v>-5.0240279999999996E-6</v>
      </c>
      <c r="I6841">
        <v>118.7747</v>
      </c>
      <c r="J6841">
        <v>-188.0232</v>
      </c>
      <c r="K6841">
        <v>1.105175</v>
      </c>
      <c r="L6841">
        <v>102.6246</v>
      </c>
      <c r="M6841">
        <v>1.1766759999999999E-2</v>
      </c>
      <c r="N6841">
        <v>0</v>
      </c>
      <c r="O6841">
        <v>0.999829999999999</v>
      </c>
      <c r="P6841">
        <v>-3.6117509999999999E-2</v>
      </c>
      <c r="Q6841">
        <v>2.2884640000000001E-2</v>
      </c>
      <c r="R6841">
        <v>0.99908549999999996</v>
      </c>
      <c r="S6841">
        <v>0.78211980000000003</v>
      </c>
      <c r="T6841">
        <v>-0.20384679999999999</v>
      </c>
      <c r="U6841">
        <v>3.0358580000000002</v>
      </c>
      <c r="V6841">
        <v>-4.7906020000000001E-2</v>
      </c>
      <c r="W6841">
        <v>3.7013480000000001E-2</v>
      </c>
      <c r="X6841">
        <v>0.99816579999999999</v>
      </c>
      <c r="Y6841">
        <v>0.237540999999999</v>
      </c>
      <c r="Z6841">
        <v>-6.497377E-2</v>
      </c>
      <c r="AA6841">
        <v>0.96920209999999996</v>
      </c>
      <c r="AB6841">
        <v>32</v>
      </c>
      <c r="AC6841">
        <v>4.2367000000000097</v>
      </c>
      <c r="AD6841">
        <v>-1.1051800240280001</v>
      </c>
      <c r="AE6841">
        <v>16.150099999999899</v>
      </c>
      <c r="AF6841">
        <v>4.0287018260642196</v>
      </c>
      <c r="AG6841">
        <v>-1.1051800240280001</v>
      </c>
      <c r="AH6841">
        <v>16.128175161168301</v>
      </c>
      <c r="AI6841">
        <v>93.803544537413302</v>
      </c>
      <c r="AJ6841">
        <v>75.974931117723003</v>
      </c>
      <c r="AK6841">
        <v>16.660429025633398</v>
      </c>
    </row>
    <row r="6842" spans="1:37" x14ac:dyDescent="0.2">
      <c r="A6842" t="str">
        <f>"20200111155736634"</f>
        <v>20200111155736634</v>
      </c>
      <c r="B6842" t="str">
        <f>"1578729456629957"</f>
        <v>1578729456629957</v>
      </c>
      <c r="C6842" t="s">
        <v>37</v>
      </c>
      <c r="D6842">
        <v>4.8808980000000002</v>
      </c>
      <c r="E6842">
        <v>0.61255749999999998</v>
      </c>
      <c r="F6842" t="s">
        <v>38</v>
      </c>
      <c r="G6842">
        <v>-183.70740000000001</v>
      </c>
      <c r="H6842" s="1">
        <v>-5.3027509999999903E-6</v>
      </c>
      <c r="I6842">
        <v>119.3917</v>
      </c>
      <c r="J6842">
        <v>-188.02109999999999</v>
      </c>
      <c r="K6842">
        <v>1.105275</v>
      </c>
      <c r="L6842">
        <v>102.8425</v>
      </c>
      <c r="M6842">
        <v>1.129174E-2</v>
      </c>
      <c r="N6842">
        <v>0</v>
      </c>
      <c r="O6842">
        <v>0.99983519999999904</v>
      </c>
      <c r="P6842">
        <v>-3.6343470000000003E-2</v>
      </c>
      <c r="Q6842">
        <v>2.302307E-2</v>
      </c>
      <c r="R6842">
        <v>0.99907409999999996</v>
      </c>
      <c r="S6842">
        <v>0.78135679999999996</v>
      </c>
      <c r="T6842">
        <v>-0.20008609999999999</v>
      </c>
      <c r="U6842">
        <v>3.0355829999999999</v>
      </c>
      <c r="V6842">
        <v>-4.7665859999999997E-2</v>
      </c>
      <c r="W6842">
        <v>3.7162149999999998E-2</v>
      </c>
      <c r="X6842">
        <v>0.99817180000000005</v>
      </c>
      <c r="Y6842">
        <v>0.23781430000000001</v>
      </c>
      <c r="Z6842">
        <v>-6.3786029999999994E-2</v>
      </c>
      <c r="AA6842">
        <v>0.96921399999999902</v>
      </c>
      <c r="AB6842">
        <v>32</v>
      </c>
      <c r="AC6842">
        <v>4.3136999999999803</v>
      </c>
      <c r="AD6842">
        <v>-1.1052803027510001</v>
      </c>
      <c r="AE6842">
        <v>16.549199999999999</v>
      </c>
      <c r="AF6842">
        <v>4.1093727934419597</v>
      </c>
      <c r="AG6842">
        <v>-1.1052803027510001</v>
      </c>
      <c r="AH6842">
        <v>16.527825547644699</v>
      </c>
      <c r="AI6842">
        <v>93.713176220277703</v>
      </c>
      <c r="AJ6842">
        <v>76.037463820049894</v>
      </c>
      <c r="AK6842">
        <v>17.0668569642013</v>
      </c>
    </row>
    <row r="6843" spans="1:37" x14ac:dyDescent="0.2">
      <c r="A6843" t="str">
        <f>"20200111155736654"</f>
        <v>20200111155736654</v>
      </c>
      <c r="B6843" t="str">
        <f>"1578729456650451"</f>
        <v>1578729456650451</v>
      </c>
      <c r="C6843" t="s">
        <v>37</v>
      </c>
      <c r="D6843">
        <v>4.8311830000000002</v>
      </c>
      <c r="E6843">
        <v>0.61322949999999998</v>
      </c>
      <c r="F6843" t="s">
        <v>72</v>
      </c>
      <c r="G6843">
        <v>-183.69640000000001</v>
      </c>
      <c r="H6843" s="1">
        <v>-1.671883E-6</v>
      </c>
      <c r="I6843">
        <v>119.63630000000001</v>
      </c>
      <c r="J6843">
        <v>-188.01859999999999</v>
      </c>
      <c r="K6843">
        <v>1.1054120000000001</v>
      </c>
      <c r="L6843">
        <v>103.1204</v>
      </c>
      <c r="M6843">
        <v>1.0575569999999999E-2</v>
      </c>
      <c r="N6843">
        <v>0</v>
      </c>
      <c r="O6843">
        <v>0.99984269999999997</v>
      </c>
      <c r="P6843">
        <v>-3.588628E-2</v>
      </c>
      <c r="Q6843">
        <v>2.2538269999999999E-2</v>
      </c>
      <c r="R6843">
        <v>0.99910169999999998</v>
      </c>
      <c r="S6843">
        <v>0.78176880000000004</v>
      </c>
      <c r="T6843">
        <v>-0.19980129999999999</v>
      </c>
      <c r="U6843">
        <v>3.035828</v>
      </c>
      <c r="V6843">
        <v>-4.6504339999999998E-2</v>
      </c>
      <c r="W6843">
        <v>3.6689449999999998E-2</v>
      </c>
      <c r="X6843">
        <v>0.99824400000000002</v>
      </c>
      <c r="Y6843">
        <v>0.23861599999999999</v>
      </c>
      <c r="Z6843">
        <v>-6.3684039999999997E-2</v>
      </c>
      <c r="AA6843">
        <v>0.96902359999999899</v>
      </c>
      <c r="AB6843">
        <v>32</v>
      </c>
      <c r="AC6843">
        <v>4.3221999999999801</v>
      </c>
      <c r="AD6843">
        <v>-1.1054136718830001</v>
      </c>
      <c r="AE6843">
        <v>16.515899999999998</v>
      </c>
      <c r="AF6843">
        <v>4.1299604957476497</v>
      </c>
      <c r="AG6843">
        <v>-1.1054136718830001</v>
      </c>
      <c r="AH6843">
        <v>16.4915492530702</v>
      </c>
      <c r="AI6843">
        <v>93.720204086216995</v>
      </c>
      <c r="AJ6843">
        <v>75.940630386719107</v>
      </c>
      <c r="AK6843">
        <v>17.036716521937599</v>
      </c>
    </row>
    <row r="6844" spans="1:37" x14ac:dyDescent="0.2">
      <c r="A6844" t="str">
        <f>"20200111155736676"</f>
        <v>20200111155736676</v>
      </c>
      <c r="B6844" t="str">
        <f>"1578729456669972"</f>
        <v>1578729456669972</v>
      </c>
      <c r="C6844" t="s">
        <v>37</v>
      </c>
      <c r="D6844">
        <v>4.8418369999999999</v>
      </c>
      <c r="E6844">
        <v>0.61363319999999999</v>
      </c>
      <c r="F6844" t="s">
        <v>72</v>
      </c>
      <c r="G6844">
        <v>-183.69049999999999</v>
      </c>
      <c r="H6844" s="1">
        <v>-1.7197199999999999E-6</v>
      </c>
      <c r="I6844">
        <v>119.79340000000001</v>
      </c>
      <c r="J6844">
        <v>-188.0163</v>
      </c>
      <c r="K6844">
        <v>1.105594</v>
      </c>
      <c r="L6844">
        <v>103.43770000000001</v>
      </c>
      <c r="M6844">
        <v>9.5471369999999903E-3</v>
      </c>
      <c r="N6844">
        <v>0</v>
      </c>
      <c r="O6844">
        <v>0.99985270000000004</v>
      </c>
      <c r="P6844">
        <v>-3.5934649999999999E-2</v>
      </c>
      <c r="Q6844">
        <v>2.12677E-2</v>
      </c>
      <c r="R6844">
        <v>0.99912780000000001</v>
      </c>
      <c r="S6844">
        <v>0.78797910000000004</v>
      </c>
      <c r="T6844">
        <v>-0.20125409999999999</v>
      </c>
      <c r="U6844">
        <v>3.0355379999999998</v>
      </c>
      <c r="V6844">
        <v>-4.5539169999999997E-2</v>
      </c>
      <c r="W6844">
        <v>3.5427609999999998E-2</v>
      </c>
      <c r="X6844">
        <v>0.99833419999999895</v>
      </c>
      <c r="Y6844">
        <v>0.24148739999999999</v>
      </c>
      <c r="Z6844">
        <v>-6.4112840000000004E-2</v>
      </c>
      <c r="AA6844">
        <v>0.96828369999999997</v>
      </c>
      <c r="AB6844">
        <v>32</v>
      </c>
      <c r="AC6844">
        <v>4.3258000000000099</v>
      </c>
      <c r="AD6844">
        <v>-1.1055957197199999</v>
      </c>
      <c r="AE6844">
        <v>16.355699999999999</v>
      </c>
      <c r="AF6844">
        <v>4.1517064750079999</v>
      </c>
      <c r="AG6844">
        <v>-1.1055957197199999</v>
      </c>
      <c r="AH6844">
        <v>16.326533295297502</v>
      </c>
      <c r="AI6844">
        <v>93.754881781727605</v>
      </c>
      <c r="AJ6844">
        <v>75.732544386907506</v>
      </c>
      <c r="AK6844">
        <v>16.8823783274912</v>
      </c>
    </row>
    <row r="6845" spans="1:37" x14ac:dyDescent="0.2">
      <c r="A6845" t="str">
        <f>"20200111155736699"</f>
        <v>20200111155736699</v>
      </c>
      <c r="B6845" t="str">
        <f>"1578729456690468"</f>
        <v>1578729456690468</v>
      </c>
      <c r="C6845" t="s">
        <v>37</v>
      </c>
      <c r="D6845">
        <v>4.8395229999999998</v>
      </c>
      <c r="E6845">
        <v>0.61397500000000005</v>
      </c>
      <c r="F6845" t="s">
        <v>72</v>
      </c>
      <c r="G6845">
        <v>-183.77549999999999</v>
      </c>
      <c r="H6845" s="1">
        <v>-1.674653E-6</v>
      </c>
      <c r="I6845">
        <v>119.71720000000001</v>
      </c>
      <c r="J6845">
        <v>-188.0145</v>
      </c>
      <c r="K6845">
        <v>1.105793</v>
      </c>
      <c r="L6845">
        <v>103.75230000000001</v>
      </c>
      <c r="M6845">
        <v>8.2632699999999996E-3</v>
      </c>
      <c r="N6845">
        <v>0</v>
      </c>
      <c r="O6845">
        <v>0.99986379999999997</v>
      </c>
      <c r="P6845">
        <v>-3.5605709999999999E-2</v>
      </c>
      <c r="Q6845">
        <v>1.9452069999999998E-2</v>
      </c>
      <c r="R6845">
        <v>0.99917659999999997</v>
      </c>
      <c r="S6845">
        <v>0.79072569999999998</v>
      </c>
      <c r="T6845">
        <v>-0.20614740000000001</v>
      </c>
      <c r="U6845">
        <v>3.0354459999999999</v>
      </c>
      <c r="V6845">
        <v>-4.3940920000000001E-2</v>
      </c>
      <c r="W6845">
        <v>3.3617660000000001E-2</v>
      </c>
      <c r="X6845">
        <v>0.99846829999999998</v>
      </c>
      <c r="Y6845">
        <v>0.24353539999999901</v>
      </c>
      <c r="Z6845">
        <v>-6.5643510000000002E-2</v>
      </c>
      <c r="AA6845">
        <v>0.96766810000000003</v>
      </c>
      <c r="AB6845">
        <v>32</v>
      </c>
      <c r="AC6845">
        <v>4.2389999999999999</v>
      </c>
      <c r="AD6845">
        <v>-1.1057946746530001</v>
      </c>
      <c r="AE6845">
        <v>15.9649</v>
      </c>
      <c r="AF6845">
        <v>4.0885961973354696</v>
      </c>
      <c r="AG6845">
        <v>-1.1057946746530001</v>
      </c>
      <c r="AH6845">
        <v>15.9280040386755</v>
      </c>
      <c r="AI6845">
        <v>93.8470343273477</v>
      </c>
      <c r="AJ6845">
        <v>75.603442744538398</v>
      </c>
      <c r="AK6845">
        <v>16.4815264275922</v>
      </c>
    </row>
    <row r="6846" spans="1:37" x14ac:dyDescent="0.2">
      <c r="A6846" t="str">
        <f>"20200111155736712"</f>
        <v>20200111155736712</v>
      </c>
      <c r="B6846" t="str">
        <f>"1578729456709989"</f>
        <v>1578729456709989</v>
      </c>
      <c r="C6846" t="s">
        <v>37</v>
      </c>
      <c r="D6846">
        <v>4.8036190000000003</v>
      </c>
      <c r="E6846">
        <v>0.61434350000000004</v>
      </c>
      <c r="F6846" t="s">
        <v>38</v>
      </c>
      <c r="G6846">
        <v>-183.91099999999901</v>
      </c>
      <c r="H6846" s="1">
        <v>-5.291659E-6</v>
      </c>
      <c r="I6846">
        <v>119.45010000000001</v>
      </c>
      <c r="J6846">
        <v>-188.0137</v>
      </c>
      <c r="K6846">
        <v>1.1059299999999901</v>
      </c>
      <c r="L6846">
        <v>103.9641</v>
      </c>
      <c r="M6846">
        <v>7.2355259999999999E-3</v>
      </c>
      <c r="N6846">
        <v>0</v>
      </c>
      <c r="O6846">
        <v>0.99987159999999997</v>
      </c>
      <c r="P6846">
        <v>-3.5298429999999999E-2</v>
      </c>
      <c r="Q6846">
        <v>1.8102960000000001E-2</v>
      </c>
      <c r="R6846">
        <v>0.99921289999999996</v>
      </c>
      <c r="S6846">
        <v>0.79333500000000001</v>
      </c>
      <c r="T6846">
        <v>-0.2137879</v>
      </c>
      <c r="U6846">
        <v>3.0349119999999998</v>
      </c>
      <c r="V6846">
        <v>-4.2614430000000002E-2</v>
      </c>
      <c r="W6846">
        <v>3.2273240000000002E-2</v>
      </c>
      <c r="X6846">
        <v>0.99857019999999996</v>
      </c>
      <c r="Y6846">
        <v>0.24531129999999901</v>
      </c>
      <c r="Z6846">
        <v>-6.8054710000000004E-2</v>
      </c>
      <c r="AA6846">
        <v>0.96705269999999999</v>
      </c>
      <c r="AB6846">
        <v>32</v>
      </c>
      <c r="AC6846">
        <v>4.10270000000002</v>
      </c>
      <c r="AD6846">
        <v>-1.105935291659</v>
      </c>
      <c r="AE6846">
        <v>15.486000000000001</v>
      </c>
      <c r="AF6846">
        <v>3.9716045460722298</v>
      </c>
      <c r="AG6846">
        <v>-1.105935291659</v>
      </c>
      <c r="AH6846">
        <v>15.441693264576999</v>
      </c>
      <c r="AI6846">
        <v>93.967828117449997</v>
      </c>
      <c r="AJ6846">
        <v>75.576152317272602</v>
      </c>
      <c r="AK6846">
        <v>15.9825725844434</v>
      </c>
    </row>
    <row r="6847" spans="1:37" x14ac:dyDescent="0.2">
      <c r="A6847" t="str">
        <f>"20200111155736731"</f>
        <v>20200111155736731</v>
      </c>
      <c r="B6847" t="str">
        <f>"1578729456719748"</f>
        <v>1578729456719748</v>
      </c>
      <c r="C6847" t="s">
        <v>37</v>
      </c>
      <c r="D6847">
        <v>4.8358489999999996</v>
      </c>
      <c r="E6847">
        <v>0.61447629999999998</v>
      </c>
      <c r="F6847" t="s">
        <v>38</v>
      </c>
      <c r="G6847">
        <v>-183.97040000000001</v>
      </c>
      <c r="H6847" s="1">
        <v>-5.2426959999999997E-6</v>
      </c>
      <c r="I6847">
        <v>119.3605</v>
      </c>
      <c r="J6847">
        <v>-188.01320000000001</v>
      </c>
      <c r="K6847">
        <v>1.1060700000000001</v>
      </c>
      <c r="L6847">
        <v>104.2165</v>
      </c>
      <c r="M6847">
        <v>5.9075689999999997E-3</v>
      </c>
      <c r="N6847">
        <v>0</v>
      </c>
      <c r="O6847">
        <v>0.99988009999999905</v>
      </c>
      <c r="P6847">
        <v>-3.3038089999999999E-2</v>
      </c>
      <c r="Q6847">
        <v>1.593938E-2</v>
      </c>
      <c r="R6847">
        <v>0.99932699999999997</v>
      </c>
      <c r="S6847">
        <v>0.79690550000000004</v>
      </c>
      <c r="T6847">
        <v>-0.21796699999999999</v>
      </c>
      <c r="U6847">
        <v>3.0344540000000002</v>
      </c>
      <c r="V6847">
        <v>-3.9032770000000001E-2</v>
      </c>
      <c r="W6847">
        <v>3.0123270000000001E-2</v>
      </c>
      <c r="X6847">
        <v>0.9987838</v>
      </c>
      <c r="Y6847">
        <v>0.24767549999999999</v>
      </c>
      <c r="Z6847">
        <v>-6.9358180000000005E-2</v>
      </c>
      <c r="AA6847">
        <v>0.96635720000000003</v>
      </c>
      <c r="AB6847">
        <v>32</v>
      </c>
      <c r="AC6847">
        <v>4.0427999999999997</v>
      </c>
      <c r="AD6847">
        <v>-1.1060752426960001</v>
      </c>
      <c r="AE6847">
        <v>15.144</v>
      </c>
      <c r="AF6847">
        <v>3.9336681211111002</v>
      </c>
      <c r="AG6847">
        <v>-1.1060752426960001</v>
      </c>
      <c r="AH6847">
        <v>15.092467441923599</v>
      </c>
      <c r="AI6847">
        <v>94.056474584183604</v>
      </c>
      <c r="AJ6847">
        <v>75.391557607349895</v>
      </c>
      <c r="AK6847">
        <v>15.635847300836399</v>
      </c>
    </row>
    <row r="6848" spans="1:37" x14ac:dyDescent="0.2">
      <c r="A6848" t="str">
        <f>"20200111155736753"</f>
        <v>20200111155736753</v>
      </c>
      <c r="B6848" t="str">
        <f>"1578729456750004"</f>
        <v>1578729456750004</v>
      </c>
      <c r="C6848" t="s">
        <v>37</v>
      </c>
      <c r="D6848">
        <v>4.8654890000000002</v>
      </c>
      <c r="E6848">
        <v>0.61511419999999895</v>
      </c>
      <c r="F6848" t="s">
        <v>38</v>
      </c>
      <c r="G6848">
        <v>-184.06559999999999</v>
      </c>
      <c r="H6848" s="1">
        <v>-5.1140450000000003E-6</v>
      </c>
      <c r="I6848">
        <v>119.09990000000001</v>
      </c>
      <c r="J6848">
        <v>-188.01320000000001</v>
      </c>
      <c r="K6848">
        <v>1.106217</v>
      </c>
      <c r="L6848">
        <v>104.529</v>
      </c>
      <c r="M6848">
        <v>4.1186399999999998E-3</v>
      </c>
      <c r="N6848">
        <v>0</v>
      </c>
      <c r="O6848">
        <v>0.99988880000000002</v>
      </c>
      <c r="P6848">
        <v>-3.0871619999999999E-2</v>
      </c>
      <c r="Q6848">
        <v>1.483281E-2</v>
      </c>
      <c r="R6848">
        <v>0.99941329999999995</v>
      </c>
      <c r="S6848">
        <v>0.80426030000000004</v>
      </c>
      <c r="T6848">
        <v>-0.22534119999999999</v>
      </c>
      <c r="U6848">
        <v>3.0322110000000002</v>
      </c>
      <c r="V6848">
        <v>-3.508638E-2</v>
      </c>
      <c r="W6848">
        <v>2.9034649999999999E-2</v>
      </c>
      <c r="X6848">
        <v>0.99896240000000003</v>
      </c>
      <c r="Y6848">
        <v>0.25173099999999998</v>
      </c>
      <c r="Z6848">
        <v>-7.1684590000000006E-2</v>
      </c>
      <c r="AA6848">
        <v>0.96513869999999902</v>
      </c>
      <c r="AB6848">
        <v>32</v>
      </c>
      <c r="AC6848">
        <v>3.94760000000002</v>
      </c>
      <c r="AD6848">
        <v>-1.1062221140449999</v>
      </c>
      <c r="AE6848">
        <v>14.5709</v>
      </c>
      <c r="AF6848">
        <v>3.86678455868168</v>
      </c>
      <c r="AG6848">
        <v>-1.1062221140449999</v>
      </c>
      <c r="AH6848">
        <v>14.509127058041299</v>
      </c>
      <c r="AI6848">
        <v>94.213469003898993</v>
      </c>
      <c r="AJ6848">
        <v>75.077121699383696</v>
      </c>
      <c r="AK6848">
        <v>15.0562451552585</v>
      </c>
    </row>
    <row r="6849" spans="1:37" x14ac:dyDescent="0.2">
      <c r="A6849" t="str">
        <f>"20200111155736767"</f>
        <v>20200111155736767</v>
      </c>
      <c r="B6849" t="str">
        <f>"1578729456759765"</f>
        <v>1578729456759765</v>
      </c>
      <c r="C6849" t="s">
        <v>37</v>
      </c>
      <c r="D6849">
        <v>4.820017</v>
      </c>
      <c r="E6849">
        <v>0.61531849999999999</v>
      </c>
      <c r="F6849" t="s">
        <v>38</v>
      </c>
      <c r="G6849">
        <v>-184.0111</v>
      </c>
      <c r="H6849" s="1">
        <v>-5.2494650000000004E-6</v>
      </c>
      <c r="I6849">
        <v>119.3931</v>
      </c>
      <c r="J6849">
        <v>-188.0136</v>
      </c>
      <c r="K6849">
        <v>1.1062909999999999</v>
      </c>
      <c r="L6849">
        <v>104.7302</v>
      </c>
      <c r="M6849">
        <v>2.8936370000000001E-3</v>
      </c>
      <c r="N6849">
        <v>0</v>
      </c>
      <c r="O6849">
        <v>0.99989300000000003</v>
      </c>
      <c r="P6849">
        <v>-2.9873360000000002E-2</v>
      </c>
      <c r="Q6849">
        <v>1.4687469999999999E-2</v>
      </c>
      <c r="R6849">
        <v>0.99944580000000005</v>
      </c>
      <c r="S6849">
        <v>0.81588749999999999</v>
      </c>
      <c r="T6849">
        <v>-0.2255219</v>
      </c>
      <c r="U6849">
        <v>3.0303040000000001</v>
      </c>
      <c r="V6849">
        <v>-3.2869049999999997E-2</v>
      </c>
      <c r="W6849">
        <v>2.8900240000000001E-2</v>
      </c>
      <c r="X6849">
        <v>0.99904169999999903</v>
      </c>
      <c r="Y6849">
        <v>0.25651970000000002</v>
      </c>
      <c r="Z6849">
        <v>-7.1704999999999894E-2</v>
      </c>
      <c r="AA6849">
        <v>0.963875499999999</v>
      </c>
      <c r="AB6849">
        <v>32</v>
      </c>
      <c r="AC6849">
        <v>4.0024999999999897</v>
      </c>
      <c r="AD6849">
        <v>-1.1062962494649999</v>
      </c>
      <c r="AE6849">
        <v>14.6629</v>
      </c>
      <c r="AF6849">
        <v>3.9391809408888898</v>
      </c>
      <c r="AG6849">
        <v>-1.1062962494649999</v>
      </c>
      <c r="AH6849">
        <v>14.5970897282984</v>
      </c>
      <c r="AI6849">
        <v>94.184948407846505</v>
      </c>
      <c r="AJ6849">
        <v>74.8978638123926</v>
      </c>
      <c r="AK6849">
        <v>15.1596855644383</v>
      </c>
    </row>
    <row r="6850" spans="1:37" x14ac:dyDescent="0.2">
      <c r="A6850" t="str">
        <f>"20200111155736782"</f>
        <v>20200111155736782</v>
      </c>
      <c r="B6850" t="str">
        <f>"1578729456770499"</f>
        <v>1578729456770499</v>
      </c>
      <c r="C6850" t="s">
        <v>37</v>
      </c>
      <c r="D6850">
        <v>4.8490310000000001</v>
      </c>
      <c r="E6850">
        <v>0.61541159999999995</v>
      </c>
      <c r="F6850" t="s">
        <v>72</v>
      </c>
      <c r="G6850">
        <v>-183.9648</v>
      </c>
      <c r="H6850" s="1">
        <v>-1.6124429999999999E-6</v>
      </c>
      <c r="I6850">
        <v>119.67700000000001</v>
      </c>
      <c r="J6850">
        <v>-188.01419999999999</v>
      </c>
      <c r="K6850">
        <v>1.1063499999999999</v>
      </c>
      <c r="L6850">
        <v>104.9348</v>
      </c>
      <c r="M6850">
        <v>1.61241799999999E-3</v>
      </c>
      <c r="N6850">
        <v>0</v>
      </c>
      <c r="O6850">
        <v>0.9998958</v>
      </c>
      <c r="P6850">
        <v>-2.8612289999999999E-2</v>
      </c>
      <c r="Q6850">
        <v>1.531452E-2</v>
      </c>
      <c r="R6850">
        <v>0.99947330000000001</v>
      </c>
      <c r="S6850">
        <v>0.82061770000000001</v>
      </c>
      <c r="T6850">
        <v>-0.22422809999999899</v>
      </c>
      <c r="U6850">
        <v>3.02948</v>
      </c>
      <c r="V6850">
        <v>-3.0333570000000001E-2</v>
      </c>
      <c r="W6850">
        <v>2.9540360000000002E-2</v>
      </c>
      <c r="X6850">
        <v>0.99910319999999997</v>
      </c>
      <c r="Y6850">
        <v>0.2592334</v>
      </c>
      <c r="Z6850">
        <v>-7.1274260000000006E-2</v>
      </c>
      <c r="AA6850">
        <v>0.96318119999999996</v>
      </c>
      <c r="AB6850">
        <v>32</v>
      </c>
      <c r="AC6850">
        <v>4.0493999999999897</v>
      </c>
      <c r="AD6850">
        <v>-1.106351612443</v>
      </c>
      <c r="AE6850">
        <v>14.7422</v>
      </c>
      <c r="AF6850">
        <v>4.0046498737801999</v>
      </c>
      <c r="AG6850">
        <v>-1.106351612443</v>
      </c>
      <c r="AH6850">
        <v>14.671876137991999</v>
      </c>
      <c r="AI6850">
        <v>94.160663244237696</v>
      </c>
      <c r="AJ6850">
        <v>74.7331448289778</v>
      </c>
      <c r="AK6850">
        <v>15.2487764725732</v>
      </c>
    </row>
    <row r="6851" spans="1:37" x14ac:dyDescent="0.2">
      <c r="A6851" t="str">
        <f>"20200111155736799"</f>
        <v>20200111155736799</v>
      </c>
      <c r="B6851" t="str">
        <f>"1578729456790020"</f>
        <v>1578729456790020</v>
      </c>
      <c r="C6851" t="s">
        <v>37</v>
      </c>
      <c r="D6851">
        <v>4.8339639999999999</v>
      </c>
      <c r="E6851">
        <v>0.61548380000000003</v>
      </c>
      <c r="F6851" t="s">
        <v>72</v>
      </c>
      <c r="G6851">
        <v>-183.87639999999999</v>
      </c>
      <c r="H6851" s="1">
        <v>-1.7659819999999901E-6</v>
      </c>
      <c r="I6851">
        <v>120.11839999999999</v>
      </c>
      <c r="J6851">
        <v>-188.0153</v>
      </c>
      <c r="K6851">
        <v>1.106412</v>
      </c>
      <c r="L6851">
        <v>105.1812</v>
      </c>
      <c r="M6851" s="1">
        <v>2.746526E-5</v>
      </c>
      <c r="N6851">
        <v>0</v>
      </c>
      <c r="O6851">
        <v>0.99989689999999998</v>
      </c>
      <c r="P6851">
        <v>-2.5106420000000001E-2</v>
      </c>
      <c r="Q6851">
        <v>1.6317249999999998E-2</v>
      </c>
      <c r="R6851">
        <v>0.99955159999999998</v>
      </c>
      <c r="S6851">
        <v>0.82533259999999897</v>
      </c>
      <c r="T6851">
        <v>-0.22067729999999899</v>
      </c>
      <c r="U6851">
        <v>3.0285950000000001</v>
      </c>
      <c r="V6851">
        <v>-2.52515E-2</v>
      </c>
      <c r="W6851">
        <v>3.056795E-2</v>
      </c>
      <c r="X6851">
        <v>0.99921369999999898</v>
      </c>
      <c r="Y6851">
        <v>0.26225149999999903</v>
      </c>
      <c r="Z6851">
        <v>-7.0128090000000004E-2</v>
      </c>
      <c r="AA6851">
        <v>0.96244799999999997</v>
      </c>
      <c r="AB6851">
        <v>32</v>
      </c>
      <c r="AC6851">
        <v>4.1388999999999996</v>
      </c>
      <c r="AD6851">
        <v>-1.1064137659819999</v>
      </c>
      <c r="AE6851">
        <v>14.937199999999899</v>
      </c>
      <c r="AF6851">
        <v>4.1175096971451799</v>
      </c>
      <c r="AG6851">
        <v>-1.1064137659819999</v>
      </c>
      <c r="AH6851">
        <v>14.861589218065401</v>
      </c>
      <c r="AI6851">
        <v>94.103664588767401</v>
      </c>
      <c r="AJ6851">
        <v>74.514226877365004</v>
      </c>
      <c r="AK6851">
        <v>15.4610760173461</v>
      </c>
    </row>
    <row r="6852" spans="1:37" x14ac:dyDescent="0.2">
      <c r="A6852" t="str">
        <f>"20200111155736821"</f>
        <v>20200111155736821</v>
      </c>
      <c r="B6852" t="str">
        <f>"1578729456810516"</f>
        <v>1578729456810516</v>
      </c>
      <c r="C6852" t="s">
        <v>37</v>
      </c>
      <c r="D6852">
        <v>4.868455</v>
      </c>
      <c r="E6852">
        <v>0.61560019999999904</v>
      </c>
      <c r="F6852" t="s">
        <v>72</v>
      </c>
      <c r="G6852">
        <v>-183.7055</v>
      </c>
      <c r="H6852" s="1">
        <v>-2.00240199999999E-6</v>
      </c>
      <c r="I6852">
        <v>120.7667</v>
      </c>
      <c r="J6852">
        <v>-188.01730000000001</v>
      </c>
      <c r="K6852">
        <v>1.1064700000000001</v>
      </c>
      <c r="L6852">
        <v>105.4829</v>
      </c>
      <c r="M6852">
        <v>-1.9448569999999999E-3</v>
      </c>
      <c r="N6852">
        <v>0</v>
      </c>
      <c r="O6852">
        <v>0.99989499999999998</v>
      </c>
      <c r="P6852">
        <v>-2.1728359999999999E-2</v>
      </c>
      <c r="Q6852">
        <v>1.7751380000000001E-2</v>
      </c>
      <c r="R6852">
        <v>0.99960629999999995</v>
      </c>
      <c r="S6852">
        <v>0.836731</v>
      </c>
      <c r="T6852">
        <v>-0.214805</v>
      </c>
      <c r="U6852">
        <v>3.0258479999999999</v>
      </c>
      <c r="V6852">
        <v>-1.991006E-2</v>
      </c>
      <c r="W6852">
        <v>3.2029219999999997E-2</v>
      </c>
      <c r="X6852">
        <v>0.99928859999999997</v>
      </c>
      <c r="Y6852">
        <v>0.26777790000000001</v>
      </c>
      <c r="Z6852">
        <v>-6.8244299999999994E-2</v>
      </c>
      <c r="AA6852">
        <v>0.96106069999999999</v>
      </c>
      <c r="AB6852">
        <v>32</v>
      </c>
      <c r="AC6852">
        <v>4.3117999999999999</v>
      </c>
      <c r="AD6852">
        <v>-1.1064720024020001</v>
      </c>
      <c r="AE6852">
        <v>15.283799999999999</v>
      </c>
      <c r="AF6852">
        <v>4.3205448997564098</v>
      </c>
      <c r="AG6852">
        <v>-1.1064720024020001</v>
      </c>
      <c r="AH6852">
        <v>15.2015857256049</v>
      </c>
      <c r="AI6852">
        <v>94.004954329048005</v>
      </c>
      <c r="AJ6852">
        <v>74.1339636181618</v>
      </c>
      <c r="AK6852">
        <v>15.842335594722901</v>
      </c>
    </row>
    <row r="6853" spans="1:37" x14ac:dyDescent="0.2">
      <c r="A6853" t="str">
        <f>"20200111155736834"</f>
        <v>20200111155736834</v>
      </c>
      <c r="B6853" t="str">
        <f>"1578729456830038"</f>
        <v>1578729456830038</v>
      </c>
      <c r="C6853" t="s">
        <v>37</v>
      </c>
      <c r="D6853">
        <v>4.8951379999999904</v>
      </c>
      <c r="E6853">
        <v>0.61566849999999995</v>
      </c>
      <c r="F6853" t="s">
        <v>72</v>
      </c>
      <c r="G6853">
        <v>-183.53270000000001</v>
      </c>
      <c r="H6853" s="1">
        <v>-2.2573800000000001E-6</v>
      </c>
      <c r="I6853">
        <v>121.4764</v>
      </c>
      <c r="J6853">
        <v>-188.01900000000001</v>
      </c>
      <c r="K6853">
        <v>1.1065</v>
      </c>
      <c r="L6853">
        <v>105.6846</v>
      </c>
      <c r="M6853">
        <v>-3.2679379999999902E-3</v>
      </c>
      <c r="N6853">
        <v>0</v>
      </c>
      <c r="O6853">
        <v>0.99989150000000004</v>
      </c>
      <c r="P6853">
        <v>-2.090144E-2</v>
      </c>
      <c r="Q6853">
        <v>1.818287E-2</v>
      </c>
      <c r="R6853">
        <v>0.99961619999999995</v>
      </c>
      <c r="S6853">
        <v>0.84774780000000005</v>
      </c>
      <c r="T6853">
        <v>-0.20916190000000001</v>
      </c>
      <c r="U6853">
        <v>3.0233150000000002</v>
      </c>
      <c r="V6853">
        <v>-1.7763620000000001E-2</v>
      </c>
      <c r="W6853">
        <v>3.247245E-2</v>
      </c>
      <c r="X6853">
        <v>0.99931479999999995</v>
      </c>
      <c r="Y6853">
        <v>0.27253889999999997</v>
      </c>
      <c r="Z6853">
        <v>-6.6435869999999994E-2</v>
      </c>
      <c r="AA6853">
        <v>0.95984829999999999</v>
      </c>
      <c r="AB6853">
        <v>32</v>
      </c>
      <c r="AC6853">
        <v>4.4863</v>
      </c>
      <c r="AD6853">
        <v>-1.1065022573800001</v>
      </c>
      <c r="AE6853">
        <v>15.791799999999901</v>
      </c>
      <c r="AF6853">
        <v>4.5173660431255298</v>
      </c>
      <c r="AG6853">
        <v>-1.1065022573800001</v>
      </c>
      <c r="AH6853">
        <v>15.7057037484074</v>
      </c>
      <c r="AI6853">
        <v>93.873427229918093</v>
      </c>
      <c r="AJ6853">
        <v>73.953397917684995</v>
      </c>
      <c r="AK6853">
        <v>16.3798679312719</v>
      </c>
    </row>
    <row r="6854" spans="1:37" x14ac:dyDescent="0.2">
      <c r="A6854" t="str">
        <f>"20200111155736853"</f>
        <v>20200111155736853</v>
      </c>
      <c r="B6854" t="str">
        <f>"1578729456850533"</f>
        <v>1578729456850533</v>
      </c>
      <c r="C6854" t="s">
        <v>37</v>
      </c>
      <c r="D6854">
        <v>4.9050529999999997</v>
      </c>
      <c r="E6854">
        <v>0.615575599999999</v>
      </c>
      <c r="F6854" t="s">
        <v>72</v>
      </c>
      <c r="G6854">
        <v>-183.4633</v>
      </c>
      <c r="H6854" s="1">
        <v>-2.3921430000000001E-6</v>
      </c>
      <c r="I6854">
        <v>121.8712</v>
      </c>
      <c r="J6854">
        <v>-188.02160000000001</v>
      </c>
      <c r="K6854">
        <v>1.1065320000000001</v>
      </c>
      <c r="L6854">
        <v>105.94750000000001</v>
      </c>
      <c r="M6854">
        <v>-4.9888550000000004E-3</v>
      </c>
      <c r="N6854">
        <v>0</v>
      </c>
      <c r="O6854">
        <v>0.99988429999999995</v>
      </c>
      <c r="P6854">
        <v>-1.9162780000000001E-2</v>
      </c>
      <c r="Q6854">
        <v>1.864441E-2</v>
      </c>
      <c r="R6854">
        <v>0.99964259999999905</v>
      </c>
      <c r="S6854">
        <v>0.85073849999999995</v>
      </c>
      <c r="T6854">
        <v>-0.20662910000000001</v>
      </c>
      <c r="U6854">
        <v>3.02270499999999</v>
      </c>
      <c r="V6854">
        <v>-1.430765E-2</v>
      </c>
      <c r="W6854">
        <v>3.2952370000000002E-2</v>
      </c>
      <c r="X6854">
        <v>0.99935450000000003</v>
      </c>
      <c r="Y6854">
        <v>0.27513880000000002</v>
      </c>
      <c r="Z6854">
        <v>-6.5613619999999998E-2</v>
      </c>
      <c r="AA6854">
        <v>0.95916290000000004</v>
      </c>
      <c r="AB6854">
        <v>32</v>
      </c>
      <c r="AC6854">
        <v>4.5583</v>
      </c>
      <c r="AD6854">
        <v>-1.106534392143</v>
      </c>
      <c r="AE6854">
        <v>15.923699999999901</v>
      </c>
      <c r="AF6854">
        <v>4.6170859610405302</v>
      </c>
      <c r="AG6854">
        <v>-1.106534392143</v>
      </c>
      <c r="AH6854">
        <v>15.8301073334855</v>
      </c>
      <c r="AI6854">
        <v>93.839056662024106</v>
      </c>
      <c r="AJ6854">
        <v>73.7398909513158</v>
      </c>
      <c r="AK6854">
        <v>16.526772199141199</v>
      </c>
    </row>
    <row r="6855" spans="1:37" x14ac:dyDescent="0.2">
      <c r="A6855" t="str">
        <f>"20200111155736868"</f>
        <v>20200111155736868</v>
      </c>
      <c r="B6855" t="str">
        <f>"1578729456860293"</f>
        <v>1578729456860293</v>
      </c>
      <c r="C6855" t="s">
        <v>37</v>
      </c>
      <c r="D6855">
        <v>4.9122870000000001</v>
      </c>
      <c r="E6855">
        <v>0.61550229999999995</v>
      </c>
      <c r="F6855" t="s">
        <v>72</v>
      </c>
      <c r="G6855">
        <v>-183.3578</v>
      </c>
      <c r="H6855" s="1">
        <v>-2.578638E-6</v>
      </c>
      <c r="I6855">
        <v>122.4091</v>
      </c>
      <c r="J6855">
        <v>-188.02379999999999</v>
      </c>
      <c r="K6855">
        <v>1.1065510000000001</v>
      </c>
      <c r="L6855">
        <v>106.1435</v>
      </c>
      <c r="M6855">
        <v>-6.2664490000000003E-3</v>
      </c>
      <c r="N6855">
        <v>0</v>
      </c>
      <c r="O6855">
        <v>0.99987700000000002</v>
      </c>
      <c r="P6855">
        <v>-1.903005E-2</v>
      </c>
      <c r="Q6855">
        <v>1.8199380000000001E-2</v>
      </c>
      <c r="R6855">
        <v>0.99965329999999997</v>
      </c>
      <c r="S6855">
        <v>0.85595699999999997</v>
      </c>
      <c r="T6855">
        <v>-0.20308660000000001</v>
      </c>
      <c r="U6855">
        <v>3.021271</v>
      </c>
      <c r="V6855">
        <v>-1.2896329999999999E-2</v>
      </c>
      <c r="W6855">
        <v>3.2515820000000001E-2</v>
      </c>
      <c r="X6855">
        <v>0.99938799999999905</v>
      </c>
      <c r="Y6855">
        <v>0.27803899999999998</v>
      </c>
      <c r="Z6855">
        <v>-6.4480010000000004E-2</v>
      </c>
      <c r="AA6855">
        <v>0.95840319999999901</v>
      </c>
      <c r="AB6855">
        <v>32</v>
      </c>
      <c r="AC6855">
        <v>4.6659999999999897</v>
      </c>
      <c r="AD6855">
        <v>-1.1065535786380001</v>
      </c>
      <c r="AE6855">
        <v>16.2655999999999</v>
      </c>
      <c r="AF6855">
        <v>4.7475448699277303</v>
      </c>
      <c r="AG6855">
        <v>-1.1065535786380001</v>
      </c>
      <c r="AH6855">
        <v>16.166904915897899</v>
      </c>
      <c r="AI6855">
        <v>93.757362332967503</v>
      </c>
      <c r="AJ6855">
        <v>73.634688970749195</v>
      </c>
      <c r="AK6855">
        <v>16.8858656181452</v>
      </c>
    </row>
    <row r="6856" spans="1:37" x14ac:dyDescent="0.2">
      <c r="A6856" t="str">
        <f>"20200111155736887"</f>
        <v>20200111155736887</v>
      </c>
      <c r="B6856" t="str">
        <f>"1578729456879812"</f>
        <v>1578729456879812</v>
      </c>
      <c r="C6856" t="s">
        <v>37</v>
      </c>
      <c r="D6856">
        <v>4.9057329999999997</v>
      </c>
      <c r="E6856">
        <v>0.61537649999999999</v>
      </c>
      <c r="F6856" t="s">
        <v>72</v>
      </c>
      <c r="G6856">
        <v>-183.3612</v>
      </c>
      <c r="H6856" s="1">
        <v>-2.634272E-6</v>
      </c>
      <c r="I6856">
        <v>122.601</v>
      </c>
      <c r="J6856">
        <v>-188.0275</v>
      </c>
      <c r="K6856">
        <v>1.106557</v>
      </c>
      <c r="L6856">
        <v>106.42700000000001</v>
      </c>
      <c r="M6856">
        <v>-8.104155E-3</v>
      </c>
      <c r="N6856">
        <v>0</v>
      </c>
      <c r="O6856">
        <v>0.99986379999999997</v>
      </c>
      <c r="P6856">
        <v>-1.8980380000000002E-2</v>
      </c>
      <c r="Q6856">
        <v>1.7369590000000001E-2</v>
      </c>
      <c r="R6856">
        <v>0.99966900000000003</v>
      </c>
      <c r="S6856">
        <v>0.85591130000000004</v>
      </c>
      <c r="T6856">
        <v>-0.20312549999999999</v>
      </c>
      <c r="U6856">
        <v>3.021042</v>
      </c>
      <c r="V6856">
        <v>-1.1007100000000001E-2</v>
      </c>
      <c r="W6856">
        <v>3.1697040000000003E-2</v>
      </c>
      <c r="X6856">
        <v>0.99943689999999996</v>
      </c>
      <c r="Y6856">
        <v>0.27980919999999998</v>
      </c>
      <c r="Z6856">
        <v>-6.4478889999999997E-2</v>
      </c>
      <c r="AA6856">
        <v>0.95788790000000001</v>
      </c>
      <c r="AB6856">
        <v>32</v>
      </c>
      <c r="AC6856">
        <v>4.6662999999999997</v>
      </c>
      <c r="AD6856">
        <v>-1.1065596342720001</v>
      </c>
      <c r="AE6856">
        <v>16.1739999999999</v>
      </c>
      <c r="AF6856">
        <v>4.7765968524770699</v>
      </c>
      <c r="AG6856">
        <v>-1.1065596342720001</v>
      </c>
      <c r="AH6856">
        <v>16.066225067594601</v>
      </c>
      <c r="AI6856">
        <v>93.777124599294893</v>
      </c>
      <c r="AJ6856">
        <v>73.442432014326897</v>
      </c>
      <c r="AK6856">
        <v>16.797736146216199</v>
      </c>
    </row>
    <row r="6857" spans="1:37" x14ac:dyDescent="0.2">
      <c r="A6857" t="str">
        <f>"20200111155736912"</f>
        <v>20200111155736912</v>
      </c>
      <c r="B6857" t="str">
        <f>"1578729456900308"</f>
        <v>1578729456900308</v>
      </c>
      <c r="C6857" t="s">
        <v>37</v>
      </c>
      <c r="D6857">
        <v>4.913405</v>
      </c>
      <c r="E6857">
        <v>0.61543440000000005</v>
      </c>
      <c r="F6857" t="s">
        <v>72</v>
      </c>
      <c r="G6857">
        <v>-183.35130000000001</v>
      </c>
      <c r="H6857" s="1">
        <v>-2.7350940000000001E-6</v>
      </c>
      <c r="I6857">
        <v>122.9276</v>
      </c>
      <c r="J6857">
        <v>-188.0324</v>
      </c>
      <c r="K6857">
        <v>1.106549</v>
      </c>
      <c r="L6857">
        <v>106.7534</v>
      </c>
      <c r="M6857">
        <v>-1.019509E-2</v>
      </c>
      <c r="N6857">
        <v>0</v>
      </c>
      <c r="O6857">
        <v>0.99984459999999997</v>
      </c>
      <c r="P6857">
        <v>-2.0483919999999999E-2</v>
      </c>
      <c r="Q6857">
        <v>1.7779099999999999E-2</v>
      </c>
      <c r="R6857">
        <v>0.99963210000000002</v>
      </c>
      <c r="S6857">
        <v>0.85607909999999898</v>
      </c>
      <c r="T6857">
        <v>-0.202578799999999</v>
      </c>
      <c r="U6857">
        <v>3.02076699999999</v>
      </c>
      <c r="V6857">
        <v>-1.0421730000000001E-2</v>
      </c>
      <c r="W6857">
        <v>3.2111670000000002E-2</v>
      </c>
      <c r="X6857">
        <v>0.99942989999999998</v>
      </c>
      <c r="Y6857">
        <v>0.28189120000000001</v>
      </c>
      <c r="Z6857">
        <v>-6.4289330000000006E-2</v>
      </c>
      <c r="AA6857">
        <v>0.95729010000000003</v>
      </c>
      <c r="AB6857">
        <v>32</v>
      </c>
      <c r="AC6857">
        <v>4.6810999999999803</v>
      </c>
      <c r="AD6857">
        <v>-1.106551735094</v>
      </c>
      <c r="AE6857">
        <v>16.174199999999999</v>
      </c>
      <c r="AF6857">
        <v>4.8249331986901103</v>
      </c>
      <c r="AG6857">
        <v>-1.106551735094</v>
      </c>
      <c r="AH6857">
        <v>16.056286080581099</v>
      </c>
      <c r="AI6857">
        <v>93.776127270063895</v>
      </c>
      <c r="AJ6857">
        <v>73.274413974053104</v>
      </c>
      <c r="AK6857">
        <v>16.8020462984638</v>
      </c>
    </row>
    <row r="6858" spans="1:37" x14ac:dyDescent="0.2">
      <c r="A6858" t="str">
        <f>"20200111155736932"</f>
        <v>20200111155736932</v>
      </c>
      <c r="B6858" t="str">
        <f>"1578729456919828"</f>
        <v>1578729456919828</v>
      </c>
      <c r="C6858" t="s">
        <v>37</v>
      </c>
      <c r="D6858">
        <v>4.9418150000000001</v>
      </c>
      <c r="E6858">
        <v>0.6153168</v>
      </c>
      <c r="F6858" t="s">
        <v>72</v>
      </c>
      <c r="G6858">
        <v>-183.31620000000001</v>
      </c>
      <c r="H6858" s="1">
        <v>-3.0412569999999999E-6</v>
      </c>
      <c r="I6858">
        <v>123.47709999999999</v>
      </c>
      <c r="J6858">
        <v>-188.03749999999999</v>
      </c>
      <c r="K6858">
        <v>1.106533</v>
      </c>
      <c r="L6858">
        <v>107.057</v>
      </c>
      <c r="M6858">
        <v>-1.208919E-2</v>
      </c>
      <c r="N6858">
        <v>0</v>
      </c>
      <c r="O6858">
        <v>0.99982349999999998</v>
      </c>
      <c r="P6858">
        <v>-2.2775050000000002E-2</v>
      </c>
      <c r="Q6858">
        <v>1.9812929999999999E-2</v>
      </c>
      <c r="R6858">
        <v>0.99954430000000005</v>
      </c>
      <c r="S6858">
        <v>0.85224909999999998</v>
      </c>
      <c r="T6858">
        <v>-0.199964</v>
      </c>
      <c r="U6858">
        <v>3.022125</v>
      </c>
      <c r="V6858">
        <v>-1.0826560000000001E-2</v>
      </c>
      <c r="W6858">
        <v>3.4144750000000001E-2</v>
      </c>
      <c r="X6858">
        <v>0.99935819999999997</v>
      </c>
      <c r="Y6858">
        <v>0.28248689999999999</v>
      </c>
      <c r="Z6858">
        <v>-6.3438640000000004E-2</v>
      </c>
      <c r="AA6858">
        <v>0.9571712</v>
      </c>
      <c r="AB6858">
        <v>32</v>
      </c>
      <c r="AC6858">
        <v>4.7212999999999798</v>
      </c>
      <c r="AD6858">
        <v>-1.106536041257</v>
      </c>
      <c r="AE6858">
        <v>16.420099999999898</v>
      </c>
      <c r="AF6858">
        <v>4.8989325101412602</v>
      </c>
      <c r="AG6858">
        <v>-1.106536041257</v>
      </c>
      <c r="AH6858">
        <v>16.293474024426299</v>
      </c>
      <c r="AI6858">
        <v>93.721089235167895</v>
      </c>
      <c r="AJ6858">
        <v>73.265628652968601</v>
      </c>
      <c r="AK6858">
        <v>17.049963564013101</v>
      </c>
    </row>
    <row r="6859" spans="1:37" x14ac:dyDescent="0.2">
      <c r="A6859" t="str">
        <f>"20200111155736948"</f>
        <v>20200111155736948</v>
      </c>
      <c r="B6859" t="str">
        <f>"1578729456940324"</f>
        <v>1578729456940324</v>
      </c>
      <c r="C6859" t="s">
        <v>37</v>
      </c>
      <c r="D6859">
        <v>4.9649099999999997</v>
      </c>
      <c r="E6859">
        <v>0.61513999999999902</v>
      </c>
      <c r="F6859" t="s">
        <v>72</v>
      </c>
      <c r="G6859">
        <v>-183.2321</v>
      </c>
      <c r="H6859" s="1">
        <v>-3.488869E-6</v>
      </c>
      <c r="I6859">
        <v>124.2723</v>
      </c>
      <c r="J6859">
        <v>-188.04159999999999</v>
      </c>
      <c r="K6859">
        <v>1.106498</v>
      </c>
      <c r="L6859">
        <v>107.28019999999999</v>
      </c>
      <c r="M6859">
        <v>-1.341622E-2</v>
      </c>
      <c r="N6859">
        <v>0</v>
      </c>
      <c r="O6859">
        <v>0.99980659999999899</v>
      </c>
      <c r="P6859">
        <v>-2.4641449999999999E-2</v>
      </c>
      <c r="Q6859">
        <v>2.0271460000000002E-2</v>
      </c>
      <c r="R6859">
        <v>0.99949080000000001</v>
      </c>
      <c r="S6859">
        <v>0.84422299999999995</v>
      </c>
      <c r="T6859">
        <v>-0.1944015</v>
      </c>
      <c r="U6859">
        <v>3.0244599999999999</v>
      </c>
      <c r="V6859">
        <v>-1.136534E-2</v>
      </c>
      <c r="W6859">
        <v>3.4601760000000002E-2</v>
      </c>
      <c r="X6859">
        <v>0.99933649999999996</v>
      </c>
      <c r="Y6859">
        <v>0.28124159999999998</v>
      </c>
      <c r="Z6859">
        <v>-6.1666869999999999E-2</v>
      </c>
      <c r="AA6859">
        <v>0.95765359999999999</v>
      </c>
      <c r="AB6859">
        <v>32</v>
      </c>
      <c r="AC6859">
        <v>4.8094999999999803</v>
      </c>
      <c r="AD6859">
        <v>-1.1065014888689999</v>
      </c>
      <c r="AE6859">
        <v>16.992100000000001</v>
      </c>
      <c r="AF6859">
        <v>5.0173626506471596</v>
      </c>
      <c r="AG6859">
        <v>-1.1065014888689999</v>
      </c>
      <c r="AH6859">
        <v>16.859848116310499</v>
      </c>
      <c r="AI6859">
        <v>93.599338727915693</v>
      </c>
      <c r="AJ6859">
        <v>73.427394858066194</v>
      </c>
      <c r="AK6859">
        <v>17.625344025522999</v>
      </c>
    </row>
    <row r="6860" spans="1:37" x14ac:dyDescent="0.2">
      <c r="A6860" t="str">
        <f>"20200111155736966"</f>
        <v>20200111155736966</v>
      </c>
      <c r="B6860" t="str">
        <f>"1578729456959844"</f>
        <v>1578729456959844</v>
      </c>
      <c r="C6860" t="s">
        <v>37</v>
      </c>
      <c r="D6860">
        <v>5.0144859999999998</v>
      </c>
      <c r="E6860">
        <v>0.6150156</v>
      </c>
      <c r="F6860" t="s">
        <v>72</v>
      </c>
      <c r="G6860">
        <v>-183.27959999999999</v>
      </c>
      <c r="H6860" s="1">
        <v>-3.60514999999999E-6</v>
      </c>
      <c r="I6860">
        <v>124.49639999999999</v>
      </c>
      <c r="J6860">
        <v>-188.04640000000001</v>
      </c>
      <c r="K6860">
        <v>1.1064179999999999</v>
      </c>
      <c r="L6860">
        <v>107.53230000000001</v>
      </c>
      <c r="M6860">
        <v>-1.481824E-2</v>
      </c>
      <c r="N6860">
        <v>0</v>
      </c>
      <c r="O6860">
        <v>0.99978679999999998</v>
      </c>
      <c r="P6860">
        <v>-2.6393340000000001E-2</v>
      </c>
      <c r="Q6860">
        <v>2.0290530000000001E-2</v>
      </c>
      <c r="R6860">
        <v>0.99944569999999999</v>
      </c>
      <c r="S6860">
        <v>0.83702089999999996</v>
      </c>
      <c r="T6860">
        <v>-0.19449089999999999</v>
      </c>
      <c r="U6860">
        <v>3.0261230000000001</v>
      </c>
      <c r="V6860">
        <v>-1.17089E-2</v>
      </c>
      <c r="W6860">
        <v>3.4621300000000001E-2</v>
      </c>
      <c r="X6860">
        <v>0.99933189999999905</v>
      </c>
      <c r="Y6860">
        <v>0.28033429999999998</v>
      </c>
      <c r="Z6860">
        <v>-6.1688260000000002E-2</v>
      </c>
      <c r="AA6860">
        <v>0.95791819999999905</v>
      </c>
      <c r="AB6860">
        <v>31</v>
      </c>
      <c r="AC6860">
        <v>4.7668000000000097</v>
      </c>
      <c r="AD6860">
        <v>-1.10642160515</v>
      </c>
      <c r="AE6860">
        <v>16.964099999999899</v>
      </c>
      <c r="AF6860">
        <v>4.9979759263000698</v>
      </c>
      <c r="AG6860">
        <v>-1.10642160515</v>
      </c>
      <c r="AH6860">
        <v>16.8252599799881</v>
      </c>
      <c r="AI6860">
        <v>93.606989873200803</v>
      </c>
      <c r="AJ6860">
        <v>73.455846409774097</v>
      </c>
      <c r="AK6860">
        <v>17.586736636522598</v>
      </c>
    </row>
    <row r="6861" spans="1:37" x14ac:dyDescent="0.2">
      <c r="A6861" t="str">
        <f>"20200111155736989"</f>
        <v>20200111155736989</v>
      </c>
      <c r="B6861" t="str">
        <f>"1578729456980339"</f>
        <v>1578729456980339</v>
      </c>
      <c r="C6861" t="s">
        <v>37</v>
      </c>
      <c r="D6861">
        <v>5.4607729999999997</v>
      </c>
      <c r="E6861">
        <v>0.594145699999999</v>
      </c>
      <c r="F6861" t="s">
        <v>72</v>
      </c>
      <c r="G6861">
        <v>-183.3794</v>
      </c>
      <c r="H6861" s="1">
        <v>-3.6218920000000002E-6</v>
      </c>
      <c r="I6861">
        <v>124.5523</v>
      </c>
      <c r="J6861">
        <v>-188.05289999999999</v>
      </c>
      <c r="K6861">
        <v>1.1062559999999999</v>
      </c>
      <c r="L6861">
        <v>107.8458</v>
      </c>
      <c r="M6861">
        <v>-1.6359180000000001E-2</v>
      </c>
      <c r="N6861">
        <v>0</v>
      </c>
      <c r="O6861">
        <v>0.99976279999999995</v>
      </c>
      <c r="P6861">
        <v>-2.758737E-2</v>
      </c>
      <c r="Q6861">
        <v>1.8236459999999999E-2</v>
      </c>
      <c r="R6861">
        <v>0.99945300000000004</v>
      </c>
      <c r="S6861">
        <v>0.8301849</v>
      </c>
      <c r="T6861">
        <v>-0.19681419999999999</v>
      </c>
      <c r="U6861">
        <v>3.0275880000000002</v>
      </c>
      <c r="V6861">
        <v>-1.1341810000000001E-2</v>
      </c>
      <c r="W6861">
        <v>3.2571099999999999E-2</v>
      </c>
      <c r="X6861">
        <v>0.99940509999999905</v>
      </c>
      <c r="Y6861">
        <v>0.27967179999999903</v>
      </c>
      <c r="Z6861">
        <v>-6.2415329999999998E-2</v>
      </c>
      <c r="AA6861">
        <v>0.95806469999999899</v>
      </c>
      <c r="AB6861">
        <v>31</v>
      </c>
      <c r="AC6861">
        <v>4.67349999999999</v>
      </c>
      <c r="AD6861">
        <v>-1.106259621892</v>
      </c>
      <c r="AE6861">
        <v>16.706499999999998</v>
      </c>
      <c r="AF6861">
        <v>4.9261750271810198</v>
      </c>
      <c r="AG6861">
        <v>-1.106259621892</v>
      </c>
      <c r="AH6861">
        <v>16.560458108432002</v>
      </c>
      <c r="AI6861">
        <v>93.663561387641494</v>
      </c>
      <c r="AJ6861">
        <v>73.434042326970697</v>
      </c>
      <c r="AK6861">
        <v>17.312994643058801</v>
      </c>
    </row>
    <row r="6862" spans="1:37" x14ac:dyDescent="0.2">
      <c r="A6862" t="str">
        <f>"20200111155737010"</f>
        <v>20200111155737010</v>
      </c>
      <c r="B6862" t="str">
        <f>"1578729456999860"</f>
        <v>1578729456999860</v>
      </c>
      <c r="C6862" t="s">
        <v>37</v>
      </c>
      <c r="D6862">
        <v>5.1042879999999897</v>
      </c>
      <c r="E6862">
        <v>0.52697490000000002</v>
      </c>
      <c r="F6862" t="s">
        <v>72</v>
      </c>
      <c r="G6862">
        <v>-185.2148</v>
      </c>
      <c r="H6862" s="1">
        <v>-1.6361849999999999E-6</v>
      </c>
      <c r="I6862">
        <v>120.88679999999999</v>
      </c>
      <c r="J6862">
        <v>-188.0591</v>
      </c>
      <c r="K6862">
        <v>1.1060559999999999</v>
      </c>
      <c r="L6862">
        <v>108.1416</v>
      </c>
      <c r="M6862">
        <v>-1.755839E-2</v>
      </c>
      <c r="N6862">
        <v>0</v>
      </c>
      <c r="O6862">
        <v>0.99974249999999998</v>
      </c>
      <c r="P6862">
        <v>-2.7152550000000001E-2</v>
      </c>
      <c r="Q6862">
        <v>1.6186849999999999E-2</v>
      </c>
      <c r="R6862">
        <v>0.99950019999999995</v>
      </c>
      <c r="S6862">
        <v>0.65821839999999998</v>
      </c>
      <c r="T6862">
        <v>-0.25656519999999999</v>
      </c>
      <c r="U6862">
        <v>3.0244900000000001</v>
      </c>
      <c r="V6862">
        <v>-9.6854430000000002E-3</v>
      </c>
      <c r="W6862">
        <v>3.052935E-2</v>
      </c>
      <c r="X6862">
        <v>0.99948689999999996</v>
      </c>
      <c r="Y6862">
        <v>0.22905320000000001</v>
      </c>
      <c r="Z6862">
        <v>-8.242439E-2</v>
      </c>
      <c r="AA6862">
        <v>0.96991799999999995</v>
      </c>
      <c r="AB6862">
        <v>31</v>
      </c>
      <c r="AC6862">
        <v>2.8443000000000001</v>
      </c>
      <c r="AD6862">
        <v>-1.1060576361849901</v>
      </c>
      <c r="AE6862">
        <v>12.745199999999899</v>
      </c>
      <c r="AF6862">
        <v>3.04581939515093</v>
      </c>
      <c r="AG6862">
        <v>-1.1060576361849901</v>
      </c>
      <c r="AH6862">
        <v>12.602876733229101</v>
      </c>
      <c r="AI6862">
        <v>94.875891883334504</v>
      </c>
      <c r="AJ6862">
        <v>76.413475372706202</v>
      </c>
      <c r="AK6862">
        <v>13.012796826024999</v>
      </c>
    </row>
    <row r="6863" spans="1:37" x14ac:dyDescent="0.2">
      <c r="A6863" t="str">
        <f>"20200111155737026"</f>
        <v>20200111155737026</v>
      </c>
      <c r="B6863" t="str">
        <f>"1578729457020356"</f>
        <v>1578729457020356</v>
      </c>
      <c r="C6863" t="s">
        <v>37</v>
      </c>
      <c r="D6863">
        <v>5.224278</v>
      </c>
      <c r="E6863">
        <v>0.51806249999999998</v>
      </c>
      <c r="F6863" t="s">
        <v>40</v>
      </c>
      <c r="G6863">
        <v>-188.0231</v>
      </c>
      <c r="H6863">
        <v>1.0527029999999999</v>
      </c>
      <c r="I6863">
        <v>108.9943</v>
      </c>
      <c r="J6863">
        <v>-188.06389999999999</v>
      </c>
      <c r="K6863">
        <v>1.105872</v>
      </c>
      <c r="L6863">
        <v>108.369</v>
      </c>
      <c r="M6863">
        <v>-1.8273109999999999E-2</v>
      </c>
      <c r="N6863">
        <v>0</v>
      </c>
      <c r="O6863">
        <v>0.99972969999999906</v>
      </c>
      <c r="P6863">
        <v>-2.6865779999999999E-2</v>
      </c>
      <c r="Q6863">
        <v>1.562709E-2</v>
      </c>
      <c r="R6863">
        <v>0.99951690000000004</v>
      </c>
      <c r="S6863">
        <v>0.1262665</v>
      </c>
      <c r="T6863">
        <v>-0.18827969999999999</v>
      </c>
      <c r="U6863">
        <v>3.0079799999999999</v>
      </c>
      <c r="V6863">
        <v>-8.6690120000000002E-3</v>
      </c>
      <c r="W6863">
        <v>2.9974560000000001E-2</v>
      </c>
      <c r="X6863">
        <v>0.99951309999999904</v>
      </c>
      <c r="Y6863">
        <v>6.0110429999999999E-2</v>
      </c>
      <c r="Z6863">
        <v>-6.2371650000000001E-2</v>
      </c>
      <c r="AA6863">
        <v>0.99624120000000005</v>
      </c>
      <c r="AB6863">
        <v>31</v>
      </c>
      <c r="AC6863">
        <v>4.0799999999990101E-2</v>
      </c>
      <c r="AD6863">
        <v>-5.31689999999998E-2</v>
      </c>
      <c r="AE6863">
        <v>0.62529999999999497</v>
      </c>
      <c r="AF6863">
        <v>5.1847274411315002E-2</v>
      </c>
      <c r="AG6863">
        <v>-5.31689999999998E-2</v>
      </c>
      <c r="AH6863">
        <v>0.61998643602078296</v>
      </c>
      <c r="AI6863">
        <v>94.8846300961754</v>
      </c>
      <c r="AJ6863">
        <v>85.219679297589494</v>
      </c>
      <c r="AK6863">
        <v>0.62441833995698304</v>
      </c>
    </row>
    <row r="6864" spans="1:37" x14ac:dyDescent="0.2">
      <c r="A6864" t="str">
        <f>"20200111155737040"</f>
        <v>20200111155737040</v>
      </c>
      <c r="B6864" t="str">
        <f>"1578729457030116"</f>
        <v>1578729457030116</v>
      </c>
      <c r="C6864" t="s">
        <v>37</v>
      </c>
      <c r="D6864">
        <v>5.2034500000000001</v>
      </c>
      <c r="E6864">
        <v>0.51641269999999995</v>
      </c>
      <c r="F6864" t="s">
        <v>72</v>
      </c>
      <c r="G6864">
        <v>-187.60740000000001</v>
      </c>
      <c r="H6864" s="1">
        <v>-5.76296299999999E-6</v>
      </c>
      <c r="I6864">
        <v>132.03899999999999</v>
      </c>
      <c r="J6864">
        <v>-188.06790000000001</v>
      </c>
      <c r="K6864">
        <v>1.105701</v>
      </c>
      <c r="L6864">
        <v>108.5621</v>
      </c>
      <c r="M6864">
        <v>-1.8743869999999999E-2</v>
      </c>
      <c r="N6864">
        <v>0</v>
      </c>
      <c r="O6864">
        <v>0.99972109999999903</v>
      </c>
      <c r="P6864">
        <v>-2.644999E-2</v>
      </c>
      <c r="Q6864">
        <v>1.553189E-2</v>
      </c>
      <c r="R6864">
        <v>0.99952949999999996</v>
      </c>
      <c r="S6864">
        <v>5.7952879999999998E-2</v>
      </c>
      <c r="T6864">
        <v>-0.1404049</v>
      </c>
      <c r="U6864">
        <v>3.0052029999999998</v>
      </c>
      <c r="V6864">
        <v>-7.76919999999999E-3</v>
      </c>
      <c r="W6864">
        <v>2.9883529999999998E-2</v>
      </c>
      <c r="X6864">
        <v>0.99952319999999995</v>
      </c>
      <c r="Y6864">
        <v>3.7998539999999997E-2</v>
      </c>
      <c r="Z6864">
        <v>-4.6636209999999997E-2</v>
      </c>
      <c r="AA6864">
        <v>0.99818899999999999</v>
      </c>
      <c r="AB6864">
        <v>31</v>
      </c>
      <c r="AC6864">
        <v>0.46049999999999602</v>
      </c>
      <c r="AD6864">
        <v>-1.105706762963</v>
      </c>
      <c r="AE6864">
        <v>23.476899999999901</v>
      </c>
      <c r="AF6864">
        <v>0.898520140712043</v>
      </c>
      <c r="AG6864">
        <v>-1.105706762963</v>
      </c>
      <c r="AH6864">
        <v>23.412229479632401</v>
      </c>
      <c r="AI6864">
        <v>92.701955057815596</v>
      </c>
      <c r="AJ6864">
        <v>87.802167505836593</v>
      </c>
      <c r="AK6864">
        <v>23.455541244999999</v>
      </c>
    </row>
    <row r="6865" spans="1:37" x14ac:dyDescent="0.2">
      <c r="A6865" t="str">
        <f>"20200111155737055"</f>
        <v>20200111155737055</v>
      </c>
      <c r="B6865" t="str">
        <f>"1578729457050708"</f>
        <v>1578729457050708</v>
      </c>
      <c r="C6865" t="s">
        <v>37</v>
      </c>
      <c r="D6865">
        <v>5.3123670000000001</v>
      </c>
      <c r="E6865">
        <v>0.51427330000000004</v>
      </c>
      <c r="F6865" t="s">
        <v>72</v>
      </c>
      <c r="G6865">
        <v>-187.6807</v>
      </c>
      <c r="H6865" s="1">
        <v>-6.2691729999999902E-6</v>
      </c>
      <c r="I6865">
        <v>133.63480000000001</v>
      </c>
      <c r="J6865">
        <v>-188.07230000000001</v>
      </c>
      <c r="K6865">
        <v>1.1054850000000001</v>
      </c>
      <c r="L6865">
        <v>108.77549999999999</v>
      </c>
      <c r="M6865">
        <v>-1.9030910000000002E-2</v>
      </c>
      <c r="N6865">
        <v>0</v>
      </c>
      <c r="O6865">
        <v>0.99971559999999904</v>
      </c>
      <c r="P6865">
        <v>-2.410696E-2</v>
      </c>
      <c r="Q6865">
        <v>1.5880729999999999E-2</v>
      </c>
      <c r="R6865">
        <v>0.99958320000000001</v>
      </c>
      <c r="S6865">
        <v>4.6401980000000002E-2</v>
      </c>
      <c r="T6865">
        <v>-0.13250799999999999</v>
      </c>
      <c r="U6865">
        <v>3.004715</v>
      </c>
      <c r="V6865">
        <v>-5.12298099999999E-3</v>
      </c>
      <c r="W6865">
        <v>3.0238609999999999E-2</v>
      </c>
      <c r="X6865">
        <v>0.99952960000000002</v>
      </c>
      <c r="Y6865">
        <v>3.4454039999999998E-2</v>
      </c>
      <c r="Z6865">
        <v>-4.4029529999999997E-2</v>
      </c>
      <c r="AA6865">
        <v>0.99843590000000004</v>
      </c>
      <c r="AB6865">
        <v>31</v>
      </c>
      <c r="AC6865">
        <v>0.39160000000001099</v>
      </c>
      <c r="AD6865">
        <v>-1.1054912691729999</v>
      </c>
      <c r="AE6865">
        <v>24.859300000000001</v>
      </c>
      <c r="AF6865">
        <v>0.86296687300080599</v>
      </c>
      <c r="AG6865">
        <v>-1.1054912691729999</v>
      </c>
      <c r="AH6865">
        <v>24.7983153242306</v>
      </c>
      <c r="AI6865">
        <v>92.550973030458707</v>
      </c>
      <c r="AJ6865">
        <v>88.006944645325504</v>
      </c>
      <c r="AK6865">
        <v>24.837940045222801</v>
      </c>
    </row>
    <row r="6866" spans="1:37" x14ac:dyDescent="0.2">
      <c r="A6866" t="str">
        <f>"20200111155737070"</f>
        <v>20200111155737070</v>
      </c>
      <c r="B6866" t="str">
        <f>"1578729457060468"</f>
        <v>1578729457060468</v>
      </c>
      <c r="C6866" t="s">
        <v>37</v>
      </c>
      <c r="D6866">
        <v>5.2158949999999997</v>
      </c>
      <c r="E6866">
        <v>0.5132196</v>
      </c>
      <c r="F6866" t="s">
        <v>72</v>
      </c>
      <c r="G6866">
        <v>-187.6678</v>
      </c>
      <c r="H6866" s="1">
        <v>-8.6520230000000008E-6</v>
      </c>
      <c r="I6866">
        <v>141.13499999999999</v>
      </c>
      <c r="J6866">
        <v>-188.0763</v>
      </c>
      <c r="K6866">
        <v>1.1052690000000001</v>
      </c>
      <c r="L6866">
        <v>108.9776</v>
      </c>
      <c r="M6866">
        <v>-1.9088069999999999E-2</v>
      </c>
      <c r="N6866">
        <v>0</v>
      </c>
      <c r="O6866">
        <v>0.99971460000000001</v>
      </c>
      <c r="P6866">
        <v>-2.3570580000000001E-2</v>
      </c>
      <c r="Q6866">
        <v>1.6042549999999999E-2</v>
      </c>
      <c r="R6866">
        <v>0.99959339999999997</v>
      </c>
      <c r="S6866">
        <v>3.7551880000000003E-2</v>
      </c>
      <c r="T6866">
        <v>-0.102617899999999</v>
      </c>
      <c r="U6866">
        <v>3.003784</v>
      </c>
      <c r="V6866">
        <v>-4.5133700000000001E-3</v>
      </c>
      <c r="W6866">
        <v>3.040257E-2</v>
      </c>
      <c r="X6866">
        <v>0.99952759999999996</v>
      </c>
      <c r="Y6866">
        <v>3.1579540000000003E-2</v>
      </c>
      <c r="Z6866">
        <v>-3.4123769999999998E-2</v>
      </c>
      <c r="AA6866">
        <v>0.99891859999999999</v>
      </c>
      <c r="AB6866">
        <v>31</v>
      </c>
      <c r="AC6866">
        <v>0.40850000000000303</v>
      </c>
      <c r="AD6866">
        <v>-1.1052776520230001</v>
      </c>
      <c r="AE6866">
        <v>32.157400000000003</v>
      </c>
      <c r="AF6866">
        <v>1.02110551112471</v>
      </c>
      <c r="AG6866">
        <v>-1.1052776520230001</v>
      </c>
      <c r="AH6866">
        <v>32.105819335985302</v>
      </c>
      <c r="AI6866">
        <v>91.970695019031595</v>
      </c>
      <c r="AJ6866">
        <v>88.178357597033994</v>
      </c>
      <c r="AK6866">
        <v>32.141062994055403</v>
      </c>
    </row>
    <row r="6867" spans="1:37" x14ac:dyDescent="0.2">
      <c r="A6867" t="str">
        <f>"20200111155737088"</f>
        <v>20200111155737088</v>
      </c>
      <c r="B6867" t="str">
        <f>"1578729457079987"</f>
        <v>1578729457079987</v>
      </c>
      <c r="C6867" t="s">
        <v>37</v>
      </c>
      <c r="D6867">
        <v>5.413189</v>
      </c>
      <c r="E6867">
        <v>0.5125923</v>
      </c>
      <c r="F6867" t="s">
        <v>72</v>
      </c>
      <c r="G6867">
        <v>-187.73400000000001</v>
      </c>
      <c r="H6867" s="1">
        <v>-8.9332059999999992E-6</v>
      </c>
      <c r="I6867">
        <v>142.22329999999999</v>
      </c>
      <c r="J6867">
        <v>-188.0813</v>
      </c>
      <c r="K6867">
        <v>1.1049530000000001</v>
      </c>
      <c r="L6867">
        <v>109.2435</v>
      </c>
      <c r="M6867">
        <v>-1.8847409999999998E-2</v>
      </c>
      <c r="N6867">
        <v>0</v>
      </c>
      <c r="O6867">
        <v>0.99971909999999897</v>
      </c>
      <c r="P6867">
        <v>-2.2187720000000001E-2</v>
      </c>
      <c r="Q6867">
        <v>1.5538939999999999E-2</v>
      </c>
      <c r="R6867">
        <v>0.99963310000000005</v>
      </c>
      <c r="S6867">
        <v>3.092957E-2</v>
      </c>
      <c r="T6867">
        <v>-9.9855540000000007E-2</v>
      </c>
      <c r="U6867">
        <v>3.003555</v>
      </c>
      <c r="V6867">
        <v>-3.3471489999999998E-3</v>
      </c>
      <c r="W6867">
        <v>2.990307E-2</v>
      </c>
      <c r="X6867">
        <v>0.99954719999999997</v>
      </c>
      <c r="Y6867">
        <v>2.9137949999999999E-2</v>
      </c>
      <c r="Z6867">
        <v>-3.321064E-2</v>
      </c>
      <c r="AA6867">
        <v>0.99902359999999901</v>
      </c>
      <c r="AB6867">
        <v>31</v>
      </c>
      <c r="AC6867">
        <v>0.34729999999998901</v>
      </c>
      <c r="AD6867">
        <v>-1.1049619332059999</v>
      </c>
      <c r="AE6867">
        <v>32.979799999999997</v>
      </c>
      <c r="AF6867">
        <v>0.96780003088634603</v>
      </c>
      <c r="AG6867">
        <v>-1.1049619332059999</v>
      </c>
      <c r="AH6867">
        <v>32.930432911169703</v>
      </c>
      <c r="AI6867">
        <v>91.920977434036104</v>
      </c>
      <c r="AJ6867">
        <v>88.316605773033999</v>
      </c>
      <c r="AK6867">
        <v>32.963176265200303</v>
      </c>
    </row>
    <row r="6868" spans="1:37" x14ac:dyDescent="0.2">
      <c r="A6868" t="str">
        <f>"20200111155737111"</f>
        <v>20200111155737111</v>
      </c>
      <c r="B6868" t="str">
        <f>"1578729457100483"</f>
        <v>1578729457100483</v>
      </c>
      <c r="C6868" t="s">
        <v>37</v>
      </c>
      <c r="D6868">
        <v>5.7316739999999999</v>
      </c>
      <c r="E6868">
        <v>0.51203639999999995</v>
      </c>
      <c r="F6868" t="s">
        <v>72</v>
      </c>
      <c r="G6868">
        <v>-187.65700000000001</v>
      </c>
      <c r="H6868" s="1">
        <v>-1.1142020000000001E-5</v>
      </c>
      <c r="I6868">
        <v>150.66820000000001</v>
      </c>
      <c r="J6868">
        <v>-188.0864</v>
      </c>
      <c r="K6868">
        <v>1.104552</v>
      </c>
      <c r="L6868">
        <v>109.5445</v>
      </c>
      <c r="M6868">
        <v>-1.8075509999999999E-2</v>
      </c>
      <c r="N6868">
        <v>0</v>
      </c>
      <c r="O6868">
        <v>0.99973339999999999</v>
      </c>
      <c r="P6868">
        <v>-2.0577129999999999E-2</v>
      </c>
      <c r="Q6868">
        <v>1.526511E-2</v>
      </c>
      <c r="R6868">
        <v>0.99967169999999905</v>
      </c>
      <c r="S6868">
        <v>3.0761719999999999E-2</v>
      </c>
      <c r="T6868">
        <v>-8.0102800000000002E-2</v>
      </c>
      <c r="U6868">
        <v>3.0030209999999999</v>
      </c>
      <c r="V6868">
        <v>-2.4787640000000001E-3</v>
      </c>
      <c r="W6868">
        <v>2.9632820000000001E-2</v>
      </c>
      <c r="X6868">
        <v>0.99955780000000005</v>
      </c>
      <c r="Y6868">
        <v>2.831417E-2</v>
      </c>
      <c r="Z6868">
        <v>-2.665201E-2</v>
      </c>
      <c r="AA6868">
        <v>0.99924369999999996</v>
      </c>
      <c r="AB6868">
        <v>31</v>
      </c>
      <c r="AC6868">
        <v>0.42939999999998602</v>
      </c>
      <c r="AD6868">
        <v>-1.1045631420199999</v>
      </c>
      <c r="AE6868">
        <v>41.123699999999999</v>
      </c>
      <c r="AF6868">
        <v>1.17189305667876</v>
      </c>
      <c r="AG6868">
        <v>-1.1045631420199999</v>
      </c>
      <c r="AH6868">
        <v>41.079584601085401</v>
      </c>
      <c r="AI6868">
        <v>91.539593065525494</v>
      </c>
      <c r="AJ6868">
        <v>88.365944509968401</v>
      </c>
      <c r="AK6868">
        <v>41.111137956382798</v>
      </c>
    </row>
    <row r="6869" spans="1:37" x14ac:dyDescent="0.2">
      <c r="A6869" t="str">
        <f>"20200111155737135"</f>
        <v>20200111155737135</v>
      </c>
      <c r="B6869" t="str">
        <f>"1578729457130740"</f>
        <v>1578729457130740</v>
      </c>
      <c r="C6869" t="s">
        <v>37</v>
      </c>
      <c r="D6869">
        <v>5.3618870000000003</v>
      </c>
      <c r="E6869">
        <v>0.51102440000000005</v>
      </c>
      <c r="F6869" t="s">
        <v>72</v>
      </c>
      <c r="G6869">
        <v>-187.57769999999999</v>
      </c>
      <c r="H6869" s="1">
        <v>-1.4425279999999899E-5</v>
      </c>
      <c r="I6869">
        <v>158.32910000000001</v>
      </c>
      <c r="J6869">
        <v>-188.09119999999999</v>
      </c>
      <c r="K6869">
        <v>1.10408</v>
      </c>
      <c r="L6869">
        <v>109.8766</v>
      </c>
      <c r="M6869">
        <v>-1.662158E-2</v>
      </c>
      <c r="N6869">
        <v>0</v>
      </c>
      <c r="O6869">
        <v>0.999758499999999</v>
      </c>
      <c r="P6869">
        <v>-1.979276E-2</v>
      </c>
      <c r="Q6869">
        <v>1.6771870000000001E-2</v>
      </c>
      <c r="R6869">
        <v>0.99966339999999998</v>
      </c>
      <c r="S6869">
        <v>3.1311039999999998E-2</v>
      </c>
      <c r="T6869">
        <v>-6.7985649999999995E-2</v>
      </c>
      <c r="U6869">
        <v>3.0026700000000002</v>
      </c>
      <c r="V6869">
        <v>-3.111103E-3</v>
      </c>
      <c r="W6869">
        <v>3.1149420000000001E-2</v>
      </c>
      <c r="X6869">
        <v>0.99950989999999995</v>
      </c>
      <c r="Y6869">
        <v>2.7045449999999999E-2</v>
      </c>
      <c r="Z6869">
        <v>-2.2626489999999999E-2</v>
      </c>
      <c r="AA6869">
        <v>0.99937809999999905</v>
      </c>
      <c r="AB6869">
        <v>31</v>
      </c>
      <c r="AC6869">
        <v>0.51349999999999296</v>
      </c>
      <c r="AD6869">
        <v>-1.10409442528</v>
      </c>
      <c r="AE6869">
        <v>48.452500000000001</v>
      </c>
      <c r="AF6869">
        <v>1.31818498737417</v>
      </c>
      <c r="AG6869">
        <v>-1.10409442528</v>
      </c>
      <c r="AH6869">
        <v>48.412133554133803</v>
      </c>
      <c r="AI6869">
        <v>91.305985857835296</v>
      </c>
      <c r="AJ6869">
        <v>88.440312904928604</v>
      </c>
      <c r="AK6869">
        <v>48.4426600366264</v>
      </c>
    </row>
    <row r="6870" spans="1:37" x14ac:dyDescent="0.2">
      <c r="A6870" t="str">
        <f>"20200111155737156"</f>
        <v>20200111155737156</v>
      </c>
      <c r="B6870" t="str">
        <f>"1578729457150282"</f>
        <v>1578729457150282</v>
      </c>
      <c r="C6870" t="s">
        <v>37</v>
      </c>
      <c r="D6870">
        <v>5.205311</v>
      </c>
      <c r="E6870">
        <v>0.51034919999999995</v>
      </c>
      <c r="F6870" t="s">
        <v>72</v>
      </c>
      <c r="G6870">
        <v>-187.70079999999999</v>
      </c>
      <c r="H6870" s="1">
        <v>-1.35874E-5</v>
      </c>
      <c r="I6870">
        <v>156.376</v>
      </c>
      <c r="J6870">
        <v>-188.09450000000001</v>
      </c>
      <c r="K6870">
        <v>1.1036429999999999</v>
      </c>
      <c r="L6870">
        <v>110.1797</v>
      </c>
      <c r="M6870">
        <v>-1.471707E-2</v>
      </c>
      <c r="N6870">
        <v>0</v>
      </c>
      <c r="O6870">
        <v>0.99978820000000002</v>
      </c>
      <c r="P6870">
        <v>-1.9033950000000001E-2</v>
      </c>
      <c r="Q6870">
        <v>1.941733E-2</v>
      </c>
      <c r="R6870">
        <v>0.99963029999999997</v>
      </c>
      <c r="S6870">
        <v>2.5207520000000001E-2</v>
      </c>
      <c r="T6870">
        <v>-7.1296929999999994E-2</v>
      </c>
      <c r="U6870">
        <v>3.0027009999999899</v>
      </c>
      <c r="V6870">
        <v>-4.2150260000000002E-3</v>
      </c>
      <c r="W6870">
        <v>3.3808289999999998E-2</v>
      </c>
      <c r="X6870">
        <v>0.99941950000000002</v>
      </c>
      <c r="Y6870">
        <v>2.310945E-2</v>
      </c>
      <c r="Z6870">
        <v>-2.3730129999999999E-2</v>
      </c>
      <c r="AA6870">
        <v>0.99945130000000004</v>
      </c>
      <c r="AB6870">
        <v>31</v>
      </c>
      <c r="AC6870">
        <v>0.39370000000002298</v>
      </c>
      <c r="AD6870">
        <v>-1.1036565873999999</v>
      </c>
      <c r="AE6870">
        <v>46.196300000000001</v>
      </c>
      <c r="AF6870">
        <v>1.07298952383029</v>
      </c>
      <c r="AG6870">
        <v>-1.1036565873999999</v>
      </c>
      <c r="AH6870">
        <v>46.159157217769298</v>
      </c>
      <c r="AI6870">
        <v>91.369300364461495</v>
      </c>
      <c r="AJ6870">
        <v>88.668374699672498</v>
      </c>
      <c r="AK6870">
        <v>46.1848152473938</v>
      </c>
    </row>
    <row r="6871" spans="1:37" x14ac:dyDescent="0.2">
      <c r="A6871" t="str">
        <f>"20200111155737178"</f>
        <v>20200111155737178</v>
      </c>
      <c r="B6871" t="str">
        <f>"1578729457169801"</f>
        <v>1578729457169801</v>
      </c>
      <c r="C6871" t="s">
        <v>37</v>
      </c>
      <c r="D6871">
        <v>5.3134800000000002</v>
      </c>
      <c r="E6871">
        <v>0.51035699999999995</v>
      </c>
      <c r="F6871" t="s">
        <v>72</v>
      </c>
      <c r="G6871">
        <v>-187.73060000000001</v>
      </c>
      <c r="H6871" s="1">
        <v>-1.4969399999999999E-5</v>
      </c>
      <c r="I6871">
        <v>159.59739999999999</v>
      </c>
      <c r="J6871">
        <v>-188.0967</v>
      </c>
      <c r="K6871">
        <v>1.1031979999999999</v>
      </c>
      <c r="L6871">
        <v>110.49039999999999</v>
      </c>
      <c r="M6871">
        <v>-1.218677E-2</v>
      </c>
      <c r="N6871">
        <v>0</v>
      </c>
      <c r="O6871">
        <v>0.99982209999999905</v>
      </c>
      <c r="P6871">
        <v>-1.8154460000000001E-2</v>
      </c>
      <c r="Q6871">
        <v>2.250854E-2</v>
      </c>
      <c r="R6871">
        <v>0.99958179999999996</v>
      </c>
      <c r="S6871">
        <v>2.210999E-2</v>
      </c>
      <c r="T6871">
        <v>-6.7062739999999996E-2</v>
      </c>
      <c r="U6871">
        <v>3.0028229999999998</v>
      </c>
      <c r="V6871">
        <v>-5.8146700000000001E-3</v>
      </c>
      <c r="W6871">
        <v>3.6920090000000003E-2</v>
      </c>
      <c r="X6871">
        <v>0.99930129999999995</v>
      </c>
      <c r="Y6871">
        <v>1.954819E-2</v>
      </c>
      <c r="Z6871">
        <v>-2.2322740000000001E-2</v>
      </c>
      <c r="AA6871">
        <v>0.99955969999999905</v>
      </c>
      <c r="AB6871">
        <v>31</v>
      </c>
      <c r="AC6871">
        <v>0.36609999999998799</v>
      </c>
      <c r="AD6871">
        <v>-1.1032129693999999</v>
      </c>
      <c r="AE6871">
        <v>49.106999999999999</v>
      </c>
      <c r="AF6871">
        <v>0.964103991871198</v>
      </c>
      <c r="AG6871">
        <v>-1.1032129693999999</v>
      </c>
      <c r="AH6871">
        <v>49.074124194149199</v>
      </c>
      <c r="AI6871">
        <v>91.287574962999201</v>
      </c>
      <c r="AJ6871">
        <v>88.874519197245903</v>
      </c>
      <c r="AK6871">
        <v>49.0959900682914</v>
      </c>
    </row>
    <row r="6872" spans="1:37" x14ac:dyDescent="0.2">
      <c r="A6872" t="str">
        <f>"20200111155737202"</f>
        <v>20200111155737202</v>
      </c>
      <c r="B6872" t="str">
        <f>"1578729457190298"</f>
        <v>1578729457190298</v>
      </c>
      <c r="C6872" t="s">
        <v>37</v>
      </c>
      <c r="D6872">
        <v>5.2609570000000003</v>
      </c>
      <c r="E6872">
        <v>0.51037529999999998</v>
      </c>
      <c r="F6872" t="s">
        <v>38</v>
      </c>
      <c r="G6872">
        <v>-187.6491</v>
      </c>
      <c r="H6872" s="1">
        <v>-2.7476449999999999E-6</v>
      </c>
      <c r="I6872">
        <v>164.5617</v>
      </c>
      <c r="J6872">
        <v>-188.09739999999999</v>
      </c>
      <c r="K6872">
        <v>1.102752</v>
      </c>
      <c r="L6872">
        <v>110.80459999999999</v>
      </c>
      <c r="M6872">
        <v>-9.0018849999999994E-3</v>
      </c>
      <c r="N6872">
        <v>0</v>
      </c>
      <c r="O6872">
        <v>0.99985569999999901</v>
      </c>
      <c r="P6872">
        <v>-1.6084330000000001E-2</v>
      </c>
      <c r="Q6872">
        <v>2.3995499999999999E-2</v>
      </c>
      <c r="R6872">
        <v>0.99958259999999899</v>
      </c>
      <c r="S6872">
        <v>2.4856570000000001E-2</v>
      </c>
      <c r="T6872">
        <v>-6.1271069999999997E-2</v>
      </c>
      <c r="U6872">
        <v>3.003082</v>
      </c>
      <c r="V6872">
        <v>-6.8792590000000004E-3</v>
      </c>
      <c r="W6872">
        <v>3.8433450000000001E-2</v>
      </c>
      <c r="X6872">
        <v>0.9992375</v>
      </c>
      <c r="Y6872">
        <v>1.7277190000000001E-2</v>
      </c>
      <c r="Z6872">
        <v>-2.0395369999999999E-2</v>
      </c>
      <c r="AA6872">
        <v>0.9996427</v>
      </c>
      <c r="AB6872">
        <v>31</v>
      </c>
      <c r="AC6872">
        <v>0.44829999999998799</v>
      </c>
      <c r="AD6872">
        <v>-1.1027547476449999</v>
      </c>
      <c r="AE6872">
        <v>53.757100000000001</v>
      </c>
      <c r="AF6872">
        <v>0.93185518235753095</v>
      </c>
      <c r="AG6872">
        <v>-1.1027547476449999</v>
      </c>
      <c r="AH6872">
        <v>53.728277632788199</v>
      </c>
      <c r="AI6872">
        <v>91.1756346710673</v>
      </c>
      <c r="AJ6872">
        <v>89.006370223510501</v>
      </c>
      <c r="AK6872">
        <v>53.747671944934602</v>
      </c>
    </row>
    <row r="6873" spans="1:37" x14ac:dyDescent="0.2">
      <c r="A6873" t="str">
        <f>"20200111155737222"</f>
        <v>20200111155737222</v>
      </c>
      <c r="B6873" t="str">
        <f>"1578729457220554"</f>
        <v>1578729457220554</v>
      </c>
      <c r="C6873" t="s">
        <v>37</v>
      </c>
      <c r="D6873">
        <v>5.259709</v>
      </c>
      <c r="E6873">
        <v>0.5098068</v>
      </c>
      <c r="F6873" t="s">
        <v>38</v>
      </c>
      <c r="G6873">
        <v>-187.52599999999899</v>
      </c>
      <c r="H6873" s="1">
        <v>-3.3913879999999999E-6</v>
      </c>
      <c r="I6873">
        <v>165.87729999999999</v>
      </c>
      <c r="J6873">
        <v>-188.0967</v>
      </c>
      <c r="K6873">
        <v>1.1023639999999999</v>
      </c>
      <c r="L6873">
        <v>111.0986</v>
      </c>
      <c r="M6873">
        <v>-5.6120679999999996E-3</v>
      </c>
      <c r="N6873">
        <v>0</v>
      </c>
      <c r="O6873">
        <v>0.99988029999999894</v>
      </c>
      <c r="P6873">
        <v>-1.1926809999999999E-2</v>
      </c>
      <c r="Q6873">
        <v>2.2011030000000001E-2</v>
      </c>
      <c r="R6873">
        <v>0.99968659999999998</v>
      </c>
      <c r="S6873">
        <v>3.1158450000000001E-2</v>
      </c>
      <c r="T6873">
        <v>-6.0135130000000002E-2</v>
      </c>
      <c r="U6873">
        <v>3.0032040000000002</v>
      </c>
      <c r="V6873">
        <v>-6.0863769999999996E-3</v>
      </c>
      <c r="W6873">
        <v>3.6465959999999999E-2</v>
      </c>
      <c r="X6873">
        <v>0.99931630000000005</v>
      </c>
      <c r="Y6873">
        <v>1.5984620000000001E-2</v>
      </c>
      <c r="Z6873">
        <v>-2.0017360000000001E-2</v>
      </c>
      <c r="AA6873">
        <v>0.9996718</v>
      </c>
      <c r="AB6873">
        <v>31</v>
      </c>
      <c r="AC6873">
        <v>0.57070000000001597</v>
      </c>
      <c r="AD6873">
        <v>-1.1023673913879899</v>
      </c>
      <c r="AE6873">
        <v>54.778699999999901</v>
      </c>
      <c r="AF6873">
        <v>0.87778931520860404</v>
      </c>
      <c r="AG6873">
        <v>-1.1023673913879899</v>
      </c>
      <c r="AH6873">
        <v>54.752463011332701</v>
      </c>
      <c r="AI6873">
        <v>91.153269663367197</v>
      </c>
      <c r="AJ6873">
        <v>89.0815150209433</v>
      </c>
      <c r="AK6873">
        <v>54.770593695475299</v>
      </c>
    </row>
    <row r="6874" spans="1:37" x14ac:dyDescent="0.2">
      <c r="A6874" t="str">
        <f>"20200111155737244"</f>
        <v>20200111155737244</v>
      </c>
      <c r="B6874" t="str">
        <f>"1578729457240074"</f>
        <v>1578729457240074</v>
      </c>
      <c r="C6874" t="s">
        <v>37</v>
      </c>
      <c r="D6874">
        <v>5.2083519999999996</v>
      </c>
      <c r="E6874">
        <v>0.50976940000000004</v>
      </c>
      <c r="F6874" t="s">
        <v>72</v>
      </c>
      <c r="G6874">
        <v>-187.4761</v>
      </c>
      <c r="H6874" s="1">
        <v>-1.4887010000000001E-5</v>
      </c>
      <c r="I6874">
        <v>159.40539999999999</v>
      </c>
      <c r="J6874">
        <v>-188.0943</v>
      </c>
      <c r="K6874">
        <v>1.101993</v>
      </c>
      <c r="L6874">
        <v>111.4111</v>
      </c>
      <c r="M6874">
        <v>-1.5876900000000001E-3</v>
      </c>
      <c r="N6874">
        <v>0</v>
      </c>
      <c r="O6874">
        <v>0.99989459999999997</v>
      </c>
      <c r="P6874">
        <v>-5.7045409999999996E-3</v>
      </c>
      <c r="Q6874">
        <v>1.984315E-2</v>
      </c>
      <c r="R6874">
        <v>0.99978690000000003</v>
      </c>
      <c r="S6874">
        <v>3.8574219999999999E-2</v>
      </c>
      <c r="T6874">
        <v>-6.852722E-2</v>
      </c>
      <c r="U6874">
        <v>3.0028990000000002</v>
      </c>
      <c r="V6874">
        <v>-3.8704080000000001E-3</v>
      </c>
      <c r="W6874">
        <v>3.430296E-2</v>
      </c>
      <c r="X6874">
        <v>0.99940399999999996</v>
      </c>
      <c r="Y6874">
        <v>1.4428959999999999E-2</v>
      </c>
      <c r="Z6874">
        <v>-2.2812240000000001E-2</v>
      </c>
      <c r="AA6874">
        <v>0.99963559999999996</v>
      </c>
      <c r="AB6874">
        <v>31</v>
      </c>
      <c r="AC6874">
        <v>0.61820000000000097</v>
      </c>
      <c r="AD6874">
        <v>-1.1020078870100001</v>
      </c>
      <c r="AE6874">
        <v>47.994299999999903</v>
      </c>
      <c r="AF6874">
        <v>0.694041376816945</v>
      </c>
      <c r="AG6874">
        <v>-1.1020078870100001</v>
      </c>
      <c r="AH6874">
        <v>47.967972509346801</v>
      </c>
      <c r="AI6874">
        <v>91.315934113435802</v>
      </c>
      <c r="AJ6874">
        <v>89.171053829875504</v>
      </c>
      <c r="AK6874">
        <v>47.985648911661301</v>
      </c>
    </row>
    <row r="6875" spans="1:37" x14ac:dyDescent="0.2">
      <c r="A6875" t="str">
        <f>"20200111155737267"</f>
        <v>20200111155737267</v>
      </c>
      <c r="B6875" t="str">
        <f>"1578729457260570"</f>
        <v>1578729457260570</v>
      </c>
      <c r="C6875" t="s">
        <v>37</v>
      </c>
      <c r="D6875">
        <v>5.3277469999999996</v>
      </c>
      <c r="E6875">
        <v>0.50979229999999998</v>
      </c>
      <c r="F6875" t="s">
        <v>72</v>
      </c>
      <c r="G6875">
        <v>-187.2979</v>
      </c>
      <c r="H6875" s="1">
        <v>-1.25024399999999E-5</v>
      </c>
      <c r="I6875">
        <v>153.89420000000001</v>
      </c>
      <c r="J6875">
        <v>-188.09030000000001</v>
      </c>
      <c r="K6875">
        <v>1.1016539999999999</v>
      </c>
      <c r="L6875">
        <v>111.7291</v>
      </c>
      <c r="M6875">
        <v>2.924818E-3</v>
      </c>
      <c r="N6875">
        <v>0</v>
      </c>
      <c r="O6875">
        <v>0.99989130000000004</v>
      </c>
      <c r="P6875">
        <v>1.5906900000000001E-3</v>
      </c>
      <c r="Q6875">
        <v>2.048198E-2</v>
      </c>
      <c r="R6875">
        <v>0.99978889999999998</v>
      </c>
      <c r="S6875">
        <v>5.628967E-2</v>
      </c>
      <c r="T6875">
        <v>-7.7884439999999999E-2</v>
      </c>
      <c r="U6875">
        <v>3.0025019999999998</v>
      </c>
      <c r="V6875">
        <v>-1.0539449999999999E-3</v>
      </c>
      <c r="W6875">
        <v>3.4934859999999998E-2</v>
      </c>
      <c r="X6875">
        <v>0.99938909999999903</v>
      </c>
      <c r="Y6875">
        <v>1.5813299999999999E-2</v>
      </c>
      <c r="Z6875">
        <v>-2.5927059999999998E-2</v>
      </c>
      <c r="AA6875">
        <v>0.99953879999999995</v>
      </c>
      <c r="AB6875">
        <v>31</v>
      </c>
      <c r="AC6875">
        <v>0.79240000000001398</v>
      </c>
      <c r="AD6875">
        <v>-1.1016665024400001</v>
      </c>
      <c r="AE6875">
        <v>42.165100000000002</v>
      </c>
      <c r="AF6875">
        <v>0.66860223137516595</v>
      </c>
      <c r="AG6875">
        <v>-1.1016665024400001</v>
      </c>
      <c r="AH6875">
        <v>42.138482068472896</v>
      </c>
      <c r="AI6875">
        <v>91.497408641467899</v>
      </c>
      <c r="AJ6875">
        <v>89.090976468846094</v>
      </c>
      <c r="AK6875">
        <v>42.158182705868803</v>
      </c>
    </row>
    <row r="6876" spans="1:37" x14ac:dyDescent="0.2">
      <c r="A6876" t="str">
        <f>"20200111155737288"</f>
        <v>20200111155737288</v>
      </c>
      <c r="B6876" t="str">
        <f>"1578729457280089"</f>
        <v>1578729457280089</v>
      </c>
      <c r="C6876" t="s">
        <v>37</v>
      </c>
      <c r="D6876">
        <v>5.3324049999999996</v>
      </c>
      <c r="E6876">
        <v>0.5095459</v>
      </c>
      <c r="F6876" t="s">
        <v>72</v>
      </c>
      <c r="G6876">
        <v>-186.9965</v>
      </c>
      <c r="H6876" s="1">
        <v>-1.243856E-5</v>
      </c>
      <c r="I6876">
        <v>153.75069999999999</v>
      </c>
      <c r="J6876">
        <v>-188.0848</v>
      </c>
      <c r="K6876">
        <v>1.1013629999999901</v>
      </c>
      <c r="L6876">
        <v>112.0275</v>
      </c>
      <c r="M6876">
        <v>7.5093169999999997E-3</v>
      </c>
      <c r="N6876">
        <v>0</v>
      </c>
      <c r="O6876">
        <v>0.99986719999999896</v>
      </c>
      <c r="P6876">
        <v>9.5788519999999901E-3</v>
      </c>
      <c r="Q6876">
        <v>2.1808190000000002E-2</v>
      </c>
      <c r="R6876">
        <v>0.9997163</v>
      </c>
      <c r="S6876">
        <v>7.8140260000000003E-2</v>
      </c>
      <c r="T6876">
        <v>-7.8705789999999998E-2</v>
      </c>
      <c r="U6876">
        <v>3.0021209999999998</v>
      </c>
      <c r="V6876">
        <v>2.387152E-3</v>
      </c>
      <c r="W6876">
        <v>3.6244859999999997E-2</v>
      </c>
      <c r="X6876">
        <v>0.99934009999999995</v>
      </c>
      <c r="Y6876">
        <v>1.8502319999999999E-2</v>
      </c>
      <c r="Z6876">
        <v>-2.6199940000000001E-2</v>
      </c>
      <c r="AA6876">
        <v>0.99948549999999903</v>
      </c>
      <c r="AB6876">
        <v>31</v>
      </c>
      <c r="AC6876">
        <v>1.0883</v>
      </c>
      <c r="AD6876">
        <v>-1.1013754385600001</v>
      </c>
      <c r="AE6876">
        <v>41.723199999999899</v>
      </c>
      <c r="AF6876">
        <v>0.77438456357819296</v>
      </c>
      <c r="AG6876">
        <v>-1.1013754385600001</v>
      </c>
      <c r="AH6876">
        <v>41.701158492856401</v>
      </c>
      <c r="AI6876">
        <v>91.512634899143194</v>
      </c>
      <c r="AJ6876">
        <v>88.936147823886301</v>
      </c>
      <c r="AK6876">
        <v>41.722887231773697</v>
      </c>
    </row>
    <row r="6877" spans="1:37" x14ac:dyDescent="0.2">
      <c r="A6877" t="str">
        <f>"20200111155737311"</f>
        <v>20200111155737311</v>
      </c>
      <c r="B6877" t="str">
        <f>"1578729457300586"</f>
        <v>1578729457300586</v>
      </c>
      <c r="C6877" t="s">
        <v>37</v>
      </c>
      <c r="D6877">
        <v>5.2351549999999998</v>
      </c>
      <c r="E6877">
        <v>0.50938519999999998</v>
      </c>
      <c r="F6877" t="s">
        <v>72</v>
      </c>
      <c r="G6877">
        <v>-186.62469999999999</v>
      </c>
      <c r="H6877" s="1">
        <v>-1.33610299999999E-5</v>
      </c>
      <c r="I6877">
        <v>155.86320000000001</v>
      </c>
      <c r="J6877">
        <v>-188.07730000000001</v>
      </c>
      <c r="K6877">
        <v>1.101073</v>
      </c>
      <c r="L6877">
        <v>112.3359</v>
      </c>
      <c r="M6877">
        <v>1.2581999999999999E-2</v>
      </c>
      <c r="N6877">
        <v>0</v>
      </c>
      <c r="O6877">
        <v>0.99981600000000004</v>
      </c>
      <c r="P6877">
        <v>1.8457990000000001E-2</v>
      </c>
      <c r="Q6877">
        <v>2.2820500000000001E-2</v>
      </c>
      <c r="R6877">
        <v>0.99956919999999905</v>
      </c>
      <c r="S6877">
        <v>9.9975590000000003E-2</v>
      </c>
      <c r="T6877">
        <v>-7.5414060000000005E-2</v>
      </c>
      <c r="U6877">
        <v>3.001541</v>
      </c>
      <c r="V6877">
        <v>6.2309309999999899E-3</v>
      </c>
      <c r="W6877">
        <v>3.7234580000000003E-2</v>
      </c>
      <c r="X6877">
        <v>0.99928709999999898</v>
      </c>
      <c r="Y6877">
        <v>2.070015E-2</v>
      </c>
      <c r="Z6877">
        <v>-2.5104560000000001E-2</v>
      </c>
      <c r="AA6877">
        <v>0.99947050000000004</v>
      </c>
      <c r="AB6877">
        <v>31</v>
      </c>
      <c r="AC6877">
        <v>1.4526000000000101</v>
      </c>
      <c r="AD6877">
        <v>-1.1010863610299999</v>
      </c>
      <c r="AE6877">
        <v>43.527299999999997</v>
      </c>
      <c r="AF6877">
        <v>0.90418912790022299</v>
      </c>
      <c r="AG6877">
        <v>-1.1010863610299999</v>
      </c>
      <c r="AH6877">
        <v>43.514318041524703</v>
      </c>
      <c r="AI6877">
        <v>91.449190471875596</v>
      </c>
      <c r="AJ6877">
        <v>88.809615569796904</v>
      </c>
      <c r="AK6877">
        <v>43.537636864814097</v>
      </c>
    </row>
    <row r="6878" spans="1:37" x14ac:dyDescent="0.2">
      <c r="A6878" t="str">
        <f>"20200111155737334"</f>
        <v>20200111155737334</v>
      </c>
      <c r="B6878" t="str">
        <f>"1578729457329866"</f>
        <v>1578729457329866</v>
      </c>
      <c r="C6878" t="s">
        <v>37</v>
      </c>
      <c r="D6878">
        <v>5.4716839999999998</v>
      </c>
      <c r="E6878">
        <v>0.50908540000000002</v>
      </c>
      <c r="F6878" t="s">
        <v>72</v>
      </c>
      <c r="G6878">
        <v>-186.2313</v>
      </c>
      <c r="H6878" s="1">
        <v>-1.3668009999999999E-5</v>
      </c>
      <c r="I6878">
        <v>156.56389999999999</v>
      </c>
      <c r="J6878">
        <v>-188.06780000000001</v>
      </c>
      <c r="K6878">
        <v>1.1007709999999999</v>
      </c>
      <c r="L6878">
        <v>112.6511</v>
      </c>
      <c r="M6878">
        <v>1.8103859999999999E-2</v>
      </c>
      <c r="N6878">
        <v>0</v>
      </c>
      <c r="O6878">
        <v>0.99973099999999904</v>
      </c>
      <c r="P6878">
        <v>2.781047E-2</v>
      </c>
      <c r="Q6878">
        <v>2.135828E-2</v>
      </c>
      <c r="R6878">
        <v>0.99938499999999997</v>
      </c>
      <c r="S6878">
        <v>0.1252441</v>
      </c>
      <c r="T6878">
        <v>-7.4703809999999995E-2</v>
      </c>
      <c r="U6878">
        <v>3.0006710000000001</v>
      </c>
      <c r="V6878">
        <v>1.0075560000000001E-2</v>
      </c>
      <c r="W6878">
        <v>3.5746409999999999E-2</v>
      </c>
      <c r="X6878">
        <v>0.99931009999999998</v>
      </c>
      <c r="Y6878">
        <v>2.3592660000000001E-2</v>
      </c>
      <c r="Z6878">
        <v>-2.4867589999999998E-2</v>
      </c>
      <c r="AA6878">
        <v>0.99941229999999903</v>
      </c>
      <c r="AB6878">
        <v>31</v>
      </c>
      <c r="AC6878">
        <v>1.8365</v>
      </c>
      <c r="AD6878">
        <v>-1.10078466801</v>
      </c>
      <c r="AE6878">
        <v>43.912799999999898</v>
      </c>
      <c r="AF6878">
        <v>1.0404715443283701</v>
      </c>
      <c r="AG6878">
        <v>-1.10078466801</v>
      </c>
      <c r="AH6878">
        <v>43.911308106981899</v>
      </c>
      <c r="AI6878">
        <v>91.4356079334746</v>
      </c>
      <c r="AJ6878">
        <v>88.642639499252894</v>
      </c>
      <c r="AK6878">
        <v>43.937424680859202</v>
      </c>
    </row>
    <row r="6879" spans="1:37" x14ac:dyDescent="0.2">
      <c r="A6879" t="str">
        <f>"20200111155737357"</f>
        <v>20200111155737357</v>
      </c>
      <c r="B6879" t="str">
        <f>"1578729457350362"</f>
        <v>1578729457350362</v>
      </c>
      <c r="C6879" t="s">
        <v>37</v>
      </c>
      <c r="D6879">
        <v>5.2585699999999997</v>
      </c>
      <c r="E6879">
        <v>0.50866250000000002</v>
      </c>
      <c r="F6879" t="s">
        <v>72</v>
      </c>
      <c r="G6879">
        <v>-186.0307</v>
      </c>
      <c r="H6879" s="1">
        <v>-1.2175789999999901E-5</v>
      </c>
      <c r="I6879">
        <v>153.15530000000001</v>
      </c>
      <c r="J6879">
        <v>-188.05629999999999</v>
      </c>
      <c r="K6879">
        <v>1.100479</v>
      </c>
      <c r="L6879">
        <v>112.96129999999999</v>
      </c>
      <c r="M6879">
        <v>2.3866310000000002E-2</v>
      </c>
      <c r="N6879">
        <v>0</v>
      </c>
      <c r="O6879">
        <v>0.99960979999999999</v>
      </c>
      <c r="P6879">
        <v>3.6650410000000001E-2</v>
      </c>
      <c r="Q6879">
        <v>1.870776E-2</v>
      </c>
      <c r="R6879">
        <v>0.99915299999999996</v>
      </c>
      <c r="S6879">
        <v>0.15084839999999999</v>
      </c>
      <c r="T6879">
        <v>-8.151448E-2</v>
      </c>
      <c r="U6879">
        <v>2.99939</v>
      </c>
      <c r="V6879">
        <v>1.3151619999999999E-2</v>
      </c>
      <c r="W6879">
        <v>3.307533E-2</v>
      </c>
      <c r="X6879">
        <v>0.99936630000000004</v>
      </c>
      <c r="Y6879">
        <v>2.6358050000000001E-2</v>
      </c>
      <c r="Z6879">
        <v>-2.7133529999999999E-2</v>
      </c>
      <c r="AA6879">
        <v>0.99928430000000001</v>
      </c>
      <c r="AB6879">
        <v>31</v>
      </c>
      <c r="AC6879">
        <v>2.0255999999999901</v>
      </c>
      <c r="AD6879">
        <v>-1.10049117579</v>
      </c>
      <c r="AE6879">
        <v>40.194000000000003</v>
      </c>
      <c r="AF6879">
        <v>1.0648431664863101</v>
      </c>
      <c r="AG6879">
        <v>-1.10049117579</v>
      </c>
      <c r="AH6879">
        <v>40.200837711918403</v>
      </c>
      <c r="AI6879">
        <v>91.567521188194107</v>
      </c>
      <c r="AJ6879">
        <v>88.482699368057695</v>
      </c>
      <c r="AK6879">
        <v>40.229992847839398</v>
      </c>
    </row>
    <row r="6880" spans="1:37" x14ac:dyDescent="0.2">
      <c r="A6880" t="str">
        <f>"20200111155737379"</f>
        <v>20200111155737379</v>
      </c>
      <c r="B6880" t="str">
        <f>"1578729457369881"</f>
        <v>1578729457369881</v>
      </c>
      <c r="C6880" t="s">
        <v>37</v>
      </c>
      <c r="D6880">
        <v>5.3795960000000003</v>
      </c>
      <c r="E6880">
        <v>0.50813999999999904</v>
      </c>
      <c r="F6880" t="s">
        <v>72</v>
      </c>
      <c r="G6880">
        <v>-185.92009999999999</v>
      </c>
      <c r="H6880" s="1">
        <v>-1.1112860000000001E-5</v>
      </c>
      <c r="I6880">
        <v>149.75399999999999</v>
      </c>
      <c r="J6880">
        <v>-188.04300000000001</v>
      </c>
      <c r="K6880">
        <v>1.1002019999999999</v>
      </c>
      <c r="L6880">
        <v>113.2654</v>
      </c>
      <c r="M6880">
        <v>2.9841079999999999E-2</v>
      </c>
      <c r="N6880">
        <v>0</v>
      </c>
      <c r="O6880">
        <v>0.99944900000000003</v>
      </c>
      <c r="P6880">
        <v>4.4685019999999999E-2</v>
      </c>
      <c r="Q6880">
        <v>1.743575E-2</v>
      </c>
      <c r="R6880">
        <v>0.99884899999999999</v>
      </c>
      <c r="S6880">
        <v>0.17405699999999999</v>
      </c>
      <c r="T6880">
        <v>-8.9667559999999993E-2</v>
      </c>
      <c r="U6880">
        <v>2.997849</v>
      </c>
      <c r="V6880">
        <v>1.5222889999999999E-2</v>
      </c>
      <c r="W6880">
        <v>3.1791399999999997E-2</v>
      </c>
      <c r="X6880">
        <v>0.99937860000000001</v>
      </c>
      <c r="Y6880">
        <v>2.8117320000000001E-2</v>
      </c>
      <c r="Z6880">
        <v>-2.9846279999999999E-2</v>
      </c>
      <c r="AA6880">
        <v>0.99915900000000002</v>
      </c>
      <c r="AB6880">
        <v>31</v>
      </c>
      <c r="AC6880">
        <v>2.1229000000000098</v>
      </c>
      <c r="AD6880">
        <v>-1.1002131128599999</v>
      </c>
      <c r="AE6880">
        <v>36.488599999999899</v>
      </c>
      <c r="AF6880">
        <v>1.0320450157559999</v>
      </c>
      <c r="AG6880">
        <v>-1.1002131128599999</v>
      </c>
      <c r="AH6880">
        <v>36.502628207858997</v>
      </c>
      <c r="AI6880">
        <v>91.725720451061804</v>
      </c>
      <c r="AJ6880">
        <v>88.380498117136895</v>
      </c>
      <c r="AK6880">
        <v>36.533785074769398</v>
      </c>
    </row>
    <row r="6881" spans="1:37" x14ac:dyDescent="0.2">
      <c r="A6881" t="str">
        <f>"20200111155737400"</f>
        <v>20200111155737400</v>
      </c>
      <c r="B6881" t="str">
        <f>"1578729457390378"</f>
        <v>1578729457390378</v>
      </c>
      <c r="C6881" t="s">
        <v>37</v>
      </c>
      <c r="D6881">
        <v>5.2221890000000002</v>
      </c>
      <c r="E6881">
        <v>0.50763100000000005</v>
      </c>
      <c r="F6881" t="s">
        <v>72</v>
      </c>
      <c r="G6881">
        <v>-185.755</v>
      </c>
      <c r="H6881" s="1">
        <v>-1.0822609999999999E-5</v>
      </c>
      <c r="I6881">
        <v>148.60669999999999</v>
      </c>
      <c r="J6881">
        <v>-188.02780000000001</v>
      </c>
      <c r="K6881">
        <v>1.0999319999999999</v>
      </c>
      <c r="L6881">
        <v>113.5617</v>
      </c>
      <c r="M6881">
        <v>3.5990979999999999E-2</v>
      </c>
      <c r="N6881">
        <v>0</v>
      </c>
      <c r="O6881">
        <v>0.99924609999999903</v>
      </c>
      <c r="P6881">
        <v>5.2162899999999998E-2</v>
      </c>
      <c r="Q6881">
        <v>1.6733910000000001E-2</v>
      </c>
      <c r="R6881">
        <v>0.99849840000000001</v>
      </c>
      <c r="S6881">
        <v>0.19398499999999999</v>
      </c>
      <c r="T6881">
        <v>-9.3281269999999999E-2</v>
      </c>
      <c r="U6881">
        <v>2.9963989999999998</v>
      </c>
      <c r="V6881">
        <v>1.6567849999999999E-2</v>
      </c>
      <c r="W6881">
        <v>3.108555E-2</v>
      </c>
      <c r="X6881">
        <v>0.99937940000000003</v>
      </c>
      <c r="Y6881">
        <v>2.861151E-2</v>
      </c>
      <c r="Z6881">
        <v>-3.1047000000000002E-2</v>
      </c>
      <c r="AA6881">
        <v>0.99910829999999995</v>
      </c>
      <c r="AB6881">
        <v>31</v>
      </c>
      <c r="AC6881">
        <v>2.2728000000000099</v>
      </c>
      <c r="AD6881">
        <v>-1.0999428226100001</v>
      </c>
      <c r="AE6881">
        <v>35.044999999999902</v>
      </c>
      <c r="AF6881">
        <v>1.00889991354706</v>
      </c>
      <c r="AG6881">
        <v>-1.0999428226100001</v>
      </c>
      <c r="AH6881">
        <v>35.069695940456498</v>
      </c>
      <c r="AI6881">
        <v>91.795721031996493</v>
      </c>
      <c r="AJ6881">
        <v>88.352145170779906</v>
      </c>
      <c r="AK6881">
        <v>35.101443369249601</v>
      </c>
    </row>
    <row r="6882" spans="1:37" x14ac:dyDescent="0.2">
      <c r="A6882" t="str">
        <f>"20200111155737422"</f>
        <v>20200111155737422</v>
      </c>
      <c r="B6882" t="str">
        <f>"1578729457420634"</f>
        <v>1578729457420634</v>
      </c>
      <c r="C6882" t="s">
        <v>37</v>
      </c>
      <c r="D6882">
        <v>5.1769449999999999</v>
      </c>
      <c r="E6882">
        <v>0.55964780000000003</v>
      </c>
      <c r="F6882" t="s">
        <v>72</v>
      </c>
      <c r="G6882">
        <v>-185.58840000000001</v>
      </c>
      <c r="H6882" s="1">
        <v>-1.0651449999999999E-5</v>
      </c>
      <c r="I6882">
        <v>147.92189999999999</v>
      </c>
      <c r="J6882">
        <v>-188.00980000000001</v>
      </c>
      <c r="K6882">
        <v>1.0996729999999999</v>
      </c>
      <c r="L6882">
        <v>113.8691</v>
      </c>
      <c r="M6882">
        <v>4.2647839999999999E-2</v>
      </c>
      <c r="N6882">
        <v>0</v>
      </c>
      <c r="O6882">
        <v>0.99898369999999903</v>
      </c>
      <c r="P6882">
        <v>5.960563E-2</v>
      </c>
      <c r="Q6882">
        <v>1.468439E-2</v>
      </c>
      <c r="R6882">
        <v>0.99811399999999995</v>
      </c>
      <c r="S6882">
        <v>0.21263119999999999</v>
      </c>
      <c r="T6882">
        <v>-9.5877050000000005E-2</v>
      </c>
      <c r="U6882">
        <v>2.99502599999999</v>
      </c>
      <c r="V6882">
        <v>1.7351579999999998E-2</v>
      </c>
      <c r="W6882">
        <v>2.9040369999999999E-2</v>
      </c>
      <c r="X6882">
        <v>0.99942759999999997</v>
      </c>
      <c r="Y6882">
        <v>2.817074E-2</v>
      </c>
      <c r="Z6882">
        <v>-3.1905610000000001E-2</v>
      </c>
      <c r="AA6882">
        <v>0.99909380000000003</v>
      </c>
      <c r="AB6882">
        <v>31</v>
      </c>
      <c r="AC6882">
        <v>2.4214000000000002</v>
      </c>
      <c r="AD6882">
        <v>-1.0996836514499999</v>
      </c>
      <c r="AE6882">
        <v>34.052799999999898</v>
      </c>
      <c r="AF6882">
        <v>0.96576150377978598</v>
      </c>
      <c r="AG6882">
        <v>-1.0996836514499999</v>
      </c>
      <c r="AH6882">
        <v>34.089717239289598</v>
      </c>
      <c r="AI6882">
        <v>91.846895557673804</v>
      </c>
      <c r="AJ6882">
        <v>88.377244920382793</v>
      </c>
      <c r="AK6882">
        <v>34.121119865417199</v>
      </c>
    </row>
    <row r="6883" spans="1:37" x14ac:dyDescent="0.2">
      <c r="A6883" t="str">
        <f>"20200111155737445"</f>
        <v>20200111155737445</v>
      </c>
      <c r="B6883" t="str">
        <f>"1578729457439991"</f>
        <v>1578729457439991</v>
      </c>
      <c r="C6883" t="s">
        <v>37</v>
      </c>
      <c r="D6883">
        <v>5.230461</v>
      </c>
      <c r="E6883">
        <v>0.58393079999999997</v>
      </c>
      <c r="F6883" t="s">
        <v>69</v>
      </c>
      <c r="G6883">
        <v>-168.4119</v>
      </c>
      <c r="H6883">
        <v>0.7310257</v>
      </c>
      <c r="I6883">
        <v>203.0352</v>
      </c>
      <c r="J6883">
        <v>-187.98869999999999</v>
      </c>
      <c r="K6883">
        <v>1.0994189999999999</v>
      </c>
      <c r="L6883">
        <v>114.1879</v>
      </c>
      <c r="M6883">
        <v>4.9848299999999998E-2</v>
      </c>
      <c r="N6883">
        <v>0</v>
      </c>
      <c r="O6883">
        <v>0.99865000000000004</v>
      </c>
      <c r="P6883">
        <v>6.6695260000000006E-2</v>
      </c>
      <c r="Q6883">
        <v>1.3237769999999999E-2</v>
      </c>
      <c r="R6883">
        <v>0.99768559999999995</v>
      </c>
      <c r="S6883">
        <v>0.6520996</v>
      </c>
      <c r="T6883">
        <v>-1.226521E-2</v>
      </c>
      <c r="U6883">
        <v>2.966904</v>
      </c>
      <c r="V6883">
        <v>1.7243970000000001E-2</v>
      </c>
      <c r="W6883">
        <v>2.7609959999999999E-2</v>
      </c>
      <c r="X6883">
        <v>0.99947009999999903</v>
      </c>
      <c r="Y6883">
        <v>0.165707299999999</v>
      </c>
      <c r="Z6883">
        <v>-4.0493739999999997E-3</v>
      </c>
      <c r="AA6883">
        <v>0.98616669999999995</v>
      </c>
      <c r="AB6883">
        <v>31</v>
      </c>
      <c r="AC6883">
        <v>19.576799999999899</v>
      </c>
      <c r="AD6883">
        <v>-0.36839329999999998</v>
      </c>
      <c r="AE6883">
        <v>88.847300000000004</v>
      </c>
      <c r="AF6883">
        <v>15.122849646350099</v>
      </c>
      <c r="AG6883">
        <v>-0.36839329999999998</v>
      </c>
      <c r="AH6883">
        <v>89.711324890073698</v>
      </c>
      <c r="AI6883">
        <v>90.232006506013505</v>
      </c>
      <c r="AJ6883">
        <v>80.431473648811107</v>
      </c>
      <c r="AK6883">
        <v>90.977789094822299</v>
      </c>
    </row>
    <row r="6884" spans="1:37" x14ac:dyDescent="0.2">
      <c r="A6884" t="str">
        <f>"20200111155737490"</f>
        <v>20200111155737490</v>
      </c>
      <c r="B6884" t="str">
        <f>"1578729457480006"</f>
        <v>1578729457480006</v>
      </c>
      <c r="C6884" t="s">
        <v>37</v>
      </c>
      <c r="D6884">
        <v>5.1705500000000004</v>
      </c>
      <c r="E6884">
        <v>0.5922731</v>
      </c>
      <c r="F6884" t="s">
        <v>72</v>
      </c>
      <c r="G6884">
        <v>-180.59960000000001</v>
      </c>
      <c r="H6884" s="1">
        <v>-8.8207890000000002E-6</v>
      </c>
      <c r="I6884">
        <v>139.46870000000001</v>
      </c>
      <c r="J6884">
        <v>-187.94139999999999</v>
      </c>
      <c r="K6884">
        <v>1.098957</v>
      </c>
      <c r="L6884">
        <v>114.7921</v>
      </c>
      <c r="M6884">
        <v>6.4334390000000005E-2</v>
      </c>
      <c r="N6884">
        <v>0</v>
      </c>
      <c r="O6884">
        <v>0.99782079999999995</v>
      </c>
      <c r="P6884">
        <v>7.3432090000000005E-2</v>
      </c>
      <c r="Q6884">
        <v>1.174188E-2</v>
      </c>
      <c r="R6884">
        <v>0.99723109999999904</v>
      </c>
      <c r="S6884">
        <v>0.86251829999999996</v>
      </c>
      <c r="T6884">
        <v>-0.12833530000000001</v>
      </c>
      <c r="U6884">
        <v>2.9510040000000002</v>
      </c>
      <c r="V6884">
        <v>9.4958219999999992E-3</v>
      </c>
      <c r="W6884">
        <v>2.625719E-2</v>
      </c>
      <c r="X6884">
        <v>0.99961009999999995</v>
      </c>
      <c r="Y6884">
        <v>0.21795700000000001</v>
      </c>
      <c r="Z6884">
        <v>-4.1915729999999998E-2</v>
      </c>
      <c r="AA6884">
        <v>0.97505779999999997</v>
      </c>
      <c r="AB6884">
        <v>30</v>
      </c>
      <c r="AC6884">
        <v>7.3417999999999699</v>
      </c>
      <c r="AD6884">
        <v>-1.0989658207889901</v>
      </c>
      <c r="AE6884">
        <v>24.676600000000001</v>
      </c>
      <c r="AF6884">
        <v>5.7284254325918598</v>
      </c>
      <c r="AG6884">
        <v>-1.0989658207889901</v>
      </c>
      <c r="AH6884">
        <v>25.052203311206899</v>
      </c>
      <c r="AI6884">
        <v>92.448666498667293</v>
      </c>
      <c r="AJ6884">
        <v>77.120200456947003</v>
      </c>
      <c r="AK6884">
        <v>25.722275843285601</v>
      </c>
    </row>
    <row r="6885" spans="1:37" x14ac:dyDescent="0.2">
      <c r="A6885" t="str">
        <f>"20200111155737513"</f>
        <v>20200111155737513</v>
      </c>
      <c r="B6885" t="str">
        <f>"1578729457510263"</f>
        <v>1578729457510263</v>
      </c>
      <c r="C6885" t="s">
        <v>37</v>
      </c>
      <c r="D6885">
        <v>5.2930900000000003</v>
      </c>
      <c r="E6885">
        <v>0.60342869999999904</v>
      </c>
      <c r="F6885" t="s">
        <v>72</v>
      </c>
      <c r="G6885">
        <v>-181.15989999999999</v>
      </c>
      <c r="H6885" s="1">
        <v>-7.4921349999999997E-6</v>
      </c>
      <c r="I6885">
        <v>135.8098</v>
      </c>
      <c r="J6885">
        <v>-187.91299999999899</v>
      </c>
      <c r="K6885">
        <v>1.0987420000000001</v>
      </c>
      <c r="L6885">
        <v>115.1062</v>
      </c>
      <c r="M6885">
        <v>7.2262149999999997E-2</v>
      </c>
      <c r="N6885">
        <v>0</v>
      </c>
      <c r="O6885">
        <v>0.99727759999999999</v>
      </c>
      <c r="P6885">
        <v>7.5925210000000007E-2</v>
      </c>
      <c r="Q6885">
        <v>1.2050709999999999E-2</v>
      </c>
      <c r="R6885">
        <v>0.997040699999999</v>
      </c>
      <c r="S6885">
        <v>0.94869999999999999</v>
      </c>
      <c r="T6885">
        <v>-0.15374089999999899</v>
      </c>
      <c r="U6885">
        <v>2.9402919999999999</v>
      </c>
      <c r="V6885">
        <v>4.0690020000000004E-3</v>
      </c>
      <c r="W6885">
        <v>2.667046E-2</v>
      </c>
      <c r="X6885">
        <v>0.99963599999999997</v>
      </c>
      <c r="Y6885">
        <v>0.2371016</v>
      </c>
      <c r="Z6885">
        <v>-5.0002480000000002E-2</v>
      </c>
      <c r="AA6885">
        <v>0.97019719999999998</v>
      </c>
      <c r="AB6885">
        <v>30</v>
      </c>
      <c r="AC6885">
        <v>6.7530999999999803</v>
      </c>
      <c r="AD6885">
        <v>-1.0987494921349901</v>
      </c>
      <c r="AE6885">
        <v>20.703599999999899</v>
      </c>
      <c r="AF6885">
        <v>5.2258902421983899</v>
      </c>
      <c r="AG6885">
        <v>-1.0987494921349901</v>
      </c>
      <c r="AH6885">
        <v>21.083836731374099</v>
      </c>
      <c r="AI6885">
        <v>92.895708424013705</v>
      </c>
      <c r="AJ6885">
        <v>76.079085738335905</v>
      </c>
      <c r="AK6885">
        <v>21.749605757006499</v>
      </c>
    </row>
    <row r="6886" spans="1:37" x14ac:dyDescent="0.2">
      <c r="A6886" t="str">
        <f>"20200111155737580"</f>
        <v>20200111155737580</v>
      </c>
      <c r="B6886" t="str">
        <f>"1578729457570341"</f>
        <v>1578729457570341</v>
      </c>
      <c r="C6886" t="s">
        <v>37</v>
      </c>
      <c r="D6886">
        <v>5.2759049999999998</v>
      </c>
      <c r="E6886">
        <v>0.60779069999999902</v>
      </c>
      <c r="F6886" t="s">
        <v>72</v>
      </c>
      <c r="G6886">
        <v>-182.06229999999999</v>
      </c>
      <c r="H6886" s="1">
        <v>-5.9254719999999902E-6</v>
      </c>
      <c r="I6886">
        <v>131.54089999999999</v>
      </c>
      <c r="J6886">
        <v>-187.81610000000001</v>
      </c>
      <c r="K6886">
        <v>1.0983039999999999</v>
      </c>
      <c r="L6886">
        <v>116.00530000000001</v>
      </c>
      <c r="M6886">
        <v>9.6033080000000007E-2</v>
      </c>
      <c r="N6886">
        <v>0</v>
      </c>
      <c r="O6886">
        <v>0.99526890000000001</v>
      </c>
      <c r="P6886">
        <v>9.3604599999999996E-2</v>
      </c>
      <c r="Q6886">
        <v>1.20071E-2</v>
      </c>
      <c r="R6886">
        <v>0.99553700000000001</v>
      </c>
      <c r="S6886">
        <v>1.043701</v>
      </c>
      <c r="T6886">
        <v>-0.19600529999999999</v>
      </c>
      <c r="U6886">
        <v>2.931778</v>
      </c>
      <c r="V6886">
        <v>-2.0151679999999999E-3</v>
      </c>
      <c r="W6886">
        <v>2.6784860000000001E-2</v>
      </c>
      <c r="X6886">
        <v>0.99963919999999995</v>
      </c>
      <c r="Y6886">
        <v>0.24267339999999901</v>
      </c>
      <c r="Z6886">
        <v>-6.3313300000000003E-2</v>
      </c>
      <c r="AA6886">
        <v>0.96803980000000001</v>
      </c>
      <c r="AB6886">
        <v>30</v>
      </c>
      <c r="AC6886">
        <v>5.7538000000000098</v>
      </c>
      <c r="AD6886">
        <v>-1.0983099254719999</v>
      </c>
      <c r="AE6886">
        <v>15.535599999999899</v>
      </c>
      <c r="AF6886">
        <v>4.2165749158140402</v>
      </c>
      <c r="AG6886">
        <v>-1.0983099254719999</v>
      </c>
      <c r="AH6886">
        <v>15.946310574332101</v>
      </c>
      <c r="AI6886">
        <v>93.809527477242597</v>
      </c>
      <c r="AJ6886">
        <v>75.188655533843601</v>
      </c>
      <c r="AK6886">
        <v>16.530898633955701</v>
      </c>
    </row>
    <row r="6887" spans="1:37" x14ac:dyDescent="0.2">
      <c r="A6887" t="str">
        <f>"20200111155737593"</f>
        <v>20200111155737593</v>
      </c>
      <c r="B6887" t="str">
        <f>"1578729457589862"</f>
        <v>1578729457589862</v>
      </c>
      <c r="C6887" t="s">
        <v>37</v>
      </c>
      <c r="D6887">
        <v>5.3322479999999999</v>
      </c>
      <c r="E6887">
        <v>0.61037680000000005</v>
      </c>
      <c r="F6887" t="s">
        <v>72</v>
      </c>
      <c r="G6887">
        <v>-181.96530000000001</v>
      </c>
      <c r="H6887" s="1">
        <v>-5.7865009999999998E-6</v>
      </c>
      <c r="I6887">
        <v>131.08879999999999</v>
      </c>
      <c r="J6887">
        <v>-187.791</v>
      </c>
      <c r="K6887">
        <v>1.098257</v>
      </c>
      <c r="L6887">
        <v>116.20740000000001</v>
      </c>
      <c r="M6887">
        <v>0.1015195</v>
      </c>
      <c r="N6887">
        <v>0</v>
      </c>
      <c r="O6887">
        <v>0.99472419999999995</v>
      </c>
      <c r="P6887">
        <v>0.1000294</v>
      </c>
      <c r="Q6887">
        <v>1.250103E-2</v>
      </c>
      <c r="R6887">
        <v>0.99490590000000001</v>
      </c>
      <c r="S6887">
        <v>1.1287229999999999</v>
      </c>
      <c r="T6887">
        <v>-0.211883399999999</v>
      </c>
      <c r="U6887">
        <v>2.9098820000000001</v>
      </c>
      <c r="V6887">
        <v>-1.0623E-3</v>
      </c>
      <c r="W6887">
        <v>2.7273909999999998E-2</v>
      </c>
      <c r="X6887">
        <v>0.99962739999999894</v>
      </c>
      <c r="Y6887">
        <v>0.26426729999999998</v>
      </c>
      <c r="Z6887">
        <v>-6.8308030000000006E-2</v>
      </c>
      <c r="AA6887">
        <v>0.96202739999999998</v>
      </c>
      <c r="AB6887">
        <v>30</v>
      </c>
      <c r="AC6887">
        <v>5.8256999999999799</v>
      </c>
      <c r="AD6887">
        <v>-1.098262786501</v>
      </c>
      <c r="AE6887">
        <v>14.8813999999999</v>
      </c>
      <c r="AF6887">
        <v>4.26453799146209</v>
      </c>
      <c r="AG6887">
        <v>-1.098262786501</v>
      </c>
      <c r="AH6887">
        <v>15.3236151928997</v>
      </c>
      <c r="AI6887">
        <v>93.949847693132696</v>
      </c>
      <c r="AJ6887">
        <v>74.448198655529495</v>
      </c>
      <c r="AK6887">
        <v>15.943827896992101</v>
      </c>
    </row>
    <row r="6888" spans="1:37" x14ac:dyDescent="0.2">
      <c r="A6888" t="str">
        <f>"20200111155737607"</f>
        <v>20200111155737607</v>
      </c>
      <c r="B6888" t="str">
        <f>"1578729457600599"</f>
        <v>1578729457600599</v>
      </c>
      <c r="C6888" t="s">
        <v>37</v>
      </c>
      <c r="D6888">
        <v>5.3765549999999998</v>
      </c>
      <c r="E6888">
        <v>0.61128000000000005</v>
      </c>
      <c r="F6888" t="s">
        <v>72</v>
      </c>
      <c r="G6888">
        <v>-182.0171</v>
      </c>
      <c r="H6888" s="1">
        <v>-5.6115889999999997E-6</v>
      </c>
      <c r="I6888">
        <v>130.5514</v>
      </c>
      <c r="J6888">
        <v>-187.7672</v>
      </c>
      <c r="K6888">
        <v>1.0982259999999999</v>
      </c>
      <c r="L6888">
        <v>116.3914</v>
      </c>
      <c r="M6888">
        <v>0.1065339</v>
      </c>
      <c r="N6888">
        <v>0</v>
      </c>
      <c r="O6888">
        <v>0.99419950000000001</v>
      </c>
      <c r="P6888">
        <v>0.1060188</v>
      </c>
      <c r="Q6888">
        <v>1.320816E-2</v>
      </c>
      <c r="R6888">
        <v>0.99427639999999995</v>
      </c>
      <c r="S6888">
        <v>1.1676329999999999</v>
      </c>
      <c r="T6888">
        <v>-0.2220982</v>
      </c>
      <c r="U6888">
        <v>2.900757</v>
      </c>
      <c r="V6888" s="1">
        <v>-6.8355879999999999E-5</v>
      </c>
      <c r="W6888">
        <v>2.7972210000000001E-2</v>
      </c>
      <c r="X6888">
        <v>0.99960869999999902</v>
      </c>
      <c r="Y6888">
        <v>0.27149050000000002</v>
      </c>
      <c r="Z6888">
        <v>-7.1492310000000003E-2</v>
      </c>
      <c r="AA6888">
        <v>0.95978209999999997</v>
      </c>
      <c r="AB6888">
        <v>30</v>
      </c>
      <c r="AC6888">
        <v>5.7500999999999998</v>
      </c>
      <c r="AD6888">
        <v>-1.0982316115889901</v>
      </c>
      <c r="AE6888">
        <v>14.159999999999901</v>
      </c>
      <c r="AF6888">
        <v>4.1870637457935098</v>
      </c>
      <c r="AG6888">
        <v>-1.0982316115889901</v>
      </c>
      <c r="AH6888">
        <v>14.616568630430599</v>
      </c>
      <c r="AI6888">
        <v>94.131350235784396</v>
      </c>
      <c r="AJ6888">
        <v>74.0151048093973</v>
      </c>
      <c r="AK6888">
        <v>15.2440707821802</v>
      </c>
    </row>
    <row r="6889" spans="1:37" x14ac:dyDescent="0.2">
      <c r="A6889" t="str">
        <f>"20200111155737624"</f>
        <v>20200111155737624</v>
      </c>
      <c r="B6889" t="str">
        <f>"1578729457620118"</f>
        <v>1578729457620118</v>
      </c>
      <c r="C6889" t="s">
        <v>37</v>
      </c>
      <c r="D6889">
        <v>5.4033150000000001</v>
      </c>
      <c r="E6889">
        <v>0.61248119999999995</v>
      </c>
      <c r="F6889" t="s">
        <v>72</v>
      </c>
      <c r="G6889">
        <v>-181.96860000000001</v>
      </c>
      <c r="H6889" s="1">
        <v>-5.5862029999999999E-6</v>
      </c>
      <c r="I6889">
        <v>130.4633</v>
      </c>
      <c r="J6889">
        <v>-187.7363</v>
      </c>
      <c r="K6889">
        <v>1.098211</v>
      </c>
      <c r="L6889">
        <v>116.62050000000001</v>
      </c>
      <c r="M6889">
        <v>0.11279160000000001</v>
      </c>
      <c r="N6889">
        <v>0</v>
      </c>
      <c r="O6889">
        <v>0.99350890000000003</v>
      </c>
      <c r="P6889">
        <v>0.1160099</v>
      </c>
      <c r="Q6889">
        <v>1.4379899999999999E-2</v>
      </c>
      <c r="R6889">
        <v>0.99314400000000003</v>
      </c>
      <c r="S6889">
        <v>1.1921839999999999</v>
      </c>
      <c r="T6889">
        <v>-0.22579489999999999</v>
      </c>
      <c r="U6889">
        <v>2.8931580000000001</v>
      </c>
      <c r="V6889">
        <v>3.711411E-3</v>
      </c>
      <c r="W6889">
        <v>2.9090419999999999E-2</v>
      </c>
      <c r="X6889">
        <v>0.99956990000000001</v>
      </c>
      <c r="Y6889">
        <v>0.273256099999999</v>
      </c>
      <c r="Z6889">
        <v>-7.2645310000000005E-2</v>
      </c>
      <c r="AA6889">
        <v>0.9591944</v>
      </c>
      <c r="AB6889">
        <v>30</v>
      </c>
      <c r="AC6889">
        <v>5.7676999999999898</v>
      </c>
      <c r="AD6889">
        <v>-1.098216586203</v>
      </c>
      <c r="AE6889">
        <v>13.842799999999899</v>
      </c>
      <c r="AF6889">
        <v>4.14712348339273</v>
      </c>
      <c r="AG6889">
        <v>-1.098216586203</v>
      </c>
      <c r="AH6889">
        <v>14.3282221278908</v>
      </c>
      <c r="AI6889">
        <v>94.210814152536301</v>
      </c>
      <c r="AJ6889">
        <v>73.8575789773097</v>
      </c>
      <c r="AK6889">
        <v>14.956692889903801</v>
      </c>
    </row>
    <row r="6890" spans="1:37" x14ac:dyDescent="0.2">
      <c r="A6890" t="str">
        <f>"20200111155737638"</f>
        <v>20200111155737638</v>
      </c>
      <c r="B6890" t="str">
        <f>"1578729457629880"</f>
        <v>1578729457629880</v>
      </c>
      <c r="C6890" t="s">
        <v>37</v>
      </c>
      <c r="D6890">
        <v>5.3856900000000003</v>
      </c>
      <c r="E6890">
        <v>0.61336639999999998</v>
      </c>
      <c r="F6890" t="s">
        <v>72</v>
      </c>
      <c r="G6890">
        <v>-181.9348</v>
      </c>
      <c r="H6890" s="1">
        <v>-5.5046259999999899E-6</v>
      </c>
      <c r="I6890">
        <v>130.2021</v>
      </c>
      <c r="J6890">
        <v>-187.71</v>
      </c>
      <c r="K6890">
        <v>1.098201</v>
      </c>
      <c r="L6890">
        <v>116.8086</v>
      </c>
      <c r="M6890">
        <v>0.11793629999999999</v>
      </c>
      <c r="N6890">
        <v>0</v>
      </c>
      <c r="O6890">
        <v>0.99291119999999899</v>
      </c>
      <c r="P6890">
        <v>0.12411759999999999</v>
      </c>
      <c r="Q6890">
        <v>1.6125899999999999E-2</v>
      </c>
      <c r="R6890">
        <v>0.99213649999999998</v>
      </c>
      <c r="S6890">
        <v>1.2303770000000001</v>
      </c>
      <c r="T6890">
        <v>-0.23290849999999999</v>
      </c>
      <c r="U6890">
        <v>2.8803709999999998</v>
      </c>
      <c r="V6890">
        <v>6.7308450000000001E-3</v>
      </c>
      <c r="W6890">
        <v>3.0792440000000001E-2</v>
      </c>
      <c r="X6890">
        <v>0.99950309999999898</v>
      </c>
      <c r="Y6890">
        <v>0.28050759999999902</v>
      </c>
      <c r="Z6890">
        <v>-7.4893440000000006E-2</v>
      </c>
      <c r="AA6890">
        <v>0.95692549999999899</v>
      </c>
      <c r="AB6890">
        <v>30</v>
      </c>
      <c r="AC6890">
        <v>5.7752000000000097</v>
      </c>
      <c r="AD6890">
        <v>-1.0982065046259999</v>
      </c>
      <c r="AE6890">
        <v>13.3935</v>
      </c>
      <c r="AF6890">
        <v>4.1317111734161696</v>
      </c>
      <c r="AG6890">
        <v>-1.0982065046259999</v>
      </c>
      <c r="AH6890">
        <v>13.9023732931469</v>
      </c>
      <c r="AI6890">
        <v>94.330225220204397</v>
      </c>
      <c r="AJ6890">
        <v>73.448331638211997</v>
      </c>
      <c r="AK6890">
        <v>14.544864314572999</v>
      </c>
    </row>
    <row r="6891" spans="1:37" x14ac:dyDescent="0.2">
      <c r="A6891" t="str">
        <f>"20200111155737652"</f>
        <v>20200111155737652</v>
      </c>
      <c r="B6891" t="str">
        <f>"1578729457640609"</f>
        <v>1578729457640609</v>
      </c>
      <c r="C6891" t="s">
        <v>37</v>
      </c>
      <c r="D6891">
        <v>5.3221600000000002</v>
      </c>
      <c r="E6891">
        <v>0.61388169999999898</v>
      </c>
      <c r="F6891" t="s">
        <v>72</v>
      </c>
      <c r="G6891">
        <v>-181.7004</v>
      </c>
      <c r="H6891" s="1">
        <v>-5.6091530000000002E-6</v>
      </c>
      <c r="I6891">
        <v>130.4864</v>
      </c>
      <c r="J6891">
        <v>-187.6825</v>
      </c>
      <c r="K6891">
        <v>1.0982000000000001</v>
      </c>
      <c r="L6891">
        <v>116.9952</v>
      </c>
      <c r="M6891">
        <v>0.12303599999999899</v>
      </c>
      <c r="N6891">
        <v>0</v>
      </c>
      <c r="O6891">
        <v>0.99229219999999896</v>
      </c>
      <c r="P6891">
        <v>0.13183249999999999</v>
      </c>
      <c r="Q6891">
        <v>1.6598169999999999E-2</v>
      </c>
      <c r="R6891">
        <v>0.99113300000000004</v>
      </c>
      <c r="S6891">
        <v>1.26091</v>
      </c>
      <c r="T6891">
        <v>-0.23042080000000001</v>
      </c>
      <c r="U6891">
        <v>2.8697970000000002</v>
      </c>
      <c r="V6891">
        <v>9.3810909999999994E-3</v>
      </c>
      <c r="W6891">
        <v>3.1225200000000002E-2</v>
      </c>
      <c r="X6891">
        <v>0.99946829999999998</v>
      </c>
      <c r="Y6891">
        <v>0.28543869999999999</v>
      </c>
      <c r="Z6891">
        <v>-7.4072579999999999E-2</v>
      </c>
      <c r="AA6891">
        <v>0.9555302</v>
      </c>
      <c r="AB6891">
        <v>30</v>
      </c>
      <c r="AC6891">
        <v>5.9821</v>
      </c>
      <c r="AD6891">
        <v>-1.0982056091529999</v>
      </c>
      <c r="AE6891">
        <v>13.491199999999999</v>
      </c>
      <c r="AF6891">
        <v>4.2530037756530401</v>
      </c>
      <c r="AG6891">
        <v>-1.0982056091529999</v>
      </c>
      <c r="AH6891">
        <v>14.0469831026468</v>
      </c>
      <c r="AI6891">
        <v>94.279263612084804</v>
      </c>
      <c r="AJ6891">
        <v>73.155266981356107</v>
      </c>
      <c r="AK6891">
        <v>14.7177386497294</v>
      </c>
    </row>
    <row r="6892" spans="1:37" x14ac:dyDescent="0.2">
      <c r="A6892" t="str">
        <f>"20200111155737668"</f>
        <v>20200111155737668</v>
      </c>
      <c r="B6892" t="str">
        <f>"1578729457660128"</f>
        <v>1578729457660128</v>
      </c>
      <c r="C6892" t="s">
        <v>37</v>
      </c>
      <c r="D6892">
        <v>5.2919869999999998</v>
      </c>
      <c r="E6892">
        <v>0.6144482</v>
      </c>
      <c r="F6892" t="s">
        <v>72</v>
      </c>
      <c r="G6892">
        <v>-181.57679999999999</v>
      </c>
      <c r="H6892" s="1">
        <v>-5.6396119999999997E-6</v>
      </c>
      <c r="I6892">
        <v>130.5591</v>
      </c>
      <c r="J6892">
        <v>-187.64930000000001</v>
      </c>
      <c r="K6892">
        <v>1.098204</v>
      </c>
      <c r="L6892">
        <v>117.214</v>
      </c>
      <c r="M6892">
        <v>0.1290094</v>
      </c>
      <c r="N6892">
        <v>0</v>
      </c>
      <c r="O6892">
        <v>0.9915332</v>
      </c>
      <c r="P6892">
        <v>0.1440311</v>
      </c>
      <c r="Q6892">
        <v>1.6282390000000001E-2</v>
      </c>
      <c r="R6892">
        <v>0.98943919999999996</v>
      </c>
      <c r="S6892">
        <v>1.287201</v>
      </c>
      <c r="T6892">
        <v>-0.23152110000000001</v>
      </c>
      <c r="U6892">
        <v>2.8595120000000001</v>
      </c>
      <c r="V6892">
        <v>1.5669039999999999E-2</v>
      </c>
      <c r="W6892">
        <v>3.0810069999999998E-2</v>
      </c>
      <c r="X6892">
        <v>0.99940239999999902</v>
      </c>
      <c r="Y6892">
        <v>0.28825200000000001</v>
      </c>
      <c r="Z6892">
        <v>-7.4416750000000004E-2</v>
      </c>
      <c r="AA6892">
        <v>0.95465859999999902</v>
      </c>
      <c r="AB6892">
        <v>30</v>
      </c>
      <c r="AC6892">
        <v>6.0725000000000096</v>
      </c>
      <c r="AD6892">
        <v>-1.098209639612</v>
      </c>
      <c r="AE6892">
        <v>13.3451</v>
      </c>
      <c r="AF6892">
        <v>4.2759218710492304</v>
      </c>
      <c r="AG6892">
        <v>-1.098209639612</v>
      </c>
      <c r="AH6892">
        <v>13.9388472455579</v>
      </c>
      <c r="AI6892">
        <v>94.3075715055666</v>
      </c>
      <c r="AJ6892">
        <v>72.945926857881403</v>
      </c>
      <c r="AK6892">
        <v>14.621252846280001</v>
      </c>
    </row>
    <row r="6893" spans="1:37" x14ac:dyDescent="0.2">
      <c r="A6893" t="str">
        <f>"20200111155737683"</f>
        <v>20200111155737683</v>
      </c>
      <c r="B6893" t="str">
        <f>"1578729457680625"</f>
        <v>1578729457680625</v>
      </c>
      <c r="C6893" t="s">
        <v>37</v>
      </c>
      <c r="D6893">
        <v>5.4422930000000003</v>
      </c>
      <c r="E6893">
        <v>0.61562669999999997</v>
      </c>
      <c r="F6893" t="s">
        <v>72</v>
      </c>
      <c r="G6893">
        <v>-181.43270000000001</v>
      </c>
      <c r="H6893" s="1">
        <v>-5.6393229999999999E-6</v>
      </c>
      <c r="I6893">
        <v>130.53210000000001</v>
      </c>
      <c r="J6893">
        <v>-187.6183</v>
      </c>
      <c r="K6893">
        <v>1.0982069999999999</v>
      </c>
      <c r="L6893">
        <v>117.4111</v>
      </c>
      <c r="M6893">
        <v>0.1343857</v>
      </c>
      <c r="N6893">
        <v>0</v>
      </c>
      <c r="O6893">
        <v>0.9908188</v>
      </c>
      <c r="P6893">
        <v>0.1524953</v>
      </c>
      <c r="Q6893">
        <v>1.623258E-2</v>
      </c>
      <c r="R6893">
        <v>0.98817089999999996</v>
      </c>
      <c r="S6893">
        <v>1.3269200000000001</v>
      </c>
      <c r="T6893">
        <v>-0.2344099</v>
      </c>
      <c r="U6893">
        <v>2.8427119999999899</v>
      </c>
      <c r="V6893">
        <v>1.8802470000000002E-2</v>
      </c>
      <c r="W6893">
        <v>3.0711410000000001E-2</v>
      </c>
      <c r="X6893">
        <v>0.9993514</v>
      </c>
      <c r="Y6893">
        <v>0.29614029999999902</v>
      </c>
      <c r="Z6893">
        <v>-7.5357999999999994E-2</v>
      </c>
      <c r="AA6893">
        <v>0.95216699999999999</v>
      </c>
      <c r="AB6893">
        <v>30</v>
      </c>
      <c r="AC6893">
        <v>6.1855999999999902</v>
      </c>
      <c r="AD6893">
        <v>-1.0982126393229901</v>
      </c>
      <c r="AE6893">
        <v>13.121</v>
      </c>
      <c r="AF6893">
        <v>4.3411292890011</v>
      </c>
      <c r="AG6893">
        <v>-1.0982126393229901</v>
      </c>
      <c r="AH6893">
        <v>13.754465598305099</v>
      </c>
      <c r="AI6893">
        <v>94.354197702459999</v>
      </c>
      <c r="AJ6893">
        <v>72.483470563341399</v>
      </c>
      <c r="AK6893">
        <v>14.465019820240499</v>
      </c>
    </row>
    <row r="6894" spans="1:37" x14ac:dyDescent="0.2">
      <c r="A6894" t="str">
        <f>"20200111155737697"</f>
        <v>20200111155737697</v>
      </c>
      <c r="B6894" t="str">
        <f>"1578729457690385"</f>
        <v>1578729457690385</v>
      </c>
      <c r="C6894" t="s">
        <v>37</v>
      </c>
      <c r="D6894">
        <v>5.1303460000000003</v>
      </c>
      <c r="E6894">
        <v>0.61636299999999999</v>
      </c>
      <c r="F6894" t="s">
        <v>72</v>
      </c>
      <c r="G6894">
        <v>-181.32749999999999</v>
      </c>
      <c r="H6894" s="1">
        <v>-5.6343179999999996E-6</v>
      </c>
      <c r="I6894">
        <v>130.4974</v>
      </c>
      <c r="J6894">
        <v>-187.58609999999999</v>
      </c>
      <c r="K6894">
        <v>1.0982129999999899</v>
      </c>
      <c r="L6894">
        <v>117.6091</v>
      </c>
      <c r="M6894">
        <v>0.1397764</v>
      </c>
      <c r="N6894">
        <v>0</v>
      </c>
      <c r="O6894">
        <v>0.99007269999999903</v>
      </c>
      <c r="P6894">
        <v>0.16031799999999999</v>
      </c>
      <c r="Q6894">
        <v>1.6181109999999999E-2</v>
      </c>
      <c r="R6894">
        <v>0.98693280000000005</v>
      </c>
      <c r="S6894">
        <v>1.360382</v>
      </c>
      <c r="T6894">
        <v>-0.23748749999999999</v>
      </c>
      <c r="U6894">
        <v>2.82987999999999</v>
      </c>
      <c r="V6894">
        <v>2.1278490000000001E-2</v>
      </c>
      <c r="W6894">
        <v>3.0621809999999999E-2</v>
      </c>
      <c r="X6894">
        <v>0.99930450000000004</v>
      </c>
      <c r="Y6894">
        <v>0.30174809999999902</v>
      </c>
      <c r="Z6894">
        <v>-7.6313249999999999E-2</v>
      </c>
      <c r="AA6894">
        <v>0.95032859999999997</v>
      </c>
      <c r="AB6894">
        <v>30</v>
      </c>
      <c r="AC6894">
        <v>6.2586000000000004</v>
      </c>
      <c r="AD6894">
        <v>-1.0982186343179901</v>
      </c>
      <c r="AE6894">
        <v>12.888299999999999</v>
      </c>
      <c r="AF6894">
        <v>4.3697951710692999</v>
      </c>
      <c r="AG6894">
        <v>-1.0982186343179901</v>
      </c>
      <c r="AH6894">
        <v>13.5569969347853</v>
      </c>
      <c r="AI6894">
        <v>94.408853569936099</v>
      </c>
      <c r="AJ6894">
        <v>72.134432916769299</v>
      </c>
      <c r="AK6894">
        <v>14.286124733308201</v>
      </c>
    </row>
    <row r="6895" spans="1:37" x14ac:dyDescent="0.2">
      <c r="A6895" t="str">
        <f>"20200111155737713"</f>
        <v>20200111155737713</v>
      </c>
      <c r="B6895" t="str">
        <f>"1578729457709904"</f>
        <v>1578729457709904</v>
      </c>
      <c r="C6895" t="s">
        <v>37</v>
      </c>
      <c r="D6895">
        <v>5.1272479999999998</v>
      </c>
      <c r="E6895">
        <v>0.61740890000000004</v>
      </c>
      <c r="F6895" t="s">
        <v>72</v>
      </c>
      <c r="G6895">
        <v>-181.12960000000001</v>
      </c>
      <c r="H6895" s="1">
        <v>-5.7149839999999897E-6</v>
      </c>
      <c r="I6895">
        <v>130.71360000000001</v>
      </c>
      <c r="J6895">
        <v>-187.5515</v>
      </c>
      <c r="K6895">
        <v>1.0982240000000001</v>
      </c>
      <c r="L6895">
        <v>117.81299999999899</v>
      </c>
      <c r="M6895">
        <v>0.14531920000000001</v>
      </c>
      <c r="N6895">
        <v>0</v>
      </c>
      <c r="O6895">
        <v>0.98927430000000005</v>
      </c>
      <c r="P6895">
        <v>0.1705662</v>
      </c>
      <c r="Q6895">
        <v>1.7090549999999999E-2</v>
      </c>
      <c r="R6895">
        <v>0.98519799999999902</v>
      </c>
      <c r="S6895">
        <v>1.3884430000000001</v>
      </c>
      <c r="T6895">
        <v>-0.23616590000000001</v>
      </c>
      <c r="U6895">
        <v>2.8180540000000001</v>
      </c>
      <c r="V6895">
        <v>2.6084530000000002E-2</v>
      </c>
      <c r="W6895">
        <v>3.1453490000000001E-2</v>
      </c>
      <c r="X6895">
        <v>0.99916479999999996</v>
      </c>
      <c r="Y6895">
        <v>0.30562309999999998</v>
      </c>
      <c r="Z6895">
        <v>-7.5878710000000002E-2</v>
      </c>
      <c r="AA6895">
        <v>0.94912430000000003</v>
      </c>
      <c r="AB6895">
        <v>30</v>
      </c>
      <c r="AC6895">
        <v>6.4218999999999902</v>
      </c>
      <c r="AD6895">
        <v>-1.0982297149839999</v>
      </c>
      <c r="AE6895">
        <v>12.900600000000001</v>
      </c>
      <c r="AF6895">
        <v>4.4529431920007303</v>
      </c>
      <c r="AG6895">
        <v>-1.0982297149839999</v>
      </c>
      <c r="AH6895">
        <v>13.6178637551979</v>
      </c>
      <c r="AI6895">
        <v>94.383282502844395</v>
      </c>
      <c r="AJ6895">
        <v>71.892628725949905</v>
      </c>
      <c r="AK6895">
        <v>14.369447617538899</v>
      </c>
    </row>
    <row r="6896" spans="1:37" x14ac:dyDescent="0.2">
      <c r="A6896" t="str">
        <f>"20200111155737727"</f>
        <v>20200111155737727</v>
      </c>
      <c r="B6896" t="str">
        <f>"1578729457720641"</f>
        <v>1578729457720641</v>
      </c>
      <c r="C6896" t="s">
        <v>37</v>
      </c>
      <c r="D6896">
        <v>5.1250939999999998</v>
      </c>
      <c r="E6896">
        <v>0.61788699999999996</v>
      </c>
      <c r="F6896" t="s">
        <v>72</v>
      </c>
      <c r="G6896">
        <v>-180.85220000000001</v>
      </c>
      <c r="H6896" s="1">
        <v>-5.830311E-6</v>
      </c>
      <c r="I6896">
        <v>130.98009999999999</v>
      </c>
      <c r="J6896">
        <v>-187.518</v>
      </c>
      <c r="K6896">
        <v>1.0982289999999999</v>
      </c>
      <c r="L6896">
        <v>118.00490000000001</v>
      </c>
      <c r="M6896">
        <v>0.15053050000000001</v>
      </c>
      <c r="N6896">
        <v>0</v>
      </c>
      <c r="O6896">
        <v>0.98849469999999995</v>
      </c>
      <c r="P6896">
        <v>0.17757600000000001</v>
      </c>
      <c r="Q6896">
        <v>1.7340560000000001E-2</v>
      </c>
      <c r="R6896">
        <v>0.98395429999999995</v>
      </c>
      <c r="S6896">
        <v>1.425781</v>
      </c>
      <c r="T6896">
        <v>-0.23373049999999901</v>
      </c>
      <c r="U6896">
        <v>2.802292</v>
      </c>
      <c r="V6896">
        <v>2.793737E-2</v>
      </c>
      <c r="W6896">
        <v>3.1674639999999997E-2</v>
      </c>
      <c r="X6896">
        <v>0.99910769999999904</v>
      </c>
      <c r="Y6896">
        <v>0.3128399</v>
      </c>
      <c r="Z6896">
        <v>-7.5084600000000001E-2</v>
      </c>
      <c r="AA6896">
        <v>0.94683340000000005</v>
      </c>
      <c r="AB6896">
        <v>30</v>
      </c>
      <c r="AC6896">
        <v>6.6657999999999902</v>
      </c>
      <c r="AD6896">
        <v>-1.0982348303110001</v>
      </c>
      <c r="AE6896">
        <v>12.9751999999999</v>
      </c>
      <c r="AF6896">
        <v>4.6103198596140897</v>
      </c>
      <c r="AG6896">
        <v>-1.0982348303110001</v>
      </c>
      <c r="AH6896">
        <v>13.7528822980639</v>
      </c>
      <c r="AI6896">
        <v>94.329825913323603</v>
      </c>
      <c r="AJ6896">
        <v>71.467523487650297</v>
      </c>
      <c r="AK6896">
        <v>14.546578307452901</v>
      </c>
    </row>
    <row r="6897" spans="1:37" x14ac:dyDescent="0.2">
      <c r="A6897" t="str">
        <f>"20200111155737742"</f>
        <v>20200111155737742</v>
      </c>
      <c r="B6897" t="str">
        <f>"1578729457730401"</f>
        <v>1578729457730401</v>
      </c>
      <c r="C6897" t="s">
        <v>37</v>
      </c>
      <c r="D6897">
        <v>5.1557399999999998</v>
      </c>
      <c r="E6897">
        <v>0.61808569999999996</v>
      </c>
      <c r="F6897" t="s">
        <v>72</v>
      </c>
      <c r="G6897">
        <v>-180.66909999999999</v>
      </c>
      <c r="H6897" s="1">
        <v>-5.9218260000000001E-6</v>
      </c>
      <c r="I6897">
        <v>131.19579999999999</v>
      </c>
      <c r="J6897">
        <v>-187.4864</v>
      </c>
      <c r="K6897">
        <v>1.0982369999999999</v>
      </c>
      <c r="L6897">
        <v>118.18170000000001</v>
      </c>
      <c r="M6897">
        <v>0.1553291</v>
      </c>
      <c r="N6897">
        <v>0</v>
      </c>
      <c r="O6897">
        <v>0.98775199999999996</v>
      </c>
      <c r="P6897">
        <v>0.18437879999999901</v>
      </c>
      <c r="Q6897">
        <v>1.7689759999999999E-2</v>
      </c>
      <c r="R6897">
        <v>0.98269609999999996</v>
      </c>
      <c r="S6897">
        <v>1.4493559999999901</v>
      </c>
      <c r="T6897">
        <v>-0.23240729999999901</v>
      </c>
      <c r="U6897">
        <v>2.791458</v>
      </c>
      <c r="V6897">
        <v>3.0003849999999999E-2</v>
      </c>
      <c r="W6897">
        <v>3.1991100000000001E-2</v>
      </c>
      <c r="X6897">
        <v>0.99903770000000003</v>
      </c>
      <c r="Y6897">
        <v>0.3160462</v>
      </c>
      <c r="Z6897">
        <v>-7.4656959999999994E-2</v>
      </c>
      <c r="AA6897">
        <v>0.94580189999999997</v>
      </c>
      <c r="AB6897">
        <v>30</v>
      </c>
      <c r="AC6897">
        <v>6.8173000000000101</v>
      </c>
      <c r="AD6897">
        <v>-1.0982429218259999</v>
      </c>
      <c r="AE6897">
        <v>13.0140999999999</v>
      </c>
      <c r="AF6897">
        <v>4.6866597395414296</v>
      </c>
      <c r="AG6897">
        <v>-1.0982429218259999</v>
      </c>
      <c r="AH6897">
        <v>13.837824749928499</v>
      </c>
      <c r="AI6897">
        <v>94.2988942964854</v>
      </c>
      <c r="AJ6897">
        <v>71.289545150232996</v>
      </c>
      <c r="AK6897">
        <v>14.651153908116299</v>
      </c>
    </row>
    <row r="6898" spans="1:37" x14ac:dyDescent="0.2">
      <c r="A6898" t="str">
        <f>"20200111155737758"</f>
        <v>20200111155737758</v>
      </c>
      <c r="B6898" t="str">
        <f>"1578729457750279"</f>
        <v>1578729457750279</v>
      </c>
      <c r="C6898" t="s">
        <v>37</v>
      </c>
      <c r="D6898">
        <v>5.266489</v>
      </c>
      <c r="E6898">
        <v>0.61807789999999996</v>
      </c>
      <c r="F6898" t="s">
        <v>72</v>
      </c>
      <c r="G6898">
        <v>-180.5</v>
      </c>
      <c r="H6898" s="1">
        <v>-6.0071389999999996E-6</v>
      </c>
      <c r="I6898">
        <v>131.3973</v>
      </c>
      <c r="J6898">
        <v>-187.44390000000001</v>
      </c>
      <c r="K6898">
        <v>1.0982529999999999</v>
      </c>
      <c r="L6898">
        <v>118.4109</v>
      </c>
      <c r="M6898">
        <v>0.16154660000000001</v>
      </c>
      <c r="N6898">
        <v>0</v>
      </c>
      <c r="O6898">
        <v>0.98675419999999903</v>
      </c>
      <c r="P6898">
        <v>0.1939621</v>
      </c>
      <c r="Q6898">
        <v>1.9150230000000001E-2</v>
      </c>
      <c r="R6898">
        <v>0.98082209999999903</v>
      </c>
      <c r="S6898">
        <v>1.4702299999999999</v>
      </c>
      <c r="T6898">
        <v>-0.23111679999999901</v>
      </c>
      <c r="U6898">
        <v>2.7811279999999998</v>
      </c>
      <c r="V6898">
        <v>3.3491920000000001E-2</v>
      </c>
      <c r="W6898">
        <v>3.3394630000000002E-2</v>
      </c>
      <c r="X6898">
        <v>0.99888089999999996</v>
      </c>
      <c r="Y6898">
        <v>0.3170887</v>
      </c>
      <c r="Z6898">
        <v>-7.4239749999999993E-2</v>
      </c>
      <c r="AA6898">
        <v>0.94548569999999998</v>
      </c>
      <c r="AB6898">
        <v>30</v>
      </c>
      <c r="AC6898">
        <v>6.94390000000001</v>
      </c>
      <c r="AD6898">
        <v>-1.0982590071389999</v>
      </c>
      <c r="AE6898">
        <v>12.9864</v>
      </c>
      <c r="AF6898">
        <v>4.7282361340483501</v>
      </c>
      <c r="AG6898">
        <v>-1.0982590071389999</v>
      </c>
      <c r="AH6898">
        <v>13.860582494086801</v>
      </c>
      <c r="AI6898">
        <v>94.288742518062094</v>
      </c>
      <c r="AJ6898">
        <v>71.164041678120796</v>
      </c>
      <c r="AK6898">
        <v>14.6859843681474</v>
      </c>
    </row>
    <row r="6899" spans="1:37" x14ac:dyDescent="0.2">
      <c r="A6899" t="str">
        <f>"20200111155737781"</f>
        <v>20200111155737781</v>
      </c>
      <c r="B6899" t="str">
        <f>"1578729457769800"</f>
        <v>1578729457769800</v>
      </c>
      <c r="C6899" t="s">
        <v>37</v>
      </c>
      <c r="D6899">
        <v>5.0743010000000002</v>
      </c>
      <c r="E6899">
        <v>0.61821019999999904</v>
      </c>
      <c r="F6899" t="s">
        <v>72</v>
      </c>
      <c r="G6899">
        <v>-180.23429999999999</v>
      </c>
      <c r="H6899" s="1">
        <v>-6.1481870000000001E-6</v>
      </c>
      <c r="I6899">
        <v>131.73390000000001</v>
      </c>
      <c r="J6899">
        <v>-187.38669999999999</v>
      </c>
      <c r="K6899">
        <v>1.098271</v>
      </c>
      <c r="L6899">
        <v>118.7073</v>
      </c>
      <c r="M6899">
        <v>0.16958110000000001</v>
      </c>
      <c r="N6899">
        <v>0</v>
      </c>
      <c r="O6899">
        <v>0.98540509999999903</v>
      </c>
      <c r="P6899">
        <v>0.20534050000000001</v>
      </c>
      <c r="Q6899">
        <v>2.0561969999999999E-2</v>
      </c>
      <c r="R6899">
        <v>0.97847459999999997</v>
      </c>
      <c r="S6899">
        <v>1.4973449999999999</v>
      </c>
      <c r="T6899">
        <v>-0.228094299999999</v>
      </c>
      <c r="U6899">
        <v>2.7670140000000001</v>
      </c>
      <c r="V6899">
        <v>3.6981930000000003E-2</v>
      </c>
      <c r="W6899">
        <v>3.4749490000000001E-2</v>
      </c>
      <c r="X6899">
        <v>0.99871160000000003</v>
      </c>
      <c r="Y6899">
        <v>0.31858389999999998</v>
      </c>
      <c r="Z6899">
        <v>-7.327322E-2</v>
      </c>
      <c r="AA6899">
        <v>0.94505830000000002</v>
      </c>
      <c r="AB6899">
        <v>30</v>
      </c>
      <c r="AC6899">
        <v>7.1524000000000001</v>
      </c>
      <c r="AD6899">
        <v>-1.098277148187</v>
      </c>
      <c r="AE6899">
        <v>13.0266</v>
      </c>
      <c r="AF6899">
        <v>4.8131881160907</v>
      </c>
      <c r="AG6899">
        <v>-1.098277148187</v>
      </c>
      <c r="AH6899">
        <v>13.9746037178965</v>
      </c>
      <c r="AI6899">
        <v>94.249666478736501</v>
      </c>
      <c r="AJ6899">
        <v>70.995065868835795</v>
      </c>
      <c r="AK6899">
        <v>14.8210168884377</v>
      </c>
    </row>
    <row r="6900" spans="1:37" x14ac:dyDescent="0.2">
      <c r="A6900" t="str">
        <f>"20200111155737795"</f>
        <v>20200111155737795</v>
      </c>
      <c r="B6900" t="str">
        <f>"1578729457790296"</f>
        <v>1578729457790296</v>
      </c>
      <c r="C6900" t="s">
        <v>37</v>
      </c>
      <c r="D6900">
        <v>5.1224639999999999</v>
      </c>
      <c r="E6900">
        <v>0.61816689999999996</v>
      </c>
      <c r="F6900" t="s">
        <v>72</v>
      </c>
      <c r="G6900">
        <v>-179.88890000000001</v>
      </c>
      <c r="H6900" s="1">
        <v>-6.2857179999999999E-6</v>
      </c>
      <c r="I6900">
        <v>132.18029999999999</v>
      </c>
      <c r="J6900">
        <v>-187.34880000000001</v>
      </c>
      <c r="K6900">
        <v>1.0982780000000001</v>
      </c>
      <c r="L6900">
        <v>118.8964</v>
      </c>
      <c r="M6900">
        <v>0.17470949999999999</v>
      </c>
      <c r="N6900">
        <v>0</v>
      </c>
      <c r="O6900">
        <v>0.98450890000000002</v>
      </c>
      <c r="P6900">
        <v>0.21213080000000001</v>
      </c>
      <c r="Q6900">
        <v>2.061288E-2</v>
      </c>
      <c r="R6900">
        <v>0.97702389999999995</v>
      </c>
      <c r="S6900">
        <v>1.530151</v>
      </c>
      <c r="T6900">
        <v>-0.22413809999999901</v>
      </c>
      <c r="U6900">
        <v>2.749603</v>
      </c>
      <c r="V6900">
        <v>3.8718509999999998E-2</v>
      </c>
      <c r="W6900">
        <v>3.4772369999999997E-2</v>
      </c>
      <c r="X6900">
        <v>0.99864489999999995</v>
      </c>
      <c r="Y6900">
        <v>0.32484200000000002</v>
      </c>
      <c r="Z6900">
        <v>-7.2035160000000001E-2</v>
      </c>
      <c r="AA6900">
        <v>0.943020999999999</v>
      </c>
      <c r="AB6900">
        <v>30</v>
      </c>
      <c r="AC6900">
        <v>7.4599000000000002</v>
      </c>
      <c r="AD6900">
        <v>-1.098284285718</v>
      </c>
      <c r="AE6900">
        <v>13.2838999999999</v>
      </c>
      <c r="AF6900">
        <v>4.9980902990176004</v>
      </c>
      <c r="AG6900">
        <v>-1.098284285718</v>
      </c>
      <c r="AH6900">
        <v>14.3086484258786</v>
      </c>
      <c r="AI6900">
        <v>94.144586027495095</v>
      </c>
      <c r="AJ6900">
        <v>70.745408304732507</v>
      </c>
      <c r="AK6900">
        <v>15.196201985522199</v>
      </c>
    </row>
    <row r="6901" spans="1:37" x14ac:dyDescent="0.2">
      <c r="A6901" t="str">
        <f>"20200111155737807"</f>
        <v>20200111155737807</v>
      </c>
      <c r="B6901" t="str">
        <f>"1578729457800056"</f>
        <v>1578729457800056</v>
      </c>
      <c r="C6901" t="s">
        <v>37</v>
      </c>
      <c r="D6901">
        <v>5.1938079999999998</v>
      </c>
      <c r="E6901">
        <v>0.61844390000000005</v>
      </c>
      <c r="F6901" t="s">
        <v>72</v>
      </c>
      <c r="G6901">
        <v>-179.7997</v>
      </c>
      <c r="H6901" s="1">
        <v>-6.2545269999999997E-6</v>
      </c>
      <c r="I6901">
        <v>132.25</v>
      </c>
      <c r="J6901">
        <v>-187.31270000000001</v>
      </c>
      <c r="K6901">
        <v>1.098284</v>
      </c>
      <c r="L6901">
        <v>119.0718</v>
      </c>
      <c r="M6901">
        <v>0.17946679999999901</v>
      </c>
      <c r="N6901">
        <v>0</v>
      </c>
      <c r="O6901">
        <v>0.98365279999999999</v>
      </c>
      <c r="P6901">
        <v>0.21856729999999899</v>
      </c>
      <c r="Q6901">
        <v>2.103145E-2</v>
      </c>
      <c r="R6901">
        <v>0.975595199999999</v>
      </c>
      <c r="S6901">
        <v>1.5484770000000001</v>
      </c>
      <c r="T6901">
        <v>-0.2252808</v>
      </c>
      <c r="U6901">
        <v>2.7391049999999999</v>
      </c>
      <c r="V6901">
        <v>4.0482560000000001E-2</v>
      </c>
      <c r="W6901">
        <v>3.5162659999999998E-2</v>
      </c>
      <c r="X6901">
        <v>0.99856129999999999</v>
      </c>
      <c r="Y6901">
        <v>0.3265865</v>
      </c>
      <c r="Z6901">
        <v>-7.2412959999999998E-2</v>
      </c>
      <c r="AA6901">
        <v>0.94238929999999999</v>
      </c>
      <c r="AB6901">
        <v>30</v>
      </c>
      <c r="AC6901">
        <v>7.5129999999999999</v>
      </c>
      <c r="AD6901">
        <v>-1.0982902545269999</v>
      </c>
      <c r="AE6901">
        <v>13.1782</v>
      </c>
      <c r="AF6901">
        <v>4.9994766866068199</v>
      </c>
      <c r="AG6901">
        <v>-1.0982902545269999</v>
      </c>
      <c r="AH6901">
        <v>14.238037499345401</v>
      </c>
      <c r="AI6901">
        <v>94.162722402664102</v>
      </c>
      <c r="AJ6901">
        <v>70.652028336914896</v>
      </c>
      <c r="AK6901">
        <v>15.1301923469558</v>
      </c>
    </row>
    <row r="6902" spans="1:37" x14ac:dyDescent="0.2">
      <c r="A6902" t="str">
        <f>"20200111155737928"</f>
        <v>20200111155737928</v>
      </c>
      <c r="B6902" t="str">
        <f>"1578729457920105"</f>
        <v>1578729457920105</v>
      </c>
      <c r="C6902" t="s">
        <v>37</v>
      </c>
      <c r="D6902">
        <v>5.2611889999999999</v>
      </c>
      <c r="E6902">
        <v>0.641067099999999</v>
      </c>
      <c r="F6902" t="s">
        <v>72</v>
      </c>
      <c r="G6902">
        <v>-179.66460000000001</v>
      </c>
      <c r="H6902" s="1">
        <v>-6.2147169999999998E-6</v>
      </c>
      <c r="I6902">
        <v>132.3766</v>
      </c>
      <c r="J6902">
        <v>-186.94919999999999</v>
      </c>
      <c r="K6902">
        <v>1.0982909999999999</v>
      </c>
      <c r="L6902">
        <v>120.6461</v>
      </c>
      <c r="M6902">
        <v>0.222375299999999</v>
      </c>
      <c r="N6902">
        <v>0</v>
      </c>
      <c r="O6902">
        <v>0.97484889999999902</v>
      </c>
      <c r="P6902">
        <v>0.27763660000000001</v>
      </c>
      <c r="Q6902">
        <v>2.0445129999999999E-2</v>
      </c>
      <c r="R6902">
        <v>0.96046860000000001</v>
      </c>
      <c r="S6902">
        <v>1.568451</v>
      </c>
      <c r="T6902">
        <v>-0.22523570000000001</v>
      </c>
      <c r="U6902">
        <v>2.7285309999999998</v>
      </c>
      <c r="V6902">
        <v>5.7631870000000002E-2</v>
      </c>
      <c r="W6902">
        <v>3.4289140000000003E-2</v>
      </c>
      <c r="X6902">
        <v>0.99774889999999905</v>
      </c>
      <c r="Y6902">
        <v>0.29175469999999998</v>
      </c>
      <c r="Z6902">
        <v>-7.1971939999999998E-2</v>
      </c>
      <c r="AA6902">
        <v>0.95378149999999995</v>
      </c>
      <c r="AB6902">
        <v>30</v>
      </c>
      <c r="AC6902">
        <v>7.2845999999999798</v>
      </c>
      <c r="AD6902">
        <v>-1.09829721471699</v>
      </c>
      <c r="AE6902">
        <v>11.7304999999999</v>
      </c>
      <c r="AF6902">
        <v>4.4650547753286203</v>
      </c>
      <c r="AG6902">
        <v>-1.09829721471699</v>
      </c>
      <c r="AH6902">
        <v>12.9747255056025</v>
      </c>
      <c r="AI6902">
        <v>94.576308241877399</v>
      </c>
      <c r="AJ6902">
        <v>71.009876187323002</v>
      </c>
      <c r="AK6902">
        <v>13.765408561472899</v>
      </c>
    </row>
    <row r="6903" spans="1:37" x14ac:dyDescent="0.2">
      <c r="A6903" t="str">
        <f>"20200111155737942"</f>
        <v>20200111155737942</v>
      </c>
      <c r="B6903" t="str">
        <f>"1578729457940601"</f>
        <v>1578729457940601</v>
      </c>
      <c r="C6903" t="s">
        <v>37</v>
      </c>
      <c r="D6903">
        <v>5.239363</v>
      </c>
      <c r="E6903">
        <v>0.64054869999999997</v>
      </c>
      <c r="F6903" t="s">
        <v>72</v>
      </c>
      <c r="G6903">
        <v>-176.791</v>
      </c>
      <c r="H6903" s="1">
        <v>-5.084991E-6</v>
      </c>
      <c r="I6903">
        <v>134.39429999999999</v>
      </c>
      <c r="J6903">
        <v>-186.90459999999999</v>
      </c>
      <c r="K6903">
        <v>1.0982620000000001</v>
      </c>
      <c r="L6903">
        <v>120.8201</v>
      </c>
      <c r="M6903">
        <v>0.22719729999999999</v>
      </c>
      <c r="N6903">
        <v>0</v>
      </c>
      <c r="O6903">
        <v>0.9737363</v>
      </c>
      <c r="P6903">
        <v>0.28382649999999998</v>
      </c>
      <c r="Q6903">
        <v>1.8310420000000001E-2</v>
      </c>
      <c r="R6903">
        <v>0.95870080000000002</v>
      </c>
      <c r="S6903">
        <v>1.904358</v>
      </c>
      <c r="T6903">
        <v>-0.20589740000000001</v>
      </c>
      <c r="U6903">
        <v>2.5773769999999998</v>
      </c>
      <c r="V6903">
        <v>5.9087729999999998E-2</v>
      </c>
      <c r="W6903">
        <v>3.2129310000000001E-2</v>
      </c>
      <c r="X6903">
        <v>0.99773559999999994</v>
      </c>
      <c r="Y6903">
        <v>0.39467529999999901</v>
      </c>
      <c r="Z6903">
        <v>-6.5445349999999999E-2</v>
      </c>
      <c r="AA6903">
        <v>0.91648700000000005</v>
      </c>
      <c r="AB6903">
        <v>30</v>
      </c>
      <c r="AC6903">
        <v>10.1135999999999</v>
      </c>
      <c r="AD6903">
        <v>-1.0982670849909999</v>
      </c>
      <c r="AE6903">
        <v>13.5741999999999</v>
      </c>
      <c r="AF6903">
        <v>6.7363423788184003</v>
      </c>
      <c r="AG6903">
        <v>-1.0982670849909999</v>
      </c>
      <c r="AH6903">
        <v>15.4521282648062</v>
      </c>
      <c r="AI6903">
        <v>93.727743255634707</v>
      </c>
      <c r="AJ6903">
        <v>66.445245861253795</v>
      </c>
      <c r="AK6903">
        <v>16.8923878462064</v>
      </c>
    </row>
    <row r="6904" spans="1:37" x14ac:dyDescent="0.2">
      <c r="A6904" t="str">
        <f>"20200111155737958"</f>
        <v>20200111155737958</v>
      </c>
      <c r="B6904" t="str">
        <f>"1578729457950360"</f>
        <v>1578729457950360</v>
      </c>
      <c r="C6904" t="s">
        <v>37</v>
      </c>
      <c r="D6904">
        <v>5.1924109999999999</v>
      </c>
      <c r="E6904">
        <v>0.64002890000000001</v>
      </c>
      <c r="F6904" t="s">
        <v>72</v>
      </c>
      <c r="G6904">
        <v>-176.57810000000001</v>
      </c>
      <c r="H6904" s="1">
        <v>-5.0328159999999999E-6</v>
      </c>
      <c r="I6904">
        <v>134.6396</v>
      </c>
      <c r="J6904">
        <v>-186.8501</v>
      </c>
      <c r="K6904">
        <v>1.0982019999999999</v>
      </c>
      <c r="L6904">
        <v>121.0278</v>
      </c>
      <c r="M6904">
        <v>0.233002599999999</v>
      </c>
      <c r="N6904">
        <v>0</v>
      </c>
      <c r="O6904">
        <v>0.97236350000000005</v>
      </c>
      <c r="P6904">
        <v>0.29296469999999902</v>
      </c>
      <c r="Q6904">
        <v>1.340946E-2</v>
      </c>
      <c r="R6904">
        <v>0.95602919999999902</v>
      </c>
      <c r="S6904">
        <v>1.9170990000000001</v>
      </c>
      <c r="T6904">
        <v>-0.20389099999999999</v>
      </c>
      <c r="U6904">
        <v>2.5655669999999899</v>
      </c>
      <c r="V6904">
        <v>6.2564389999999998E-2</v>
      </c>
      <c r="W6904">
        <v>2.7168089999999999E-2</v>
      </c>
      <c r="X6904">
        <v>0.99767109999999903</v>
      </c>
      <c r="Y6904">
        <v>0.39416040000000002</v>
      </c>
      <c r="Z6904">
        <v>-6.4832529999999999E-2</v>
      </c>
      <c r="AA6904">
        <v>0.91675200000000001</v>
      </c>
      <c r="AB6904">
        <v>30</v>
      </c>
      <c r="AC6904">
        <v>10.271999999999901</v>
      </c>
      <c r="AD6904">
        <v>-1.0982070328160001</v>
      </c>
      <c r="AE6904">
        <v>13.611800000000001</v>
      </c>
      <c r="AF6904">
        <v>6.7891220972227</v>
      </c>
      <c r="AG6904">
        <v>-1.0982070328160001</v>
      </c>
      <c r="AH6904">
        <v>15.566171998016699</v>
      </c>
      <c r="AI6904">
        <v>93.700040795297795</v>
      </c>
      <c r="AJ6904">
        <v>66.435774498597397</v>
      </c>
      <c r="AK6904">
        <v>17.0177539120109</v>
      </c>
    </row>
    <row r="6905" spans="1:37" x14ac:dyDescent="0.2">
      <c r="A6905" t="str">
        <f>"20200111155737972"</f>
        <v>20200111155737972</v>
      </c>
      <c r="B6905" t="str">
        <f>"1578729457960120"</f>
        <v>1578729457960120</v>
      </c>
      <c r="C6905" t="s">
        <v>37</v>
      </c>
      <c r="D6905">
        <v>5.2244080000000004</v>
      </c>
      <c r="E6905">
        <v>0.63994819999999997</v>
      </c>
      <c r="F6905" t="s">
        <v>72</v>
      </c>
      <c r="G6905">
        <v>-176.99629999999999</v>
      </c>
      <c r="H6905" s="1">
        <v>-5.0699669999999901E-6</v>
      </c>
      <c r="I6905">
        <v>133.98580000000001</v>
      </c>
      <c r="J6905">
        <v>-186.80179999999999</v>
      </c>
      <c r="K6905">
        <v>1.098147</v>
      </c>
      <c r="L6905">
        <v>121.20610000000001</v>
      </c>
      <c r="M6905">
        <v>0.23805570000000001</v>
      </c>
      <c r="N6905">
        <v>0</v>
      </c>
      <c r="O6905">
        <v>0.97113879999999997</v>
      </c>
      <c r="P6905">
        <v>0.29921019999999998</v>
      </c>
      <c r="Q6905">
        <v>1.063805E-2</v>
      </c>
      <c r="R6905">
        <v>0.95412790000000003</v>
      </c>
      <c r="S6905">
        <v>1.937149</v>
      </c>
      <c r="T6905">
        <v>-0.21589620000000001</v>
      </c>
      <c r="U6905">
        <v>2.5473939999999899</v>
      </c>
      <c r="V6905">
        <v>6.3850459999999998E-2</v>
      </c>
      <c r="W6905">
        <v>2.4371899999999998E-2</v>
      </c>
      <c r="X6905">
        <v>0.99766180000000004</v>
      </c>
      <c r="Y6905">
        <v>0.39693990000000001</v>
      </c>
      <c r="Z6905">
        <v>-6.8699319999999994E-2</v>
      </c>
      <c r="AA6905">
        <v>0.91527000000000003</v>
      </c>
      <c r="AB6905">
        <v>30</v>
      </c>
      <c r="AC6905">
        <v>9.8054999999999897</v>
      </c>
      <c r="AD6905">
        <v>-1.098152069967</v>
      </c>
      <c r="AE6905">
        <v>12.7797</v>
      </c>
      <c r="AF6905">
        <v>6.4509482790553498</v>
      </c>
      <c r="AG6905">
        <v>-1.098152069967</v>
      </c>
      <c r="AH6905">
        <v>14.6785102684967</v>
      </c>
      <c r="AI6905">
        <v>93.918129891231104</v>
      </c>
      <c r="AJ6905">
        <v>66.275351897122405</v>
      </c>
      <c r="AK6905">
        <v>16.071071382150699</v>
      </c>
    </row>
    <row r="6906" spans="1:37" x14ac:dyDescent="0.2">
      <c r="A6906" t="str">
        <f>"20200111155737986"</f>
        <v>20200111155737986</v>
      </c>
      <c r="B6906" t="str">
        <f>"1578729457980616"</f>
        <v>1578729457980616</v>
      </c>
      <c r="C6906" t="s">
        <v>37</v>
      </c>
      <c r="D6906">
        <v>5.2460089999999999</v>
      </c>
      <c r="E6906">
        <v>0.63951619999999998</v>
      </c>
      <c r="F6906" t="s">
        <v>72</v>
      </c>
      <c r="G6906">
        <v>-177.024</v>
      </c>
      <c r="H6906" s="1">
        <v>-5.0534319999999998E-6</v>
      </c>
      <c r="I6906">
        <v>133.89240000000001</v>
      </c>
      <c r="J6906">
        <v>-186.75129999999999</v>
      </c>
      <c r="K6906">
        <v>1.098077</v>
      </c>
      <c r="L6906">
        <v>121.3891</v>
      </c>
      <c r="M6906">
        <v>0.24330309999999999</v>
      </c>
      <c r="N6906">
        <v>0</v>
      </c>
      <c r="O6906">
        <v>0.96983730000000001</v>
      </c>
      <c r="P6906">
        <v>0.30582619999999999</v>
      </c>
      <c r="Q6906">
        <v>8.5534280000000001E-3</v>
      </c>
      <c r="R6906">
        <v>0.95204899999999903</v>
      </c>
      <c r="S6906">
        <v>1.953171</v>
      </c>
      <c r="T6906">
        <v>-0.21936149999999999</v>
      </c>
      <c r="U6906">
        <v>2.5341640000000001</v>
      </c>
      <c r="V6906">
        <v>6.5346000000000001E-2</v>
      </c>
      <c r="W6906">
        <v>2.2258179999999999E-2</v>
      </c>
      <c r="X6906">
        <v>0.99761440000000001</v>
      </c>
      <c r="Y6906">
        <v>0.39787030000000001</v>
      </c>
      <c r="Z6906">
        <v>-6.9808190000000006E-2</v>
      </c>
      <c r="AA6906">
        <v>0.91478189999999904</v>
      </c>
      <c r="AB6906">
        <v>30</v>
      </c>
      <c r="AC6906">
        <v>9.7272999999999801</v>
      </c>
      <c r="AD6906">
        <v>-1.0980820534319999</v>
      </c>
      <c r="AE6906">
        <v>12.503299999999999</v>
      </c>
      <c r="AF6906">
        <v>6.3619394230186703</v>
      </c>
      <c r="AG6906">
        <v>-1.0980820534319999</v>
      </c>
      <c r="AH6906">
        <v>14.4251275426486</v>
      </c>
      <c r="AI6906">
        <v>93.984210270546299</v>
      </c>
      <c r="AJ6906">
        <v>66.200997178665901</v>
      </c>
      <c r="AK6906">
        <v>15.8039350175805</v>
      </c>
    </row>
    <row r="6907" spans="1:37" x14ac:dyDescent="0.2">
      <c r="A6907" t="str">
        <f>"20200111155737999"</f>
        <v>20200111155737999</v>
      </c>
      <c r="B6907" t="str">
        <f>"1578729457990376"</f>
        <v>1578729457990376</v>
      </c>
      <c r="C6907" t="s">
        <v>37</v>
      </c>
      <c r="D6907">
        <v>5.1788610000000004</v>
      </c>
      <c r="E6907">
        <v>0.63928160000000001</v>
      </c>
      <c r="F6907" t="s">
        <v>72</v>
      </c>
      <c r="G6907">
        <v>-176.8278</v>
      </c>
      <c r="H6907" s="1">
        <v>-5.0001209999999997E-6</v>
      </c>
      <c r="I6907">
        <v>134.1046</v>
      </c>
      <c r="J6907">
        <v>-186.70590000000001</v>
      </c>
      <c r="K6907">
        <v>1.098007</v>
      </c>
      <c r="L6907">
        <v>121.5513</v>
      </c>
      <c r="M6907">
        <v>0.24800179999999999</v>
      </c>
      <c r="N6907">
        <v>0</v>
      </c>
      <c r="O6907">
        <v>0.96864629999999996</v>
      </c>
      <c r="P6907">
        <v>0.3115735</v>
      </c>
      <c r="Q6907">
        <v>6.5951109999999999E-3</v>
      </c>
      <c r="R6907">
        <v>0.95019909999999996</v>
      </c>
      <c r="S6907">
        <v>1.967484</v>
      </c>
      <c r="T6907">
        <v>-0.2177103</v>
      </c>
      <c r="U6907">
        <v>2.5210270000000001</v>
      </c>
      <c r="V6907">
        <v>6.6505220000000004E-2</v>
      </c>
      <c r="W6907">
        <v>2.0275459999999999E-2</v>
      </c>
      <c r="X6907">
        <v>0.99758009999999997</v>
      </c>
      <c r="Y6907">
        <v>0.39898289999999997</v>
      </c>
      <c r="Z6907">
        <v>-6.9316039999999995E-2</v>
      </c>
      <c r="AA6907">
        <v>0.91433469999999994</v>
      </c>
      <c r="AB6907">
        <v>29</v>
      </c>
      <c r="AC6907">
        <v>9.8781000000000105</v>
      </c>
      <c r="AD6907">
        <v>-1.0980120001209901</v>
      </c>
      <c r="AE6907">
        <v>12.5533</v>
      </c>
      <c r="AF6907">
        <v>6.42549226324972</v>
      </c>
      <c r="AG6907">
        <v>-1.0980120001209901</v>
      </c>
      <c r="AH6907">
        <v>14.542385347399099</v>
      </c>
      <c r="AI6907">
        <v>93.950751156215006</v>
      </c>
      <c r="AJ6907">
        <v>66.161961578667501</v>
      </c>
      <c r="AK6907">
        <v>15.936547705502001</v>
      </c>
    </row>
    <row r="6908" spans="1:37" x14ac:dyDescent="0.2">
      <c r="A6908" t="str">
        <f>"20200111155738015"</f>
        <v>20200111155738015</v>
      </c>
      <c r="B6908" t="str">
        <f>"1578729458009897"</f>
        <v>1578729458009897</v>
      </c>
      <c r="C6908" t="s">
        <v>37</v>
      </c>
      <c r="D6908">
        <v>5.0963580000000004</v>
      </c>
      <c r="E6908">
        <v>0.639096</v>
      </c>
      <c r="F6908" t="s">
        <v>72</v>
      </c>
      <c r="G6908">
        <v>-176.82230000000001</v>
      </c>
      <c r="H6908" s="1">
        <v>-4.983193E-6</v>
      </c>
      <c r="I6908">
        <v>134.06979999999999</v>
      </c>
      <c r="J6908">
        <v>-186.64529999999999</v>
      </c>
      <c r="K6908">
        <v>1.097893</v>
      </c>
      <c r="L6908">
        <v>121.76130000000001</v>
      </c>
      <c r="M6908">
        <v>0.25422050000000002</v>
      </c>
      <c r="N6908">
        <v>0</v>
      </c>
      <c r="O6908">
        <v>0.96703269999999997</v>
      </c>
      <c r="P6908">
        <v>0.31979950000000001</v>
      </c>
      <c r="Q6908">
        <v>3.7031970000000001E-3</v>
      </c>
      <c r="R6908">
        <v>0.94747800000000004</v>
      </c>
      <c r="S6908">
        <v>1.981033</v>
      </c>
      <c r="T6908">
        <v>-0.220080899999999</v>
      </c>
      <c r="U6908">
        <v>2.5091549999999998</v>
      </c>
      <c r="V6908">
        <v>6.8696399999999894E-2</v>
      </c>
      <c r="W6908">
        <v>1.733962E-2</v>
      </c>
      <c r="X6908">
        <v>0.99748689999999995</v>
      </c>
      <c r="Y6908">
        <v>0.39820440000000001</v>
      </c>
      <c r="Z6908">
        <v>-7.0059440000000001E-2</v>
      </c>
      <c r="AA6908">
        <v>0.91461740000000002</v>
      </c>
      <c r="AB6908">
        <v>29</v>
      </c>
      <c r="AC6908">
        <v>9.8229999999999809</v>
      </c>
      <c r="AD6908">
        <v>-1.097897983193</v>
      </c>
      <c r="AE6908">
        <v>12.308499999999899</v>
      </c>
      <c r="AF6908">
        <v>6.3399730347669596</v>
      </c>
      <c r="AG6908">
        <v>-1.097897983193</v>
      </c>
      <c r="AH6908">
        <v>14.331850772133301</v>
      </c>
      <c r="AI6908">
        <v>94.007411289458702</v>
      </c>
      <c r="AJ6908">
        <v>66.136865096298095</v>
      </c>
      <c r="AK6908">
        <v>15.709951770065</v>
      </c>
    </row>
    <row r="6909" spans="1:37" x14ac:dyDescent="0.2">
      <c r="A6909" t="str">
        <f>"20200111155738029"</f>
        <v>20200111155738029</v>
      </c>
      <c r="B6909" t="str">
        <f>"1578729458020632"</f>
        <v>1578729458020632</v>
      </c>
      <c r="C6909" t="s">
        <v>37</v>
      </c>
      <c r="D6909">
        <v>5.1282129999999997</v>
      </c>
      <c r="E6909">
        <v>0.63890309999999995</v>
      </c>
      <c r="F6909" t="s">
        <v>72</v>
      </c>
      <c r="G6909">
        <v>-176.7123</v>
      </c>
      <c r="H6909" s="1">
        <v>-4.9294489999999996E-6</v>
      </c>
      <c r="I6909">
        <v>134.126</v>
      </c>
      <c r="J6909">
        <v>-186.5949</v>
      </c>
      <c r="K6909">
        <v>1.0977939999999999</v>
      </c>
      <c r="L6909">
        <v>121.93170000000001</v>
      </c>
      <c r="M6909">
        <v>0.25936290000000001</v>
      </c>
      <c r="N6909">
        <v>0</v>
      </c>
      <c r="O6909">
        <v>0.96566600000000002</v>
      </c>
      <c r="P6909">
        <v>0.32532430000000001</v>
      </c>
      <c r="Q6909">
        <v>2.0623009999999999E-3</v>
      </c>
      <c r="R6909">
        <v>0.94560029999999995</v>
      </c>
      <c r="S6909">
        <v>2.0015869999999998</v>
      </c>
      <c r="T6909">
        <v>-0.22123480000000001</v>
      </c>
      <c r="U6909">
        <v>2.4915769999999999</v>
      </c>
      <c r="V6909">
        <v>6.9185189999999994E-2</v>
      </c>
      <c r="W6909">
        <v>1.5686169999999999E-2</v>
      </c>
      <c r="X6909">
        <v>0.99748049999999999</v>
      </c>
      <c r="Y6909">
        <v>0.40103949999999999</v>
      </c>
      <c r="Z6909">
        <v>-7.0454559999999999E-2</v>
      </c>
      <c r="AA6909">
        <v>0.91334740000000003</v>
      </c>
      <c r="AB6909">
        <v>29</v>
      </c>
      <c r="AC6909">
        <v>9.8825999999999894</v>
      </c>
      <c r="AD6909">
        <v>-1.097798929449</v>
      </c>
      <c r="AE6909">
        <v>12.194299999999901</v>
      </c>
      <c r="AF6909">
        <v>6.3501805307867896</v>
      </c>
      <c r="AG6909">
        <v>-1.097798929449</v>
      </c>
      <c r="AH6909">
        <v>14.270570727069799</v>
      </c>
      <c r="AI6909">
        <v>94.020315230032693</v>
      </c>
      <c r="AJ6909">
        <v>66.011684822147501</v>
      </c>
      <c r="AK6909">
        <v>15.658197346418399</v>
      </c>
    </row>
    <row r="6910" spans="1:37" x14ac:dyDescent="0.2">
      <c r="A6910" t="str">
        <f>"20200111155738042"</f>
        <v>20200111155738042</v>
      </c>
      <c r="B6910" t="str">
        <f>"1578729458030392"</f>
        <v>1578729458030392</v>
      </c>
      <c r="C6910" t="s">
        <v>37</v>
      </c>
      <c r="D6910">
        <v>5.113054</v>
      </c>
      <c r="E6910">
        <v>0.63848640000000001</v>
      </c>
      <c r="F6910" t="s">
        <v>72</v>
      </c>
      <c r="G6910">
        <v>-176.5966</v>
      </c>
      <c r="H6910" s="1">
        <v>-4.8930639999999996E-6</v>
      </c>
      <c r="I6910">
        <v>134.238</v>
      </c>
      <c r="J6910">
        <v>-186.54429999999999</v>
      </c>
      <c r="K6910">
        <v>1.0976939999999999</v>
      </c>
      <c r="L6910">
        <v>122.1003</v>
      </c>
      <c r="M6910">
        <v>0.26451439999999998</v>
      </c>
      <c r="N6910">
        <v>0</v>
      </c>
      <c r="O6910">
        <v>0.96426749999999894</v>
      </c>
      <c r="P6910">
        <v>0.33088010000000001</v>
      </c>
      <c r="Q6910">
        <v>2.5883409999999998E-4</v>
      </c>
      <c r="R6910">
        <v>0.94367279999999998</v>
      </c>
      <c r="S6910">
        <v>2.0148160000000002</v>
      </c>
      <c r="T6910">
        <v>-0.22122349999999999</v>
      </c>
      <c r="U6910">
        <v>2.4799039999999999</v>
      </c>
      <c r="V6910">
        <v>6.9698899999999994E-2</v>
      </c>
      <c r="W6910">
        <v>1.386867E-2</v>
      </c>
      <c r="X6910">
        <v>0.99747169999999896</v>
      </c>
      <c r="Y6910">
        <v>0.40118939999999997</v>
      </c>
      <c r="Z6910">
        <v>-7.0447620000000002E-2</v>
      </c>
      <c r="AA6910">
        <v>0.91328209999999999</v>
      </c>
      <c r="AB6910">
        <v>29</v>
      </c>
      <c r="AC6910">
        <v>9.9476999999999904</v>
      </c>
      <c r="AD6910">
        <v>-1.0976988930639999</v>
      </c>
      <c r="AE6910">
        <v>12.137699999999899</v>
      </c>
      <c r="AF6910">
        <v>6.3512764766914298</v>
      </c>
      <c r="AG6910">
        <v>-1.0976988930639999</v>
      </c>
      <c r="AH6910">
        <v>14.267076402805399</v>
      </c>
      <c r="AI6910">
        <v>94.020654808822897</v>
      </c>
      <c r="AJ6910">
        <v>66.002799267695295</v>
      </c>
      <c r="AK6910">
        <v>15.6554503233441</v>
      </c>
    </row>
    <row r="6911" spans="1:37" x14ac:dyDescent="0.2">
      <c r="A6911" t="str">
        <f>"20200111155738058"</f>
        <v>20200111155738058</v>
      </c>
      <c r="B6911" t="str">
        <f>"1578729458049912"</f>
        <v>1578729458049912</v>
      </c>
      <c r="C6911" t="s">
        <v>37</v>
      </c>
      <c r="D6911">
        <v>5.1267309999999897</v>
      </c>
      <c r="E6911">
        <v>0.63768769999999997</v>
      </c>
      <c r="F6911" t="s">
        <v>72</v>
      </c>
      <c r="G6911">
        <v>-176.52690000000001</v>
      </c>
      <c r="H6911" s="1">
        <v>-4.8702990000000004E-6</v>
      </c>
      <c r="I6911">
        <v>134.30330000000001</v>
      </c>
      <c r="J6911">
        <v>-186.48009999999999</v>
      </c>
      <c r="K6911">
        <v>1.097553</v>
      </c>
      <c r="L6911">
        <v>122.30889999999999</v>
      </c>
      <c r="M6911">
        <v>0.27103080000000002</v>
      </c>
      <c r="N6911">
        <v>0</v>
      </c>
      <c r="O6911">
        <v>0.96245590000000003</v>
      </c>
      <c r="P6911">
        <v>0.33748590000000001</v>
      </c>
      <c r="Q6911">
        <v>-2.9014940000000001E-3</v>
      </c>
      <c r="R6911">
        <v>0.94132610000000005</v>
      </c>
      <c r="S6911">
        <v>2.026443</v>
      </c>
      <c r="T6911">
        <v>-0.222056</v>
      </c>
      <c r="U6911">
        <v>2.4685820000000001</v>
      </c>
      <c r="V6911">
        <v>6.9893289999999997E-2</v>
      </c>
      <c r="W6911">
        <v>1.069842E-2</v>
      </c>
      <c r="X6911">
        <v>0.99749709999999903</v>
      </c>
      <c r="Y6911">
        <v>0.39960570000000001</v>
      </c>
      <c r="Z6911">
        <v>-7.0695179999999996E-2</v>
      </c>
      <c r="AA6911">
        <v>0.91395709999999997</v>
      </c>
      <c r="AB6911">
        <v>29</v>
      </c>
      <c r="AC6911">
        <v>9.9531999999999794</v>
      </c>
      <c r="AD6911">
        <v>-1.0975578702990001</v>
      </c>
      <c r="AE6911">
        <v>11.994400000000001</v>
      </c>
      <c r="AF6911">
        <v>6.2981327597788397</v>
      </c>
      <c r="AG6911">
        <v>-1.0975578702990001</v>
      </c>
      <c r="AH6911">
        <v>14.1729983201534</v>
      </c>
      <c r="AI6911">
        <v>94.047926949840303</v>
      </c>
      <c r="AJ6911">
        <v>66.040811288757595</v>
      </c>
      <c r="AK6911">
        <v>15.548150723527399</v>
      </c>
    </row>
    <row r="6912" spans="1:37" x14ac:dyDescent="0.2">
      <c r="A6912" t="str">
        <f>"20200111155738072"</f>
        <v>20200111155738072</v>
      </c>
      <c r="B6912" t="str">
        <f>"1578729458070409"</f>
        <v>1578729458070409</v>
      </c>
      <c r="C6912" t="s">
        <v>37</v>
      </c>
      <c r="D6912">
        <v>5.1005789999999998</v>
      </c>
      <c r="E6912">
        <v>0.63747959999999904</v>
      </c>
      <c r="F6912" t="s">
        <v>72</v>
      </c>
      <c r="G6912">
        <v>-176.59710000000001</v>
      </c>
      <c r="H6912" s="1">
        <v>-4.8864359999999996E-6</v>
      </c>
      <c r="I6912">
        <v>134.21960000000001</v>
      </c>
      <c r="J6912">
        <v>-186.4248</v>
      </c>
      <c r="K6912">
        <v>1.0974299999999999</v>
      </c>
      <c r="L6912">
        <v>122.4832</v>
      </c>
      <c r="M6912">
        <v>0.27664</v>
      </c>
      <c r="N6912">
        <v>0</v>
      </c>
      <c r="O6912">
        <v>0.96085849999999995</v>
      </c>
      <c r="P6912">
        <v>0.34305780000000002</v>
      </c>
      <c r="Q6912">
        <v>-3.7790709999999902E-3</v>
      </c>
      <c r="R6912">
        <v>0.93930669999999905</v>
      </c>
      <c r="S6912">
        <v>2.0376889999999999</v>
      </c>
      <c r="T6912">
        <v>-0.22629560000000001</v>
      </c>
      <c r="U6912">
        <v>2.455765</v>
      </c>
      <c r="V6912">
        <v>6.9974330000000001E-2</v>
      </c>
      <c r="W6912">
        <v>9.8153609999999999E-3</v>
      </c>
      <c r="X6912">
        <v>0.99750049999999901</v>
      </c>
      <c r="Y6912">
        <v>0.39901559999999903</v>
      </c>
      <c r="Z6912">
        <v>-7.2063569999999993E-2</v>
      </c>
      <c r="AA6912">
        <v>0.91410800000000003</v>
      </c>
      <c r="AB6912">
        <v>29</v>
      </c>
      <c r="AC6912">
        <v>9.8276999999999894</v>
      </c>
      <c r="AD6912">
        <v>-1.097434886436</v>
      </c>
      <c r="AE6912">
        <v>11.7364</v>
      </c>
      <c r="AF6912">
        <v>6.1652694929651304</v>
      </c>
      <c r="AG6912">
        <v>-1.097434886436</v>
      </c>
      <c r="AH6912">
        <v>13.9257294720628</v>
      </c>
      <c r="AI6912">
        <v>94.121609371537403</v>
      </c>
      <c r="AJ6912">
        <v>66.119827059272794</v>
      </c>
      <c r="AK6912">
        <v>15.2689506050656</v>
      </c>
    </row>
    <row r="6913" spans="1:37" x14ac:dyDescent="0.2">
      <c r="A6913" t="str">
        <f>"20200111155738086"</f>
        <v>20200111155738086</v>
      </c>
      <c r="B6913" t="str">
        <f>"1578729458080168"</f>
        <v>1578729458080168</v>
      </c>
      <c r="C6913" t="s">
        <v>37</v>
      </c>
      <c r="D6913">
        <v>5.1556369999999996</v>
      </c>
      <c r="E6913">
        <v>0.62707199999999996</v>
      </c>
      <c r="F6913" t="s">
        <v>72</v>
      </c>
      <c r="G6913">
        <v>-176.4025</v>
      </c>
      <c r="H6913" s="1">
        <v>-4.8329360000000001E-6</v>
      </c>
      <c r="I6913">
        <v>134.42859999999999</v>
      </c>
      <c r="J6913">
        <v>-186.36850000000001</v>
      </c>
      <c r="K6913">
        <v>1.0973040000000001</v>
      </c>
      <c r="L6913">
        <v>122.65730000000001</v>
      </c>
      <c r="M6913">
        <v>0.28233999999999998</v>
      </c>
      <c r="N6913">
        <v>0</v>
      </c>
      <c r="O6913">
        <v>0.95919869999999996</v>
      </c>
      <c r="P6913">
        <v>0.3485354</v>
      </c>
      <c r="Q6913">
        <v>-4.4021750000000004E-3</v>
      </c>
      <c r="R6913">
        <v>0.93728529999999999</v>
      </c>
      <c r="S6913">
        <v>2.0505680000000002</v>
      </c>
      <c r="T6913">
        <v>-0.22453409999999999</v>
      </c>
      <c r="U6913">
        <v>2.444016</v>
      </c>
      <c r="V6913">
        <v>6.9867659999999998E-2</v>
      </c>
      <c r="W6913">
        <v>9.1912090000000005E-3</v>
      </c>
      <c r="X6913">
        <v>0.99751389999999995</v>
      </c>
      <c r="Y6913">
        <v>0.39859020000000001</v>
      </c>
      <c r="Z6913">
        <v>-7.1484800000000001E-2</v>
      </c>
      <c r="AA6913">
        <v>0.91433899999999901</v>
      </c>
      <c r="AB6913">
        <v>29</v>
      </c>
      <c r="AC6913">
        <v>9.9659999999999993</v>
      </c>
      <c r="AD6913">
        <v>-1.0973088329359999</v>
      </c>
      <c r="AE6913">
        <v>11.771299999999901</v>
      </c>
      <c r="AF6913">
        <v>6.2051493941957396</v>
      </c>
      <c r="AG6913">
        <v>-1.0973088329359999</v>
      </c>
      <c r="AH6913">
        <v>14.0353399915571</v>
      </c>
      <c r="AI6913">
        <v>94.089991804758299</v>
      </c>
      <c r="AJ6913">
        <v>66.149349499981199</v>
      </c>
      <c r="AK6913">
        <v>15.385016553703499</v>
      </c>
    </row>
    <row r="6914" spans="1:37" x14ac:dyDescent="0.2">
      <c r="A6914" t="str">
        <f>"20200111155738098"</f>
        <v>20200111155738098</v>
      </c>
      <c r="B6914" t="str">
        <f>"1578729458089928"</f>
        <v>1578729458089928</v>
      </c>
      <c r="C6914" t="s">
        <v>37</v>
      </c>
      <c r="D6914">
        <v>5.1060140000000001</v>
      </c>
      <c r="E6914">
        <v>0.62762499999999999</v>
      </c>
      <c r="F6914" t="s">
        <v>72</v>
      </c>
      <c r="G6914">
        <v>-175.24029999999999</v>
      </c>
      <c r="H6914" s="1">
        <v>-4.7987170000000002E-6</v>
      </c>
      <c r="I6914">
        <v>136.42740000000001</v>
      </c>
      <c r="J6914">
        <v>-186.3143</v>
      </c>
      <c r="K6914">
        <v>1.0971839999999999</v>
      </c>
      <c r="L6914">
        <v>122.8222</v>
      </c>
      <c r="M6914">
        <v>0.287823299999999</v>
      </c>
      <c r="N6914">
        <v>0</v>
      </c>
      <c r="O6914">
        <v>0.95756739999999996</v>
      </c>
      <c r="P6914">
        <v>0.35408240000000002</v>
      </c>
      <c r="Q6914">
        <v>-4.6098290000000002E-3</v>
      </c>
      <c r="R6914">
        <v>0.93520289999999995</v>
      </c>
      <c r="S6914">
        <v>1.9883729999999999</v>
      </c>
      <c r="T6914">
        <v>-0.19606579999999901</v>
      </c>
      <c r="U6914">
        <v>2.4604189999999999</v>
      </c>
      <c r="V6914">
        <v>7.0070099999999996E-2</v>
      </c>
      <c r="W6914">
        <v>8.9756880000000008E-3</v>
      </c>
      <c r="X6914">
        <v>0.99750169999999905</v>
      </c>
      <c r="Y6914">
        <v>0.37678829999999902</v>
      </c>
      <c r="Z6914">
        <v>-6.2734129999999999E-2</v>
      </c>
      <c r="AA6914">
        <v>0.92417260000000001</v>
      </c>
      <c r="AB6914">
        <v>29</v>
      </c>
      <c r="AC6914">
        <v>11.074</v>
      </c>
      <c r="AD6914">
        <v>-1.0971887987169999</v>
      </c>
      <c r="AE6914">
        <v>13.6052</v>
      </c>
      <c r="AF6914">
        <v>6.6628873150224299</v>
      </c>
      <c r="AG6914">
        <v>-1.0971887987169999</v>
      </c>
      <c r="AH6914">
        <v>16.1538628032887</v>
      </c>
      <c r="AI6914">
        <v>93.592869281121693</v>
      </c>
      <c r="AJ6914">
        <v>67.585613897537399</v>
      </c>
      <c r="AK6914">
        <v>17.5084315145643</v>
      </c>
    </row>
    <row r="6915" spans="1:37" x14ac:dyDescent="0.2">
      <c r="A6915" t="str">
        <f>"20200111155738115"</f>
        <v>20200111155738115</v>
      </c>
      <c r="B6915" t="str">
        <f>"1578729458110424"</f>
        <v>1578729458110424</v>
      </c>
      <c r="C6915" t="s">
        <v>37</v>
      </c>
      <c r="D6915">
        <v>5.1799629999999999</v>
      </c>
      <c r="E6915">
        <v>0.62633309999999998</v>
      </c>
      <c r="F6915" t="s">
        <v>72</v>
      </c>
      <c r="G6915">
        <v>-174.55760000000001</v>
      </c>
      <c r="H6915" s="1">
        <v>-4.7042489999999997E-6</v>
      </c>
      <c r="I6915">
        <v>137.154</v>
      </c>
      <c r="J6915">
        <v>-186.2473</v>
      </c>
      <c r="K6915">
        <v>1.097038</v>
      </c>
      <c r="L6915">
        <v>123.0201</v>
      </c>
      <c r="M6915">
        <v>0.294599</v>
      </c>
      <c r="N6915">
        <v>0</v>
      </c>
      <c r="O6915">
        <v>0.95550419999999903</v>
      </c>
      <c r="P6915">
        <v>0.36098959999999902</v>
      </c>
      <c r="Q6915">
        <v>-2.3503539999999998E-3</v>
      </c>
      <c r="R6915">
        <v>0.93256689999999998</v>
      </c>
      <c r="S6915">
        <v>2.0072939999999999</v>
      </c>
      <c r="T6915">
        <v>-0.18732889999999999</v>
      </c>
      <c r="U6915">
        <v>2.4469449999999999</v>
      </c>
      <c r="V6915">
        <v>7.0425769999999999E-2</v>
      </c>
      <c r="W6915">
        <v>1.12272E-2</v>
      </c>
      <c r="X6915">
        <v>0.9974539</v>
      </c>
      <c r="Y6915">
        <v>0.37711289999999997</v>
      </c>
      <c r="Z6915">
        <v>-5.9879479999999999E-2</v>
      </c>
      <c r="AA6915">
        <v>0.92422959999999998</v>
      </c>
      <c r="AB6915">
        <v>29</v>
      </c>
      <c r="AC6915">
        <v>11.689699999999901</v>
      </c>
      <c r="AD6915">
        <v>-1.0970427042489901</v>
      </c>
      <c r="AE6915">
        <v>14.133899999999899</v>
      </c>
      <c r="AF6915">
        <v>6.98153056617081</v>
      </c>
      <c r="AG6915">
        <v>-1.0970427042489901</v>
      </c>
      <c r="AH6915">
        <v>16.890242622261301</v>
      </c>
      <c r="AI6915">
        <v>93.435087495224806</v>
      </c>
      <c r="AJ6915">
        <v>67.542393815450595</v>
      </c>
      <c r="AK6915">
        <v>18.309166217503599</v>
      </c>
    </row>
    <row r="6916" spans="1:37" x14ac:dyDescent="0.2">
      <c r="A6916" t="str">
        <f>"20200111155738130"</f>
        <v>20200111155738130</v>
      </c>
      <c r="B6916" t="str">
        <f>"1578729458120184"</f>
        <v>1578729458120184</v>
      </c>
      <c r="C6916" t="s">
        <v>37</v>
      </c>
      <c r="D6916">
        <v>5.1094949999999999</v>
      </c>
      <c r="E6916">
        <v>0.62624040000000003</v>
      </c>
      <c r="F6916" t="s">
        <v>72</v>
      </c>
      <c r="G6916">
        <v>-173.851</v>
      </c>
      <c r="H6916" s="1">
        <v>-4.7130309999999901E-6</v>
      </c>
      <c r="I6916">
        <v>138.00290000000001</v>
      </c>
      <c r="J6916">
        <v>-186.17869999999999</v>
      </c>
      <c r="K6916">
        <v>1.096884</v>
      </c>
      <c r="L6916">
        <v>123.2176</v>
      </c>
      <c r="M6916">
        <v>0.301510099999999</v>
      </c>
      <c r="N6916">
        <v>0</v>
      </c>
      <c r="O6916">
        <v>0.95334549999999996</v>
      </c>
      <c r="P6916">
        <v>0.36780879999999999</v>
      </c>
      <c r="Q6916">
        <v>-1.1677110000000001E-3</v>
      </c>
      <c r="R6916">
        <v>0.92990069999999903</v>
      </c>
      <c r="S6916">
        <v>2.01567099999999</v>
      </c>
      <c r="T6916">
        <v>-0.17838180000000001</v>
      </c>
      <c r="U6916">
        <v>2.4362339999999998</v>
      </c>
      <c r="V6916">
        <v>7.0533860000000004E-2</v>
      </c>
      <c r="W6916">
        <v>1.240729E-2</v>
      </c>
      <c r="X6916">
        <v>0.99743219999999999</v>
      </c>
      <c r="Y6916">
        <v>0.37439499999999998</v>
      </c>
      <c r="Z6916">
        <v>-5.7009980000000002E-2</v>
      </c>
      <c r="AA6916">
        <v>0.92551510000000003</v>
      </c>
      <c r="AB6916">
        <v>29</v>
      </c>
      <c r="AC6916">
        <v>12.327699999999901</v>
      </c>
      <c r="AD6916">
        <v>-1.0968887130310001</v>
      </c>
      <c r="AE6916">
        <v>14.785299999999999</v>
      </c>
      <c r="AF6916">
        <v>7.2718475040606103</v>
      </c>
      <c r="AG6916">
        <v>-1.0968887130310001</v>
      </c>
      <c r="AH6916">
        <v>17.756769303352399</v>
      </c>
      <c r="AI6916">
        <v>93.271757871149902</v>
      </c>
      <c r="AJ6916">
        <v>67.729655553586298</v>
      </c>
      <c r="AK6916">
        <v>19.219411725221001</v>
      </c>
    </row>
    <row r="6917" spans="1:37" x14ac:dyDescent="0.2">
      <c r="A6917" t="str">
        <f>"20200111155738144"</f>
        <v>20200111155738144</v>
      </c>
      <c r="B6917" t="str">
        <f>"1578729458139704"</f>
        <v>1578729458139704</v>
      </c>
      <c r="C6917" t="s">
        <v>37</v>
      </c>
      <c r="D6917">
        <v>5.1274930000000003</v>
      </c>
      <c r="E6917">
        <v>0.62534019999999901</v>
      </c>
      <c r="F6917" t="s">
        <v>72</v>
      </c>
      <c r="G6917">
        <v>-173.11109999999999</v>
      </c>
      <c r="H6917" s="1">
        <v>-4.6817289999999997E-6</v>
      </c>
      <c r="I6917">
        <v>138.785</v>
      </c>
      <c r="J6917">
        <v>-186.11789999999999</v>
      </c>
      <c r="K6917">
        <v>1.096757</v>
      </c>
      <c r="L6917">
        <v>123.38890000000001</v>
      </c>
      <c r="M6917">
        <v>0.30761729999999998</v>
      </c>
      <c r="N6917">
        <v>0</v>
      </c>
      <c r="O6917">
        <v>0.95139209999999996</v>
      </c>
      <c r="P6917">
        <v>0.37402869999999999</v>
      </c>
      <c r="Q6917">
        <v>-1.064986E-4</v>
      </c>
      <c r="R6917">
        <v>0.92741709999999999</v>
      </c>
      <c r="S6917">
        <v>2.0329440000000001</v>
      </c>
      <c r="T6917">
        <v>-0.1706445</v>
      </c>
      <c r="U6917">
        <v>2.4218439999999899</v>
      </c>
      <c r="V6917">
        <v>7.0843119999999996E-2</v>
      </c>
      <c r="W6917">
        <v>1.346292E-2</v>
      </c>
      <c r="X6917">
        <v>0.99739659999999997</v>
      </c>
      <c r="Y6917">
        <v>0.37512269999999998</v>
      </c>
      <c r="Z6917">
        <v>-5.4509469999999997E-2</v>
      </c>
      <c r="AA6917">
        <v>0.925371099999999</v>
      </c>
      <c r="AB6917">
        <v>29</v>
      </c>
      <c r="AC6917">
        <v>13.006799999999901</v>
      </c>
      <c r="AD6917">
        <v>-1.096761681729</v>
      </c>
      <c r="AE6917">
        <v>15.396099999999899</v>
      </c>
      <c r="AF6917">
        <v>7.6167635529808502</v>
      </c>
      <c r="AG6917">
        <v>-1.096761681729</v>
      </c>
      <c r="AH6917">
        <v>18.595873895957698</v>
      </c>
      <c r="AI6917">
        <v>93.123988727474995</v>
      </c>
      <c r="AJ6917">
        <v>67.726274474387097</v>
      </c>
      <c r="AK6917">
        <v>20.125220474888899</v>
      </c>
    </row>
    <row r="6918" spans="1:37" x14ac:dyDescent="0.2">
      <c r="A6918" t="str">
        <f>"20200111155738159"</f>
        <v>20200111155738159</v>
      </c>
      <c r="B6918" t="str">
        <f>"1578729458150441"</f>
        <v>1578729458150441</v>
      </c>
      <c r="C6918" t="s">
        <v>37</v>
      </c>
      <c r="D6918">
        <v>5.1516580000000003</v>
      </c>
      <c r="E6918">
        <v>0.62493409999999905</v>
      </c>
      <c r="F6918" t="s">
        <v>72</v>
      </c>
      <c r="G6918">
        <v>-172.76679999999999</v>
      </c>
      <c r="H6918" s="1">
        <v>-4.667154E-6</v>
      </c>
      <c r="I6918">
        <v>139.149</v>
      </c>
      <c r="J6918">
        <v>-186.05189999999999</v>
      </c>
      <c r="K6918">
        <v>1.096625</v>
      </c>
      <c r="L6918">
        <v>123.5712</v>
      </c>
      <c r="M6918">
        <v>0.31422139999999998</v>
      </c>
      <c r="N6918">
        <v>0</v>
      </c>
      <c r="O6918">
        <v>0.94923099999999905</v>
      </c>
      <c r="P6918">
        <v>0.38188420000000001</v>
      </c>
      <c r="Q6918">
        <v>1.7649429999999999E-3</v>
      </c>
      <c r="R6918">
        <v>0.92420849999999899</v>
      </c>
      <c r="S6918">
        <v>2.0425110000000002</v>
      </c>
      <c r="T6918">
        <v>-0.16778709999999999</v>
      </c>
      <c r="U6918">
        <v>2.411041</v>
      </c>
      <c r="V6918">
        <v>7.241715E-2</v>
      </c>
      <c r="W6918">
        <v>1.530189E-2</v>
      </c>
      <c r="X6918">
        <v>0.99725710000000001</v>
      </c>
      <c r="Y6918">
        <v>0.37289440000000001</v>
      </c>
      <c r="Z6918">
        <v>-5.3567499999999997E-2</v>
      </c>
      <c r="AA6918">
        <v>0.92632630000000005</v>
      </c>
      <c r="AB6918">
        <v>29</v>
      </c>
      <c r="AC6918">
        <v>13.2851</v>
      </c>
      <c r="AD6918">
        <v>-1.0966296671539999</v>
      </c>
      <c r="AE6918">
        <v>15.5777999999999</v>
      </c>
      <c r="AF6918">
        <v>7.6945443796003596</v>
      </c>
      <c r="AG6918">
        <v>-1.0966296671539999</v>
      </c>
      <c r="AH6918">
        <v>18.909279200085599</v>
      </c>
      <c r="AI6918">
        <v>93.074813893260796</v>
      </c>
      <c r="AJ6918">
        <v>67.857659964610804</v>
      </c>
      <c r="AK6918">
        <v>20.444301154681501</v>
      </c>
    </row>
    <row r="6919" spans="1:37" x14ac:dyDescent="0.2">
      <c r="A6919" t="str">
        <f>"20200111155738207"</f>
        <v>20200111155738207</v>
      </c>
      <c r="B6919" t="str">
        <f>"1578729458200216"</f>
        <v>1578729458200216</v>
      </c>
      <c r="C6919" t="s">
        <v>37</v>
      </c>
      <c r="D6919">
        <v>5.2616379999999996</v>
      </c>
      <c r="E6919">
        <v>0.67020919999999995</v>
      </c>
      <c r="F6919" t="s">
        <v>72</v>
      </c>
      <c r="G6919">
        <v>-172.17619999999999</v>
      </c>
      <c r="H6919" s="1">
        <v>-4.6121649999999997E-6</v>
      </c>
      <c r="I6919">
        <v>139.70769999999999</v>
      </c>
      <c r="J6919">
        <v>-185.82409999999999</v>
      </c>
      <c r="K6919">
        <v>1.0961959999999999</v>
      </c>
      <c r="L6919">
        <v>124.1664</v>
      </c>
      <c r="M6919">
        <v>0.33672790000000002</v>
      </c>
      <c r="N6919">
        <v>0</v>
      </c>
      <c r="O6919">
        <v>0.94148089999999995</v>
      </c>
      <c r="P6919">
        <v>0.4093347</v>
      </c>
      <c r="Q6919">
        <v>2.1172779999999999E-4</v>
      </c>
      <c r="R6919">
        <v>0.91238430000000004</v>
      </c>
      <c r="S6919">
        <v>2.0596919999999899</v>
      </c>
      <c r="T6919">
        <v>-0.16278210000000001</v>
      </c>
      <c r="U6919">
        <v>2.3952789999999999</v>
      </c>
      <c r="V6919">
        <v>7.8466679999999997E-2</v>
      </c>
      <c r="W6919">
        <v>1.362646E-2</v>
      </c>
      <c r="X6919">
        <v>0.99682359999999903</v>
      </c>
      <c r="Y6919">
        <v>0.35765619999999998</v>
      </c>
      <c r="Z6919">
        <v>-5.166606E-2</v>
      </c>
      <c r="AA6919">
        <v>0.932423</v>
      </c>
      <c r="AB6919">
        <v>29</v>
      </c>
      <c r="AC6919">
        <v>13.6478999999999</v>
      </c>
      <c r="AD6919">
        <v>-1.0962006121650001</v>
      </c>
      <c r="AE6919">
        <v>15.5412999999999</v>
      </c>
      <c r="AF6919">
        <v>7.5955808628674104</v>
      </c>
      <c r="AG6919">
        <v>-1.0962006121650001</v>
      </c>
      <c r="AH6919">
        <v>19.1757948526059</v>
      </c>
      <c r="AI6919">
        <v>93.042310152383905</v>
      </c>
      <c r="AJ6919">
        <v>68.391356235854403</v>
      </c>
      <c r="AK6919">
        <v>20.6544332446014</v>
      </c>
    </row>
    <row r="6920" spans="1:37" x14ac:dyDescent="0.2">
      <c r="A6920" t="str">
        <f>"20200111155738233"</f>
        <v>20200111155738233</v>
      </c>
      <c r="B6920" t="str">
        <f>"1578729458230472"</f>
        <v>1578729458230472</v>
      </c>
      <c r="C6920" t="s">
        <v>37</v>
      </c>
      <c r="D6920">
        <v>6.1647509999999999</v>
      </c>
      <c r="E6920">
        <v>0.48659069999999999</v>
      </c>
      <c r="F6920" t="s">
        <v>72</v>
      </c>
      <c r="G6920">
        <v>-174.7012</v>
      </c>
      <c r="H6920" s="1">
        <v>-3.5971420000000001E-6</v>
      </c>
      <c r="I6920">
        <v>134.06880000000001</v>
      </c>
      <c r="J6920">
        <v>-185.6936</v>
      </c>
      <c r="K6920">
        <v>1.095987</v>
      </c>
      <c r="L6920">
        <v>124.48869999999999</v>
      </c>
      <c r="M6920">
        <v>0.3493791</v>
      </c>
      <c r="N6920">
        <v>0</v>
      </c>
      <c r="O6920">
        <v>0.93685909999999994</v>
      </c>
      <c r="P6920">
        <v>0.425874799999999</v>
      </c>
      <c r="Q6920">
        <v>-2.4240759999999998E-3</v>
      </c>
      <c r="R6920">
        <v>0.90477879999999999</v>
      </c>
      <c r="S6920">
        <v>2.4558110000000002</v>
      </c>
      <c r="T6920">
        <v>-0.24202689999999999</v>
      </c>
      <c r="U6920">
        <v>2.18634</v>
      </c>
      <c r="V6920">
        <v>8.3135340000000002E-2</v>
      </c>
      <c r="W6920">
        <v>1.089057E-2</v>
      </c>
      <c r="X6920">
        <v>0.99647870000000005</v>
      </c>
      <c r="Y6920">
        <v>0.46527439999999998</v>
      </c>
      <c r="Z6920">
        <v>-7.5138319999999995E-2</v>
      </c>
      <c r="AA6920">
        <v>0.88197169999999903</v>
      </c>
      <c r="AB6920">
        <v>29</v>
      </c>
      <c r="AC6920">
        <v>10.9924</v>
      </c>
      <c r="AD6920">
        <v>-1.0959905971420001</v>
      </c>
      <c r="AE6920">
        <v>9.5801000000000105</v>
      </c>
      <c r="AF6920">
        <v>6.91298377120631</v>
      </c>
      <c r="AG6920">
        <v>-1.0959905971420001</v>
      </c>
      <c r="AH6920">
        <v>12.745181260541001</v>
      </c>
      <c r="AI6920">
        <v>94.322729400375906</v>
      </c>
      <c r="AJ6920">
        <v>61.524604637981703</v>
      </c>
      <c r="AK6920">
        <v>14.540639097853701</v>
      </c>
    </row>
    <row r="6921" spans="1:37" x14ac:dyDescent="0.2">
      <c r="A6921" t="str">
        <f>"20200111155738249"</f>
        <v>20200111155738249</v>
      </c>
      <c r="B6921" t="str">
        <f>"1578729458240232"</f>
        <v>1578729458240232</v>
      </c>
      <c r="C6921" t="s">
        <v>37</v>
      </c>
      <c r="D6921">
        <v>6.1860379999999999</v>
      </c>
      <c r="E6921">
        <v>0.48700959999999899</v>
      </c>
      <c r="F6921" t="s">
        <v>102</v>
      </c>
      <c r="G6921">
        <v>-166.41900000000001</v>
      </c>
      <c r="H6921">
        <v>5.0077339999999904</v>
      </c>
      <c r="I6921">
        <v>168.93879999999999</v>
      </c>
      <c r="J6921">
        <v>-185.6198</v>
      </c>
      <c r="K6921">
        <v>1.0958729999999901</v>
      </c>
      <c r="L6921">
        <v>124.6649</v>
      </c>
      <c r="M6921">
        <v>0.3564409</v>
      </c>
      <c r="N6921">
        <v>0</v>
      </c>
      <c r="O6921">
        <v>0.93419470000000004</v>
      </c>
      <c r="P6921">
        <v>0.4374574</v>
      </c>
      <c r="Q6921">
        <v>-4.2428959999999899E-3</v>
      </c>
      <c r="R6921">
        <v>0.89922919999999995</v>
      </c>
      <c r="S6921">
        <v>1.1943049999999999</v>
      </c>
      <c r="T6921">
        <v>0.24238189999999901</v>
      </c>
      <c r="U6921">
        <v>2.7542419999999899</v>
      </c>
      <c r="V6921">
        <v>8.8372989999999998E-2</v>
      </c>
      <c r="W6921">
        <v>8.954231E-3</v>
      </c>
      <c r="X6921">
        <v>0.99604720000000002</v>
      </c>
      <c r="Y6921">
        <v>4.3412319999999997E-2</v>
      </c>
      <c r="Z6921">
        <v>7.5829720000000003E-2</v>
      </c>
      <c r="AA6921">
        <v>0.99617529999999999</v>
      </c>
      <c r="AB6921">
        <v>29</v>
      </c>
      <c r="AC6921">
        <v>19.200799999999902</v>
      </c>
      <c r="AD6921">
        <v>3.9118609999999898</v>
      </c>
      <c r="AE6921">
        <v>44.273899999999898</v>
      </c>
      <c r="AF6921">
        <v>2.14242730770225</v>
      </c>
      <c r="AG6921">
        <v>3.9118609999999898</v>
      </c>
      <c r="AH6921">
        <v>47.895225961459403</v>
      </c>
      <c r="AI6921">
        <v>85.335353333137107</v>
      </c>
      <c r="AJ6921">
        <v>87.438778784964498</v>
      </c>
      <c r="AK6921">
        <v>48.102446103616799</v>
      </c>
    </row>
    <row r="6922" spans="1:37" x14ac:dyDescent="0.2">
      <c r="A6922" t="str">
        <f>"20200111155738262"</f>
        <v>20200111155738262</v>
      </c>
      <c r="B6922" t="str">
        <f>"1578729458249992"</f>
        <v>1578729458249992</v>
      </c>
      <c r="C6922" t="s">
        <v>37</v>
      </c>
      <c r="D6922">
        <v>6.2158429999999996</v>
      </c>
      <c r="E6922">
        <v>0.48668069999999902</v>
      </c>
      <c r="F6922" t="s">
        <v>69</v>
      </c>
      <c r="G6922">
        <v>-165.28469999999999</v>
      </c>
      <c r="H6922">
        <v>5.012499</v>
      </c>
      <c r="I6922">
        <v>169.8211</v>
      </c>
      <c r="J6922">
        <v>-185.54759999999999</v>
      </c>
      <c r="K6922">
        <v>1.095772</v>
      </c>
      <c r="L6922">
        <v>124.8342</v>
      </c>
      <c r="M6922">
        <v>0.3632978</v>
      </c>
      <c r="N6922">
        <v>0</v>
      </c>
      <c r="O6922">
        <v>0.93154930000000002</v>
      </c>
      <c r="P6922">
        <v>0.44666049999999902</v>
      </c>
      <c r="Q6922">
        <v>-4.5316000000000002E-3</v>
      </c>
      <c r="R6922">
        <v>0.89469209999999999</v>
      </c>
      <c r="S6922">
        <v>1.2328190000000001</v>
      </c>
      <c r="T6922">
        <v>0.23744699999999999</v>
      </c>
      <c r="U6922">
        <v>2.7375949999999998</v>
      </c>
      <c r="V6922">
        <v>9.1267150000000005E-2</v>
      </c>
      <c r="W6922">
        <v>8.5999549999999994E-3</v>
      </c>
      <c r="X6922">
        <v>0.99578929999999999</v>
      </c>
      <c r="Y6922">
        <v>5.0041170000000003E-2</v>
      </c>
      <c r="Z6922">
        <v>7.418545E-2</v>
      </c>
      <c r="AA6922">
        <v>0.99598809999999904</v>
      </c>
      <c r="AB6922">
        <v>29</v>
      </c>
      <c r="AC6922">
        <v>20.262899999999998</v>
      </c>
      <c r="AD6922">
        <v>3.9167269999999998</v>
      </c>
      <c r="AE6922">
        <v>44.986899999999999</v>
      </c>
      <c r="AF6922">
        <v>2.5166813258026601</v>
      </c>
      <c r="AG6922">
        <v>3.9167269999999998</v>
      </c>
      <c r="AH6922">
        <v>48.966097457856399</v>
      </c>
      <c r="AI6922">
        <v>85.432733651459699</v>
      </c>
      <c r="AJ6922">
        <v>87.057791850784596</v>
      </c>
      <c r="AK6922">
        <v>49.186920370566703</v>
      </c>
    </row>
    <row r="6923" spans="1:37" x14ac:dyDescent="0.2">
      <c r="A6923" t="str">
        <f>"20200111155738275"</f>
        <v>20200111155738275</v>
      </c>
      <c r="B6923" t="str">
        <f>"1578729458270489"</f>
        <v>1578729458270489</v>
      </c>
      <c r="C6923" t="s">
        <v>37</v>
      </c>
      <c r="D6923">
        <v>6.2284610000000002</v>
      </c>
      <c r="E6923">
        <v>0.48629229999999901</v>
      </c>
      <c r="F6923" t="s">
        <v>69</v>
      </c>
      <c r="G6923">
        <v>-164.93969999999999</v>
      </c>
      <c r="H6923">
        <v>4.9487239999999897</v>
      </c>
      <c r="I6923">
        <v>169.47649999999999</v>
      </c>
      <c r="J6923">
        <v>-185.47989999999999</v>
      </c>
      <c r="K6923">
        <v>1.095683</v>
      </c>
      <c r="L6923">
        <v>124.9893</v>
      </c>
      <c r="M6923">
        <v>0.3696583</v>
      </c>
      <c r="N6923">
        <v>0</v>
      </c>
      <c r="O6923">
        <v>0.92904319999999896</v>
      </c>
      <c r="P6923">
        <v>0.45531880000000002</v>
      </c>
      <c r="Q6923">
        <v>-4.6190529999999997E-3</v>
      </c>
      <c r="R6923">
        <v>0.89031649999999996</v>
      </c>
      <c r="S6923">
        <v>1.258408</v>
      </c>
      <c r="T6923">
        <v>0.23528019999999999</v>
      </c>
      <c r="U6923">
        <v>2.7260589999999998</v>
      </c>
      <c r="V6923">
        <v>9.411833E-2</v>
      </c>
      <c r="W6923">
        <v>8.4473710000000004E-3</v>
      </c>
      <c r="X6923">
        <v>0.9955252</v>
      </c>
      <c r="Y6923">
        <v>5.2548150000000002E-2</v>
      </c>
      <c r="Z6923">
        <v>7.336289E-2</v>
      </c>
      <c r="AA6923">
        <v>0.99591989999999997</v>
      </c>
      <c r="AB6923">
        <v>29</v>
      </c>
      <c r="AC6923">
        <v>20.540199999999999</v>
      </c>
      <c r="AD6923">
        <v>3.8530409999999899</v>
      </c>
      <c r="AE6923">
        <v>44.487199999999902</v>
      </c>
      <c r="AF6923">
        <v>2.6217648505848401</v>
      </c>
      <c r="AG6923">
        <v>3.8530409999999899</v>
      </c>
      <c r="AH6923">
        <v>48.628370443555802</v>
      </c>
      <c r="AI6923">
        <v>85.476209290055294</v>
      </c>
      <c r="AJ6923">
        <v>86.913925640616796</v>
      </c>
      <c r="AK6923">
        <v>48.851182051974298</v>
      </c>
    </row>
    <row r="6924" spans="1:37" x14ac:dyDescent="0.2">
      <c r="A6924" t="str">
        <f>"20200111155738299"</f>
        <v>20200111155738299</v>
      </c>
      <c r="B6924" t="str">
        <f>"1578729458290008"</f>
        <v>1578729458290008</v>
      </c>
      <c r="C6924" t="s">
        <v>37</v>
      </c>
      <c r="D6924">
        <v>6.1925520000000001</v>
      </c>
      <c r="E6924">
        <v>0.48521940000000002</v>
      </c>
      <c r="F6924" t="s">
        <v>69</v>
      </c>
      <c r="G6924">
        <v>-164.61789999999999</v>
      </c>
      <c r="H6924">
        <v>5.0549480000000004</v>
      </c>
      <c r="I6924">
        <v>169.155</v>
      </c>
      <c r="J6924">
        <v>-185.34649999999999</v>
      </c>
      <c r="K6924">
        <v>1.0955280000000001</v>
      </c>
      <c r="L6924">
        <v>125.28660000000001</v>
      </c>
      <c r="M6924">
        <v>0.382023</v>
      </c>
      <c r="N6924">
        <v>0</v>
      </c>
      <c r="O6924">
        <v>0.92402700000000004</v>
      </c>
      <c r="P6924">
        <v>0.4720259</v>
      </c>
      <c r="Q6924">
        <v>-4.4201170000000003E-3</v>
      </c>
      <c r="R6924">
        <v>0.88157369999999902</v>
      </c>
      <c r="S6924">
        <v>1.2824549999999999</v>
      </c>
      <c r="T6924">
        <v>0.243390099999999</v>
      </c>
      <c r="U6924">
        <v>2.71499599999999</v>
      </c>
      <c r="V6924">
        <v>9.9611259999999993E-2</v>
      </c>
      <c r="W6924">
        <v>8.5188950000000003E-3</v>
      </c>
      <c r="X6924">
        <v>0.99498999999999904</v>
      </c>
      <c r="Y6924">
        <v>4.7923800000000003E-2</v>
      </c>
      <c r="Z6924">
        <v>7.5423249999999997E-2</v>
      </c>
      <c r="AA6924">
        <v>0.99599930000000003</v>
      </c>
      <c r="AB6924">
        <v>29</v>
      </c>
      <c r="AC6924">
        <v>20.7286</v>
      </c>
      <c r="AD6924">
        <v>3.9594200000000002</v>
      </c>
      <c r="AE6924">
        <v>43.868400000000001</v>
      </c>
      <c r="AF6924">
        <v>2.3794808560993999</v>
      </c>
      <c r="AG6924">
        <v>3.9594200000000002</v>
      </c>
      <c r="AH6924">
        <v>48.139441989164801</v>
      </c>
      <c r="AI6924">
        <v>85.303771983731394</v>
      </c>
      <c r="AJ6924">
        <v>87.170234304505996</v>
      </c>
      <c r="AK6924">
        <v>48.360570829024603</v>
      </c>
    </row>
    <row r="6925" spans="1:37" x14ac:dyDescent="0.2">
      <c r="A6925" t="str">
        <f>"20200111155738315"</f>
        <v>20200111155738315</v>
      </c>
      <c r="B6925" t="str">
        <f>"1578729458310504"</f>
        <v>1578729458310504</v>
      </c>
      <c r="C6925" t="s">
        <v>37</v>
      </c>
      <c r="D6925">
        <v>5.3385819999999997</v>
      </c>
      <c r="E6925">
        <v>0.48521940000000002</v>
      </c>
      <c r="F6925" t="s">
        <v>102</v>
      </c>
      <c r="G6925">
        <v>-164.92269999999999</v>
      </c>
      <c r="H6925">
        <v>5.0091010000000002</v>
      </c>
      <c r="I6925">
        <v>166.7861</v>
      </c>
      <c r="J6925">
        <v>-185.26220000000001</v>
      </c>
      <c r="K6925">
        <v>1.0954360000000001</v>
      </c>
      <c r="L6925">
        <v>125.4686</v>
      </c>
      <c r="M6925">
        <v>0.3897197</v>
      </c>
      <c r="N6925">
        <v>0</v>
      </c>
      <c r="O6925">
        <v>0.92080689999999998</v>
      </c>
      <c r="P6925">
        <v>0.48383419999999999</v>
      </c>
      <c r="Q6925">
        <v>-3.3865140000000002E-3</v>
      </c>
      <c r="R6925">
        <v>0.87515309999999902</v>
      </c>
      <c r="S6925">
        <v>1.3259889999999901</v>
      </c>
      <c r="T6925">
        <v>0.25408389999999997</v>
      </c>
      <c r="U6925">
        <v>2.6943049999999999</v>
      </c>
      <c r="V6925">
        <v>0.1047067</v>
      </c>
      <c r="W6925">
        <v>9.4305719999999999E-3</v>
      </c>
      <c r="X6925">
        <v>0.99445839999999996</v>
      </c>
      <c r="Y6925">
        <v>5.5454749999999997E-2</v>
      </c>
      <c r="Z6925">
        <v>7.8577830000000001E-2</v>
      </c>
      <c r="AA6925">
        <v>0.99536440000000004</v>
      </c>
      <c r="AB6925">
        <v>29</v>
      </c>
      <c r="AC6925">
        <v>20.339500000000001</v>
      </c>
      <c r="AD6925">
        <v>3.9136649999999999</v>
      </c>
      <c r="AE6925">
        <v>41.317500000000003</v>
      </c>
      <c r="AF6925">
        <v>2.60797956275688</v>
      </c>
      <c r="AG6925">
        <v>3.9136649999999999</v>
      </c>
      <c r="AH6925">
        <v>45.647832924801598</v>
      </c>
      <c r="AI6925">
        <v>85.107608887597195</v>
      </c>
      <c r="AJ6925">
        <v>86.730097625962998</v>
      </c>
      <c r="AK6925">
        <v>45.889464824320797</v>
      </c>
    </row>
    <row r="6926" spans="1:37" x14ac:dyDescent="0.2">
      <c r="A6926" t="str">
        <f>"20200111155738377"</f>
        <v>20200111155738377</v>
      </c>
      <c r="B6926" t="str">
        <f>"1578729458370040"</f>
        <v>1578729458370040</v>
      </c>
      <c r="C6926" t="s">
        <v>37</v>
      </c>
      <c r="D6926">
        <v>5.3462350000000001</v>
      </c>
      <c r="E6926">
        <v>0.65886109999999998</v>
      </c>
      <c r="F6926" t="s">
        <v>102</v>
      </c>
      <c r="G6926">
        <v>-164.5241</v>
      </c>
      <c r="H6926">
        <v>5.0094580000000004</v>
      </c>
      <c r="I6926">
        <v>166.23079999999999</v>
      </c>
      <c r="J6926">
        <v>-184.90209999999999</v>
      </c>
      <c r="K6926">
        <v>1.0951070000000001</v>
      </c>
      <c r="L6926">
        <v>126.2033</v>
      </c>
      <c r="M6926">
        <v>0.42157460000000002</v>
      </c>
      <c r="N6926">
        <v>0</v>
      </c>
      <c r="O6926">
        <v>0.90666349999999996</v>
      </c>
      <c r="P6926">
        <v>0.52562949999999997</v>
      </c>
      <c r="Q6926">
        <v>3.6045629999999999E-4</v>
      </c>
      <c r="R6926">
        <v>0.85071359999999996</v>
      </c>
      <c r="S6926">
        <v>1.361542</v>
      </c>
      <c r="T6926">
        <v>0.25697219999999998</v>
      </c>
      <c r="U6926">
        <v>2.6762079999999999</v>
      </c>
      <c r="V6926">
        <v>0.1182783</v>
      </c>
      <c r="W6926">
        <v>1.2844039999999999E-2</v>
      </c>
      <c r="X6926">
        <v>0.99289740000000004</v>
      </c>
      <c r="Y6926">
        <v>3.3864159999999997E-2</v>
      </c>
      <c r="Z6926">
        <v>7.7955640000000007E-2</v>
      </c>
      <c r="AA6926">
        <v>0.99638150000000003</v>
      </c>
      <c r="AB6926">
        <v>29</v>
      </c>
      <c r="AC6926">
        <v>20.377999999999901</v>
      </c>
      <c r="AD6926">
        <v>3.9143509999999999</v>
      </c>
      <c r="AE6926">
        <v>40.027499999999897</v>
      </c>
      <c r="AF6926">
        <v>1.5895285440031499</v>
      </c>
      <c r="AG6926">
        <v>3.9143509999999999</v>
      </c>
      <c r="AH6926">
        <v>44.549280058048602</v>
      </c>
      <c r="AI6926">
        <v>84.981742597627601</v>
      </c>
      <c r="AJ6926">
        <v>87.956540295522501</v>
      </c>
      <c r="AK6926">
        <v>44.749157516470099</v>
      </c>
    </row>
    <row r="6927" spans="1:37" x14ac:dyDescent="0.2">
      <c r="A6927" t="str">
        <f>"20200111155738432"</f>
        <v>20200111155738432</v>
      </c>
      <c r="B6927" t="str">
        <f>"1578729458420610"</f>
        <v>1578729458420610</v>
      </c>
      <c r="C6927" t="s">
        <v>37</v>
      </c>
      <c r="D6927">
        <v>5.3278800000000004</v>
      </c>
      <c r="E6927">
        <v>0.65383610000000003</v>
      </c>
      <c r="F6927" t="s">
        <v>72</v>
      </c>
      <c r="G6927">
        <v>-170.09139999999999</v>
      </c>
      <c r="H6927" s="1">
        <v>-2.4187409999999999E-6</v>
      </c>
      <c r="I6927">
        <v>136.7792</v>
      </c>
      <c r="J6927">
        <v>-184.57130000000001</v>
      </c>
      <c r="K6927">
        <v>1.094851</v>
      </c>
      <c r="L6927">
        <v>126.8224</v>
      </c>
      <c r="M6927">
        <v>0.44945590000000002</v>
      </c>
      <c r="N6927">
        <v>0</v>
      </c>
      <c r="O6927">
        <v>0.89316899999999999</v>
      </c>
      <c r="P6927">
        <v>0.55744700000000003</v>
      </c>
      <c r="Q6927">
        <v>2.8041099999999998E-3</v>
      </c>
      <c r="R6927">
        <v>0.83020780000000005</v>
      </c>
      <c r="S6927">
        <v>2.647659</v>
      </c>
      <c r="T6927">
        <v>-0.19576979999999999</v>
      </c>
      <c r="U6927">
        <v>1.890625</v>
      </c>
      <c r="V6927">
        <v>0.12516820000000001</v>
      </c>
      <c r="W6927">
        <v>1.5113079999999999E-2</v>
      </c>
      <c r="X6927">
        <v>0.99202040000000002</v>
      </c>
      <c r="Y6927">
        <v>0.46412999999999999</v>
      </c>
      <c r="Z6927">
        <v>-6.0319900000000003E-2</v>
      </c>
      <c r="AA6927">
        <v>0.88371089999999997</v>
      </c>
      <c r="AB6927">
        <v>29</v>
      </c>
      <c r="AC6927">
        <v>14.479900000000001</v>
      </c>
      <c r="AD6927">
        <v>-1.094853418741</v>
      </c>
      <c r="AE6927">
        <v>9.9567999999999994</v>
      </c>
      <c r="AF6927">
        <v>8.4261560131457305</v>
      </c>
      <c r="AG6927">
        <v>-1.094853418741</v>
      </c>
      <c r="AH6927">
        <v>15.343459335149699</v>
      </c>
      <c r="AI6927">
        <v>93.578931554299601</v>
      </c>
      <c r="AJ6927">
        <v>61.225763127537</v>
      </c>
      <c r="AK6927">
        <v>17.539114958736999</v>
      </c>
    </row>
    <row r="6928" spans="1:37" x14ac:dyDescent="0.2">
      <c r="A6928" t="str">
        <f>"20200111155738445"</f>
        <v>20200111155738445</v>
      </c>
      <c r="B6928" t="str">
        <f>"1578729458440130"</f>
        <v>1578729458440130</v>
      </c>
      <c r="C6928" t="s">
        <v>37</v>
      </c>
      <c r="D6928">
        <v>5.3536970000000004</v>
      </c>
      <c r="E6928">
        <v>0.64951329999999996</v>
      </c>
      <c r="F6928" t="s">
        <v>72</v>
      </c>
      <c r="G6928">
        <v>-170.73660000000001</v>
      </c>
      <c r="H6928" s="1">
        <v>-2.5149019999999999E-6</v>
      </c>
      <c r="I6928">
        <v>136.16579999999999</v>
      </c>
      <c r="J6928">
        <v>-184.48920000000001</v>
      </c>
      <c r="K6928">
        <v>1.094789</v>
      </c>
      <c r="L6928">
        <v>126.9691</v>
      </c>
      <c r="M6928">
        <v>0.45619179999999998</v>
      </c>
      <c r="N6928">
        <v>0</v>
      </c>
      <c r="O6928">
        <v>0.88974709999999901</v>
      </c>
      <c r="P6928">
        <v>0.56418630000000003</v>
      </c>
      <c r="Q6928">
        <v>3.2308329999999998E-3</v>
      </c>
      <c r="R6928">
        <v>0.82564119999999996</v>
      </c>
      <c r="S6928">
        <v>2.6835779999999998</v>
      </c>
      <c r="T6928">
        <v>-0.21237329999999899</v>
      </c>
      <c r="U6928">
        <v>1.8123629999999999</v>
      </c>
      <c r="V6928">
        <v>0.12576089999999901</v>
      </c>
      <c r="W6928">
        <v>1.552454E-2</v>
      </c>
      <c r="X6928">
        <v>0.99193909999999996</v>
      </c>
      <c r="Y6928">
        <v>0.48012290000000002</v>
      </c>
      <c r="Z6928">
        <v>-6.5897349999999993E-2</v>
      </c>
      <c r="AA6928">
        <v>0.87472249999999996</v>
      </c>
      <c r="AB6928">
        <v>29</v>
      </c>
      <c r="AC6928">
        <v>13.752599999999999</v>
      </c>
      <c r="AD6928">
        <v>-1.094791514902</v>
      </c>
      <c r="AE6928">
        <v>9.1966999999999892</v>
      </c>
      <c r="AF6928">
        <v>8.0067774263591804</v>
      </c>
      <c r="AG6928">
        <v>-1.094791514902</v>
      </c>
      <c r="AH6928">
        <v>14.3952537263908</v>
      </c>
      <c r="AI6928">
        <v>93.802466870994493</v>
      </c>
      <c r="AJ6928">
        <v>60.916770777662499</v>
      </c>
      <c r="AK6928">
        <v>16.508494270027299</v>
      </c>
    </row>
    <row r="6929" spans="1:37" x14ac:dyDescent="0.2">
      <c r="A6929" t="str">
        <f>"20200111155738460"</f>
        <v>20200111155738460</v>
      </c>
      <c r="B6929" t="str">
        <f>"1578729458449890"</f>
        <v>1578729458449890</v>
      </c>
      <c r="C6929" t="s">
        <v>37</v>
      </c>
      <c r="D6929">
        <v>5.3241620000000003</v>
      </c>
      <c r="E6929">
        <v>0.64786860000000002</v>
      </c>
      <c r="F6929" t="s">
        <v>72</v>
      </c>
      <c r="G6929">
        <v>-171.47319999999999</v>
      </c>
      <c r="H6929" s="1">
        <v>-2.7715859999999999E-6</v>
      </c>
      <c r="I6929">
        <v>135.7971</v>
      </c>
      <c r="J6929">
        <v>-184.39230000000001</v>
      </c>
      <c r="K6929">
        <v>1.0947260000000001</v>
      </c>
      <c r="L6929">
        <v>127.1392</v>
      </c>
      <c r="M6929">
        <v>0.4640495</v>
      </c>
      <c r="N6929">
        <v>0</v>
      </c>
      <c r="O6929">
        <v>0.88567389999999901</v>
      </c>
      <c r="P6929">
        <v>0.57158120000000001</v>
      </c>
      <c r="Q6929">
        <v>4.6079429999999998E-3</v>
      </c>
      <c r="R6929">
        <v>0.82053259999999995</v>
      </c>
      <c r="S6929">
        <v>2.6692809999999998</v>
      </c>
      <c r="T6929">
        <v>-0.22451689999999999</v>
      </c>
      <c r="U6929">
        <v>1.8104099999999901</v>
      </c>
      <c r="V6929">
        <v>0.12593199999999999</v>
      </c>
      <c r="W6929">
        <v>1.6898610000000001E-2</v>
      </c>
      <c r="X6929">
        <v>0.99189499999999997</v>
      </c>
      <c r="Y6929">
        <v>0.47037099999999998</v>
      </c>
      <c r="Z6929">
        <v>-6.9596320000000003E-2</v>
      </c>
      <c r="AA6929">
        <v>0.87972009999999901</v>
      </c>
      <c r="AB6929">
        <v>28</v>
      </c>
      <c r="AC6929">
        <v>12.9191</v>
      </c>
      <c r="AD6929">
        <v>-1.0947287715859999</v>
      </c>
      <c r="AE6929">
        <v>8.6578999999999908</v>
      </c>
      <c r="AF6929">
        <v>7.3886948048296803</v>
      </c>
      <c r="AG6929">
        <v>-1.0947287715859999</v>
      </c>
      <c r="AH6929">
        <v>13.597441005040601</v>
      </c>
      <c r="AI6929">
        <v>94.046399471434398</v>
      </c>
      <c r="AJ6929">
        <v>61.480846140528499</v>
      </c>
      <c r="AK6929">
        <v>15.513917747874499</v>
      </c>
    </row>
    <row r="6930" spans="1:37" x14ac:dyDescent="0.2">
      <c r="A6930" t="str">
        <f>"20200111155738473"</f>
        <v>20200111155738473</v>
      </c>
      <c r="B6930" t="str">
        <f>"1578729458470386"</f>
        <v>1578729458470386</v>
      </c>
      <c r="C6930" t="s">
        <v>37</v>
      </c>
      <c r="D6930">
        <v>5.3172550000000003</v>
      </c>
      <c r="E6930">
        <v>0.64551879999999995</v>
      </c>
      <c r="F6930" t="s">
        <v>72</v>
      </c>
      <c r="G6930">
        <v>-171.4461</v>
      </c>
      <c r="H6930" s="1">
        <v>-2.7683830000000002E-6</v>
      </c>
      <c r="I6930">
        <v>135.82470000000001</v>
      </c>
      <c r="J6930">
        <v>-184.30770000000001</v>
      </c>
      <c r="K6930">
        <v>1.094668</v>
      </c>
      <c r="L6930">
        <v>127.2841</v>
      </c>
      <c r="M6930">
        <v>0.47082020000000002</v>
      </c>
      <c r="N6930">
        <v>0</v>
      </c>
      <c r="O6930">
        <v>0.88209300000000002</v>
      </c>
      <c r="P6930">
        <v>0.57746759999999997</v>
      </c>
      <c r="Q6930">
        <v>5.6892069999999999E-3</v>
      </c>
      <c r="R6930">
        <v>0.81639379999999995</v>
      </c>
      <c r="S6930">
        <v>2.6745610000000002</v>
      </c>
      <c r="T6930">
        <v>-0.22615959999999999</v>
      </c>
      <c r="U6930">
        <v>1.7943419999999899</v>
      </c>
      <c r="V6930">
        <v>0.1254999</v>
      </c>
      <c r="W6930">
        <v>1.7992310000000001E-2</v>
      </c>
      <c r="X6930">
        <v>0.99193050000000005</v>
      </c>
      <c r="Y6930">
        <v>0.46802460000000001</v>
      </c>
      <c r="Z6930">
        <v>-7.0025110000000002E-2</v>
      </c>
      <c r="AA6930">
        <v>0.88093670000000002</v>
      </c>
      <c r="AB6930">
        <v>28</v>
      </c>
      <c r="AC6930">
        <v>12.861599999999999</v>
      </c>
      <c r="AD6930">
        <v>-1.0946707683829999</v>
      </c>
      <c r="AE6930">
        <v>8.5406000000000102</v>
      </c>
      <c r="AF6930">
        <v>7.2882805158302402</v>
      </c>
      <c r="AG6930">
        <v>-1.0946707683829999</v>
      </c>
      <c r="AH6930">
        <v>13.5227554121008</v>
      </c>
      <c r="AI6930">
        <v>94.075974268931205</v>
      </c>
      <c r="AJ6930">
        <v>61.676923777157299</v>
      </c>
      <c r="AK6930">
        <v>15.4007224150065</v>
      </c>
    </row>
    <row r="6931" spans="1:37" x14ac:dyDescent="0.2">
      <c r="A6931" t="str">
        <f>"20200111155738486"</f>
        <v>20200111155738486</v>
      </c>
      <c r="B6931" t="str">
        <f>"1578729458480146"</f>
        <v>1578729458480146</v>
      </c>
      <c r="C6931" t="s">
        <v>37</v>
      </c>
      <c r="D6931">
        <v>5.2893160000000004</v>
      </c>
      <c r="E6931">
        <v>0.64486769999999904</v>
      </c>
      <c r="F6931" t="s">
        <v>72</v>
      </c>
      <c r="G6931">
        <v>-171.65099999999899</v>
      </c>
      <c r="H6931" s="1">
        <v>-2.8507219999999998E-6</v>
      </c>
      <c r="I6931">
        <v>135.74680000000001</v>
      </c>
      <c r="J6931">
        <v>-184.22470000000001</v>
      </c>
      <c r="K6931">
        <v>1.094617</v>
      </c>
      <c r="L6931">
        <v>127.423999999999</v>
      </c>
      <c r="M6931">
        <v>0.47740079999999901</v>
      </c>
      <c r="N6931">
        <v>0</v>
      </c>
      <c r="O6931">
        <v>0.87854859999999901</v>
      </c>
      <c r="P6931">
        <v>0.58312369999999902</v>
      </c>
      <c r="Q6931">
        <v>6.4915299999999997E-3</v>
      </c>
      <c r="R6931">
        <v>0.81235749999999995</v>
      </c>
      <c r="S6931">
        <v>2.6717529999999998</v>
      </c>
      <c r="T6931">
        <v>-0.23107810000000001</v>
      </c>
      <c r="U6931">
        <v>1.786438</v>
      </c>
      <c r="V6931">
        <v>0.1249996</v>
      </c>
      <c r="W6931">
        <v>1.8809469999999998E-2</v>
      </c>
      <c r="X6931">
        <v>0.99197849999999999</v>
      </c>
      <c r="Y6931">
        <v>0.46268819999999999</v>
      </c>
      <c r="Z6931">
        <v>-7.1444960000000002E-2</v>
      </c>
      <c r="AA6931">
        <v>0.88363749999999996</v>
      </c>
      <c r="AB6931">
        <v>28</v>
      </c>
      <c r="AC6931">
        <v>12.573700000000001</v>
      </c>
      <c r="AD6931">
        <v>-1.094619850722</v>
      </c>
      <c r="AE6931">
        <v>8.3228000000000097</v>
      </c>
      <c r="AF6931">
        <v>7.0370626935317198</v>
      </c>
      <c r="AG6931">
        <v>-1.094619850722</v>
      </c>
      <c r="AH6931">
        <v>13.2464752158675</v>
      </c>
      <c r="AI6931">
        <v>94.173839892007507</v>
      </c>
      <c r="AJ6931">
        <v>62.020954918444701</v>
      </c>
      <c r="AK6931">
        <v>15.0395328921773</v>
      </c>
    </row>
    <row r="6932" spans="1:37" x14ac:dyDescent="0.2">
      <c r="A6932" t="str">
        <f>"20200111155738500"</f>
        <v>20200111155738500</v>
      </c>
      <c r="B6932" t="str">
        <f>"1578729458480146"</f>
        <v>1578729458480146</v>
      </c>
      <c r="C6932" t="s">
        <v>37</v>
      </c>
      <c r="D6932">
        <v>5.2893160000000004</v>
      </c>
      <c r="E6932">
        <v>0.64486769999999904</v>
      </c>
      <c r="F6932" t="s">
        <v>72</v>
      </c>
      <c r="G6932">
        <v>-171.4316</v>
      </c>
      <c r="H6932" s="1">
        <v>-2.7836809999999998E-6</v>
      </c>
      <c r="I6932">
        <v>135.87790000000001</v>
      </c>
      <c r="J6932">
        <v>-184.13</v>
      </c>
      <c r="K6932">
        <v>1.094565</v>
      </c>
      <c r="L6932">
        <v>127.5812</v>
      </c>
      <c r="M6932">
        <v>0.48482929999999902</v>
      </c>
      <c r="N6932">
        <v>0</v>
      </c>
      <c r="O6932">
        <v>0.87447079999999999</v>
      </c>
      <c r="P6932">
        <v>0.5894933</v>
      </c>
      <c r="Q6932">
        <v>7.4195579999999997E-3</v>
      </c>
      <c r="R6932">
        <v>0.80773919999999999</v>
      </c>
      <c r="S6932">
        <v>2.6800229999999998</v>
      </c>
      <c r="T6932">
        <v>-0.2293116</v>
      </c>
      <c r="U6932">
        <v>1.7710109999999999</v>
      </c>
      <c r="V6932">
        <v>0.12442249999999901</v>
      </c>
      <c r="W6932">
        <v>1.9753900000000001E-2</v>
      </c>
      <c r="X6932">
        <v>0.99203259999999904</v>
      </c>
      <c r="Y6932">
        <v>0.4600127</v>
      </c>
      <c r="Z6932">
        <v>-7.0722170000000001E-2</v>
      </c>
      <c r="AA6932">
        <v>0.88509139999999997</v>
      </c>
      <c r="AB6932">
        <v>28</v>
      </c>
      <c r="AC6932">
        <v>12.6983999999999</v>
      </c>
      <c r="AD6932">
        <v>-1.0945677836809999</v>
      </c>
      <c r="AE6932">
        <v>8.2967000000000102</v>
      </c>
      <c r="AF6932">
        <v>7.0460618797740402</v>
      </c>
      <c r="AG6932">
        <v>-1.0945677836809999</v>
      </c>
      <c r="AH6932">
        <v>13.3439137698615</v>
      </c>
      <c r="AI6932">
        <v>94.148748739675796</v>
      </c>
      <c r="AJ6932">
        <v>62.1643497999872</v>
      </c>
      <c r="AK6932">
        <v>15.1296100856623</v>
      </c>
    </row>
    <row r="6933" spans="1:37" x14ac:dyDescent="0.2">
      <c r="A6933" t="str">
        <f>"20200111155738514"</f>
        <v>20200111155738514</v>
      </c>
      <c r="B6933" t="str">
        <f>"1578729458510402"</f>
        <v>1578729458510402</v>
      </c>
      <c r="C6933" t="s">
        <v>37</v>
      </c>
      <c r="D6933">
        <v>5.314457</v>
      </c>
      <c r="E6933">
        <v>0.64306549999999996</v>
      </c>
      <c r="F6933" t="s">
        <v>72</v>
      </c>
      <c r="G6933">
        <v>-171.14680000000001</v>
      </c>
      <c r="H6933" s="1">
        <v>-2.6827609999999999E-6</v>
      </c>
      <c r="I6933">
        <v>136.01669999999999</v>
      </c>
      <c r="J6933">
        <v>-184.03020000000001</v>
      </c>
      <c r="K6933">
        <v>1.094509</v>
      </c>
      <c r="L6933">
        <v>127.7428</v>
      </c>
      <c r="M6933">
        <v>0.49255470000000001</v>
      </c>
      <c r="N6933">
        <v>0</v>
      </c>
      <c r="O6933">
        <v>0.87014249999999904</v>
      </c>
      <c r="P6933">
        <v>0.59572749999999997</v>
      </c>
      <c r="Q6933">
        <v>8.4323239999999997E-3</v>
      </c>
      <c r="R6933">
        <v>0.80314229999999998</v>
      </c>
      <c r="S6933">
        <v>2.6937709999999999</v>
      </c>
      <c r="T6933">
        <v>-0.227103</v>
      </c>
      <c r="U6933">
        <v>1.7501979999999999</v>
      </c>
      <c r="V6933">
        <v>0.1233489</v>
      </c>
      <c r="W6933">
        <v>2.0797489999999998E-2</v>
      </c>
      <c r="X6933">
        <v>0.99214539999999996</v>
      </c>
      <c r="Y6933">
        <v>0.45907949999999997</v>
      </c>
      <c r="Z6933">
        <v>-6.9850640000000006E-2</v>
      </c>
      <c r="AA6933">
        <v>0.88564489999999996</v>
      </c>
      <c r="AB6933">
        <v>28</v>
      </c>
      <c r="AC6933">
        <v>12.8833999999999</v>
      </c>
      <c r="AD6933">
        <v>-1.094511682761</v>
      </c>
      <c r="AE6933">
        <v>8.2738999999999798</v>
      </c>
      <c r="AF6933">
        <v>7.0996304671224904</v>
      </c>
      <c r="AG6933">
        <v>-1.094511682761</v>
      </c>
      <c r="AH6933">
        <v>13.4780188543384</v>
      </c>
      <c r="AI6933">
        <v>94.109562733348497</v>
      </c>
      <c r="AJ6933">
        <v>62.221701431004398</v>
      </c>
      <c r="AK6933">
        <v>15.2728419369578</v>
      </c>
    </row>
    <row r="6934" spans="1:37" x14ac:dyDescent="0.2">
      <c r="A6934" t="str">
        <f>"20200111155738527"</f>
        <v>20200111155738527</v>
      </c>
      <c r="B6934" t="str">
        <f>"1578729458520161"</f>
        <v>1578729458520161</v>
      </c>
      <c r="C6934" t="s">
        <v>37</v>
      </c>
      <c r="D6934">
        <v>5.2759739999999997</v>
      </c>
      <c r="E6934">
        <v>0.64210249999999902</v>
      </c>
      <c r="F6934" t="s">
        <v>72</v>
      </c>
      <c r="G6934">
        <v>-171.25360000000001</v>
      </c>
      <c r="H6934" s="1">
        <v>-2.7279469999999898E-6</v>
      </c>
      <c r="I6934">
        <v>135.9812</v>
      </c>
      <c r="J6934">
        <v>-183.9427</v>
      </c>
      <c r="K6934">
        <v>1.0944590000000001</v>
      </c>
      <c r="L6934">
        <v>127.8818</v>
      </c>
      <c r="M6934">
        <v>0.49925119999999901</v>
      </c>
      <c r="N6934">
        <v>0</v>
      </c>
      <c r="O6934">
        <v>0.86631729999999996</v>
      </c>
      <c r="P6934">
        <v>0.60082119999999894</v>
      </c>
      <c r="Q6934">
        <v>1.026845E-2</v>
      </c>
      <c r="R6934">
        <v>0.79931750000000001</v>
      </c>
      <c r="S6934">
        <v>2.6957089999999999</v>
      </c>
      <c r="T6934">
        <v>-0.2309292</v>
      </c>
      <c r="U6934">
        <v>1.738205</v>
      </c>
      <c r="V6934">
        <v>0.122063799999999</v>
      </c>
      <c r="W6934">
        <v>2.2670059999999999E-2</v>
      </c>
      <c r="X6934">
        <v>0.99226329999999996</v>
      </c>
      <c r="Y6934">
        <v>0.45522200000000002</v>
      </c>
      <c r="Z6934">
        <v>-7.089094E-2</v>
      </c>
      <c r="AA6934">
        <v>0.88755139999999999</v>
      </c>
      <c r="AB6934">
        <v>28</v>
      </c>
      <c r="AC6934">
        <v>12.6890999999999</v>
      </c>
      <c r="AD6934">
        <v>-1.0944617279469999</v>
      </c>
      <c r="AE6934">
        <v>8.0993999999999993</v>
      </c>
      <c r="AF6934">
        <v>6.9134511753309003</v>
      </c>
      <c r="AG6934">
        <v>-1.0944617279469999</v>
      </c>
      <c r="AH6934">
        <v>13.283105849375399</v>
      </c>
      <c r="AI6934">
        <v>94.180212162436703</v>
      </c>
      <c r="AJ6934">
        <v>62.5043986856098</v>
      </c>
      <c r="AK6934">
        <v>15.0144781672003</v>
      </c>
    </row>
    <row r="6935" spans="1:37" x14ac:dyDescent="0.2">
      <c r="A6935" t="str">
        <f>"20200111155738542"</f>
        <v>20200111155738542</v>
      </c>
      <c r="B6935" t="str">
        <f>"1578729458540658"</f>
        <v>1578729458540658</v>
      </c>
      <c r="C6935" t="s">
        <v>37</v>
      </c>
      <c r="D6935">
        <v>5.343953</v>
      </c>
      <c r="E6935">
        <v>0.64045609999999997</v>
      </c>
      <c r="F6935" t="s">
        <v>72</v>
      </c>
      <c r="G6935">
        <v>-171.1147</v>
      </c>
      <c r="H6935" s="1">
        <v>-2.6940369999999999E-6</v>
      </c>
      <c r="I6935">
        <v>136.08349999999999</v>
      </c>
      <c r="J6935">
        <v>-183.8381</v>
      </c>
      <c r="K6935">
        <v>1.0943989999999999</v>
      </c>
      <c r="L6935">
        <v>128.0453</v>
      </c>
      <c r="M6935">
        <v>0.50717380000000001</v>
      </c>
      <c r="N6935">
        <v>0</v>
      </c>
      <c r="O6935">
        <v>0.86170270000000004</v>
      </c>
      <c r="P6935">
        <v>0.60741619999999996</v>
      </c>
      <c r="Q6935">
        <v>1.0694749999999999E-2</v>
      </c>
      <c r="R6935">
        <v>0.79431180000000001</v>
      </c>
      <c r="S6935">
        <v>2.7002869999999999</v>
      </c>
      <c r="T6935">
        <v>-0.23038320000000001</v>
      </c>
      <c r="U6935">
        <v>1.726456</v>
      </c>
      <c r="V6935">
        <v>0.121195</v>
      </c>
      <c r="W6935">
        <v>2.312198E-2</v>
      </c>
      <c r="X6935">
        <v>0.9923594</v>
      </c>
      <c r="Y6935">
        <v>0.45049869999999997</v>
      </c>
      <c r="Z6935">
        <v>-7.0483480000000001E-2</v>
      </c>
      <c r="AA6935">
        <v>0.88999039999999996</v>
      </c>
      <c r="AB6935">
        <v>28</v>
      </c>
      <c r="AC6935">
        <v>12.7233999999999</v>
      </c>
      <c r="AD6935">
        <v>-1.0944016940369901</v>
      </c>
      <c r="AE6935">
        <v>8.0381999999999891</v>
      </c>
      <c r="AF6935">
        <v>6.8516299897630599</v>
      </c>
      <c r="AG6935">
        <v>-1.0944016940369901</v>
      </c>
      <c r="AH6935">
        <v>13.310753943679501</v>
      </c>
      <c r="AI6935">
        <v>94.181058689157695</v>
      </c>
      <c r="AJ6935">
        <v>62.763129266632802</v>
      </c>
      <c r="AK6935">
        <v>15.010620211493899</v>
      </c>
    </row>
    <row r="6936" spans="1:37" x14ac:dyDescent="0.2">
      <c r="A6936" t="str">
        <f>"20200111155738557"</f>
        <v>20200111155738557</v>
      </c>
      <c r="B6936" t="str">
        <f>"1578729458550418"</f>
        <v>1578729458550418</v>
      </c>
      <c r="C6936" t="s">
        <v>37</v>
      </c>
      <c r="D6936">
        <v>5.3327780000000002</v>
      </c>
      <c r="E6936">
        <v>0.63957459999999999</v>
      </c>
      <c r="F6936" t="s">
        <v>72</v>
      </c>
      <c r="G6936">
        <v>-171.1962</v>
      </c>
      <c r="H6936" s="1">
        <v>-2.7259890000000002E-6</v>
      </c>
      <c r="I6936">
        <v>136.05070000000001</v>
      </c>
      <c r="J6936">
        <v>-183.73099999999999</v>
      </c>
      <c r="K6936">
        <v>1.0943350000000001</v>
      </c>
      <c r="L6936">
        <v>128.20920000000001</v>
      </c>
      <c r="M6936">
        <v>0.51518739999999996</v>
      </c>
      <c r="N6936">
        <v>0</v>
      </c>
      <c r="O6936">
        <v>0.85693529999999996</v>
      </c>
      <c r="P6936">
        <v>0.6145815</v>
      </c>
      <c r="Q6936">
        <v>1.1248950000000001E-2</v>
      </c>
      <c r="R6936">
        <v>0.7887731</v>
      </c>
      <c r="S6936">
        <v>2.7039789999999999</v>
      </c>
      <c r="T6936">
        <v>-0.23408219999999999</v>
      </c>
      <c r="U6936">
        <v>1.71228</v>
      </c>
      <c r="V6936">
        <v>0.120946</v>
      </c>
      <c r="W6936">
        <v>2.3685459999999998E-2</v>
      </c>
      <c r="X6936">
        <v>0.99237640000000005</v>
      </c>
      <c r="Y6936">
        <v>0.44597769999999998</v>
      </c>
      <c r="Z6936">
        <v>-7.1402199999999999E-2</v>
      </c>
      <c r="AA6936">
        <v>0.89219150000000003</v>
      </c>
      <c r="AB6936">
        <v>28</v>
      </c>
      <c r="AC6936">
        <v>12.534799999999899</v>
      </c>
      <c r="AD6936">
        <v>-1.0943377259889999</v>
      </c>
      <c r="AE6936">
        <v>7.8414999999999901</v>
      </c>
      <c r="AF6936">
        <v>6.6659707689493297</v>
      </c>
      <c r="AG6936">
        <v>-1.0943377259889999</v>
      </c>
      <c r="AH6936">
        <v>13.107232946168001</v>
      </c>
      <c r="AI6936">
        <v>94.256096367631898</v>
      </c>
      <c r="AJ6936">
        <v>63.0433891357943</v>
      </c>
      <c r="AK6936">
        <v>14.745585673554</v>
      </c>
    </row>
    <row r="6937" spans="1:37" x14ac:dyDescent="0.2">
      <c r="A6937" t="str">
        <f>"20200111155738571"</f>
        <v>20200111155738571</v>
      </c>
      <c r="B6937" t="str">
        <f>"1578729458560179"</f>
        <v>1578729458560179</v>
      </c>
      <c r="C6937" t="s">
        <v>37</v>
      </c>
      <c r="D6937">
        <v>5.3224010000000002</v>
      </c>
      <c r="E6937">
        <v>0.63892389999999999</v>
      </c>
      <c r="F6937" t="s">
        <v>72</v>
      </c>
      <c r="G6937">
        <v>-171.0744</v>
      </c>
      <c r="H6937" s="1">
        <v>-2.6795330000000002E-6</v>
      </c>
      <c r="I6937">
        <v>136.10249999999999</v>
      </c>
      <c r="J6937">
        <v>-183.6309</v>
      </c>
      <c r="K6937">
        <v>1.0942829999999999</v>
      </c>
      <c r="L6937">
        <v>128.3587</v>
      </c>
      <c r="M6937">
        <v>0.52258439999999995</v>
      </c>
      <c r="N6937">
        <v>0</v>
      </c>
      <c r="O6937">
        <v>0.85244419999999899</v>
      </c>
      <c r="P6937">
        <v>0.62135699999999905</v>
      </c>
      <c r="Q6937">
        <v>1.23048999999999E-2</v>
      </c>
      <c r="R6937">
        <v>0.78343099999999999</v>
      </c>
      <c r="S6937">
        <v>2.713638</v>
      </c>
      <c r="T6937">
        <v>-0.2346316</v>
      </c>
      <c r="U6937">
        <v>1.6923680000000001</v>
      </c>
      <c r="V6937">
        <v>0.1209496</v>
      </c>
      <c r="W6937">
        <v>2.4744200000000001E-2</v>
      </c>
      <c r="X6937">
        <v>0.99235019999999996</v>
      </c>
      <c r="Y6937">
        <v>0.44436579999999898</v>
      </c>
      <c r="Z6937">
        <v>-7.1386110000000003E-2</v>
      </c>
      <c r="AA6937">
        <v>0.89299669999999898</v>
      </c>
      <c r="AB6937">
        <v>28</v>
      </c>
      <c r="AC6937">
        <v>12.5565</v>
      </c>
      <c r="AD6937">
        <v>-1.0942856795329901</v>
      </c>
      <c r="AE6937">
        <v>7.7437999999999896</v>
      </c>
      <c r="AF6937">
        <v>6.6213083144038301</v>
      </c>
      <c r="AG6937">
        <v>-1.0942856795329901</v>
      </c>
      <c r="AH6937">
        <v>13.092559210663101</v>
      </c>
      <c r="AI6937">
        <v>94.265515201604302</v>
      </c>
      <c r="AJ6937">
        <v>63.172878319020199</v>
      </c>
      <c r="AK6937">
        <v>14.712385653847701</v>
      </c>
    </row>
    <row r="6938" spans="1:37" x14ac:dyDescent="0.2">
      <c r="A6938" t="str">
        <f>"20200111155738585"</f>
        <v>20200111155738585</v>
      </c>
      <c r="B6938" t="str">
        <f>"1578729458580674"</f>
        <v>1578729458580674</v>
      </c>
      <c r="C6938" t="s">
        <v>37</v>
      </c>
      <c r="D6938">
        <v>5.5123309999999996</v>
      </c>
      <c r="E6938">
        <v>0.63911989999999996</v>
      </c>
      <c r="F6938" t="s">
        <v>72</v>
      </c>
      <c r="G6938">
        <v>-170.90710000000001</v>
      </c>
      <c r="H6938" s="1">
        <v>-2.6138249999999999E-6</v>
      </c>
      <c r="I6938">
        <v>136.1696</v>
      </c>
      <c r="J6938">
        <v>-183.53059999999999</v>
      </c>
      <c r="K6938">
        <v>1.0942229999999999</v>
      </c>
      <c r="L6938">
        <v>128.5059</v>
      </c>
      <c r="M6938">
        <v>0.52991429999999995</v>
      </c>
      <c r="N6938">
        <v>0</v>
      </c>
      <c r="O6938">
        <v>0.84790669999999901</v>
      </c>
      <c r="P6938">
        <v>0.6281679</v>
      </c>
      <c r="Q6938">
        <v>1.291194E-2</v>
      </c>
      <c r="R6938">
        <v>0.77797069999999902</v>
      </c>
      <c r="S6938">
        <v>2.7242130000000002</v>
      </c>
      <c r="T6938">
        <v>-0.23429139999999901</v>
      </c>
      <c r="U6938">
        <v>1.6723479999999999</v>
      </c>
      <c r="V6938">
        <v>0.1210759</v>
      </c>
      <c r="W6938">
        <v>2.5350069999999999E-2</v>
      </c>
      <c r="X6938">
        <v>0.99231950000000002</v>
      </c>
      <c r="Y6938">
        <v>0.44297029999999898</v>
      </c>
      <c r="Z6938">
        <v>-7.1080110000000002E-2</v>
      </c>
      <c r="AA6938">
        <v>0.89371409999999996</v>
      </c>
      <c r="AB6938">
        <v>28</v>
      </c>
      <c r="AC6938">
        <v>12.6234999999999</v>
      </c>
      <c r="AD6938">
        <v>-1.0942256138249999</v>
      </c>
      <c r="AE6938">
        <v>7.6637000000000004</v>
      </c>
      <c r="AF6938">
        <v>6.6069864130712199</v>
      </c>
      <c r="AG6938">
        <v>-1.0942256138249999</v>
      </c>
      <c r="AH6938">
        <v>13.117076596462301</v>
      </c>
      <c r="AI6938">
        <v>94.260816096468204</v>
      </c>
      <c r="AJ6938">
        <v>63.2659008249395</v>
      </c>
      <c r="AK6938">
        <v>14.727773001846399</v>
      </c>
    </row>
    <row r="6939" spans="1:37" x14ac:dyDescent="0.2">
      <c r="A6939" t="str">
        <f>"20200111155738608"</f>
        <v>20200111155738608</v>
      </c>
      <c r="B6939" t="str">
        <f>"1578729458600194"</f>
        <v>1578729458600194</v>
      </c>
      <c r="C6939" t="s">
        <v>37</v>
      </c>
      <c r="D6939">
        <v>6.4077409999999997</v>
      </c>
      <c r="E6939">
        <v>0.63911989999999996</v>
      </c>
      <c r="F6939" t="s">
        <v>72</v>
      </c>
      <c r="G6939">
        <v>-170.73609999999999</v>
      </c>
      <c r="H6939" s="1">
        <v>-2.5298840000000001E-6</v>
      </c>
      <c r="I6939">
        <v>136.2002</v>
      </c>
      <c r="J6939">
        <v>-183.35560000000001</v>
      </c>
      <c r="K6939">
        <v>1.0941209999999999</v>
      </c>
      <c r="L6939">
        <v>128.75630000000001</v>
      </c>
      <c r="M6939">
        <v>0.54252290000000003</v>
      </c>
      <c r="N6939">
        <v>0</v>
      </c>
      <c r="O6939">
        <v>0.83989449999999999</v>
      </c>
      <c r="P6939">
        <v>0.63985819999999904</v>
      </c>
      <c r="Q6939">
        <v>1.3287200000000001E-2</v>
      </c>
      <c r="R6939">
        <v>0.76837809999999995</v>
      </c>
      <c r="S6939">
        <v>2.73991399999999</v>
      </c>
      <c r="T6939">
        <v>-0.2343256</v>
      </c>
      <c r="U6939">
        <v>1.647705</v>
      </c>
      <c r="V6939">
        <v>0.12127349999999899</v>
      </c>
      <c r="W6939">
        <v>2.5724259999999999E-2</v>
      </c>
      <c r="X6939">
        <v>0.99228570000000005</v>
      </c>
      <c r="Y6939">
        <v>0.43776540000000003</v>
      </c>
      <c r="Z6939">
        <v>-7.058615E-2</v>
      </c>
      <c r="AA6939">
        <v>0.8963141</v>
      </c>
      <c r="AB6939">
        <v>28</v>
      </c>
      <c r="AC6939">
        <v>12.6195</v>
      </c>
      <c r="AD6939">
        <v>-1.094123529884</v>
      </c>
      <c r="AE6939">
        <v>7.4438999999999798</v>
      </c>
      <c r="AF6939">
        <v>6.5249823093228398</v>
      </c>
      <c r="AG6939">
        <v>-1.094123529884</v>
      </c>
      <c r="AH6939">
        <v>13.027421096582399</v>
      </c>
      <c r="AI6939">
        <v>94.294482145785594</v>
      </c>
      <c r="AJ6939">
        <v>63.395303168497399</v>
      </c>
      <c r="AK6939">
        <v>14.6111669918355</v>
      </c>
    </row>
    <row r="6940" spans="1:37" x14ac:dyDescent="0.2">
      <c r="A6940" t="str">
        <f>"20200111155738621"</f>
        <v>20200111155738621</v>
      </c>
      <c r="B6940" t="str">
        <f>"1578729458609954"</f>
        <v>1578729458609954</v>
      </c>
      <c r="C6940" t="s">
        <v>37</v>
      </c>
      <c r="D6940">
        <v>6.4220069999999998</v>
      </c>
      <c r="E6940">
        <v>0.49601200000000001</v>
      </c>
      <c r="F6940" t="s">
        <v>72</v>
      </c>
      <c r="G6940">
        <v>-170.30520000000001</v>
      </c>
      <c r="H6940" s="1">
        <v>-2.3446579999999999E-6</v>
      </c>
      <c r="I6940">
        <v>136.3366</v>
      </c>
      <c r="J6940">
        <v>-183.26240000000001</v>
      </c>
      <c r="K6940">
        <v>1.094066</v>
      </c>
      <c r="L6940">
        <v>128.88669999999999</v>
      </c>
      <c r="M6940">
        <v>0.54914300000000005</v>
      </c>
      <c r="N6940">
        <v>0</v>
      </c>
      <c r="O6940">
        <v>0.83558080000000001</v>
      </c>
      <c r="P6940">
        <v>0.64621379999999995</v>
      </c>
      <c r="Q6940">
        <v>1.318708E-2</v>
      </c>
      <c r="R6940">
        <v>0.76304259999999902</v>
      </c>
      <c r="S6940">
        <v>2.7648470000000001</v>
      </c>
      <c r="T6940">
        <v>-0.2318009</v>
      </c>
      <c r="U6940">
        <v>1.6059570000000001</v>
      </c>
      <c r="V6940">
        <v>0.1216682</v>
      </c>
      <c r="W6940">
        <v>2.5615579999999999E-2</v>
      </c>
      <c r="X6940">
        <v>0.99224029999999996</v>
      </c>
      <c r="Y6940">
        <v>0.44433850000000003</v>
      </c>
      <c r="Z6940">
        <v>-6.97768E-2</v>
      </c>
      <c r="AA6940">
        <v>0.89313750000000003</v>
      </c>
      <c r="AB6940">
        <v>28</v>
      </c>
      <c r="AC6940">
        <v>12.9572</v>
      </c>
      <c r="AD6940">
        <v>-1.094068344658</v>
      </c>
      <c r="AE6940">
        <v>7.4499000000000102</v>
      </c>
      <c r="AF6940">
        <v>6.7006541300586298</v>
      </c>
      <c r="AG6940">
        <v>-1.094068344658</v>
      </c>
      <c r="AH6940">
        <v>13.2708857948074</v>
      </c>
      <c r="AI6940">
        <v>94.208950775294795</v>
      </c>
      <c r="AJ6940">
        <v>63.210157210617403</v>
      </c>
      <c r="AK6940">
        <v>14.906782385621501</v>
      </c>
    </row>
    <row r="6941" spans="1:37" x14ac:dyDescent="0.2">
      <c r="A6941" t="str">
        <f>"20200111155738660"</f>
        <v>20200111155738660</v>
      </c>
      <c r="B6941" t="str">
        <f>"1578729458649970"</f>
        <v>1578729458649970</v>
      </c>
      <c r="C6941" t="s">
        <v>37</v>
      </c>
      <c r="D6941">
        <v>6.3613739999999996</v>
      </c>
      <c r="E6941">
        <v>0.49483769999999999</v>
      </c>
      <c r="F6941" t="s">
        <v>69</v>
      </c>
      <c r="G6941">
        <v>-156.82749999999999</v>
      </c>
      <c r="H6941">
        <v>2.305431</v>
      </c>
      <c r="I6941">
        <v>160.7287</v>
      </c>
      <c r="J6941">
        <v>-182.9631</v>
      </c>
      <c r="K6941">
        <v>1.0939049999999999</v>
      </c>
      <c r="L6941">
        <v>129.28960000000001</v>
      </c>
      <c r="M6941">
        <v>0.56993689999999997</v>
      </c>
      <c r="N6941">
        <v>0</v>
      </c>
      <c r="O6941">
        <v>0.82153729999999903</v>
      </c>
      <c r="P6941">
        <v>0.66546890000000003</v>
      </c>
      <c r="Q6941">
        <v>1.3969189999999999E-2</v>
      </c>
      <c r="R6941">
        <v>0.74629489999999998</v>
      </c>
      <c r="S6941">
        <v>1.915756</v>
      </c>
      <c r="T6941">
        <v>8.7791090000000002E-2</v>
      </c>
      <c r="U6941">
        <v>2.307617</v>
      </c>
      <c r="V6941">
        <v>0.122122699999999</v>
      </c>
      <c r="W6941">
        <v>2.6395419999999999E-2</v>
      </c>
      <c r="X6941">
        <v>0.99216399999999905</v>
      </c>
      <c r="Y6941">
        <v>8.6018810000000001E-2</v>
      </c>
      <c r="Z6941">
        <v>2.4760770000000001E-2</v>
      </c>
      <c r="AA6941">
        <v>0.99598580000000003</v>
      </c>
      <c r="AB6941">
        <v>28</v>
      </c>
      <c r="AC6941">
        <v>26.1356</v>
      </c>
      <c r="AD6941">
        <v>1.2115260000000001</v>
      </c>
      <c r="AE6941">
        <v>31.4391</v>
      </c>
      <c r="AF6941">
        <v>3.5503906972681398</v>
      </c>
      <c r="AG6941">
        <v>1.2115260000000001</v>
      </c>
      <c r="AH6941">
        <v>40.693360561958897</v>
      </c>
      <c r="AI6941">
        <v>88.301139077597497</v>
      </c>
      <c r="AJ6941">
        <v>85.013717559510297</v>
      </c>
      <c r="AK6941">
        <v>40.8659107714182</v>
      </c>
    </row>
    <row r="6942" spans="1:37" x14ac:dyDescent="0.2">
      <c r="A6942" t="str">
        <f>"20200111155738733"</f>
        <v>20200111155738733</v>
      </c>
      <c r="B6942" t="str">
        <f>"1578729458730002"</f>
        <v>1578729458730002</v>
      </c>
      <c r="C6942" t="s">
        <v>37</v>
      </c>
      <c r="D6942">
        <v>5.3395799999999998</v>
      </c>
      <c r="E6942">
        <v>0.49483769999999999</v>
      </c>
      <c r="F6942" t="s">
        <v>69</v>
      </c>
      <c r="G6942">
        <v>-156.2535</v>
      </c>
      <c r="H6942">
        <v>2.6562399999999999</v>
      </c>
      <c r="I6942">
        <v>160.011</v>
      </c>
      <c r="J6942">
        <v>-182.3793</v>
      </c>
      <c r="K6942">
        <v>1.0936399999999999</v>
      </c>
      <c r="L6942">
        <v>130.01650000000001</v>
      </c>
      <c r="M6942">
        <v>0.60857669999999997</v>
      </c>
      <c r="N6942">
        <v>0</v>
      </c>
      <c r="O6942">
        <v>0.79333640000000005</v>
      </c>
      <c r="P6942">
        <v>0.69804080000000002</v>
      </c>
      <c r="Q6942">
        <v>1.1785810000000001E-2</v>
      </c>
      <c r="R6942">
        <v>0.71596110000000002</v>
      </c>
      <c r="S6942">
        <v>1.9676359999999999</v>
      </c>
      <c r="T6942">
        <v>0.115096</v>
      </c>
      <c r="U6942">
        <v>2.2631679999999998</v>
      </c>
      <c r="V6942">
        <v>0.1187807</v>
      </c>
      <c r="W6942">
        <v>2.4333759999999999E-2</v>
      </c>
      <c r="X6942">
        <v>0.99262229999999996</v>
      </c>
      <c r="Y6942">
        <v>6.0857710000000002E-2</v>
      </c>
      <c r="Z6942">
        <v>3.1144370000000001E-2</v>
      </c>
      <c r="AA6942">
        <v>0.99766049999999995</v>
      </c>
      <c r="AB6942">
        <v>28</v>
      </c>
      <c r="AC6942">
        <v>26.125800000000002</v>
      </c>
      <c r="AD6942">
        <v>1.5626</v>
      </c>
      <c r="AE6942">
        <v>29.994499999999899</v>
      </c>
      <c r="AF6942">
        <v>2.4690952484348001</v>
      </c>
      <c r="AG6942">
        <v>1.5626</v>
      </c>
      <c r="AH6942">
        <v>39.639107811699098</v>
      </c>
      <c r="AI6942">
        <v>87.746893375371599</v>
      </c>
      <c r="AJ6942">
        <v>86.435686753023305</v>
      </c>
      <c r="AK6942">
        <v>39.746660466174397</v>
      </c>
    </row>
    <row r="6943" spans="1:37" x14ac:dyDescent="0.2">
      <c r="A6943" t="str">
        <f>"20200111155738772"</f>
        <v>20200111155738772</v>
      </c>
      <c r="B6943" t="str">
        <f>"1578729458770018"</f>
        <v>1578729458770018</v>
      </c>
      <c r="C6943" t="s">
        <v>37</v>
      </c>
      <c r="D6943">
        <v>6.3215139999999996</v>
      </c>
      <c r="E6943">
        <v>0.49133279999999901</v>
      </c>
      <c r="F6943" t="s">
        <v>69</v>
      </c>
      <c r="G6943">
        <v>-153.0916</v>
      </c>
      <c r="H6943">
        <v>2.630455</v>
      </c>
      <c r="I6943">
        <v>160.82299999999901</v>
      </c>
      <c r="J6943">
        <v>-182.0505</v>
      </c>
      <c r="K6943">
        <v>1.093515</v>
      </c>
      <c r="L6943">
        <v>130.39519999999999</v>
      </c>
      <c r="M6943">
        <v>0.62926009999999999</v>
      </c>
      <c r="N6943">
        <v>0</v>
      </c>
      <c r="O6943">
        <v>0.77703169999999899</v>
      </c>
      <c r="P6943">
        <v>0.71521409999999996</v>
      </c>
      <c r="Q6943">
        <v>1.0428420000000001E-2</v>
      </c>
      <c r="R6943">
        <v>0.69882769999999905</v>
      </c>
      <c r="S6943">
        <v>2.0664669999999998</v>
      </c>
      <c r="T6943">
        <v>0.1084362</v>
      </c>
      <c r="U6943">
        <v>2.17362999999999</v>
      </c>
      <c r="V6943">
        <v>0.11668829999999999</v>
      </c>
      <c r="W6943">
        <v>2.3054290000000002E-2</v>
      </c>
      <c r="X6943">
        <v>0.99290100000000003</v>
      </c>
      <c r="Y6943">
        <v>7.8971340000000001E-2</v>
      </c>
      <c r="Z6943">
        <v>2.898245E-2</v>
      </c>
      <c r="AA6943">
        <v>0.99645550000000005</v>
      </c>
      <c r="AB6943">
        <v>28</v>
      </c>
      <c r="AC6943">
        <v>28.9589</v>
      </c>
      <c r="AD6943">
        <v>1.53694</v>
      </c>
      <c r="AE6943">
        <v>30.427799999999898</v>
      </c>
      <c r="AF6943">
        <v>3.35092204010664</v>
      </c>
      <c r="AG6943">
        <v>1.53694</v>
      </c>
      <c r="AH6943">
        <v>41.815371870028102</v>
      </c>
      <c r="AI6943">
        <v>87.901739743344194</v>
      </c>
      <c r="AJ6943">
        <v>85.418328799124296</v>
      </c>
      <c r="AK6943">
        <v>41.977567672641698</v>
      </c>
    </row>
    <row r="6944" spans="1:37" x14ac:dyDescent="0.2">
      <c r="A6944" t="str">
        <f>"20200111155738797"</f>
        <v>20200111155738797</v>
      </c>
      <c r="B6944" t="str">
        <f>"1578729458790514"</f>
        <v>1578729458790514</v>
      </c>
      <c r="C6944" t="s">
        <v>37</v>
      </c>
      <c r="D6944">
        <v>6.4328620000000001</v>
      </c>
      <c r="E6944">
        <v>0.48914489999999999</v>
      </c>
      <c r="F6944" t="s">
        <v>69</v>
      </c>
      <c r="G6944">
        <v>-152.22649999999999</v>
      </c>
      <c r="H6944">
        <v>2.914577</v>
      </c>
      <c r="I6944">
        <v>160.82259999999999</v>
      </c>
      <c r="J6944">
        <v>-181.8372</v>
      </c>
      <c r="K6944">
        <v>1.0934360000000001</v>
      </c>
      <c r="L6944">
        <v>130.63069999999999</v>
      </c>
      <c r="M6944">
        <v>0.64228499999999999</v>
      </c>
      <c r="N6944">
        <v>0</v>
      </c>
      <c r="O6944">
        <v>0.76629999999999998</v>
      </c>
      <c r="P6944">
        <v>0.72631389999999996</v>
      </c>
      <c r="Q6944">
        <v>9.3681449999999996E-3</v>
      </c>
      <c r="R6944">
        <v>0.6872994</v>
      </c>
      <c r="S6944">
        <v>2.0996549999999998</v>
      </c>
      <c r="T6944">
        <v>0.12820799999999999</v>
      </c>
      <c r="U6944">
        <v>2.1421359999999998</v>
      </c>
      <c r="V6944">
        <v>0.115796699999999</v>
      </c>
      <c r="W6944">
        <v>2.203126E-2</v>
      </c>
      <c r="X6944">
        <v>0.99302860000000004</v>
      </c>
      <c r="Y6944">
        <v>7.7202220000000002E-2</v>
      </c>
      <c r="Z6944">
        <v>3.3794959999999999E-2</v>
      </c>
      <c r="AA6944">
        <v>0.99644259999999996</v>
      </c>
      <c r="AB6944">
        <v>28</v>
      </c>
      <c r="AC6944">
        <v>29.610700000000001</v>
      </c>
      <c r="AD6944">
        <v>1.8211409999999999</v>
      </c>
      <c r="AE6944">
        <v>30.1919</v>
      </c>
      <c r="AF6944">
        <v>3.2931870877878602</v>
      </c>
      <c r="AG6944">
        <v>1.8211409999999999</v>
      </c>
      <c r="AH6944">
        <v>42.081879667380797</v>
      </c>
      <c r="AI6944">
        <v>87.529550129692197</v>
      </c>
      <c r="AJ6944">
        <v>85.525343569789399</v>
      </c>
      <c r="AK6944">
        <v>42.249807479762303</v>
      </c>
    </row>
    <row r="6945" spans="1:37" x14ac:dyDescent="0.2">
      <c r="A6945" t="str">
        <f>"20200111155738810"</f>
        <v>20200111155738810</v>
      </c>
      <c r="B6945" t="str">
        <f>"1578729458800274"</f>
        <v>1578729458800274</v>
      </c>
      <c r="C6945" t="s">
        <v>37</v>
      </c>
      <c r="D6945">
        <v>6.3383279999999997</v>
      </c>
      <c r="E6945">
        <v>0.4869482</v>
      </c>
      <c r="F6945" t="s">
        <v>69</v>
      </c>
      <c r="G6945">
        <v>-151.6301</v>
      </c>
      <c r="H6945">
        <v>2.997341</v>
      </c>
      <c r="I6945">
        <v>160.82239999999999</v>
      </c>
      <c r="J6945">
        <v>-181.7389</v>
      </c>
      <c r="K6945">
        <v>1.093404</v>
      </c>
      <c r="L6945">
        <v>130.73570000000001</v>
      </c>
      <c r="M6945">
        <v>0.648173</v>
      </c>
      <c r="N6945">
        <v>0</v>
      </c>
      <c r="O6945">
        <v>0.76132580000000005</v>
      </c>
      <c r="P6945">
        <v>0.73163059999999902</v>
      </c>
      <c r="Q6945">
        <v>8.2988349999999992E-3</v>
      </c>
      <c r="R6945">
        <v>0.6816508</v>
      </c>
      <c r="S6945">
        <v>2.1218720000000002</v>
      </c>
      <c r="T6945">
        <v>0.13374040000000001</v>
      </c>
      <c r="U6945">
        <v>2.1207889999999998</v>
      </c>
      <c r="V6945">
        <v>0.1158187</v>
      </c>
      <c r="W6945">
        <v>2.0966249999999999E-2</v>
      </c>
      <c r="X6945">
        <v>0.99304910000000002</v>
      </c>
      <c r="Y6945">
        <v>7.9705659999999998E-2</v>
      </c>
      <c r="Z6945">
        <v>3.5070599999999903E-2</v>
      </c>
      <c r="AA6945">
        <v>0.99620129999999996</v>
      </c>
      <c r="AB6945">
        <v>28</v>
      </c>
      <c r="AC6945">
        <v>30.108799999999999</v>
      </c>
      <c r="AD6945">
        <v>1.903937</v>
      </c>
      <c r="AE6945">
        <v>30.086699999999901</v>
      </c>
      <c r="AF6945">
        <v>3.4148231437503598</v>
      </c>
      <c r="AG6945">
        <v>1.903937</v>
      </c>
      <c r="AH6945">
        <v>42.342178567587098</v>
      </c>
      <c r="AI6945">
        <v>87.433722191617306</v>
      </c>
      <c r="AJ6945">
        <v>85.389174127420603</v>
      </c>
      <c r="AK6945">
        <v>42.522300961407197</v>
      </c>
    </row>
    <row r="6946" spans="1:37" x14ac:dyDescent="0.2">
      <c r="A6946" t="str">
        <f>"20200111155738863"</f>
        <v>20200111155738863</v>
      </c>
      <c r="B6946" t="str">
        <f>"1578729458859809"</f>
        <v>1578729458859809</v>
      </c>
      <c r="C6946" t="s">
        <v>37</v>
      </c>
      <c r="D6946">
        <v>6.2634930000000004</v>
      </c>
      <c r="E6946">
        <v>0.48445070000000001</v>
      </c>
      <c r="F6946" t="s">
        <v>69</v>
      </c>
      <c r="G6946">
        <v>-151.51150000000001</v>
      </c>
      <c r="H6946">
        <v>3.090973</v>
      </c>
      <c r="I6946">
        <v>160.82230000000001</v>
      </c>
      <c r="J6946">
        <v>-181.2671</v>
      </c>
      <c r="K6946">
        <v>1.09324</v>
      </c>
      <c r="L6946">
        <v>131.22</v>
      </c>
      <c r="M6946">
        <v>0.67559150000000001</v>
      </c>
      <c r="N6946">
        <v>0</v>
      </c>
      <c r="O6946">
        <v>0.73710200000000003</v>
      </c>
      <c r="P6946">
        <v>0.75578579999999995</v>
      </c>
      <c r="Q6946">
        <v>4.4133569999999997E-3</v>
      </c>
      <c r="R6946">
        <v>0.6548041</v>
      </c>
      <c r="S6946">
        <v>2.1266630000000002</v>
      </c>
      <c r="T6946">
        <v>0.14054229999999901</v>
      </c>
      <c r="U6946">
        <v>2.11675999999999</v>
      </c>
      <c r="V6946">
        <v>0.115248399999999</v>
      </c>
      <c r="W6946">
        <v>1.7120779999999999E-2</v>
      </c>
      <c r="X6946">
        <v>0.99318919999999999</v>
      </c>
      <c r="Y6946">
        <v>4.5235589999999999E-2</v>
      </c>
      <c r="Z6946">
        <v>3.5215910000000003E-2</v>
      </c>
      <c r="AA6946">
        <v>0.9983554</v>
      </c>
      <c r="AB6946">
        <v>28</v>
      </c>
      <c r="AC6946">
        <v>29.755599999999902</v>
      </c>
      <c r="AD6946">
        <v>1.997733</v>
      </c>
      <c r="AE6946">
        <v>29.6023</v>
      </c>
      <c r="AF6946">
        <v>1.9297267294576399</v>
      </c>
      <c r="AG6946">
        <v>1.997733</v>
      </c>
      <c r="AH6946">
        <v>41.833159319312401</v>
      </c>
      <c r="AI6946">
        <v>87.268830069127901</v>
      </c>
      <c r="AJ6946">
        <v>87.358868532633494</v>
      </c>
      <c r="AK6946">
        <v>41.925266856928303</v>
      </c>
    </row>
    <row r="6947" spans="1:37" x14ac:dyDescent="0.2">
      <c r="A6947" t="str">
        <f>"20200111155738902"</f>
        <v>20200111155738902</v>
      </c>
      <c r="B6947" t="str">
        <f>"1578729458899827"</f>
        <v>1578729458899827</v>
      </c>
      <c r="C6947" t="s">
        <v>37</v>
      </c>
      <c r="D6947">
        <v>6.2342899999999997</v>
      </c>
      <c r="E6947">
        <v>0.48065779999999902</v>
      </c>
      <c r="F6947" t="s">
        <v>69</v>
      </c>
      <c r="G6947">
        <v>-149.70689999999999</v>
      </c>
      <c r="H6947">
        <v>3.2093910000000001</v>
      </c>
      <c r="I6947">
        <v>160.82169999999999</v>
      </c>
      <c r="J6947">
        <v>-180.91159999999999</v>
      </c>
      <c r="K6947">
        <v>1.0931489999999999</v>
      </c>
      <c r="L6947">
        <v>131.56180000000001</v>
      </c>
      <c r="M6947">
        <v>0.69532539999999998</v>
      </c>
      <c r="N6947">
        <v>0</v>
      </c>
      <c r="O6947">
        <v>0.71851549999999997</v>
      </c>
      <c r="P6947">
        <v>0.77276330000000004</v>
      </c>
      <c r="Q6947">
        <v>2.46758E-3</v>
      </c>
      <c r="R6947">
        <v>0.63468959999999996</v>
      </c>
      <c r="S6947">
        <v>2.1893769999999999</v>
      </c>
      <c r="T6947">
        <v>0.1468024</v>
      </c>
      <c r="U6947">
        <v>2.0535130000000001</v>
      </c>
      <c r="V6947">
        <v>0.1144145</v>
      </c>
      <c r="W6947">
        <v>1.5216540000000001E-2</v>
      </c>
      <c r="X6947">
        <v>0.99331650000000005</v>
      </c>
      <c r="Y6947">
        <v>4.7737870000000002E-2</v>
      </c>
      <c r="Z6947">
        <v>3.5924379999999999E-2</v>
      </c>
      <c r="AA6947">
        <v>0.99821360000000003</v>
      </c>
      <c r="AB6947">
        <v>28</v>
      </c>
      <c r="AC6947">
        <v>31.204699999999999</v>
      </c>
      <c r="AD6947">
        <v>2.1162420000000002</v>
      </c>
      <c r="AE6947">
        <v>29.259899999999899</v>
      </c>
      <c r="AF6947">
        <v>2.0711079828341199</v>
      </c>
      <c r="AG6947">
        <v>2.1162420000000002</v>
      </c>
      <c r="AH6947">
        <v>42.622310785124498</v>
      </c>
      <c r="AI6947">
        <v>87.160883656765705</v>
      </c>
      <c r="AJ6947">
        <v>87.218065406042996</v>
      </c>
      <c r="AK6947">
        <v>42.725043535880197</v>
      </c>
    </row>
    <row r="6948" spans="1:37" x14ac:dyDescent="0.2">
      <c r="A6948" t="str">
        <f>"20200111155738915"</f>
        <v>20200111155738915</v>
      </c>
      <c r="B6948" t="str">
        <f>"1578729458910562"</f>
        <v>1578729458910562</v>
      </c>
      <c r="C6948" t="s">
        <v>37</v>
      </c>
      <c r="D6948">
        <v>6.2256580000000001</v>
      </c>
      <c r="E6948">
        <v>0.47904099999999999</v>
      </c>
      <c r="F6948" t="s">
        <v>69</v>
      </c>
      <c r="G6948">
        <v>-148.65989999999999</v>
      </c>
      <c r="H6948">
        <v>3.4890539999999999</v>
      </c>
      <c r="I6948">
        <v>160.82130000000001</v>
      </c>
      <c r="J6948">
        <v>-180.78389999999999</v>
      </c>
      <c r="K6948">
        <v>1.093116</v>
      </c>
      <c r="L6948">
        <v>131.68</v>
      </c>
      <c r="M6948">
        <v>0.70222549999999995</v>
      </c>
      <c r="N6948">
        <v>0</v>
      </c>
      <c r="O6948">
        <v>0.71177290000000004</v>
      </c>
      <c r="P6948">
        <v>0.77866389999999996</v>
      </c>
      <c r="Q6948">
        <v>1.7194059999999999E-3</v>
      </c>
      <c r="R6948">
        <v>0.62743890000000002</v>
      </c>
      <c r="S6948">
        <v>2.2242739999999999</v>
      </c>
      <c r="T6948">
        <v>0.16523840000000001</v>
      </c>
      <c r="U6948">
        <v>2.01791399999999</v>
      </c>
      <c r="V6948">
        <v>0.1140968</v>
      </c>
      <c r="W6948">
        <v>1.448372E-2</v>
      </c>
      <c r="X6948">
        <v>0.99336399999999903</v>
      </c>
      <c r="Y6948">
        <v>5.4490990000000003E-2</v>
      </c>
      <c r="Z6948">
        <v>4.0175290000000002E-2</v>
      </c>
      <c r="AA6948">
        <v>0.99770569999999903</v>
      </c>
      <c r="AB6948">
        <v>27</v>
      </c>
      <c r="AC6948">
        <v>32.123999999999903</v>
      </c>
      <c r="AD6948">
        <v>2.3959380000000001</v>
      </c>
      <c r="AE6948">
        <v>29.141300000000001</v>
      </c>
      <c r="AF6948">
        <v>2.3942331399990602</v>
      </c>
      <c r="AG6948">
        <v>2.3959380000000001</v>
      </c>
      <c r="AH6948">
        <v>43.174132202027003</v>
      </c>
      <c r="AI6948">
        <v>86.828505555107299</v>
      </c>
      <c r="AJ6948">
        <v>86.825898195384895</v>
      </c>
      <c r="AK6948">
        <v>43.306795801890203</v>
      </c>
    </row>
    <row r="6949" spans="1:37" x14ac:dyDescent="0.2">
      <c r="A6949" t="str">
        <f>"20200111155738943"</f>
        <v>20200111155738943</v>
      </c>
      <c r="B6949" t="str">
        <f>"1578729458939842"</f>
        <v>1578729458939842</v>
      </c>
      <c r="C6949" t="s">
        <v>37</v>
      </c>
      <c r="D6949">
        <v>5.1560959999999998</v>
      </c>
      <c r="E6949">
        <v>0.4774564</v>
      </c>
      <c r="F6949" t="s">
        <v>69</v>
      </c>
      <c r="G6949">
        <v>-148.3263</v>
      </c>
      <c r="H6949">
        <v>3.6356559999999898</v>
      </c>
      <c r="I6949">
        <v>160.8211</v>
      </c>
      <c r="J6949">
        <v>-180.5275</v>
      </c>
      <c r="K6949">
        <v>1.093051</v>
      </c>
      <c r="L6949">
        <v>131.9101</v>
      </c>
      <c r="M6949">
        <v>0.71579359999999903</v>
      </c>
      <c r="N6949">
        <v>0</v>
      </c>
      <c r="O6949">
        <v>0.69812609999999997</v>
      </c>
      <c r="P6949">
        <v>0.7899292</v>
      </c>
      <c r="Q6949">
        <v>4.67020999999999E-4</v>
      </c>
      <c r="R6949">
        <v>0.61319789999999996</v>
      </c>
      <c r="S6949">
        <v>2.2352599999999998</v>
      </c>
      <c r="T6949">
        <v>0.17509959999999999</v>
      </c>
      <c r="U6949">
        <v>2.006866</v>
      </c>
      <c r="V6949">
        <v>0.1129835</v>
      </c>
      <c r="W6949">
        <v>1.3276970000000001E-2</v>
      </c>
      <c r="X6949">
        <v>0.99350819999999995</v>
      </c>
      <c r="Y6949">
        <v>4.0363749999999997E-2</v>
      </c>
      <c r="Z6949">
        <v>4.1488999999999998E-2</v>
      </c>
      <c r="AA6949">
        <v>0.99832330000000002</v>
      </c>
      <c r="AB6949">
        <v>27</v>
      </c>
      <c r="AC6949">
        <v>32.2012</v>
      </c>
      <c r="AD6949">
        <v>2.542605</v>
      </c>
      <c r="AE6949">
        <v>28.911000000000001</v>
      </c>
      <c r="AF6949">
        <v>1.78027560876081</v>
      </c>
      <c r="AG6949">
        <v>2.542605</v>
      </c>
      <c r="AH6949">
        <v>43.089799077254298</v>
      </c>
      <c r="AI6949">
        <v>86.625928513538099</v>
      </c>
      <c r="AJ6949">
        <v>87.6341430669505</v>
      </c>
      <c r="AK6949">
        <v>43.201446803866702</v>
      </c>
    </row>
    <row r="6950" spans="1:37" x14ac:dyDescent="0.2">
      <c r="A6950" t="str">
        <f>"20200111155738988"</f>
        <v>20200111155738988</v>
      </c>
      <c r="B6950" t="str">
        <f>"1578729458979858"</f>
        <v>1578729458979858</v>
      </c>
      <c r="C6950" t="s">
        <v>37</v>
      </c>
      <c r="D6950">
        <v>5.2601440000000004</v>
      </c>
      <c r="E6950">
        <v>0.65142429999999996</v>
      </c>
      <c r="F6950" t="s">
        <v>69</v>
      </c>
      <c r="G6950">
        <v>-147.4023</v>
      </c>
      <c r="H6950">
        <v>3.7178290000000001</v>
      </c>
      <c r="I6950">
        <v>160.82079999999999</v>
      </c>
      <c r="J6950">
        <v>-180.1011</v>
      </c>
      <c r="K6950">
        <v>1.0929469999999999</v>
      </c>
      <c r="L6950">
        <v>132.27330000000001</v>
      </c>
      <c r="M6950">
        <v>0.73754690000000001</v>
      </c>
      <c r="N6950">
        <v>0</v>
      </c>
      <c r="O6950">
        <v>0.67510270000000006</v>
      </c>
      <c r="P6950">
        <v>0.80807620000000002</v>
      </c>
      <c r="Q6950" s="1">
        <v>-9.9744650000000001E-6</v>
      </c>
      <c r="R6950">
        <v>0.58907810000000005</v>
      </c>
      <c r="S6950">
        <v>2.2639009999999899</v>
      </c>
      <c r="T6950">
        <v>0.17938899999999999</v>
      </c>
      <c r="U6950">
        <v>1.9758610000000001</v>
      </c>
      <c r="V6950">
        <v>0.111489899999999</v>
      </c>
      <c r="W6950">
        <v>1.2865969999999999E-2</v>
      </c>
      <c r="X6950">
        <v>0.99368230000000002</v>
      </c>
      <c r="Y6950">
        <v>2.272921E-2</v>
      </c>
      <c r="Z6950">
        <v>4.0756359999999998E-2</v>
      </c>
      <c r="AA6950">
        <v>0.99891049999999904</v>
      </c>
      <c r="AB6950">
        <v>27</v>
      </c>
      <c r="AC6950">
        <v>32.698799999999999</v>
      </c>
      <c r="AD6950">
        <v>2.6248819999999999</v>
      </c>
      <c r="AE6950">
        <v>28.5474999999999</v>
      </c>
      <c r="AF6950">
        <v>1.0163445706323699</v>
      </c>
      <c r="AG6950">
        <v>2.6248819999999999</v>
      </c>
      <c r="AH6950">
        <v>43.236946345504698</v>
      </c>
      <c r="AI6950">
        <v>86.526837936882103</v>
      </c>
      <c r="AJ6950">
        <v>88.653430977791601</v>
      </c>
      <c r="AK6950">
        <v>43.328472060346598</v>
      </c>
    </row>
    <row r="6951" spans="1:37" x14ac:dyDescent="0.2">
      <c r="A6951" t="str">
        <f>"20200111155739001"</f>
        <v>20200111155739001</v>
      </c>
      <c r="B6951" t="str">
        <f>"1578729458990593"</f>
        <v>1578729458990593</v>
      </c>
      <c r="C6951" t="s">
        <v>37</v>
      </c>
      <c r="D6951">
        <v>5.2556760000000002</v>
      </c>
      <c r="E6951">
        <v>0.64920690000000003</v>
      </c>
      <c r="F6951" t="s">
        <v>38</v>
      </c>
      <c r="G6951">
        <v>-168.11429999999999</v>
      </c>
      <c r="H6951" s="1">
        <v>-1.8466409999999899E-6</v>
      </c>
      <c r="I6951">
        <v>135.3382</v>
      </c>
      <c r="J6951">
        <v>-179.9753</v>
      </c>
      <c r="K6951">
        <v>1.092911</v>
      </c>
      <c r="L6951">
        <v>132.37639999999999</v>
      </c>
      <c r="M6951">
        <v>0.74378089999999997</v>
      </c>
      <c r="N6951">
        <v>0</v>
      </c>
      <c r="O6951">
        <v>0.66822789999999999</v>
      </c>
      <c r="P6951">
        <v>0.81330480000000005</v>
      </c>
      <c r="Q6951" s="1">
        <v>-7.5258309999999998E-5</v>
      </c>
      <c r="R6951">
        <v>0.58183799999999997</v>
      </c>
      <c r="S6951">
        <v>3.1292719999999998</v>
      </c>
      <c r="T6951">
        <v>-0.28532579999999902</v>
      </c>
      <c r="U6951">
        <v>0.80010990000000004</v>
      </c>
      <c r="V6951">
        <v>0.1111407</v>
      </c>
      <c r="W6951">
        <v>1.281733E-2</v>
      </c>
      <c r="X6951">
        <v>0.993721999999999</v>
      </c>
      <c r="Y6951">
        <v>0.45937329999999998</v>
      </c>
      <c r="Z6951">
        <v>-7.4850079999999999E-2</v>
      </c>
      <c r="AA6951">
        <v>0.88508399999999998</v>
      </c>
      <c r="AB6951">
        <v>27</v>
      </c>
      <c r="AC6951">
        <v>11.861000000000001</v>
      </c>
      <c r="AD6951">
        <v>-1.0929128466410001</v>
      </c>
      <c r="AE6951">
        <v>2.96180000000001</v>
      </c>
      <c r="AF6951">
        <v>5.6782878802852998</v>
      </c>
      <c r="AG6951">
        <v>-1.0929128466410001</v>
      </c>
      <c r="AH6951">
        <v>10.716904703180701</v>
      </c>
      <c r="AI6951">
        <v>95.149176609532702</v>
      </c>
      <c r="AJ6951">
        <v>62.083387813859503</v>
      </c>
      <c r="AK6951">
        <v>12.1774159064559</v>
      </c>
    </row>
    <row r="6952" spans="1:37" x14ac:dyDescent="0.2">
      <c r="A6952" t="str">
        <f>"20200111155739014"</f>
        <v>20200111155739014</v>
      </c>
      <c r="B6952" t="str">
        <f>"1578729459010113"</f>
        <v>1578729459010113</v>
      </c>
      <c r="C6952" t="s">
        <v>37</v>
      </c>
      <c r="D6952">
        <v>5.1859289999999998</v>
      </c>
      <c r="E6952">
        <v>0.64742040000000001</v>
      </c>
      <c r="F6952" t="s">
        <v>38</v>
      </c>
      <c r="G6952">
        <v>-168.2525</v>
      </c>
      <c r="H6952" s="1">
        <v>-1.7967300000000001E-6</v>
      </c>
      <c r="I6952">
        <v>135.32640000000001</v>
      </c>
      <c r="J6952">
        <v>-179.84229999999999</v>
      </c>
      <c r="K6952">
        <v>1.092881</v>
      </c>
      <c r="L6952">
        <v>132.4828</v>
      </c>
      <c r="M6952">
        <v>0.75027719999999998</v>
      </c>
      <c r="N6952">
        <v>0</v>
      </c>
      <c r="O6952">
        <v>0.66092510000000004</v>
      </c>
      <c r="P6952">
        <v>0.81882029999999995</v>
      </c>
      <c r="Q6952">
        <v>-1.6998499999999999E-4</v>
      </c>
      <c r="R6952">
        <v>0.5740499</v>
      </c>
      <c r="S6952">
        <v>3.1258699999999999</v>
      </c>
      <c r="T6952">
        <v>-0.29142459999999998</v>
      </c>
      <c r="U6952">
        <v>0.78662109999999996</v>
      </c>
      <c r="V6952">
        <v>0.11090899999999999</v>
      </c>
      <c r="W6952">
        <v>1.27357999999999E-2</v>
      </c>
      <c r="X6952">
        <v>0.99374899999999999</v>
      </c>
      <c r="Y6952">
        <v>0.45391130000000002</v>
      </c>
      <c r="Z6952">
        <v>-7.5863299999999995E-2</v>
      </c>
      <c r="AA6952">
        <v>0.88781149999999998</v>
      </c>
      <c r="AB6952">
        <v>27</v>
      </c>
      <c r="AC6952">
        <v>11.589799999999901</v>
      </c>
      <c r="AD6952">
        <v>-1.0928827967299899</v>
      </c>
      <c r="AE6952">
        <v>2.8435999999999999</v>
      </c>
      <c r="AF6952">
        <v>5.4812545258671896</v>
      </c>
      <c r="AG6952">
        <v>-1.0928827967299899</v>
      </c>
      <c r="AH6952">
        <v>10.4883891924352</v>
      </c>
      <c r="AI6952">
        <v>95.276232130670294</v>
      </c>
      <c r="AJ6952">
        <v>62.408335851903601</v>
      </c>
      <c r="AK6952">
        <v>11.8846477371742</v>
      </c>
    </row>
    <row r="6953" spans="1:37" x14ac:dyDescent="0.2">
      <c r="A6953" t="str">
        <f>"20200111155739026"</f>
        <v>20200111155739026</v>
      </c>
      <c r="B6953" t="str">
        <f>"1578729459019874"</f>
        <v>1578729459019874</v>
      </c>
      <c r="C6953" t="s">
        <v>37</v>
      </c>
      <c r="D6953">
        <v>5.1766189999999996</v>
      </c>
      <c r="E6953">
        <v>0.64705190000000001</v>
      </c>
      <c r="F6953" t="s">
        <v>38</v>
      </c>
      <c r="G6953">
        <v>-168.0445</v>
      </c>
      <c r="H6953" s="1">
        <v>-1.861575E-6</v>
      </c>
      <c r="I6953">
        <v>135.3828</v>
      </c>
      <c r="J6953">
        <v>-179.72389999999999</v>
      </c>
      <c r="K6953">
        <v>1.0928530000000001</v>
      </c>
      <c r="L6953">
        <v>132.5754</v>
      </c>
      <c r="M6953">
        <v>0.75597910000000001</v>
      </c>
      <c r="N6953">
        <v>0</v>
      </c>
      <c r="O6953">
        <v>0.65439519999999995</v>
      </c>
      <c r="P6953">
        <v>0.82354550000000004</v>
      </c>
      <c r="Q6953">
        <v>1.983121E-4</v>
      </c>
      <c r="R6953">
        <v>0.56725029999999999</v>
      </c>
      <c r="S6953">
        <v>3.1251829999999998</v>
      </c>
      <c r="T6953">
        <v>-0.28950110000000001</v>
      </c>
      <c r="U6953">
        <v>0.76821899999999999</v>
      </c>
      <c r="V6953">
        <v>0.11053350000000001</v>
      </c>
      <c r="W6953">
        <v>1.3121529999999999E-2</v>
      </c>
      <c r="X6953">
        <v>0.99378580000000005</v>
      </c>
      <c r="Y6953">
        <v>0.4511424</v>
      </c>
      <c r="Z6953">
        <v>-7.4910480000000002E-2</v>
      </c>
      <c r="AA6953">
        <v>0.88930259999999905</v>
      </c>
      <c r="AB6953">
        <v>27</v>
      </c>
      <c r="AC6953">
        <v>11.6793999999999</v>
      </c>
      <c r="AD6953">
        <v>-1.092854861575</v>
      </c>
      <c r="AE6953">
        <v>2.8073999999999999</v>
      </c>
      <c r="AF6953">
        <v>5.47600577277443</v>
      </c>
      <c r="AG6953">
        <v>-1.092854861575</v>
      </c>
      <c r="AH6953">
        <v>10.5803549087251</v>
      </c>
      <c r="AI6953">
        <v>95.241232395279695</v>
      </c>
      <c r="AJ6953">
        <v>62.635564419015203</v>
      </c>
      <c r="AK6953">
        <v>11.963481139138</v>
      </c>
    </row>
    <row r="6954" spans="1:37" x14ac:dyDescent="0.2">
      <c r="A6954" t="str">
        <f>"20200111155739052"</f>
        <v>20200111155739052</v>
      </c>
      <c r="B6954" t="str">
        <f>"1578729459040370"</f>
        <v>1578729459040370</v>
      </c>
      <c r="C6954" t="s">
        <v>37</v>
      </c>
      <c r="D6954">
        <v>5.2271650000000003</v>
      </c>
      <c r="E6954">
        <v>0.64556849999999999</v>
      </c>
      <c r="F6954" t="s">
        <v>38</v>
      </c>
      <c r="G6954">
        <v>-167.75620000000001</v>
      </c>
      <c r="H6954" s="1">
        <v>-1.9617429999999999E-6</v>
      </c>
      <c r="I6954">
        <v>135.42240000000001</v>
      </c>
      <c r="J6954">
        <v>-179.4794</v>
      </c>
      <c r="K6954">
        <v>1.0928</v>
      </c>
      <c r="L6954">
        <v>132.762</v>
      </c>
      <c r="M6954">
        <v>0.76753979999999999</v>
      </c>
      <c r="N6954">
        <v>0</v>
      </c>
      <c r="O6954">
        <v>0.64079569999999997</v>
      </c>
      <c r="P6954">
        <v>0.83293859999999997</v>
      </c>
      <c r="Q6954">
        <v>1.2702200000000001E-3</v>
      </c>
      <c r="R6954">
        <v>0.55336390000000002</v>
      </c>
      <c r="S6954">
        <v>3.1299899999999998</v>
      </c>
      <c r="T6954">
        <v>-0.28582220000000003</v>
      </c>
      <c r="U6954">
        <v>0.74459839999999999</v>
      </c>
      <c r="V6954">
        <v>0.1094876</v>
      </c>
      <c r="W6954">
        <v>1.4237700000000001E-2</v>
      </c>
      <c r="X6954">
        <v>0.99388619999999905</v>
      </c>
      <c r="Y6954">
        <v>0.44203779999999998</v>
      </c>
      <c r="Z6954">
        <v>-7.2658059999999997E-2</v>
      </c>
      <c r="AA6954">
        <v>0.89404889999999904</v>
      </c>
      <c r="AB6954">
        <v>27</v>
      </c>
      <c r="AC6954">
        <v>11.723199999999901</v>
      </c>
      <c r="AD6954">
        <v>-1.092801961743</v>
      </c>
      <c r="AE6954">
        <v>2.6604000000000099</v>
      </c>
      <c r="AF6954">
        <v>5.4260938423983998</v>
      </c>
      <c r="AG6954">
        <v>-1.092801961743</v>
      </c>
      <c r="AH6954">
        <v>10.6164732039369</v>
      </c>
      <c r="AI6954">
        <v>95.236918955533994</v>
      </c>
      <c r="AJ6954">
        <v>62.928362956699097</v>
      </c>
      <c r="AK6954">
        <v>11.972727918232099</v>
      </c>
    </row>
    <row r="6955" spans="1:37" x14ac:dyDescent="0.2">
      <c r="A6955" t="str">
        <f>"20200111155739064"</f>
        <v>20200111155739064</v>
      </c>
      <c r="B6955" t="str">
        <f>"1578729459050130"</f>
        <v>1578729459050130</v>
      </c>
      <c r="C6955" t="s">
        <v>37</v>
      </c>
      <c r="D6955">
        <v>5.270384</v>
      </c>
      <c r="E6955">
        <v>0.64479940000000002</v>
      </c>
      <c r="F6955" t="s">
        <v>38</v>
      </c>
      <c r="G6955">
        <v>-167.21080000000001</v>
      </c>
      <c r="H6955" s="1">
        <v>-2.1484020000000001E-6</v>
      </c>
      <c r="I6955">
        <v>135.50810000000001</v>
      </c>
      <c r="J6955">
        <v>-179.352</v>
      </c>
      <c r="K6955">
        <v>1.0927709999999999</v>
      </c>
      <c r="L6955">
        <v>132.85640000000001</v>
      </c>
      <c r="M6955">
        <v>0.77344669999999904</v>
      </c>
      <c r="N6955">
        <v>0</v>
      </c>
      <c r="O6955">
        <v>0.63365309999999997</v>
      </c>
      <c r="P6955">
        <v>0.83781299999999903</v>
      </c>
      <c r="Q6955">
        <v>1.714457E-3</v>
      </c>
      <c r="R6955">
        <v>0.54595479999999996</v>
      </c>
      <c r="S6955">
        <v>3.135834</v>
      </c>
      <c r="T6955">
        <v>-0.27931889999999998</v>
      </c>
      <c r="U6955">
        <v>0.70190430000000004</v>
      </c>
      <c r="V6955">
        <v>0.109103399999999</v>
      </c>
      <c r="W6955">
        <v>1.470019E-2</v>
      </c>
      <c r="X6955">
        <v>0.99392169999999902</v>
      </c>
      <c r="Y6955">
        <v>0.44583529999999999</v>
      </c>
      <c r="Z6955">
        <v>-7.0749889999999996E-2</v>
      </c>
      <c r="AA6955">
        <v>0.89231459999999996</v>
      </c>
      <c r="AB6955">
        <v>27</v>
      </c>
      <c r="AC6955">
        <v>12.1411999999999</v>
      </c>
      <c r="AD6955">
        <v>-1.092773148402</v>
      </c>
      <c r="AE6955">
        <v>2.6516999999999999</v>
      </c>
      <c r="AF6955">
        <v>5.59980673234615</v>
      </c>
      <c r="AG6955">
        <v>-1.092773148402</v>
      </c>
      <c r="AH6955">
        <v>10.9873347910214</v>
      </c>
      <c r="AI6955">
        <v>95.063894377717801</v>
      </c>
      <c r="AJ6955">
        <v>62.993873109340903</v>
      </c>
      <c r="AK6955">
        <v>12.3803681045228</v>
      </c>
    </row>
    <row r="6956" spans="1:37" x14ac:dyDescent="0.2">
      <c r="A6956" t="str">
        <f>"20200111155739076"</f>
        <v>20200111155739076</v>
      </c>
      <c r="B6956" t="str">
        <f>"1578729459070626"</f>
        <v>1578729459070626</v>
      </c>
      <c r="C6956" t="s">
        <v>37</v>
      </c>
      <c r="D6956">
        <v>5.2043860000000004</v>
      </c>
      <c r="E6956">
        <v>0.64479940000000002</v>
      </c>
      <c r="F6956" t="s">
        <v>38</v>
      </c>
      <c r="G6956">
        <v>-167.05969999999999</v>
      </c>
      <c r="H6956" s="1">
        <v>-2.20417599999999E-6</v>
      </c>
      <c r="I6956">
        <v>135.51650000000001</v>
      </c>
      <c r="J6956">
        <v>-179.23150000000001</v>
      </c>
      <c r="K6956">
        <v>1.092741</v>
      </c>
      <c r="L6956">
        <v>132.9442</v>
      </c>
      <c r="M6956">
        <v>0.77895990000000004</v>
      </c>
      <c r="N6956">
        <v>0</v>
      </c>
      <c r="O6956">
        <v>0.6268629</v>
      </c>
      <c r="P6956">
        <v>0.84252159999999998</v>
      </c>
      <c r="Q6956">
        <v>1.9611960000000001E-3</v>
      </c>
      <c r="R6956">
        <v>0.538659</v>
      </c>
      <c r="S6956">
        <v>3.138687</v>
      </c>
      <c r="T6956">
        <v>-0.27902670000000002</v>
      </c>
      <c r="U6956">
        <v>0.67922969999999905</v>
      </c>
      <c r="V6956">
        <v>0.1090482</v>
      </c>
      <c r="W6956">
        <v>1.4954790000000001E-2</v>
      </c>
      <c r="X6956">
        <v>0.99392400000000003</v>
      </c>
      <c r="Y6956">
        <v>0.44436520000000002</v>
      </c>
      <c r="Z6956">
        <v>-7.0188239999999999E-2</v>
      </c>
      <c r="AA6956">
        <v>0.893092</v>
      </c>
      <c r="AB6956">
        <v>27</v>
      </c>
      <c r="AC6956">
        <v>12.171799999999999</v>
      </c>
      <c r="AD6956">
        <v>-1.0927432041759999</v>
      </c>
      <c r="AE6956">
        <v>2.57230000000001</v>
      </c>
      <c r="AF6956">
        <v>5.58399318101399</v>
      </c>
      <c r="AG6956">
        <v>-1.0927432041759999</v>
      </c>
      <c r="AH6956">
        <v>11.0103425826057</v>
      </c>
      <c r="AI6956">
        <v>95.058311939099497</v>
      </c>
      <c r="AJ6956">
        <v>63.107749754481802</v>
      </c>
      <c r="AK6956">
        <v>12.3936560926235</v>
      </c>
    </row>
    <row r="6957" spans="1:37" x14ac:dyDescent="0.2">
      <c r="A6957" t="str">
        <f>"20200111155739088"</f>
        <v>20200111155739088</v>
      </c>
      <c r="B6957" t="str">
        <f>"1578729459080386"</f>
        <v>1578729459080386</v>
      </c>
      <c r="C6957" t="s">
        <v>37</v>
      </c>
      <c r="D6957">
        <v>5.1479549999999996</v>
      </c>
      <c r="E6957">
        <v>0.64282039999999996</v>
      </c>
      <c r="F6957" t="s">
        <v>38</v>
      </c>
      <c r="G6957">
        <v>-166.88159999999999</v>
      </c>
      <c r="H6957" s="1">
        <v>-2.2756310000000001E-6</v>
      </c>
      <c r="I6957">
        <v>135.5051</v>
      </c>
      <c r="J6957">
        <v>-179.10749999999999</v>
      </c>
      <c r="K6957">
        <v>1.092708</v>
      </c>
      <c r="L6957">
        <v>133.03229999999999</v>
      </c>
      <c r="M6957">
        <v>0.78455769999999903</v>
      </c>
      <c r="N6957">
        <v>0</v>
      </c>
      <c r="O6957">
        <v>0.61984209999999995</v>
      </c>
      <c r="P6957">
        <v>0.84711440000000005</v>
      </c>
      <c r="Q6957">
        <v>2.1516249999999999E-3</v>
      </c>
      <c r="R6957">
        <v>0.5314063</v>
      </c>
      <c r="S6957">
        <v>3.1445310000000002</v>
      </c>
      <c r="T6957">
        <v>-0.27823419999999999</v>
      </c>
      <c r="U6957">
        <v>0.65203859999999902</v>
      </c>
      <c r="V6957">
        <v>0.1086621</v>
      </c>
      <c r="W6957">
        <v>1.51641E-2</v>
      </c>
      <c r="X6957">
        <v>0.99396309999999999</v>
      </c>
      <c r="Y6957">
        <v>0.44410879999999903</v>
      </c>
      <c r="Z6957">
        <v>-6.9485379999999999E-2</v>
      </c>
      <c r="AA6957">
        <v>0.89327440000000002</v>
      </c>
      <c r="AB6957">
        <v>27</v>
      </c>
      <c r="AC6957">
        <v>12.2258999999999</v>
      </c>
      <c r="AD6957">
        <v>-1.0927102756310001</v>
      </c>
      <c r="AE6957">
        <v>2.4727999999999999</v>
      </c>
      <c r="AF6957">
        <v>5.5958762740584502</v>
      </c>
      <c r="AG6957">
        <v>-1.0927102756310001</v>
      </c>
      <c r="AH6957">
        <v>11.0414092753555</v>
      </c>
      <c r="AI6957">
        <v>95.044711807437693</v>
      </c>
      <c r="AJ6957">
        <v>63.123736522339001</v>
      </c>
      <c r="AK6957">
        <v>12.4266071719897</v>
      </c>
    </row>
    <row r="6958" spans="1:37" x14ac:dyDescent="0.2">
      <c r="A6958" t="str">
        <f>"20200111155739101"</f>
        <v>20200111155739101</v>
      </c>
      <c r="B6958" t="str">
        <f>"1578729459090146"</f>
        <v>1578729459090146</v>
      </c>
      <c r="C6958" t="s">
        <v>37</v>
      </c>
      <c r="D6958">
        <v>5.1452029999999898</v>
      </c>
      <c r="E6958">
        <v>0.64197029999999999</v>
      </c>
      <c r="F6958" t="s">
        <v>38</v>
      </c>
      <c r="G6958">
        <v>-166.83150000000001</v>
      </c>
      <c r="H6958" s="1">
        <v>-2.289083E-6</v>
      </c>
      <c r="I6958">
        <v>135.52680000000001</v>
      </c>
      <c r="J6958">
        <v>-178.97659999999999</v>
      </c>
      <c r="K6958">
        <v>1.0926719999999901</v>
      </c>
      <c r="L6958">
        <v>133.1241</v>
      </c>
      <c r="M6958">
        <v>0.7903926</v>
      </c>
      <c r="N6958">
        <v>0</v>
      </c>
      <c r="O6958">
        <v>0.61238380000000003</v>
      </c>
      <c r="P6958">
        <v>0.85212399999999999</v>
      </c>
      <c r="Q6958">
        <v>2.3715590000000001E-3</v>
      </c>
      <c r="R6958">
        <v>0.52333459999999998</v>
      </c>
      <c r="S6958">
        <v>3.1416629999999999</v>
      </c>
      <c r="T6958">
        <v>-0.27964470000000002</v>
      </c>
      <c r="U6958">
        <v>0.6383972</v>
      </c>
      <c r="V6958">
        <v>0.1086993</v>
      </c>
      <c r="W6958">
        <v>1.5389140000000001E-2</v>
      </c>
      <c r="X6958">
        <v>0.99395560000000005</v>
      </c>
      <c r="Y6958">
        <v>0.43917799999999901</v>
      </c>
      <c r="Z6958">
        <v>-6.9227670000000005E-2</v>
      </c>
      <c r="AA6958">
        <v>0.89572890000000005</v>
      </c>
      <c r="AB6958">
        <v>27</v>
      </c>
      <c r="AC6958">
        <v>12.1450999999999</v>
      </c>
      <c r="AD6958">
        <v>-1.0926742890829999</v>
      </c>
      <c r="AE6958">
        <v>2.40270000000001</v>
      </c>
      <c r="AF6958">
        <v>5.4963087339352503</v>
      </c>
      <c r="AG6958">
        <v>-1.0926742890829999</v>
      </c>
      <c r="AH6958">
        <v>10.9866624011861</v>
      </c>
      <c r="AI6958">
        <v>95.082812833962905</v>
      </c>
      <c r="AJ6958">
        <v>63.4225278278644</v>
      </c>
      <c r="AK6958">
        <v>12.3332922416682</v>
      </c>
    </row>
    <row r="6959" spans="1:37" x14ac:dyDescent="0.2">
      <c r="A6959" t="str">
        <f>"20200111155739119"</f>
        <v>20200111155739119</v>
      </c>
      <c r="B6959" t="str">
        <f>"1578729459110641"</f>
        <v>1578729459110641</v>
      </c>
      <c r="C6959" t="s">
        <v>37</v>
      </c>
      <c r="D6959">
        <v>5.0536560000000001</v>
      </c>
      <c r="E6959">
        <v>0.64081980000000005</v>
      </c>
      <c r="F6959" t="s">
        <v>38</v>
      </c>
      <c r="G6959">
        <v>-166.70840000000001</v>
      </c>
      <c r="H6959" s="1">
        <v>-2.337751E-6</v>
      </c>
      <c r="I6959">
        <v>135.5215</v>
      </c>
      <c r="J6959">
        <v>-178.79859999999999</v>
      </c>
      <c r="K6959">
        <v>1.0926260000000001</v>
      </c>
      <c r="L6959">
        <v>133.2457</v>
      </c>
      <c r="M6959">
        <v>0.79819739999999995</v>
      </c>
      <c r="N6959">
        <v>0</v>
      </c>
      <c r="O6959">
        <v>0.60217500000000002</v>
      </c>
      <c r="P6959">
        <v>0.85873849999999996</v>
      </c>
      <c r="Q6959">
        <v>2.8377720000000001E-3</v>
      </c>
      <c r="R6959">
        <v>0.51240629999999998</v>
      </c>
      <c r="S6959">
        <v>3.1440429999999999</v>
      </c>
      <c r="T6959">
        <v>-0.28002670000000002</v>
      </c>
      <c r="U6959">
        <v>0.61441040000000002</v>
      </c>
      <c r="V6959">
        <v>0.10863779999999899</v>
      </c>
      <c r="W6959">
        <v>1.5866399999999999E-2</v>
      </c>
      <c r="X6959">
        <v>0.99395480000000003</v>
      </c>
      <c r="Y6959">
        <v>0.43437879999999901</v>
      </c>
      <c r="Z6959">
        <v>-6.8445049999999993E-2</v>
      </c>
      <c r="AA6959">
        <v>0.89812599999999998</v>
      </c>
      <c r="AB6959">
        <v>27</v>
      </c>
      <c r="AC6959">
        <v>12.0901999999999</v>
      </c>
      <c r="AD6959">
        <v>-1.092628337751</v>
      </c>
      <c r="AE6959">
        <v>2.2757999999999998</v>
      </c>
      <c r="AF6959">
        <v>5.4218394613687098</v>
      </c>
      <c r="AG6959">
        <v>-1.092628337751</v>
      </c>
      <c r="AH6959">
        <v>10.936002067110101</v>
      </c>
      <c r="AI6959">
        <v>95.115133322121295</v>
      </c>
      <c r="AJ6959">
        <v>63.628754665290899</v>
      </c>
      <c r="AK6959">
        <v>12.2550528779418</v>
      </c>
    </row>
    <row r="6960" spans="1:37" x14ac:dyDescent="0.2">
      <c r="A6960" t="str">
        <f>"20200111155739148"</f>
        <v>20200111155739148</v>
      </c>
      <c r="B6960" t="str">
        <f>"1578729459139922"</f>
        <v>1578729459139922</v>
      </c>
      <c r="C6960" t="s">
        <v>37</v>
      </c>
      <c r="D6960">
        <v>5.087682</v>
      </c>
      <c r="E6960">
        <v>0.64038660000000003</v>
      </c>
      <c r="F6960" t="s">
        <v>38</v>
      </c>
      <c r="G6960">
        <v>-166.37819999999999</v>
      </c>
      <c r="H6960" s="1">
        <v>-2.4589650000000002E-6</v>
      </c>
      <c r="I6960">
        <v>135.54259999999999</v>
      </c>
      <c r="J6960">
        <v>-178.4855</v>
      </c>
      <c r="K6960">
        <v>1.092544</v>
      </c>
      <c r="L6960">
        <v>133.4503</v>
      </c>
      <c r="M6960">
        <v>0.81156110000000004</v>
      </c>
      <c r="N6960">
        <v>0</v>
      </c>
      <c r="O6960">
        <v>0.58403859999999996</v>
      </c>
      <c r="P6960">
        <v>0.87001989999999996</v>
      </c>
      <c r="Q6960">
        <v>2.7328169999999998E-3</v>
      </c>
      <c r="R6960">
        <v>0.49300909999999898</v>
      </c>
      <c r="S6960">
        <v>3.1471100000000001</v>
      </c>
      <c r="T6960">
        <v>-0.2768525</v>
      </c>
      <c r="U6960">
        <v>0.58200069999999904</v>
      </c>
      <c r="V6960">
        <v>0.1085482</v>
      </c>
      <c r="W6960">
        <v>1.5782480000000002E-2</v>
      </c>
      <c r="X6960">
        <v>0.99396589999999996</v>
      </c>
      <c r="Y6960">
        <v>0.4233365</v>
      </c>
      <c r="Z6960">
        <v>-6.5985959999999996E-2</v>
      </c>
      <c r="AA6960">
        <v>0.90356630000000004</v>
      </c>
      <c r="AB6960">
        <v>27</v>
      </c>
      <c r="AC6960">
        <v>12.1073</v>
      </c>
      <c r="AD6960">
        <v>-1.092546458965</v>
      </c>
      <c r="AE6960">
        <v>2.0922999999999901</v>
      </c>
      <c r="AF6960">
        <v>5.3316632092845202</v>
      </c>
      <c r="AG6960">
        <v>-1.092546458965</v>
      </c>
      <c r="AH6960">
        <v>10.962595642460199</v>
      </c>
      <c r="AI6960">
        <v>95.121378259086597</v>
      </c>
      <c r="AJ6960">
        <v>64.064008001186906</v>
      </c>
      <c r="AK6960">
        <v>12.239231739056301</v>
      </c>
    </row>
    <row r="6961" spans="1:37" x14ac:dyDescent="0.2">
      <c r="A6961" t="str">
        <f>"20200111155739163"</f>
        <v>20200111155739163</v>
      </c>
      <c r="B6961" t="str">
        <f>"1578729459160418"</f>
        <v>1578729459160418</v>
      </c>
      <c r="C6961" t="s">
        <v>37</v>
      </c>
      <c r="D6961">
        <v>5.0139069999999997</v>
      </c>
      <c r="E6961">
        <v>0.62542469999999994</v>
      </c>
      <c r="F6961" t="s">
        <v>38</v>
      </c>
      <c r="G6961">
        <v>-165.9348</v>
      </c>
      <c r="H6961" s="1">
        <v>-2.6423460000000001E-6</v>
      </c>
      <c r="I6961">
        <v>135.4933</v>
      </c>
      <c r="J6961">
        <v>-178.34020000000001</v>
      </c>
      <c r="K6961">
        <v>1.0925049999999901</v>
      </c>
      <c r="L6961">
        <v>133.54220000000001</v>
      </c>
      <c r="M6961">
        <v>0.81761349999999999</v>
      </c>
      <c r="N6961">
        <v>0</v>
      </c>
      <c r="O6961">
        <v>0.57553449999999995</v>
      </c>
      <c r="P6961">
        <v>0.87532730000000003</v>
      </c>
      <c r="Q6961">
        <v>2.4218500000000001E-3</v>
      </c>
      <c r="R6961">
        <v>0.48352479999999998</v>
      </c>
      <c r="S6961">
        <v>3.1577759999999899</v>
      </c>
      <c r="T6961">
        <v>-0.2748854</v>
      </c>
      <c r="U6961">
        <v>0.5140228</v>
      </c>
      <c r="V6961">
        <v>0.1089676</v>
      </c>
      <c r="W6961">
        <v>1.546638E-2</v>
      </c>
      <c r="X6961">
        <v>0.99392499999999995</v>
      </c>
      <c r="Y6961">
        <v>0.43333199999999999</v>
      </c>
      <c r="Z6961">
        <v>-6.5338149999999998E-2</v>
      </c>
      <c r="AA6961">
        <v>0.89886279999999996</v>
      </c>
      <c r="AB6961">
        <v>27</v>
      </c>
      <c r="AC6961">
        <v>12.4054</v>
      </c>
      <c r="AD6961">
        <v>-1.0925076423459901</v>
      </c>
      <c r="AE6961">
        <v>1.9510999999999901</v>
      </c>
      <c r="AF6961">
        <v>5.5035793032624101</v>
      </c>
      <c r="AG6961">
        <v>-1.0925076423459901</v>
      </c>
      <c r="AH6961">
        <v>11.182622206339</v>
      </c>
      <c r="AI6961">
        <v>95.009521489951496</v>
      </c>
      <c r="AJ6961">
        <v>63.795681338735299</v>
      </c>
      <c r="AK6961">
        <v>12.511354743016</v>
      </c>
    </row>
    <row r="6962" spans="1:37" x14ac:dyDescent="0.2">
      <c r="A6962" t="str">
        <f>"20200111155739174"</f>
        <v>20200111155739174</v>
      </c>
      <c r="B6962" t="str">
        <f>"1578729459170178"</f>
        <v>1578729459170178</v>
      </c>
      <c r="C6962" t="s">
        <v>37</v>
      </c>
      <c r="D6962">
        <v>5.0035210000000001</v>
      </c>
      <c r="E6962">
        <v>0.62472459999999996</v>
      </c>
      <c r="F6962" t="s">
        <v>38</v>
      </c>
      <c r="G6962">
        <v>-166.21379999999999</v>
      </c>
      <c r="H6962" s="1">
        <v>-2.447373E-6</v>
      </c>
      <c r="I6962">
        <v>135.82339999999999</v>
      </c>
      <c r="J6962">
        <v>-178.2208</v>
      </c>
      <c r="K6962">
        <v>1.0924719999999899</v>
      </c>
      <c r="L6962">
        <v>133.61600000000001</v>
      </c>
      <c r="M6962">
        <v>0.82251479999999999</v>
      </c>
      <c r="N6962">
        <v>0</v>
      </c>
      <c r="O6962">
        <v>0.5685074</v>
      </c>
      <c r="P6962">
        <v>0.87940469999999904</v>
      </c>
      <c r="Q6962">
        <v>2.2092309999999999E-3</v>
      </c>
      <c r="R6962">
        <v>0.47606989999999999</v>
      </c>
      <c r="S6962">
        <v>3.1053769999999998</v>
      </c>
      <c r="T6962">
        <v>-0.27977439999999998</v>
      </c>
      <c r="U6962">
        <v>0.58416749999999995</v>
      </c>
      <c r="V6962">
        <v>0.1088918</v>
      </c>
      <c r="W6962">
        <v>1.5263270000000001E-2</v>
      </c>
      <c r="X6962">
        <v>0.99393639999999905</v>
      </c>
      <c r="Y6962">
        <v>0.40321279999999998</v>
      </c>
      <c r="Z6962">
        <v>-6.5535040000000003E-2</v>
      </c>
      <c r="AA6962">
        <v>0.91275659999999903</v>
      </c>
      <c r="AB6962">
        <v>27</v>
      </c>
      <c r="AC6962">
        <v>12.007</v>
      </c>
      <c r="AD6962">
        <v>-1.0924744473729999</v>
      </c>
      <c r="AE6962">
        <v>2.2073999999999701</v>
      </c>
      <c r="AF6962">
        <v>4.97131287268307</v>
      </c>
      <c r="AG6962">
        <v>-1.0924744473729999</v>
      </c>
      <c r="AH6962">
        <v>11.043915989474501</v>
      </c>
      <c r="AI6962">
        <v>95.1543237417564</v>
      </c>
      <c r="AJ6962">
        <v>65.765564882651901</v>
      </c>
      <c r="AK6962">
        <v>12.1604084009888</v>
      </c>
    </row>
    <row r="6963" spans="1:37" x14ac:dyDescent="0.2">
      <c r="A6963" t="str">
        <f>"20200111155739187"</f>
        <v>20200111155739187</v>
      </c>
      <c r="B6963" t="str">
        <f>"1578729459179938"</f>
        <v>1578729459179938</v>
      </c>
      <c r="C6963" t="s">
        <v>37</v>
      </c>
      <c r="D6963">
        <v>4.881831</v>
      </c>
      <c r="E6963">
        <v>0.62580170000000002</v>
      </c>
      <c r="F6963" t="s">
        <v>38</v>
      </c>
      <c r="G6963">
        <v>-166.012</v>
      </c>
      <c r="H6963" s="1">
        <v>-2.537957E-6</v>
      </c>
      <c r="I6963">
        <v>135.8261</v>
      </c>
      <c r="J6963">
        <v>-178.07560000000001</v>
      </c>
      <c r="K6963">
        <v>1.0924309999999999</v>
      </c>
      <c r="L6963">
        <v>133.70349999999999</v>
      </c>
      <c r="M6963">
        <v>0.82838789999999995</v>
      </c>
      <c r="N6963">
        <v>0</v>
      </c>
      <c r="O6963">
        <v>0.55991449999999998</v>
      </c>
      <c r="P6963">
        <v>0.88425379999999998</v>
      </c>
      <c r="Q6963">
        <v>1.8244889999999899E-3</v>
      </c>
      <c r="R6963">
        <v>0.46700320000000001</v>
      </c>
      <c r="S6963">
        <v>3.1075590000000002</v>
      </c>
      <c r="T6963">
        <v>-0.27807150000000003</v>
      </c>
      <c r="U6963">
        <v>0.56256099999999998</v>
      </c>
      <c r="V6963">
        <v>0.10875559999999999</v>
      </c>
      <c r="W6963">
        <v>1.48908999999999E-2</v>
      </c>
      <c r="X6963">
        <v>0.99395699999999998</v>
      </c>
      <c r="Y6963">
        <v>0.40002690000000002</v>
      </c>
      <c r="Z6963">
        <v>-6.439665E-2</v>
      </c>
      <c r="AA6963">
        <v>0.9142382</v>
      </c>
      <c r="AB6963">
        <v>27</v>
      </c>
      <c r="AC6963">
        <v>12.063599999999999</v>
      </c>
      <c r="AD6963">
        <v>-1.0924335379569901</v>
      </c>
      <c r="AE6963">
        <v>2.1225999999999998</v>
      </c>
      <c r="AF6963">
        <v>4.9574884245987203</v>
      </c>
      <c r="AG6963">
        <v>-1.0924335379569901</v>
      </c>
      <c r="AH6963">
        <v>11.0950683147404</v>
      </c>
      <c r="AI6963">
        <v>95.136828730886805</v>
      </c>
      <c r="AJ6963">
        <v>65.9239960507673</v>
      </c>
      <c r="AK6963">
        <v>12.201255813384201</v>
      </c>
    </row>
    <row r="6964" spans="1:37" x14ac:dyDescent="0.2">
      <c r="A6964" t="str">
        <f>"20200111155739203"</f>
        <v>20200111155739203</v>
      </c>
      <c r="B6964" t="str">
        <f>"1578729459200435"</f>
        <v>1578729459200435</v>
      </c>
      <c r="C6964" t="s">
        <v>37</v>
      </c>
      <c r="D6964">
        <v>4.9066199999999904</v>
      </c>
      <c r="E6964">
        <v>0.62642830000000005</v>
      </c>
      <c r="F6964" t="s">
        <v>38</v>
      </c>
      <c r="G6964">
        <v>-165.28139999999999</v>
      </c>
      <c r="H6964" s="1">
        <v>-2.8795990000000001E-6</v>
      </c>
      <c r="I6964">
        <v>135.84690000000001</v>
      </c>
      <c r="J6964">
        <v>-177.92509999999999</v>
      </c>
      <c r="K6964">
        <v>1.0923860000000001</v>
      </c>
      <c r="L6964">
        <v>133.79239999999999</v>
      </c>
      <c r="M6964">
        <v>0.83437850000000002</v>
      </c>
      <c r="N6964">
        <v>0</v>
      </c>
      <c r="O6964">
        <v>0.55094699999999996</v>
      </c>
      <c r="P6964">
        <v>0.88913419999999899</v>
      </c>
      <c r="Q6964">
        <v>1.8098839999999899E-3</v>
      </c>
      <c r="R6964">
        <v>0.45764309999999903</v>
      </c>
      <c r="S6964">
        <v>3.1173860000000002</v>
      </c>
      <c r="T6964">
        <v>-0.26617869999999999</v>
      </c>
      <c r="U6964">
        <v>0.52224729999999997</v>
      </c>
      <c r="V6964">
        <v>0.1085289</v>
      </c>
      <c r="W6964">
        <v>1.489233E-2</v>
      </c>
      <c r="X6964">
        <v>0.99398169999999897</v>
      </c>
      <c r="Y6964">
        <v>0.40244439999999998</v>
      </c>
      <c r="Z6964">
        <v>-6.1049150000000003E-2</v>
      </c>
      <c r="AA6964">
        <v>0.91340659999999896</v>
      </c>
      <c r="AB6964">
        <v>27</v>
      </c>
      <c r="AC6964">
        <v>12.6436999999999</v>
      </c>
      <c r="AD6964">
        <v>-1.092388879599</v>
      </c>
      <c r="AE6964">
        <v>2.0545000000000102</v>
      </c>
      <c r="AF6964">
        <v>5.2145635985293097</v>
      </c>
      <c r="AG6964">
        <v>-1.092388879599</v>
      </c>
      <c r="AH6964">
        <v>11.5987759990673</v>
      </c>
      <c r="AI6964">
        <v>94.909631009991102</v>
      </c>
      <c r="AJ6964">
        <v>65.7923276610871</v>
      </c>
      <c r="AK6964">
        <v>12.763878394278001</v>
      </c>
    </row>
    <row r="6965" spans="1:37" x14ac:dyDescent="0.2">
      <c r="A6965" t="str">
        <f>"20200111155739216"</f>
        <v>20200111155739216</v>
      </c>
      <c r="B6965" t="str">
        <f>"1578729459210194"</f>
        <v>1578729459210194</v>
      </c>
      <c r="C6965" t="s">
        <v>37</v>
      </c>
      <c r="D6965">
        <v>4.9255959999999996</v>
      </c>
      <c r="E6965">
        <v>0.62626759999999904</v>
      </c>
      <c r="F6965" t="s">
        <v>38</v>
      </c>
      <c r="G6965">
        <v>-164.62799999999999</v>
      </c>
      <c r="H6965" s="1">
        <v>-3.18729899999999E-6</v>
      </c>
      <c r="I6965">
        <v>135.8535</v>
      </c>
      <c r="J6965">
        <v>-177.76840000000001</v>
      </c>
      <c r="K6965">
        <v>1.0923399999999901</v>
      </c>
      <c r="L6965">
        <v>133.8826</v>
      </c>
      <c r="M6965">
        <v>0.84050759999999902</v>
      </c>
      <c r="N6965">
        <v>0</v>
      </c>
      <c r="O6965">
        <v>0.54154990000000003</v>
      </c>
      <c r="P6965">
        <v>0.89423549999999996</v>
      </c>
      <c r="Q6965">
        <v>1.463811E-3</v>
      </c>
      <c r="R6965">
        <v>0.44759460000000001</v>
      </c>
      <c r="S6965">
        <v>3.1252439999999999</v>
      </c>
      <c r="T6965">
        <v>-0.2567469</v>
      </c>
      <c r="U6965">
        <v>0.48442079999999998</v>
      </c>
      <c r="V6965">
        <v>0.1085691</v>
      </c>
      <c r="W6965">
        <v>1.4554289999999999E-2</v>
      </c>
      <c r="X6965">
        <v>0.99398240000000004</v>
      </c>
      <c r="Y6965">
        <v>0.40357769999999998</v>
      </c>
      <c r="Z6965">
        <v>-5.8249559999999999E-2</v>
      </c>
      <c r="AA6965">
        <v>0.91308929999999999</v>
      </c>
      <c r="AB6965">
        <v>27</v>
      </c>
      <c r="AC6965">
        <v>13.1404</v>
      </c>
      <c r="AD6965">
        <v>-1.0923431872989999</v>
      </c>
      <c r="AE6965">
        <v>1.9709000000000001</v>
      </c>
      <c r="AF6965">
        <v>5.42370972345645</v>
      </c>
      <c r="AG6965">
        <v>-1.0923431872989999</v>
      </c>
      <c r="AH6965">
        <v>12.0322683124395</v>
      </c>
      <c r="AI6965">
        <v>94.731281557456398</v>
      </c>
      <c r="AJ6965">
        <v>65.735877142362895</v>
      </c>
      <c r="AK6965">
        <v>13.2433123328604</v>
      </c>
    </row>
    <row r="6966" spans="1:37" x14ac:dyDescent="0.2">
      <c r="A6966" t="str">
        <f>"20200111155739229"</f>
        <v>20200111155739229</v>
      </c>
      <c r="B6966" t="str">
        <f>"1578729459219954"</f>
        <v>1578729459219954</v>
      </c>
      <c r="C6966" t="s">
        <v>37</v>
      </c>
      <c r="D6966">
        <v>4.9247230000000002</v>
      </c>
      <c r="E6966">
        <v>0.62603439999999999</v>
      </c>
      <c r="F6966" t="s">
        <v>38</v>
      </c>
      <c r="G6966">
        <v>-164.15620000000001</v>
      </c>
      <c r="H6966" s="1">
        <v>-3.412847E-6</v>
      </c>
      <c r="I6966">
        <v>135.83930000000001</v>
      </c>
      <c r="J6966">
        <v>-177.6301</v>
      </c>
      <c r="K6966">
        <v>1.092295</v>
      </c>
      <c r="L6966">
        <v>133.95959999999999</v>
      </c>
      <c r="M6966">
        <v>0.84582669999999904</v>
      </c>
      <c r="N6966">
        <v>0</v>
      </c>
      <c r="O6966">
        <v>0.53320330000000005</v>
      </c>
      <c r="P6966">
        <v>0.89842</v>
      </c>
      <c r="Q6966">
        <v>7.6982289999999996E-4</v>
      </c>
      <c r="R6966">
        <v>0.4391369</v>
      </c>
      <c r="S6966">
        <v>3.1300349999999999</v>
      </c>
      <c r="T6966">
        <v>-0.2511777</v>
      </c>
      <c r="U6966">
        <v>0.4499359</v>
      </c>
      <c r="V6966">
        <v>0.1080908</v>
      </c>
      <c r="W6966">
        <v>1.388488E-2</v>
      </c>
      <c r="X6966">
        <v>0.99404409999999899</v>
      </c>
      <c r="Y6966">
        <v>0.4047249</v>
      </c>
      <c r="Z6966">
        <v>-5.6468610000000002E-2</v>
      </c>
      <c r="AA6966">
        <v>0.91269330000000004</v>
      </c>
      <c r="AB6966">
        <v>27</v>
      </c>
      <c r="AC6966">
        <v>13.473899999999899</v>
      </c>
      <c r="AD6966">
        <v>-1.0922984128469999</v>
      </c>
      <c r="AE6966">
        <v>1.8797000000000099</v>
      </c>
      <c r="AF6966">
        <v>5.5593484979463099</v>
      </c>
      <c r="AG6966">
        <v>-1.0922984128469999</v>
      </c>
      <c r="AH6966">
        <v>12.3211015537278</v>
      </c>
      <c r="AI6966">
        <v>94.619905903840106</v>
      </c>
      <c r="AJ6966">
        <v>65.714842997505201</v>
      </c>
      <c r="AK6966">
        <v>13.561305801492701</v>
      </c>
    </row>
    <row r="6967" spans="1:37" x14ac:dyDescent="0.2">
      <c r="A6967" t="str">
        <f>"20200111155739245"</f>
        <v>20200111155739245</v>
      </c>
      <c r="B6967" t="str">
        <f>"1578729459240450"</f>
        <v>1578729459240450</v>
      </c>
      <c r="C6967" t="s">
        <v>37</v>
      </c>
      <c r="D6967">
        <v>4.9017569999999999</v>
      </c>
      <c r="E6967">
        <v>0.62502939999999996</v>
      </c>
      <c r="F6967" t="s">
        <v>38</v>
      </c>
      <c r="G6967">
        <v>-163.99860000000001</v>
      </c>
      <c r="H6967" s="1">
        <v>-3.4952469999999998E-6</v>
      </c>
      <c r="I6967">
        <v>135.79480000000001</v>
      </c>
      <c r="J6967">
        <v>-177.46610000000001</v>
      </c>
      <c r="K6967">
        <v>1.0922459999999901</v>
      </c>
      <c r="L6967">
        <v>134.04910000000001</v>
      </c>
      <c r="M6967">
        <v>0.85202599999999995</v>
      </c>
      <c r="N6967">
        <v>0</v>
      </c>
      <c r="O6967">
        <v>0.52323940000000002</v>
      </c>
      <c r="P6967">
        <v>0.90346550000000003</v>
      </c>
      <c r="Q6967">
        <v>2.8020239999999999E-4</v>
      </c>
      <c r="R6967">
        <v>0.42866070000000001</v>
      </c>
      <c r="S6967">
        <v>3.1332089999999999</v>
      </c>
      <c r="T6967">
        <v>-0.25106499999999998</v>
      </c>
      <c r="U6967">
        <v>0.42182920000000002</v>
      </c>
      <c r="V6967">
        <v>0.1079702</v>
      </c>
      <c r="W6967">
        <v>1.3409509999999999E-2</v>
      </c>
      <c r="X6967">
        <v>0.994063699999999</v>
      </c>
      <c r="Y6967">
        <v>0.40219909999999998</v>
      </c>
      <c r="Z6967">
        <v>-5.5673590000000002E-2</v>
      </c>
      <c r="AA6967">
        <v>0.9138579</v>
      </c>
      <c r="AB6967">
        <v>27</v>
      </c>
      <c r="AC6967">
        <v>13.467499999999999</v>
      </c>
      <c r="AD6967">
        <v>-1.0922494952470001</v>
      </c>
      <c r="AE6967">
        <v>1.74569999999999</v>
      </c>
      <c r="AF6967">
        <v>5.5243648864008401</v>
      </c>
      <c r="AG6967">
        <v>-1.0922494952470001</v>
      </c>
      <c r="AH6967">
        <v>12.3101321620167</v>
      </c>
      <c r="AI6967">
        <v>94.628003727064197</v>
      </c>
      <c r="AJ6967">
        <v>65.8310935373093</v>
      </c>
      <c r="AK6967">
        <v>13.5370222059463</v>
      </c>
    </row>
    <row r="6968" spans="1:37" x14ac:dyDescent="0.2">
      <c r="A6968" t="str">
        <f>"20200111155739257"</f>
        <v>20200111155739257</v>
      </c>
      <c r="B6968" t="str">
        <f>"1578729459250210"</f>
        <v>1578729459250210</v>
      </c>
      <c r="C6968" t="s">
        <v>37</v>
      </c>
      <c r="D6968">
        <v>4.8905139999999996</v>
      </c>
      <c r="E6968">
        <v>0.62452319999999995</v>
      </c>
      <c r="F6968" t="s">
        <v>38</v>
      </c>
      <c r="G6968">
        <v>-163.7414</v>
      </c>
      <c r="H6968" s="1">
        <v>-3.6216939999999998E-6</v>
      </c>
      <c r="I6968">
        <v>135.76750000000001</v>
      </c>
      <c r="J6968">
        <v>-177.32919999999999</v>
      </c>
      <c r="K6968">
        <v>1.092203</v>
      </c>
      <c r="L6968">
        <v>134.12209999999999</v>
      </c>
      <c r="M6968">
        <v>0.85711029999999999</v>
      </c>
      <c r="N6968">
        <v>0</v>
      </c>
      <c r="O6968">
        <v>0.51486829999999995</v>
      </c>
      <c r="P6968">
        <v>0.90742710000000004</v>
      </c>
      <c r="Q6968" s="1">
        <v>6.8709249999999999E-5</v>
      </c>
      <c r="R6968">
        <v>0.42020969999999902</v>
      </c>
      <c r="S6968">
        <v>3.1344150000000002</v>
      </c>
      <c r="T6968">
        <v>-0.24944469999999999</v>
      </c>
      <c r="U6968">
        <v>0.39244079999999998</v>
      </c>
      <c r="V6968">
        <v>0.1075065</v>
      </c>
      <c r="W6968">
        <v>1.322213E-2</v>
      </c>
      <c r="X6968">
        <v>0.99411640000000001</v>
      </c>
      <c r="Y6968">
        <v>0.40176649999999903</v>
      </c>
      <c r="Z6968">
        <v>-5.4768899999999898E-2</v>
      </c>
      <c r="AA6968">
        <v>0.91410290000000005</v>
      </c>
      <c r="AB6968">
        <v>27</v>
      </c>
      <c r="AC6968">
        <v>13.5877999999999</v>
      </c>
      <c r="AD6968">
        <v>-1.0922066216940001</v>
      </c>
      <c r="AE6968">
        <v>1.64540000000002</v>
      </c>
      <c r="AF6968">
        <v>5.5510516185935099</v>
      </c>
      <c r="AG6968">
        <v>-1.0922066216940001</v>
      </c>
      <c r="AH6968">
        <v>12.416047764395101</v>
      </c>
      <c r="AI6968">
        <v>94.591376861733394</v>
      </c>
      <c r="AJ6968">
        <v>65.911209638794006</v>
      </c>
      <c r="AK6968">
        <v>13.644241696206601</v>
      </c>
    </row>
    <row r="6969" spans="1:37" x14ac:dyDescent="0.2">
      <c r="A6969" t="str">
        <f>"20200111155739272"</f>
        <v>20200111155739272</v>
      </c>
      <c r="B6969" t="str">
        <f>"1578729459270706"</f>
        <v>1578729459270706</v>
      </c>
      <c r="C6969" t="s">
        <v>37</v>
      </c>
      <c r="D6969">
        <v>4.8426369999999999</v>
      </c>
      <c r="E6969">
        <v>0.62364659999999905</v>
      </c>
      <c r="F6969" t="s">
        <v>38</v>
      </c>
      <c r="G6969">
        <v>-163.5625</v>
      </c>
      <c r="H6969" s="1">
        <v>-3.7124989999999998E-6</v>
      </c>
      <c r="I6969">
        <v>135.73220000000001</v>
      </c>
      <c r="J6969">
        <v>-177.17140000000001</v>
      </c>
      <c r="K6969">
        <v>1.092152</v>
      </c>
      <c r="L6969">
        <v>134.20330000000001</v>
      </c>
      <c r="M6969">
        <v>0.86286529999999995</v>
      </c>
      <c r="N6969">
        <v>0</v>
      </c>
      <c r="O6969">
        <v>0.50516329999999998</v>
      </c>
      <c r="P6969">
        <v>0.91190469999999901</v>
      </c>
      <c r="Q6969" s="1">
        <v>-5.5473299999999901E-5</v>
      </c>
      <c r="R6969">
        <v>0.41040209999999999</v>
      </c>
      <c r="S6969">
        <v>3.1362299999999999</v>
      </c>
      <c r="T6969">
        <v>-0.24881880000000001</v>
      </c>
      <c r="U6969">
        <v>0.36679079999999997</v>
      </c>
      <c r="V6969">
        <v>0.1070049</v>
      </c>
      <c r="W6969">
        <v>1.3125349999999999E-2</v>
      </c>
      <c r="X6969">
        <v>0.9941719</v>
      </c>
      <c r="Y6969">
        <v>0.39891969999999999</v>
      </c>
      <c r="Z6969">
        <v>-5.3875920000000001E-2</v>
      </c>
      <c r="AA6969">
        <v>0.91540180000000004</v>
      </c>
      <c r="AB6969">
        <v>27</v>
      </c>
      <c r="AC6969">
        <v>13.6089</v>
      </c>
      <c r="AD6969">
        <v>-1.092155712499</v>
      </c>
      <c r="AE6969">
        <v>1.5288999999999899</v>
      </c>
      <c r="AF6969">
        <v>5.5211261018403404</v>
      </c>
      <c r="AG6969">
        <v>-1.092155712499</v>
      </c>
      <c r="AH6969">
        <v>12.4375970744713</v>
      </c>
      <c r="AI6969">
        <v>94.588642003141601</v>
      </c>
      <c r="AJ6969">
        <v>66.063269793388002</v>
      </c>
      <c r="AK6969">
        <v>13.6517199839311</v>
      </c>
    </row>
    <row r="6970" spans="1:37" x14ac:dyDescent="0.2">
      <c r="A6970" t="str">
        <f>"20200111155739286"</f>
        <v>20200111155739286</v>
      </c>
      <c r="B6970" t="str">
        <f>"1578729459280465"</f>
        <v>1578729459280465</v>
      </c>
      <c r="C6970" t="s">
        <v>37</v>
      </c>
      <c r="D6970">
        <v>4.883826</v>
      </c>
      <c r="E6970">
        <v>0.62321249999999995</v>
      </c>
      <c r="F6970" t="s">
        <v>38</v>
      </c>
      <c r="G6970">
        <v>-163.31620000000001</v>
      </c>
      <c r="H6970" s="1">
        <v>-3.8343989999999998E-6</v>
      </c>
      <c r="I6970">
        <v>135.7013</v>
      </c>
      <c r="J6970">
        <v>-177.0136</v>
      </c>
      <c r="K6970">
        <v>1.0921049999999899</v>
      </c>
      <c r="L6970">
        <v>134.2826</v>
      </c>
      <c r="M6970">
        <v>0.86851329999999904</v>
      </c>
      <c r="N6970">
        <v>0</v>
      </c>
      <c r="O6970">
        <v>0.49538909999999903</v>
      </c>
      <c r="P6970">
        <v>0.91594989999999998</v>
      </c>
      <c r="Q6970">
        <v>1.2395439999999999E-4</v>
      </c>
      <c r="R6970">
        <v>0.40129280000000001</v>
      </c>
      <c r="S6970">
        <v>3.137146</v>
      </c>
      <c r="T6970">
        <v>-0.2472895</v>
      </c>
      <c r="U6970">
        <v>0.33918759999999998</v>
      </c>
      <c r="V6970">
        <v>0.1056974</v>
      </c>
      <c r="W6970">
        <v>1.3358500000000001E-2</v>
      </c>
      <c r="X6970">
        <v>0.99430859999999999</v>
      </c>
      <c r="Y6970">
        <v>0.39662120000000001</v>
      </c>
      <c r="Z6970">
        <v>-5.282162E-2</v>
      </c>
      <c r="AA6970">
        <v>0.91646139999999998</v>
      </c>
      <c r="AB6970">
        <v>27</v>
      </c>
      <c r="AC6970">
        <v>13.697399999999901</v>
      </c>
      <c r="AD6970">
        <v>-1.092108834399</v>
      </c>
      <c r="AE6970">
        <v>1.4187000000000001</v>
      </c>
      <c r="AF6970">
        <v>5.5194297312482101</v>
      </c>
      <c r="AG6970">
        <v>-1.092108834399</v>
      </c>
      <c r="AH6970">
        <v>12.5221518115397</v>
      </c>
      <c r="AI6970">
        <v>94.562856907999404</v>
      </c>
      <c r="AJ6970">
        <v>66.213397468675794</v>
      </c>
      <c r="AK6970">
        <v>13.728113208143601</v>
      </c>
    </row>
    <row r="6971" spans="1:37" x14ac:dyDescent="0.2">
      <c r="A6971" t="str">
        <f>"20200111155739302"</f>
        <v>20200111155739302</v>
      </c>
      <c r="B6971" t="str">
        <f>"1578729459299987"</f>
        <v>1578729459299987</v>
      </c>
      <c r="C6971" t="s">
        <v>37</v>
      </c>
      <c r="D6971">
        <v>4.8465780000000001</v>
      </c>
      <c r="E6971">
        <v>0.62268669999999904</v>
      </c>
      <c r="F6971" t="s">
        <v>38</v>
      </c>
      <c r="G6971">
        <v>-162.98269999999999</v>
      </c>
      <c r="H6971" s="1">
        <v>-3.9972699999999901E-6</v>
      </c>
      <c r="I6971">
        <v>135.672</v>
      </c>
      <c r="J6971">
        <v>-176.83539999999999</v>
      </c>
      <c r="K6971">
        <v>1.0920639999999999</v>
      </c>
      <c r="L6971">
        <v>134.36949999999999</v>
      </c>
      <c r="M6971">
        <v>0.874754699999999</v>
      </c>
      <c r="N6971">
        <v>0</v>
      </c>
      <c r="O6971">
        <v>0.4842822</v>
      </c>
      <c r="P6971">
        <v>0.92067809999999894</v>
      </c>
      <c r="Q6971">
        <v>1.8690340000000001E-4</v>
      </c>
      <c r="R6971">
        <v>0.39032289999999997</v>
      </c>
      <c r="S6971">
        <v>3.13912999999999</v>
      </c>
      <c r="T6971">
        <v>-0.2443372</v>
      </c>
      <c r="U6971">
        <v>0.31085209999999902</v>
      </c>
      <c r="V6971">
        <v>0.104909899999999</v>
      </c>
      <c r="W6971">
        <v>1.346053E-2</v>
      </c>
      <c r="X6971">
        <v>0.99439059999999901</v>
      </c>
      <c r="Y6971">
        <v>0.3932774</v>
      </c>
      <c r="Z6971">
        <v>-5.1321569999999997E-2</v>
      </c>
      <c r="AA6971">
        <v>0.91798639999999998</v>
      </c>
      <c r="AB6971">
        <v>27</v>
      </c>
      <c r="AC6971">
        <v>13.8527</v>
      </c>
      <c r="AD6971">
        <v>-1.09206799726999</v>
      </c>
      <c r="AE6971">
        <v>1.3025</v>
      </c>
      <c r="AF6971">
        <v>5.5359105245487701</v>
      </c>
      <c r="AG6971">
        <v>-1.09206799726999</v>
      </c>
      <c r="AH6971">
        <v>12.6721795436245</v>
      </c>
      <c r="AI6971">
        <v>94.515370619708705</v>
      </c>
      <c r="AJ6971">
        <v>66.401627238591004</v>
      </c>
      <c r="AK6971">
        <v>13.871663643281099</v>
      </c>
    </row>
    <row r="6972" spans="1:37" x14ac:dyDescent="0.2">
      <c r="A6972" t="str">
        <f>"20200111155739315"</f>
        <v>20200111155739315</v>
      </c>
      <c r="B6972" t="str">
        <f>"1578729459310722"</f>
        <v>1578729459310722</v>
      </c>
      <c r="C6972" t="s">
        <v>37</v>
      </c>
      <c r="D6972">
        <v>4.8421129999999897</v>
      </c>
      <c r="E6972">
        <v>0.61305279999999995</v>
      </c>
      <c r="F6972" t="s">
        <v>38</v>
      </c>
      <c r="G6972">
        <v>-162.71969999999999</v>
      </c>
      <c r="H6972" s="1">
        <v>-4.1316179999999996E-6</v>
      </c>
      <c r="I6972">
        <v>135.61539999999999</v>
      </c>
      <c r="J6972">
        <v>-176.6825</v>
      </c>
      <c r="K6972">
        <v>1.092023</v>
      </c>
      <c r="L6972">
        <v>134.4418</v>
      </c>
      <c r="M6972">
        <v>0.87999640000000001</v>
      </c>
      <c r="N6972">
        <v>0</v>
      </c>
      <c r="O6972">
        <v>0.4746899</v>
      </c>
      <c r="P6972">
        <v>0.92456949999999904</v>
      </c>
      <c r="Q6972" s="1">
        <v>-4.92902499999999E-5</v>
      </c>
      <c r="R6972">
        <v>0.3810135</v>
      </c>
      <c r="S6972">
        <v>3.1409910000000001</v>
      </c>
      <c r="T6972">
        <v>-0.24300429999999901</v>
      </c>
      <c r="U6972">
        <v>0.27723690000000001</v>
      </c>
      <c r="V6972">
        <v>0.10406700000000001</v>
      </c>
      <c r="W6972">
        <v>1.326314E-2</v>
      </c>
      <c r="X6972">
        <v>0.99448189999999903</v>
      </c>
      <c r="Y6972">
        <v>0.39307759999999897</v>
      </c>
      <c r="Z6972">
        <v>-5.040058E-2</v>
      </c>
      <c r="AA6972">
        <v>0.91812289999999996</v>
      </c>
      <c r="AB6972">
        <v>27</v>
      </c>
      <c r="AC6972">
        <v>13.9628</v>
      </c>
      <c r="AD6972">
        <v>-1.0920271316179999</v>
      </c>
      <c r="AE6972">
        <v>1.17359999999999</v>
      </c>
      <c r="AF6972">
        <v>5.5622240569697903</v>
      </c>
      <c r="AG6972">
        <v>-1.0920271316179999</v>
      </c>
      <c r="AH6972">
        <v>12.768527433426399</v>
      </c>
      <c r="AI6972">
        <v>94.483292592217794</v>
      </c>
      <c r="AJ6972">
        <v>66.461102543486703</v>
      </c>
      <c r="AK6972">
        <v>13.970187992088199</v>
      </c>
    </row>
    <row r="6973" spans="1:37" x14ac:dyDescent="0.2">
      <c r="A6973" t="str">
        <f>"20200111155739331"</f>
        <v>20200111155739331</v>
      </c>
      <c r="B6973" t="str">
        <f>"1578729459320482"</f>
        <v>1578729459320482</v>
      </c>
      <c r="C6973" t="s">
        <v>37</v>
      </c>
      <c r="D6973">
        <v>4.9001380000000001</v>
      </c>
      <c r="E6973">
        <v>0.61169969999999996</v>
      </c>
      <c r="F6973" t="s">
        <v>38</v>
      </c>
      <c r="G6973">
        <v>-161.8006</v>
      </c>
      <c r="H6973" s="1">
        <v>-4.5064099999999996E-6</v>
      </c>
      <c r="I6973">
        <v>135.95189999999999</v>
      </c>
      <c r="J6973">
        <v>-176.52539999999999</v>
      </c>
      <c r="K6973">
        <v>1.0919889999999901</v>
      </c>
      <c r="L6973">
        <v>134.51339999999999</v>
      </c>
      <c r="M6973">
        <v>0.88527440000000002</v>
      </c>
      <c r="N6973">
        <v>0</v>
      </c>
      <c r="O6973">
        <v>0.46477190000000002</v>
      </c>
      <c r="P6973">
        <v>0.92801840000000002</v>
      </c>
      <c r="Q6973">
        <v>-3.0334759999999899E-4</v>
      </c>
      <c r="R6973">
        <v>0.37253459999999899</v>
      </c>
      <c r="S6973">
        <v>3.114487</v>
      </c>
      <c r="T6973">
        <v>-0.22853850000000001</v>
      </c>
      <c r="U6973">
        <v>0.31603999999999999</v>
      </c>
      <c r="V6973">
        <v>0.1019901</v>
      </c>
      <c r="W6973">
        <v>1.308959E-2</v>
      </c>
      <c r="X6973">
        <v>0.99469929999999995</v>
      </c>
      <c r="Y6973">
        <v>0.3709519</v>
      </c>
      <c r="Z6973">
        <v>-4.6303499999999997E-2</v>
      </c>
      <c r="AA6973">
        <v>0.92749699999999902</v>
      </c>
      <c r="AB6973">
        <v>27</v>
      </c>
      <c r="AC6973">
        <v>14.724799999999901</v>
      </c>
      <c r="AD6973">
        <v>-1.0919935064099999</v>
      </c>
      <c r="AE6973">
        <v>1.4384999999999999</v>
      </c>
      <c r="AF6973">
        <v>5.5407910087489203</v>
      </c>
      <c r="AG6973">
        <v>-1.0919935064099999</v>
      </c>
      <c r="AH6973">
        <v>13.631694704289201</v>
      </c>
      <c r="AI6973">
        <v>94.244190246622594</v>
      </c>
      <c r="AJ6973">
        <v>67.8800358227831</v>
      </c>
      <c r="AK6973">
        <v>14.7551996032457</v>
      </c>
    </row>
    <row r="6974" spans="1:37" x14ac:dyDescent="0.2">
      <c r="A6974" t="str">
        <f>"20200111155739346"</f>
        <v>20200111155739346</v>
      </c>
      <c r="B6974" t="str">
        <f>"1578729459340002"</f>
        <v>1578729459340002</v>
      </c>
      <c r="C6974" t="s">
        <v>37</v>
      </c>
      <c r="D6974">
        <v>4.880109</v>
      </c>
      <c r="E6974">
        <v>0.60873849999999996</v>
      </c>
      <c r="F6974" t="s">
        <v>38</v>
      </c>
      <c r="G6974">
        <v>-161.4179</v>
      </c>
      <c r="H6974" s="1">
        <v>-4.6866269999999998E-6</v>
      </c>
      <c r="I6974">
        <v>135.9556</v>
      </c>
      <c r="J6974">
        <v>-176.3466</v>
      </c>
      <c r="K6974">
        <v>1.09195</v>
      </c>
      <c r="L6974">
        <v>134.5926</v>
      </c>
      <c r="M6974">
        <v>0.89114099999999996</v>
      </c>
      <c r="N6974">
        <v>0</v>
      </c>
      <c r="O6974">
        <v>0.4534205</v>
      </c>
      <c r="P6974">
        <v>0.93224929999999995</v>
      </c>
      <c r="Q6974">
        <v>-8.7035349999999999E-4</v>
      </c>
      <c r="R6974">
        <v>0.36181550000000001</v>
      </c>
      <c r="S6974">
        <v>3.1133120000000001</v>
      </c>
      <c r="T6974">
        <v>-0.22503529999999999</v>
      </c>
      <c r="U6974">
        <v>0.2971954</v>
      </c>
      <c r="V6974">
        <v>0.100726</v>
      </c>
      <c r="W6974">
        <v>1.257846E-2</v>
      </c>
      <c r="X6974">
        <v>0.99483469999999996</v>
      </c>
      <c r="Y6974">
        <v>0.36471100000000001</v>
      </c>
      <c r="Z6974">
        <v>-4.4682350000000003E-2</v>
      </c>
      <c r="AA6974">
        <v>0.93004799999999999</v>
      </c>
      <c r="AB6974">
        <v>27</v>
      </c>
      <c r="AC6974">
        <v>14.9286999999999</v>
      </c>
      <c r="AD6974">
        <v>-1.091954686627</v>
      </c>
      <c r="AE6974">
        <v>1.36299999999999</v>
      </c>
      <c r="AF6974">
        <v>5.5258050156821596</v>
      </c>
      <c r="AG6974">
        <v>-1.091954686627</v>
      </c>
      <c r="AH6974">
        <v>13.8500342204551</v>
      </c>
      <c r="AI6974">
        <v>94.1881903862065</v>
      </c>
      <c r="AJ6974">
        <v>68.249280345357803</v>
      </c>
      <c r="AK6974">
        <v>14.951599714303599</v>
      </c>
    </row>
    <row r="6975" spans="1:37" x14ac:dyDescent="0.2">
      <c r="A6975" t="str">
        <f>"20200111155739361"</f>
        <v>20200111155739361</v>
      </c>
      <c r="B6975" t="str">
        <f>"1578729459350297"</f>
        <v>1578729459350297</v>
      </c>
      <c r="C6975" t="s">
        <v>37</v>
      </c>
      <c r="D6975">
        <v>4.8838730000000004</v>
      </c>
      <c r="E6975">
        <v>0.60784119999999997</v>
      </c>
      <c r="F6975" t="s">
        <v>38</v>
      </c>
      <c r="G6975">
        <v>-161.8331</v>
      </c>
      <c r="H6975" s="1">
        <v>-4.497427E-6</v>
      </c>
      <c r="I6975">
        <v>135.916</v>
      </c>
      <c r="J6975">
        <v>-176.18889999999999</v>
      </c>
      <c r="K6975">
        <v>1.0919159999999899</v>
      </c>
      <c r="L6975">
        <v>134.66050000000001</v>
      </c>
      <c r="M6975">
        <v>0.89619789999999899</v>
      </c>
      <c r="N6975">
        <v>0</v>
      </c>
      <c r="O6975">
        <v>0.44334099999999999</v>
      </c>
      <c r="P6975">
        <v>0.93579199999999996</v>
      </c>
      <c r="Q6975">
        <v>-1.1188979999999999E-3</v>
      </c>
      <c r="R6975">
        <v>0.352551</v>
      </c>
      <c r="S6975">
        <v>3.1078189999999899</v>
      </c>
      <c r="T6975">
        <v>-0.233821999999999</v>
      </c>
      <c r="U6975">
        <v>0.28337099999999998</v>
      </c>
      <c r="V6975">
        <v>9.9367650000000002E-2</v>
      </c>
      <c r="W6975">
        <v>1.2387260000000001E-2</v>
      </c>
      <c r="X6975">
        <v>0.99497369999999996</v>
      </c>
      <c r="Y6975">
        <v>0.3580256</v>
      </c>
      <c r="Z6975">
        <v>-4.5590890000000002E-2</v>
      </c>
      <c r="AA6975">
        <v>0.93259809999999999</v>
      </c>
      <c r="AB6975">
        <v>26</v>
      </c>
      <c r="AC6975">
        <v>14.355799999999901</v>
      </c>
      <c r="AD6975">
        <v>-1.09192049742699</v>
      </c>
      <c r="AE6975">
        <v>1.2554999999999801</v>
      </c>
      <c r="AF6975">
        <v>5.2101533000341602</v>
      </c>
      <c r="AG6975">
        <v>-1.09192049742699</v>
      </c>
      <c r="AH6975">
        <v>13.3474857523978</v>
      </c>
      <c r="AI6975">
        <v>94.3579217161749</v>
      </c>
      <c r="AJ6975">
        <v>68.676953053836101</v>
      </c>
      <c r="AK6975">
        <v>14.369876954693099</v>
      </c>
    </row>
    <row r="6976" spans="1:37" x14ac:dyDescent="0.2">
      <c r="A6976" t="str">
        <f>"20200111155739373"</f>
        <v>20200111155739373</v>
      </c>
      <c r="B6976" t="str">
        <f>"1578729459370795"</f>
        <v>1578729459370795</v>
      </c>
      <c r="C6976" t="s">
        <v>37</v>
      </c>
      <c r="D6976">
        <v>4.8903679999999996</v>
      </c>
      <c r="E6976">
        <v>0.60610739999999996</v>
      </c>
      <c r="F6976" t="s">
        <v>38</v>
      </c>
      <c r="G6976">
        <v>-161.81610000000001</v>
      </c>
      <c r="H6976" s="1">
        <v>-4.5155110000000003E-6</v>
      </c>
      <c r="I6976">
        <v>135.85929999999999</v>
      </c>
      <c r="J6976">
        <v>-176.0385</v>
      </c>
      <c r="K6976">
        <v>1.0918859999999999</v>
      </c>
      <c r="L6976">
        <v>134.72280000000001</v>
      </c>
      <c r="M6976">
        <v>0.90090939999999997</v>
      </c>
      <c r="N6976">
        <v>0</v>
      </c>
      <c r="O6976">
        <v>0.43368590000000001</v>
      </c>
      <c r="P6976">
        <v>0.93916089999999997</v>
      </c>
      <c r="Q6976">
        <v>-1.6078069999999999E-3</v>
      </c>
      <c r="R6976">
        <v>0.3434739</v>
      </c>
      <c r="S6976">
        <v>3.1078950000000001</v>
      </c>
      <c r="T6976">
        <v>-0.23611070000000001</v>
      </c>
      <c r="U6976">
        <v>0.25921630000000001</v>
      </c>
      <c r="V6976">
        <v>9.8296919999999996E-2</v>
      </c>
      <c r="W6976">
        <v>1.194574E-2</v>
      </c>
      <c r="X6976">
        <v>0.99508539999999901</v>
      </c>
      <c r="Y6976">
        <v>0.35518099999999903</v>
      </c>
      <c r="Z6976">
        <v>-4.5294750000000002E-2</v>
      </c>
      <c r="AA6976">
        <v>0.93369950000000002</v>
      </c>
      <c r="AB6976">
        <v>26</v>
      </c>
      <c r="AC6976">
        <v>14.222399999999899</v>
      </c>
      <c r="AD6976">
        <v>-1.0918905155109999</v>
      </c>
      <c r="AE6976">
        <v>1.1364999999999801</v>
      </c>
      <c r="AF6976">
        <v>5.1149317598938202</v>
      </c>
      <c r="AG6976">
        <v>-1.0918905155109999</v>
      </c>
      <c r="AH6976">
        <v>13.23034777298</v>
      </c>
      <c r="AI6976">
        <v>94.401767929597895</v>
      </c>
      <c r="AJ6976">
        <v>68.863199366858694</v>
      </c>
      <c r="AK6976">
        <v>14.2266248281252</v>
      </c>
    </row>
    <row r="6977" spans="1:37" x14ac:dyDescent="0.2">
      <c r="A6977" t="str">
        <f>"20200111155739387"</f>
        <v>20200111155739387</v>
      </c>
      <c r="B6977" t="str">
        <f>"1578729459380553"</f>
        <v>1578729459380553</v>
      </c>
      <c r="C6977" t="s">
        <v>37</v>
      </c>
      <c r="D6977">
        <v>4.8886719999999997</v>
      </c>
      <c r="E6977">
        <v>0.60610739999999996</v>
      </c>
      <c r="F6977" t="s">
        <v>38</v>
      </c>
      <c r="G6977">
        <v>-161.8022</v>
      </c>
      <c r="H6977" s="1">
        <v>-4.5268719999999999E-6</v>
      </c>
      <c r="I6977">
        <v>135.8323</v>
      </c>
      <c r="J6977">
        <v>-175.8974</v>
      </c>
      <c r="K6977">
        <v>1.0918639999999999</v>
      </c>
      <c r="L6977">
        <v>134.77940000000001</v>
      </c>
      <c r="M6977">
        <v>0.90523679999999995</v>
      </c>
      <c r="N6977">
        <v>0</v>
      </c>
      <c r="O6977">
        <v>0.42457849999999903</v>
      </c>
      <c r="P6977">
        <v>0.94167829999999997</v>
      </c>
      <c r="Q6977">
        <v>-2.2951349999999998E-3</v>
      </c>
      <c r="R6977">
        <v>0.33650639999999998</v>
      </c>
      <c r="S6977">
        <v>3.105423</v>
      </c>
      <c r="T6977">
        <v>-0.23817739999999901</v>
      </c>
      <c r="U6977">
        <v>0.2420197</v>
      </c>
      <c r="V6977">
        <v>9.5614409999999997E-2</v>
      </c>
      <c r="W6977">
        <v>1.135832E-2</v>
      </c>
      <c r="X6977">
        <v>0.99535359999999995</v>
      </c>
      <c r="Y6977">
        <v>0.35082469999999999</v>
      </c>
      <c r="Z6977">
        <v>-4.4945489999999998E-2</v>
      </c>
      <c r="AA6977">
        <v>0.93536189999999997</v>
      </c>
      <c r="AB6977">
        <v>26</v>
      </c>
      <c r="AC6977">
        <v>14.0952</v>
      </c>
      <c r="AD6977">
        <v>-1.0918685268719901</v>
      </c>
      <c r="AE6977">
        <v>1.05289999999999</v>
      </c>
      <c r="AF6977">
        <v>5.0022479929691999</v>
      </c>
      <c r="AG6977">
        <v>-1.0918685268719901</v>
      </c>
      <c r="AH6977">
        <v>13.130026525814801</v>
      </c>
      <c r="AI6977">
        <v>94.443502127810802</v>
      </c>
      <c r="AJ6977">
        <v>69.144272529437202</v>
      </c>
      <c r="AK6977">
        <v>14.092986143175599</v>
      </c>
    </row>
    <row r="6978" spans="1:37" x14ac:dyDescent="0.2">
      <c r="A6978" t="str">
        <f>"20200111155739403"</f>
        <v>20200111155739403</v>
      </c>
      <c r="B6978" t="str">
        <f>"1578729459400073"</f>
        <v>1578729459400073</v>
      </c>
      <c r="C6978" t="s">
        <v>37</v>
      </c>
      <c r="D6978">
        <v>4.9698949999999904</v>
      </c>
      <c r="E6978">
        <v>0.59345509999999901</v>
      </c>
      <c r="F6978" t="s">
        <v>38</v>
      </c>
      <c r="G6978">
        <v>-161.7088</v>
      </c>
      <c r="H6978" s="1">
        <v>-4.5806860000000001E-6</v>
      </c>
      <c r="I6978">
        <v>135.77770000000001</v>
      </c>
      <c r="J6978">
        <v>-175.70920000000001</v>
      </c>
      <c r="K6978">
        <v>1.091834</v>
      </c>
      <c r="L6978">
        <v>134.8527</v>
      </c>
      <c r="M6978">
        <v>0.91086389999999995</v>
      </c>
      <c r="N6978">
        <v>0</v>
      </c>
      <c r="O6978">
        <v>0.41236719999999999</v>
      </c>
      <c r="P6978">
        <v>0.94556859999999998</v>
      </c>
      <c r="Q6978">
        <v>-2.5871319999999998E-3</v>
      </c>
      <c r="R6978">
        <v>0.3254129</v>
      </c>
      <c r="S6978">
        <v>3.1070859999999998</v>
      </c>
      <c r="T6978">
        <v>-0.23910219999999999</v>
      </c>
      <c r="U6978">
        <v>0.21861269999999999</v>
      </c>
      <c r="V6978">
        <v>9.3923779999999998E-2</v>
      </c>
      <c r="W6978">
        <v>1.1137080000000001E-2</v>
      </c>
      <c r="X6978">
        <v>0.99551710000000004</v>
      </c>
      <c r="Y6978">
        <v>0.34531240000000002</v>
      </c>
      <c r="Z6978">
        <v>-4.4051010000000002E-2</v>
      </c>
      <c r="AA6978">
        <v>0.93745339999999999</v>
      </c>
      <c r="AB6978">
        <v>26</v>
      </c>
      <c r="AC6978">
        <v>14.000400000000001</v>
      </c>
      <c r="AD6978">
        <v>-1.091838580686</v>
      </c>
      <c r="AE6978">
        <v>0.92500000000001104</v>
      </c>
      <c r="AF6978">
        <v>4.9017654491644</v>
      </c>
      <c r="AG6978">
        <v>-1.091838580686</v>
      </c>
      <c r="AH6978">
        <v>13.0566757003156</v>
      </c>
      <c r="AI6978">
        <v>94.476429946558298</v>
      </c>
      <c r="AJ6978">
        <v>69.422751605597</v>
      </c>
      <c r="AK6978">
        <v>13.989145661837499</v>
      </c>
    </row>
    <row r="6979" spans="1:37" x14ac:dyDescent="0.2">
      <c r="A6979" t="str">
        <f>"20200111155739417"</f>
        <v>20200111155739417</v>
      </c>
      <c r="B6979" t="str">
        <f>"1578729459410810"</f>
        <v>1578729459410810</v>
      </c>
      <c r="C6979" t="s">
        <v>37</v>
      </c>
      <c r="D6979">
        <v>4.9292730000000002</v>
      </c>
      <c r="E6979">
        <v>0.59254259999999903</v>
      </c>
      <c r="F6979" t="s">
        <v>38</v>
      </c>
      <c r="G6979">
        <v>-163.52170000000001</v>
      </c>
      <c r="H6979" s="1">
        <v>-3.69219699999999E-6</v>
      </c>
      <c r="I6979">
        <v>135.9554</v>
      </c>
      <c r="J6979">
        <v>-175.54429999999999</v>
      </c>
      <c r="K6979">
        <v>1.091812</v>
      </c>
      <c r="L6979">
        <v>134.91470000000001</v>
      </c>
      <c r="M6979">
        <v>0.91565629999999998</v>
      </c>
      <c r="N6979">
        <v>0</v>
      </c>
      <c r="O6979">
        <v>0.40161239999999998</v>
      </c>
      <c r="P6979">
        <v>0.948735199999999</v>
      </c>
      <c r="Q6979">
        <v>-3.129527E-3</v>
      </c>
      <c r="R6979">
        <v>0.31605670000000002</v>
      </c>
      <c r="S6979">
        <v>3.0761720000000001</v>
      </c>
      <c r="T6979">
        <v>-0.2755843</v>
      </c>
      <c r="U6979">
        <v>0.27832030000000002</v>
      </c>
      <c r="V6979">
        <v>9.2018669999999997E-2</v>
      </c>
      <c r="W6979">
        <v>1.067124E-2</v>
      </c>
      <c r="X6979">
        <v>0.99570009999999998</v>
      </c>
      <c r="Y6979">
        <v>0.31476479999999901</v>
      </c>
      <c r="Z6979">
        <v>-4.8932730000000001E-2</v>
      </c>
      <c r="AA6979">
        <v>0.94790759999999996</v>
      </c>
      <c r="AB6979">
        <v>26</v>
      </c>
      <c r="AC6979">
        <v>12.022599999999899</v>
      </c>
      <c r="AD6979">
        <v>-1.0918156921969999</v>
      </c>
      <c r="AE6979">
        <v>1.04069999999998</v>
      </c>
      <c r="AF6979">
        <v>3.8445755579975098</v>
      </c>
      <c r="AG6979">
        <v>-1.0918156921969999</v>
      </c>
      <c r="AH6979">
        <v>11.3353447496622</v>
      </c>
      <c r="AI6979">
        <v>95.211862470116003</v>
      </c>
      <c r="AJ6979">
        <v>71.264756334358793</v>
      </c>
      <c r="AK6979">
        <v>12.0192704986856</v>
      </c>
    </row>
    <row r="6980" spans="1:37" x14ac:dyDescent="0.2">
      <c r="A6980" t="str">
        <f>"20200111155739431"</f>
        <v>20200111155739431</v>
      </c>
      <c r="B6980" t="str">
        <f>"1578729459420569"</f>
        <v>1578729459420569</v>
      </c>
      <c r="C6980" t="s">
        <v>37</v>
      </c>
      <c r="D6980">
        <v>4.9398309999999999</v>
      </c>
      <c r="E6980">
        <v>0.59169579999999999</v>
      </c>
      <c r="F6980" t="s">
        <v>38</v>
      </c>
      <c r="G6980">
        <v>-163.35480000000001</v>
      </c>
      <c r="H6980" s="1">
        <v>-3.776823E-6</v>
      </c>
      <c r="I6980">
        <v>135.92310000000001</v>
      </c>
      <c r="J6980">
        <v>-175.3954</v>
      </c>
      <c r="K6980">
        <v>1.091798</v>
      </c>
      <c r="L6980">
        <v>134.96799999999999</v>
      </c>
      <c r="M6980">
        <v>0.91987350000000001</v>
      </c>
      <c r="N6980">
        <v>0</v>
      </c>
      <c r="O6980">
        <v>0.39185599999999998</v>
      </c>
      <c r="P6980">
        <v>0.95083269999999998</v>
      </c>
      <c r="Q6980">
        <v>-3.2031859999999998E-3</v>
      </c>
      <c r="R6980">
        <v>0.30968849999999998</v>
      </c>
      <c r="S6980">
        <v>3.0764009999999899</v>
      </c>
      <c r="T6980">
        <v>-0.2755532</v>
      </c>
      <c r="U6980">
        <v>0.25451659999999998</v>
      </c>
      <c r="V6980">
        <v>8.8109809999999997E-2</v>
      </c>
      <c r="W6980">
        <v>1.073942E-2</v>
      </c>
      <c r="X6980">
        <v>0.99605290000000002</v>
      </c>
      <c r="Y6980">
        <v>0.31201069999999997</v>
      </c>
      <c r="Z6980">
        <v>-4.8026060000000002E-2</v>
      </c>
      <c r="AA6980">
        <v>0.94886399999999904</v>
      </c>
      <c r="AB6980">
        <v>26</v>
      </c>
      <c r="AC6980">
        <v>12.0405999999999</v>
      </c>
      <c r="AD6980">
        <v>-1.0918017768229999</v>
      </c>
      <c r="AE6980">
        <v>0.95510000000001505</v>
      </c>
      <c r="AF6980">
        <v>3.80902794619975</v>
      </c>
      <c r="AG6980">
        <v>-1.0918017768229999</v>
      </c>
      <c r="AH6980">
        <v>11.358891356293199</v>
      </c>
      <c r="AI6980">
        <v>95.2070581885948</v>
      </c>
      <c r="AJ6980">
        <v>71.461921579278396</v>
      </c>
      <c r="AK6980">
        <v>12.030176135821</v>
      </c>
    </row>
    <row r="6981" spans="1:37" x14ac:dyDescent="0.2">
      <c r="A6981" t="str">
        <f>"20200111155739448"</f>
        <v>20200111155739448</v>
      </c>
      <c r="B6981" t="str">
        <f>"1578729459440089"</f>
        <v>1578729459440089</v>
      </c>
      <c r="C6981" t="s">
        <v>37</v>
      </c>
      <c r="D6981">
        <v>4.9299660000000003</v>
      </c>
      <c r="E6981">
        <v>0.59039459999999999</v>
      </c>
      <c r="F6981" t="s">
        <v>38</v>
      </c>
      <c r="G6981">
        <v>-163.1808</v>
      </c>
      <c r="H6981" s="1">
        <v>-3.8596579999999998E-6</v>
      </c>
      <c r="I6981">
        <v>135.91970000000001</v>
      </c>
      <c r="J6981">
        <v>-175.19820000000001</v>
      </c>
      <c r="K6981">
        <v>1.0917779999999999</v>
      </c>
      <c r="L6981">
        <v>135.03630000000001</v>
      </c>
      <c r="M6981">
        <v>0.92529549999999905</v>
      </c>
      <c r="N6981">
        <v>0</v>
      </c>
      <c r="O6981">
        <v>0.37887470000000001</v>
      </c>
      <c r="P6981">
        <v>0.95449039999999996</v>
      </c>
      <c r="Q6981">
        <v>-2.938909E-3</v>
      </c>
      <c r="R6981">
        <v>0.29822739999999998</v>
      </c>
      <c r="S6981">
        <v>3.0761569999999998</v>
      </c>
      <c r="T6981">
        <v>-0.27496309999999902</v>
      </c>
      <c r="U6981">
        <v>0.23968510000000001</v>
      </c>
      <c r="V6981">
        <v>8.6088929999999994E-2</v>
      </c>
      <c r="W6981">
        <v>1.1086540000000001E-2</v>
      </c>
      <c r="X6981">
        <v>0.99622579999999905</v>
      </c>
      <c r="Y6981">
        <v>0.30326900000000001</v>
      </c>
      <c r="Z6981">
        <v>-4.6481080000000001E-2</v>
      </c>
      <c r="AA6981">
        <v>0.95177069999999997</v>
      </c>
      <c r="AB6981">
        <v>26</v>
      </c>
      <c r="AC6981">
        <v>12.0174</v>
      </c>
      <c r="AD6981">
        <v>-1.091781859658</v>
      </c>
      <c r="AE6981">
        <v>0.88339999999999397</v>
      </c>
      <c r="AF6981">
        <v>3.7057877798904699</v>
      </c>
      <c r="AG6981">
        <v>-1.091781859658</v>
      </c>
      <c r="AH6981">
        <v>11.3626800692325</v>
      </c>
      <c r="AI6981">
        <v>95.219450702261199</v>
      </c>
      <c r="AJ6981">
        <v>71.936948299014205</v>
      </c>
      <c r="AK6981">
        <v>12.0014727868873</v>
      </c>
    </row>
    <row r="6982" spans="1:37" x14ac:dyDescent="0.2">
      <c r="A6982" t="str">
        <f>"20200111155739463"</f>
        <v>20200111155739463</v>
      </c>
      <c r="B6982" t="str">
        <f>"1578729459460373"</f>
        <v>1578729459460373</v>
      </c>
      <c r="C6982" t="s">
        <v>37</v>
      </c>
      <c r="D6982">
        <v>4.9656979999999997</v>
      </c>
      <c r="E6982">
        <v>0.58917839999999999</v>
      </c>
      <c r="F6982" t="s">
        <v>38</v>
      </c>
      <c r="G6982">
        <v>-162.952</v>
      </c>
      <c r="H6982" s="1">
        <v>-3.9746180000000001E-6</v>
      </c>
      <c r="I6982">
        <v>135.88149999999999</v>
      </c>
      <c r="J6982">
        <v>-175.03630000000001</v>
      </c>
      <c r="K6982">
        <v>1.091764</v>
      </c>
      <c r="L6982">
        <v>135.09020000000001</v>
      </c>
      <c r="M6982">
        <v>0.92960689999999901</v>
      </c>
      <c r="N6982">
        <v>0</v>
      </c>
      <c r="O6982">
        <v>0.36816870000000002</v>
      </c>
      <c r="P6982">
        <v>0.95732189999999995</v>
      </c>
      <c r="Q6982">
        <v>-2.2652879999999999E-3</v>
      </c>
      <c r="R6982">
        <v>0.28901539999999998</v>
      </c>
      <c r="S6982">
        <v>3.0758509999999899</v>
      </c>
      <c r="T6982">
        <v>-0.27421980000000001</v>
      </c>
      <c r="U6982">
        <v>0.21231079999999899</v>
      </c>
      <c r="V6982">
        <v>8.4213579999999996E-2</v>
      </c>
      <c r="W6982">
        <v>1.18356E-2</v>
      </c>
      <c r="X6982">
        <v>0.99637739999999997</v>
      </c>
      <c r="Y6982">
        <v>0.30075279999999999</v>
      </c>
      <c r="Z6982">
        <v>-4.5388539999999998E-2</v>
      </c>
      <c r="AA6982">
        <v>0.95262150000000001</v>
      </c>
      <c r="AB6982">
        <v>26</v>
      </c>
      <c r="AC6982">
        <v>12.084300000000001</v>
      </c>
      <c r="AD6982">
        <v>-1.091767974618</v>
      </c>
      <c r="AE6982">
        <v>0.79129999999997802</v>
      </c>
      <c r="AF6982">
        <v>3.6840460553218799</v>
      </c>
      <c r="AG6982">
        <v>-1.091767974618</v>
      </c>
      <c r="AH6982">
        <v>11.4336828497798</v>
      </c>
      <c r="AI6982">
        <v>95.193095815335496</v>
      </c>
      <c r="AJ6982">
        <v>72.140544410426898</v>
      </c>
      <c r="AK6982">
        <v>12.0620585373096</v>
      </c>
    </row>
    <row r="6983" spans="1:37" x14ac:dyDescent="0.2">
      <c r="A6983" t="str">
        <f>"20200111155739475"</f>
        <v>20200111155739475</v>
      </c>
      <c r="B6983" t="str">
        <f>"1578729459470133"</f>
        <v>1578729459470133</v>
      </c>
      <c r="C6983" t="s">
        <v>37</v>
      </c>
      <c r="D6983">
        <v>4.9820390000000003</v>
      </c>
      <c r="E6983">
        <v>0.58843049999999997</v>
      </c>
      <c r="F6983" t="s">
        <v>38</v>
      </c>
      <c r="G6983">
        <v>-162.80549999999999</v>
      </c>
      <c r="H6983" s="1">
        <v>-4.0488990000000001E-6</v>
      </c>
      <c r="I6983">
        <v>135.85299999999901</v>
      </c>
      <c r="J6983">
        <v>-174.8775</v>
      </c>
      <c r="K6983">
        <v>1.0917619999999999</v>
      </c>
      <c r="L6983">
        <v>135.14099999999999</v>
      </c>
      <c r="M6983">
        <v>0.93371029999999999</v>
      </c>
      <c r="N6983">
        <v>0</v>
      </c>
      <c r="O6983">
        <v>0.35763349999999999</v>
      </c>
      <c r="P6983">
        <v>0.95955679999999999</v>
      </c>
      <c r="Q6983">
        <v>-1.287306E-3</v>
      </c>
      <c r="R6983">
        <v>0.2815125</v>
      </c>
      <c r="S6983">
        <v>3.07518</v>
      </c>
      <c r="T6983">
        <v>-0.27450330000000001</v>
      </c>
      <c r="U6983">
        <v>0.191803</v>
      </c>
      <c r="V6983">
        <v>8.0780060000000001E-2</v>
      </c>
      <c r="W6983">
        <v>1.2939869999999999E-2</v>
      </c>
      <c r="X6983">
        <v>0.99664799999999998</v>
      </c>
      <c r="Y6983">
        <v>0.29633080000000001</v>
      </c>
      <c r="Z6983">
        <v>-4.438769E-2</v>
      </c>
      <c r="AA6983">
        <v>0.95405329999999999</v>
      </c>
      <c r="AB6983">
        <v>26</v>
      </c>
      <c r="AC6983">
        <v>12.071999999999999</v>
      </c>
      <c r="AD6983">
        <v>-1.091766048899</v>
      </c>
      <c r="AE6983">
        <v>0.71199999999998898</v>
      </c>
      <c r="AF6983">
        <v>3.62353329658117</v>
      </c>
      <c r="AG6983">
        <v>-1.091766048899</v>
      </c>
      <c r="AH6983">
        <v>11.434817895120799</v>
      </c>
      <c r="AI6983">
        <v>95.200551690572198</v>
      </c>
      <c r="AJ6983">
        <v>72.4173222487413</v>
      </c>
      <c r="AK6983">
        <v>12.0447916939869</v>
      </c>
    </row>
    <row r="6984" spans="1:37" x14ac:dyDescent="0.2">
      <c r="A6984" t="str">
        <f>"20200111155739498"</f>
        <v>20200111155739498</v>
      </c>
      <c r="B6984" t="str">
        <f>"1578729459490628"</f>
        <v>1578729459490628</v>
      </c>
      <c r="C6984" t="s">
        <v>37</v>
      </c>
      <c r="D6984">
        <v>5.002542</v>
      </c>
      <c r="E6984">
        <v>0.57878359999999995</v>
      </c>
      <c r="F6984" t="s">
        <v>38</v>
      </c>
      <c r="G6984">
        <v>-162.5515</v>
      </c>
      <c r="H6984" s="1">
        <v>-4.1721079999999996E-6</v>
      </c>
      <c r="I6984">
        <v>135.83519999999999</v>
      </c>
      <c r="J6984">
        <v>-174.6217</v>
      </c>
      <c r="K6984">
        <v>1.0917539999999999</v>
      </c>
      <c r="L6984">
        <v>135.21860000000001</v>
      </c>
      <c r="M6984">
        <v>0.94006229999999902</v>
      </c>
      <c r="N6984">
        <v>0</v>
      </c>
      <c r="O6984">
        <v>0.3405861</v>
      </c>
      <c r="P6984">
        <v>0.96371859999999998</v>
      </c>
      <c r="Q6984" s="1">
        <v>-4.8745420000000004E-6</v>
      </c>
      <c r="R6984">
        <v>0.26692090000000002</v>
      </c>
      <c r="S6984">
        <v>3.075272</v>
      </c>
      <c r="T6984">
        <v>-0.27239049999999998</v>
      </c>
      <c r="U6984">
        <v>0.17320250000000001</v>
      </c>
      <c r="V6984">
        <v>7.7811140000000001E-2</v>
      </c>
      <c r="W6984">
        <v>1.4340210000000001E-2</v>
      </c>
      <c r="X6984">
        <v>0.996865</v>
      </c>
      <c r="Y6984">
        <v>0.28483809999999998</v>
      </c>
      <c r="Z6984">
        <v>-4.2132870000000003E-2</v>
      </c>
      <c r="AA6984">
        <v>0.95764919999999998</v>
      </c>
      <c r="AB6984">
        <v>26</v>
      </c>
      <c r="AC6984">
        <v>12.0702</v>
      </c>
      <c r="AD6984">
        <v>-1.0917581721080001</v>
      </c>
      <c r="AE6984">
        <v>0.61659999999997595</v>
      </c>
      <c r="AF6984">
        <v>3.5032150842916998</v>
      </c>
      <c r="AG6984">
        <v>-1.0917581721080001</v>
      </c>
      <c r="AH6984">
        <v>11.4648332008264</v>
      </c>
      <c r="AI6984">
        <v>95.203574903014996</v>
      </c>
      <c r="AJ6984">
        <v>73.008849412325105</v>
      </c>
      <c r="AK6984">
        <v>12.037726203728999</v>
      </c>
    </row>
    <row r="6985" spans="1:37" x14ac:dyDescent="0.2">
      <c r="A6985" t="str">
        <f>"20200111155739517"</f>
        <v>20200111155739517</v>
      </c>
      <c r="B6985" t="str">
        <f>"1578729459510149"</f>
        <v>1578729459510149</v>
      </c>
      <c r="C6985" t="s">
        <v>37</v>
      </c>
      <c r="D6985">
        <v>5.0305309999999999</v>
      </c>
      <c r="E6985">
        <v>0.57734010000000002</v>
      </c>
      <c r="F6985" t="s">
        <v>38</v>
      </c>
      <c r="G6985">
        <v>-162.91419999999999</v>
      </c>
      <c r="H6985" s="1">
        <v>-3.9737939999999901E-6</v>
      </c>
      <c r="I6985">
        <v>135.98689999999999</v>
      </c>
      <c r="J6985">
        <v>-174.39580000000001</v>
      </c>
      <c r="K6985">
        <v>1.091761</v>
      </c>
      <c r="L6985">
        <v>135.28270000000001</v>
      </c>
      <c r="M6985">
        <v>0.94539930000000005</v>
      </c>
      <c r="N6985">
        <v>0</v>
      </c>
      <c r="O6985">
        <v>0.32547749999999998</v>
      </c>
      <c r="P6985">
        <v>0.96751469999999995</v>
      </c>
      <c r="Q6985">
        <v>4.3781290000000002E-4</v>
      </c>
      <c r="R6985">
        <v>0.25281429999999999</v>
      </c>
      <c r="S6985">
        <v>3.057388</v>
      </c>
      <c r="T6985">
        <v>-0.28511039999999999</v>
      </c>
      <c r="U6985">
        <v>0.20062260000000001</v>
      </c>
      <c r="V6985">
        <v>7.6413480000000006E-2</v>
      </c>
      <c r="W6985">
        <v>1.4844649999999999E-2</v>
      </c>
      <c r="X6985">
        <v>0.99696569999999995</v>
      </c>
      <c r="Y6985">
        <v>0.26043490000000002</v>
      </c>
      <c r="Z6985">
        <v>-4.1857499999999999E-2</v>
      </c>
      <c r="AA6985">
        <v>0.96458359999999999</v>
      </c>
      <c r="AB6985">
        <v>26</v>
      </c>
      <c r="AC6985">
        <v>11.4816</v>
      </c>
      <c r="AD6985">
        <v>-1.0917649737940001</v>
      </c>
      <c r="AE6985">
        <v>0.70419999999998595</v>
      </c>
      <c r="AF6985">
        <v>3.0442669408366401</v>
      </c>
      <c r="AG6985">
        <v>-1.0917649737940001</v>
      </c>
      <c r="AH6985">
        <v>10.986509991128001</v>
      </c>
      <c r="AI6985">
        <v>95.470238274307306</v>
      </c>
      <c r="AJ6985">
        <v>74.512407314647405</v>
      </c>
      <c r="AK6985">
        <v>11.4526378511778</v>
      </c>
    </row>
    <row r="6986" spans="1:37" x14ac:dyDescent="0.2">
      <c r="A6986" t="str">
        <f>"20200111155739535"</f>
        <v>20200111155739535</v>
      </c>
      <c r="B6986" t="str">
        <f>"1578729459530645"</f>
        <v>1578729459530645</v>
      </c>
      <c r="C6986" t="s">
        <v>37</v>
      </c>
      <c r="D6986">
        <v>5.0096400000000001</v>
      </c>
      <c r="E6986">
        <v>0.57527139999999999</v>
      </c>
      <c r="F6986" t="s">
        <v>38</v>
      </c>
      <c r="G6986">
        <v>-162.8485</v>
      </c>
      <c r="H6986" s="1">
        <v>-4.0179850000000001E-6</v>
      </c>
      <c r="I6986">
        <v>135.9126</v>
      </c>
      <c r="J6986">
        <v>-174.2166</v>
      </c>
      <c r="K6986">
        <v>1.09178</v>
      </c>
      <c r="L6986">
        <v>135.3304</v>
      </c>
      <c r="M6986">
        <v>0.94944969999999995</v>
      </c>
      <c r="N6986">
        <v>0</v>
      </c>
      <c r="O6986">
        <v>0.3134651</v>
      </c>
      <c r="P6986">
        <v>0.96994329999999995</v>
      </c>
      <c r="Q6986">
        <v>8.4944070000000005E-4</v>
      </c>
      <c r="R6986">
        <v>0.24332979999999901</v>
      </c>
      <c r="S6986">
        <v>3.0572810000000001</v>
      </c>
      <c r="T6986">
        <v>-0.28905900000000001</v>
      </c>
      <c r="U6986">
        <v>0.16679379999999999</v>
      </c>
      <c r="V6986">
        <v>7.3547600000000005E-2</v>
      </c>
      <c r="W6986">
        <v>1.536149E-2</v>
      </c>
      <c r="X6986">
        <v>0.99717339999999999</v>
      </c>
      <c r="Y6986">
        <v>0.25881749999999998</v>
      </c>
      <c r="Z6986">
        <v>-4.130731E-2</v>
      </c>
      <c r="AA6986">
        <v>0.96504259999999997</v>
      </c>
      <c r="AB6986">
        <v>26</v>
      </c>
      <c r="AC6986">
        <v>11.368099999999901</v>
      </c>
      <c r="AD6986">
        <v>-1.091784017985</v>
      </c>
      <c r="AE6986">
        <v>0.58220000000000005</v>
      </c>
      <c r="AF6986">
        <v>2.9837135432136499</v>
      </c>
      <c r="AG6986">
        <v>-1.091784017985</v>
      </c>
      <c r="AH6986">
        <v>10.8774363352374</v>
      </c>
      <c r="AI6986">
        <v>95.528773330558494</v>
      </c>
      <c r="AJ6986">
        <v>74.660882153814697</v>
      </c>
      <c r="AK6986">
        <v>11.331953056601799</v>
      </c>
    </row>
    <row r="6987" spans="1:37" x14ac:dyDescent="0.2">
      <c r="A6987" t="str">
        <f>"20200111155739551"</f>
        <v>20200111155739551</v>
      </c>
      <c r="B6987" t="str">
        <f>"1578729459540406"</f>
        <v>1578729459540406</v>
      </c>
      <c r="C6987" t="s">
        <v>37</v>
      </c>
      <c r="D6987">
        <v>5.033417</v>
      </c>
      <c r="E6987">
        <v>0.57431940000000004</v>
      </c>
      <c r="F6987" t="s">
        <v>38</v>
      </c>
      <c r="G6987">
        <v>-162.69710000000001</v>
      </c>
      <c r="H6987" s="1">
        <v>-4.0910329999999997E-6</v>
      </c>
      <c r="I6987">
        <v>135.90440000000001</v>
      </c>
      <c r="J6987">
        <v>-174.01779999999999</v>
      </c>
      <c r="K6987">
        <v>1.091807</v>
      </c>
      <c r="L6987">
        <v>135.38069999999999</v>
      </c>
      <c r="M6987">
        <v>0.9537544</v>
      </c>
      <c r="N6987">
        <v>0</v>
      </c>
      <c r="O6987">
        <v>0.3001123</v>
      </c>
      <c r="P6987">
        <v>0.97297389999999995</v>
      </c>
      <c r="Q6987">
        <v>1.1497860000000001E-3</v>
      </c>
      <c r="R6987">
        <v>0.23091220000000001</v>
      </c>
      <c r="S6987">
        <v>3.0550229999999998</v>
      </c>
      <c r="T6987">
        <v>-0.28954550000000001</v>
      </c>
      <c r="U6987">
        <v>0.15222169999999999</v>
      </c>
      <c r="V6987">
        <v>7.2311210000000001E-2</v>
      </c>
      <c r="W6987">
        <v>1.5713350000000001E-2</v>
      </c>
      <c r="X6987">
        <v>0.99725830000000004</v>
      </c>
      <c r="Y6987">
        <v>0.2498949</v>
      </c>
      <c r="Z6987">
        <v>-3.978698E-2</v>
      </c>
      <c r="AA6987">
        <v>0.96745519999999996</v>
      </c>
      <c r="AB6987">
        <v>26</v>
      </c>
      <c r="AC6987">
        <v>11.320699999999899</v>
      </c>
      <c r="AD6987">
        <v>-1.0918110910329999</v>
      </c>
      <c r="AE6987">
        <v>0.52370000000001904</v>
      </c>
      <c r="AF6987">
        <v>2.8717590626764098</v>
      </c>
      <c r="AG6987">
        <v>-1.0918110910329999</v>
      </c>
      <c r="AH6987">
        <v>10.855145937058101</v>
      </c>
      <c r="AI6987">
        <v>95.553692829053801</v>
      </c>
      <c r="AJ6987">
        <v>75.181717914857302</v>
      </c>
      <c r="AK6987">
        <v>11.2815444371503</v>
      </c>
    </row>
    <row r="6988" spans="1:37" x14ac:dyDescent="0.2">
      <c r="A6988" t="str">
        <f>"20200111155739565"</f>
        <v>20200111155739565</v>
      </c>
      <c r="B6988" t="str">
        <f>"1578729459559924"</f>
        <v>1578729459559924</v>
      </c>
      <c r="C6988" t="s">
        <v>37</v>
      </c>
      <c r="D6988">
        <v>5.0377720000000004</v>
      </c>
      <c r="E6988">
        <v>0.56445809999999996</v>
      </c>
      <c r="F6988" t="s">
        <v>38</v>
      </c>
      <c r="G6988">
        <v>-162.506</v>
      </c>
      <c r="H6988" s="1">
        <v>-4.1939330000000001E-6</v>
      </c>
      <c r="I6988">
        <v>135.83349999999999</v>
      </c>
      <c r="J6988">
        <v>-173.84209999999999</v>
      </c>
      <c r="K6988">
        <v>1.091858</v>
      </c>
      <c r="L6988">
        <v>135.4229</v>
      </c>
      <c r="M6988">
        <v>0.95739169999999996</v>
      </c>
      <c r="N6988">
        <v>0</v>
      </c>
      <c r="O6988">
        <v>0.28829859999999902</v>
      </c>
      <c r="P6988">
        <v>0.97511019999999904</v>
      </c>
      <c r="Q6988">
        <v>3.5167419999999998E-3</v>
      </c>
      <c r="R6988">
        <v>0.22169320000000001</v>
      </c>
      <c r="S6988">
        <v>3.055161</v>
      </c>
      <c r="T6988">
        <v>-0.28976000000000002</v>
      </c>
      <c r="U6988">
        <v>0.12016300000000001</v>
      </c>
      <c r="V6988">
        <v>6.9493990000000005E-2</v>
      </c>
      <c r="W6988">
        <v>1.8181579999999999E-2</v>
      </c>
      <c r="X6988">
        <v>0.99741669999999905</v>
      </c>
      <c r="Y6988">
        <v>0.24811659999999999</v>
      </c>
      <c r="Z6988">
        <v>-3.8675470000000003E-2</v>
      </c>
      <c r="AA6988">
        <v>0.96795789999999904</v>
      </c>
      <c r="AB6988">
        <v>26</v>
      </c>
      <c r="AC6988">
        <v>11.336099999999901</v>
      </c>
      <c r="AD6988">
        <v>-1.091862193933</v>
      </c>
      <c r="AE6988">
        <v>0.41059999999998797</v>
      </c>
      <c r="AF6988">
        <v>2.8490901597287999</v>
      </c>
      <c r="AG6988">
        <v>-1.091862193933</v>
      </c>
      <c r="AH6988">
        <v>10.8722971705898</v>
      </c>
      <c r="AI6988">
        <v>95.548640811654906</v>
      </c>
      <c r="AJ6988">
        <v>75.315796668348398</v>
      </c>
      <c r="AK6988">
        <v>11.2923125866413</v>
      </c>
    </row>
    <row r="6989" spans="1:37" x14ac:dyDescent="0.2">
      <c r="A6989" t="str">
        <f>"20200111155739584"</f>
        <v>20200111155739584</v>
      </c>
      <c r="B6989" t="str">
        <f>"1578729459580422"</f>
        <v>1578729459580422</v>
      </c>
      <c r="C6989" t="s">
        <v>37</v>
      </c>
      <c r="D6989">
        <v>5.1099519999999998</v>
      </c>
      <c r="E6989">
        <v>0.5629712</v>
      </c>
      <c r="F6989" t="s">
        <v>40</v>
      </c>
      <c r="G6989">
        <v>-172.95269999999999</v>
      </c>
      <c r="H6989">
        <v>1.000335</v>
      </c>
      <c r="I6989">
        <v>135.47200000000001</v>
      </c>
      <c r="J6989">
        <v>-173.62010000000001</v>
      </c>
      <c r="K6989">
        <v>1.0919179999999999</v>
      </c>
      <c r="L6989">
        <v>135.47280000000001</v>
      </c>
      <c r="M6989">
        <v>0.9617599</v>
      </c>
      <c r="N6989">
        <v>0</v>
      </c>
      <c r="O6989">
        <v>0.27337309999999998</v>
      </c>
      <c r="P6989">
        <v>0.97813649999999996</v>
      </c>
      <c r="Q6989">
        <v>5.1156579999999899E-3</v>
      </c>
      <c r="R6989">
        <v>0.20790110000000001</v>
      </c>
      <c r="S6989">
        <v>3.0394589999999999</v>
      </c>
      <c r="T6989">
        <v>-0.31243690000000002</v>
      </c>
      <c r="U6989">
        <v>0.16815189999999999</v>
      </c>
      <c r="V6989">
        <v>6.8112790000000006E-2</v>
      </c>
      <c r="W6989">
        <v>1.983352E-2</v>
      </c>
      <c r="X6989">
        <v>0.99748049999999999</v>
      </c>
      <c r="Y6989">
        <v>0.2173205</v>
      </c>
      <c r="Z6989">
        <v>-3.8816440000000001E-2</v>
      </c>
      <c r="AA6989">
        <v>0.97532819999999998</v>
      </c>
      <c r="AB6989">
        <v>26</v>
      </c>
      <c r="AC6989">
        <v>0.66740000000001398</v>
      </c>
      <c r="AD6989">
        <v>-9.1582999999999901E-2</v>
      </c>
      <c r="AE6989">
        <v>-7.9999999999813499E-4</v>
      </c>
      <c r="AF6989">
        <v>0.17985795790928699</v>
      </c>
      <c r="AG6989">
        <v>-9.1582999999999901E-2</v>
      </c>
      <c r="AH6989">
        <v>0.629890319609274</v>
      </c>
      <c r="AI6989">
        <v>97.958787699140899</v>
      </c>
      <c r="AJ6989">
        <v>74.063914420219902</v>
      </c>
      <c r="AK6989">
        <v>0.66143642600764996</v>
      </c>
    </row>
    <row r="6990" spans="1:37" x14ac:dyDescent="0.2">
      <c r="A6990" t="str">
        <f>"20200111155739598"</f>
        <v>20200111155739598</v>
      </c>
      <c r="B6990" t="str">
        <f>"1578729459590181"</f>
        <v>1578729459590181</v>
      </c>
      <c r="C6990" t="s">
        <v>37</v>
      </c>
      <c r="D6990">
        <v>5.0842460000000003</v>
      </c>
      <c r="E6990">
        <v>0.5617896</v>
      </c>
      <c r="F6990" t="s">
        <v>40</v>
      </c>
      <c r="G6990">
        <v>-172.7192</v>
      </c>
      <c r="H6990">
        <v>1.002399</v>
      </c>
      <c r="I6990">
        <v>135.51339999999999</v>
      </c>
      <c r="J6990">
        <v>-173.4564</v>
      </c>
      <c r="K6990">
        <v>1.0919749999999999</v>
      </c>
      <c r="L6990">
        <v>135.5077</v>
      </c>
      <c r="M6990">
        <v>0.96481949999999905</v>
      </c>
      <c r="N6990">
        <v>0</v>
      </c>
      <c r="O6990">
        <v>0.2623704</v>
      </c>
      <c r="P6990">
        <v>0.98017299999999996</v>
      </c>
      <c r="Q6990">
        <v>7.3163899999999999E-3</v>
      </c>
      <c r="R6990">
        <v>0.19800960000000001</v>
      </c>
      <c r="S6990">
        <v>3.03952</v>
      </c>
      <c r="T6990">
        <v>-0.30188109999999901</v>
      </c>
      <c r="U6990">
        <v>0.13697809999999999</v>
      </c>
      <c r="V6990">
        <v>6.685961E-2</v>
      </c>
      <c r="W6990">
        <v>2.2079410000000001E-2</v>
      </c>
      <c r="X6990">
        <v>0.99751809999999996</v>
      </c>
      <c r="Y6990">
        <v>0.2163784</v>
      </c>
      <c r="Z6990">
        <v>-3.6427960000000002E-2</v>
      </c>
      <c r="AA6990">
        <v>0.97562969999999904</v>
      </c>
      <c r="AB6990">
        <v>26</v>
      </c>
      <c r="AC6990">
        <v>0.73720000000000097</v>
      </c>
      <c r="AD6990">
        <v>-8.9575999999999795E-2</v>
      </c>
      <c r="AE6990">
        <v>5.6999999999902597E-3</v>
      </c>
      <c r="AF6990">
        <v>0.18521241495096299</v>
      </c>
      <c r="AG6990">
        <v>-8.9575999999999795E-2</v>
      </c>
      <c r="AH6990">
        <v>0.70249091225354798</v>
      </c>
      <c r="AI6990">
        <v>97.029013220347593</v>
      </c>
      <c r="AJ6990">
        <v>75.230018631630799</v>
      </c>
      <c r="AK6990">
        <v>0.73199793731047502</v>
      </c>
    </row>
    <row r="6991" spans="1:37" x14ac:dyDescent="0.2">
      <c r="A6991" t="str">
        <f>"20200111155739612"</f>
        <v>20200111155739612</v>
      </c>
      <c r="B6991" t="str">
        <f>"1578729459599942"</f>
        <v>1578729459599942</v>
      </c>
      <c r="C6991" t="s">
        <v>37</v>
      </c>
      <c r="D6991">
        <v>5.01722</v>
      </c>
      <c r="E6991">
        <v>0.5617896</v>
      </c>
      <c r="F6991" t="s">
        <v>40</v>
      </c>
      <c r="G6991">
        <v>-172.48830000000001</v>
      </c>
      <c r="H6991">
        <v>0.99629290000000004</v>
      </c>
      <c r="I6991">
        <v>135.5445</v>
      </c>
      <c r="J6991">
        <v>-173.29509999999999</v>
      </c>
      <c r="K6991">
        <v>1.0920729999999901</v>
      </c>
      <c r="L6991">
        <v>135.5394</v>
      </c>
      <c r="M6991">
        <v>0.96769400000000005</v>
      </c>
      <c r="N6991">
        <v>0</v>
      </c>
      <c r="O6991">
        <v>0.25156200000000001</v>
      </c>
      <c r="P6991">
        <v>0.98182359999999902</v>
      </c>
      <c r="Q6991">
        <v>1.10169E-2</v>
      </c>
      <c r="R6991">
        <v>0.18947610000000001</v>
      </c>
      <c r="S6991">
        <v>3.039536</v>
      </c>
      <c r="T6991">
        <v>-0.30015789999999998</v>
      </c>
      <c r="U6991">
        <v>0.1157837</v>
      </c>
      <c r="V6991">
        <v>6.4483260000000001E-2</v>
      </c>
      <c r="W6991">
        <v>2.585964E-2</v>
      </c>
      <c r="X6991">
        <v>0.99758369999999996</v>
      </c>
      <c r="Y6991">
        <v>0.21234710000000001</v>
      </c>
      <c r="Z6991">
        <v>-3.4999469999999998E-2</v>
      </c>
      <c r="AA6991">
        <v>0.97656730000000003</v>
      </c>
      <c r="AB6991">
        <v>26</v>
      </c>
      <c r="AC6991">
        <v>0.80679999999998098</v>
      </c>
      <c r="AD6991">
        <v>-9.5780099999999799E-2</v>
      </c>
      <c r="AE6991">
        <v>5.0999999999987696E-3</v>
      </c>
      <c r="AF6991">
        <v>0.19530083326490799</v>
      </c>
      <c r="AG6991">
        <v>-9.5780099999999799E-2</v>
      </c>
      <c r="AH6991">
        <v>0.77126057596575703</v>
      </c>
      <c r="AI6991">
        <v>96.8646136520223</v>
      </c>
      <c r="AJ6991">
        <v>75.790092909138707</v>
      </c>
      <c r="AK6991">
        <v>0.80134831320032596</v>
      </c>
    </row>
    <row r="6992" spans="1:37" x14ac:dyDescent="0.2">
      <c r="A6992" t="str">
        <f>"20200111155739632"</f>
        <v>20200111155739632</v>
      </c>
      <c r="B6992" t="str">
        <f>"1578729459620437"</f>
        <v>1578729459620437</v>
      </c>
      <c r="C6992" t="s">
        <v>37</v>
      </c>
      <c r="D6992">
        <v>5.0372110000000001</v>
      </c>
      <c r="E6992">
        <v>0.54971530000000002</v>
      </c>
      <c r="F6992" t="s">
        <v>40</v>
      </c>
      <c r="G6992">
        <v>-172.48310000000001</v>
      </c>
      <c r="H6992">
        <v>1.0147679999999999</v>
      </c>
      <c r="I6992">
        <v>135.5633</v>
      </c>
      <c r="J6992">
        <v>-173.06549999999999</v>
      </c>
      <c r="K6992">
        <v>1.0922069999999999</v>
      </c>
      <c r="L6992">
        <v>135.58189999999999</v>
      </c>
      <c r="M6992">
        <v>0.97155309999999995</v>
      </c>
      <c r="N6992">
        <v>0</v>
      </c>
      <c r="O6992">
        <v>0.23622019999999999</v>
      </c>
      <c r="P6992">
        <v>0.98414400000000002</v>
      </c>
      <c r="Q6992">
        <v>1.416857E-2</v>
      </c>
      <c r="R6992">
        <v>0.17680489999999999</v>
      </c>
      <c r="S6992">
        <v>3.0414729999999999</v>
      </c>
      <c r="T6992">
        <v>-0.28927059999999999</v>
      </c>
      <c r="U6992">
        <v>8.9675899999999906E-2</v>
      </c>
      <c r="V6992">
        <v>6.1640920000000002E-2</v>
      </c>
      <c r="W6992">
        <v>2.9102329999999999E-2</v>
      </c>
      <c r="X6992">
        <v>0.99767399999999995</v>
      </c>
      <c r="Y6992">
        <v>0.2055408</v>
      </c>
      <c r="Z6992">
        <v>-3.1983930000000001E-2</v>
      </c>
      <c r="AA6992">
        <v>0.97812579999999905</v>
      </c>
      <c r="AB6992">
        <v>26</v>
      </c>
      <c r="AC6992">
        <v>0.58239999999997805</v>
      </c>
      <c r="AD6992">
        <v>-7.74389999999998E-2</v>
      </c>
      <c r="AE6992">
        <v>-1.8599999999992099E-2</v>
      </c>
      <c r="AF6992">
        <v>0.15296603498309</v>
      </c>
      <c r="AG6992">
        <v>-7.74389999999998E-2</v>
      </c>
      <c r="AH6992">
        <v>0.55177344628544001</v>
      </c>
      <c r="AI6992">
        <v>97.702220199498598</v>
      </c>
      <c r="AJ6992">
        <v>74.505234427286496</v>
      </c>
      <c r="AK6992">
        <v>0.57779697351678805</v>
      </c>
    </row>
    <row r="6993" spans="1:37" x14ac:dyDescent="0.2">
      <c r="A6993" t="str">
        <f>"20200111155739655"</f>
        <v>20200111155739655</v>
      </c>
      <c r="B6993" t="str">
        <f>"1578729459650693"</f>
        <v>1578729459650693</v>
      </c>
      <c r="C6993" t="s">
        <v>37</v>
      </c>
      <c r="D6993">
        <v>5.1696559999999998</v>
      </c>
      <c r="E6993">
        <v>0.55094299999999996</v>
      </c>
      <c r="F6993" t="s">
        <v>40</v>
      </c>
      <c r="G6993">
        <v>-172.25839999999999</v>
      </c>
      <c r="H6993">
        <v>1.0146200000000001</v>
      </c>
      <c r="I6993">
        <v>135.6207</v>
      </c>
      <c r="J6993">
        <v>-172.79689999999999</v>
      </c>
      <c r="K6993">
        <v>1.0923849999999999</v>
      </c>
      <c r="L6993">
        <v>135.62710000000001</v>
      </c>
      <c r="M6993">
        <v>0.97571469999999905</v>
      </c>
      <c r="N6993">
        <v>0</v>
      </c>
      <c r="O6993">
        <v>0.21839649999999999</v>
      </c>
      <c r="P6993">
        <v>0.98682930000000002</v>
      </c>
      <c r="Q6993">
        <v>1.7525260000000001E-2</v>
      </c>
      <c r="R6993">
        <v>0.16081280000000001</v>
      </c>
      <c r="S6993">
        <v>3.0264129999999998</v>
      </c>
      <c r="T6993">
        <v>-0.29084890000000002</v>
      </c>
      <c r="U6993">
        <v>0.14550779999999999</v>
      </c>
      <c r="V6993">
        <v>5.9647459999999999E-2</v>
      </c>
      <c r="W6993">
        <v>3.2516290000000003E-2</v>
      </c>
      <c r="X6993">
        <v>0.99768979999999996</v>
      </c>
      <c r="Y6993">
        <v>0.169544899999999</v>
      </c>
      <c r="Z6993">
        <v>-2.889943E-2</v>
      </c>
      <c r="AA6993">
        <v>0.98509869999999899</v>
      </c>
      <c r="AB6993">
        <v>26</v>
      </c>
      <c r="AC6993">
        <v>0.53849999999999898</v>
      </c>
      <c r="AD6993">
        <v>-7.7764999999999807E-2</v>
      </c>
      <c r="AE6993">
        <v>-6.4000000000134999E-3</v>
      </c>
      <c r="AF6993">
        <v>0.121338585522524</v>
      </c>
      <c r="AG6993">
        <v>-7.7764999999999807E-2</v>
      </c>
      <c r="AH6993">
        <v>0.51339400829594894</v>
      </c>
      <c r="AI6993">
        <v>98.385644634776398</v>
      </c>
      <c r="AJ6993">
        <v>76.7023903700604</v>
      </c>
      <c r="AK6993">
        <v>0.53323902268662604</v>
      </c>
    </row>
    <row r="6994" spans="1:37" x14ac:dyDescent="0.2">
      <c r="A6994" t="str">
        <f>"20200111155739674"</f>
        <v>20200111155739674</v>
      </c>
      <c r="B6994" t="str">
        <f>"1578729459670214"</f>
        <v>1578729459670214</v>
      </c>
      <c r="C6994" t="s">
        <v>37</v>
      </c>
      <c r="D6994">
        <v>5.0143149999999999</v>
      </c>
      <c r="E6994">
        <v>0.57617430000000003</v>
      </c>
      <c r="F6994" t="s">
        <v>40</v>
      </c>
      <c r="G6994">
        <v>-172.0214</v>
      </c>
      <c r="H6994">
        <v>1.019819</v>
      </c>
      <c r="I6994">
        <v>135.64940000000001</v>
      </c>
      <c r="J6994">
        <v>-172.57140000000001</v>
      </c>
      <c r="K6994">
        <v>1.092562</v>
      </c>
      <c r="L6994">
        <v>135.6611</v>
      </c>
      <c r="M6994">
        <v>0.97890829999999995</v>
      </c>
      <c r="N6994">
        <v>0</v>
      </c>
      <c r="O6994">
        <v>0.20360819999999999</v>
      </c>
      <c r="P6994">
        <v>0.98900679999999996</v>
      </c>
      <c r="Q6994">
        <v>1.935889E-2</v>
      </c>
      <c r="R6994">
        <v>0.1465987</v>
      </c>
      <c r="S6994">
        <v>3.0308229999999998</v>
      </c>
      <c r="T6994">
        <v>-0.2830124</v>
      </c>
      <c r="U6994">
        <v>8.7341310000000005E-2</v>
      </c>
      <c r="V6994">
        <v>5.8939859999999997E-2</v>
      </c>
      <c r="W6994">
        <v>3.4359670000000002E-2</v>
      </c>
      <c r="X6994">
        <v>0.997670099999999</v>
      </c>
      <c r="Y6994">
        <v>0.17372179999999901</v>
      </c>
      <c r="Z6994">
        <v>-2.6947180000000001E-2</v>
      </c>
      <c r="AA6994">
        <v>0.98442600000000002</v>
      </c>
      <c r="AB6994">
        <v>26</v>
      </c>
      <c r="AC6994">
        <v>0.55000000000001104</v>
      </c>
      <c r="AD6994">
        <v>-7.2742999999999905E-2</v>
      </c>
      <c r="AE6994">
        <v>-1.16999999999904E-2</v>
      </c>
      <c r="AF6994">
        <v>0.121333666093147</v>
      </c>
      <c r="AG6994">
        <v>-7.2742999999999905E-2</v>
      </c>
      <c r="AH6994">
        <v>0.52688060858591701</v>
      </c>
      <c r="AI6994">
        <v>97.662680078371395</v>
      </c>
      <c r="AJ6994">
        <v>77.031627905601397</v>
      </c>
      <c r="AK6994">
        <v>0.54554246239909598</v>
      </c>
    </row>
    <row r="6995" spans="1:37" x14ac:dyDescent="0.2">
      <c r="A6995" t="str">
        <f>"20200111155739687"</f>
        <v>20200111155739687</v>
      </c>
      <c r="B6995" t="str">
        <f>"1578729459679975"</f>
        <v>1578729459679975</v>
      </c>
      <c r="C6995" t="s">
        <v>37</v>
      </c>
      <c r="D6995">
        <v>5.0389309999999998</v>
      </c>
      <c r="E6995">
        <v>0.57935760000000003</v>
      </c>
      <c r="F6995" t="s">
        <v>38</v>
      </c>
      <c r="G6995">
        <v>-153.29929999999999</v>
      </c>
      <c r="H6995" s="1">
        <v>-3.7336759999999899E-6</v>
      </c>
      <c r="I6995">
        <v>134.67330000000001</v>
      </c>
      <c r="J6995">
        <v>-172.4092</v>
      </c>
      <c r="K6995">
        <v>1.092733</v>
      </c>
      <c r="L6995">
        <v>135.68350000000001</v>
      </c>
      <c r="M6995">
        <v>0.98103090000000004</v>
      </c>
      <c r="N6995">
        <v>0</v>
      </c>
      <c r="O6995">
        <v>0.19312489999999999</v>
      </c>
      <c r="P6995">
        <v>0.99030879999999999</v>
      </c>
      <c r="Q6995">
        <v>2.0953329999999999E-2</v>
      </c>
      <c r="R6995">
        <v>0.13729439999999901</v>
      </c>
      <c r="S6995">
        <v>3.05999799999999</v>
      </c>
      <c r="T6995">
        <v>-0.17347589999999999</v>
      </c>
      <c r="U6995">
        <v>-0.15684509999999999</v>
      </c>
      <c r="V6995">
        <v>5.7674879999999998E-2</v>
      </c>
      <c r="W6995">
        <v>3.5978959999999997E-2</v>
      </c>
      <c r="X6995">
        <v>0.99768690000000004</v>
      </c>
      <c r="Y6995">
        <v>0.2424279</v>
      </c>
      <c r="Z6995">
        <v>-1.7757470000000001E-2</v>
      </c>
      <c r="AA6995">
        <v>0.97000690000000001</v>
      </c>
      <c r="AB6995">
        <v>26</v>
      </c>
      <c r="AC6995">
        <v>19.1099</v>
      </c>
      <c r="AD6995">
        <v>-1.0927367336759899</v>
      </c>
      <c r="AE6995">
        <v>-1.01019999999999</v>
      </c>
      <c r="AF6995">
        <v>4.6670755575634404</v>
      </c>
      <c r="AG6995">
        <v>-1.0927367336759899</v>
      </c>
      <c r="AH6995">
        <v>18.494611928765899</v>
      </c>
      <c r="AI6995">
        <v>93.278786482253295</v>
      </c>
      <c r="AJ6995">
        <v>75.837217796955699</v>
      </c>
      <c r="AK6995">
        <v>19.105662464954801</v>
      </c>
    </row>
    <row r="6996" spans="1:37" x14ac:dyDescent="0.2">
      <c r="A6996" t="str">
        <f>"20200111155739711"</f>
        <v>20200111155739711</v>
      </c>
      <c r="B6996" t="str">
        <f>"1578729459700469"</f>
        <v>1578729459700469</v>
      </c>
      <c r="C6996" t="s">
        <v>37</v>
      </c>
      <c r="D6996">
        <v>5.0056289999999999</v>
      </c>
      <c r="E6996">
        <v>0.58150170000000001</v>
      </c>
      <c r="F6996" t="s">
        <v>38</v>
      </c>
      <c r="G6996">
        <v>-150.48939999999999</v>
      </c>
      <c r="H6996" s="1">
        <v>-5.0279300000000002E-6</v>
      </c>
      <c r="I6996">
        <v>134.17250000000001</v>
      </c>
      <c r="J6996">
        <v>-172.14670000000001</v>
      </c>
      <c r="K6996">
        <v>1.093032</v>
      </c>
      <c r="L6996">
        <v>135.71639999999999</v>
      </c>
      <c r="M6996">
        <v>0.98417239999999995</v>
      </c>
      <c r="N6996">
        <v>0</v>
      </c>
      <c r="O6996">
        <v>0.17642550000000001</v>
      </c>
      <c r="P6996">
        <v>0.99232719999999897</v>
      </c>
      <c r="Q6996">
        <v>1.977369E-2</v>
      </c>
      <c r="R6996">
        <v>0.1220488</v>
      </c>
      <c r="S6996">
        <v>3.0618289999999999</v>
      </c>
      <c r="T6996">
        <v>-0.15263679999999999</v>
      </c>
      <c r="U6996">
        <v>-0.21105960000000001</v>
      </c>
      <c r="V6996">
        <v>5.6005099999999898E-2</v>
      </c>
      <c r="W6996">
        <v>3.4819070000000001E-2</v>
      </c>
      <c r="X6996">
        <v>0.99782320000000002</v>
      </c>
      <c r="Y6996">
        <v>0.24320419999999901</v>
      </c>
      <c r="Z6996">
        <v>-1.4810200000000001E-2</v>
      </c>
      <c r="AA6996">
        <v>0.969862</v>
      </c>
      <c r="AB6996">
        <v>26</v>
      </c>
      <c r="AC6996">
        <v>21.657299999999999</v>
      </c>
      <c r="AD6996">
        <v>-1.0930370279299999</v>
      </c>
      <c r="AE6996">
        <v>-1.5438999999999701</v>
      </c>
      <c r="AF6996">
        <v>5.3276063615208402</v>
      </c>
      <c r="AG6996">
        <v>-1.0930370279299999</v>
      </c>
      <c r="AH6996">
        <v>20.991866851651601</v>
      </c>
      <c r="AI6996">
        <v>92.889238338912605</v>
      </c>
      <c r="AJ6996">
        <v>75.759355720382203</v>
      </c>
      <c r="AK6996">
        <v>21.6849393221474</v>
      </c>
    </row>
    <row r="6997" spans="1:37" x14ac:dyDescent="0.2">
      <c r="A6997" t="str">
        <f>"20200111155739755"</f>
        <v>20200111155739755</v>
      </c>
      <c r="B6997" t="str">
        <f>"1578729459750614"</f>
        <v>1578729459750614</v>
      </c>
      <c r="C6997" t="s">
        <v>37</v>
      </c>
      <c r="D6997">
        <v>5.0098390000000004</v>
      </c>
      <c r="E6997">
        <v>0.58092109999999997</v>
      </c>
      <c r="F6997" t="s">
        <v>38</v>
      </c>
      <c r="G6997">
        <v>-149.01339999999999</v>
      </c>
      <c r="H6997" s="1">
        <v>-1.9138089999999998E-6</v>
      </c>
      <c r="I6997">
        <v>133.6328</v>
      </c>
      <c r="J6997">
        <v>-171.61580000000001</v>
      </c>
      <c r="K6997">
        <v>1.0938190000000001</v>
      </c>
      <c r="L6997">
        <v>135.77090000000001</v>
      </c>
      <c r="M6997">
        <v>0.98943649999999905</v>
      </c>
      <c r="N6997">
        <v>0</v>
      </c>
      <c r="O6997">
        <v>0.14402429999999999</v>
      </c>
      <c r="P6997">
        <v>0.99548630000000005</v>
      </c>
      <c r="Q6997">
        <v>1.4266910000000001E-2</v>
      </c>
      <c r="R6997">
        <v>9.3826220000000002E-2</v>
      </c>
      <c r="S6997">
        <v>3.0600130000000001</v>
      </c>
      <c r="T6997">
        <v>-0.1445835</v>
      </c>
      <c r="U6997">
        <v>-0.27560419999999902</v>
      </c>
      <c r="V6997">
        <v>5.1368579999999997E-2</v>
      </c>
      <c r="W6997">
        <v>2.9353520000000001E-2</v>
      </c>
      <c r="X6997">
        <v>0.99824829999999998</v>
      </c>
      <c r="Y6997">
        <v>0.23181450000000001</v>
      </c>
      <c r="Z6997">
        <v>-1.2244130000000001E-2</v>
      </c>
      <c r="AA6997">
        <v>0.97268299999999996</v>
      </c>
      <c r="AB6997">
        <v>26</v>
      </c>
      <c r="AC6997">
        <v>22.602399999999999</v>
      </c>
      <c r="AD6997">
        <v>-1.093820913809</v>
      </c>
      <c r="AE6997">
        <v>-2.1381000000000001</v>
      </c>
      <c r="AF6997">
        <v>5.3591011117495597</v>
      </c>
      <c r="AG6997">
        <v>-1.093820913809</v>
      </c>
      <c r="AH6997">
        <v>22.007621637586801</v>
      </c>
      <c r="AI6997">
        <v>92.764709365485402</v>
      </c>
      <c r="AJ6997">
        <v>76.314201660865095</v>
      </c>
      <c r="AK6997">
        <v>22.677121048771099</v>
      </c>
    </row>
    <row r="6998" spans="1:37" x14ac:dyDescent="0.2">
      <c r="A6998" t="str">
        <f>"20200111155739775"</f>
        <v>20200111155739775</v>
      </c>
      <c r="B6998" t="str">
        <f>"1578729459770135"</f>
        <v>1578729459770135</v>
      </c>
      <c r="C6998" t="s">
        <v>37</v>
      </c>
      <c r="D6998">
        <v>5.0881699999999999</v>
      </c>
      <c r="E6998">
        <v>0.5791174</v>
      </c>
      <c r="F6998" t="s">
        <v>38</v>
      </c>
      <c r="G6998">
        <v>-151.27369999999999</v>
      </c>
      <c r="H6998" s="1">
        <v>-4.8318400000000003E-6</v>
      </c>
      <c r="I6998">
        <v>133.3811</v>
      </c>
      <c r="J6998">
        <v>-171.39</v>
      </c>
      <c r="K6998">
        <v>1.0942289999999999</v>
      </c>
      <c r="L6998">
        <v>135.7894</v>
      </c>
      <c r="M6998">
        <v>0.99124999999999996</v>
      </c>
      <c r="N6998">
        <v>0</v>
      </c>
      <c r="O6998">
        <v>0.13097500000000001</v>
      </c>
      <c r="P6998">
        <v>0.9964944</v>
      </c>
      <c r="Q6998">
        <v>1.2073489999999999E-2</v>
      </c>
      <c r="R6998">
        <v>8.2784919999999998E-2</v>
      </c>
      <c r="S6998">
        <v>3.0497130000000001</v>
      </c>
      <c r="T6998">
        <v>-0.163987299999999</v>
      </c>
      <c r="U6998">
        <v>-0.35827639999999999</v>
      </c>
      <c r="V6998">
        <v>4.919548E-2</v>
      </c>
      <c r="W6998">
        <v>2.7167139999999999E-2</v>
      </c>
      <c r="X6998">
        <v>0.99841959999999996</v>
      </c>
      <c r="Y6998">
        <v>0.24523149999999999</v>
      </c>
      <c r="Z6998">
        <v>-1.3578740000000001E-2</v>
      </c>
      <c r="AA6998">
        <v>0.9693695</v>
      </c>
      <c r="AB6998">
        <v>26</v>
      </c>
      <c r="AC6998">
        <v>20.116299999999899</v>
      </c>
      <c r="AD6998">
        <v>-1.09423383184</v>
      </c>
      <c r="AE6998">
        <v>-2.4082999999999899</v>
      </c>
      <c r="AF6998">
        <v>5.0080266665447404</v>
      </c>
      <c r="AG6998">
        <v>-1.09423383184</v>
      </c>
      <c r="AH6998">
        <v>19.570407397104098</v>
      </c>
      <c r="AI6998">
        <v>93.100525268037401</v>
      </c>
      <c r="AJ6998">
        <v>75.646152284896502</v>
      </c>
      <c r="AK6998">
        <v>20.230633318316901</v>
      </c>
    </row>
    <row r="6999" spans="1:37" x14ac:dyDescent="0.2">
      <c r="A6999" t="str">
        <f>"20200111155739790"</f>
        <v>20200111155739790</v>
      </c>
      <c r="B6999" t="str">
        <f>"1578729459779895"</f>
        <v>1578729459779895</v>
      </c>
      <c r="C6999" t="s">
        <v>37</v>
      </c>
      <c r="D6999">
        <v>5.0777070000000002</v>
      </c>
      <c r="E6999">
        <v>0.57814969999999999</v>
      </c>
      <c r="F6999" t="s">
        <v>38</v>
      </c>
      <c r="G6999">
        <v>-152.5402</v>
      </c>
      <c r="H6999" s="1">
        <v>-4.2762629999999997E-6</v>
      </c>
      <c r="I6999">
        <v>133.4503</v>
      </c>
      <c r="J6999">
        <v>-171.21010000000001</v>
      </c>
      <c r="K6999">
        <v>1.094598</v>
      </c>
      <c r="L6999">
        <v>135.8023</v>
      </c>
      <c r="M6999">
        <v>0.9925197</v>
      </c>
      <c r="N6999">
        <v>0</v>
      </c>
      <c r="O6999">
        <v>0.1209896</v>
      </c>
      <c r="P6999">
        <v>0.99696280000000004</v>
      </c>
      <c r="Q6999">
        <v>8.8903599999999999E-3</v>
      </c>
      <c r="R6999">
        <v>7.7369690000000005E-2</v>
      </c>
      <c r="S6999">
        <v>3.0440669999999899</v>
      </c>
      <c r="T6999">
        <v>-0.17670829999999901</v>
      </c>
      <c r="U6999">
        <v>-0.37774659999999999</v>
      </c>
      <c r="V6999">
        <v>4.4464980000000001E-2</v>
      </c>
      <c r="W6999">
        <v>2.406109E-2</v>
      </c>
      <c r="X6999">
        <v>0.99872109999999903</v>
      </c>
      <c r="Y6999">
        <v>0.241725</v>
      </c>
      <c r="Z6999">
        <v>-1.3975410000000001E-2</v>
      </c>
      <c r="AA6999">
        <v>0.970244199999999</v>
      </c>
      <c r="AB6999">
        <v>26</v>
      </c>
      <c r="AC6999">
        <v>18.669899999999998</v>
      </c>
      <c r="AD6999">
        <v>-1.0946022762630001</v>
      </c>
      <c r="AE6999">
        <v>-2.3519999999999999</v>
      </c>
      <c r="AF6999">
        <v>4.5783896222241598</v>
      </c>
      <c r="AG6999">
        <v>-1.0946022762630001</v>
      </c>
      <c r="AH6999">
        <v>18.186566968240701</v>
      </c>
      <c r="AI6999">
        <v>93.340353398921195</v>
      </c>
      <c r="AJ6999">
        <v>75.869658842390095</v>
      </c>
      <c r="AK6999">
        <v>18.785926215292001</v>
      </c>
    </row>
    <row r="7000" spans="1:37" x14ac:dyDescent="0.2">
      <c r="A7000" t="str">
        <f>"20200111155739813"</f>
        <v>20200111155739813</v>
      </c>
      <c r="B7000" t="str">
        <f>"1578729459800391"</f>
        <v>1578729459800391</v>
      </c>
      <c r="C7000" t="s">
        <v>37</v>
      </c>
      <c r="D7000">
        <v>4.7707059999999997</v>
      </c>
      <c r="E7000">
        <v>0.56248719999999996</v>
      </c>
      <c r="F7000" t="s">
        <v>38</v>
      </c>
      <c r="G7000">
        <v>-153.4067</v>
      </c>
      <c r="H7000" s="1">
        <v>-3.8896589999999997E-6</v>
      </c>
      <c r="I7000">
        <v>133.5342</v>
      </c>
      <c r="J7000">
        <v>-170.9631</v>
      </c>
      <c r="K7000">
        <v>1.095145</v>
      </c>
      <c r="L7000">
        <v>135.81790000000001</v>
      </c>
      <c r="M7000">
        <v>0.99403699999999995</v>
      </c>
      <c r="N7000">
        <v>0</v>
      </c>
      <c r="O7000">
        <v>0.1078368</v>
      </c>
      <c r="P7000">
        <v>0.99741840000000004</v>
      </c>
      <c r="Q7000">
        <v>6.2255549999999998E-3</v>
      </c>
      <c r="R7000">
        <v>7.1539710000000006E-2</v>
      </c>
      <c r="S7000">
        <v>3.040848</v>
      </c>
      <c r="T7000">
        <v>-0.18695870000000001</v>
      </c>
      <c r="U7000">
        <v>-0.38739009999999902</v>
      </c>
      <c r="V7000">
        <v>3.6980869999999999E-2</v>
      </c>
      <c r="W7000">
        <v>2.1506379999999999E-2</v>
      </c>
      <c r="X7000">
        <v>0.99908449999999904</v>
      </c>
      <c r="Y7000">
        <v>0.23199009999999901</v>
      </c>
      <c r="Z7000">
        <v>-1.3696079999999999E-2</v>
      </c>
      <c r="AA7000">
        <v>0.97262169999999903</v>
      </c>
      <c r="AB7000">
        <v>26</v>
      </c>
      <c r="AC7000">
        <v>17.556399999999901</v>
      </c>
      <c r="AD7000">
        <v>-1.095148889659</v>
      </c>
      <c r="AE7000">
        <v>-2.2837000000000098</v>
      </c>
      <c r="AF7000">
        <v>4.1479813325120896</v>
      </c>
      <c r="AG7000">
        <v>-1.095148889659</v>
      </c>
      <c r="AH7000">
        <v>17.14210351621</v>
      </c>
      <c r="AI7000">
        <v>93.553188476196993</v>
      </c>
      <c r="AJ7000">
        <v>76.397252807296894</v>
      </c>
      <c r="AK7000">
        <v>17.670789829145999</v>
      </c>
    </row>
    <row r="7001" spans="1:37" x14ac:dyDescent="0.2">
      <c r="A7001" t="str">
        <f>"20200111155739833"</f>
        <v>20200111155739833</v>
      </c>
      <c r="B7001" t="str">
        <f>"1578729459830647"</f>
        <v>1578729459830647</v>
      </c>
      <c r="C7001" t="s">
        <v>37</v>
      </c>
      <c r="D7001">
        <v>5.1320940000000004</v>
      </c>
      <c r="E7001">
        <v>0.56069749999999996</v>
      </c>
      <c r="F7001" t="s">
        <v>38</v>
      </c>
      <c r="G7001">
        <v>-153.6951</v>
      </c>
      <c r="H7001" s="1">
        <v>-3.644691E-6</v>
      </c>
      <c r="I7001">
        <v>134.2175</v>
      </c>
      <c r="J7001">
        <v>-170.7039</v>
      </c>
      <c r="K7001">
        <v>1.0957520000000001</v>
      </c>
      <c r="L7001">
        <v>135.8314</v>
      </c>
      <c r="M7001">
        <v>0.99536749999999996</v>
      </c>
      <c r="N7001">
        <v>0</v>
      </c>
      <c r="O7001">
        <v>9.4797110000000004E-2</v>
      </c>
      <c r="P7001">
        <v>0.99789599999999901</v>
      </c>
      <c r="Q7001">
        <v>6.7363559999999998E-3</v>
      </c>
      <c r="R7001">
        <v>6.4485630000000002E-2</v>
      </c>
      <c r="S7001">
        <v>3.029099</v>
      </c>
      <c r="T7001">
        <v>-0.19210729999999901</v>
      </c>
      <c r="U7001">
        <v>-0.28071590000000002</v>
      </c>
      <c r="V7001">
        <v>3.0923909999999999E-2</v>
      </c>
      <c r="W7001">
        <v>2.2062720000000001E-2</v>
      </c>
      <c r="X7001">
        <v>0.99927819999999901</v>
      </c>
      <c r="Y7001">
        <v>0.18570719999999999</v>
      </c>
      <c r="Z7001">
        <v>-1.186421E-2</v>
      </c>
      <c r="AA7001">
        <v>0.98253349999999995</v>
      </c>
      <c r="AB7001">
        <v>26</v>
      </c>
      <c r="AC7001">
        <v>17.008800000000001</v>
      </c>
      <c r="AD7001">
        <v>-1.095755644691</v>
      </c>
      <c r="AE7001">
        <v>-1.6138999999999999</v>
      </c>
      <c r="AF7001">
        <v>3.2060351709199599</v>
      </c>
      <c r="AG7001">
        <v>-1.095755644691</v>
      </c>
      <c r="AH7001">
        <v>16.7104357693689</v>
      </c>
      <c r="AI7001">
        <v>93.684680029728099</v>
      </c>
      <c r="AJ7001">
        <v>79.139307103120203</v>
      </c>
      <c r="AK7001">
        <v>17.050454702214001</v>
      </c>
    </row>
    <row r="7002" spans="1:37" x14ac:dyDescent="0.2">
      <c r="A7002" t="str">
        <f>"20200111155739855"</f>
        <v>20200111155739855</v>
      </c>
      <c r="B7002" t="str">
        <f>"1578729459850167"</f>
        <v>1578729459850167</v>
      </c>
      <c r="C7002" t="s">
        <v>37</v>
      </c>
      <c r="D7002">
        <v>5.006246</v>
      </c>
      <c r="E7002">
        <v>0.55804010000000004</v>
      </c>
      <c r="F7002" t="s">
        <v>38</v>
      </c>
      <c r="G7002">
        <v>-155.42019999999999</v>
      </c>
      <c r="H7002" s="1">
        <v>-2.9374250000000001E-6</v>
      </c>
      <c r="I7002">
        <v>134.38140000000001</v>
      </c>
      <c r="J7002">
        <v>-170.44710000000001</v>
      </c>
      <c r="K7002">
        <v>1.096373</v>
      </c>
      <c r="L7002">
        <v>135.8424</v>
      </c>
      <c r="M7002">
        <v>0.99644920000000003</v>
      </c>
      <c r="N7002">
        <v>0</v>
      </c>
      <c r="O7002">
        <v>8.2685629999999996E-2</v>
      </c>
      <c r="P7002">
        <v>0.99818130000000005</v>
      </c>
      <c r="Q7002">
        <v>5.9847090000000004E-3</v>
      </c>
      <c r="R7002">
        <v>5.9985749999999997E-2</v>
      </c>
      <c r="S7002">
        <v>3.0263520000000002</v>
      </c>
      <c r="T7002">
        <v>-0.21697169999999999</v>
      </c>
      <c r="U7002">
        <v>-0.28712459999999901</v>
      </c>
      <c r="V7002">
        <v>2.3224470000000001E-2</v>
      </c>
      <c r="W7002">
        <v>2.137242E-2</v>
      </c>
      <c r="X7002">
        <v>0.9995018</v>
      </c>
      <c r="Y7002">
        <v>0.17579510000000001</v>
      </c>
      <c r="Z7002">
        <v>-1.2188340000000001E-2</v>
      </c>
      <c r="AA7002">
        <v>0.98435130000000004</v>
      </c>
      <c r="AB7002">
        <v>26</v>
      </c>
      <c r="AC7002">
        <v>15.026899999999999</v>
      </c>
      <c r="AD7002">
        <v>-1.0963759374249999</v>
      </c>
      <c r="AE7002">
        <v>-1.4609999999999801</v>
      </c>
      <c r="AF7002">
        <v>2.6845045542437802</v>
      </c>
      <c r="AG7002">
        <v>-1.0963759374249999</v>
      </c>
      <c r="AH7002">
        <v>14.7766871574219</v>
      </c>
      <c r="AI7002">
        <v>94.175266690121902</v>
      </c>
      <c r="AJ7002">
        <v>79.703282923567699</v>
      </c>
      <c r="AK7002">
        <v>15.058522113615201</v>
      </c>
    </row>
    <row r="7003" spans="1:37" x14ac:dyDescent="0.2">
      <c r="A7003" t="str">
        <f>"20200111155739877"</f>
        <v>20200111155739877</v>
      </c>
      <c r="B7003" t="str">
        <f>"1578729459870663"</f>
        <v>1578729459870663</v>
      </c>
      <c r="C7003" t="s">
        <v>37</v>
      </c>
      <c r="D7003">
        <v>5.0400970000000003</v>
      </c>
      <c r="E7003">
        <v>0.55604069999999906</v>
      </c>
      <c r="F7003" t="s">
        <v>40</v>
      </c>
      <c r="G7003">
        <v>-169.66329999999999</v>
      </c>
      <c r="H7003">
        <v>1.0371459999999999</v>
      </c>
      <c r="I7003">
        <v>135.7698</v>
      </c>
      <c r="J7003">
        <v>-170.1893</v>
      </c>
      <c r="K7003">
        <v>1.0970070000000001</v>
      </c>
      <c r="L7003">
        <v>135.8511</v>
      </c>
      <c r="M7003">
        <v>0.99732379999999998</v>
      </c>
      <c r="N7003">
        <v>0</v>
      </c>
      <c r="O7003">
        <v>7.1399829999999997E-2</v>
      </c>
      <c r="P7003">
        <v>0.99832900000000002</v>
      </c>
      <c r="Q7003">
        <v>4.3895690000000003E-3</v>
      </c>
      <c r="R7003">
        <v>5.7618009999999997E-2</v>
      </c>
      <c r="S7003">
        <v>3.0236360000000002</v>
      </c>
      <c r="T7003">
        <v>-0.22814980000000001</v>
      </c>
      <c r="U7003">
        <v>-0.27963259999999901</v>
      </c>
      <c r="V7003">
        <v>1.4212199999999999E-2</v>
      </c>
      <c r="W7003">
        <v>1.9840190000000001E-2</v>
      </c>
      <c r="X7003">
        <v>0.99970219999999899</v>
      </c>
      <c r="Y7003">
        <v>0.16229979999999999</v>
      </c>
      <c r="Z7003">
        <v>-1.147165E-2</v>
      </c>
      <c r="AA7003">
        <v>0.98667479999999996</v>
      </c>
      <c r="AB7003">
        <v>26</v>
      </c>
      <c r="AC7003">
        <v>0.52600000000001002</v>
      </c>
      <c r="AD7003">
        <v>-5.9861000000000102E-2</v>
      </c>
      <c r="AE7003">
        <v>-8.1299999999998804E-2</v>
      </c>
      <c r="AF7003">
        <v>0.11717128422963501</v>
      </c>
      <c r="AG7003">
        <v>-5.9861000000000102E-2</v>
      </c>
      <c r="AH7003">
        <v>0.51237059152450704</v>
      </c>
      <c r="AI7003">
        <v>96.497495709101599</v>
      </c>
      <c r="AJ7003">
        <v>77.118834121529105</v>
      </c>
      <c r="AK7003">
        <v>0.52899534235019097</v>
      </c>
    </row>
    <row r="7004" spans="1:37" x14ac:dyDescent="0.2">
      <c r="A7004" t="str">
        <f>"20200111155739900"</f>
        <v>20200111155739900</v>
      </c>
      <c r="B7004" t="str">
        <f>"1578729459890183"</f>
        <v>1578729459890183</v>
      </c>
      <c r="C7004" t="s">
        <v>37</v>
      </c>
      <c r="D7004">
        <v>5.0982659999999997</v>
      </c>
      <c r="E7004">
        <v>0.55495190000000005</v>
      </c>
      <c r="F7004" t="s">
        <v>40</v>
      </c>
      <c r="G7004">
        <v>-169.4427</v>
      </c>
      <c r="H7004">
        <v>1.0393729999999901</v>
      </c>
      <c r="I7004">
        <v>135.7841</v>
      </c>
      <c r="J7004">
        <v>-169.93129999999999</v>
      </c>
      <c r="K7004">
        <v>1.0976589999999999</v>
      </c>
      <c r="L7004">
        <v>135.8578</v>
      </c>
      <c r="M7004">
        <v>0.99801289999999998</v>
      </c>
      <c r="N7004">
        <v>0</v>
      </c>
      <c r="O7004">
        <v>6.1055949999999998E-2</v>
      </c>
      <c r="P7004">
        <v>0.99843040000000005</v>
      </c>
      <c r="Q7004">
        <v>4.409975E-3</v>
      </c>
      <c r="R7004">
        <v>5.5836410000000003E-2</v>
      </c>
      <c r="S7004">
        <v>3.02169799999999</v>
      </c>
      <c r="T7004">
        <v>-0.23309859999999999</v>
      </c>
      <c r="U7004">
        <v>-0.27113340000000002</v>
      </c>
      <c r="V7004">
        <v>5.5969949999999996E-3</v>
      </c>
      <c r="W7004">
        <v>1.9885010000000002E-2</v>
      </c>
      <c r="X7004">
        <v>0.99978659999999997</v>
      </c>
      <c r="Y7004">
        <v>0.14940100000000001</v>
      </c>
      <c r="Z7004">
        <v>-1.043765E-2</v>
      </c>
      <c r="AA7004">
        <v>0.98872159999999998</v>
      </c>
      <c r="AB7004">
        <v>26</v>
      </c>
      <c r="AC7004">
        <v>0.48859999999999099</v>
      </c>
      <c r="AD7004">
        <v>-5.8285999999999998E-2</v>
      </c>
      <c r="AE7004">
        <v>-7.3700000000002305E-2</v>
      </c>
      <c r="AF7004">
        <v>0.10197908772316901</v>
      </c>
      <c r="AG7004">
        <v>-5.8285999999999998E-2</v>
      </c>
      <c r="AH7004">
        <v>0.47655705040312202</v>
      </c>
      <c r="AI7004">
        <v>96.820108646522101</v>
      </c>
      <c r="AJ7004">
        <v>77.921369142379206</v>
      </c>
      <c r="AK7004">
        <v>0.49081932971081499</v>
      </c>
    </row>
    <row r="7005" spans="1:37" x14ac:dyDescent="0.2">
      <c r="A7005" t="str">
        <f>"20200111155739923"</f>
        <v>20200111155739923</v>
      </c>
      <c r="B7005" t="str">
        <f>"1578729459920439"</f>
        <v>1578729459920439</v>
      </c>
      <c r="C7005" t="s">
        <v>37</v>
      </c>
      <c r="D7005">
        <v>5.1042389999999997</v>
      </c>
      <c r="E7005">
        <v>0.55341099999999999</v>
      </c>
      <c r="F7005" t="s">
        <v>40</v>
      </c>
      <c r="G7005">
        <v>-168.99119999999999</v>
      </c>
      <c r="H7005">
        <v>1.0240009999999999</v>
      </c>
      <c r="I7005">
        <v>135.77449999999999</v>
      </c>
      <c r="J7005">
        <v>-169.6711</v>
      </c>
      <c r="K7005">
        <v>1.098295</v>
      </c>
      <c r="L7005">
        <v>135.86259999999999</v>
      </c>
      <c r="M7005">
        <v>0.998552</v>
      </c>
      <c r="N7005">
        <v>0</v>
      </c>
      <c r="O7005">
        <v>5.1536079999999998E-2</v>
      </c>
      <c r="P7005">
        <v>0.99857559999999901</v>
      </c>
      <c r="Q7005">
        <v>7.1104569999999997E-3</v>
      </c>
      <c r="R7005">
        <v>5.2878880000000003E-2</v>
      </c>
      <c r="S7005">
        <v>3.0207060000000001</v>
      </c>
      <c r="T7005">
        <v>-0.23663519999999999</v>
      </c>
      <c r="U7005">
        <v>-0.26741029999999999</v>
      </c>
      <c r="V7005">
        <v>-9.6565159999999998E-4</v>
      </c>
      <c r="W7005">
        <v>2.2548499999999999E-2</v>
      </c>
      <c r="X7005">
        <v>0.99974529999999995</v>
      </c>
      <c r="Y7005">
        <v>0.1388259</v>
      </c>
      <c r="Z7005">
        <v>-9.4434269999999904E-3</v>
      </c>
      <c r="AA7005">
        <v>0.99027180000000004</v>
      </c>
      <c r="AB7005">
        <v>25</v>
      </c>
      <c r="AC7005">
        <v>0.67990000000000295</v>
      </c>
      <c r="AD7005">
        <v>-7.4293999999999999E-2</v>
      </c>
      <c r="AE7005">
        <v>-8.8099999999997097E-2</v>
      </c>
      <c r="AF7005">
        <v>0.12159849527066099</v>
      </c>
      <c r="AG7005">
        <v>-7.4293999999999999E-2</v>
      </c>
      <c r="AH7005">
        <v>0.66662709328520198</v>
      </c>
      <c r="AI7005">
        <v>96.256835445619203</v>
      </c>
      <c r="AJ7005">
        <v>79.662412603423803</v>
      </c>
      <c r="AK7005">
        <v>0.68168722592547204</v>
      </c>
    </row>
    <row r="7006" spans="1:37" x14ac:dyDescent="0.2">
      <c r="A7006" t="str">
        <f>"20200111155739945"</f>
        <v>20200111155739945</v>
      </c>
      <c r="B7006" t="str">
        <f>"1578729459939959"</f>
        <v>1578729459939959</v>
      </c>
      <c r="C7006" t="s">
        <v>37</v>
      </c>
      <c r="D7006">
        <v>5.1812309999999897</v>
      </c>
      <c r="E7006">
        <v>0.55293309999999996</v>
      </c>
      <c r="F7006" t="s">
        <v>40</v>
      </c>
      <c r="G7006">
        <v>-168.75980000000001</v>
      </c>
      <c r="H7006">
        <v>1.028125</v>
      </c>
      <c r="I7006">
        <v>135.7833</v>
      </c>
      <c r="J7006">
        <v>-169.4127</v>
      </c>
      <c r="K7006">
        <v>1.098849</v>
      </c>
      <c r="L7006">
        <v>135.86580000000001</v>
      </c>
      <c r="M7006">
        <v>0.99896759999999996</v>
      </c>
      <c r="N7006">
        <v>0</v>
      </c>
      <c r="O7006">
        <v>4.2781920000000001E-2</v>
      </c>
      <c r="P7006">
        <v>0.99871339999999997</v>
      </c>
      <c r="Q7006">
        <v>7.796781E-3</v>
      </c>
      <c r="R7006">
        <v>5.0109439999999998E-2</v>
      </c>
      <c r="S7006">
        <v>3.019806</v>
      </c>
      <c r="T7006">
        <v>-0.23243330000000001</v>
      </c>
      <c r="U7006">
        <v>-0.26261899999999999</v>
      </c>
      <c r="V7006">
        <v>-6.9792650000000001E-3</v>
      </c>
      <c r="W7006">
        <v>2.3181090000000001E-2</v>
      </c>
      <c r="X7006">
        <v>0.99970689999999995</v>
      </c>
      <c r="Y7006">
        <v>0.128681399999999</v>
      </c>
      <c r="Z7006">
        <v>-8.2187240000000002E-3</v>
      </c>
      <c r="AA7006">
        <v>0.99165199999999998</v>
      </c>
      <c r="AB7006">
        <v>25</v>
      </c>
      <c r="AC7006">
        <v>0.65289999999998805</v>
      </c>
      <c r="AD7006">
        <v>-7.0723999999999995E-2</v>
      </c>
      <c r="AE7006">
        <v>-8.2500000000010204E-2</v>
      </c>
      <c r="AF7006">
        <v>0.109099981218079</v>
      </c>
      <c r="AG7006">
        <v>-7.0723999999999995E-2</v>
      </c>
      <c r="AH7006">
        <v>0.64136476501091599</v>
      </c>
      <c r="AI7006">
        <v>96.204232476576095</v>
      </c>
      <c r="AJ7006">
        <v>80.346053196514006</v>
      </c>
      <c r="AK7006">
        <v>0.65441076693105504</v>
      </c>
    </row>
    <row r="7007" spans="1:37" x14ac:dyDescent="0.2">
      <c r="A7007" t="str">
        <f>"20200111155739967"</f>
        <v>20200111155739967</v>
      </c>
      <c r="B7007" t="str">
        <f>"1578729459960455"</f>
        <v>1578729459960455</v>
      </c>
      <c r="C7007" t="s">
        <v>37</v>
      </c>
      <c r="D7007">
        <v>5.0605409999999997</v>
      </c>
      <c r="E7007">
        <v>0.54286429999999997</v>
      </c>
      <c r="F7007" t="s">
        <v>40</v>
      </c>
      <c r="G7007">
        <v>-168.52930000000001</v>
      </c>
      <c r="H7007">
        <v>1.030737</v>
      </c>
      <c r="I7007">
        <v>135.78790000000001</v>
      </c>
      <c r="J7007">
        <v>-169.15610000000001</v>
      </c>
      <c r="K7007">
        <v>1.0993109999999999</v>
      </c>
      <c r="L7007">
        <v>135.8674</v>
      </c>
      <c r="M7007">
        <v>0.99928150000000004</v>
      </c>
      <c r="N7007">
        <v>0</v>
      </c>
      <c r="O7007">
        <v>3.474559E-2</v>
      </c>
      <c r="P7007">
        <v>0.99879949999999995</v>
      </c>
      <c r="Q7007">
        <v>4.8513200000000001E-3</v>
      </c>
      <c r="R7007">
        <v>4.874792E-2</v>
      </c>
      <c r="S7007">
        <v>3.0190579999999998</v>
      </c>
      <c r="T7007">
        <v>-0.2328315</v>
      </c>
      <c r="U7007">
        <v>-0.26634219999999997</v>
      </c>
      <c r="V7007">
        <v>-1.372807E-2</v>
      </c>
      <c r="W7007">
        <v>2.019108E-2</v>
      </c>
      <c r="X7007">
        <v>0.99970190000000003</v>
      </c>
      <c r="Y7007">
        <v>0.1219789</v>
      </c>
      <c r="Z7007">
        <v>-7.3588919999999997E-3</v>
      </c>
      <c r="AA7007">
        <v>0.99250539999999998</v>
      </c>
      <c r="AB7007">
        <v>25</v>
      </c>
      <c r="AC7007">
        <v>0.62680000000000202</v>
      </c>
      <c r="AD7007">
        <v>-6.8574000000000093E-2</v>
      </c>
      <c r="AE7007">
        <v>-7.9499999999995893E-2</v>
      </c>
      <c r="AF7007">
        <v>0.100054418671904</v>
      </c>
      <c r="AG7007">
        <v>-6.8574000000000093E-2</v>
      </c>
      <c r="AH7007">
        <v>0.61639794047303798</v>
      </c>
      <c r="AI7007">
        <v>96.266671906315096</v>
      </c>
      <c r="AJ7007">
        <v>80.780098108192007</v>
      </c>
      <c r="AK7007">
        <v>0.62821946896858805</v>
      </c>
    </row>
    <row r="7008" spans="1:37" x14ac:dyDescent="0.2">
      <c r="A7008" t="str">
        <f>"20200111155739989"</f>
        <v>20200111155739989</v>
      </c>
      <c r="B7008" t="str">
        <f>"1578729459979975"</f>
        <v>1578729459979975</v>
      </c>
      <c r="C7008" t="s">
        <v>37</v>
      </c>
      <c r="D7008">
        <v>5.080095</v>
      </c>
      <c r="E7008">
        <v>0.54243739999999996</v>
      </c>
      <c r="F7008" t="s">
        <v>40</v>
      </c>
      <c r="G7008">
        <v>-168.29849999999999</v>
      </c>
      <c r="H7008">
        <v>1.036133</v>
      </c>
      <c r="I7008">
        <v>135.81290000000001</v>
      </c>
      <c r="J7008">
        <v>-168.9007</v>
      </c>
      <c r="K7008">
        <v>1.0997170000000001</v>
      </c>
      <c r="L7008">
        <v>135.86760000000001</v>
      </c>
      <c r="M7008">
        <v>0.99951259999999997</v>
      </c>
      <c r="N7008">
        <v>0</v>
      </c>
      <c r="O7008">
        <v>2.7364949999999999E-2</v>
      </c>
      <c r="P7008">
        <v>0.99884719999999905</v>
      </c>
      <c r="Q7008">
        <v>1.088707E-3</v>
      </c>
      <c r="R7008">
        <v>4.7991659999999998E-2</v>
      </c>
      <c r="S7008">
        <v>3.0139770000000001</v>
      </c>
      <c r="T7008">
        <v>-0.22183720000000001</v>
      </c>
      <c r="U7008">
        <v>-0.19081119999999999</v>
      </c>
      <c r="V7008">
        <v>-2.042623E-2</v>
      </c>
      <c r="W7008">
        <v>1.6378449999999999E-2</v>
      </c>
      <c r="X7008">
        <v>0.99965720000000002</v>
      </c>
      <c r="Y7008">
        <v>9.0155230000000003E-2</v>
      </c>
      <c r="Z7008">
        <v>-5.3199459999999999E-3</v>
      </c>
      <c r="AA7008">
        <v>0.99591350000000001</v>
      </c>
      <c r="AB7008">
        <v>25</v>
      </c>
      <c r="AC7008">
        <v>0.60220000000000995</v>
      </c>
      <c r="AD7008">
        <v>-6.3584000000000002E-2</v>
      </c>
      <c r="AE7008">
        <v>-5.46999999999968E-2</v>
      </c>
      <c r="AF7008">
        <v>7.0382311669383205E-2</v>
      </c>
      <c r="AG7008">
        <v>-6.3584000000000002E-2</v>
      </c>
      <c r="AH7008">
        <v>0.59391040596785405</v>
      </c>
      <c r="AI7008">
        <v>96.068660638335103</v>
      </c>
      <c r="AJ7008">
        <v>83.241591462693407</v>
      </c>
      <c r="AK7008">
        <v>0.60143675076339298</v>
      </c>
    </row>
    <row r="7009" spans="1:37" x14ac:dyDescent="0.2">
      <c r="A7009" t="str">
        <f>"20200111155740011"</f>
        <v>20200111155740011</v>
      </c>
      <c r="B7009" t="str">
        <f>"1578729460000470"</f>
        <v>1578729460000470</v>
      </c>
      <c r="C7009" t="s">
        <v>37</v>
      </c>
      <c r="D7009">
        <v>5.0943509999999996</v>
      </c>
      <c r="E7009">
        <v>0.54209149999999995</v>
      </c>
      <c r="F7009" t="s">
        <v>40</v>
      </c>
      <c r="G7009">
        <v>-168.07159999999999</v>
      </c>
      <c r="H7009">
        <v>1.032116</v>
      </c>
      <c r="I7009">
        <v>135.8152</v>
      </c>
      <c r="J7009">
        <v>-168.6472</v>
      </c>
      <c r="K7009">
        <v>1.100095</v>
      </c>
      <c r="L7009">
        <v>135.8664</v>
      </c>
      <c r="M7009">
        <v>0.99967680000000003</v>
      </c>
      <c r="N7009">
        <v>0</v>
      </c>
      <c r="O7009">
        <v>2.0589980000000001E-2</v>
      </c>
      <c r="P7009">
        <v>0.99891980000000002</v>
      </c>
      <c r="Q7009">
        <v>-3.1181749999999999E-4</v>
      </c>
      <c r="R7009">
        <v>4.6464360000000003E-2</v>
      </c>
      <c r="S7009">
        <v>3.0128629999999998</v>
      </c>
      <c r="T7009">
        <v>-0.2456439</v>
      </c>
      <c r="U7009">
        <v>-0.1901398</v>
      </c>
      <c r="V7009">
        <v>-2.5707109999999998E-2</v>
      </c>
      <c r="W7009">
        <v>1.49052E-2</v>
      </c>
      <c r="X7009">
        <v>0.99955839999999996</v>
      </c>
      <c r="Y7009">
        <v>8.3179000000000003E-2</v>
      </c>
      <c r="Z7009">
        <v>-5.0565660000000002E-3</v>
      </c>
      <c r="AA7009">
        <v>0.99652180000000001</v>
      </c>
      <c r="AB7009">
        <v>25</v>
      </c>
      <c r="AC7009">
        <v>0.57560000000000799</v>
      </c>
      <c r="AD7009">
        <v>-6.7978999999999998E-2</v>
      </c>
      <c r="AE7009">
        <v>-5.1199999999994299E-2</v>
      </c>
      <c r="AF7009">
        <v>6.2181561585206303E-2</v>
      </c>
      <c r="AG7009">
        <v>-6.7978999999999998E-2</v>
      </c>
      <c r="AH7009">
        <v>0.56658303222009998</v>
      </c>
      <c r="AI7009">
        <v>96.801229571521901</v>
      </c>
      <c r="AJ7009">
        <v>83.736947139375502</v>
      </c>
      <c r="AK7009">
        <v>0.57402441014463701</v>
      </c>
    </row>
    <row r="7010" spans="1:37" x14ac:dyDescent="0.2">
      <c r="A7010" t="str">
        <f>"20200111155740034"</f>
        <v>20200111155740034</v>
      </c>
      <c r="B7010" t="str">
        <f>"1578729460030727"</f>
        <v>1578729460030727</v>
      </c>
      <c r="C7010" t="s">
        <v>37</v>
      </c>
      <c r="D7010">
        <v>5.100956</v>
      </c>
      <c r="E7010">
        <v>0.54080410000000001</v>
      </c>
      <c r="F7010" t="s">
        <v>40</v>
      </c>
      <c r="G7010">
        <v>-167.8434</v>
      </c>
      <c r="H7010">
        <v>1.0314749999999999</v>
      </c>
      <c r="I7010">
        <v>135.815</v>
      </c>
      <c r="J7010">
        <v>-168.39109999999999</v>
      </c>
      <c r="K7010">
        <v>1.100476</v>
      </c>
      <c r="L7010">
        <v>135.86410000000001</v>
      </c>
      <c r="M7010">
        <v>0.999789699999999</v>
      </c>
      <c r="N7010">
        <v>0</v>
      </c>
      <c r="O7010">
        <v>1.4198280000000001E-2</v>
      </c>
      <c r="P7010">
        <v>0.99903500000000001</v>
      </c>
      <c r="Q7010">
        <v>6.0089170000000001E-4</v>
      </c>
      <c r="R7010">
        <v>4.391991E-2</v>
      </c>
      <c r="S7010">
        <v>3.0121000000000002</v>
      </c>
      <c r="T7010">
        <v>-0.2571175</v>
      </c>
      <c r="U7010">
        <v>-0.192688</v>
      </c>
      <c r="V7010">
        <v>-2.9556240000000001E-2</v>
      </c>
      <c r="W7010">
        <v>1.5729079999999999E-2</v>
      </c>
      <c r="X7010">
        <v>0.99943939999999998</v>
      </c>
      <c r="Y7010">
        <v>7.7672439999999995E-2</v>
      </c>
      <c r="Z7010">
        <v>-4.51454E-3</v>
      </c>
      <c r="AA7010">
        <v>0.99696870000000004</v>
      </c>
      <c r="AB7010">
        <v>25</v>
      </c>
      <c r="AC7010">
        <v>0.54769999999999097</v>
      </c>
      <c r="AD7010">
        <v>-6.9001000000000007E-2</v>
      </c>
      <c r="AE7010">
        <v>-4.91000000000099E-2</v>
      </c>
      <c r="AF7010">
        <v>5.5990712558631001E-2</v>
      </c>
      <c r="AG7010">
        <v>-6.9001000000000007E-2</v>
      </c>
      <c r="AH7010">
        <v>0.53846924660032103</v>
      </c>
      <c r="AI7010">
        <v>97.263510847934995</v>
      </c>
      <c r="AJ7010">
        <v>84.063645944149499</v>
      </c>
      <c r="AK7010">
        <v>0.54575198343949305</v>
      </c>
    </row>
    <row r="7011" spans="1:37" x14ac:dyDescent="0.2">
      <c r="A7011" t="str">
        <f>"20200111155740056"</f>
        <v>20200111155740056</v>
      </c>
      <c r="B7011" t="str">
        <f>"1578729460050246"</f>
        <v>1578729460050246</v>
      </c>
      <c r="C7011" t="s">
        <v>37</v>
      </c>
      <c r="D7011">
        <v>4.9982920000000002</v>
      </c>
      <c r="E7011">
        <v>0.54194119999999901</v>
      </c>
      <c r="F7011" t="s">
        <v>40</v>
      </c>
      <c r="G7011">
        <v>-167.61410000000001</v>
      </c>
      <c r="H7011">
        <v>1.0337459999999901</v>
      </c>
      <c r="I7011">
        <v>135.815</v>
      </c>
      <c r="J7011">
        <v>-168.1345</v>
      </c>
      <c r="K7011">
        <v>1.10084</v>
      </c>
      <c r="L7011">
        <v>135.8605</v>
      </c>
      <c r="M7011">
        <v>0.99985859999999904</v>
      </c>
      <c r="N7011">
        <v>0</v>
      </c>
      <c r="O7011">
        <v>8.1524119999999995E-3</v>
      </c>
      <c r="P7011">
        <v>0.99918200000000001</v>
      </c>
      <c r="Q7011">
        <v>2.2506610000000002E-3</v>
      </c>
      <c r="R7011">
        <v>4.0379569999999997E-2</v>
      </c>
      <c r="S7011">
        <v>3.0113979999999998</v>
      </c>
      <c r="T7011">
        <v>-0.25862590000000002</v>
      </c>
      <c r="U7011">
        <v>-0.190200799999999</v>
      </c>
      <c r="V7011">
        <v>-3.2055409999999999E-2</v>
      </c>
      <c r="W7011">
        <v>1.7283840000000002E-2</v>
      </c>
      <c r="X7011">
        <v>0.99933669999999997</v>
      </c>
      <c r="Y7011">
        <v>7.0879869999999998E-2</v>
      </c>
      <c r="Z7011">
        <v>-3.7333499999999999E-3</v>
      </c>
      <c r="AA7011">
        <v>0.99747790000000003</v>
      </c>
      <c r="AB7011">
        <v>25</v>
      </c>
      <c r="AC7011">
        <v>0.52039999999999498</v>
      </c>
      <c r="AD7011">
        <v>-6.7094000000000195E-2</v>
      </c>
      <c r="AE7011">
        <v>-4.5500000000004003E-2</v>
      </c>
      <c r="AF7011">
        <v>4.8934230064950901E-2</v>
      </c>
      <c r="AG7011">
        <v>-6.7094000000000195E-2</v>
      </c>
      <c r="AH7011">
        <v>0.51157269221851498</v>
      </c>
      <c r="AI7011">
        <v>97.438265365498296</v>
      </c>
      <c r="AJ7011">
        <v>84.536025122687093</v>
      </c>
      <c r="AK7011">
        <v>0.51826902582707801</v>
      </c>
    </row>
    <row r="7012" spans="1:37" x14ac:dyDescent="0.2">
      <c r="A7012" t="str">
        <f>"20200111155740079"</f>
        <v>20200111155740079</v>
      </c>
      <c r="B7012" t="str">
        <f>"1578729460070743"</f>
        <v>1578729460070743</v>
      </c>
      <c r="C7012" t="s">
        <v>37</v>
      </c>
      <c r="D7012">
        <v>4.9960259999999996</v>
      </c>
      <c r="E7012">
        <v>0.54375209999999996</v>
      </c>
      <c r="F7012" t="s">
        <v>40</v>
      </c>
      <c r="G7012">
        <v>-167.38390000000001</v>
      </c>
      <c r="H7012">
        <v>1.0386599999999999</v>
      </c>
      <c r="I7012">
        <v>135.8081</v>
      </c>
      <c r="J7012">
        <v>-167.8811</v>
      </c>
      <c r="K7012">
        <v>1.1011150000000001</v>
      </c>
      <c r="L7012">
        <v>135.85589999999999</v>
      </c>
      <c r="M7012">
        <v>0.99988999999999995</v>
      </c>
      <c r="N7012">
        <v>0</v>
      </c>
      <c r="O7012">
        <v>2.4487039999999999E-3</v>
      </c>
      <c r="P7012">
        <v>0.99931689999999995</v>
      </c>
      <c r="Q7012">
        <v>2.2709560000000002E-3</v>
      </c>
      <c r="R7012">
        <v>3.6886769999999999E-2</v>
      </c>
      <c r="S7012">
        <v>3.0114899999999998</v>
      </c>
      <c r="T7012">
        <v>-0.24928130000000001</v>
      </c>
      <c r="U7012">
        <v>-0.2097473</v>
      </c>
      <c r="V7012">
        <v>-3.4274529999999997E-2</v>
      </c>
      <c r="W7012">
        <v>1.7221380000000001E-2</v>
      </c>
      <c r="X7012">
        <v>0.99926409999999999</v>
      </c>
      <c r="Y7012">
        <v>7.1671250000000006E-2</v>
      </c>
      <c r="Z7012">
        <v>-3.15986E-3</v>
      </c>
      <c r="AA7012">
        <v>0.99742330000000001</v>
      </c>
      <c r="AB7012">
        <v>25</v>
      </c>
      <c r="AC7012">
        <v>0.49719999999999198</v>
      </c>
      <c r="AD7012">
        <v>-6.2454999999999899E-2</v>
      </c>
      <c r="AE7012">
        <v>-4.7799999999995103E-2</v>
      </c>
      <c r="AF7012">
        <v>4.82629286415402E-2</v>
      </c>
      <c r="AG7012">
        <v>-6.2454999999999899E-2</v>
      </c>
      <c r="AH7012">
        <v>0.48942959153214199</v>
      </c>
      <c r="AI7012">
        <v>97.237354037330803</v>
      </c>
      <c r="AJ7012">
        <v>84.368238202507399</v>
      </c>
      <c r="AK7012">
        <v>0.49575322729496901</v>
      </c>
    </row>
    <row r="7013" spans="1:37" x14ac:dyDescent="0.2">
      <c r="A7013" t="str">
        <f>"20200111155740100"</f>
        <v>20200111155740100</v>
      </c>
      <c r="B7013" t="str">
        <f>"1578729460090263"</f>
        <v>1578729460090263</v>
      </c>
      <c r="C7013" t="s">
        <v>37</v>
      </c>
      <c r="D7013">
        <v>5.043323</v>
      </c>
      <c r="E7013">
        <v>0.54486699999999999</v>
      </c>
      <c r="F7013" t="s">
        <v>40</v>
      </c>
      <c r="G7013">
        <v>-166.93559999999999</v>
      </c>
      <c r="H7013">
        <v>1.0258049999999901</v>
      </c>
      <c r="I7013">
        <v>135.78200000000001</v>
      </c>
      <c r="J7013">
        <v>-167.6249</v>
      </c>
      <c r="K7013">
        <v>1.10128</v>
      </c>
      <c r="L7013">
        <v>135.84989999999999</v>
      </c>
      <c r="M7013">
        <v>0.99988929999999998</v>
      </c>
      <c r="N7013">
        <v>0</v>
      </c>
      <c r="O7013">
        <v>-3.123926E-3</v>
      </c>
      <c r="P7013">
        <v>0.99944259999999996</v>
      </c>
      <c r="Q7013">
        <v>-2.1779119999999999E-4</v>
      </c>
      <c r="R7013">
        <v>3.3386649999999997E-2</v>
      </c>
      <c r="S7013">
        <v>3.0112759999999898</v>
      </c>
      <c r="T7013">
        <v>-0.23974999999999999</v>
      </c>
      <c r="U7013">
        <v>-0.2350922</v>
      </c>
      <c r="V7013">
        <v>-3.6374379999999998E-2</v>
      </c>
      <c r="W7013">
        <v>1.466491E-2</v>
      </c>
      <c r="X7013">
        <v>0.99923059999999997</v>
      </c>
      <c r="Y7013">
        <v>7.449414E-2</v>
      </c>
      <c r="Z7013">
        <v>-2.7083849999999998E-3</v>
      </c>
      <c r="AA7013">
        <v>0.99721780000000004</v>
      </c>
      <c r="AB7013">
        <v>25</v>
      </c>
      <c r="AC7013">
        <v>0.68930000000000202</v>
      </c>
      <c r="AD7013">
        <v>-7.5475000000000098E-2</v>
      </c>
      <c r="AE7013">
        <v>-6.7899999999980296E-2</v>
      </c>
      <c r="AF7013">
        <v>6.4974612064319801E-2</v>
      </c>
      <c r="AG7013">
        <v>-7.5475000000000098E-2</v>
      </c>
      <c r="AH7013">
        <v>0.68141764157467799</v>
      </c>
      <c r="AI7013">
        <v>96.292108476464193</v>
      </c>
      <c r="AJ7013">
        <v>84.553194014646294</v>
      </c>
      <c r="AK7013">
        <v>0.68865679266751201</v>
      </c>
    </row>
    <row r="7014" spans="1:37" x14ac:dyDescent="0.2">
      <c r="A7014" t="str">
        <f>"20200111155740145"</f>
        <v>20200111155740145</v>
      </c>
      <c r="B7014" t="str">
        <f>"1578729460140039"</f>
        <v>1578729460140039</v>
      </c>
      <c r="C7014" t="s">
        <v>37</v>
      </c>
      <c r="D7014">
        <v>5.0875979999999998</v>
      </c>
      <c r="E7014">
        <v>0.52998469999999998</v>
      </c>
      <c r="F7014" t="s">
        <v>40</v>
      </c>
      <c r="G7014">
        <v>-166.70779999999999</v>
      </c>
      <c r="H7014">
        <v>1.0278559999999901</v>
      </c>
      <c r="I7014">
        <v>135.7724</v>
      </c>
      <c r="J7014">
        <v>-167.1122</v>
      </c>
      <c r="K7014">
        <v>1.1013409999999999</v>
      </c>
      <c r="L7014">
        <v>135.83410000000001</v>
      </c>
      <c r="M7014">
        <v>0.9997973</v>
      </c>
      <c r="N7014">
        <v>0</v>
      </c>
      <c r="O7014">
        <v>-1.404207E-2</v>
      </c>
      <c r="P7014">
        <v>0.9996488</v>
      </c>
      <c r="Q7014">
        <v>-6.0199219999999996E-3</v>
      </c>
      <c r="R7014">
        <v>2.5813309999999999E-2</v>
      </c>
      <c r="S7014">
        <v>3.010132</v>
      </c>
      <c r="T7014">
        <v>-0.24093719999999999</v>
      </c>
      <c r="U7014">
        <v>-0.25431819999999999</v>
      </c>
      <c r="V7014">
        <v>-3.977224E-2</v>
      </c>
      <c r="W7014">
        <v>8.7649330000000008E-3</v>
      </c>
      <c r="X7014">
        <v>0.99917029999999996</v>
      </c>
      <c r="Y7014">
        <v>7.0007829999999993E-2</v>
      </c>
      <c r="Z7014">
        <v>-1.67226299999999E-3</v>
      </c>
      <c r="AA7014">
        <v>0.99754509999999996</v>
      </c>
      <c r="AB7014">
        <v>25</v>
      </c>
      <c r="AC7014">
        <v>0.40440000000000897</v>
      </c>
      <c r="AD7014">
        <v>-7.3484999999999995E-2</v>
      </c>
      <c r="AE7014">
        <v>-6.1700000000001802E-2</v>
      </c>
      <c r="AF7014">
        <v>5.426369256849E-2</v>
      </c>
      <c r="AG7014">
        <v>-7.3484999999999995E-2</v>
      </c>
      <c r="AH7014">
        <v>0.39255923150377597</v>
      </c>
      <c r="AI7014">
        <v>100.50512014121</v>
      </c>
      <c r="AJ7014">
        <v>82.129844779817603</v>
      </c>
      <c r="AK7014">
        <v>0.40304757013906301</v>
      </c>
    </row>
    <row r="7015" spans="1:37" x14ac:dyDescent="0.2">
      <c r="A7015" t="str">
        <f>"20200111155740168"</f>
        <v>20200111155740168</v>
      </c>
      <c r="B7015" t="str">
        <f>"1578729460160536"</f>
        <v>1578729460160536</v>
      </c>
      <c r="C7015" t="s">
        <v>37</v>
      </c>
      <c r="D7015">
        <v>5.0884849999999897</v>
      </c>
      <c r="E7015">
        <v>0.52878029999999998</v>
      </c>
      <c r="F7015" t="s">
        <v>40</v>
      </c>
      <c r="G7015">
        <v>-166.2543</v>
      </c>
      <c r="H7015">
        <v>1.0276609999999999</v>
      </c>
      <c r="I7015">
        <v>135.78919999999999</v>
      </c>
      <c r="J7015">
        <v>-166.8655</v>
      </c>
      <c r="K7015">
        <v>1.1013059999999999</v>
      </c>
      <c r="L7015">
        <v>135.8246</v>
      </c>
      <c r="M7015">
        <v>0.99971030000000005</v>
      </c>
      <c r="N7015">
        <v>0</v>
      </c>
      <c r="O7015">
        <v>-1.9292110000000001E-2</v>
      </c>
      <c r="P7015">
        <v>0.99974359999999995</v>
      </c>
      <c r="Q7015">
        <v>-8.3595140000000002E-3</v>
      </c>
      <c r="R7015">
        <v>2.1039820000000001E-2</v>
      </c>
      <c r="S7015">
        <v>3.003571</v>
      </c>
      <c r="T7015">
        <v>-0.25792110000000001</v>
      </c>
      <c r="U7015">
        <v>-0.157196</v>
      </c>
      <c r="V7015">
        <v>-4.0269890000000003E-2</v>
      </c>
      <c r="W7015">
        <v>6.38558599999999E-3</v>
      </c>
      <c r="X7015">
        <v>0.99916849999999902</v>
      </c>
      <c r="Y7015">
        <v>3.2937330000000001E-2</v>
      </c>
      <c r="Z7015">
        <v>2.4172970000000001E-4</v>
      </c>
      <c r="AA7015">
        <v>0.99945740000000005</v>
      </c>
      <c r="AB7015">
        <v>25</v>
      </c>
      <c r="AC7015">
        <v>0.61119999999999597</v>
      </c>
      <c r="AD7015">
        <v>-7.3644999999999697E-2</v>
      </c>
      <c r="AE7015">
        <v>-3.5400000000009799E-2</v>
      </c>
      <c r="AF7015">
        <v>2.32642205007027E-2</v>
      </c>
      <c r="AG7015">
        <v>-7.3644999999999697E-2</v>
      </c>
      <c r="AH7015">
        <v>0.60304326429009503</v>
      </c>
      <c r="AI7015">
        <v>96.957488383159301</v>
      </c>
      <c r="AJ7015">
        <v>87.790737314227499</v>
      </c>
      <c r="AK7015">
        <v>0.60796873980999999</v>
      </c>
    </row>
    <row r="7016" spans="1:37" x14ac:dyDescent="0.2">
      <c r="A7016" t="str">
        <f>"20200111155740189"</f>
        <v>20200111155740189</v>
      </c>
      <c r="B7016" t="str">
        <f>"1578729460180055"</f>
        <v>1578729460180055</v>
      </c>
      <c r="C7016" t="s">
        <v>37</v>
      </c>
      <c r="D7016">
        <v>5.1654439999999999</v>
      </c>
      <c r="E7016">
        <v>0.52869929999999998</v>
      </c>
      <c r="F7016" t="s">
        <v>40</v>
      </c>
      <c r="G7016">
        <v>-166.02889999999999</v>
      </c>
      <c r="H7016">
        <v>1.026386</v>
      </c>
      <c r="I7016">
        <v>135.77959999999999</v>
      </c>
      <c r="J7016">
        <v>-166.6165</v>
      </c>
      <c r="K7016">
        <v>1.101278</v>
      </c>
      <c r="L7016">
        <v>135.81370000000001</v>
      </c>
      <c r="M7016">
        <v>0.99959339999999997</v>
      </c>
      <c r="N7016">
        <v>0</v>
      </c>
      <c r="O7016">
        <v>-2.4634960000000001E-2</v>
      </c>
      <c r="P7016">
        <v>0.99983159999999904</v>
      </c>
      <c r="Q7016">
        <v>-9.9344719999999997E-3</v>
      </c>
      <c r="R7016">
        <v>1.5439059999999999E-2</v>
      </c>
      <c r="S7016">
        <v>3.0019070000000001</v>
      </c>
      <c r="T7016">
        <v>-0.2686597</v>
      </c>
      <c r="U7016">
        <v>-0.16116329999999901</v>
      </c>
      <c r="V7016">
        <v>-4.0026300000000001E-2</v>
      </c>
      <c r="W7016">
        <v>4.7724709999999899E-3</v>
      </c>
      <c r="X7016">
        <v>0.99918719999999905</v>
      </c>
      <c r="Y7016">
        <v>2.8974139999999999E-2</v>
      </c>
      <c r="Z7016">
        <v>9.0543669999999896E-4</v>
      </c>
      <c r="AA7016">
        <v>0.99957969999999896</v>
      </c>
      <c r="AB7016">
        <v>25</v>
      </c>
      <c r="AC7016">
        <v>0.587600000000009</v>
      </c>
      <c r="AD7016">
        <v>-7.4891999999999903E-2</v>
      </c>
      <c r="AE7016">
        <v>-3.41000000000235E-2</v>
      </c>
      <c r="AF7016">
        <v>1.93001839772017E-2</v>
      </c>
      <c r="AG7016">
        <v>-7.4891999999999903E-2</v>
      </c>
      <c r="AH7016">
        <v>0.57888954544122695</v>
      </c>
      <c r="AI7016">
        <v>97.367467432393198</v>
      </c>
      <c r="AJ7016">
        <v>88.090465373359095</v>
      </c>
      <c r="AK7016">
        <v>0.58403288827488498</v>
      </c>
    </row>
    <row r="7017" spans="1:37" x14ac:dyDescent="0.2">
      <c r="A7017" t="str">
        <f>"20200111155740213"</f>
        <v>20200111155740213</v>
      </c>
      <c r="B7017" t="str">
        <f>"1578729460200551"</f>
        <v>1578729460200551</v>
      </c>
      <c r="C7017" t="s">
        <v>37</v>
      </c>
      <c r="D7017">
        <v>5.1140850000000002</v>
      </c>
      <c r="E7017">
        <v>0.52895040000000004</v>
      </c>
      <c r="F7017" t="s">
        <v>40</v>
      </c>
      <c r="G7017">
        <v>-165.80269999999999</v>
      </c>
      <c r="H7017">
        <v>1.02732</v>
      </c>
      <c r="I7017">
        <v>135.76570000000001</v>
      </c>
      <c r="J7017">
        <v>-166.36150000000001</v>
      </c>
      <c r="K7017">
        <v>1.101253</v>
      </c>
      <c r="L7017">
        <v>135.80109999999999</v>
      </c>
      <c r="M7017">
        <v>0.99944230000000001</v>
      </c>
      <c r="N7017">
        <v>0</v>
      </c>
      <c r="O7017">
        <v>-3.016392E-2</v>
      </c>
      <c r="P7017">
        <v>0.99989319999999904</v>
      </c>
      <c r="Q7017">
        <v>-1.1864319999999999E-2</v>
      </c>
      <c r="R7017">
        <v>8.5315779999999997E-3</v>
      </c>
      <c r="S7017">
        <v>3.000534</v>
      </c>
      <c r="T7017">
        <v>-0.27270279999999902</v>
      </c>
      <c r="U7017">
        <v>-0.17687990000000001</v>
      </c>
      <c r="V7017">
        <v>-3.8667729999999997E-2</v>
      </c>
      <c r="W7017">
        <v>2.7988559999999902E-3</v>
      </c>
      <c r="X7017">
        <v>0.99924820000000003</v>
      </c>
      <c r="Y7017">
        <v>2.8711739999999999E-2</v>
      </c>
      <c r="Z7017">
        <v>1.4318829999999999E-3</v>
      </c>
      <c r="AA7017">
        <v>0.99958670000000005</v>
      </c>
      <c r="AB7017">
        <v>25</v>
      </c>
      <c r="AC7017">
        <v>0.55880000000001895</v>
      </c>
      <c r="AD7017">
        <v>-7.3932999999999999E-2</v>
      </c>
      <c r="AE7017">
        <v>-3.5399999999981398E-2</v>
      </c>
      <c r="AF7017">
        <v>1.8209082924146299E-2</v>
      </c>
      <c r="AG7017">
        <v>-7.3932999999999999E-2</v>
      </c>
      <c r="AH7017">
        <v>0.55002386603258102</v>
      </c>
      <c r="AI7017">
        <v>97.651542686059202</v>
      </c>
      <c r="AJ7017">
        <v>88.103859196990996</v>
      </c>
      <c r="AK7017">
        <v>0.55526922514701404</v>
      </c>
    </row>
    <row r="7018" spans="1:37" x14ac:dyDescent="0.2">
      <c r="A7018" t="str">
        <f>"20200111155740235"</f>
        <v>20200111155740235</v>
      </c>
      <c r="B7018" t="str">
        <f>"1578729460230807"</f>
        <v>1578729460230807</v>
      </c>
      <c r="C7018" t="s">
        <v>37</v>
      </c>
      <c r="D7018">
        <v>5.1522829999999997</v>
      </c>
      <c r="E7018">
        <v>0.52865209999999996</v>
      </c>
      <c r="F7018" t="s">
        <v>40</v>
      </c>
      <c r="G7018">
        <v>-165.5771</v>
      </c>
      <c r="H7018">
        <v>1.0279499999999999</v>
      </c>
      <c r="I7018">
        <v>135.74879999999999</v>
      </c>
      <c r="J7018">
        <v>-166.10499999999999</v>
      </c>
      <c r="K7018">
        <v>1.1012280000000001</v>
      </c>
      <c r="L7018">
        <v>135.78700000000001</v>
      </c>
      <c r="M7018">
        <v>0.99925769999999903</v>
      </c>
      <c r="N7018">
        <v>0</v>
      </c>
      <c r="O7018">
        <v>-3.577574E-2</v>
      </c>
      <c r="P7018">
        <v>0.99989329999999998</v>
      </c>
      <c r="Q7018">
        <v>-1.453989E-2</v>
      </c>
      <c r="R7018">
        <v>1.4432539999999999E-3</v>
      </c>
      <c r="S7018">
        <v>2.9987029999999999</v>
      </c>
      <c r="T7018">
        <v>-0.28011989999999998</v>
      </c>
      <c r="U7018">
        <v>-0.19935610000000001</v>
      </c>
      <c r="V7018">
        <v>-3.7218859999999999E-2</v>
      </c>
      <c r="W7018" s="1">
        <v>8.3058780000000004E-5</v>
      </c>
      <c r="X7018">
        <v>0.99930719999999995</v>
      </c>
      <c r="Y7018">
        <v>3.0613609999999999E-2</v>
      </c>
      <c r="Z7018">
        <v>1.9046529999999901E-3</v>
      </c>
      <c r="AA7018">
        <v>0.99952949999999996</v>
      </c>
      <c r="AB7018">
        <v>25</v>
      </c>
      <c r="AC7018">
        <v>0.52789999999998805</v>
      </c>
      <c r="AD7018">
        <v>-7.3278000000000093E-2</v>
      </c>
      <c r="AE7018">
        <v>-3.8200000000017498E-2</v>
      </c>
      <c r="AF7018">
        <v>1.8924849213486399E-2</v>
      </c>
      <c r="AG7018">
        <v>-7.3278000000000093E-2</v>
      </c>
      <c r="AH7018">
        <v>0.51898096239634794</v>
      </c>
      <c r="AI7018">
        <v>98.031535528025898</v>
      </c>
      <c r="AJ7018">
        <v>87.911611723459998</v>
      </c>
      <c r="AK7018">
        <v>0.52447026086480097</v>
      </c>
    </row>
    <row r="7019" spans="1:37" x14ac:dyDescent="0.2">
      <c r="A7019" t="str">
        <f>"20200111155740257"</f>
        <v>20200111155740257</v>
      </c>
      <c r="B7019" t="str">
        <f>"1578729460250327"</f>
        <v>1578729460250327</v>
      </c>
      <c r="C7019" t="s">
        <v>37</v>
      </c>
      <c r="D7019">
        <v>5.2263599999999997</v>
      </c>
      <c r="E7019">
        <v>0.52829459999999995</v>
      </c>
      <c r="F7019" t="s">
        <v>40</v>
      </c>
      <c r="G7019">
        <v>-165.3519</v>
      </c>
      <c r="H7019">
        <v>1.028383</v>
      </c>
      <c r="I7019">
        <v>135.7321</v>
      </c>
      <c r="J7019">
        <v>-165.85839999999999</v>
      </c>
      <c r="K7019">
        <v>1.1012139999999999</v>
      </c>
      <c r="L7019">
        <v>135.77199999999999</v>
      </c>
      <c r="M7019">
        <v>0.99904879999999996</v>
      </c>
      <c r="N7019">
        <v>0</v>
      </c>
      <c r="O7019">
        <v>-4.1204560000000001E-2</v>
      </c>
      <c r="P7019">
        <v>0.99983699999999998</v>
      </c>
      <c r="Q7019">
        <v>-1.70762E-2</v>
      </c>
      <c r="R7019">
        <v>-5.8683629999999997E-3</v>
      </c>
      <c r="S7019">
        <v>2.9963989999999998</v>
      </c>
      <c r="T7019">
        <v>-0.28987399999999902</v>
      </c>
      <c r="U7019">
        <v>-0.21830749999999999</v>
      </c>
      <c r="V7019">
        <v>-3.5362699999999997E-2</v>
      </c>
      <c r="W7019">
        <v>-2.4927170000000002E-3</v>
      </c>
      <c r="X7019">
        <v>0.99937140000000002</v>
      </c>
      <c r="Y7019">
        <v>3.1547239999999997E-2</v>
      </c>
      <c r="Z7019">
        <v>2.4493279999999902E-3</v>
      </c>
      <c r="AA7019">
        <v>0.99949929999999998</v>
      </c>
      <c r="AB7019">
        <v>25</v>
      </c>
      <c r="AC7019">
        <v>0.50649999999998796</v>
      </c>
      <c r="AD7019">
        <v>-7.2830999999999799E-2</v>
      </c>
      <c r="AE7019">
        <v>-3.9900000000017102E-2</v>
      </c>
      <c r="AF7019">
        <v>1.86114289964656E-2</v>
      </c>
      <c r="AG7019">
        <v>-7.2830999999999799E-2</v>
      </c>
      <c r="AH7019">
        <v>0.49749113129786499</v>
      </c>
      <c r="AI7019">
        <v>98.3230014665764</v>
      </c>
      <c r="AJ7019">
        <v>87.857531101377504</v>
      </c>
      <c r="AK7019">
        <v>0.50313831653961705</v>
      </c>
    </row>
    <row r="7020" spans="1:37" x14ac:dyDescent="0.2">
      <c r="A7020" t="str">
        <f>"20200111155740280"</f>
        <v>20200111155740280</v>
      </c>
      <c r="B7020" t="str">
        <f>"1578729460269849"</f>
        <v>1578729460269849</v>
      </c>
      <c r="C7020" t="s">
        <v>37</v>
      </c>
      <c r="D7020">
        <v>5.1611019999999996</v>
      </c>
      <c r="E7020">
        <v>0.52820929999999999</v>
      </c>
      <c r="F7020" t="s">
        <v>40</v>
      </c>
      <c r="G7020">
        <v>-165.12700000000001</v>
      </c>
      <c r="H7020">
        <v>1.029091</v>
      </c>
      <c r="I7020">
        <v>135.71379999999999</v>
      </c>
      <c r="J7020">
        <v>-165.6088</v>
      </c>
      <c r="K7020">
        <v>1.101216</v>
      </c>
      <c r="L7020">
        <v>135.75550000000001</v>
      </c>
      <c r="M7020">
        <v>0.99880659999999899</v>
      </c>
      <c r="N7020">
        <v>0</v>
      </c>
      <c r="O7020">
        <v>-4.6717389999999998E-2</v>
      </c>
      <c r="P7020">
        <v>0.99975040000000004</v>
      </c>
      <c r="Q7020">
        <v>-1.783144E-2</v>
      </c>
      <c r="R7020">
        <v>-1.3467359999999999E-2</v>
      </c>
      <c r="S7020">
        <v>2.994049</v>
      </c>
      <c r="T7020">
        <v>-0.29505500000000001</v>
      </c>
      <c r="U7020">
        <v>-0.23759459999999999</v>
      </c>
      <c r="V7020">
        <v>-3.328913E-2</v>
      </c>
      <c r="W7020">
        <v>-3.2867650000000001E-3</v>
      </c>
      <c r="X7020">
        <v>0.99944040000000001</v>
      </c>
      <c r="Y7020">
        <v>3.251304E-2</v>
      </c>
      <c r="Z7020">
        <v>2.9870079999999898E-3</v>
      </c>
      <c r="AA7020">
        <v>0.99946679999999999</v>
      </c>
      <c r="AB7020">
        <v>25</v>
      </c>
      <c r="AC7020">
        <v>0.48179999999999201</v>
      </c>
      <c r="AD7020">
        <v>-7.2124999999999995E-2</v>
      </c>
      <c r="AE7020">
        <v>-4.1700000000019999E-2</v>
      </c>
      <c r="AF7020">
        <v>1.8727186382293801E-2</v>
      </c>
      <c r="AG7020">
        <v>-7.2124999999999995E-2</v>
      </c>
      <c r="AH7020">
        <v>0.47270762970484498</v>
      </c>
      <c r="AI7020">
        <v>98.668497899022398</v>
      </c>
      <c r="AJ7020">
        <v>87.731308207300998</v>
      </c>
      <c r="AK7020">
        <v>0.47854490522412801</v>
      </c>
    </row>
    <row r="7021" spans="1:37" x14ac:dyDescent="0.2">
      <c r="A7021" t="str">
        <f>"20200111155740303"</f>
        <v>20200111155740303</v>
      </c>
      <c r="B7021" t="str">
        <f>"1578729460300103"</f>
        <v>1578729460300103</v>
      </c>
      <c r="C7021" t="s">
        <v>37</v>
      </c>
      <c r="D7021">
        <v>5.2359349999999996</v>
      </c>
      <c r="E7021">
        <v>0.52065899999999998</v>
      </c>
      <c r="F7021" t="s">
        <v>40</v>
      </c>
      <c r="G7021">
        <v>-164.68809999999999</v>
      </c>
      <c r="H7021">
        <v>1.010373</v>
      </c>
      <c r="I7021">
        <v>135.67529999999999</v>
      </c>
      <c r="J7021">
        <v>-165.35069999999999</v>
      </c>
      <c r="K7021">
        <v>1.1012280000000001</v>
      </c>
      <c r="L7021">
        <v>135.73689999999999</v>
      </c>
      <c r="M7021">
        <v>0.99852339999999995</v>
      </c>
      <c r="N7021">
        <v>0</v>
      </c>
      <c r="O7021">
        <v>-5.2428299999999997E-2</v>
      </c>
      <c r="P7021">
        <v>0.999660199999999</v>
      </c>
      <c r="Q7021">
        <v>-1.674202E-2</v>
      </c>
      <c r="R7021">
        <v>-1.998699E-2</v>
      </c>
      <c r="S7021">
        <v>2.991959</v>
      </c>
      <c r="T7021">
        <v>-0.29512270000000002</v>
      </c>
      <c r="U7021">
        <v>-0.26045229999999903</v>
      </c>
      <c r="V7021">
        <v>-3.2478090000000001E-2</v>
      </c>
      <c r="W7021">
        <v>-2.223409E-3</v>
      </c>
      <c r="X7021">
        <v>0.99946999999999997</v>
      </c>
      <c r="Y7021">
        <v>3.445376E-2</v>
      </c>
      <c r="Z7021">
        <v>3.4531480000000001E-3</v>
      </c>
      <c r="AA7021">
        <v>0.99940030000000002</v>
      </c>
      <c r="AB7021">
        <v>25</v>
      </c>
      <c r="AC7021">
        <v>0.66259999999999697</v>
      </c>
      <c r="AD7021">
        <v>-9.0855000000000102E-2</v>
      </c>
      <c r="AE7021">
        <v>-6.1599999999998503E-2</v>
      </c>
      <c r="AF7021">
        <v>2.6282833025208601E-2</v>
      </c>
      <c r="AG7021">
        <v>-9.0855000000000102E-2</v>
      </c>
      <c r="AH7021">
        <v>0.65275084862954802</v>
      </c>
      <c r="AI7021">
        <v>97.917633995022001</v>
      </c>
      <c r="AJ7021">
        <v>87.694246756046198</v>
      </c>
      <c r="AK7021">
        <v>0.65956734964931896</v>
      </c>
    </row>
    <row r="7022" spans="1:37" x14ac:dyDescent="0.2">
      <c r="A7022" t="str">
        <f>"20200111155740324"</f>
        <v>20200111155740324</v>
      </c>
      <c r="B7022" t="str">
        <f>"1578729460320599"</f>
        <v>1578729460320599</v>
      </c>
      <c r="C7022" t="s">
        <v>37</v>
      </c>
      <c r="D7022">
        <v>5.3394979999999999</v>
      </c>
      <c r="E7022">
        <v>0.51936769999999999</v>
      </c>
      <c r="F7022" t="s">
        <v>40</v>
      </c>
      <c r="G7022">
        <v>-164.4571</v>
      </c>
      <c r="H7022">
        <v>1.023458</v>
      </c>
      <c r="I7022">
        <v>135.67080000000001</v>
      </c>
      <c r="J7022">
        <v>-165.10480000000001</v>
      </c>
      <c r="K7022">
        <v>1.1012679999999999</v>
      </c>
      <c r="L7022">
        <v>135.71780000000001</v>
      </c>
      <c r="M7022">
        <v>0.99822289999999902</v>
      </c>
      <c r="N7022">
        <v>0</v>
      </c>
      <c r="O7022">
        <v>-5.7869629999999998E-2</v>
      </c>
      <c r="P7022">
        <v>0.99962499999999999</v>
      </c>
      <c r="Q7022">
        <v>-1.150755E-2</v>
      </c>
      <c r="R7022">
        <v>-2.484515E-2</v>
      </c>
      <c r="S7022">
        <v>2.9922179999999998</v>
      </c>
      <c r="T7022">
        <v>-0.26039780000000001</v>
      </c>
      <c r="U7022">
        <v>-0.22117609999999999</v>
      </c>
      <c r="V7022">
        <v>-3.3024650000000003E-2</v>
      </c>
      <c r="W7022">
        <v>2.999603E-3</v>
      </c>
      <c r="X7022">
        <v>0.99944999999999995</v>
      </c>
      <c r="Y7022">
        <v>1.6031380000000001E-2</v>
      </c>
      <c r="Z7022">
        <v>4.3202149999999996E-3</v>
      </c>
      <c r="AA7022">
        <v>0.99986209999999898</v>
      </c>
      <c r="AB7022">
        <v>25</v>
      </c>
      <c r="AC7022">
        <v>0.64770000000001404</v>
      </c>
      <c r="AD7022">
        <v>-7.7810000000000101E-2</v>
      </c>
      <c r="AE7022">
        <v>-4.6999999999997003E-2</v>
      </c>
      <c r="AF7022">
        <v>9.3017322930491093E-3</v>
      </c>
      <c r="AG7022">
        <v>-7.7810000000000101E-2</v>
      </c>
      <c r="AH7022">
        <v>0.64014438082788805</v>
      </c>
      <c r="AI7022">
        <v>96.929620391053703</v>
      </c>
      <c r="AJ7022">
        <v>89.167512026767398</v>
      </c>
      <c r="AK7022">
        <v>0.64492305481287604</v>
      </c>
    </row>
    <row r="7023" spans="1:37" x14ac:dyDescent="0.2">
      <c r="A7023" t="str">
        <f>"20200111155740346"</f>
        <v>20200111155740346</v>
      </c>
      <c r="B7023" t="str">
        <f>"1578729460340119"</f>
        <v>1578729460340119</v>
      </c>
      <c r="C7023" t="s">
        <v>37</v>
      </c>
      <c r="D7023">
        <v>5.277158</v>
      </c>
      <c r="E7023">
        <v>0.51868950000000003</v>
      </c>
      <c r="F7023" t="s">
        <v>40</v>
      </c>
      <c r="G7023">
        <v>-164.23089999999999</v>
      </c>
      <c r="H7023">
        <v>1.02905</v>
      </c>
      <c r="I7023">
        <v>135.65170000000001</v>
      </c>
      <c r="J7023">
        <v>-164.85409999999999</v>
      </c>
      <c r="K7023">
        <v>1.101308</v>
      </c>
      <c r="L7023">
        <v>135.6969</v>
      </c>
      <c r="M7023">
        <v>0.99788619999999995</v>
      </c>
      <c r="N7023">
        <v>0</v>
      </c>
      <c r="O7023">
        <v>-6.3417459999999995E-2</v>
      </c>
      <c r="P7023">
        <v>0.99954949999999998</v>
      </c>
      <c r="Q7023">
        <v>-5.7394029999999997E-3</v>
      </c>
      <c r="R7023">
        <v>-2.9462240000000001E-2</v>
      </c>
      <c r="S7023">
        <v>2.992645</v>
      </c>
      <c r="T7023">
        <v>-0.2471592</v>
      </c>
      <c r="U7023">
        <v>-0.22583010000000001</v>
      </c>
      <c r="V7023">
        <v>-3.3914689999999997E-2</v>
      </c>
      <c r="W7023">
        <v>8.7606419999999904E-3</v>
      </c>
      <c r="X7023">
        <v>0.99938629999999995</v>
      </c>
      <c r="Y7023">
        <v>1.202581E-2</v>
      </c>
      <c r="Z7023">
        <v>4.7210159999999998E-3</v>
      </c>
      <c r="AA7023">
        <v>0.99991659999999905</v>
      </c>
      <c r="AB7023">
        <v>25</v>
      </c>
      <c r="AC7023">
        <v>0.62319999999999698</v>
      </c>
      <c r="AD7023">
        <v>-7.2257999999999906E-2</v>
      </c>
      <c r="AE7023">
        <v>-4.5199999999994099E-2</v>
      </c>
      <c r="AF7023">
        <v>5.5095761305394E-3</v>
      </c>
      <c r="AG7023">
        <v>-7.2257999999999906E-2</v>
      </c>
      <c r="AH7023">
        <v>0.61656653202473299</v>
      </c>
      <c r="AI7023">
        <v>96.683976382423197</v>
      </c>
      <c r="AJ7023">
        <v>89.488024339736398</v>
      </c>
      <c r="AK7023">
        <v>0.62081064939814301</v>
      </c>
    </row>
    <row r="7024" spans="1:37" x14ac:dyDescent="0.2">
      <c r="A7024" t="str">
        <f>"20200111155740368"</f>
        <v>20200111155740368</v>
      </c>
      <c r="B7024" t="str">
        <f>"1578729460360615"</f>
        <v>1578729460360615</v>
      </c>
      <c r="C7024" t="s">
        <v>37</v>
      </c>
      <c r="D7024">
        <v>5.3202550000000004</v>
      </c>
      <c r="E7024">
        <v>0.51799259999999903</v>
      </c>
      <c r="F7024" t="s">
        <v>40</v>
      </c>
      <c r="G7024">
        <v>-164.0033</v>
      </c>
      <c r="H7024">
        <v>1.036125</v>
      </c>
      <c r="I7024">
        <v>135.63030000000001</v>
      </c>
      <c r="J7024">
        <v>-164.61179999999999</v>
      </c>
      <c r="K7024">
        <v>1.1013469999999901</v>
      </c>
      <c r="L7024">
        <v>135.6755</v>
      </c>
      <c r="M7024">
        <v>0.9975311</v>
      </c>
      <c r="N7024">
        <v>0</v>
      </c>
      <c r="O7024">
        <v>-6.8777370000000004E-2</v>
      </c>
      <c r="P7024">
        <v>0.99943549999999903</v>
      </c>
      <c r="Q7024">
        <v>-2.242806E-4</v>
      </c>
      <c r="R7024">
        <v>-3.359413E-2</v>
      </c>
      <c r="S7024">
        <v>2.993134</v>
      </c>
      <c r="T7024">
        <v>-0.2292788</v>
      </c>
      <c r="U7024">
        <v>-0.234283399999999</v>
      </c>
      <c r="V7024">
        <v>-3.5102849999999998E-2</v>
      </c>
      <c r="W7024">
        <v>1.427251E-2</v>
      </c>
      <c r="X7024">
        <v>0.9992818</v>
      </c>
      <c r="Y7024">
        <v>9.4478949999999996E-3</v>
      </c>
      <c r="Z7024">
        <v>4.8858579999999999E-3</v>
      </c>
      <c r="AA7024">
        <v>0.99994340000000004</v>
      </c>
      <c r="AB7024">
        <v>25</v>
      </c>
      <c r="AC7024">
        <v>0.60849999999999205</v>
      </c>
      <c r="AD7024">
        <v>-6.5221999999999794E-2</v>
      </c>
      <c r="AE7024">
        <v>-4.5199999999994099E-2</v>
      </c>
      <c r="AF7024">
        <v>3.2011274307629902E-3</v>
      </c>
      <c r="AG7024">
        <v>-6.5221999999999794E-2</v>
      </c>
      <c r="AH7024">
        <v>0.60327509816942804</v>
      </c>
      <c r="AI7024">
        <v>96.170377145657099</v>
      </c>
      <c r="AJ7024">
        <v>89.695977223888207</v>
      </c>
      <c r="AK7024">
        <v>0.60679897871713795</v>
      </c>
    </row>
    <row r="7025" spans="1:37" x14ac:dyDescent="0.2">
      <c r="A7025" t="str">
        <f>"20200111155740391"</f>
        <v>20200111155740391</v>
      </c>
      <c r="B7025" t="str">
        <f>"1578729460380135"</f>
        <v>1578729460380135</v>
      </c>
      <c r="C7025" t="s">
        <v>37</v>
      </c>
      <c r="D7025">
        <v>5.3193869999999999</v>
      </c>
      <c r="E7025">
        <v>0.51728529999999995</v>
      </c>
      <c r="F7025" t="s">
        <v>40</v>
      </c>
      <c r="G7025">
        <v>-163.7766</v>
      </c>
      <c r="H7025">
        <v>1.040635</v>
      </c>
      <c r="I7025">
        <v>135.60820000000001</v>
      </c>
      <c r="J7025">
        <v>-164.36349999999999</v>
      </c>
      <c r="K7025">
        <v>1.10137</v>
      </c>
      <c r="L7025">
        <v>135.65209999999999</v>
      </c>
      <c r="M7025">
        <v>0.99713770000000002</v>
      </c>
      <c r="N7025">
        <v>0</v>
      </c>
      <c r="O7025">
        <v>-7.4267390000000003E-2</v>
      </c>
      <c r="P7025">
        <v>0.99928589999999995</v>
      </c>
      <c r="Q7025">
        <v>3.771309E-3</v>
      </c>
      <c r="R7025">
        <v>-3.7599699999999903E-2</v>
      </c>
      <c r="S7025">
        <v>2.9935299999999998</v>
      </c>
      <c r="T7025">
        <v>-0.2174972</v>
      </c>
      <c r="U7025">
        <v>-0.24093629999999999</v>
      </c>
      <c r="V7025">
        <v>-3.6562320000000002E-2</v>
      </c>
      <c r="W7025">
        <v>1.82674E-2</v>
      </c>
      <c r="X7025">
        <v>0.99916439999999995</v>
      </c>
      <c r="Y7025">
        <v>6.147095E-3</v>
      </c>
      <c r="Z7025">
        <v>5.1503399999999998E-3</v>
      </c>
      <c r="AA7025">
        <v>0.99996779999999996</v>
      </c>
      <c r="AB7025">
        <v>25</v>
      </c>
      <c r="AC7025">
        <v>0.58689999999998499</v>
      </c>
      <c r="AD7025">
        <v>-6.0735000000000199E-2</v>
      </c>
      <c r="AE7025">
        <v>-4.38999999999794E-2</v>
      </c>
      <c r="AF7025">
        <v>1.84863897507756E-4</v>
      </c>
      <c r="AG7025">
        <v>-6.0735000000000199E-2</v>
      </c>
      <c r="AH7025">
        <v>0.58233796291064099</v>
      </c>
      <c r="AI7025">
        <v>95.954142739865802</v>
      </c>
      <c r="AJ7025">
        <v>89.981811385431897</v>
      </c>
      <c r="AK7025">
        <v>0.58549660754489097</v>
      </c>
    </row>
    <row r="7026" spans="1:37" x14ac:dyDescent="0.2">
      <c r="A7026" t="str">
        <f>"20200111155740414"</f>
        <v>20200111155740414</v>
      </c>
      <c r="B7026" t="str">
        <f>"1578729460410391"</f>
        <v>1578729460410391</v>
      </c>
      <c r="C7026" t="s">
        <v>37</v>
      </c>
      <c r="D7026">
        <v>5.3259349999999896</v>
      </c>
      <c r="E7026">
        <v>0.51077499999999998</v>
      </c>
      <c r="F7026" t="s">
        <v>38</v>
      </c>
      <c r="G7026">
        <v>-148.6651</v>
      </c>
      <c r="H7026" s="1">
        <v>-1.840223E-6</v>
      </c>
      <c r="I7026">
        <v>134.35499999999999</v>
      </c>
      <c r="J7026">
        <v>-164.11189999999999</v>
      </c>
      <c r="K7026">
        <v>1.1013759999999999</v>
      </c>
      <c r="L7026">
        <v>135.62700000000001</v>
      </c>
      <c r="M7026">
        <v>0.99670820000000004</v>
      </c>
      <c r="N7026">
        <v>0</v>
      </c>
      <c r="O7026">
        <v>-7.9827819999999994E-2</v>
      </c>
      <c r="P7026">
        <v>0.99913600000000002</v>
      </c>
      <c r="Q7026">
        <v>6.1839119999999997E-3</v>
      </c>
      <c r="R7026">
        <v>-4.1100129999999999E-2</v>
      </c>
      <c r="S7026">
        <v>2.993652</v>
      </c>
      <c r="T7026">
        <v>-0.21002849999999901</v>
      </c>
      <c r="U7026">
        <v>-0.24734499999999901</v>
      </c>
      <c r="V7026">
        <v>-3.8612439999999998E-2</v>
      </c>
      <c r="W7026">
        <v>2.0685450000000001E-2</v>
      </c>
      <c r="X7026">
        <v>0.99904009999999999</v>
      </c>
      <c r="Y7026">
        <v>2.7027179999999998E-3</v>
      </c>
      <c r="Z7026">
        <v>5.4811769999999899E-3</v>
      </c>
      <c r="AA7026">
        <v>0.99998129999999996</v>
      </c>
      <c r="AB7026">
        <v>25</v>
      </c>
      <c r="AC7026">
        <v>15.4467999999999</v>
      </c>
      <c r="AD7026">
        <v>-1.1013778402229999</v>
      </c>
      <c r="AE7026">
        <v>-1.27200000000001</v>
      </c>
      <c r="AF7026">
        <v>3.4557436030639703E-2</v>
      </c>
      <c r="AG7026">
        <v>-1.1013778402229999</v>
      </c>
      <c r="AH7026">
        <v>15.421173980320701</v>
      </c>
      <c r="AI7026">
        <v>94.0851090517762</v>
      </c>
      <c r="AJ7026">
        <v>89.871605629792398</v>
      </c>
      <c r="AK7026">
        <v>15.4604926924933</v>
      </c>
    </row>
    <row r="7027" spans="1:37" x14ac:dyDescent="0.2">
      <c r="A7027" t="str">
        <f>"20200111155740436"</f>
        <v>20200111155740436</v>
      </c>
      <c r="B7027" t="str">
        <f>"1578729460429910"</f>
        <v>1578729460429910</v>
      </c>
      <c r="C7027" t="s">
        <v>37</v>
      </c>
      <c r="D7027">
        <v>5.3820959999999998</v>
      </c>
      <c r="E7027">
        <v>0.50978820000000002</v>
      </c>
      <c r="F7027" t="s">
        <v>38</v>
      </c>
      <c r="G7027">
        <v>-149.7088</v>
      </c>
      <c r="H7027" s="1">
        <v>-1.4095109999999999E-6</v>
      </c>
      <c r="I7027">
        <v>134.6388</v>
      </c>
      <c r="J7027">
        <v>-163.86240000000001</v>
      </c>
      <c r="K7027">
        <v>1.1013660000000001</v>
      </c>
      <c r="L7027">
        <v>135.60069999999999</v>
      </c>
      <c r="M7027">
        <v>0.996251199999999</v>
      </c>
      <c r="N7027">
        <v>0</v>
      </c>
      <c r="O7027">
        <v>-8.5342689999999999E-2</v>
      </c>
      <c r="P7027">
        <v>0.99898849999999995</v>
      </c>
      <c r="Q7027">
        <v>5.8656990000000003E-3</v>
      </c>
      <c r="R7027">
        <v>-4.458115E-2</v>
      </c>
      <c r="S7027">
        <v>2.9955750000000001</v>
      </c>
      <c r="T7027">
        <v>-0.22906560000000001</v>
      </c>
      <c r="U7027">
        <v>-0.2055206</v>
      </c>
      <c r="V7027">
        <v>-4.066438E-2</v>
      </c>
      <c r="W7027">
        <v>2.0374150000000001E-2</v>
      </c>
      <c r="X7027">
        <v>0.99896509999999905</v>
      </c>
      <c r="Y7027">
        <v>-1.665813E-2</v>
      </c>
      <c r="Z7027">
        <v>7.134039E-3</v>
      </c>
      <c r="AA7027">
        <v>0.99983580000000005</v>
      </c>
      <c r="AB7027">
        <v>25</v>
      </c>
      <c r="AC7027">
        <v>14.153600000000001</v>
      </c>
      <c r="AD7027">
        <v>-1.101367409511</v>
      </c>
      <c r="AE7027">
        <v>-0.96189999999998499</v>
      </c>
      <c r="AF7027">
        <v>-0.24814160797934601</v>
      </c>
      <c r="AG7027">
        <v>-1.101367409511</v>
      </c>
      <c r="AH7027">
        <v>14.0990712061131</v>
      </c>
      <c r="AI7027">
        <v>94.465975324082294</v>
      </c>
      <c r="AJ7027">
        <v>91.008293308623294</v>
      </c>
      <c r="AK7027">
        <v>14.1441999881008</v>
      </c>
    </row>
    <row r="7028" spans="1:37" x14ac:dyDescent="0.2">
      <c r="A7028" t="str">
        <f>"20200111155740459"</f>
        <v>20200111155740459</v>
      </c>
      <c r="B7028" t="str">
        <f>"1578729460450406"</f>
        <v>1578729460450406</v>
      </c>
      <c r="C7028" t="s">
        <v>37</v>
      </c>
      <c r="D7028">
        <v>5.3862069999999997</v>
      </c>
      <c r="E7028">
        <v>0.50906629999999997</v>
      </c>
      <c r="F7028" t="s">
        <v>38</v>
      </c>
      <c r="G7028">
        <v>-149.12690000000001</v>
      </c>
      <c r="H7028" s="1">
        <v>-1.62393E-6</v>
      </c>
      <c r="I7028">
        <v>134.5771</v>
      </c>
      <c r="J7028">
        <v>-163.61600000000001</v>
      </c>
      <c r="K7028">
        <v>1.101345</v>
      </c>
      <c r="L7028">
        <v>135.57339999999999</v>
      </c>
      <c r="M7028">
        <v>0.99576989999999999</v>
      </c>
      <c r="N7028">
        <v>0</v>
      </c>
      <c r="O7028">
        <v>-9.0787580000000007E-2</v>
      </c>
      <c r="P7028">
        <v>0.99887859999999995</v>
      </c>
      <c r="Q7028">
        <v>3.030072E-3</v>
      </c>
      <c r="R7028">
        <v>-4.7249609999999997E-2</v>
      </c>
      <c r="S7028">
        <v>2.9950559999999999</v>
      </c>
      <c r="T7028">
        <v>-0.223857899999999</v>
      </c>
      <c r="U7028">
        <v>-0.20803829999999901</v>
      </c>
      <c r="V7028">
        <v>-4.3484589999999997E-2</v>
      </c>
      <c r="W7028">
        <v>1.7552729999999999E-2</v>
      </c>
      <c r="X7028">
        <v>0.99889989999999995</v>
      </c>
      <c r="Y7028">
        <v>-2.1260959999999999E-2</v>
      </c>
      <c r="Z7028">
        <v>7.5489569999999898E-3</v>
      </c>
      <c r="AA7028">
        <v>0.99974549999999995</v>
      </c>
      <c r="AB7028">
        <v>25</v>
      </c>
      <c r="AC7028">
        <v>14.489100000000001</v>
      </c>
      <c r="AD7028">
        <v>-1.1013466239299901</v>
      </c>
      <c r="AE7028">
        <v>-0.99629999999998997</v>
      </c>
      <c r="AF7028">
        <v>-0.321528106348626</v>
      </c>
      <c r="AG7028">
        <v>-1.1013466239299901</v>
      </c>
      <c r="AH7028">
        <v>14.4366924912129</v>
      </c>
      <c r="AI7028">
        <v>94.361453930969404</v>
      </c>
      <c r="AJ7028">
        <v>91.275857226705398</v>
      </c>
      <c r="AK7028">
        <v>14.482210977439101</v>
      </c>
    </row>
    <row r="7029" spans="1:37" x14ac:dyDescent="0.2">
      <c r="A7029" t="str">
        <f>"20200111155740480"</f>
        <v>20200111155740480</v>
      </c>
      <c r="B7029" t="str">
        <f>"1578729460469927"</f>
        <v>1578729460469927</v>
      </c>
      <c r="C7029" t="s">
        <v>37</v>
      </c>
      <c r="D7029">
        <v>5.6656789999999999</v>
      </c>
      <c r="E7029">
        <v>0.50953839999999995</v>
      </c>
      <c r="F7029" t="s">
        <v>40</v>
      </c>
      <c r="G7029">
        <v>-162.67580000000001</v>
      </c>
      <c r="H7029">
        <v>1.0226649999999999</v>
      </c>
      <c r="I7029">
        <v>135.50729999999999</v>
      </c>
      <c r="J7029">
        <v>-163.37280000000001</v>
      </c>
      <c r="K7029">
        <v>1.101337</v>
      </c>
      <c r="L7029">
        <v>135.54499999999999</v>
      </c>
      <c r="M7029">
        <v>0.99526510000000001</v>
      </c>
      <c r="N7029">
        <v>0</v>
      </c>
      <c r="O7029">
        <v>-9.6163699999999894E-2</v>
      </c>
      <c r="P7029">
        <v>0.99874560000000001</v>
      </c>
      <c r="Q7029">
        <v>-1.076968E-3</v>
      </c>
      <c r="R7029">
        <v>-5.0061389999999997E-2</v>
      </c>
      <c r="S7029">
        <v>2.9941559999999998</v>
      </c>
      <c r="T7029">
        <v>-0.25055329999999998</v>
      </c>
      <c r="U7029">
        <v>-0.21051030000000001</v>
      </c>
      <c r="V7029">
        <v>-4.610471E-2</v>
      </c>
      <c r="W7029">
        <v>1.3458629999999999E-2</v>
      </c>
      <c r="X7029">
        <v>0.99884589999999995</v>
      </c>
      <c r="Y7029">
        <v>-2.570528E-2</v>
      </c>
      <c r="Z7029">
        <v>9.0802060000000004E-3</v>
      </c>
      <c r="AA7029">
        <v>0.99962830000000003</v>
      </c>
      <c r="AB7029">
        <v>25</v>
      </c>
      <c r="AC7029">
        <v>0.69700000000000195</v>
      </c>
      <c r="AD7029">
        <v>-7.8672000000000006E-2</v>
      </c>
      <c r="AE7029">
        <v>-3.7700000000000899E-2</v>
      </c>
      <c r="AF7029">
        <v>-2.9137421901005701E-2</v>
      </c>
      <c r="AG7029">
        <v>-7.8672000000000006E-2</v>
      </c>
      <c r="AH7029">
        <v>0.68864698380196898</v>
      </c>
      <c r="AI7029">
        <v>96.511519966399007</v>
      </c>
      <c r="AJ7029">
        <v>92.422803228059095</v>
      </c>
      <c r="AK7029">
        <v>0.69373838097555696</v>
      </c>
    </row>
    <row r="7030" spans="1:37" x14ac:dyDescent="0.2">
      <c r="A7030" t="str">
        <f>"20200111155740505"</f>
        <v>20200111155740505</v>
      </c>
      <c r="B7030" t="str">
        <f>"1578729460500185"</f>
        <v>1578729460500185</v>
      </c>
      <c r="C7030" t="s">
        <v>37</v>
      </c>
      <c r="D7030">
        <v>5.3591169999999897</v>
      </c>
      <c r="E7030">
        <v>0.50845529999999906</v>
      </c>
      <c r="F7030" t="s">
        <v>40</v>
      </c>
      <c r="G7030">
        <v>-162.45930000000001</v>
      </c>
      <c r="H7030">
        <v>1.01841</v>
      </c>
      <c r="I7030">
        <v>135.4768</v>
      </c>
      <c r="J7030">
        <v>-163.10820000000001</v>
      </c>
      <c r="K7030">
        <v>1.1013329999999999</v>
      </c>
      <c r="L7030">
        <v>135.51259999999999</v>
      </c>
      <c r="M7030">
        <v>0.99468299999999998</v>
      </c>
      <c r="N7030">
        <v>0</v>
      </c>
      <c r="O7030">
        <v>-0.1020117</v>
      </c>
      <c r="P7030">
        <v>0.998540599999999</v>
      </c>
      <c r="Q7030">
        <v>-6.2488459999999997E-3</v>
      </c>
      <c r="R7030">
        <v>-5.3644230000000001E-2</v>
      </c>
      <c r="S7030">
        <v>2.9922789999999999</v>
      </c>
      <c r="T7030">
        <v>-0.27150180000000002</v>
      </c>
      <c r="U7030">
        <v>-0.22308349999999999</v>
      </c>
      <c r="V7030">
        <v>-4.8436340000000001E-2</v>
      </c>
      <c r="W7030">
        <v>8.2971739999999992E-3</v>
      </c>
      <c r="X7030">
        <v>0.99879180000000001</v>
      </c>
      <c r="Y7030">
        <v>-2.7254710000000001E-2</v>
      </c>
      <c r="Z7030">
        <v>1.0436590000000001E-2</v>
      </c>
      <c r="AA7030">
        <v>0.99957410000000002</v>
      </c>
      <c r="AB7030">
        <v>25</v>
      </c>
      <c r="AC7030">
        <v>0.64889999999999703</v>
      </c>
      <c r="AD7030">
        <v>-8.2922999999999802E-2</v>
      </c>
      <c r="AE7030">
        <v>-3.5799999999994697E-2</v>
      </c>
      <c r="AF7030">
        <v>-3.0098759136051999E-2</v>
      </c>
      <c r="AG7030">
        <v>-8.2922999999999802E-2</v>
      </c>
      <c r="AH7030">
        <v>0.63876691540596597</v>
      </c>
      <c r="AI7030">
        <v>97.388511152533198</v>
      </c>
      <c r="AJ7030">
        <v>92.697787244522701</v>
      </c>
      <c r="AK7030">
        <v>0.64482969181620597</v>
      </c>
    </row>
    <row r="7031" spans="1:37" x14ac:dyDescent="0.2">
      <c r="A7031" t="str">
        <f>"20200111155740527"</f>
        <v>20200111155740527</v>
      </c>
      <c r="B7031" t="str">
        <f>"1578729460520680"</f>
        <v>1578729460520680</v>
      </c>
      <c r="C7031" t="s">
        <v>37</v>
      </c>
      <c r="D7031">
        <v>5.4245739999999998</v>
      </c>
      <c r="E7031">
        <v>0.50776369999999904</v>
      </c>
      <c r="F7031" t="s">
        <v>40</v>
      </c>
      <c r="G7031">
        <v>-162.2413</v>
      </c>
      <c r="H7031">
        <v>1.015387</v>
      </c>
      <c r="I7031">
        <v>135.44720000000001</v>
      </c>
      <c r="J7031">
        <v>-162.8639</v>
      </c>
      <c r="K7031">
        <v>1.101335</v>
      </c>
      <c r="L7031">
        <v>135.4813</v>
      </c>
      <c r="M7031">
        <v>0.99411569999999905</v>
      </c>
      <c r="N7031">
        <v>0</v>
      </c>
      <c r="O7031">
        <v>-0.107398299999999</v>
      </c>
      <c r="P7031">
        <v>0.99831029999999998</v>
      </c>
      <c r="Q7031">
        <v>-1.3036860000000001E-2</v>
      </c>
      <c r="R7031">
        <v>-5.6624250000000001E-2</v>
      </c>
      <c r="S7031">
        <v>2.990402</v>
      </c>
      <c r="T7031">
        <v>-0.29649829999999999</v>
      </c>
      <c r="U7031">
        <v>-0.22557070000000001</v>
      </c>
      <c r="V7031">
        <v>-5.0919209999999999E-2</v>
      </c>
      <c r="W7031">
        <v>1.519505E-3</v>
      </c>
      <c r="X7031">
        <v>0.99870159999999997</v>
      </c>
      <c r="Y7031">
        <v>-3.1646970000000003E-2</v>
      </c>
      <c r="Z7031">
        <v>1.2145349999999999E-2</v>
      </c>
      <c r="AA7031">
        <v>0.99942529999999996</v>
      </c>
      <c r="AB7031">
        <v>25</v>
      </c>
      <c r="AC7031">
        <v>0.62260000000000504</v>
      </c>
      <c r="AD7031">
        <v>-8.5947999999999899E-2</v>
      </c>
      <c r="AE7031">
        <v>-3.40999999999951E-2</v>
      </c>
      <c r="AF7031">
        <v>-3.2355375915189701E-2</v>
      </c>
      <c r="AG7031">
        <v>-8.5947999999999899E-2</v>
      </c>
      <c r="AH7031">
        <v>0.61105091794895405</v>
      </c>
      <c r="AI7031">
        <v>97.995417050578794</v>
      </c>
      <c r="AJ7031">
        <v>93.031002471729906</v>
      </c>
      <c r="AK7031">
        <v>0.61791354846845103</v>
      </c>
    </row>
    <row r="7032" spans="1:37" x14ac:dyDescent="0.2">
      <c r="A7032" t="str">
        <f>"20200111155740551"</f>
        <v>20200111155740551</v>
      </c>
      <c r="B7032" t="str">
        <f>"1578729460540200"</f>
        <v>1578729460540200</v>
      </c>
      <c r="C7032" t="s">
        <v>37</v>
      </c>
      <c r="D7032">
        <v>5.5493379999999997</v>
      </c>
      <c r="E7032">
        <v>0.50737489999999996</v>
      </c>
      <c r="F7032" t="s">
        <v>40</v>
      </c>
      <c r="G7032">
        <v>-162.0241</v>
      </c>
      <c r="H7032">
        <v>1.011512</v>
      </c>
      <c r="I7032">
        <v>135.4169</v>
      </c>
      <c r="J7032">
        <v>-162.5959</v>
      </c>
      <c r="K7032">
        <v>1.1013549999999901</v>
      </c>
      <c r="L7032">
        <v>135.44550000000001</v>
      </c>
      <c r="M7032">
        <v>0.99346469999999898</v>
      </c>
      <c r="N7032">
        <v>0</v>
      </c>
      <c r="O7032">
        <v>-0.1132644</v>
      </c>
      <c r="P7032">
        <v>0.99794850000000002</v>
      </c>
      <c r="Q7032">
        <v>-1.9891800000000001E-2</v>
      </c>
      <c r="R7032">
        <v>-6.0856470000000003E-2</v>
      </c>
      <c r="S7032">
        <v>2.98793</v>
      </c>
      <c r="T7032">
        <v>-0.31943649999999901</v>
      </c>
      <c r="U7032">
        <v>-0.22885129999999901</v>
      </c>
      <c r="V7032">
        <v>-5.262758E-2</v>
      </c>
      <c r="W7032">
        <v>-5.3350530000000002E-3</v>
      </c>
      <c r="X7032">
        <v>0.99859989999999998</v>
      </c>
      <c r="Y7032">
        <v>-3.6225069999999998E-2</v>
      </c>
      <c r="Z7032">
        <v>1.395384E-2</v>
      </c>
      <c r="AA7032">
        <v>0.99924619999999997</v>
      </c>
      <c r="AB7032">
        <v>25</v>
      </c>
      <c r="AC7032">
        <v>0.57179999999999598</v>
      </c>
      <c r="AD7032">
        <v>-8.9842999999999604E-2</v>
      </c>
      <c r="AE7032">
        <v>-2.8600000000011502E-2</v>
      </c>
      <c r="AF7032">
        <v>-3.5481346210804197E-2</v>
      </c>
      <c r="AG7032">
        <v>-8.9842999999999604E-2</v>
      </c>
      <c r="AH7032">
        <v>0.55762718492371999</v>
      </c>
      <c r="AI7032">
        <v>99.1344857451042</v>
      </c>
      <c r="AJ7032">
        <v>93.640773861147906</v>
      </c>
      <c r="AK7032">
        <v>0.56593176968949499</v>
      </c>
    </row>
    <row r="7033" spans="1:37" x14ac:dyDescent="0.2">
      <c r="A7033" t="str">
        <f>"20200111155740571"</f>
        <v>20200111155740571</v>
      </c>
      <c r="B7033" t="str">
        <f>"1578729460560697"</f>
        <v>1578729460560697</v>
      </c>
      <c r="C7033" t="s">
        <v>37</v>
      </c>
      <c r="D7033">
        <v>5.4609750000000004</v>
      </c>
      <c r="E7033">
        <v>0.50684090000000004</v>
      </c>
      <c r="F7033" t="s">
        <v>40</v>
      </c>
      <c r="G7033">
        <v>-161.8058</v>
      </c>
      <c r="H7033">
        <v>1.011131</v>
      </c>
      <c r="I7033">
        <v>135.38239999999999</v>
      </c>
      <c r="J7033">
        <v>-162.37639999999999</v>
      </c>
      <c r="K7033">
        <v>1.101378</v>
      </c>
      <c r="L7033">
        <v>135.41499999999999</v>
      </c>
      <c r="M7033">
        <v>0.99291299999999905</v>
      </c>
      <c r="N7033">
        <v>0</v>
      </c>
      <c r="O7033">
        <v>-0.1180046</v>
      </c>
      <c r="P7033">
        <v>0.99762809999999902</v>
      </c>
      <c r="Q7033">
        <v>-2.572402E-2</v>
      </c>
      <c r="R7033">
        <v>-6.3850470000000006E-2</v>
      </c>
      <c r="S7033">
        <v>2.9848479999999999</v>
      </c>
      <c r="T7033">
        <v>-0.34080949999999999</v>
      </c>
      <c r="U7033">
        <v>-0.2381287</v>
      </c>
      <c r="V7033">
        <v>-5.4431470000000003E-2</v>
      </c>
      <c r="W7033">
        <v>-1.116874E-2</v>
      </c>
      <c r="X7033">
        <v>0.99845499999999998</v>
      </c>
      <c r="Y7033">
        <v>-3.7671620000000003E-2</v>
      </c>
      <c r="Z7033">
        <v>1.551143E-2</v>
      </c>
      <c r="AA7033">
        <v>0.9991698</v>
      </c>
      <c r="AB7033">
        <v>25</v>
      </c>
      <c r="AC7033">
        <v>0.57059999999998401</v>
      </c>
      <c r="AD7033">
        <v>-9.0246999999999897E-2</v>
      </c>
      <c r="AE7033">
        <v>-3.26000000000021E-2</v>
      </c>
      <c r="AF7033">
        <v>-3.4117265371635397E-2</v>
      </c>
      <c r="AG7033">
        <v>-9.0246999999999897E-2</v>
      </c>
      <c r="AH7033">
        <v>0.55658213116794397</v>
      </c>
      <c r="AI7033">
        <v>99.193107884452502</v>
      </c>
      <c r="AJ7033">
        <v>93.507716839840896</v>
      </c>
      <c r="AK7033">
        <v>0.56488244577158697</v>
      </c>
    </row>
    <row r="7034" spans="1:37" x14ac:dyDescent="0.2">
      <c r="A7034" t="str">
        <f>"20200111155740592"</f>
        <v>20200111155740592</v>
      </c>
      <c r="B7034" t="str">
        <f>"1578729460580215"</f>
        <v>1578729460580215</v>
      </c>
      <c r="C7034" t="s">
        <v>37</v>
      </c>
      <c r="D7034">
        <v>5.4469159999999999</v>
      </c>
      <c r="E7034">
        <v>0.50638000000000005</v>
      </c>
      <c r="F7034" t="s">
        <v>40</v>
      </c>
      <c r="G7034">
        <v>-161.58920000000001</v>
      </c>
      <c r="H7034">
        <v>1.0066709999999901</v>
      </c>
      <c r="I7034">
        <v>135.3509</v>
      </c>
      <c r="J7034">
        <v>-162.14429999999999</v>
      </c>
      <c r="K7034">
        <v>1.1014469999999901</v>
      </c>
      <c r="L7034">
        <v>135.3817</v>
      </c>
      <c r="M7034">
        <v>0.99231639999999999</v>
      </c>
      <c r="N7034">
        <v>0</v>
      </c>
      <c r="O7034">
        <v>-0.122920899999999</v>
      </c>
      <c r="P7034">
        <v>0.99736599999999997</v>
      </c>
      <c r="Q7034">
        <v>-2.8160910000000001E-2</v>
      </c>
      <c r="R7034">
        <v>-6.6844730000000005E-2</v>
      </c>
      <c r="S7034">
        <v>2.9823909999999998</v>
      </c>
      <c r="T7034">
        <v>-0.35862100000000002</v>
      </c>
      <c r="U7034">
        <v>-0.2423553</v>
      </c>
      <c r="V7034">
        <v>-5.638928E-2</v>
      </c>
      <c r="W7034">
        <v>-1.361191E-2</v>
      </c>
      <c r="X7034">
        <v>0.99831599999999998</v>
      </c>
      <c r="Y7034">
        <v>-4.0981679999999999E-2</v>
      </c>
      <c r="Z7034">
        <v>1.711E-2</v>
      </c>
      <c r="AA7034">
        <v>0.99901340000000005</v>
      </c>
      <c r="AB7034">
        <v>24</v>
      </c>
      <c r="AC7034">
        <v>0.55509999999998105</v>
      </c>
      <c r="AD7034">
        <v>-9.4775999999999902E-2</v>
      </c>
      <c r="AE7034">
        <v>-3.07999999999992E-2</v>
      </c>
      <c r="AF7034">
        <v>-3.6609847696716699E-2</v>
      </c>
      <c r="AG7034">
        <v>-9.4775999999999902E-2</v>
      </c>
      <c r="AH7034">
        <v>0.53901135845297299</v>
      </c>
      <c r="AI7034">
        <v>99.950085087483799</v>
      </c>
      <c r="AJ7034">
        <v>93.885582577422696</v>
      </c>
      <c r="AK7034">
        <v>0.54850343268360402</v>
      </c>
    </row>
    <row r="7035" spans="1:37" x14ac:dyDescent="0.2">
      <c r="A7035" t="str">
        <f>"20200111155740616"</f>
        <v>20200111155740616</v>
      </c>
      <c r="B7035" t="str">
        <f>"1578729460610470"</f>
        <v>1578729460610470</v>
      </c>
      <c r="C7035" t="s">
        <v>37</v>
      </c>
      <c r="D7035">
        <v>5.4337650000000002</v>
      </c>
      <c r="E7035">
        <v>0.49800820000000001</v>
      </c>
      <c r="F7035" t="s">
        <v>40</v>
      </c>
      <c r="G7035">
        <v>-161.37100000000001</v>
      </c>
      <c r="H7035">
        <v>1.0069360000000001</v>
      </c>
      <c r="I7035">
        <v>135.3176</v>
      </c>
      <c r="J7035">
        <v>-161.88990000000001</v>
      </c>
      <c r="K7035">
        <v>1.1015729999999999</v>
      </c>
      <c r="L7035">
        <v>135.3441</v>
      </c>
      <c r="M7035">
        <v>0.99165309999999995</v>
      </c>
      <c r="N7035">
        <v>0</v>
      </c>
      <c r="O7035">
        <v>-0.12816269999999999</v>
      </c>
      <c r="P7035">
        <v>0.99718739999999995</v>
      </c>
      <c r="Q7035">
        <v>-2.6118220000000001E-2</v>
      </c>
      <c r="R7035">
        <v>-7.0251079999999994E-2</v>
      </c>
      <c r="S7035">
        <v>2.9810490000000001</v>
      </c>
      <c r="T7035">
        <v>-0.3643922</v>
      </c>
      <c r="U7035">
        <v>-0.247436499999999</v>
      </c>
      <c r="V7035">
        <v>-5.8240069999999998E-2</v>
      </c>
      <c r="W7035">
        <v>-1.158416E-2</v>
      </c>
      <c r="X7035">
        <v>0.998235399999999</v>
      </c>
      <c r="Y7035">
        <v>-4.4431089999999999E-2</v>
      </c>
      <c r="Z7035">
        <v>1.8231029999999999E-2</v>
      </c>
      <c r="AA7035">
        <v>0.99884609999999996</v>
      </c>
      <c r="AB7035">
        <v>24</v>
      </c>
      <c r="AC7035">
        <v>0.51890000000000203</v>
      </c>
      <c r="AD7035">
        <v>-9.4636999999999805E-2</v>
      </c>
      <c r="AE7035">
        <v>-2.6499999999998601E-2</v>
      </c>
      <c r="AF7035">
        <v>-3.8937036602196197E-2</v>
      </c>
      <c r="AG7035">
        <v>-9.4636999999999805E-2</v>
      </c>
      <c r="AH7035">
        <v>0.50138266176025303</v>
      </c>
      <c r="AI7035">
        <v>100.657588604292</v>
      </c>
      <c r="AJ7035">
        <v>94.440638472110294</v>
      </c>
      <c r="AK7035">
        <v>0.51171948184738603</v>
      </c>
    </row>
    <row r="7036" spans="1:37" x14ac:dyDescent="0.2">
      <c r="A7036" t="str">
        <f>"20200111155740637"</f>
        <v>20200111155740637</v>
      </c>
      <c r="B7036" t="str">
        <f>"1578729460629990"</f>
        <v>1578729460629990</v>
      </c>
      <c r="C7036" t="s">
        <v>37</v>
      </c>
      <c r="D7036">
        <v>5.3993199999999897</v>
      </c>
      <c r="E7036">
        <v>0.49780360000000001</v>
      </c>
      <c r="F7036" t="s">
        <v>38</v>
      </c>
      <c r="G7036">
        <v>-151.11429999999999</v>
      </c>
      <c r="H7036" s="1">
        <v>-4.6747719999999998E-6</v>
      </c>
      <c r="I7036">
        <v>134.65199999999999</v>
      </c>
      <c r="J7036">
        <v>-161.65799999999999</v>
      </c>
      <c r="K7036">
        <v>1.101721</v>
      </c>
      <c r="L7036">
        <v>135.30869999999999</v>
      </c>
      <c r="M7036">
        <v>0.99104629999999905</v>
      </c>
      <c r="N7036">
        <v>0</v>
      </c>
      <c r="O7036">
        <v>-0.13277559999999999</v>
      </c>
      <c r="P7036">
        <v>0.99701550000000005</v>
      </c>
      <c r="Q7036">
        <v>-2.318922E-2</v>
      </c>
      <c r="R7036">
        <v>-7.3638510000000004E-2</v>
      </c>
      <c r="S7036">
        <v>2.98696899999999</v>
      </c>
      <c r="T7036">
        <v>-0.30535440000000003</v>
      </c>
      <c r="U7036">
        <v>-0.19181819999999999</v>
      </c>
      <c r="V7036">
        <v>-5.9476510000000003E-2</v>
      </c>
      <c r="W7036">
        <v>-8.6772919999999996E-3</v>
      </c>
      <c r="X7036">
        <v>0.99819199999999997</v>
      </c>
      <c r="Y7036">
        <v>-6.7960259999999995E-2</v>
      </c>
      <c r="Z7036">
        <v>1.6942430000000001E-2</v>
      </c>
      <c r="AA7036">
        <v>0.99754419999999899</v>
      </c>
      <c r="AB7036">
        <v>24</v>
      </c>
      <c r="AC7036">
        <v>10.543699999999999</v>
      </c>
      <c r="AD7036">
        <v>-1.1017256747719999</v>
      </c>
      <c r="AE7036">
        <v>-0.65669999999997197</v>
      </c>
      <c r="AF7036">
        <v>-0.74113929480985796</v>
      </c>
      <c r="AG7036">
        <v>-1.1017256747719999</v>
      </c>
      <c r="AH7036">
        <v>10.4241554262364</v>
      </c>
      <c r="AI7036">
        <v>96.018095570276799</v>
      </c>
      <c r="AJ7036">
        <v>94.0667868578916</v>
      </c>
      <c r="AK7036">
        <v>10.5083825238281</v>
      </c>
    </row>
    <row r="7037" spans="1:37" x14ac:dyDescent="0.2">
      <c r="A7037" t="str">
        <f>"20200111155740660"</f>
        <v>20200111155740660</v>
      </c>
      <c r="B7037" t="str">
        <f>"1578729460650487"</f>
        <v>1578729460650487</v>
      </c>
      <c r="C7037" t="s">
        <v>37</v>
      </c>
      <c r="D7037">
        <v>5.4057040000000001</v>
      </c>
      <c r="E7037">
        <v>0.4971853</v>
      </c>
      <c r="F7037" t="s">
        <v>38</v>
      </c>
      <c r="G7037">
        <v>-150.24950000000001</v>
      </c>
      <c r="H7037" s="1">
        <v>-5.0650839999999902E-6</v>
      </c>
      <c r="I7037">
        <v>134.54329999999999</v>
      </c>
      <c r="J7037">
        <v>-161.41890000000001</v>
      </c>
      <c r="K7037">
        <v>1.1018859999999999</v>
      </c>
      <c r="L7037">
        <v>135.2713</v>
      </c>
      <c r="M7037">
        <v>0.99042489999999905</v>
      </c>
      <c r="N7037">
        <v>0</v>
      </c>
      <c r="O7037">
        <v>-0.1373356</v>
      </c>
      <c r="P7037">
        <v>0.99674549999999995</v>
      </c>
      <c r="Q7037">
        <v>-2.0266269999999999E-2</v>
      </c>
      <c r="R7037">
        <v>-7.8025239999999996E-2</v>
      </c>
      <c r="S7037">
        <v>2.9874879999999999</v>
      </c>
      <c r="T7037">
        <v>-0.28850340000000002</v>
      </c>
      <c r="U7037">
        <v>-0.2004242</v>
      </c>
      <c r="V7037">
        <v>-5.9661480000000003E-2</v>
      </c>
      <c r="W7037">
        <v>-5.7882879999999999E-3</v>
      </c>
      <c r="X7037">
        <v>0.99820189999999998</v>
      </c>
      <c r="Y7037">
        <v>-6.9783999999999999E-2</v>
      </c>
      <c r="Z7037">
        <v>1.652965E-2</v>
      </c>
      <c r="AA7037">
        <v>0.99742509999999995</v>
      </c>
      <c r="AB7037">
        <v>24</v>
      </c>
      <c r="AC7037">
        <v>11.1693999999999</v>
      </c>
      <c r="AD7037">
        <v>-1.1018910650839999</v>
      </c>
      <c r="AE7037">
        <v>-0.72800000000000797</v>
      </c>
      <c r="AF7037">
        <v>-0.80520381800468099</v>
      </c>
      <c r="AG7037">
        <v>-1.1018910650839999</v>
      </c>
      <c r="AH7037">
        <v>11.0563849742923</v>
      </c>
      <c r="AI7037">
        <v>95.676430243183404</v>
      </c>
      <c r="AJ7037">
        <v>94.165328561061997</v>
      </c>
      <c r="AK7037">
        <v>11.1402946912368</v>
      </c>
    </row>
    <row r="7038" spans="1:37" x14ac:dyDescent="0.2">
      <c r="A7038" t="str">
        <f>"20200111155740683"</f>
        <v>20200111155740683</v>
      </c>
      <c r="B7038" t="str">
        <f>"1578729460670007"</f>
        <v>1578729460670007</v>
      </c>
      <c r="C7038" t="s">
        <v>37</v>
      </c>
      <c r="D7038">
        <v>5.3987410000000002</v>
      </c>
      <c r="E7038">
        <v>0.49623840000000002</v>
      </c>
      <c r="F7038" t="s">
        <v>38</v>
      </c>
      <c r="G7038">
        <v>-149.36660000000001</v>
      </c>
      <c r="H7038" s="1">
        <v>-1.581498E-6</v>
      </c>
      <c r="I7038">
        <v>134.43010000000001</v>
      </c>
      <c r="J7038">
        <v>-161.16409999999999</v>
      </c>
      <c r="K7038">
        <v>1.1020540000000001</v>
      </c>
      <c r="L7038">
        <v>135.2303</v>
      </c>
      <c r="M7038">
        <v>0.98977399999999904</v>
      </c>
      <c r="N7038">
        <v>0</v>
      </c>
      <c r="O7038">
        <v>-0.14195150000000001</v>
      </c>
      <c r="P7038">
        <v>0.99635750000000001</v>
      </c>
      <c r="Q7038">
        <v>-1.868537E-2</v>
      </c>
      <c r="R7038">
        <v>-8.3201070000000002E-2</v>
      </c>
      <c r="S7038">
        <v>2.9878999999999998</v>
      </c>
      <c r="T7038">
        <v>-0.27317019999999997</v>
      </c>
      <c r="U7038">
        <v>-0.20852660000000001</v>
      </c>
      <c r="V7038">
        <v>-5.9121689999999998E-2</v>
      </c>
      <c r="W7038">
        <v>-4.2501120000000003E-3</v>
      </c>
      <c r="X7038">
        <v>0.99824169999999901</v>
      </c>
      <c r="Y7038">
        <v>-7.1822999999999998E-2</v>
      </c>
      <c r="Z7038">
        <v>1.616014E-2</v>
      </c>
      <c r="AA7038">
        <v>0.99728649999999996</v>
      </c>
      <c r="AB7038">
        <v>24</v>
      </c>
      <c r="AC7038">
        <v>11.7974999999999</v>
      </c>
      <c r="AD7038">
        <v>-1.102055581498</v>
      </c>
      <c r="AE7038">
        <v>-0.80019999999998903</v>
      </c>
      <c r="AF7038">
        <v>-0.87514099400158896</v>
      </c>
      <c r="AG7038">
        <v>-1.102055581498</v>
      </c>
      <c r="AH7038">
        <v>11.690067922954899</v>
      </c>
      <c r="AI7038">
        <v>95.370577644473897</v>
      </c>
      <c r="AJ7038">
        <v>94.281286413006001</v>
      </c>
      <c r="AK7038">
        <v>11.7744675594012</v>
      </c>
    </row>
    <row r="7039" spans="1:37" x14ac:dyDescent="0.2">
      <c r="A7039" t="str">
        <f>"20200111155740706"</f>
        <v>20200111155740706</v>
      </c>
      <c r="B7039" t="str">
        <f>"1578729460700262"</f>
        <v>1578729460700262</v>
      </c>
      <c r="C7039" t="s">
        <v>37</v>
      </c>
      <c r="D7039">
        <v>5.3995790000000001</v>
      </c>
      <c r="E7039">
        <v>0.4945428</v>
      </c>
      <c r="F7039" t="s">
        <v>38</v>
      </c>
      <c r="G7039">
        <v>-148.65989999999999</v>
      </c>
      <c r="H7039" s="1">
        <v>-1.8503229999999899E-6</v>
      </c>
      <c r="I7039">
        <v>134.3237</v>
      </c>
      <c r="J7039">
        <v>-160.9162</v>
      </c>
      <c r="K7039">
        <v>1.102196</v>
      </c>
      <c r="L7039">
        <v>135.18960000000001</v>
      </c>
      <c r="M7039">
        <v>0.98914869999999899</v>
      </c>
      <c r="N7039">
        <v>0</v>
      </c>
      <c r="O7039">
        <v>-0.1462473</v>
      </c>
      <c r="P7039">
        <v>0.99591450000000004</v>
      </c>
      <c r="Q7039">
        <v>-1.922277E-2</v>
      </c>
      <c r="R7039">
        <v>-8.82328E-2</v>
      </c>
      <c r="S7039">
        <v>2.987946</v>
      </c>
      <c r="T7039">
        <v>-0.26334059999999998</v>
      </c>
      <c r="U7039">
        <v>-0.21664429999999901</v>
      </c>
      <c r="V7039">
        <v>-5.841466E-2</v>
      </c>
      <c r="W7039">
        <v>-4.8277249999999997E-3</v>
      </c>
      <c r="X7039">
        <v>0.99828069999999902</v>
      </c>
      <c r="Y7039">
        <v>-7.3498079999999993E-2</v>
      </c>
      <c r="Z7039">
        <v>1.6025620000000001E-2</v>
      </c>
      <c r="AA7039">
        <v>0.99716659999999901</v>
      </c>
      <c r="AB7039">
        <v>24</v>
      </c>
      <c r="AC7039">
        <v>12.2563</v>
      </c>
      <c r="AD7039">
        <v>-1.1021978503229899</v>
      </c>
      <c r="AE7039">
        <v>-0.86590000000001</v>
      </c>
      <c r="AF7039">
        <v>-0.92856668428803502</v>
      </c>
      <c r="AG7039">
        <v>-1.1021978503229899</v>
      </c>
      <c r="AH7039">
        <v>12.153344083121601</v>
      </c>
      <c r="AI7039">
        <v>95.167052575687507</v>
      </c>
      <c r="AJ7039">
        <v>94.369150320065003</v>
      </c>
      <c r="AK7039">
        <v>12.2384986248793</v>
      </c>
    </row>
    <row r="7040" spans="1:37" x14ac:dyDescent="0.2">
      <c r="A7040" t="str">
        <f>"20200111155740727"</f>
        <v>20200111155740727</v>
      </c>
      <c r="B7040" t="str">
        <f>"1578729460720759"</f>
        <v>1578729460720759</v>
      </c>
      <c r="C7040" t="s">
        <v>37</v>
      </c>
      <c r="D7040">
        <v>5.6135390000000003</v>
      </c>
      <c r="E7040">
        <v>0.49425760000000002</v>
      </c>
      <c r="F7040" t="s">
        <v>38</v>
      </c>
      <c r="G7040">
        <v>-148.42439999999999</v>
      </c>
      <c r="H7040" s="1">
        <v>-1.9431099999999999E-6</v>
      </c>
      <c r="I7040">
        <v>134.27610000000001</v>
      </c>
      <c r="J7040">
        <v>-160.68889999999999</v>
      </c>
      <c r="K7040">
        <v>1.1023080000000001</v>
      </c>
      <c r="L7040">
        <v>135.1515</v>
      </c>
      <c r="M7040">
        <v>0.98858509999999999</v>
      </c>
      <c r="N7040">
        <v>0</v>
      </c>
      <c r="O7040">
        <v>-0.15001149999999999</v>
      </c>
      <c r="P7040">
        <v>0.99550649999999996</v>
      </c>
      <c r="Q7040">
        <v>-2.100074E-2</v>
      </c>
      <c r="R7040">
        <v>-9.2336989999999994E-2</v>
      </c>
      <c r="S7040">
        <v>2.9878689999999999</v>
      </c>
      <c r="T7040">
        <v>-0.26363049999999999</v>
      </c>
      <c r="U7040">
        <v>-0.21849060000000001</v>
      </c>
      <c r="V7040">
        <v>-5.8104650000000001E-2</v>
      </c>
      <c r="W7040">
        <v>-6.6387950000000003E-3</v>
      </c>
      <c r="X7040">
        <v>0.99828850000000002</v>
      </c>
      <c r="Y7040">
        <v>-7.6650679999999999E-2</v>
      </c>
      <c r="Z7040">
        <v>1.650913E-2</v>
      </c>
      <c r="AA7040">
        <v>0.99692130000000001</v>
      </c>
      <c r="AB7040">
        <v>24</v>
      </c>
      <c r="AC7040">
        <v>12.2644999999999</v>
      </c>
      <c r="AD7040">
        <v>-1.1023099431100001</v>
      </c>
      <c r="AE7040">
        <v>-0.87539999999998397</v>
      </c>
      <c r="AF7040">
        <v>-0.96673440899321605</v>
      </c>
      <c r="AG7040">
        <v>-1.1023099431100001</v>
      </c>
      <c r="AH7040">
        <v>12.1592977662116</v>
      </c>
      <c r="AI7040">
        <v>95.163824238074099</v>
      </c>
      <c r="AJ7040">
        <v>94.545783304332403</v>
      </c>
      <c r="AK7040">
        <v>12.247374608282801</v>
      </c>
    </row>
    <row r="7041" spans="1:37" x14ac:dyDescent="0.2">
      <c r="A7041" t="str">
        <f>"20200111155740750"</f>
        <v>20200111155740750</v>
      </c>
      <c r="B7041" t="str">
        <f>"1578729460740279"</f>
        <v>1578729460740279</v>
      </c>
      <c r="C7041" t="s">
        <v>37</v>
      </c>
      <c r="D7041">
        <v>5.3100019999999999</v>
      </c>
      <c r="E7041">
        <v>0.49340859999999898</v>
      </c>
      <c r="F7041" t="s">
        <v>38</v>
      </c>
      <c r="G7041">
        <v>-148.459</v>
      </c>
      <c r="H7041" s="1">
        <v>-1.9480099999999899E-6</v>
      </c>
      <c r="I7041">
        <v>134.21340000000001</v>
      </c>
      <c r="J7041">
        <v>-160.44829999999999</v>
      </c>
      <c r="K7041">
        <v>1.1024320000000001</v>
      </c>
      <c r="L7041">
        <v>135.1104</v>
      </c>
      <c r="M7041">
        <v>0.98800259999999995</v>
      </c>
      <c r="N7041">
        <v>0</v>
      </c>
      <c r="O7041">
        <v>-0.15380179999999999</v>
      </c>
      <c r="P7041">
        <v>0.99511559999999899</v>
      </c>
      <c r="Q7041">
        <v>-2.2800870000000001E-2</v>
      </c>
      <c r="R7041">
        <v>-9.6048209999999995E-2</v>
      </c>
      <c r="S7041">
        <v>2.986618</v>
      </c>
      <c r="T7041">
        <v>-0.26919029999999999</v>
      </c>
      <c r="U7041">
        <v>-0.22908020000000001</v>
      </c>
      <c r="V7041">
        <v>-5.8214269999999999E-2</v>
      </c>
      <c r="W7041">
        <v>-8.4719889999999992E-3</v>
      </c>
      <c r="X7041">
        <v>0.99826819999999905</v>
      </c>
      <c r="Y7041">
        <v>-7.6875699999999894E-2</v>
      </c>
      <c r="Z7041">
        <v>1.72064E-2</v>
      </c>
      <c r="AA7041">
        <v>0.99689219999999901</v>
      </c>
      <c r="AB7041">
        <v>24</v>
      </c>
      <c r="AC7041">
        <v>11.989299999999901</v>
      </c>
      <c r="AD7041">
        <v>-1.1024339480100001</v>
      </c>
      <c r="AE7041">
        <v>-0.89699999999999103</v>
      </c>
      <c r="AF7041">
        <v>-0.94984508925609701</v>
      </c>
      <c r="AG7041">
        <v>-1.1024339480100001</v>
      </c>
      <c r="AH7041">
        <v>11.8846671292486</v>
      </c>
      <c r="AI7041">
        <v>95.282900034506994</v>
      </c>
      <c r="AJ7041">
        <v>94.569474464188602</v>
      </c>
      <c r="AK7041">
        <v>11.973423866060701</v>
      </c>
    </row>
    <row r="7042" spans="1:37" x14ac:dyDescent="0.2">
      <c r="A7042" t="str">
        <f>"20200111155740771"</f>
        <v>20200111155740771</v>
      </c>
      <c r="B7042" t="str">
        <f>"1578729460760776"</f>
        <v>1578729460760776</v>
      </c>
      <c r="C7042" t="s">
        <v>37</v>
      </c>
      <c r="D7042">
        <v>5.3409849999999999</v>
      </c>
      <c r="E7042">
        <v>0.492483</v>
      </c>
      <c r="F7042" t="s">
        <v>38</v>
      </c>
      <c r="G7042">
        <v>-148.5138</v>
      </c>
      <c r="H7042" s="1">
        <v>-1.9396629999999999E-6</v>
      </c>
      <c r="I7042">
        <v>134.1747</v>
      </c>
      <c r="J7042">
        <v>-160.21449999999999</v>
      </c>
      <c r="K7042">
        <v>1.1025609999999999</v>
      </c>
      <c r="L7042">
        <v>135.06970000000001</v>
      </c>
      <c r="M7042">
        <v>0.98745339999999904</v>
      </c>
      <c r="N7042">
        <v>0</v>
      </c>
      <c r="O7042">
        <v>-0.1572905</v>
      </c>
      <c r="P7042">
        <v>0.99484030000000001</v>
      </c>
      <c r="Q7042">
        <v>-2.425975E-2</v>
      </c>
      <c r="R7042">
        <v>-9.8510730000000005E-2</v>
      </c>
      <c r="S7042">
        <v>2.9858090000000002</v>
      </c>
      <c r="T7042">
        <v>-0.27580979999999999</v>
      </c>
      <c r="U7042">
        <v>-0.23406979999999999</v>
      </c>
      <c r="V7042">
        <v>-5.9269229999999999E-2</v>
      </c>
      <c r="W7042">
        <v>-9.9601399999999993E-3</v>
      </c>
      <c r="X7042">
        <v>0.99819239999999998</v>
      </c>
      <c r="Y7042">
        <v>-7.8652299999999994E-2</v>
      </c>
      <c r="Z7042">
        <v>1.802983E-2</v>
      </c>
      <c r="AA7042">
        <v>0.99673899999999904</v>
      </c>
      <c r="AB7042">
        <v>24</v>
      </c>
      <c r="AC7042">
        <v>11.7006999999999</v>
      </c>
      <c r="AD7042">
        <v>-1.1025629396629999</v>
      </c>
      <c r="AE7042">
        <v>-0.89500000000001001</v>
      </c>
      <c r="AF7042">
        <v>-0.94835980372407802</v>
      </c>
      <c r="AG7042">
        <v>-1.1025629396629999</v>
      </c>
      <c r="AH7042">
        <v>11.5934700799145</v>
      </c>
      <c r="AI7042">
        <v>95.414630403196398</v>
      </c>
      <c r="AJ7042">
        <v>94.676451532678797</v>
      </c>
      <c r="AK7042">
        <v>11.684330526269401</v>
      </c>
    </row>
    <row r="7043" spans="1:37" x14ac:dyDescent="0.2">
      <c r="A7043" t="str">
        <f>"20200111155740793"</f>
        <v>20200111155740793</v>
      </c>
      <c r="B7043" t="str">
        <f>"1578729460790056"</f>
        <v>1578729460790056</v>
      </c>
      <c r="C7043" t="s">
        <v>37</v>
      </c>
      <c r="D7043">
        <v>5.268332</v>
      </c>
      <c r="E7043">
        <v>0.48134139999999997</v>
      </c>
      <c r="F7043" t="s">
        <v>38</v>
      </c>
      <c r="G7043">
        <v>-148.40989999999999</v>
      </c>
      <c r="H7043" s="1">
        <v>-1.9835900000000001E-6</v>
      </c>
      <c r="I7043">
        <v>134.14250000000001</v>
      </c>
      <c r="J7043">
        <v>-159.9734</v>
      </c>
      <c r="K7043">
        <v>1.1027020000000001</v>
      </c>
      <c r="L7043">
        <v>135.02709999999999</v>
      </c>
      <c r="M7043">
        <v>0.98690529999999999</v>
      </c>
      <c r="N7043">
        <v>0</v>
      </c>
      <c r="O7043">
        <v>-0.16069510000000001</v>
      </c>
      <c r="P7043">
        <v>0.99464449999999904</v>
      </c>
      <c r="Q7043">
        <v>-2.579534E-2</v>
      </c>
      <c r="R7043">
        <v>-0.10008400000000001</v>
      </c>
      <c r="S7043">
        <v>2.985535</v>
      </c>
      <c r="T7043">
        <v>-0.27884949999999997</v>
      </c>
      <c r="U7043">
        <v>-0.23448179999999899</v>
      </c>
      <c r="V7043">
        <v>-6.1131060000000001E-2</v>
      </c>
      <c r="W7043">
        <v>-1.1525000000000001E-2</v>
      </c>
      <c r="X7043">
        <v>0.99806319999999904</v>
      </c>
      <c r="Y7043">
        <v>-8.1895330000000002E-2</v>
      </c>
      <c r="Z7043">
        <v>1.869287E-2</v>
      </c>
      <c r="AA7043">
        <v>0.99646559999999995</v>
      </c>
      <c r="AB7043">
        <v>24</v>
      </c>
      <c r="AC7043">
        <v>11.563499999999999</v>
      </c>
      <c r="AD7043">
        <v>-1.1027039835900001</v>
      </c>
      <c r="AE7043">
        <v>-0.88459999999997696</v>
      </c>
      <c r="AF7043">
        <v>-0.97644958622147104</v>
      </c>
      <c r="AG7043">
        <v>-1.1027039835900001</v>
      </c>
      <c r="AH7043">
        <v>11.4518238668782</v>
      </c>
      <c r="AI7043">
        <v>95.480329086561099</v>
      </c>
      <c r="AJ7043">
        <v>94.873585847854301</v>
      </c>
      <c r="AK7043">
        <v>11.546154327214699</v>
      </c>
    </row>
    <row r="7044" spans="1:37" x14ac:dyDescent="0.2">
      <c r="A7044" t="str">
        <f>"20200111155741206"</f>
        <v>20200111155741206</v>
      </c>
      <c r="B7044" t="str">
        <f>"1578729461199975"</f>
        <v>1578729461199975</v>
      </c>
      <c r="C7044" t="s">
        <v>37</v>
      </c>
      <c r="D7044">
        <v>5.4785879999999896</v>
      </c>
      <c r="E7044">
        <v>0.485975299999999</v>
      </c>
      <c r="F7044" t="s">
        <v>38</v>
      </c>
      <c r="G7044">
        <v>-133.25909999999999</v>
      </c>
      <c r="H7044" s="1">
        <v>-3.9283579999999996E-6</v>
      </c>
      <c r="I7044">
        <v>133.673</v>
      </c>
      <c r="J7044">
        <v>-155.76679999999999</v>
      </c>
      <c r="K7044">
        <v>1.1050070000000001</v>
      </c>
      <c r="L7044">
        <v>134.1977</v>
      </c>
      <c r="M7044">
        <v>0.97915379999999996</v>
      </c>
      <c r="N7044">
        <v>0</v>
      </c>
      <c r="O7044">
        <v>-0.20187829999999901</v>
      </c>
      <c r="P7044">
        <v>0.99287309999999995</v>
      </c>
      <c r="Q7044">
        <v>-3.076748E-2</v>
      </c>
      <c r="R7044">
        <v>-0.1151385</v>
      </c>
      <c r="S7044">
        <v>2.997665</v>
      </c>
      <c r="T7044">
        <v>-0.1237369</v>
      </c>
      <c r="U7044">
        <v>-0.151947</v>
      </c>
      <c r="V7044">
        <v>-8.7745920000000005E-2</v>
      </c>
      <c r="W7044">
        <v>-8.1838050000000006E-3</v>
      </c>
      <c r="X7044">
        <v>0.99610919999999903</v>
      </c>
      <c r="Y7044">
        <v>-0.1517917</v>
      </c>
      <c r="Z7044">
        <v>1.14017999999999E-2</v>
      </c>
      <c r="AA7044">
        <v>0.98834679999999997</v>
      </c>
      <c r="AB7044">
        <v>21</v>
      </c>
      <c r="AC7044">
        <v>22.5077</v>
      </c>
      <c r="AD7044">
        <v>-1.1050109283580001</v>
      </c>
      <c r="AE7044">
        <v>-0.52469999999999495</v>
      </c>
      <c r="AF7044">
        <v>-4.0213806659644904</v>
      </c>
      <c r="AG7044">
        <v>-1.1050109283580001</v>
      </c>
      <c r="AH7044">
        <v>22.0967659362536</v>
      </c>
      <c r="AI7044">
        <v>92.816663795772001</v>
      </c>
      <c r="AJ7044">
        <v>100.314351101694</v>
      </c>
      <c r="AK7044">
        <v>22.486876538415899</v>
      </c>
    </row>
    <row r="7045" spans="1:37" x14ac:dyDescent="0.2">
      <c r="A7045" t="str">
        <f>"20200111155741274"</f>
        <v>20200111155741274</v>
      </c>
      <c r="B7045" t="str">
        <f>"1578729461270822"</f>
        <v>1578729461270822</v>
      </c>
      <c r="C7045" t="s">
        <v>37</v>
      </c>
      <c r="D7045">
        <v>5.462307</v>
      </c>
      <c r="E7045">
        <v>0.48647399999999902</v>
      </c>
      <c r="F7045" t="s">
        <v>38</v>
      </c>
      <c r="G7045">
        <v>-134.5873</v>
      </c>
      <c r="H7045" s="1">
        <v>-3.7099239999999899E-6</v>
      </c>
      <c r="I7045">
        <v>132.54349999999999</v>
      </c>
      <c r="J7045">
        <v>-155.16149999999999</v>
      </c>
      <c r="K7045">
        <v>1.1054280000000001</v>
      </c>
      <c r="L7045">
        <v>134.06549999999999</v>
      </c>
      <c r="M7045">
        <v>0.97817330000000002</v>
      </c>
      <c r="N7045">
        <v>0</v>
      </c>
      <c r="O7045">
        <v>-0.20640120000000001</v>
      </c>
      <c r="P7045">
        <v>0.99246190000000001</v>
      </c>
      <c r="Q7045">
        <v>-2.8221599999999999E-2</v>
      </c>
      <c r="R7045">
        <v>-0.1192626</v>
      </c>
      <c r="S7045">
        <v>2.9896090000000002</v>
      </c>
      <c r="T7045">
        <v>-0.15597829999999999</v>
      </c>
      <c r="U7045">
        <v>-0.2335052</v>
      </c>
      <c r="V7045">
        <v>-8.8219279999999997E-2</v>
      </c>
      <c r="W7045">
        <v>-4.1556309999999999E-3</v>
      </c>
      <c r="X7045">
        <v>0.99609239999999999</v>
      </c>
      <c r="Y7045">
        <v>-0.12919410000000001</v>
      </c>
      <c r="Z7045">
        <v>1.4030880000000001E-2</v>
      </c>
      <c r="AA7045">
        <v>0.99151999999999996</v>
      </c>
      <c r="AB7045">
        <v>21</v>
      </c>
      <c r="AC7045">
        <v>20.574199999999902</v>
      </c>
      <c r="AD7045">
        <v>-1.1054317099240001</v>
      </c>
      <c r="AE7045">
        <v>-1.52199999999999</v>
      </c>
      <c r="AF7045">
        <v>-2.7506563505531498</v>
      </c>
      <c r="AG7045">
        <v>-1.1054317099240001</v>
      </c>
      <c r="AH7045">
        <v>20.386628114098102</v>
      </c>
      <c r="AI7045">
        <v>93.075913473973699</v>
      </c>
      <c r="AJ7045">
        <v>97.684201381133306</v>
      </c>
      <c r="AK7045">
        <v>20.601036272155799</v>
      </c>
    </row>
    <row r="7046" spans="1:37" x14ac:dyDescent="0.2">
      <c r="A7046" t="str">
        <f>"20200111155741297"</f>
        <v>20200111155741297</v>
      </c>
      <c r="B7046" t="str">
        <f>"1578729461290343"</f>
        <v>1578729461290343</v>
      </c>
      <c r="C7046" t="s">
        <v>37</v>
      </c>
      <c r="D7046">
        <v>5.541118</v>
      </c>
      <c r="E7046">
        <v>0.48686469999999998</v>
      </c>
      <c r="F7046" t="s">
        <v>38</v>
      </c>
      <c r="G7046">
        <v>-133.12899999999999</v>
      </c>
      <c r="H7046" s="1">
        <v>-4.2912219999999999E-6</v>
      </c>
      <c r="I7046">
        <v>132.22380000000001</v>
      </c>
      <c r="J7046">
        <v>-154.96379999999999</v>
      </c>
      <c r="K7046">
        <v>1.1055740000000001</v>
      </c>
      <c r="L7046">
        <v>134.02209999999999</v>
      </c>
      <c r="M7046">
        <v>0.97794179999999997</v>
      </c>
      <c r="N7046">
        <v>0</v>
      </c>
      <c r="O7046">
        <v>-0.20746679999999901</v>
      </c>
      <c r="P7046">
        <v>0.99219919999999995</v>
      </c>
      <c r="Q7046">
        <v>-3.0616500000000001E-2</v>
      </c>
      <c r="R7046">
        <v>-0.120845699999999</v>
      </c>
      <c r="S7046">
        <v>2.9885250000000001</v>
      </c>
      <c r="T7046">
        <v>-0.14994250000000001</v>
      </c>
      <c r="U7046">
        <v>-0.24980160000000001</v>
      </c>
      <c r="V7046">
        <v>-8.7703359999999994E-2</v>
      </c>
      <c r="W7046">
        <v>-6.3521879999999999E-3</v>
      </c>
      <c r="X7046">
        <v>0.99612639999999997</v>
      </c>
      <c r="Y7046">
        <v>-0.124913</v>
      </c>
      <c r="Z7046">
        <v>1.343425E-2</v>
      </c>
      <c r="AA7046">
        <v>0.99207679999999998</v>
      </c>
      <c r="AB7046">
        <v>20</v>
      </c>
      <c r="AC7046">
        <v>21.834800000000001</v>
      </c>
      <c r="AD7046">
        <v>-1.105578291222</v>
      </c>
      <c r="AE7046">
        <v>-1.79829999999998</v>
      </c>
      <c r="AF7046">
        <v>-2.76513616690736</v>
      </c>
      <c r="AG7046">
        <v>-1.105578291222</v>
      </c>
      <c r="AH7046">
        <v>21.677432859905501</v>
      </c>
      <c r="AI7046">
        <v>92.896205538769905</v>
      </c>
      <c r="AJ7046">
        <v>97.269294509425194</v>
      </c>
      <c r="AK7046">
        <v>21.881027781511399</v>
      </c>
    </row>
    <row r="7047" spans="1:37" x14ac:dyDescent="0.2">
      <c r="A7047" t="str">
        <f>"20200111155741319"</f>
        <v>20200111155741319</v>
      </c>
      <c r="B7047" t="str">
        <f>"1578729461310839"</f>
        <v>1578729461310839</v>
      </c>
      <c r="C7047" t="s">
        <v>37</v>
      </c>
      <c r="D7047">
        <v>5.5004489999999997</v>
      </c>
      <c r="E7047">
        <v>0.48680619999999902</v>
      </c>
      <c r="F7047" t="s">
        <v>38</v>
      </c>
      <c r="G7047">
        <v>-135.12530000000001</v>
      </c>
      <c r="H7047" s="1">
        <v>-3.5882190000000001E-6</v>
      </c>
      <c r="I7047">
        <v>132.31280000000001</v>
      </c>
      <c r="J7047">
        <v>-154.7697</v>
      </c>
      <c r="K7047">
        <v>1.105739</v>
      </c>
      <c r="L7047">
        <v>133.97970000000001</v>
      </c>
      <c r="M7047">
        <v>0.97778600000000004</v>
      </c>
      <c r="N7047">
        <v>0</v>
      </c>
      <c r="O7047">
        <v>-0.2081884</v>
      </c>
      <c r="P7047">
        <v>0.99192619999999898</v>
      </c>
      <c r="Q7047">
        <v>-3.4702919999999998E-2</v>
      </c>
      <c r="R7047">
        <v>-0.121977399999999</v>
      </c>
      <c r="S7047">
        <v>2.9870909999999999</v>
      </c>
      <c r="T7047">
        <v>-0.1664668</v>
      </c>
      <c r="U7047">
        <v>-0.25736999999999999</v>
      </c>
      <c r="V7047">
        <v>-8.7274359999999995E-2</v>
      </c>
      <c r="W7047">
        <v>-1.039195E-2</v>
      </c>
      <c r="X7047">
        <v>0.99613009999999902</v>
      </c>
      <c r="Y7047">
        <v>-0.1230163</v>
      </c>
      <c r="Z7047">
        <v>1.4903939999999999E-2</v>
      </c>
      <c r="AA7047">
        <v>0.99229279999999997</v>
      </c>
      <c r="AB7047">
        <v>20</v>
      </c>
      <c r="AC7047">
        <v>19.644399999999901</v>
      </c>
      <c r="AD7047">
        <v>-1.105742588219</v>
      </c>
      <c r="AE7047">
        <v>-1.6668999999999901</v>
      </c>
      <c r="AF7047">
        <v>-2.4528773518910199</v>
      </c>
      <c r="AG7047">
        <v>-1.105742588219</v>
      </c>
      <c r="AH7047">
        <v>19.499501441796799</v>
      </c>
      <c r="AI7047">
        <v>93.220226291824702</v>
      </c>
      <c r="AJ7047">
        <v>97.169680737554998</v>
      </c>
      <c r="AK7047">
        <v>19.684253362864901</v>
      </c>
    </row>
    <row r="7048" spans="1:37" x14ac:dyDescent="0.2">
      <c r="A7048" t="str">
        <f>"20200111155741343"</f>
        <v>20200111155741343</v>
      </c>
      <c r="B7048" t="str">
        <f>"1578729461330359"</f>
        <v>1578729461330359</v>
      </c>
      <c r="C7048" t="s">
        <v>37</v>
      </c>
      <c r="D7048">
        <v>5.7792329999999996</v>
      </c>
      <c r="E7048">
        <v>0.48596719999999999</v>
      </c>
      <c r="F7048" t="s">
        <v>38</v>
      </c>
      <c r="G7048">
        <v>-136.21029999999999</v>
      </c>
      <c r="H7048" s="1">
        <v>-3.2061230000000001E-6</v>
      </c>
      <c r="I7048">
        <v>132.36109999999999</v>
      </c>
      <c r="J7048">
        <v>-154.57509999999999</v>
      </c>
      <c r="K7048">
        <v>1.105936</v>
      </c>
      <c r="L7048">
        <v>133.9375</v>
      </c>
      <c r="M7048">
        <v>0.97771109999999894</v>
      </c>
      <c r="N7048">
        <v>0</v>
      </c>
      <c r="O7048">
        <v>-0.208537799999999</v>
      </c>
      <c r="P7048">
        <v>0.99166580000000004</v>
      </c>
      <c r="Q7048">
        <v>-4.0793389999999999E-2</v>
      </c>
      <c r="R7048">
        <v>-0.1222095</v>
      </c>
      <c r="S7048">
        <v>2.9861909999999998</v>
      </c>
      <c r="T7048">
        <v>-0.17791209999999999</v>
      </c>
      <c r="U7048">
        <v>-0.26042179999999998</v>
      </c>
      <c r="V7048">
        <v>-8.7343130000000005E-2</v>
      </c>
      <c r="W7048">
        <v>-1.6523900000000001E-2</v>
      </c>
      <c r="X7048">
        <v>0.99604119999999996</v>
      </c>
      <c r="Y7048">
        <v>-0.12226769999999899</v>
      </c>
      <c r="Z7048">
        <v>1.5928749999999998E-2</v>
      </c>
      <c r="AA7048">
        <v>0.99236939999999996</v>
      </c>
      <c r="AB7048">
        <v>20</v>
      </c>
      <c r="AC7048">
        <v>18.364799999999999</v>
      </c>
      <c r="AD7048">
        <v>-1.105939206123</v>
      </c>
      <c r="AE7048">
        <v>-1.5764</v>
      </c>
      <c r="AF7048">
        <v>-2.2809586014777099</v>
      </c>
      <c r="AG7048">
        <v>-1.105939206123</v>
      </c>
      <c r="AH7048">
        <v>18.2240249988619</v>
      </c>
      <c r="AI7048">
        <v>93.445959192839197</v>
      </c>
      <c r="AJ7048">
        <v>97.134165141941395</v>
      </c>
      <c r="AK7048">
        <v>18.3994826239337</v>
      </c>
    </row>
    <row r="7049" spans="1:37" x14ac:dyDescent="0.2">
      <c r="A7049" t="str">
        <f>"20200111155741365"</f>
        <v>20200111155741365</v>
      </c>
      <c r="B7049" t="str">
        <f>"1578729461360257"</f>
        <v>1578729461360257</v>
      </c>
      <c r="C7049" t="s">
        <v>37</v>
      </c>
      <c r="D7049">
        <v>5.4752729999999996</v>
      </c>
      <c r="E7049">
        <v>0.48506919999999998</v>
      </c>
      <c r="F7049" t="s">
        <v>38</v>
      </c>
      <c r="G7049">
        <v>-138.5761</v>
      </c>
      <c r="H7049" s="1">
        <v>-2.3441219999999999E-6</v>
      </c>
      <c r="I7049">
        <v>132.57499999999999</v>
      </c>
      <c r="J7049">
        <v>-154.37899999999999</v>
      </c>
      <c r="K7049">
        <v>1.1061350000000001</v>
      </c>
      <c r="L7049">
        <v>133.8954</v>
      </c>
      <c r="M7049">
        <v>0.97770800000000002</v>
      </c>
      <c r="N7049">
        <v>0</v>
      </c>
      <c r="O7049">
        <v>-0.2085542</v>
      </c>
      <c r="P7049">
        <v>0.9914731</v>
      </c>
      <c r="Q7049">
        <v>-4.732741E-2</v>
      </c>
      <c r="R7049">
        <v>-0.12141489999999899</v>
      </c>
      <c r="S7049">
        <v>2.9853969999999999</v>
      </c>
      <c r="T7049">
        <v>-0.2063662</v>
      </c>
      <c r="U7049">
        <v>-0.25424189999999902</v>
      </c>
      <c r="V7049">
        <v>-8.8083889999999998E-2</v>
      </c>
      <c r="W7049">
        <v>-2.3126850000000001E-2</v>
      </c>
      <c r="X7049">
        <v>0.99584450000000002</v>
      </c>
      <c r="Y7049">
        <v>-0.1240966</v>
      </c>
      <c r="Z7049">
        <v>1.8542030000000001E-2</v>
      </c>
      <c r="AA7049">
        <v>0.99209689999999995</v>
      </c>
      <c r="AB7049">
        <v>20</v>
      </c>
      <c r="AC7049">
        <v>15.8028999999999</v>
      </c>
      <c r="AD7049">
        <v>-1.1061373441219999</v>
      </c>
      <c r="AE7049">
        <v>-1.3204</v>
      </c>
      <c r="AF7049">
        <v>-1.99567953895294</v>
      </c>
      <c r="AG7049">
        <v>-1.1061373441219999</v>
      </c>
      <c r="AH7049">
        <v>15.6544892015746</v>
      </c>
      <c r="AI7049">
        <v>94.009427787595996</v>
      </c>
      <c r="AJ7049">
        <v>97.265043846362204</v>
      </c>
      <c r="AK7049">
        <v>15.819902300851</v>
      </c>
    </row>
    <row r="7050" spans="1:37" x14ac:dyDescent="0.2">
      <c r="A7050" t="str">
        <f>"20200111155741855"</f>
        <v>20200111155741855</v>
      </c>
      <c r="B7050" t="str">
        <f>"1578729461850407"</f>
        <v>1578729461850407</v>
      </c>
      <c r="C7050" t="s">
        <v>37</v>
      </c>
      <c r="D7050">
        <v>5.5996670000000002</v>
      </c>
      <c r="E7050">
        <v>0.48521979999999998</v>
      </c>
      <c r="F7050" t="s">
        <v>38</v>
      </c>
      <c r="G7050">
        <v>-140.5301</v>
      </c>
      <c r="H7050" s="1">
        <v>-5.2608639999999997E-6</v>
      </c>
      <c r="I7050">
        <v>132.76089999999999</v>
      </c>
      <c r="J7050">
        <v>-150.74170000000001</v>
      </c>
      <c r="K7050">
        <v>1.1071610000000001</v>
      </c>
      <c r="L7050">
        <v>133.27379999999999</v>
      </c>
      <c r="M7050">
        <v>0.98829940000000005</v>
      </c>
      <c r="N7050">
        <v>0</v>
      </c>
      <c r="O7050">
        <v>-0.151113</v>
      </c>
      <c r="P7050">
        <v>0.99833179999999999</v>
      </c>
      <c r="Q7050">
        <v>-2.4339309999999999E-2</v>
      </c>
      <c r="R7050">
        <v>-5.2359370000000002E-2</v>
      </c>
      <c r="S7050">
        <v>2.984467</v>
      </c>
      <c r="T7050">
        <v>-0.23837549999999999</v>
      </c>
      <c r="U7050">
        <v>-0.24447629999999901</v>
      </c>
      <c r="V7050">
        <v>-9.9122539999999995E-2</v>
      </c>
      <c r="W7050">
        <v>-4.048205E-3</v>
      </c>
      <c r="X7050">
        <v>0.99506700000000003</v>
      </c>
      <c r="Y7050">
        <v>-6.9243730000000003E-2</v>
      </c>
      <c r="Z7050">
        <v>1.473606E-2</v>
      </c>
      <c r="AA7050">
        <v>0.99749089999999996</v>
      </c>
      <c r="AB7050">
        <v>15</v>
      </c>
      <c r="AC7050">
        <v>10.211600000000001</v>
      </c>
      <c r="AD7050">
        <v>-1.1071662608640001</v>
      </c>
      <c r="AE7050">
        <v>-0.51290000000000102</v>
      </c>
      <c r="AF7050">
        <v>-1.0244170209718699</v>
      </c>
      <c r="AG7050">
        <v>-1.1071662608640001</v>
      </c>
      <c r="AH7050">
        <v>10.0539163136749</v>
      </c>
      <c r="AI7050">
        <v>96.252142077503194</v>
      </c>
      <c r="AJ7050">
        <v>95.817922285525597</v>
      </c>
      <c r="AK7050">
        <v>10.1664389342793</v>
      </c>
    </row>
    <row r="7051" spans="1:37" x14ac:dyDescent="0.2">
      <c r="A7051" t="str">
        <f>"20200111155741878"</f>
        <v>20200111155741878</v>
      </c>
      <c r="B7051" t="str">
        <f>"1578729461870480"</f>
        <v>1578729461870480</v>
      </c>
      <c r="C7051" t="s">
        <v>37</v>
      </c>
      <c r="D7051">
        <v>5.6948400000000001</v>
      </c>
      <c r="E7051">
        <v>0.53299830000000004</v>
      </c>
      <c r="F7051" t="s">
        <v>38</v>
      </c>
      <c r="G7051">
        <v>-131.55770000000001</v>
      </c>
      <c r="H7051" s="1">
        <v>-4.7730480000000003E-6</v>
      </c>
      <c r="I7051">
        <v>133.02590000000001</v>
      </c>
      <c r="J7051">
        <v>-150.58709999999999</v>
      </c>
      <c r="K7051">
        <v>1.1070799999999901</v>
      </c>
      <c r="L7051">
        <v>133.2543</v>
      </c>
      <c r="M7051">
        <v>0.98880460000000003</v>
      </c>
      <c r="N7051">
        <v>0</v>
      </c>
      <c r="O7051">
        <v>-0.14783850000000001</v>
      </c>
      <c r="P7051">
        <v>0.99860329999999997</v>
      </c>
      <c r="Q7051">
        <v>-2.1812599999999901E-2</v>
      </c>
      <c r="R7051">
        <v>-4.8125069999999999E-2</v>
      </c>
      <c r="S7051">
        <v>2.998764</v>
      </c>
      <c r="T7051">
        <v>-0.17306729999999901</v>
      </c>
      <c r="U7051">
        <v>-3.8757319999999998E-2</v>
      </c>
      <c r="V7051">
        <v>-0.1000607</v>
      </c>
      <c r="W7051">
        <v>-2.012004E-3</v>
      </c>
      <c r="X7051">
        <v>0.99497930000000001</v>
      </c>
      <c r="Y7051">
        <v>-0.1346067</v>
      </c>
      <c r="Z7051">
        <v>1.238175E-2</v>
      </c>
      <c r="AA7051">
        <v>0.99082169999999903</v>
      </c>
      <c r="AB7051">
        <v>15</v>
      </c>
      <c r="AC7051">
        <v>19.0293999999999</v>
      </c>
      <c r="AD7051">
        <v>-1.10708477304799</v>
      </c>
      <c r="AE7051">
        <v>-0.228399999999993</v>
      </c>
      <c r="AF7051">
        <v>-2.5792360762591402</v>
      </c>
      <c r="AG7051">
        <v>-1.10708477304799</v>
      </c>
      <c r="AH7051">
        <v>18.790393452027502</v>
      </c>
      <c r="AI7051">
        <v>93.340579943260096</v>
      </c>
      <c r="AJ7051">
        <v>97.815779776005797</v>
      </c>
      <c r="AK7051">
        <v>18.998867900845799</v>
      </c>
    </row>
    <row r="7052" spans="1:37" x14ac:dyDescent="0.2">
      <c r="A7052" t="str">
        <f>"20200111155741901"</f>
        <v>20200111155741901</v>
      </c>
      <c r="B7052" t="str">
        <f>"1578729461890000"</f>
        <v>1578729461890000</v>
      </c>
      <c r="C7052" t="s">
        <v>37</v>
      </c>
      <c r="D7052">
        <v>5.5237280000000002</v>
      </c>
      <c r="E7052">
        <v>0.54227329999999996</v>
      </c>
      <c r="F7052" t="s">
        <v>38</v>
      </c>
      <c r="G7052">
        <v>-137.89869999999999</v>
      </c>
      <c r="H7052" s="1">
        <v>-2.8539989999999999E-6</v>
      </c>
      <c r="I7052">
        <v>131.52500000000001</v>
      </c>
      <c r="J7052">
        <v>-150.43729999999999</v>
      </c>
      <c r="K7052">
        <v>1.1070169999999999</v>
      </c>
      <c r="L7052">
        <v>133.23580000000001</v>
      </c>
      <c r="M7052">
        <v>0.98928059999999995</v>
      </c>
      <c r="N7052">
        <v>0</v>
      </c>
      <c r="O7052">
        <v>-0.1446779</v>
      </c>
      <c r="P7052">
        <v>0.99879599999999902</v>
      </c>
      <c r="Q7052">
        <v>-1.9999579999999999E-2</v>
      </c>
      <c r="R7052">
        <v>-4.4797499999999997E-2</v>
      </c>
      <c r="S7052">
        <v>2.9789729999999999</v>
      </c>
      <c r="T7052">
        <v>-0.25991999999999998</v>
      </c>
      <c r="U7052">
        <v>-0.40599059999999998</v>
      </c>
      <c r="V7052">
        <v>-0.1002046</v>
      </c>
      <c r="W7052">
        <v>-6.0835179999999998E-4</v>
      </c>
      <c r="X7052">
        <v>0.99496669999999998</v>
      </c>
      <c r="Y7052">
        <v>-9.1966519999999996E-3</v>
      </c>
      <c r="Z7052">
        <v>1.287905E-2</v>
      </c>
      <c r="AA7052">
        <v>0.99987479999999995</v>
      </c>
      <c r="AB7052">
        <v>15</v>
      </c>
      <c r="AC7052">
        <v>12.538600000000001</v>
      </c>
      <c r="AD7052">
        <v>-1.1070198539989999</v>
      </c>
      <c r="AE7052">
        <v>-1.7108000000000001</v>
      </c>
      <c r="AF7052">
        <v>-0.120697285567375</v>
      </c>
      <c r="AG7052">
        <v>-1.1070198539989999</v>
      </c>
      <c r="AH7052">
        <v>12.5580899294714</v>
      </c>
      <c r="AI7052">
        <v>95.037480012254306</v>
      </c>
      <c r="AJ7052">
        <v>90.550659549143305</v>
      </c>
      <c r="AK7052">
        <v>12.607366238377599</v>
      </c>
    </row>
    <row r="7053" spans="1:37" x14ac:dyDescent="0.2">
      <c r="A7053" t="str">
        <f>"20200111155741927"</f>
        <v>20200111155741927</v>
      </c>
      <c r="B7053" t="str">
        <f>"1578729461920256"</f>
        <v>1578729461920256</v>
      </c>
      <c r="C7053" t="s">
        <v>37</v>
      </c>
      <c r="D7053">
        <v>5.4809510000000001</v>
      </c>
      <c r="E7053">
        <v>0.54882310000000001</v>
      </c>
      <c r="F7053" t="s">
        <v>40</v>
      </c>
      <c r="G7053">
        <v>-149.61789999999999</v>
      </c>
      <c r="H7053">
        <v>1.0136069999999999</v>
      </c>
      <c r="I7053">
        <v>133.10640000000001</v>
      </c>
      <c r="J7053">
        <v>-150.26439999999999</v>
      </c>
      <c r="K7053">
        <v>1.1069560000000001</v>
      </c>
      <c r="L7053">
        <v>133.21510000000001</v>
      </c>
      <c r="M7053">
        <v>0.98981369999999902</v>
      </c>
      <c r="N7053">
        <v>0</v>
      </c>
      <c r="O7053">
        <v>-0.1410371</v>
      </c>
      <c r="P7053">
        <v>0.99896070000000003</v>
      </c>
      <c r="Q7053">
        <v>-1.892164E-2</v>
      </c>
      <c r="R7053">
        <v>-4.1467120000000003E-2</v>
      </c>
      <c r="S7053">
        <v>2.9757539999999998</v>
      </c>
      <c r="T7053">
        <v>-0.33945340000000002</v>
      </c>
      <c r="U7053">
        <v>-0.46958919999999998</v>
      </c>
      <c r="V7053">
        <v>-9.9865410000000002E-2</v>
      </c>
      <c r="W7053" s="1">
        <v>9.5451939999999894E-5</v>
      </c>
      <c r="X7053">
        <v>0.99500100000000002</v>
      </c>
      <c r="Y7053">
        <v>1.5762129999999999E-2</v>
      </c>
      <c r="Z7053">
        <v>1.4967340000000001E-2</v>
      </c>
      <c r="AA7053">
        <v>0.99976369999999903</v>
      </c>
      <c r="AB7053">
        <v>15</v>
      </c>
      <c r="AC7053">
        <v>0.64650000000000296</v>
      </c>
      <c r="AD7053">
        <v>-9.3349000000000099E-2</v>
      </c>
      <c r="AE7053">
        <v>-0.10869999999999801</v>
      </c>
      <c r="AF7053">
        <v>1.60891435423118E-2</v>
      </c>
      <c r="AG7053">
        <v>-9.3349000000000099E-2</v>
      </c>
      <c r="AH7053">
        <v>0.64234498650795002</v>
      </c>
      <c r="AI7053">
        <v>98.266086102740601</v>
      </c>
      <c r="AJ7053">
        <v>88.565183301525906</v>
      </c>
      <c r="AK7053">
        <v>0.64929190510341594</v>
      </c>
    </row>
    <row r="7054" spans="1:37" x14ac:dyDescent="0.2">
      <c r="A7054" t="str">
        <f>"20200111155741947"</f>
        <v>20200111155741947</v>
      </c>
      <c r="B7054" t="str">
        <f>"1578729461940752"</f>
        <v>1578729461940752</v>
      </c>
      <c r="C7054" t="s">
        <v>37</v>
      </c>
      <c r="D7054">
        <v>5.4917449999999999</v>
      </c>
      <c r="E7054">
        <v>0.55125109999999999</v>
      </c>
      <c r="F7054" t="s">
        <v>40</v>
      </c>
      <c r="G7054">
        <v>-149.4958</v>
      </c>
      <c r="H7054">
        <v>0.9976526</v>
      </c>
      <c r="I7054">
        <v>133.08269999999999</v>
      </c>
      <c r="J7054">
        <v>-150.13079999999999</v>
      </c>
      <c r="K7054">
        <v>1.1069249999999999</v>
      </c>
      <c r="L7054">
        <v>133.1995</v>
      </c>
      <c r="M7054">
        <v>0.990214699999999</v>
      </c>
      <c r="N7054">
        <v>0</v>
      </c>
      <c r="O7054">
        <v>-0.1382302</v>
      </c>
      <c r="P7054">
        <v>0.99905290000000002</v>
      </c>
      <c r="Q7054">
        <v>-1.937902E-2</v>
      </c>
      <c r="R7054">
        <v>-3.8965109999999997E-2</v>
      </c>
      <c r="S7054">
        <v>2.973862</v>
      </c>
      <c r="T7054">
        <v>-0.42331649999999998</v>
      </c>
      <c r="U7054">
        <v>-0.51153559999999998</v>
      </c>
      <c r="V7054">
        <v>-9.9532319999999994E-2</v>
      </c>
      <c r="W7054">
        <v>-6.0319300000000002E-4</v>
      </c>
      <c r="X7054">
        <v>0.99503419999999898</v>
      </c>
      <c r="Y7054">
        <v>3.265974E-2</v>
      </c>
      <c r="Z7054">
        <v>1.7040670000000001E-2</v>
      </c>
      <c r="AA7054">
        <v>0.99932119999999902</v>
      </c>
      <c r="AB7054">
        <v>15</v>
      </c>
      <c r="AC7054">
        <v>0.63499999999999002</v>
      </c>
      <c r="AD7054">
        <v>-0.10927239999999901</v>
      </c>
      <c r="AE7054">
        <v>-0.11680000000001201</v>
      </c>
      <c r="AF7054">
        <v>2.7109514908683501E-2</v>
      </c>
      <c r="AG7054">
        <v>-0.10927239999999901</v>
      </c>
      <c r="AH7054">
        <v>0.62708820170691104</v>
      </c>
      <c r="AI7054">
        <v>99.875705341704204</v>
      </c>
      <c r="AJ7054">
        <v>87.524599827883094</v>
      </c>
      <c r="AK7054">
        <v>0.63711458617767702</v>
      </c>
    </row>
    <row r="7055" spans="1:37" x14ac:dyDescent="0.2">
      <c r="A7055" t="str">
        <f>"20200111155741968"</f>
        <v>20200111155741968</v>
      </c>
      <c r="B7055" t="str">
        <f>"1578729461960044"</f>
        <v>1578729461960044</v>
      </c>
      <c r="C7055" t="s">
        <v>37</v>
      </c>
      <c r="D7055">
        <v>5.6508099999999999</v>
      </c>
      <c r="E7055">
        <v>0.55163090000000004</v>
      </c>
      <c r="F7055" t="s">
        <v>40</v>
      </c>
      <c r="G7055">
        <v>-149.3691</v>
      </c>
      <c r="H7055">
        <v>0.99054609999999998</v>
      </c>
      <c r="I7055">
        <v>133.06540000000001</v>
      </c>
      <c r="J7055">
        <v>-149.99510000000001</v>
      </c>
      <c r="K7055">
        <v>1.106895</v>
      </c>
      <c r="L7055">
        <v>133.184</v>
      </c>
      <c r="M7055">
        <v>0.99061200000000005</v>
      </c>
      <c r="N7055">
        <v>0</v>
      </c>
      <c r="O7055">
        <v>-0.13538510000000001</v>
      </c>
      <c r="P7055">
        <v>0.99912520000000005</v>
      </c>
      <c r="Q7055">
        <v>-2.0145730000000001E-2</v>
      </c>
      <c r="R7055">
        <v>-3.6649340000000002E-2</v>
      </c>
      <c r="S7055">
        <v>2.973633</v>
      </c>
      <c r="T7055">
        <v>-0.45429179999999902</v>
      </c>
      <c r="U7055">
        <v>-0.52355959999999901</v>
      </c>
      <c r="V7055">
        <v>-9.8974699999999999E-2</v>
      </c>
      <c r="W7055">
        <v>-1.5891989999999999E-3</v>
      </c>
      <c r="X7055">
        <v>0.99508869999999905</v>
      </c>
      <c r="Y7055">
        <v>3.9510900000000002E-2</v>
      </c>
      <c r="Z7055">
        <v>1.7327950000000002E-2</v>
      </c>
      <c r="AA7055">
        <v>0.99906890000000004</v>
      </c>
      <c r="AB7055">
        <v>15</v>
      </c>
      <c r="AC7055">
        <v>0.626000000000004</v>
      </c>
      <c r="AD7055">
        <v>-0.11634889999999901</v>
      </c>
      <c r="AE7055">
        <v>-0.11859999999998599</v>
      </c>
      <c r="AF7055">
        <v>3.1684782155211602E-2</v>
      </c>
      <c r="AG7055">
        <v>-0.11634889999999901</v>
      </c>
      <c r="AH7055">
        <v>0.61575999657226099</v>
      </c>
      <c r="AI7055">
        <v>100.68617405675</v>
      </c>
      <c r="AJ7055">
        <v>87.054364376089396</v>
      </c>
      <c r="AK7055">
        <v>0.62745626567124502</v>
      </c>
    </row>
    <row r="7056" spans="1:37" x14ac:dyDescent="0.2">
      <c r="A7056" t="str">
        <f>"20200111155741991"</f>
        <v>20200111155741991</v>
      </c>
      <c r="B7056" t="str">
        <f>"1578729461980539"</f>
        <v>1578729461980539</v>
      </c>
      <c r="C7056" t="s">
        <v>37</v>
      </c>
      <c r="D7056">
        <v>5.6365179999999997</v>
      </c>
      <c r="E7056">
        <v>0.55180119999999999</v>
      </c>
      <c r="F7056" t="s">
        <v>40</v>
      </c>
      <c r="G7056">
        <v>-149.2423</v>
      </c>
      <c r="H7056">
        <v>0.98376489999999905</v>
      </c>
      <c r="I7056">
        <v>133.05250000000001</v>
      </c>
      <c r="J7056">
        <v>-149.85140000000001</v>
      </c>
      <c r="K7056">
        <v>1.106873</v>
      </c>
      <c r="L7056">
        <v>133.16810000000001</v>
      </c>
      <c r="M7056">
        <v>0.99102119999999905</v>
      </c>
      <c r="N7056">
        <v>0</v>
      </c>
      <c r="O7056">
        <v>-0.13238710000000001</v>
      </c>
      <c r="P7056">
        <v>0.99919210000000003</v>
      </c>
      <c r="Q7056">
        <v>-2.047728E-2</v>
      </c>
      <c r="R7056">
        <v>-3.458514E-2</v>
      </c>
      <c r="S7056">
        <v>2.9737399999999998</v>
      </c>
      <c r="T7056">
        <v>-0.48644719999999902</v>
      </c>
      <c r="U7056">
        <v>-0.51962280000000005</v>
      </c>
      <c r="V7056">
        <v>-9.8017030000000005E-2</v>
      </c>
      <c r="W7056">
        <v>-2.124215E-3</v>
      </c>
      <c r="X7056">
        <v>0.99518249999999997</v>
      </c>
      <c r="Y7056">
        <v>4.1339920000000002E-2</v>
      </c>
      <c r="Z7056">
        <v>1.791595E-2</v>
      </c>
      <c r="AA7056">
        <v>0.99898449999999905</v>
      </c>
      <c r="AB7056">
        <v>15</v>
      </c>
      <c r="AC7056">
        <v>0.60910000000001197</v>
      </c>
      <c r="AD7056">
        <v>-0.1231081</v>
      </c>
      <c r="AE7056">
        <v>-0.11559999999999999</v>
      </c>
      <c r="AF7056">
        <v>3.2643865812086198E-2</v>
      </c>
      <c r="AG7056">
        <v>-0.1231081</v>
      </c>
      <c r="AH7056">
        <v>0.59556047964237002</v>
      </c>
      <c r="AI7056">
        <v>101.662075020172</v>
      </c>
      <c r="AJ7056">
        <v>86.862642671143703</v>
      </c>
      <c r="AK7056">
        <v>0.60902669167501799</v>
      </c>
    </row>
    <row r="7057" spans="1:37" x14ac:dyDescent="0.2">
      <c r="A7057" t="str">
        <f>"20200111155742012"</f>
        <v>20200111155742012</v>
      </c>
      <c r="B7057" t="str">
        <f>"1578729462010797"</f>
        <v>1578729462010797</v>
      </c>
      <c r="C7057" t="s">
        <v>37</v>
      </c>
      <c r="D7057">
        <v>5.5465439999999999</v>
      </c>
      <c r="E7057">
        <v>0.52238329999999999</v>
      </c>
      <c r="F7057" t="s">
        <v>40</v>
      </c>
      <c r="G7057">
        <v>-149.11439999999999</v>
      </c>
      <c r="H7057">
        <v>0.98055059999999905</v>
      </c>
      <c r="I7057">
        <v>133.04050000000001</v>
      </c>
      <c r="J7057">
        <v>-149.71029999999999</v>
      </c>
      <c r="K7057">
        <v>1.1068659999999999</v>
      </c>
      <c r="L7057">
        <v>133.15289999999999</v>
      </c>
      <c r="M7057">
        <v>0.99141170000000001</v>
      </c>
      <c r="N7057">
        <v>0</v>
      </c>
      <c r="O7057">
        <v>-0.12945329999999999</v>
      </c>
      <c r="P7057">
        <v>0.99924559999999996</v>
      </c>
      <c r="Q7057">
        <v>-2.112317E-2</v>
      </c>
      <c r="R7057">
        <v>-3.2591130000000003E-2</v>
      </c>
      <c r="S7057">
        <v>2.974167</v>
      </c>
      <c r="T7057">
        <v>-0.50987609999999906</v>
      </c>
      <c r="U7057">
        <v>-0.51463320000000001</v>
      </c>
      <c r="V7057">
        <v>-9.7052990000000006E-2</v>
      </c>
      <c r="W7057">
        <v>-2.927196E-3</v>
      </c>
      <c r="X7057">
        <v>0.99527489999999996</v>
      </c>
      <c r="Y7057">
        <v>4.2700500000000002E-2</v>
      </c>
      <c r="Z7057">
        <v>1.8162790000000002E-2</v>
      </c>
      <c r="AA7057">
        <v>0.9989228</v>
      </c>
      <c r="AB7057">
        <v>15</v>
      </c>
      <c r="AC7057">
        <v>0.59589999999999999</v>
      </c>
      <c r="AD7057">
        <v>-0.126315399999999</v>
      </c>
      <c r="AE7057">
        <v>-0.112399999999979</v>
      </c>
      <c r="AF7057">
        <v>3.2873026977001299E-2</v>
      </c>
      <c r="AG7057">
        <v>-0.126315399999999</v>
      </c>
      <c r="AH7057">
        <v>0.58026004409738696</v>
      </c>
      <c r="AI7057">
        <v>102.261916433674</v>
      </c>
      <c r="AJ7057">
        <v>86.757532082826501</v>
      </c>
      <c r="AK7057">
        <v>0.59475871994926799</v>
      </c>
    </row>
    <row r="7058" spans="1:37" x14ac:dyDescent="0.2">
      <c r="A7058" t="str">
        <f>"20200111155742126"</f>
        <v>20200111155742126</v>
      </c>
      <c r="B7058" t="str">
        <f>"1578729462120720"</f>
        <v>1578729462120720</v>
      </c>
      <c r="C7058" t="s">
        <v>37</v>
      </c>
      <c r="D7058">
        <v>5.3117999999999999</v>
      </c>
      <c r="E7058">
        <v>0.5021774</v>
      </c>
      <c r="F7058" t="s">
        <v>40</v>
      </c>
      <c r="G7058">
        <v>-148.96530000000001</v>
      </c>
      <c r="H7058">
        <v>1.0041180000000001</v>
      </c>
      <c r="I7058">
        <v>133.08430000000001</v>
      </c>
      <c r="J7058">
        <v>-149</v>
      </c>
      <c r="K7058">
        <v>1.1068750000000001</v>
      </c>
      <c r="L7058">
        <v>133.08260000000001</v>
      </c>
      <c r="M7058">
        <v>0.99322299999999997</v>
      </c>
      <c r="N7058">
        <v>0</v>
      </c>
      <c r="O7058">
        <v>-0.11467719999999899</v>
      </c>
      <c r="P7058">
        <v>0.99943019999999905</v>
      </c>
      <c r="Q7058">
        <v>-2.5273190000000001E-2</v>
      </c>
      <c r="R7058">
        <v>-2.2381769999999999E-2</v>
      </c>
      <c r="S7058">
        <v>2.984604</v>
      </c>
      <c r="T7058">
        <v>-0.41163129999999998</v>
      </c>
      <c r="U7058">
        <v>-0.27445979999999998</v>
      </c>
      <c r="V7058">
        <v>-9.23818E-2</v>
      </c>
      <c r="W7058">
        <v>-6.6839639999999997E-3</v>
      </c>
      <c r="X7058">
        <v>0.99570130000000001</v>
      </c>
      <c r="Y7058">
        <v>-2.197201E-2</v>
      </c>
      <c r="Z7058">
        <v>1.7169960000000001E-2</v>
      </c>
      <c r="AA7058">
        <v>0.99961109999999898</v>
      </c>
      <c r="AB7058">
        <v>14</v>
      </c>
      <c r="AC7058">
        <v>3.4699999999986603E-2</v>
      </c>
      <c r="AD7058">
        <v>-0.102756999999999</v>
      </c>
      <c r="AE7058">
        <v>1.6999999999995901E-3</v>
      </c>
      <c r="AF7058">
        <v>-5.8151689536323496E-4</v>
      </c>
      <c r="AG7058">
        <v>-0.102756999999999</v>
      </c>
      <c r="AH7058">
        <v>3.5161077978428401E-3</v>
      </c>
      <c r="AI7058">
        <v>178.01363461496101</v>
      </c>
      <c r="AJ7058">
        <v>99.390943772452104</v>
      </c>
      <c r="AK7058">
        <v>0.102818783424749</v>
      </c>
    </row>
    <row r="7059" spans="1:37" x14ac:dyDescent="0.2">
      <c r="A7059" t="str">
        <f>"20200111155742147"</f>
        <v>20200111155742147</v>
      </c>
      <c r="B7059" t="str">
        <f>"1578729462140240"</f>
        <v>1578729462140240</v>
      </c>
      <c r="C7059" t="s">
        <v>37</v>
      </c>
      <c r="D7059">
        <v>5.3750200000000001</v>
      </c>
      <c r="E7059">
        <v>0.49916339999999998</v>
      </c>
      <c r="F7059" t="s">
        <v>38</v>
      </c>
      <c r="G7059">
        <v>-138.90039999999999</v>
      </c>
      <c r="H7059" s="1">
        <v>-2.1716110000000002E-6</v>
      </c>
      <c r="I7059">
        <v>132.80850000000001</v>
      </c>
      <c r="J7059">
        <v>-148.87819999999999</v>
      </c>
      <c r="K7059">
        <v>1.107003</v>
      </c>
      <c r="L7059">
        <v>133.07149999999999</v>
      </c>
      <c r="M7059">
        <v>0.99346299999999899</v>
      </c>
      <c r="N7059">
        <v>0</v>
      </c>
      <c r="O7059">
        <v>-0.1123767</v>
      </c>
      <c r="P7059">
        <v>0.99934859999999903</v>
      </c>
      <c r="Q7059">
        <v>-2.8694560000000001E-2</v>
      </c>
      <c r="R7059">
        <v>-2.1902479999999998E-2</v>
      </c>
      <c r="S7059">
        <v>2.9916079999999998</v>
      </c>
      <c r="T7059">
        <v>-0.32786909999999903</v>
      </c>
      <c r="U7059">
        <v>-8.1176760000000001E-2</v>
      </c>
      <c r="V7059">
        <v>-9.0544089999999994E-2</v>
      </c>
      <c r="W7059">
        <v>-8.8982839999999994E-3</v>
      </c>
      <c r="X7059">
        <v>0.99585270000000004</v>
      </c>
      <c r="Y7059">
        <v>-8.4231600000000004E-2</v>
      </c>
      <c r="Z7059">
        <v>1.6856429999999999E-2</v>
      </c>
      <c r="AA7059">
        <v>0.99630359999999996</v>
      </c>
      <c r="AB7059">
        <v>14</v>
      </c>
      <c r="AC7059">
        <v>9.9778000000000002</v>
      </c>
      <c r="AD7059">
        <v>-1.1070051716110001</v>
      </c>
      <c r="AE7059">
        <v>-0.26299999999997598</v>
      </c>
      <c r="AF7059">
        <v>-0.849712680456707</v>
      </c>
      <c r="AG7059">
        <v>-1.1070051716110001</v>
      </c>
      <c r="AH7059">
        <v>9.8232998907079292</v>
      </c>
      <c r="AI7059">
        <v>96.405916904149805</v>
      </c>
      <c r="AJ7059">
        <v>94.9437632575072</v>
      </c>
      <c r="AK7059">
        <v>9.9219298945358805</v>
      </c>
    </row>
    <row r="7060" spans="1:37" x14ac:dyDescent="0.2">
      <c r="A7060" t="str">
        <f>"20200111155742168"</f>
        <v>20200111155742168</v>
      </c>
      <c r="B7060" t="str">
        <f>"1578729462160491"</f>
        <v>1578729462160491</v>
      </c>
      <c r="C7060" t="s">
        <v>37</v>
      </c>
      <c r="D7060">
        <v>5.1976149999999999</v>
      </c>
      <c r="E7060">
        <v>0.49776099999999901</v>
      </c>
      <c r="F7060" t="s">
        <v>38</v>
      </c>
      <c r="G7060">
        <v>-138.3408</v>
      </c>
      <c r="H7060" s="1">
        <v>-2.344308E-6</v>
      </c>
      <c r="I7060">
        <v>132.87520000000001</v>
      </c>
      <c r="J7060">
        <v>-148.75960000000001</v>
      </c>
      <c r="K7060">
        <v>1.107167</v>
      </c>
      <c r="L7060">
        <v>133.0609</v>
      </c>
      <c r="M7060">
        <v>0.99366339999999997</v>
      </c>
      <c r="N7060">
        <v>0</v>
      </c>
      <c r="O7060">
        <v>-0.1103</v>
      </c>
      <c r="P7060">
        <v>0.99926079999999995</v>
      </c>
      <c r="Q7060">
        <v>-3.1682879999999997E-2</v>
      </c>
      <c r="R7060">
        <v>-2.1775679999999999E-2</v>
      </c>
      <c r="S7060">
        <v>2.99173</v>
      </c>
      <c r="T7060">
        <v>-0.31429609999999902</v>
      </c>
      <c r="U7060">
        <v>-5.5740360000000003E-2</v>
      </c>
      <c r="V7060">
        <v>-8.8583419999999996E-2</v>
      </c>
      <c r="W7060">
        <v>-1.0314459999999999E-2</v>
      </c>
      <c r="X7060">
        <v>0.9960154</v>
      </c>
      <c r="Y7060">
        <v>-9.0688710000000006E-2</v>
      </c>
      <c r="Z7060">
        <v>1.628694E-2</v>
      </c>
      <c r="AA7060">
        <v>0.99574609999999997</v>
      </c>
      <c r="AB7060">
        <v>13</v>
      </c>
      <c r="AC7060">
        <v>10.418799999999999</v>
      </c>
      <c r="AD7060">
        <v>-1.107169344308</v>
      </c>
      <c r="AE7060">
        <v>-0.18569999999999701</v>
      </c>
      <c r="AF7060">
        <v>-0.954124561127069</v>
      </c>
      <c r="AG7060">
        <v>-1.107169344308</v>
      </c>
      <c r="AH7060">
        <v>10.2598623318249</v>
      </c>
      <c r="AI7060">
        <v>96.132848493805596</v>
      </c>
      <c r="AJ7060">
        <v>95.312988582475</v>
      </c>
      <c r="AK7060">
        <v>10.363443091131501</v>
      </c>
    </row>
    <row r="7061" spans="1:37" x14ac:dyDescent="0.2">
      <c r="A7061" t="str">
        <f>"20200111155742190"</f>
        <v>20200111155742190</v>
      </c>
      <c r="B7061" t="str">
        <f>"1578729462180013"</f>
        <v>1578729462180013</v>
      </c>
      <c r="C7061" t="s">
        <v>37</v>
      </c>
      <c r="D7061">
        <v>5.1514749999999996</v>
      </c>
      <c r="E7061">
        <v>0.4978902</v>
      </c>
      <c r="F7061" t="s">
        <v>38</v>
      </c>
      <c r="G7061">
        <v>-137.91390000000001</v>
      </c>
      <c r="H7061" s="1">
        <v>-2.4828490000000001E-6</v>
      </c>
      <c r="I7061">
        <v>132.90049999999999</v>
      </c>
      <c r="J7061">
        <v>-148.63890000000001</v>
      </c>
      <c r="K7061">
        <v>1.1073409999999999</v>
      </c>
      <c r="L7061">
        <v>133.05029999999999</v>
      </c>
      <c r="M7061">
        <v>0.99384249999999996</v>
      </c>
      <c r="N7061">
        <v>0</v>
      </c>
      <c r="O7061">
        <v>-0.10831589999999899</v>
      </c>
      <c r="P7061">
        <v>0.99920049999999905</v>
      </c>
      <c r="Q7061">
        <v>-3.3956260000000002E-2</v>
      </c>
      <c r="R7061">
        <v>-2.110805E-2</v>
      </c>
      <c r="S7061">
        <v>2.9915769999999999</v>
      </c>
      <c r="T7061">
        <v>-0.3053901</v>
      </c>
      <c r="U7061">
        <v>-4.423523E-2</v>
      </c>
      <c r="V7061">
        <v>-8.7260160000000003E-2</v>
      </c>
      <c r="W7061">
        <v>-1.0829149999999999E-2</v>
      </c>
      <c r="X7061">
        <v>0.99612670000000003</v>
      </c>
      <c r="Y7061">
        <v>-9.2593670000000003E-2</v>
      </c>
      <c r="Z7061">
        <v>1.57261E-2</v>
      </c>
      <c r="AA7061">
        <v>0.99557980000000001</v>
      </c>
      <c r="AB7061">
        <v>13</v>
      </c>
      <c r="AC7061">
        <v>10.7249999999999</v>
      </c>
      <c r="AD7061">
        <v>-1.1073434828489901</v>
      </c>
      <c r="AE7061">
        <v>-0.14979999999999899</v>
      </c>
      <c r="AF7061">
        <v>-1.0024025541177499</v>
      </c>
      <c r="AG7061">
        <v>-1.1073434828489901</v>
      </c>
      <c r="AH7061">
        <v>10.565485924918001</v>
      </c>
      <c r="AI7061">
        <v>95.956635556326304</v>
      </c>
      <c r="AJ7061">
        <v>95.419725664182494</v>
      </c>
      <c r="AK7061">
        <v>10.6705441894568</v>
      </c>
    </row>
    <row r="7062" spans="1:37" x14ac:dyDescent="0.2">
      <c r="A7062" t="str">
        <f>"20200111155742323"</f>
        <v>20200111155742323</v>
      </c>
      <c r="B7062" t="str">
        <f>"1578729462320088"</f>
        <v>1578729462320088</v>
      </c>
      <c r="C7062" t="s">
        <v>37</v>
      </c>
      <c r="D7062">
        <v>4.9581010000000001</v>
      </c>
      <c r="E7062">
        <v>0.49736989999999998</v>
      </c>
      <c r="F7062" t="s">
        <v>38</v>
      </c>
      <c r="G7062">
        <v>-137.7518</v>
      </c>
      <c r="H7062" s="1">
        <v>-2.5400350000000002E-6</v>
      </c>
      <c r="I7062">
        <v>132.893</v>
      </c>
      <c r="J7062">
        <v>-147.9622</v>
      </c>
      <c r="K7062">
        <v>1.1071949999999999</v>
      </c>
      <c r="L7062">
        <v>132.99799999999999</v>
      </c>
      <c r="M7062">
        <v>0.995254999999999</v>
      </c>
      <c r="N7062">
        <v>0</v>
      </c>
      <c r="O7062">
        <v>-9.4118999999999994E-2</v>
      </c>
      <c r="P7062">
        <v>0.99952700000000005</v>
      </c>
      <c r="Q7062">
        <v>-2.8089530000000001E-2</v>
      </c>
      <c r="R7062">
        <v>-1.2526880000000001E-2</v>
      </c>
      <c r="S7062">
        <v>2.9911500000000002</v>
      </c>
      <c r="T7062">
        <v>-0.30423339999999999</v>
      </c>
      <c r="U7062">
        <v>-4.3212889999999997E-2</v>
      </c>
      <c r="V7062">
        <v>-8.1624429999999998E-2</v>
      </c>
      <c r="W7062">
        <v>-3.6677109999999902E-3</v>
      </c>
      <c r="X7062">
        <v>0.9966564</v>
      </c>
      <c r="Y7062">
        <v>-7.8865560000000001E-2</v>
      </c>
      <c r="Z7062">
        <v>1.3538690000000001E-2</v>
      </c>
      <c r="AA7062">
        <v>0.99679329999999999</v>
      </c>
      <c r="AB7062">
        <v>11</v>
      </c>
      <c r="AC7062">
        <v>10.2103999999999</v>
      </c>
      <c r="AD7062">
        <v>-1.107197540035</v>
      </c>
      <c r="AE7062">
        <v>-0.104999999999989</v>
      </c>
      <c r="AF7062">
        <v>-0.84679553995186396</v>
      </c>
      <c r="AG7062">
        <v>-1.107197540035</v>
      </c>
      <c r="AH7062">
        <v>10.0566908123948</v>
      </c>
      <c r="AI7062">
        <v>96.260732890083403</v>
      </c>
      <c r="AJ7062">
        <v>94.813077466080998</v>
      </c>
      <c r="AK7062">
        <v>10.1528310916339</v>
      </c>
    </row>
    <row r="7063" spans="1:37" x14ac:dyDescent="0.2">
      <c r="A7063" t="str">
        <f>"20200111155742346"</f>
        <v>20200111155742346</v>
      </c>
      <c r="B7063" t="str">
        <f>"1578729462340584"</f>
        <v>1578729462340584</v>
      </c>
      <c r="C7063" t="s">
        <v>37</v>
      </c>
      <c r="D7063">
        <v>4.824287</v>
      </c>
      <c r="E7063">
        <v>0.49702639999999998</v>
      </c>
      <c r="F7063" t="s">
        <v>38</v>
      </c>
      <c r="G7063">
        <v>-135.55350000000001</v>
      </c>
      <c r="H7063" s="1">
        <v>-3.2737300000000001E-6</v>
      </c>
      <c r="I7063">
        <v>132.947</v>
      </c>
      <c r="J7063">
        <v>-147.85579999999999</v>
      </c>
      <c r="K7063">
        <v>1.107003</v>
      </c>
      <c r="L7063">
        <v>132.99100000000001</v>
      </c>
      <c r="M7063">
        <v>0.99548669999999995</v>
      </c>
      <c r="N7063">
        <v>0</v>
      </c>
      <c r="O7063">
        <v>-9.1641739999999999E-2</v>
      </c>
      <c r="P7063">
        <v>0.99957619999999903</v>
      </c>
      <c r="Q7063">
        <v>-2.68679E-2</v>
      </c>
      <c r="R7063">
        <v>-1.120322E-2</v>
      </c>
      <c r="S7063">
        <v>2.9937589999999998</v>
      </c>
      <c r="T7063">
        <v>-0.26712619999999998</v>
      </c>
      <c r="U7063">
        <v>-1.229858E-2</v>
      </c>
      <c r="V7063">
        <v>-8.047079E-2</v>
      </c>
      <c r="W7063">
        <v>-2.4333990000000002E-3</v>
      </c>
      <c r="X7063">
        <v>0.99675400000000003</v>
      </c>
      <c r="Y7063">
        <v>-8.686961E-2</v>
      </c>
      <c r="Z7063">
        <v>1.2022089999999999E-2</v>
      </c>
      <c r="AA7063">
        <v>0.99614720000000001</v>
      </c>
      <c r="AB7063">
        <v>11</v>
      </c>
      <c r="AC7063">
        <v>12.302299999999899</v>
      </c>
      <c r="AD7063">
        <v>-1.1070062737299999</v>
      </c>
      <c r="AE7063">
        <v>-4.40000000000111E-2</v>
      </c>
      <c r="AF7063">
        <v>-1.0752262765335301</v>
      </c>
      <c r="AG7063">
        <v>-1.1070062737299999</v>
      </c>
      <c r="AH7063">
        <v>12.156106835148099</v>
      </c>
      <c r="AI7063">
        <v>95.183211626707802</v>
      </c>
      <c r="AJ7063">
        <v>95.0547446590638</v>
      </c>
      <c r="AK7063">
        <v>12.253673237987</v>
      </c>
    </row>
    <row r="7064" spans="1:37" x14ac:dyDescent="0.2">
      <c r="A7064" t="str">
        <f>"20200111155742368"</f>
        <v>20200111155742368</v>
      </c>
      <c r="B7064" t="str">
        <f>"1578729462360104"</f>
        <v>1578729462360104</v>
      </c>
      <c r="C7064" t="s">
        <v>37</v>
      </c>
      <c r="D7064">
        <v>4.7267700000000001</v>
      </c>
      <c r="E7064">
        <v>0.49699470000000001</v>
      </c>
      <c r="F7064" t="s">
        <v>38</v>
      </c>
      <c r="G7064">
        <v>-134.87989999999999</v>
      </c>
      <c r="H7064" s="1">
        <v>-3.4979450000000002E-6</v>
      </c>
      <c r="I7064">
        <v>132.9658</v>
      </c>
      <c r="J7064">
        <v>-147.75299999999999</v>
      </c>
      <c r="K7064">
        <v>1.1068119999999999</v>
      </c>
      <c r="L7064">
        <v>132.98429999999999</v>
      </c>
      <c r="M7064">
        <v>0.99571149999999997</v>
      </c>
      <c r="N7064">
        <v>0</v>
      </c>
      <c r="O7064">
        <v>-8.9207599999999998E-2</v>
      </c>
      <c r="P7064">
        <v>0.99959889999999996</v>
      </c>
      <c r="Q7064">
        <v>-2.662693E-2</v>
      </c>
      <c r="R7064">
        <v>-9.6661790000000004E-3</v>
      </c>
      <c r="S7064">
        <v>2.9943080000000002</v>
      </c>
      <c r="T7064">
        <v>-0.2554517</v>
      </c>
      <c r="U7064">
        <v>-5.813599E-3</v>
      </c>
      <c r="V7064">
        <v>-7.956821E-2</v>
      </c>
      <c r="W7064">
        <v>-2.3006820000000001E-3</v>
      </c>
      <c r="X7064">
        <v>0.99682680000000001</v>
      </c>
      <c r="Y7064">
        <v>-8.6662160000000002E-2</v>
      </c>
      <c r="Z7064">
        <v>1.12812E-2</v>
      </c>
      <c r="AA7064">
        <v>0.99617389999999995</v>
      </c>
      <c r="AB7064">
        <v>11</v>
      </c>
      <c r="AC7064">
        <v>12.8730999999999</v>
      </c>
      <c r="AD7064">
        <v>-1.106815497945</v>
      </c>
      <c r="AE7064">
        <v>-1.84999999999888E-2</v>
      </c>
      <c r="AF7064">
        <v>-1.12200292646938</v>
      </c>
      <c r="AG7064">
        <v>-1.106815497945</v>
      </c>
      <c r="AH7064">
        <v>12.7292960019912</v>
      </c>
      <c r="AI7064">
        <v>94.950287320780305</v>
      </c>
      <c r="AJ7064">
        <v>95.037224311496701</v>
      </c>
      <c r="AK7064">
        <v>12.826492420759701</v>
      </c>
    </row>
    <row r="7065" spans="1:37" x14ac:dyDescent="0.2">
      <c r="A7065" t="str">
        <f>"20200111155742391"</f>
        <v>20200111155742391</v>
      </c>
      <c r="B7065" t="str">
        <f>"1578729462380600"</f>
        <v>1578729462380600</v>
      </c>
      <c r="C7065" t="s">
        <v>37</v>
      </c>
      <c r="D7065">
        <v>4.7235379999999996</v>
      </c>
      <c r="E7065">
        <v>0.49694579999999899</v>
      </c>
      <c r="F7065" t="s">
        <v>38</v>
      </c>
      <c r="G7065">
        <v>-134.40350000000001</v>
      </c>
      <c r="H7065" s="1">
        <v>-3.656429E-6</v>
      </c>
      <c r="I7065">
        <v>132.9796</v>
      </c>
      <c r="J7065">
        <v>-147.6514</v>
      </c>
      <c r="K7065">
        <v>1.106697</v>
      </c>
      <c r="L7065">
        <v>132.97790000000001</v>
      </c>
      <c r="M7065">
        <v>0.99591939999999901</v>
      </c>
      <c r="N7065">
        <v>0</v>
      </c>
      <c r="O7065">
        <v>-8.6924080000000001E-2</v>
      </c>
      <c r="P7065">
        <v>0.99961690000000003</v>
      </c>
      <c r="Q7065">
        <v>-2.6561660000000001E-2</v>
      </c>
      <c r="R7065">
        <v>-7.7834489999999996E-3</v>
      </c>
      <c r="S7065">
        <v>2.9945680000000001</v>
      </c>
      <c r="T7065">
        <v>-0.24828040000000001</v>
      </c>
      <c r="U7065">
        <v>-1.0681149999999999E-3</v>
      </c>
      <c r="V7065">
        <v>-7.9159389999999996E-2</v>
      </c>
      <c r="W7065">
        <v>-2.4654479999999999E-3</v>
      </c>
      <c r="X7065">
        <v>0.99685889999999999</v>
      </c>
      <c r="Y7065">
        <v>-8.600149E-2</v>
      </c>
      <c r="Z7065">
        <v>1.07488999999999E-2</v>
      </c>
      <c r="AA7065">
        <v>0.99623700000000004</v>
      </c>
      <c r="AB7065">
        <v>11</v>
      </c>
      <c r="AC7065">
        <v>13.2478999999999</v>
      </c>
      <c r="AD7065">
        <v>-1.1067006564290001</v>
      </c>
      <c r="AE7065">
        <v>1.6999999999995901E-3</v>
      </c>
      <c r="AF7065">
        <v>-1.14559958015508</v>
      </c>
      <c r="AG7065">
        <v>-1.1067006564290001</v>
      </c>
      <c r="AH7065">
        <v>13.106116566320701</v>
      </c>
      <c r="AI7065">
        <v>94.808445624261495</v>
      </c>
      <c r="AJ7065">
        <v>94.995500787660603</v>
      </c>
      <c r="AK7065">
        <v>13.202555668921701</v>
      </c>
    </row>
    <row r="7066" spans="1:37" x14ac:dyDescent="0.2">
      <c r="A7066" t="str">
        <f>"20200111155742414"</f>
        <v>20200111155742414</v>
      </c>
      <c r="B7066" t="str">
        <f>"1578729462410858"</f>
        <v>1578729462410858</v>
      </c>
      <c r="C7066" t="s">
        <v>37</v>
      </c>
      <c r="D7066">
        <v>4.7564760000000001</v>
      </c>
      <c r="E7066">
        <v>0.49642239999999999</v>
      </c>
      <c r="F7066" t="s">
        <v>38</v>
      </c>
      <c r="G7066">
        <v>-133.9743</v>
      </c>
      <c r="H7066" s="1">
        <v>-3.7972109999999999E-6</v>
      </c>
      <c r="I7066">
        <v>132.99940000000001</v>
      </c>
      <c r="J7066">
        <v>-147.5461</v>
      </c>
      <c r="K7066">
        <v>1.106641</v>
      </c>
      <c r="L7066">
        <v>132.97139999999999</v>
      </c>
      <c r="M7066">
        <v>0.99611479999999997</v>
      </c>
      <c r="N7066">
        <v>0</v>
      </c>
      <c r="O7066">
        <v>-8.4730860000000005E-2</v>
      </c>
      <c r="P7066">
        <v>0.99961109999999898</v>
      </c>
      <c r="Q7066">
        <v>-2.7122540000000001E-2</v>
      </c>
      <c r="R7066">
        <v>-6.4988040000000004E-3</v>
      </c>
      <c r="S7066">
        <v>2.9947360000000001</v>
      </c>
      <c r="T7066">
        <v>-0.2423235</v>
      </c>
      <c r="U7066">
        <v>4.7149660000000001E-3</v>
      </c>
      <c r="V7066">
        <v>-7.8243199999999999E-2</v>
      </c>
      <c r="W7066">
        <v>-3.2848759999999999E-3</v>
      </c>
      <c r="X7066">
        <v>0.99692890000000001</v>
      </c>
      <c r="Y7066">
        <v>-8.5767060000000006E-2</v>
      </c>
      <c r="Z7066">
        <v>1.0305160000000001E-2</v>
      </c>
      <c r="AA7066">
        <v>0.99626190000000003</v>
      </c>
      <c r="AB7066">
        <v>10</v>
      </c>
      <c r="AC7066">
        <v>13.5717999999999</v>
      </c>
      <c r="AD7066">
        <v>-1.1066447972110001</v>
      </c>
      <c r="AE7066">
        <v>2.8000000000019998E-2</v>
      </c>
      <c r="AF7066">
        <v>-1.17039917039514</v>
      </c>
      <c r="AG7066">
        <v>-1.1066447972110001</v>
      </c>
      <c r="AH7066">
        <v>13.431291533504201</v>
      </c>
      <c r="AI7066">
        <v>94.692431595745205</v>
      </c>
      <c r="AJ7066">
        <v>94.980159068954407</v>
      </c>
      <c r="AK7066">
        <v>13.5275307866305</v>
      </c>
    </row>
    <row r="7067" spans="1:37" x14ac:dyDescent="0.2">
      <c r="A7067" t="str">
        <f>"20200111155742436"</f>
        <v>20200111155742436</v>
      </c>
      <c r="B7067" t="str">
        <f>"1578729462430377"</f>
        <v>1578729462430377</v>
      </c>
      <c r="C7067" t="s">
        <v>37</v>
      </c>
      <c r="D7067">
        <v>4.9150919999999996</v>
      </c>
      <c r="E7067">
        <v>0.49592370000000002</v>
      </c>
      <c r="F7067" t="s">
        <v>38</v>
      </c>
      <c r="G7067">
        <v>-133.3262</v>
      </c>
      <c r="H7067" s="1">
        <v>-4.013501E-6</v>
      </c>
      <c r="I7067">
        <v>133.0307</v>
      </c>
      <c r="J7067">
        <v>-147.44970000000001</v>
      </c>
      <c r="K7067">
        <v>1.1066069999999999</v>
      </c>
      <c r="L7067">
        <v>132.9657</v>
      </c>
      <c r="M7067">
        <v>0.99628220000000001</v>
      </c>
      <c r="N7067">
        <v>0</v>
      </c>
      <c r="O7067">
        <v>-8.2800490000000004E-2</v>
      </c>
      <c r="P7067">
        <v>0.99958199999999997</v>
      </c>
      <c r="Q7067">
        <v>-2.842884E-2</v>
      </c>
      <c r="R7067">
        <v>-5.2859419999999897E-3</v>
      </c>
      <c r="S7067">
        <v>2.9949189999999999</v>
      </c>
      <c r="T7067">
        <v>-0.23307539999999999</v>
      </c>
      <c r="U7067">
        <v>1.249695E-2</v>
      </c>
      <c r="V7067">
        <v>-7.751632E-2</v>
      </c>
      <c r="W7067">
        <v>-4.8012330000000002E-3</v>
      </c>
      <c r="X7067">
        <v>0.99697950000000002</v>
      </c>
      <c r="Y7067">
        <v>-8.6470060000000001E-2</v>
      </c>
      <c r="Z7067">
        <v>9.7902449999999995E-3</v>
      </c>
      <c r="AA7067">
        <v>0.99620629999999999</v>
      </c>
      <c r="AB7067">
        <v>10</v>
      </c>
      <c r="AC7067">
        <v>14.1235</v>
      </c>
      <c r="AD7067">
        <v>-1.1066110135009899</v>
      </c>
      <c r="AE7067">
        <v>6.4999999999997699E-2</v>
      </c>
      <c r="AF7067">
        <v>-1.22700782489039</v>
      </c>
      <c r="AG7067">
        <v>-1.1066110135009899</v>
      </c>
      <c r="AH7067">
        <v>13.9837449610571</v>
      </c>
      <c r="AI7067">
        <v>94.507455227721593</v>
      </c>
      <c r="AJ7067">
        <v>95.014591874446793</v>
      </c>
      <c r="AK7067">
        <v>14.081024794858999</v>
      </c>
    </row>
    <row r="7068" spans="1:37" x14ac:dyDescent="0.2">
      <c r="A7068" t="str">
        <f>"20200111155742457"</f>
        <v>20200111155742457</v>
      </c>
      <c r="B7068" t="str">
        <f>"1578729462450873"</f>
        <v>1578729462450873</v>
      </c>
      <c r="C7068" t="s">
        <v>37</v>
      </c>
      <c r="D7068">
        <v>4.709918</v>
      </c>
      <c r="E7068">
        <v>0.4957609</v>
      </c>
      <c r="F7068" t="s">
        <v>38</v>
      </c>
      <c r="G7068">
        <v>-133.11660000000001</v>
      </c>
      <c r="H7068" s="1">
        <v>-4.0979469999999996E-6</v>
      </c>
      <c r="I7068">
        <v>133.0617</v>
      </c>
      <c r="J7068">
        <v>-147.35489999999999</v>
      </c>
      <c r="K7068">
        <v>1.1065750000000001</v>
      </c>
      <c r="L7068">
        <v>132.96019999999999</v>
      </c>
      <c r="M7068">
        <v>0.99644519999999903</v>
      </c>
      <c r="N7068">
        <v>0</v>
      </c>
      <c r="O7068">
        <v>-8.0882640000000006E-2</v>
      </c>
      <c r="P7068">
        <v>0.99956929999999999</v>
      </c>
      <c r="Q7068">
        <v>-2.9044489999999999E-2</v>
      </c>
      <c r="R7068">
        <v>-4.2438420000000003E-3</v>
      </c>
      <c r="S7068">
        <v>2.9947810000000001</v>
      </c>
      <c r="T7068">
        <v>-0.2312158</v>
      </c>
      <c r="U7068">
        <v>2.0065309999999999E-2</v>
      </c>
      <c r="V7068">
        <v>-7.6634569999999999E-2</v>
      </c>
      <c r="W7068">
        <v>-5.6377569999999898E-3</v>
      </c>
      <c r="X7068">
        <v>0.99704329999999997</v>
      </c>
      <c r="Y7068">
        <v>-8.7081660000000005E-2</v>
      </c>
      <c r="Z7068">
        <v>9.5889129999999993E-3</v>
      </c>
      <c r="AA7068">
        <v>0.99615499999999901</v>
      </c>
      <c r="AB7068">
        <v>10</v>
      </c>
      <c r="AC7068">
        <v>14.238299999999899</v>
      </c>
      <c r="AD7068">
        <v>-1.106579097947</v>
      </c>
      <c r="AE7068">
        <v>0.10150000000001499</v>
      </c>
      <c r="AF7068">
        <v>-1.24559503113625</v>
      </c>
      <c r="AG7068">
        <v>-1.106579097947</v>
      </c>
      <c r="AH7068">
        <v>14.098260812629601</v>
      </c>
      <c r="AI7068">
        <v>94.470627552340105</v>
      </c>
      <c r="AJ7068">
        <v>95.049027593496803</v>
      </c>
      <c r="AK7068">
        <v>14.196372150043601</v>
      </c>
    </row>
    <row r="7069" spans="1:37" x14ac:dyDescent="0.2">
      <c r="A7069" t="str">
        <f>"20200111155742480"</f>
        <v>20200111155742480</v>
      </c>
      <c r="B7069" t="str">
        <f>"1578729462470393"</f>
        <v>1578729462470393</v>
      </c>
      <c r="C7069" t="s">
        <v>37</v>
      </c>
      <c r="D7069">
        <v>4.6647280000000002</v>
      </c>
      <c r="E7069">
        <v>0.49565680000000001</v>
      </c>
      <c r="F7069" t="s">
        <v>38</v>
      </c>
      <c r="G7069">
        <v>-132.85390000000001</v>
      </c>
      <c r="H7069" s="1">
        <v>-4.2077270000000001E-6</v>
      </c>
      <c r="I7069">
        <v>133.078</v>
      </c>
      <c r="J7069">
        <v>-147.25989999999999</v>
      </c>
      <c r="K7069">
        <v>1.106519</v>
      </c>
      <c r="L7069">
        <v>132.95500000000001</v>
      </c>
      <c r="M7069">
        <v>0.99661149999999998</v>
      </c>
      <c r="N7069">
        <v>0</v>
      </c>
      <c r="O7069">
        <v>-7.8900990000000004E-2</v>
      </c>
      <c r="P7069">
        <v>0.99959480000000001</v>
      </c>
      <c r="Q7069">
        <v>-2.836588E-2</v>
      </c>
      <c r="R7069">
        <v>-2.4233869999999999E-3</v>
      </c>
      <c r="S7069">
        <v>2.9947360000000001</v>
      </c>
      <c r="T7069">
        <v>-0.22852919999999999</v>
      </c>
      <c r="U7069">
        <v>2.4322509999999999E-2</v>
      </c>
      <c r="V7069">
        <v>-7.6468800000000003E-2</v>
      </c>
      <c r="W7069">
        <v>-5.2718929999999997E-3</v>
      </c>
      <c r="X7069">
        <v>0.997058</v>
      </c>
      <c r="Y7069">
        <v>-8.6535109999999998E-2</v>
      </c>
      <c r="Z7069">
        <v>9.3064350000000001E-3</v>
      </c>
      <c r="AA7069">
        <v>0.99620529999999996</v>
      </c>
      <c r="AB7069">
        <v>10</v>
      </c>
      <c r="AC7069">
        <v>14.405999999999899</v>
      </c>
      <c r="AD7069">
        <v>-1.106523207727</v>
      </c>
      <c r="AE7069">
        <v>0.12299999999999001</v>
      </c>
      <c r="AF7069">
        <v>-1.25218405721619</v>
      </c>
      <c r="AG7069">
        <v>-1.106523207727</v>
      </c>
      <c r="AH7069">
        <v>14.267190086724799</v>
      </c>
      <c r="AI7069">
        <v>94.417906738421706</v>
      </c>
      <c r="AJ7069">
        <v>95.015808387953101</v>
      </c>
      <c r="AK7069">
        <v>14.3647161995329</v>
      </c>
    </row>
    <row r="7070" spans="1:37" x14ac:dyDescent="0.2">
      <c r="A7070" t="str">
        <f>"20200111155742503"</f>
        <v>20200111155742503</v>
      </c>
      <c r="B7070" t="str">
        <f>"1578729462500648"</f>
        <v>1578729462500648</v>
      </c>
      <c r="C7070" t="s">
        <v>37</v>
      </c>
      <c r="D7070">
        <v>4.7602919999999997</v>
      </c>
      <c r="E7070">
        <v>0.49526809999999899</v>
      </c>
      <c r="F7070" t="s">
        <v>38</v>
      </c>
      <c r="G7070">
        <v>-132.40960000000001</v>
      </c>
      <c r="H7070" s="1">
        <v>-4.393279E-6</v>
      </c>
      <c r="I7070">
        <v>133.10659999999999</v>
      </c>
      <c r="J7070">
        <v>-147.1609</v>
      </c>
      <c r="K7070">
        <v>1.106452</v>
      </c>
      <c r="L7070">
        <v>132.9496</v>
      </c>
      <c r="M7070">
        <v>0.99678609999999901</v>
      </c>
      <c r="N7070">
        <v>0</v>
      </c>
      <c r="O7070">
        <v>-7.6807219999999995E-2</v>
      </c>
      <c r="P7070">
        <v>0.99964259999999905</v>
      </c>
      <c r="Q7070">
        <v>-2.6722260000000001E-2</v>
      </c>
      <c r="R7070">
        <v>-1.120064E-3</v>
      </c>
      <c r="S7070">
        <v>2.9949650000000001</v>
      </c>
      <c r="T7070">
        <v>-0.2231592</v>
      </c>
      <c r="U7070">
        <v>3.0578609999999999E-2</v>
      </c>
      <c r="V7070">
        <v>-7.5679029999999994E-2</v>
      </c>
      <c r="W7070">
        <v>-4.0962890000000004E-3</v>
      </c>
      <c r="X7070">
        <v>0.9971238</v>
      </c>
      <c r="Y7070">
        <v>-8.6549799999999996E-2</v>
      </c>
      <c r="Z7070">
        <v>8.9326839999999998E-3</v>
      </c>
      <c r="AA7070">
        <v>0.99620750000000002</v>
      </c>
      <c r="AB7070">
        <v>10</v>
      </c>
      <c r="AC7070">
        <v>14.751299999999899</v>
      </c>
      <c r="AD7070">
        <v>-1.1064563932789999</v>
      </c>
      <c r="AE7070">
        <v>0.15699999999998199</v>
      </c>
      <c r="AF7070">
        <v>-1.28262060754777</v>
      </c>
      <c r="AG7070">
        <v>-1.1064563932789999</v>
      </c>
      <c r="AH7070">
        <v>14.613432196208599</v>
      </c>
      <c r="AI7070">
        <v>94.313370587208993</v>
      </c>
      <c r="AJ7070">
        <v>95.015995248006305</v>
      </c>
      <c r="AK7070">
        <v>14.7112800913558</v>
      </c>
    </row>
    <row r="7071" spans="1:37" x14ac:dyDescent="0.2">
      <c r="A7071" t="str">
        <f>"20200111155742527"</f>
        <v>20200111155742527</v>
      </c>
      <c r="B7071" t="str">
        <f>"1578729462520169"</f>
        <v>1578729462520169</v>
      </c>
      <c r="C7071" t="s">
        <v>37</v>
      </c>
      <c r="D7071">
        <v>4.5612519999999996</v>
      </c>
      <c r="E7071">
        <v>0.49530429999999998</v>
      </c>
      <c r="F7071" t="s">
        <v>38</v>
      </c>
      <c r="G7071">
        <v>-131.57050000000001</v>
      </c>
      <c r="H7071" s="1">
        <v>-4.7465850000000002E-6</v>
      </c>
      <c r="I7071">
        <v>133.14400000000001</v>
      </c>
      <c r="J7071">
        <v>-147.0633</v>
      </c>
      <c r="K7071">
        <v>1.1063719999999999</v>
      </c>
      <c r="L7071">
        <v>132.94460000000001</v>
      </c>
      <c r="M7071">
        <v>0.99695560000000005</v>
      </c>
      <c r="N7071">
        <v>0</v>
      </c>
      <c r="O7071">
        <v>-7.4755799999999997E-2</v>
      </c>
      <c r="P7071">
        <v>0.99969769999999902</v>
      </c>
      <c r="Q7071">
        <v>-2.4579230000000001E-2</v>
      </c>
      <c r="R7071">
        <v>4.2660669999999899E-4</v>
      </c>
      <c r="S7071">
        <v>2.995422</v>
      </c>
      <c r="T7071">
        <v>-0.21258640000000001</v>
      </c>
      <c r="U7071">
        <v>3.7353520000000001E-2</v>
      </c>
      <c r="V7071">
        <v>-7.5174459999999999E-2</v>
      </c>
      <c r="W7071">
        <v>-2.5554649999999998E-3</v>
      </c>
      <c r="X7071">
        <v>0.99716709999999997</v>
      </c>
      <c r="Y7071">
        <v>-8.6796520000000002E-2</v>
      </c>
      <c r="Z7071">
        <v>8.3727869999999996E-3</v>
      </c>
      <c r="AA7071">
        <v>0.99619080000000004</v>
      </c>
      <c r="AB7071">
        <v>10</v>
      </c>
      <c r="AC7071">
        <v>15.4927999999999</v>
      </c>
      <c r="AD7071">
        <v>-1.1063767465849901</v>
      </c>
      <c r="AE7071">
        <v>0.199399999999997</v>
      </c>
      <c r="AF7071">
        <v>-1.35041732456104</v>
      </c>
      <c r="AG7071">
        <v>-1.1063767465849901</v>
      </c>
      <c r="AH7071">
        <v>15.3562184107676</v>
      </c>
      <c r="AI7071">
        <v>94.105107661444606</v>
      </c>
      <c r="AJ7071">
        <v>95.025630680163104</v>
      </c>
      <c r="AK7071">
        <v>15.455133138703699</v>
      </c>
    </row>
    <row r="7072" spans="1:37" x14ac:dyDescent="0.2">
      <c r="A7072" t="str">
        <f>"20200111155742550"</f>
        <v>20200111155742550</v>
      </c>
      <c r="B7072" t="str">
        <f>"1578729462540665"</f>
        <v>1578729462540665</v>
      </c>
      <c r="C7072" t="s">
        <v>37</v>
      </c>
      <c r="D7072">
        <v>5.0488559999999998</v>
      </c>
      <c r="E7072">
        <v>0.5258564</v>
      </c>
      <c r="F7072" t="s">
        <v>38</v>
      </c>
      <c r="G7072">
        <v>-130.96360000000001</v>
      </c>
      <c r="H7072" s="1">
        <v>-5.002663E-6</v>
      </c>
      <c r="I7072">
        <v>133.16829999999999</v>
      </c>
      <c r="J7072">
        <v>-146.9691</v>
      </c>
      <c r="K7072">
        <v>1.1062920000000001</v>
      </c>
      <c r="L7072">
        <v>132.93989999999999</v>
      </c>
      <c r="M7072">
        <v>0.99711530000000004</v>
      </c>
      <c r="N7072">
        <v>0</v>
      </c>
      <c r="O7072">
        <v>-7.2794719999999993E-2</v>
      </c>
      <c r="P7072">
        <v>0.99973080000000003</v>
      </c>
      <c r="Q7072">
        <v>-2.3163429999999999E-2</v>
      </c>
      <c r="R7072">
        <v>1.389621E-3</v>
      </c>
      <c r="S7072">
        <v>2.9958339999999999</v>
      </c>
      <c r="T7072">
        <v>-0.20587429999999901</v>
      </c>
      <c r="U7072">
        <v>4.162598E-2</v>
      </c>
      <c r="V7072">
        <v>-7.4176010000000001E-2</v>
      </c>
      <c r="W7072">
        <v>-1.804361E-3</v>
      </c>
      <c r="X7072">
        <v>0.99724349999999995</v>
      </c>
      <c r="Y7072">
        <v>-8.6285879999999995E-2</v>
      </c>
      <c r="Z7072">
        <v>7.9559539999999995E-3</v>
      </c>
      <c r="AA7072">
        <v>0.99623859999999997</v>
      </c>
      <c r="AB7072">
        <v>9</v>
      </c>
      <c r="AC7072">
        <v>16.005499999999898</v>
      </c>
      <c r="AD7072">
        <v>-1.1062970026629999</v>
      </c>
      <c r="AE7072">
        <v>0.228399999999993</v>
      </c>
      <c r="AF7072">
        <v>-1.38655590452578</v>
      </c>
      <c r="AG7072">
        <v>-1.1062970026629999</v>
      </c>
      <c r="AH7072">
        <v>15.8705797132217</v>
      </c>
      <c r="AI7072">
        <v>93.972407217024397</v>
      </c>
      <c r="AJ7072">
        <v>94.993049706709101</v>
      </c>
      <c r="AK7072">
        <v>15.9693998249214</v>
      </c>
    </row>
    <row r="7073" spans="1:37" x14ac:dyDescent="0.2">
      <c r="A7073" t="str">
        <f>"20200111155742571"</f>
        <v>20200111155742571</v>
      </c>
      <c r="B7073" t="str">
        <f>"1578729462560185"</f>
        <v>1578729462560185</v>
      </c>
      <c r="C7073" t="s">
        <v>37</v>
      </c>
      <c r="D7073">
        <v>4.9279149999999996</v>
      </c>
      <c r="E7073">
        <v>0.56625000000000003</v>
      </c>
      <c r="F7073" t="s">
        <v>40</v>
      </c>
      <c r="G7073">
        <v>-146.22020000000001</v>
      </c>
      <c r="H7073">
        <v>1.011749</v>
      </c>
      <c r="I7073">
        <v>132.89099999999999</v>
      </c>
      <c r="J7073">
        <v>-146.8777</v>
      </c>
      <c r="K7073">
        <v>1.1062069999999999</v>
      </c>
      <c r="L7073">
        <v>132.93559999999999</v>
      </c>
      <c r="M7073">
        <v>0.99726769999999998</v>
      </c>
      <c r="N7073">
        <v>0</v>
      </c>
      <c r="O7073">
        <v>-7.0891770000000007E-2</v>
      </c>
      <c r="P7073">
        <v>0.99975149999999902</v>
      </c>
      <c r="Q7073">
        <v>-2.220714E-2</v>
      </c>
      <c r="R7073">
        <v>1.973692E-3</v>
      </c>
      <c r="S7073">
        <v>2.9923099999999998</v>
      </c>
      <c r="T7073">
        <v>-0.3779054</v>
      </c>
      <c r="U7073">
        <v>-0.19519039999999999</v>
      </c>
      <c r="V7073">
        <v>-7.2856409999999996E-2</v>
      </c>
      <c r="W7073">
        <v>-1.5676139999999999E-3</v>
      </c>
      <c r="X7073">
        <v>0.99734120000000004</v>
      </c>
      <c r="Y7073">
        <v>-5.2273700000000003E-3</v>
      </c>
      <c r="Z7073">
        <v>9.2279089999999994E-3</v>
      </c>
      <c r="AA7073">
        <v>0.99994369999999999</v>
      </c>
      <c r="AB7073">
        <v>9</v>
      </c>
      <c r="AC7073">
        <v>0.65749999999999797</v>
      </c>
      <c r="AD7073">
        <v>-9.4457999999999903E-2</v>
      </c>
      <c r="AE7073">
        <v>-4.4600000000002603E-2</v>
      </c>
      <c r="AF7073">
        <v>-2.0907075207400299E-3</v>
      </c>
      <c r="AG7073">
        <v>-9.4457999999999903E-2</v>
      </c>
      <c r="AH7073">
        <v>0.64574115153553002</v>
      </c>
      <c r="AI7073">
        <v>98.322071305740906</v>
      </c>
      <c r="AJ7073">
        <v>90.185505133575703</v>
      </c>
      <c r="AK7073">
        <v>0.65261651803212095</v>
      </c>
    </row>
    <row r="7074" spans="1:37" x14ac:dyDescent="0.2">
      <c r="A7074" t="str">
        <f>"20200111155742592"</f>
        <v>20200111155742592</v>
      </c>
      <c r="B7074" t="str">
        <f>"1578729462580681"</f>
        <v>1578729462580681</v>
      </c>
      <c r="C7074" t="s">
        <v>37</v>
      </c>
      <c r="D7074">
        <v>4.9130919999999998</v>
      </c>
      <c r="E7074">
        <v>0.56978030000000002</v>
      </c>
      <c r="F7074" t="s">
        <v>40</v>
      </c>
      <c r="G7074">
        <v>-146.1703</v>
      </c>
      <c r="H7074">
        <v>0.95924589999999998</v>
      </c>
      <c r="I7074">
        <v>132.81469999999999</v>
      </c>
      <c r="J7074">
        <v>-146.79150000000001</v>
      </c>
      <c r="K7074">
        <v>1.1061159999999901</v>
      </c>
      <c r="L7074">
        <v>132.9316</v>
      </c>
      <c r="M7074">
        <v>0.99740960000000001</v>
      </c>
      <c r="N7074">
        <v>0</v>
      </c>
      <c r="O7074">
        <v>-6.9082249999999998E-2</v>
      </c>
      <c r="P7074">
        <v>0.99977919999999998</v>
      </c>
      <c r="Q7074">
        <v>-2.0857770000000001E-2</v>
      </c>
      <c r="R7074">
        <v>2.5691970000000001E-3</v>
      </c>
      <c r="S7074">
        <v>2.9879609999999999</v>
      </c>
      <c r="T7074">
        <v>-0.62091719999999995</v>
      </c>
      <c r="U7074">
        <v>-0.5105286</v>
      </c>
      <c r="V7074">
        <v>-7.1643230000000002E-2</v>
      </c>
      <c r="W7074">
        <v>-9.5028630000000005E-4</v>
      </c>
      <c r="X7074">
        <v>0.99742980000000003</v>
      </c>
      <c r="Y7074">
        <v>9.9282830000000002E-2</v>
      </c>
      <c r="Z7074">
        <v>3.9432690000000001E-3</v>
      </c>
      <c r="AA7074">
        <v>0.99505140000000003</v>
      </c>
      <c r="AB7074">
        <v>9</v>
      </c>
      <c r="AC7074">
        <v>0.62120000000001596</v>
      </c>
      <c r="AD7074">
        <v>-0.146870099999999</v>
      </c>
      <c r="AE7074">
        <v>-0.11690000000001501</v>
      </c>
      <c r="AF7074">
        <v>6.9923144332657297E-2</v>
      </c>
      <c r="AG7074">
        <v>-0.146870099999999</v>
      </c>
      <c r="AH7074">
        <v>0.59563600153502405</v>
      </c>
      <c r="AI7074">
        <v>103.760639293395</v>
      </c>
      <c r="AJ7074">
        <v>83.304554865051699</v>
      </c>
      <c r="AK7074">
        <v>0.61744823160489104</v>
      </c>
    </row>
    <row r="7075" spans="1:37" x14ac:dyDescent="0.2">
      <c r="A7075" t="str">
        <f>"20200111155742614"</f>
        <v>20200111155742614</v>
      </c>
      <c r="B7075" t="str">
        <f>"1578729462610938"</f>
        <v>1578729462610938</v>
      </c>
      <c r="C7075" t="s">
        <v>37</v>
      </c>
      <c r="D7075">
        <v>4.9295479999999996</v>
      </c>
      <c r="E7075">
        <v>0.57075719999999996</v>
      </c>
      <c r="F7075" t="s">
        <v>40</v>
      </c>
      <c r="G7075">
        <v>-146.09010000000001</v>
      </c>
      <c r="H7075">
        <v>0.95514429999999995</v>
      </c>
      <c r="I7075">
        <v>132.8056</v>
      </c>
      <c r="J7075">
        <v>-146.6996</v>
      </c>
      <c r="K7075">
        <v>1.1060209999999999</v>
      </c>
      <c r="L7075">
        <v>132.92760000000001</v>
      </c>
      <c r="M7075">
        <v>0.9975579</v>
      </c>
      <c r="N7075">
        <v>0</v>
      </c>
      <c r="O7075">
        <v>-6.7140909999999998E-2</v>
      </c>
      <c r="P7075">
        <v>0.99978769999999995</v>
      </c>
      <c r="Q7075">
        <v>-2.0352459999999999E-2</v>
      </c>
      <c r="R7075">
        <v>3.24660099999999E-3</v>
      </c>
      <c r="S7075">
        <v>2.988632</v>
      </c>
      <c r="T7075">
        <v>-0.6433238</v>
      </c>
      <c r="U7075">
        <v>-0.53671259999999998</v>
      </c>
      <c r="V7075">
        <v>-7.0377079999999995E-2</v>
      </c>
      <c r="W7075">
        <v>-1.2269869999999999E-3</v>
      </c>
      <c r="X7075">
        <v>0.99751970000000001</v>
      </c>
      <c r="Y7075">
        <v>0.1093271</v>
      </c>
      <c r="Z7075">
        <v>2.6086659999999999E-3</v>
      </c>
      <c r="AA7075">
        <v>0.99400239999999995</v>
      </c>
      <c r="AB7075">
        <v>9</v>
      </c>
      <c r="AC7075">
        <v>0.60949999999999704</v>
      </c>
      <c r="AD7075">
        <v>-0.150876699999999</v>
      </c>
      <c r="AE7075">
        <v>-0.122000000000014</v>
      </c>
      <c r="AF7075">
        <v>7.6299357819624797E-2</v>
      </c>
      <c r="AG7075">
        <v>-0.150876699999999</v>
      </c>
      <c r="AH7075">
        <v>0.58202598919856396</v>
      </c>
      <c r="AI7075">
        <v>104.41457881853999</v>
      </c>
      <c r="AJ7075">
        <v>82.531529927496805</v>
      </c>
      <c r="AK7075">
        <v>0.606085491254447</v>
      </c>
    </row>
    <row r="7076" spans="1:37" x14ac:dyDescent="0.2">
      <c r="A7076" t="str">
        <f>"20200111155742637"</f>
        <v>20200111155742637</v>
      </c>
      <c r="B7076" t="str">
        <f>"1578729462630456"</f>
        <v>1578729462630456</v>
      </c>
      <c r="C7076" t="s">
        <v>37</v>
      </c>
      <c r="D7076">
        <v>4.94285</v>
      </c>
      <c r="E7076">
        <v>0.57084369999999995</v>
      </c>
      <c r="F7076" t="s">
        <v>40</v>
      </c>
      <c r="G7076">
        <v>-146.00790000000001</v>
      </c>
      <c r="H7076">
        <v>0.95450230000000003</v>
      </c>
      <c r="I7076">
        <v>132.80179999999999</v>
      </c>
      <c r="J7076">
        <v>-146.6086</v>
      </c>
      <c r="K7076">
        <v>1.1059459999999901</v>
      </c>
      <c r="L7076">
        <v>132.9237</v>
      </c>
      <c r="M7076">
        <v>0.99769869999999905</v>
      </c>
      <c r="N7076">
        <v>0</v>
      </c>
      <c r="O7076">
        <v>-6.5225489999999997E-2</v>
      </c>
      <c r="P7076">
        <v>0.99976509999999996</v>
      </c>
      <c r="Q7076">
        <v>-2.1305169999999998E-2</v>
      </c>
      <c r="R7076">
        <v>4.0196279999999999E-3</v>
      </c>
      <c r="S7076">
        <v>2.9890590000000001</v>
      </c>
      <c r="T7076">
        <v>-0.65506430000000004</v>
      </c>
      <c r="U7076">
        <v>-0.54270940000000001</v>
      </c>
      <c r="V7076">
        <v>-6.9229509999999994E-2</v>
      </c>
      <c r="W7076">
        <v>-2.8996629999999998E-3</v>
      </c>
      <c r="X7076">
        <v>0.99759660000000006</v>
      </c>
      <c r="Y7076">
        <v>0.112981</v>
      </c>
      <c r="Z7076">
        <v>1.8515889999999901E-3</v>
      </c>
      <c r="AA7076">
        <v>0.99359540000000002</v>
      </c>
      <c r="AB7076">
        <v>9</v>
      </c>
      <c r="AC7076">
        <v>0.60069999999998902</v>
      </c>
      <c r="AD7076">
        <v>-0.15144369999999899</v>
      </c>
      <c r="AE7076">
        <v>-0.12190000000001</v>
      </c>
      <c r="AF7076">
        <v>7.7708804739645906E-2</v>
      </c>
      <c r="AG7076">
        <v>-0.15144369999999899</v>
      </c>
      <c r="AH7076">
        <v>0.572427997921239</v>
      </c>
      <c r="AI7076">
        <v>104.690031164838</v>
      </c>
      <c r="AJ7076">
        <v>82.269186269638098</v>
      </c>
      <c r="AK7076">
        <v>0.59719985382439</v>
      </c>
    </row>
    <row r="7077" spans="1:37" x14ac:dyDescent="0.2">
      <c r="A7077" t="str">
        <f>"20200111155742659"</f>
        <v>20200111155742659</v>
      </c>
      <c r="B7077" t="str">
        <f>"1578729462649977"</f>
        <v>1578729462649977</v>
      </c>
      <c r="C7077" t="s">
        <v>37</v>
      </c>
      <c r="D7077">
        <v>4.9372030000000002</v>
      </c>
      <c r="E7077">
        <v>0.570936</v>
      </c>
      <c r="F7077" t="s">
        <v>40</v>
      </c>
      <c r="G7077">
        <v>-145.9255</v>
      </c>
      <c r="H7077">
        <v>0.95448459999999902</v>
      </c>
      <c r="I7077">
        <v>132.80000000000001</v>
      </c>
      <c r="J7077">
        <v>-146.5162</v>
      </c>
      <c r="K7077">
        <v>1.105899</v>
      </c>
      <c r="L7077">
        <v>132.91999999999999</v>
      </c>
      <c r="M7077">
        <v>0.99783449999999996</v>
      </c>
      <c r="N7077">
        <v>0</v>
      </c>
      <c r="O7077">
        <v>-6.330007E-2</v>
      </c>
      <c r="P7077">
        <v>0.99975630000000004</v>
      </c>
      <c r="Q7077">
        <v>-2.133881E-2</v>
      </c>
      <c r="R7077">
        <v>5.6607189999999998E-3</v>
      </c>
      <c r="S7077">
        <v>2.9887540000000001</v>
      </c>
      <c r="T7077">
        <v>-0.66269639999999996</v>
      </c>
      <c r="U7077">
        <v>-0.54132080000000005</v>
      </c>
      <c r="V7077">
        <v>-6.8940600000000005E-2</v>
      </c>
      <c r="W7077">
        <v>-3.5854009999999898E-3</v>
      </c>
      <c r="X7077">
        <v>0.99761429999999995</v>
      </c>
      <c r="Y7077">
        <v>0.1143663</v>
      </c>
      <c r="Z7077">
        <v>1.3055199999999999E-3</v>
      </c>
      <c r="AA7077">
        <v>0.99343780000000004</v>
      </c>
      <c r="AB7077">
        <v>9</v>
      </c>
      <c r="AC7077">
        <v>0.590699999999998</v>
      </c>
      <c r="AD7077">
        <v>-0.1514144</v>
      </c>
      <c r="AE7077">
        <v>-0.119999999999976</v>
      </c>
      <c r="AF7077">
        <v>7.7473289475243304E-2</v>
      </c>
      <c r="AG7077">
        <v>-0.1514144</v>
      </c>
      <c r="AH7077">
        <v>0.56167018130496504</v>
      </c>
      <c r="AI7077">
        <v>104.95194200236701</v>
      </c>
      <c r="AJ7077">
        <v>82.146532503133997</v>
      </c>
      <c r="AK7077">
        <v>0.58685758381112096</v>
      </c>
    </row>
    <row r="7078" spans="1:37" x14ac:dyDescent="0.2">
      <c r="A7078" t="str">
        <f>"20200111155742681"</f>
        <v>20200111155742681</v>
      </c>
      <c r="B7078" t="str">
        <f>"1578729462670472"</f>
        <v>1578729462670472</v>
      </c>
      <c r="C7078" t="s">
        <v>37</v>
      </c>
      <c r="D7078">
        <v>5.0294600000000003</v>
      </c>
      <c r="E7078">
        <v>0.57101939999999995</v>
      </c>
      <c r="F7078" t="s">
        <v>40</v>
      </c>
      <c r="G7078">
        <v>-145.76949999999999</v>
      </c>
      <c r="H7078">
        <v>0.93858399999999997</v>
      </c>
      <c r="I7078">
        <v>132.78569999999999</v>
      </c>
      <c r="J7078">
        <v>-146.42599999999999</v>
      </c>
      <c r="K7078">
        <v>1.10586299999999</v>
      </c>
      <c r="L7078">
        <v>132.91650000000001</v>
      </c>
      <c r="M7078">
        <v>0.9979616</v>
      </c>
      <c r="N7078">
        <v>0</v>
      </c>
      <c r="O7078">
        <v>-6.1426050000000003E-2</v>
      </c>
      <c r="P7078">
        <v>0.99973959999999995</v>
      </c>
      <c r="Q7078">
        <v>-2.1564920000000001E-2</v>
      </c>
      <c r="R7078">
        <v>7.4492909999999898E-3</v>
      </c>
      <c r="S7078">
        <v>2.989487</v>
      </c>
      <c r="T7078">
        <v>-0.67009819999999998</v>
      </c>
      <c r="U7078">
        <v>-0.53721619999999903</v>
      </c>
      <c r="V7078">
        <v>-6.8850019999999998E-2</v>
      </c>
      <c r="W7078">
        <v>-4.3797819999999996E-3</v>
      </c>
      <c r="X7078">
        <v>0.99761739999999999</v>
      </c>
      <c r="Y7078">
        <v>0.1147871</v>
      </c>
      <c r="Z7078">
        <v>8.633267E-4</v>
      </c>
      <c r="AA7078">
        <v>0.99338969999999904</v>
      </c>
      <c r="AB7078">
        <v>9</v>
      </c>
      <c r="AC7078">
        <v>0.65650000000002195</v>
      </c>
      <c r="AD7078">
        <v>-0.16727899999999901</v>
      </c>
      <c r="AE7078">
        <v>-0.13080000000002101</v>
      </c>
      <c r="AF7078">
        <v>8.4917875216572E-2</v>
      </c>
      <c r="AG7078">
        <v>-0.16727899999999901</v>
      </c>
      <c r="AH7078">
        <v>0.62430978322803699</v>
      </c>
      <c r="AI7078">
        <v>104.86886104937101</v>
      </c>
      <c r="AJ7078">
        <v>82.254231165481798</v>
      </c>
      <c r="AK7078">
        <v>0.65188650454395503</v>
      </c>
    </row>
    <row r="7079" spans="1:37" x14ac:dyDescent="0.2">
      <c r="A7079" t="str">
        <f>"20200111155742703"</f>
        <v>20200111155742703</v>
      </c>
      <c r="B7079" t="str">
        <f>"1578729462700728"</f>
        <v>1578729462700728</v>
      </c>
      <c r="C7079" t="s">
        <v>37</v>
      </c>
      <c r="D7079">
        <v>5.0645720000000001</v>
      </c>
      <c r="E7079">
        <v>0.57086239999999999</v>
      </c>
      <c r="F7079" t="s">
        <v>40</v>
      </c>
      <c r="G7079">
        <v>-145.68729999999999</v>
      </c>
      <c r="H7079">
        <v>0.93914629999999999</v>
      </c>
      <c r="I7079">
        <v>132.78479999999999</v>
      </c>
      <c r="J7079">
        <v>-146.3349</v>
      </c>
      <c r="K7079">
        <v>1.1058379999999901</v>
      </c>
      <c r="L7079">
        <v>132.91319999999999</v>
      </c>
      <c r="M7079">
        <v>0.99808549999999996</v>
      </c>
      <c r="N7079">
        <v>0</v>
      </c>
      <c r="O7079">
        <v>-5.9531939999999998E-2</v>
      </c>
      <c r="P7079">
        <v>0.99974580000000002</v>
      </c>
      <c r="Q7079">
        <v>-2.0542069999999999E-2</v>
      </c>
      <c r="R7079">
        <v>9.3197119999999904E-3</v>
      </c>
      <c r="S7079">
        <v>2.990189</v>
      </c>
      <c r="T7079">
        <v>-0.67496820000000002</v>
      </c>
      <c r="U7079">
        <v>-0.53292850000000003</v>
      </c>
      <c r="V7079">
        <v>-6.8824460000000004E-2</v>
      </c>
      <c r="W7079">
        <v>-3.8767139999999999E-3</v>
      </c>
      <c r="X7079">
        <v>0.99762119999999999</v>
      </c>
      <c r="Y7079">
        <v>0.115178</v>
      </c>
      <c r="Z7079">
        <v>4.0872119999999998E-4</v>
      </c>
      <c r="AA7079">
        <v>0.99334480000000003</v>
      </c>
      <c r="AB7079">
        <v>9</v>
      </c>
      <c r="AC7079">
        <v>0.64760000000001094</v>
      </c>
      <c r="AD7079">
        <v>-0.166691699999999</v>
      </c>
      <c r="AE7079">
        <v>-0.12839999999999899</v>
      </c>
      <c r="AF7079">
        <v>8.4243516538303406E-2</v>
      </c>
      <c r="AG7079">
        <v>-0.166691699999999</v>
      </c>
      <c r="AH7079">
        <v>0.61489740149502803</v>
      </c>
      <c r="AI7079">
        <v>105.033701106298</v>
      </c>
      <c r="AJ7079">
        <v>82.198806409750105</v>
      </c>
      <c r="AK7079">
        <v>0.64263668374359595</v>
      </c>
    </row>
    <row r="7080" spans="1:37" x14ac:dyDescent="0.2">
      <c r="A7080" t="str">
        <f>"20200111155742727"</f>
        <v>20200111155742727</v>
      </c>
      <c r="B7080" t="str">
        <f>"1578729462720248"</f>
        <v>1578729462720248</v>
      </c>
      <c r="C7080" t="s">
        <v>37</v>
      </c>
      <c r="D7080">
        <v>5.0322149999999999</v>
      </c>
      <c r="E7080">
        <v>0.57084939999999995</v>
      </c>
      <c r="F7080" t="s">
        <v>40</v>
      </c>
      <c r="G7080">
        <v>-145.6045</v>
      </c>
      <c r="H7080">
        <v>0.94110049999999901</v>
      </c>
      <c r="I7080">
        <v>132.78479999999999</v>
      </c>
      <c r="J7080">
        <v>-146.23840000000001</v>
      </c>
      <c r="K7080">
        <v>1.1058190000000001</v>
      </c>
      <c r="L7080">
        <v>132.90979999999999</v>
      </c>
      <c r="M7080">
        <v>0.99821139999999997</v>
      </c>
      <c r="N7080">
        <v>0</v>
      </c>
      <c r="O7080">
        <v>-5.7524980000000003E-2</v>
      </c>
      <c r="P7080">
        <v>0.99975249999999904</v>
      </c>
      <c r="Q7080">
        <v>-1.952452E-2</v>
      </c>
      <c r="R7080">
        <v>1.066547E-2</v>
      </c>
      <c r="S7080">
        <v>2.991806</v>
      </c>
      <c r="T7080">
        <v>-0.67502680000000004</v>
      </c>
      <c r="U7080">
        <v>-0.52542109999999997</v>
      </c>
      <c r="V7080">
        <v>-6.8162399999999901E-2</v>
      </c>
      <c r="W7080">
        <v>-3.3517600000000001E-3</v>
      </c>
      <c r="X7080">
        <v>0.99766860000000002</v>
      </c>
      <c r="Y7080">
        <v>0.1146305</v>
      </c>
      <c r="Z7080" s="1">
        <v>2.7026049999999999E-5</v>
      </c>
      <c r="AA7080">
        <v>0.99340819999999996</v>
      </c>
      <c r="AB7080">
        <v>9</v>
      </c>
      <c r="AC7080">
        <v>0.63390000000001101</v>
      </c>
      <c r="AD7080">
        <v>-0.16471849999999999</v>
      </c>
      <c r="AE7080">
        <v>-0.125</v>
      </c>
      <c r="AF7080">
        <v>8.2932866764277705E-2</v>
      </c>
      <c r="AG7080">
        <v>-0.16471849999999999</v>
      </c>
      <c r="AH7080">
        <v>0.60098119136292105</v>
      </c>
      <c r="AI7080">
        <v>105.19016416275799</v>
      </c>
      <c r="AJ7080">
        <v>82.143046483927293</v>
      </c>
      <c r="AK7080">
        <v>0.62864014905507504</v>
      </c>
    </row>
    <row r="7081" spans="1:37" x14ac:dyDescent="0.2">
      <c r="A7081" t="str">
        <f>"20200111155742748"</f>
        <v>20200111155742748</v>
      </c>
      <c r="B7081" t="str">
        <f>"1578729462740743"</f>
        <v>1578729462740743</v>
      </c>
      <c r="C7081" t="s">
        <v>37</v>
      </c>
      <c r="D7081">
        <v>5.0586519999999897</v>
      </c>
      <c r="E7081">
        <v>0.57081059999999995</v>
      </c>
      <c r="F7081" t="s">
        <v>40</v>
      </c>
      <c r="G7081">
        <v>-145.5213</v>
      </c>
      <c r="H7081">
        <v>0.94413670000000005</v>
      </c>
      <c r="I7081">
        <v>132.785</v>
      </c>
      <c r="J7081">
        <v>-146.15280000000001</v>
      </c>
      <c r="K7081">
        <v>1.105807</v>
      </c>
      <c r="L7081">
        <v>132.90700000000001</v>
      </c>
      <c r="M7081">
        <v>0.99831800000000004</v>
      </c>
      <c r="N7081">
        <v>0</v>
      </c>
      <c r="O7081">
        <v>-5.5754140000000001E-2</v>
      </c>
      <c r="P7081">
        <v>0.99975159999999996</v>
      </c>
      <c r="Q7081">
        <v>-1.910332E-2</v>
      </c>
      <c r="R7081">
        <v>1.148359E-2</v>
      </c>
      <c r="S7081">
        <v>2.9931179999999999</v>
      </c>
      <c r="T7081">
        <v>-0.67511119999999902</v>
      </c>
      <c r="U7081">
        <v>-0.52091980000000004</v>
      </c>
      <c r="V7081">
        <v>-6.7209989999999997E-2</v>
      </c>
      <c r="W7081">
        <v>-3.3159859999999999E-3</v>
      </c>
      <c r="X7081">
        <v>0.99773339999999999</v>
      </c>
      <c r="Y7081">
        <v>0.11482149999999899</v>
      </c>
      <c r="Z7081">
        <v>-3.8429719999999998E-4</v>
      </c>
      <c r="AA7081">
        <v>0.99338609999999905</v>
      </c>
      <c r="AB7081">
        <v>9</v>
      </c>
      <c r="AC7081">
        <v>0.63150000000001605</v>
      </c>
      <c r="AD7081">
        <v>-0.16167029999999899</v>
      </c>
      <c r="AE7081">
        <v>-0.122000000000014</v>
      </c>
      <c r="AF7081">
        <v>8.1450700925630296E-2</v>
      </c>
      <c r="AG7081">
        <v>-0.16167029999999899</v>
      </c>
      <c r="AH7081">
        <v>0.59944559447840595</v>
      </c>
      <c r="AI7081">
        <v>104.962295077045</v>
      </c>
      <c r="AJ7081">
        <v>82.262224744241905</v>
      </c>
      <c r="AK7081">
        <v>0.62618409698980404</v>
      </c>
    </row>
    <row r="7082" spans="1:37" x14ac:dyDescent="0.2">
      <c r="A7082" t="str">
        <f>"20200111155742771"</f>
        <v>20200111155742771</v>
      </c>
      <c r="B7082" t="str">
        <f>"1578729462760265"</f>
        <v>1578729462760265</v>
      </c>
      <c r="C7082" t="s">
        <v>37</v>
      </c>
      <c r="D7082">
        <v>5.0735669999999997</v>
      </c>
      <c r="E7082">
        <v>0.57072880000000004</v>
      </c>
      <c r="F7082" t="s">
        <v>40</v>
      </c>
      <c r="G7082">
        <v>-145.43950000000001</v>
      </c>
      <c r="H7082">
        <v>0.94517929999999994</v>
      </c>
      <c r="I7082">
        <v>132.7834</v>
      </c>
      <c r="J7082">
        <v>-146.0634</v>
      </c>
      <c r="K7082">
        <v>1.1057999999999999</v>
      </c>
      <c r="L7082">
        <v>132.9042</v>
      </c>
      <c r="M7082">
        <v>0.99842509999999995</v>
      </c>
      <c r="N7082">
        <v>0</v>
      </c>
      <c r="O7082">
        <v>-5.3910599999999899E-2</v>
      </c>
      <c r="P7082">
        <v>0.99976209999999899</v>
      </c>
      <c r="Q7082">
        <v>-1.7690689999999998E-2</v>
      </c>
      <c r="R7082">
        <v>1.276558E-2</v>
      </c>
      <c r="S7082">
        <v>2.9938199999999999</v>
      </c>
      <c r="T7082">
        <v>-0.67420150000000001</v>
      </c>
      <c r="U7082">
        <v>-0.51873779999999903</v>
      </c>
      <c r="V7082">
        <v>-6.6648769999999996E-2</v>
      </c>
      <c r="W7082">
        <v>-2.2577769999999999E-3</v>
      </c>
      <c r="X7082">
        <v>0.99777389999999999</v>
      </c>
      <c r="Y7082">
        <v>0.1158481</v>
      </c>
      <c r="Z7082">
        <v>-9.0283159999999998E-4</v>
      </c>
      <c r="AA7082">
        <v>0.99326650000000005</v>
      </c>
      <c r="AB7082">
        <v>9</v>
      </c>
      <c r="AC7082">
        <v>0.62389999999999102</v>
      </c>
      <c r="AD7082">
        <v>-0.16062069999999901</v>
      </c>
      <c r="AE7082">
        <v>-0.120800000000002</v>
      </c>
      <c r="AF7082">
        <v>8.1762147277898295E-2</v>
      </c>
      <c r="AG7082">
        <v>-0.16062069999999901</v>
      </c>
      <c r="AH7082">
        <v>0.59170538475557599</v>
      </c>
      <c r="AI7082">
        <v>105.050753021527</v>
      </c>
      <c r="AJ7082">
        <v>82.132660574586495</v>
      </c>
      <c r="AK7082">
        <v>0.61854613437053096</v>
      </c>
    </row>
    <row r="7083" spans="1:37" x14ac:dyDescent="0.2">
      <c r="A7083" t="str">
        <f>"20200111155742793"</f>
        <v>20200111155742793</v>
      </c>
      <c r="B7083" t="str">
        <f>"1578729462790521"</f>
        <v>1578729462790521</v>
      </c>
      <c r="C7083" t="s">
        <v>37</v>
      </c>
      <c r="D7083">
        <v>4.8654929999999998</v>
      </c>
      <c r="E7083">
        <v>0.5711465</v>
      </c>
      <c r="F7083" t="s">
        <v>40</v>
      </c>
      <c r="G7083">
        <v>-145.357</v>
      </c>
      <c r="H7083">
        <v>0.947685</v>
      </c>
      <c r="I7083">
        <v>132.78270000000001</v>
      </c>
      <c r="J7083">
        <v>-145.97040000000001</v>
      </c>
      <c r="K7083">
        <v>1.105799</v>
      </c>
      <c r="L7083">
        <v>132.9015</v>
      </c>
      <c r="M7083">
        <v>0.99853130000000001</v>
      </c>
      <c r="N7083">
        <v>0</v>
      </c>
      <c r="O7083">
        <v>-5.1998910000000002E-2</v>
      </c>
      <c r="P7083">
        <v>0.99975999999999998</v>
      </c>
      <c r="Q7083">
        <v>-1.6717260000000001E-2</v>
      </c>
      <c r="R7083">
        <v>1.4159659999999999E-2</v>
      </c>
      <c r="S7083">
        <v>2.995438</v>
      </c>
      <c r="T7083">
        <v>-0.67076020000000003</v>
      </c>
      <c r="U7083">
        <v>-0.51487729999999998</v>
      </c>
      <c r="V7083">
        <v>-6.6131200000000001E-2</v>
      </c>
      <c r="W7083">
        <v>-1.6061739999999999E-3</v>
      </c>
      <c r="X7083">
        <v>0.99780959999999996</v>
      </c>
      <c r="Y7083">
        <v>0.11637409999999999</v>
      </c>
      <c r="Z7083">
        <v>-1.3742170000000001E-3</v>
      </c>
      <c r="AA7083">
        <v>0.99320450000000005</v>
      </c>
      <c r="AB7083">
        <v>9</v>
      </c>
      <c r="AC7083">
        <v>0.61340000000001205</v>
      </c>
      <c r="AD7083">
        <v>-0.15811399999999901</v>
      </c>
      <c r="AE7083">
        <v>-0.11879999999999299</v>
      </c>
      <c r="AF7083">
        <v>8.1518840093249306E-2</v>
      </c>
      <c r="AG7083">
        <v>-0.15811399999999901</v>
      </c>
      <c r="AH7083">
        <v>0.58150758458210505</v>
      </c>
      <c r="AI7083">
        <v>105.070617064353</v>
      </c>
      <c r="AJ7083">
        <v>82.0199746482363</v>
      </c>
      <c r="AK7083">
        <v>0.608108895850622</v>
      </c>
    </row>
    <row r="7084" spans="1:37" x14ac:dyDescent="0.2">
      <c r="A7084" t="str">
        <f>"20200111155742815"</f>
        <v>20200111155742815</v>
      </c>
      <c r="B7084" t="str">
        <f>"1578729462810040"</f>
        <v>1578729462810040</v>
      </c>
      <c r="C7084" t="s">
        <v>37</v>
      </c>
      <c r="D7084">
        <v>4.8379059999999896</v>
      </c>
      <c r="E7084">
        <v>0.57173419999999997</v>
      </c>
      <c r="F7084" t="s">
        <v>40</v>
      </c>
      <c r="G7084">
        <v>-145.27430000000001</v>
      </c>
      <c r="H7084">
        <v>0.95091870000000001</v>
      </c>
      <c r="I7084">
        <v>132.78200000000001</v>
      </c>
      <c r="J7084">
        <v>-145.87860000000001</v>
      </c>
      <c r="K7084">
        <v>1.1057889999999999</v>
      </c>
      <c r="L7084">
        <v>132.899</v>
      </c>
      <c r="M7084">
        <v>0.99863199999999996</v>
      </c>
      <c r="N7084">
        <v>0</v>
      </c>
      <c r="O7084">
        <v>-5.01138E-2</v>
      </c>
      <c r="P7084">
        <v>0.99972989999999995</v>
      </c>
      <c r="Q7084">
        <v>-1.6735440000000001E-2</v>
      </c>
      <c r="R7084">
        <v>1.6133270000000002E-2</v>
      </c>
      <c r="S7084">
        <v>2.9968409999999999</v>
      </c>
      <c r="T7084">
        <v>-0.66703219999999996</v>
      </c>
      <c r="U7084">
        <v>-0.51411439999999997</v>
      </c>
      <c r="V7084">
        <v>-6.6216800000000006E-2</v>
      </c>
      <c r="W7084">
        <v>-1.90323799999999E-3</v>
      </c>
      <c r="X7084">
        <v>0.99780340000000001</v>
      </c>
      <c r="Y7084">
        <v>0.1178636</v>
      </c>
      <c r="Z7084">
        <v>-1.939185E-3</v>
      </c>
      <c r="AA7084">
        <v>0.99302789999999996</v>
      </c>
      <c r="AB7084">
        <v>9</v>
      </c>
      <c r="AC7084">
        <v>0.60429999999999495</v>
      </c>
      <c r="AD7084">
        <v>-0.15487029999999899</v>
      </c>
      <c r="AE7084">
        <v>-0.11699999999999</v>
      </c>
      <c r="AF7084">
        <v>8.1411905511065905E-2</v>
      </c>
      <c r="AG7084">
        <v>-0.15487029999999899</v>
      </c>
      <c r="AH7084">
        <v>0.573122096949917</v>
      </c>
      <c r="AI7084">
        <v>104.977933985965</v>
      </c>
      <c r="AJ7084">
        <v>81.915232378645698</v>
      </c>
      <c r="AK7084">
        <v>0.59923421647407904</v>
      </c>
    </row>
    <row r="7085" spans="1:37" x14ac:dyDescent="0.2">
      <c r="A7085" t="str">
        <f>"20200111155742837"</f>
        <v>20200111155742837</v>
      </c>
      <c r="B7085" t="str">
        <f>"1578729462830536"</f>
        <v>1578729462830536</v>
      </c>
      <c r="C7085" t="s">
        <v>37</v>
      </c>
      <c r="D7085">
        <v>4.9896849999999997</v>
      </c>
      <c r="E7085">
        <v>0.57145990000000002</v>
      </c>
      <c r="F7085" t="s">
        <v>40</v>
      </c>
      <c r="G7085">
        <v>-145.19239999999999</v>
      </c>
      <c r="H7085">
        <v>0.95319959999999904</v>
      </c>
      <c r="I7085">
        <v>132.78149999999999</v>
      </c>
      <c r="J7085">
        <v>-145.7921</v>
      </c>
      <c r="K7085">
        <v>1.105774</v>
      </c>
      <c r="L7085">
        <v>132.89680000000001</v>
      </c>
      <c r="M7085">
        <v>0.99872289999999997</v>
      </c>
      <c r="N7085">
        <v>0</v>
      </c>
      <c r="O7085">
        <v>-4.833668E-2</v>
      </c>
      <c r="P7085">
        <v>0.99967059999999996</v>
      </c>
      <c r="Q7085">
        <v>-1.7988790000000001E-2</v>
      </c>
      <c r="R7085">
        <v>1.8301149999999999E-2</v>
      </c>
      <c r="S7085">
        <v>2.997925</v>
      </c>
      <c r="T7085">
        <v>-0.66676729999999995</v>
      </c>
      <c r="U7085">
        <v>-0.51275630000000005</v>
      </c>
      <c r="V7085">
        <v>-6.6602410000000001E-2</v>
      </c>
      <c r="W7085">
        <v>-3.3875089999999999E-3</v>
      </c>
      <c r="X7085">
        <v>0.99777380000000004</v>
      </c>
      <c r="Y7085">
        <v>0.1190652</v>
      </c>
      <c r="Z7085">
        <v>-2.4555610000000002E-3</v>
      </c>
      <c r="AA7085">
        <v>0.99288339999999997</v>
      </c>
      <c r="AB7085">
        <v>9</v>
      </c>
      <c r="AC7085">
        <v>0.599700000000012</v>
      </c>
      <c r="AD7085">
        <v>-0.1525744</v>
      </c>
      <c r="AE7085">
        <v>-0.115300000000019</v>
      </c>
      <c r="AF7085">
        <v>8.1111491111833897E-2</v>
      </c>
      <c r="AG7085">
        <v>-0.1525744</v>
      </c>
      <c r="AH7085">
        <v>0.569051859018465</v>
      </c>
      <c r="AI7085">
        <v>104.865645616062</v>
      </c>
      <c r="AJ7085">
        <v>81.887820520826395</v>
      </c>
      <c r="AK7085">
        <v>0.59470836531708204</v>
      </c>
    </row>
    <row r="7086" spans="1:37" x14ac:dyDescent="0.2">
      <c r="A7086" t="str">
        <f>"20200111155742860"</f>
        <v>20200111155742860</v>
      </c>
      <c r="B7086" t="str">
        <f>"1578729462850056"</f>
        <v>1578729462850056</v>
      </c>
      <c r="C7086" t="s">
        <v>37</v>
      </c>
      <c r="D7086">
        <v>4.9094800000000003</v>
      </c>
      <c r="E7086">
        <v>0.57124319999999995</v>
      </c>
      <c r="F7086" t="s">
        <v>40</v>
      </c>
      <c r="G7086">
        <v>-145.11160000000001</v>
      </c>
      <c r="H7086">
        <v>0.95317169999999896</v>
      </c>
      <c r="I7086">
        <v>132.7825</v>
      </c>
      <c r="J7086">
        <v>-145.70310000000001</v>
      </c>
      <c r="K7086">
        <v>1.1057619999999999</v>
      </c>
      <c r="L7086">
        <v>132.8946</v>
      </c>
      <c r="M7086">
        <v>0.9988127</v>
      </c>
      <c r="N7086">
        <v>0</v>
      </c>
      <c r="O7086">
        <v>-4.6510269999999999E-2</v>
      </c>
      <c r="P7086">
        <v>0.99960859999999996</v>
      </c>
      <c r="Q7086">
        <v>-1.9338640000000001E-2</v>
      </c>
      <c r="R7086">
        <v>2.021949E-2</v>
      </c>
      <c r="S7086">
        <v>2.9981080000000002</v>
      </c>
      <c r="T7086">
        <v>-0.67242690000000005</v>
      </c>
      <c r="U7086">
        <v>-0.50364690000000001</v>
      </c>
      <c r="V7086">
        <v>-6.6689520000000002E-2</v>
      </c>
      <c r="W7086">
        <v>-4.9437309999999998E-3</v>
      </c>
      <c r="X7086">
        <v>0.99776149999999997</v>
      </c>
      <c r="Y7086">
        <v>0.11789280000000001</v>
      </c>
      <c r="Z7086">
        <v>-2.7480400000000002E-3</v>
      </c>
      <c r="AA7086">
        <v>0.99302250000000003</v>
      </c>
      <c r="AB7086">
        <v>9</v>
      </c>
      <c r="AC7086">
        <v>0.59149999999999603</v>
      </c>
      <c r="AD7086">
        <v>-0.15259030000000001</v>
      </c>
      <c r="AE7086">
        <v>-0.11209999999999801</v>
      </c>
      <c r="AF7086">
        <v>7.9366294771030604E-2</v>
      </c>
      <c r="AG7086">
        <v>-0.15259030000000001</v>
      </c>
      <c r="AH7086">
        <v>0.56009260709876196</v>
      </c>
      <c r="AI7086">
        <v>105.095846317274</v>
      </c>
      <c r="AJ7086">
        <v>81.934763992628604</v>
      </c>
      <c r="AK7086">
        <v>0.58590659402882606</v>
      </c>
    </row>
    <row r="7087" spans="1:37" x14ac:dyDescent="0.2">
      <c r="A7087" t="str">
        <f>"20200111155742882"</f>
        <v>20200111155742882</v>
      </c>
      <c r="B7087" t="str">
        <f>"1578729462870553"</f>
        <v>1578729462870553</v>
      </c>
      <c r="C7087" t="s">
        <v>37</v>
      </c>
      <c r="D7087">
        <v>4.656892</v>
      </c>
      <c r="E7087">
        <v>0.57135329999999995</v>
      </c>
      <c r="F7087" t="s">
        <v>40</v>
      </c>
      <c r="G7087">
        <v>-144.9588</v>
      </c>
      <c r="H7087">
        <v>0.93753249999999999</v>
      </c>
      <c r="I7087">
        <v>132.77160000000001</v>
      </c>
      <c r="J7087">
        <v>-145.61259999999999</v>
      </c>
      <c r="K7087">
        <v>1.105761</v>
      </c>
      <c r="L7087">
        <v>132.89259999999999</v>
      </c>
      <c r="M7087">
        <v>0.99890000000000001</v>
      </c>
      <c r="N7087">
        <v>0</v>
      </c>
      <c r="O7087">
        <v>-4.4655649999999998E-2</v>
      </c>
      <c r="P7087">
        <v>0.99959159999999903</v>
      </c>
      <c r="Q7087">
        <v>-1.8522770000000001E-2</v>
      </c>
      <c r="R7087">
        <v>2.1769480000000001E-2</v>
      </c>
      <c r="S7087">
        <v>2.9980769999999999</v>
      </c>
      <c r="T7087">
        <v>-0.67768319999999904</v>
      </c>
      <c r="U7087">
        <v>-0.495376599999999</v>
      </c>
      <c r="V7087">
        <v>-6.638521E-2</v>
      </c>
      <c r="W7087">
        <v>-4.3079679999999997E-3</v>
      </c>
      <c r="X7087">
        <v>0.99778480000000003</v>
      </c>
      <c r="Y7087">
        <v>0.11702079999999999</v>
      </c>
      <c r="Z7087">
        <v>-3.0830649999999999E-3</v>
      </c>
      <c r="AA7087">
        <v>0.99312469999999997</v>
      </c>
      <c r="AB7087">
        <v>9</v>
      </c>
      <c r="AC7087">
        <v>0.65379999999998895</v>
      </c>
      <c r="AD7087">
        <v>-0.168228499999999</v>
      </c>
      <c r="AE7087">
        <v>-0.12099999999998</v>
      </c>
      <c r="AF7087">
        <v>8.6164575714680794E-2</v>
      </c>
      <c r="AG7087">
        <v>-0.168228499999999</v>
      </c>
      <c r="AH7087">
        <v>0.61893058234375697</v>
      </c>
      <c r="AI7087">
        <v>105.067318954081</v>
      </c>
      <c r="AJ7087">
        <v>82.074492884518804</v>
      </c>
      <c r="AK7087">
        <v>0.64714776371453497</v>
      </c>
    </row>
    <row r="7088" spans="1:37" x14ac:dyDescent="0.2">
      <c r="A7088" t="str">
        <f>"20200111155742905"</f>
        <v>20200111155742905</v>
      </c>
      <c r="B7088" t="str">
        <f>"1578729462900808"</f>
        <v>1578729462900808</v>
      </c>
      <c r="C7088" t="s">
        <v>37</v>
      </c>
      <c r="D7088">
        <v>4.7828189999999999</v>
      </c>
      <c r="E7088">
        <v>0.5716618</v>
      </c>
      <c r="F7088" t="s">
        <v>40</v>
      </c>
      <c r="G7088">
        <v>-144.87729999999999</v>
      </c>
      <c r="H7088">
        <v>0.94034899999999999</v>
      </c>
      <c r="I7088">
        <v>132.77199999999999</v>
      </c>
      <c r="J7088">
        <v>-145.5223</v>
      </c>
      <c r="K7088">
        <v>1.105761</v>
      </c>
      <c r="L7088">
        <v>132.89080000000001</v>
      </c>
      <c r="M7088">
        <v>0.99898330000000002</v>
      </c>
      <c r="N7088">
        <v>0</v>
      </c>
      <c r="O7088">
        <v>-4.280465E-2</v>
      </c>
      <c r="P7088">
        <v>0.99957929999999995</v>
      </c>
      <c r="Q7088">
        <v>-1.7525099999999998E-2</v>
      </c>
      <c r="R7088">
        <v>2.310883E-2</v>
      </c>
      <c r="S7088">
        <v>2.9994200000000002</v>
      </c>
      <c r="T7088">
        <v>-0.67490269999999997</v>
      </c>
      <c r="U7088">
        <v>-0.4917145</v>
      </c>
      <c r="V7088">
        <v>-6.5875379999999997E-2</v>
      </c>
      <c r="W7088">
        <v>-3.4659370000000001E-3</v>
      </c>
      <c r="X7088">
        <v>0.99782190000000004</v>
      </c>
      <c r="Y7088">
        <v>0.1175657</v>
      </c>
      <c r="Z7088">
        <v>-3.5375509999999999E-3</v>
      </c>
      <c r="AA7088">
        <v>0.99305880000000002</v>
      </c>
      <c r="AB7088">
        <v>9</v>
      </c>
      <c r="AC7088">
        <v>0.64500000000001001</v>
      </c>
      <c r="AD7088">
        <v>-0.165411999999999</v>
      </c>
      <c r="AE7088">
        <v>-0.11879999999999299</v>
      </c>
      <c r="AF7088">
        <v>8.5632258371554207E-2</v>
      </c>
      <c r="AG7088">
        <v>-0.165411999999999</v>
      </c>
      <c r="AH7088">
        <v>0.61065087935995899</v>
      </c>
      <c r="AI7088">
        <v>105.016263769643</v>
      </c>
      <c r="AJ7088">
        <v>82.0174022253033</v>
      </c>
      <c r="AK7088">
        <v>0.63842658926528395</v>
      </c>
    </row>
    <row r="7089" spans="1:37" x14ac:dyDescent="0.2">
      <c r="A7089" t="str">
        <f>"20200111155742928"</f>
        <v>20200111155742928</v>
      </c>
      <c r="B7089" t="str">
        <f>"1578729462920329"</f>
        <v>1578729462920329</v>
      </c>
      <c r="C7089" t="s">
        <v>37</v>
      </c>
      <c r="D7089">
        <v>4.5265909999999998</v>
      </c>
      <c r="E7089">
        <v>0.57204849999999996</v>
      </c>
      <c r="F7089" t="s">
        <v>40</v>
      </c>
      <c r="G7089">
        <v>-144.79570000000001</v>
      </c>
      <c r="H7089">
        <v>0.94359119999999996</v>
      </c>
      <c r="I7089">
        <v>132.77180000000001</v>
      </c>
      <c r="J7089">
        <v>-145.43260000000001</v>
      </c>
      <c r="K7089">
        <v>1.105764</v>
      </c>
      <c r="L7089">
        <v>132.88919999999999</v>
      </c>
      <c r="M7089">
        <v>0.99906219999999901</v>
      </c>
      <c r="N7089">
        <v>0</v>
      </c>
      <c r="O7089">
        <v>-4.0965700000000001E-2</v>
      </c>
      <c r="P7089">
        <v>0.99957299999999905</v>
      </c>
      <c r="Q7089">
        <v>-1.6258910000000001E-2</v>
      </c>
      <c r="R7089">
        <v>2.427824E-2</v>
      </c>
      <c r="S7089">
        <v>3.0008699999999999</v>
      </c>
      <c r="T7089">
        <v>-0.67012179999999999</v>
      </c>
      <c r="U7089">
        <v>-0.49089049999999901</v>
      </c>
      <c r="V7089">
        <v>-6.5208039999999995E-2</v>
      </c>
      <c r="W7089">
        <v>-2.3337000000000002E-3</v>
      </c>
      <c r="X7089">
        <v>0.99786900000000001</v>
      </c>
      <c r="Y7089">
        <v>0.11899949999999999</v>
      </c>
      <c r="Z7089">
        <v>-4.0708369999999999E-3</v>
      </c>
      <c r="AA7089">
        <v>0.99288589999999999</v>
      </c>
      <c r="AB7089">
        <v>9</v>
      </c>
      <c r="AC7089">
        <v>0.63689999999999702</v>
      </c>
      <c r="AD7089">
        <v>-0.16217279999999901</v>
      </c>
      <c r="AE7089">
        <v>-0.117399999999975</v>
      </c>
      <c r="AF7089">
        <v>8.5826083976281206E-2</v>
      </c>
      <c r="AG7089">
        <v>-0.16217279999999901</v>
      </c>
      <c r="AH7089">
        <v>0.60334248919433897</v>
      </c>
      <c r="AI7089">
        <v>104.901725239941</v>
      </c>
      <c r="AJ7089">
        <v>81.9039342945307</v>
      </c>
      <c r="AK7089">
        <v>0.63062531904274499</v>
      </c>
    </row>
    <row r="7090" spans="1:37" x14ac:dyDescent="0.2">
      <c r="A7090" t="str">
        <f>"20200111155742953"</f>
        <v>20200111155742953</v>
      </c>
      <c r="B7090" t="str">
        <f>"1578729462950585"</f>
        <v>1578729462950585</v>
      </c>
      <c r="C7090" t="s">
        <v>37</v>
      </c>
      <c r="D7090">
        <v>4.4703850000000003</v>
      </c>
      <c r="E7090">
        <v>0.5718763</v>
      </c>
      <c r="F7090" t="s">
        <v>40</v>
      </c>
      <c r="G7090">
        <v>-144.71440000000001</v>
      </c>
      <c r="H7090">
        <v>0.94679570000000002</v>
      </c>
      <c r="I7090">
        <v>132.77160000000001</v>
      </c>
      <c r="J7090">
        <v>-145.3312</v>
      </c>
      <c r="K7090">
        <v>1.1057459999999999</v>
      </c>
      <c r="L7090">
        <v>132.88749999999999</v>
      </c>
      <c r="M7090">
        <v>0.99914720000000001</v>
      </c>
      <c r="N7090">
        <v>0</v>
      </c>
      <c r="O7090">
        <v>-3.8887070000000003E-2</v>
      </c>
      <c r="P7090">
        <v>0.99954799999999999</v>
      </c>
      <c r="Q7090">
        <v>-1.6461139999999999E-2</v>
      </c>
      <c r="R7090">
        <v>2.5158420000000001E-2</v>
      </c>
      <c r="S7090">
        <v>3.0023650000000002</v>
      </c>
      <c r="T7090">
        <v>-0.66492390000000001</v>
      </c>
      <c r="U7090">
        <v>-0.4905853</v>
      </c>
      <c r="V7090">
        <v>-6.4009819999999995E-2</v>
      </c>
      <c r="W7090">
        <v>-2.6657690000000001E-3</v>
      </c>
      <c r="X7090">
        <v>0.99794570000000005</v>
      </c>
      <c r="Y7090">
        <v>0.12082569999999999</v>
      </c>
      <c r="Z7090">
        <v>-4.6876189999999996E-3</v>
      </c>
      <c r="AA7090">
        <v>0.99266270000000001</v>
      </c>
      <c r="AB7090">
        <v>9</v>
      </c>
      <c r="AC7090">
        <v>0.61679999999998303</v>
      </c>
      <c r="AD7090">
        <v>-0.15895029999999899</v>
      </c>
      <c r="AE7090">
        <v>-0.115899999999982</v>
      </c>
      <c r="AF7090">
        <v>8.6289409652485299E-2</v>
      </c>
      <c r="AG7090">
        <v>-0.15895029999999899</v>
      </c>
      <c r="AH7090">
        <v>0.58341738472378302</v>
      </c>
      <c r="AI7090">
        <v>105.083673955433</v>
      </c>
      <c r="AJ7090">
        <v>81.586753831789693</v>
      </c>
      <c r="AK7090">
        <v>0.61080840276325798</v>
      </c>
    </row>
    <row r="7091" spans="1:37" x14ac:dyDescent="0.2">
      <c r="A7091" t="str">
        <f>"20200111155742973"</f>
        <v>20200111155742973</v>
      </c>
      <c r="B7091" t="str">
        <f>"1578729462960344"</f>
        <v>1578729462960344</v>
      </c>
      <c r="C7091" t="s">
        <v>37</v>
      </c>
      <c r="D7091">
        <v>4.6494540000000004</v>
      </c>
      <c r="E7091">
        <v>0.57176210000000005</v>
      </c>
      <c r="F7091" t="s">
        <v>40</v>
      </c>
      <c r="G7091">
        <v>-144.6328</v>
      </c>
      <c r="H7091">
        <v>0.95098590000000005</v>
      </c>
      <c r="I7091">
        <v>132.77440000000001</v>
      </c>
      <c r="J7091">
        <v>-145.25229999999999</v>
      </c>
      <c r="K7091">
        <v>1.105734</v>
      </c>
      <c r="L7091">
        <v>132.88630000000001</v>
      </c>
      <c r="M7091">
        <v>0.99921009999999999</v>
      </c>
      <c r="N7091">
        <v>0</v>
      </c>
      <c r="O7091">
        <v>-3.7269190000000001E-2</v>
      </c>
      <c r="P7091">
        <v>0.99951399999999901</v>
      </c>
      <c r="Q7091">
        <v>-1.865497E-2</v>
      </c>
      <c r="R7091">
        <v>2.498098E-2</v>
      </c>
      <c r="S7091">
        <v>3.0026090000000001</v>
      </c>
      <c r="T7091">
        <v>-0.66547509999999999</v>
      </c>
      <c r="U7091">
        <v>-0.48576350000000001</v>
      </c>
      <c r="V7091">
        <v>-6.2213289999999997E-2</v>
      </c>
      <c r="W7091">
        <v>-4.94538599999999E-3</v>
      </c>
      <c r="X7091">
        <v>0.99805059999999901</v>
      </c>
      <c r="Y7091">
        <v>0.120825</v>
      </c>
      <c r="Z7091">
        <v>-5.0428790000000001E-3</v>
      </c>
      <c r="AA7091">
        <v>0.99266100000000002</v>
      </c>
      <c r="AB7091">
        <v>9</v>
      </c>
      <c r="AC7091">
        <v>0.61949999999998795</v>
      </c>
      <c r="AD7091">
        <v>-0.154748099999999</v>
      </c>
      <c r="AE7091">
        <v>-0.11189999999999101</v>
      </c>
      <c r="AF7091">
        <v>8.3675595439895695E-2</v>
      </c>
      <c r="AG7091">
        <v>-0.154748099999999</v>
      </c>
      <c r="AH7091">
        <v>0.587726338672102</v>
      </c>
      <c r="AI7091">
        <v>104.610220108173</v>
      </c>
      <c r="AJ7091">
        <v>81.897157288659599</v>
      </c>
      <c r="AK7091">
        <v>0.61349069177514404</v>
      </c>
    </row>
    <row r="7092" spans="1:37" x14ac:dyDescent="0.2">
      <c r="A7092" t="str">
        <f>"20200111155742994"</f>
        <v>20200111155742994</v>
      </c>
      <c r="B7092" t="str">
        <f>"1578729462990600"</f>
        <v>1578729462990600</v>
      </c>
      <c r="C7092" t="s">
        <v>37</v>
      </c>
      <c r="D7092">
        <v>4.6247850000000001</v>
      </c>
      <c r="E7092">
        <v>0.57131829999999995</v>
      </c>
      <c r="F7092" t="s">
        <v>40</v>
      </c>
      <c r="G7092">
        <v>-144.55430000000001</v>
      </c>
      <c r="H7092">
        <v>0.94937919999999998</v>
      </c>
      <c r="I7092">
        <v>132.77350000000001</v>
      </c>
      <c r="J7092">
        <v>-145.16849999999999</v>
      </c>
      <c r="K7092">
        <v>1.105712</v>
      </c>
      <c r="L7092">
        <v>132.8852</v>
      </c>
      <c r="M7092">
        <v>0.99927369999999904</v>
      </c>
      <c r="N7092">
        <v>0</v>
      </c>
      <c r="O7092">
        <v>-3.5551810000000003E-2</v>
      </c>
      <c r="P7092">
        <v>0.99945879999999998</v>
      </c>
      <c r="Q7092">
        <v>-2.0719189999999998E-2</v>
      </c>
      <c r="R7092">
        <v>2.554362E-2</v>
      </c>
      <c r="S7092">
        <v>3.0010379999999999</v>
      </c>
      <c r="T7092">
        <v>-0.67252539999999905</v>
      </c>
      <c r="U7092">
        <v>-0.48457339999999999</v>
      </c>
      <c r="V7092">
        <v>-6.1055999999999902E-2</v>
      </c>
      <c r="W7092">
        <v>-7.0907189999999997E-3</v>
      </c>
      <c r="X7092">
        <v>0.99810919999999903</v>
      </c>
      <c r="Y7092">
        <v>0.1221125</v>
      </c>
      <c r="Z7092">
        <v>-5.6164619999999896E-3</v>
      </c>
      <c r="AA7092">
        <v>0.99250039999999995</v>
      </c>
      <c r="AB7092">
        <v>9</v>
      </c>
      <c r="AC7092">
        <v>0.61419999999998198</v>
      </c>
      <c r="AD7092">
        <v>-0.15633279999999999</v>
      </c>
      <c r="AE7092">
        <v>-0.11169999999998401</v>
      </c>
      <c r="AF7092">
        <v>8.4492709175123207E-2</v>
      </c>
      <c r="AG7092">
        <v>-0.15633279999999999</v>
      </c>
      <c r="AH7092">
        <v>0.58132710194037196</v>
      </c>
      <c r="AI7092">
        <v>104.902582768976</v>
      </c>
      <c r="AJ7092">
        <v>81.730280597362693</v>
      </c>
      <c r="AK7092">
        <v>0.60788170042367895</v>
      </c>
    </row>
    <row r="7093" spans="1:37" x14ac:dyDescent="0.2">
      <c r="A7093" t="str">
        <f>"20200111155743016"</f>
        <v>20200111155743016</v>
      </c>
      <c r="B7093" t="str">
        <f>"1578729463010120"</f>
        <v>1578729463010120</v>
      </c>
      <c r="C7093" t="s">
        <v>37</v>
      </c>
      <c r="D7093">
        <v>4.6918179999999996</v>
      </c>
      <c r="E7093">
        <v>0.57147939999999997</v>
      </c>
      <c r="F7093" t="s">
        <v>40</v>
      </c>
      <c r="G7093">
        <v>-144.47540000000001</v>
      </c>
      <c r="H7093">
        <v>0.94883259999999903</v>
      </c>
      <c r="I7093">
        <v>132.77440000000001</v>
      </c>
      <c r="J7093">
        <v>-145.08000000000001</v>
      </c>
      <c r="K7093">
        <v>1.105702</v>
      </c>
      <c r="L7093">
        <v>132.88419999999999</v>
      </c>
      <c r="M7093">
        <v>0.9993379</v>
      </c>
      <c r="N7093">
        <v>0</v>
      </c>
      <c r="O7093">
        <v>-3.373698E-2</v>
      </c>
      <c r="P7093">
        <v>0.99940699999999905</v>
      </c>
      <c r="Q7093">
        <v>-2.240866E-2</v>
      </c>
      <c r="R7093">
        <v>2.6158170000000001E-2</v>
      </c>
      <c r="S7093">
        <v>2.9997859999999998</v>
      </c>
      <c r="T7093">
        <v>-0.67911899999999903</v>
      </c>
      <c r="U7093">
        <v>-0.47898859999999899</v>
      </c>
      <c r="V7093">
        <v>-5.9854810000000001E-2</v>
      </c>
      <c r="W7093">
        <v>-8.854565E-3</v>
      </c>
      <c r="X7093">
        <v>0.99816779999999905</v>
      </c>
      <c r="Y7093">
        <v>0.122090899999999</v>
      </c>
      <c r="Z7093">
        <v>-6.0733999999999996E-3</v>
      </c>
      <c r="AA7093">
        <v>0.99250039999999995</v>
      </c>
      <c r="AB7093">
        <v>9</v>
      </c>
      <c r="AC7093">
        <v>0.60460000000000402</v>
      </c>
      <c r="AD7093">
        <v>-0.15686939999999999</v>
      </c>
      <c r="AE7093">
        <v>-0.109799999999978</v>
      </c>
      <c r="AF7093">
        <v>8.3872258403867306E-2</v>
      </c>
      <c r="AG7093">
        <v>-0.15686939999999999</v>
      </c>
      <c r="AH7093">
        <v>0.57076375663383805</v>
      </c>
      <c r="AI7093">
        <v>105.21211305418601</v>
      </c>
      <c r="AJ7093">
        <v>81.640362111640897</v>
      </c>
      <c r="AK7093">
        <v>0.59784097406659598</v>
      </c>
    </row>
    <row r="7094" spans="1:37" x14ac:dyDescent="0.2">
      <c r="A7094" t="str">
        <f>"20200111155743038"</f>
        <v>20200111155743038</v>
      </c>
      <c r="B7094" t="str">
        <f>"1578729463030616"</f>
        <v>1578729463030616</v>
      </c>
      <c r="C7094" t="s">
        <v>37</v>
      </c>
      <c r="D7094">
        <v>4.5504879999999996</v>
      </c>
      <c r="E7094">
        <v>0.5703665</v>
      </c>
      <c r="F7094" t="s">
        <v>40</v>
      </c>
      <c r="G7094">
        <v>-144.39590000000001</v>
      </c>
      <c r="H7094">
        <v>0.9499919</v>
      </c>
      <c r="I7094">
        <v>132.77500000000001</v>
      </c>
      <c r="J7094">
        <v>-144.99359999999999</v>
      </c>
      <c r="K7094">
        <v>1.1057049999999999</v>
      </c>
      <c r="L7094">
        <v>132.88339999999999</v>
      </c>
      <c r="M7094">
        <v>0.99939679999999997</v>
      </c>
      <c r="N7094">
        <v>0</v>
      </c>
      <c r="O7094">
        <v>-3.1965010000000002E-2</v>
      </c>
      <c r="P7094">
        <v>0.99935669999999899</v>
      </c>
      <c r="Q7094">
        <v>-2.2700290000000001E-2</v>
      </c>
      <c r="R7094">
        <v>2.7766639999999999E-2</v>
      </c>
      <c r="S7094">
        <v>2.9990079999999999</v>
      </c>
      <c r="T7094">
        <v>-0.68277730000000003</v>
      </c>
      <c r="U7094">
        <v>-0.4784698</v>
      </c>
      <c r="V7094">
        <v>-5.9690890000000003E-2</v>
      </c>
      <c r="W7094">
        <v>-9.210668E-3</v>
      </c>
      <c r="X7094">
        <v>0.99817440000000002</v>
      </c>
      <c r="Y7094">
        <v>0.123616</v>
      </c>
      <c r="Z7094">
        <v>-6.6725819999999998E-3</v>
      </c>
      <c r="AA7094">
        <v>0.99230769999999902</v>
      </c>
      <c r="AB7094">
        <v>9</v>
      </c>
      <c r="AC7094">
        <v>0.59769999999997403</v>
      </c>
      <c r="AD7094">
        <v>-0.15571309999999899</v>
      </c>
      <c r="AE7094">
        <v>-0.10839999999998801</v>
      </c>
      <c r="AF7094">
        <v>8.3735146178748499E-2</v>
      </c>
      <c r="AG7094">
        <v>-0.15571309999999899</v>
      </c>
      <c r="AH7094">
        <v>0.56381197917243997</v>
      </c>
      <c r="AI7094">
        <v>105.279406618384</v>
      </c>
      <c r="AJ7094">
        <v>81.552403765592203</v>
      </c>
      <c r="AK7094">
        <v>0.59088246891876095</v>
      </c>
    </row>
    <row r="7095" spans="1:37" x14ac:dyDescent="0.2">
      <c r="A7095" t="str">
        <f>"20200111155743195"</f>
        <v>20200111155743195</v>
      </c>
      <c r="B7095" t="str">
        <f>"1578729463190681"</f>
        <v>1578729463190681</v>
      </c>
      <c r="C7095" t="s">
        <v>37</v>
      </c>
      <c r="D7095">
        <v>4.6513999999999998</v>
      </c>
      <c r="E7095">
        <v>0.50012639999999997</v>
      </c>
      <c r="F7095" t="s">
        <v>40</v>
      </c>
      <c r="G7095">
        <v>-144.31569999999999</v>
      </c>
      <c r="H7095">
        <v>0.95283899999999999</v>
      </c>
      <c r="I7095">
        <v>132.7784</v>
      </c>
      <c r="J7095">
        <v>-144.38310000000001</v>
      </c>
      <c r="K7095">
        <v>1.105642</v>
      </c>
      <c r="L7095">
        <v>132.88200000000001</v>
      </c>
      <c r="M7095">
        <v>0.99972240000000001</v>
      </c>
      <c r="N7095">
        <v>0</v>
      </c>
      <c r="O7095">
        <v>-1.945088E-2</v>
      </c>
      <c r="P7095">
        <v>0.99915540000000003</v>
      </c>
      <c r="Q7095">
        <v>-1.90157E-2</v>
      </c>
      <c r="R7095">
        <v>3.6431520000000002E-2</v>
      </c>
      <c r="S7095">
        <v>2.9994809999999998</v>
      </c>
      <c r="T7095">
        <v>-0.67636169999999995</v>
      </c>
      <c r="U7095">
        <v>-0.46449279999999998</v>
      </c>
      <c r="V7095">
        <v>-5.5855589999999997E-2</v>
      </c>
      <c r="W7095">
        <v>-5.7894969999999898E-3</v>
      </c>
      <c r="X7095">
        <v>0.99842209999999998</v>
      </c>
      <c r="Y7095">
        <v>0.1310462</v>
      </c>
      <c r="Z7095">
        <v>-1.020297E-2</v>
      </c>
      <c r="AA7095">
        <v>0.99132379999999998</v>
      </c>
      <c r="AB7095">
        <v>9</v>
      </c>
      <c r="AC7095">
        <v>6.7400000000020499E-2</v>
      </c>
      <c r="AD7095">
        <v>-0.15280299999999999</v>
      </c>
      <c r="AE7095">
        <v>-0.1036</v>
      </c>
      <c r="AF7095">
        <v>4.0446814884421499E-2</v>
      </c>
      <c r="AG7095">
        <v>-0.15280299999999999</v>
      </c>
      <c r="AH7095">
        <v>2.7448234729814301E-2</v>
      </c>
      <c r="AI7095">
        <v>162.260763140411</v>
      </c>
      <c r="AJ7095">
        <v>34.161810700623001</v>
      </c>
      <c r="AK7095">
        <v>0.16043100458788401</v>
      </c>
    </row>
    <row r="7096" spans="1:37" x14ac:dyDescent="0.2">
      <c r="A7096" t="str">
        <f>"20200111155743463"</f>
        <v>20200111155743463</v>
      </c>
      <c r="B7096" t="str">
        <f>"1578729463460057"</f>
        <v>1578729463460057</v>
      </c>
      <c r="C7096" t="s">
        <v>37</v>
      </c>
      <c r="D7096">
        <v>5.1582759999999999</v>
      </c>
      <c r="E7096">
        <v>0.49698149999999902</v>
      </c>
      <c r="F7096" t="s">
        <v>38</v>
      </c>
      <c r="G7096">
        <v>-130.7236</v>
      </c>
      <c r="H7096" s="1">
        <v>-5.0645069999999902E-6</v>
      </c>
      <c r="I7096">
        <v>133.3999</v>
      </c>
      <c r="J7096">
        <v>-143.37119999999999</v>
      </c>
      <c r="K7096">
        <v>1.105607</v>
      </c>
      <c r="L7096">
        <v>132.89660000000001</v>
      </c>
      <c r="M7096">
        <v>0.99991269999999999</v>
      </c>
      <c r="N7096">
        <v>0</v>
      </c>
      <c r="O7096">
        <v>1.255276E-3</v>
      </c>
      <c r="P7096">
        <v>0.99815679999999996</v>
      </c>
      <c r="Q7096">
        <v>-1.5815940000000001E-2</v>
      </c>
      <c r="R7096">
        <v>5.8590509999999998E-2</v>
      </c>
      <c r="S7096">
        <v>2.9937900000000002</v>
      </c>
      <c r="T7096">
        <v>-0.2423284</v>
      </c>
      <c r="U7096">
        <v>0.1135101</v>
      </c>
      <c r="V7096">
        <v>-5.7334999999999997E-2</v>
      </c>
      <c r="W7096">
        <v>-2.7339040000000001E-3</v>
      </c>
      <c r="X7096">
        <v>0.99835130000000005</v>
      </c>
      <c r="Y7096">
        <v>-3.6518290000000002E-2</v>
      </c>
      <c r="Z7096">
        <v>1.3736099999999999E-3</v>
      </c>
      <c r="AA7096">
        <v>0.999332</v>
      </c>
      <c r="AB7096">
        <v>8</v>
      </c>
      <c r="AC7096">
        <v>12.647599999999899</v>
      </c>
      <c r="AD7096">
        <v>-1.105612064507</v>
      </c>
      <c r="AE7096">
        <v>0.50329999999999497</v>
      </c>
      <c r="AF7096">
        <v>-0.48373132174220401</v>
      </c>
      <c r="AG7096">
        <v>-1.105612064507</v>
      </c>
      <c r="AH7096">
        <v>12.552451610694201</v>
      </c>
      <c r="AI7096">
        <v>95.029871993502596</v>
      </c>
      <c r="AJ7096">
        <v>92.206903968861496</v>
      </c>
      <c r="AK7096">
        <v>12.610329712883701</v>
      </c>
    </row>
    <row r="7097" spans="1:37" x14ac:dyDescent="0.2">
      <c r="A7097" t="str">
        <f>"20200111155743556"</f>
        <v>20200111155743556</v>
      </c>
      <c r="B7097" t="str">
        <f>"1578729463550824"</f>
        <v>1578729463550824</v>
      </c>
      <c r="C7097" t="s">
        <v>37</v>
      </c>
      <c r="D7097">
        <v>5.1422549999999996</v>
      </c>
      <c r="E7097">
        <v>0.495092699999999</v>
      </c>
      <c r="F7097" t="s">
        <v>38</v>
      </c>
      <c r="G7097">
        <v>-127.7092</v>
      </c>
      <c r="H7097" s="1">
        <v>-2.2694280000000002E-6</v>
      </c>
      <c r="I7097">
        <v>133.96449999999999</v>
      </c>
      <c r="J7097">
        <v>-143.02930000000001</v>
      </c>
      <c r="K7097">
        <v>1.1056029999999999</v>
      </c>
      <c r="L7097">
        <v>132.90629999999999</v>
      </c>
      <c r="M7097">
        <v>0.99987979999999999</v>
      </c>
      <c r="N7097">
        <v>0</v>
      </c>
      <c r="O7097">
        <v>8.2518899999999996E-3</v>
      </c>
      <c r="P7097">
        <v>0.99795619999999996</v>
      </c>
      <c r="Q7097">
        <v>-1.437535E-2</v>
      </c>
      <c r="R7097">
        <v>6.2265859999999999E-2</v>
      </c>
      <c r="S7097">
        <v>2.9902340000000001</v>
      </c>
      <c r="T7097">
        <v>-0.21108469999999999</v>
      </c>
      <c r="U7097">
        <v>0.20388789999999901</v>
      </c>
      <c r="V7097">
        <v>-5.4026780000000003E-2</v>
      </c>
      <c r="W7097">
        <v>-1.3081219999999899E-3</v>
      </c>
      <c r="X7097">
        <v>0.99853860000000005</v>
      </c>
      <c r="Y7097">
        <v>-5.9663529999999999E-2</v>
      </c>
      <c r="Z7097">
        <v>1.5196979999999899E-3</v>
      </c>
      <c r="AA7097">
        <v>0.99821740000000003</v>
      </c>
      <c r="AB7097">
        <v>8</v>
      </c>
      <c r="AC7097">
        <v>15.3201</v>
      </c>
      <c r="AD7097">
        <v>-1.1056052694280001</v>
      </c>
      <c r="AE7097">
        <v>1.05819999999999</v>
      </c>
      <c r="AF7097">
        <v>-0.92692870405484695</v>
      </c>
      <c r="AG7097">
        <v>-1.1056052694280001</v>
      </c>
      <c r="AH7097">
        <v>15.2492690206023</v>
      </c>
      <c r="AI7097">
        <v>94.139200014428994</v>
      </c>
      <c r="AJ7097">
        <v>93.478451162545696</v>
      </c>
      <c r="AK7097">
        <v>15.3173680995427</v>
      </c>
    </row>
    <row r="7098" spans="1:37" x14ac:dyDescent="0.2">
      <c r="A7098" t="str">
        <f>"20200111155743575"</f>
        <v>20200111155743575</v>
      </c>
      <c r="B7098" t="str">
        <f>"1578729463570345"</f>
        <v>1578729463570345</v>
      </c>
      <c r="C7098" t="s">
        <v>37</v>
      </c>
      <c r="D7098">
        <v>5.1814289999999996</v>
      </c>
      <c r="E7098">
        <v>0.49502010000000002</v>
      </c>
      <c r="F7098" t="s">
        <v>38</v>
      </c>
      <c r="G7098">
        <v>-126.2859</v>
      </c>
      <c r="H7098" s="1">
        <v>-2.69291099999999E-6</v>
      </c>
      <c r="I7098">
        <v>134.19329999999999</v>
      </c>
      <c r="J7098">
        <v>-142.95939999999999</v>
      </c>
      <c r="K7098">
        <v>1.1055900000000001</v>
      </c>
      <c r="L7098">
        <v>132.9085</v>
      </c>
      <c r="M7098">
        <v>0.99986710000000001</v>
      </c>
      <c r="N7098">
        <v>0</v>
      </c>
      <c r="O7098">
        <v>9.6803480000000001E-3</v>
      </c>
      <c r="P7098">
        <v>0.99784810000000002</v>
      </c>
      <c r="Q7098">
        <v>-1.529199E-2</v>
      </c>
      <c r="R7098">
        <v>6.3761300000000007E-2</v>
      </c>
      <c r="S7098">
        <v>2.9889679999999998</v>
      </c>
      <c r="T7098">
        <v>-0.19736799999999999</v>
      </c>
      <c r="U7098">
        <v>0.2297516</v>
      </c>
      <c r="V7098">
        <v>-5.4096199999999997E-2</v>
      </c>
      <c r="W7098">
        <v>-2.2282809999999999E-3</v>
      </c>
      <c r="X7098">
        <v>0.99853320000000001</v>
      </c>
      <c r="Y7098">
        <v>-6.6860379999999997E-2</v>
      </c>
      <c r="Z7098">
        <v>1.56426E-3</v>
      </c>
      <c r="AA7098">
        <v>0.99776109999999896</v>
      </c>
      <c r="AB7098">
        <v>8</v>
      </c>
      <c r="AC7098">
        <v>16.673499999999901</v>
      </c>
      <c r="AD7098">
        <v>-1.105592692911</v>
      </c>
      <c r="AE7098">
        <v>1.28479999999999</v>
      </c>
      <c r="AF7098">
        <v>-1.1184321218837101</v>
      </c>
      <c r="AG7098">
        <v>-1.105592692911</v>
      </c>
      <c r="AH7098">
        <v>16.6125460871401</v>
      </c>
      <c r="AI7098">
        <v>93.798940614394496</v>
      </c>
      <c r="AJ7098">
        <v>93.851600108714095</v>
      </c>
      <c r="AK7098">
        <v>16.686818543725899</v>
      </c>
    </row>
    <row r="7099" spans="1:37" x14ac:dyDescent="0.2">
      <c r="A7099" t="str">
        <f>"20200111155743597"</f>
        <v>20200111155743597</v>
      </c>
      <c r="B7099" t="str">
        <f>"1578729463590841"</f>
        <v>1578729463590841</v>
      </c>
      <c r="C7099" t="s">
        <v>37</v>
      </c>
      <c r="D7099">
        <v>5.1785920000000001</v>
      </c>
      <c r="E7099">
        <v>0.49538199999999999</v>
      </c>
      <c r="F7099" t="s">
        <v>38</v>
      </c>
      <c r="G7099">
        <v>-126.52930000000001</v>
      </c>
      <c r="H7099" s="1">
        <v>-2.6082759999999998E-6</v>
      </c>
      <c r="I7099">
        <v>134.19999999999999</v>
      </c>
      <c r="J7099">
        <v>-142.87690000000001</v>
      </c>
      <c r="K7099">
        <v>1.1055809999999999</v>
      </c>
      <c r="L7099">
        <v>132.91130000000001</v>
      </c>
      <c r="M7099">
        <v>0.99984930000000005</v>
      </c>
      <c r="N7099">
        <v>0</v>
      </c>
      <c r="O7099">
        <v>1.136121E-2</v>
      </c>
      <c r="P7099">
        <v>0.9977625</v>
      </c>
      <c r="Q7099">
        <v>-1.541555E-2</v>
      </c>
      <c r="R7099">
        <v>6.5059220000000001E-2</v>
      </c>
      <c r="S7099">
        <v>2.9883730000000002</v>
      </c>
      <c r="T7099">
        <v>-0.20108970000000001</v>
      </c>
      <c r="U7099">
        <v>0.23490909999999901</v>
      </c>
      <c r="V7099">
        <v>-5.3716699999999902E-2</v>
      </c>
      <c r="W7099">
        <v>-2.3549879999999902E-3</v>
      </c>
      <c r="X7099">
        <v>0.99855349999999998</v>
      </c>
      <c r="Y7099">
        <v>-6.6908839999999997E-2</v>
      </c>
      <c r="Z7099">
        <v>1.482742E-3</v>
      </c>
      <c r="AA7099">
        <v>0.99775800000000003</v>
      </c>
      <c r="AB7099">
        <v>8</v>
      </c>
      <c r="AC7099">
        <v>16.3476</v>
      </c>
      <c r="AD7099">
        <v>-1.105583608276</v>
      </c>
      <c r="AE7099">
        <v>1.28869999999997</v>
      </c>
      <c r="AF7099">
        <v>-1.0978818365060601</v>
      </c>
      <c r="AG7099">
        <v>-1.105583608276</v>
      </c>
      <c r="AH7099">
        <v>16.2871534179089</v>
      </c>
      <c r="AI7099">
        <v>93.874555454324593</v>
      </c>
      <c r="AJ7099">
        <v>93.856350964711496</v>
      </c>
      <c r="AK7099">
        <v>16.361510507906001</v>
      </c>
    </row>
    <row r="7100" spans="1:37" x14ac:dyDescent="0.2">
      <c r="A7100" t="str">
        <f>"20200111155743665"</f>
        <v>20200111155743665</v>
      </c>
      <c r="B7100" t="str">
        <f>"1578729463661113"</f>
        <v>1578729463661113</v>
      </c>
      <c r="C7100" t="s">
        <v>37</v>
      </c>
      <c r="D7100">
        <v>5.2740330000000002</v>
      </c>
      <c r="E7100">
        <v>0.4946933</v>
      </c>
      <c r="F7100" t="s">
        <v>38</v>
      </c>
      <c r="G7100">
        <v>-126.0064</v>
      </c>
      <c r="H7100" s="1">
        <v>-2.7749560000000002E-6</v>
      </c>
      <c r="I7100">
        <v>134.2424</v>
      </c>
      <c r="J7100">
        <v>-142.63499999999999</v>
      </c>
      <c r="K7100">
        <v>1.105566</v>
      </c>
      <c r="L7100">
        <v>132.9203</v>
      </c>
      <c r="M7100">
        <v>0.999781699999999</v>
      </c>
      <c r="N7100">
        <v>0</v>
      </c>
      <c r="O7100">
        <v>1.6270340000000001E-2</v>
      </c>
      <c r="P7100">
        <v>0.99726429999999999</v>
      </c>
      <c r="Q7100">
        <v>-1.54051E-2</v>
      </c>
      <c r="R7100">
        <v>7.2296390000000002E-2</v>
      </c>
      <c r="S7100">
        <v>2.988327</v>
      </c>
      <c r="T7100">
        <v>-0.19583539999999999</v>
      </c>
      <c r="U7100">
        <v>0.23577880000000001</v>
      </c>
      <c r="V7100">
        <v>-5.6057759999999998E-2</v>
      </c>
      <c r="W7100">
        <v>-2.3580189999999998E-3</v>
      </c>
      <c r="X7100">
        <v>0.9984248</v>
      </c>
      <c r="Y7100">
        <v>-6.2325599999999898E-2</v>
      </c>
      <c r="Z7100">
        <v>9.7351570000000001E-4</v>
      </c>
      <c r="AA7100">
        <v>0.99805540000000004</v>
      </c>
      <c r="AB7100">
        <v>8</v>
      </c>
      <c r="AC7100">
        <v>16.628599999999899</v>
      </c>
      <c r="AD7100">
        <v>-1.1055687749559999</v>
      </c>
      <c r="AE7100">
        <v>1.3221000000000001</v>
      </c>
      <c r="AF7100">
        <v>-1.04675076341267</v>
      </c>
      <c r="AG7100">
        <v>-1.1055687749559999</v>
      </c>
      <c r="AH7100">
        <v>16.575103251968301</v>
      </c>
      <c r="AI7100">
        <v>93.808444128807096</v>
      </c>
      <c r="AJ7100">
        <v>93.613543809127904</v>
      </c>
      <c r="AK7100">
        <v>16.644879611768701</v>
      </c>
    </row>
    <row r="7101" spans="1:37" x14ac:dyDescent="0.2">
      <c r="A7101" t="str">
        <f>"20200111155743686"</f>
        <v>20200111155743686</v>
      </c>
      <c r="B7101" t="str">
        <f>"1578729463680632"</f>
        <v>1578729463680632</v>
      </c>
      <c r="C7101" t="s">
        <v>37</v>
      </c>
      <c r="D7101">
        <v>5.4049120000000004</v>
      </c>
      <c r="E7101">
        <v>0.49474649999999998</v>
      </c>
      <c r="F7101" t="s">
        <v>38</v>
      </c>
      <c r="G7101">
        <v>-125.7653</v>
      </c>
      <c r="H7101" s="1">
        <v>-2.8137670000000002E-6</v>
      </c>
      <c r="I7101">
        <v>134.40479999999999</v>
      </c>
      <c r="J7101">
        <v>-142.55520000000001</v>
      </c>
      <c r="K7101">
        <v>1.1055549999999901</v>
      </c>
      <c r="L7101">
        <v>132.92359999999999</v>
      </c>
      <c r="M7101">
        <v>0.99975429999999998</v>
      </c>
      <c r="N7101">
        <v>0</v>
      </c>
      <c r="O7101">
        <v>1.788261E-2</v>
      </c>
      <c r="P7101">
        <v>0.99700029999999995</v>
      </c>
      <c r="Q7101">
        <v>-1.7397719999999998E-2</v>
      </c>
      <c r="R7101">
        <v>7.5418360000000004E-2</v>
      </c>
      <c r="S7101">
        <v>2.9861599999999999</v>
      </c>
      <c r="T7101">
        <v>-0.19570090000000001</v>
      </c>
      <c r="U7101">
        <v>0.26277159999999999</v>
      </c>
      <c r="V7101">
        <v>-5.757222E-2</v>
      </c>
      <c r="W7101">
        <v>-4.3563459999999997E-3</v>
      </c>
      <c r="X7101">
        <v>0.99833179999999999</v>
      </c>
      <c r="Y7101">
        <v>-6.9718130000000003E-2</v>
      </c>
      <c r="Z7101">
        <v>1.109416E-3</v>
      </c>
      <c r="AA7101">
        <v>0.99756610000000001</v>
      </c>
      <c r="AB7101">
        <v>8</v>
      </c>
      <c r="AC7101">
        <v>16.789899999999999</v>
      </c>
      <c r="AD7101">
        <v>-1.1055578137669999</v>
      </c>
      <c r="AE7101">
        <v>1.4812000000000001</v>
      </c>
      <c r="AF7101">
        <v>-1.17563220271409</v>
      </c>
      <c r="AG7101">
        <v>-1.1055578137669999</v>
      </c>
      <c r="AH7101">
        <v>16.741677148199699</v>
      </c>
      <c r="AI7101">
        <v>93.768859685000294</v>
      </c>
      <c r="AJ7101">
        <v>94.016824085154596</v>
      </c>
      <c r="AK7101">
        <v>16.819278310622899</v>
      </c>
    </row>
    <row r="7102" spans="1:37" x14ac:dyDescent="0.2">
      <c r="A7102" t="str">
        <f>"20200111155743708"</f>
        <v>20200111155743708</v>
      </c>
      <c r="B7102" t="str">
        <f>"1578729463700154"</f>
        <v>1578729463700154</v>
      </c>
      <c r="C7102" t="s">
        <v>37</v>
      </c>
      <c r="D7102">
        <v>5.3997769999999896</v>
      </c>
      <c r="E7102">
        <v>0.49474649999999998</v>
      </c>
      <c r="F7102" t="s">
        <v>38</v>
      </c>
      <c r="G7102">
        <v>-126.0801</v>
      </c>
      <c r="H7102" s="1">
        <v>-2.70173299999999E-6</v>
      </c>
      <c r="I7102">
        <v>134.42320000000001</v>
      </c>
      <c r="J7102">
        <v>-142.47540000000001</v>
      </c>
      <c r="K7102">
        <v>1.1055429999999999</v>
      </c>
      <c r="L7102">
        <v>132.92689999999999</v>
      </c>
      <c r="M7102">
        <v>0.99972430000000001</v>
      </c>
      <c r="N7102">
        <v>0</v>
      </c>
      <c r="O7102">
        <v>1.949292E-2</v>
      </c>
      <c r="P7102">
        <v>0.99671129999999997</v>
      </c>
      <c r="Q7102">
        <v>-1.9061169999999999E-2</v>
      </c>
      <c r="R7102">
        <v>7.8764130000000002E-2</v>
      </c>
      <c r="S7102">
        <v>2.9849700000000001</v>
      </c>
      <c r="T7102">
        <v>-0.2003055</v>
      </c>
      <c r="U7102">
        <v>0.27171329999999999</v>
      </c>
      <c r="V7102">
        <v>-5.9314400000000003E-2</v>
      </c>
      <c r="W7102">
        <v>-6.0258330000000004E-3</v>
      </c>
      <c r="X7102">
        <v>0.99822119999999903</v>
      </c>
      <c r="Y7102">
        <v>-7.1105710000000003E-2</v>
      </c>
      <c r="Z7102">
        <v>1.0745119999999999E-3</v>
      </c>
      <c r="AA7102">
        <v>0.99746819999999903</v>
      </c>
      <c r="AB7102">
        <v>8</v>
      </c>
      <c r="AC7102">
        <v>16.395299999999999</v>
      </c>
      <c r="AD7102">
        <v>-1.1055457017329999</v>
      </c>
      <c r="AE7102">
        <v>1.49630000000001</v>
      </c>
      <c r="AF7102">
        <v>-1.17111504255123</v>
      </c>
      <c r="AG7102">
        <v>-1.1055457017329999</v>
      </c>
      <c r="AH7102">
        <v>16.347637084029401</v>
      </c>
      <c r="AI7102">
        <v>93.859005436728594</v>
      </c>
      <c r="AJ7102">
        <v>94.097565585387002</v>
      </c>
      <c r="AK7102">
        <v>16.4267763110308</v>
      </c>
    </row>
    <row r="7103" spans="1:37" x14ac:dyDescent="0.2">
      <c r="A7103" t="str">
        <f>"20200111155743865"</f>
        <v>20200111155743865</v>
      </c>
      <c r="B7103" t="str">
        <f>"1578729463860879"</f>
        <v>1578729463860879</v>
      </c>
      <c r="C7103" t="s">
        <v>37</v>
      </c>
      <c r="D7103">
        <v>4.4905569999999999</v>
      </c>
      <c r="E7103">
        <v>0.49474649999999998</v>
      </c>
      <c r="F7103" t="s">
        <v>38</v>
      </c>
      <c r="G7103">
        <v>-126.4063</v>
      </c>
      <c r="H7103" s="1">
        <v>-2.5853399999999999E-6</v>
      </c>
      <c r="I7103">
        <v>134.4435</v>
      </c>
      <c r="J7103">
        <v>-141.90870000000001</v>
      </c>
      <c r="K7103">
        <v>1.1053839999999999</v>
      </c>
      <c r="L7103">
        <v>132.95439999999999</v>
      </c>
      <c r="M7103">
        <v>0.99944349999999904</v>
      </c>
      <c r="N7103">
        <v>0</v>
      </c>
      <c r="O7103">
        <v>3.1011250000000001E-2</v>
      </c>
      <c r="P7103">
        <v>0.99577320000000002</v>
      </c>
      <c r="Q7103">
        <v>-2.316381E-2</v>
      </c>
      <c r="R7103">
        <v>8.8877719999999993E-2</v>
      </c>
      <c r="S7103">
        <v>2.9837189999999998</v>
      </c>
      <c r="T7103">
        <v>-0.20527790000000001</v>
      </c>
      <c r="U7103">
        <v>0.28160099999999999</v>
      </c>
      <c r="V7103">
        <v>-5.7943939999999999E-2</v>
      </c>
      <c r="W7103">
        <v>-1.094204E-2</v>
      </c>
      <c r="X7103">
        <v>0.99825980000000003</v>
      </c>
      <c r="Y7103">
        <v>-6.2965229999999997E-2</v>
      </c>
      <c r="Z7103" s="1">
        <v>3.3190469999999998E-5</v>
      </c>
      <c r="AA7103">
        <v>0.99801569999999995</v>
      </c>
      <c r="AB7103">
        <v>8</v>
      </c>
      <c r="AC7103">
        <v>15.5024</v>
      </c>
      <c r="AD7103">
        <v>-1.10538658534</v>
      </c>
      <c r="AE7103">
        <v>1.4891000000000001</v>
      </c>
      <c r="AF7103">
        <v>-1.0025479412057201</v>
      </c>
      <c r="AG7103">
        <v>-1.10538658534</v>
      </c>
      <c r="AH7103">
        <v>15.4632243310206</v>
      </c>
      <c r="AI7103">
        <v>94.080288369106896</v>
      </c>
      <c r="AJ7103">
        <v>93.709542176957797</v>
      </c>
      <c r="AK7103">
        <v>15.535066417268199</v>
      </c>
    </row>
    <row r="7104" spans="1:37" x14ac:dyDescent="0.2">
      <c r="A7104" t="str">
        <f>"20200111155743956"</f>
        <v>20200111155743956</v>
      </c>
      <c r="B7104" t="str">
        <f>"1578729463950511"</f>
        <v>1578729463950511</v>
      </c>
      <c r="C7104" t="s">
        <v>37</v>
      </c>
      <c r="D7104">
        <v>5.1923949999999897</v>
      </c>
      <c r="E7104">
        <v>0.55367119999999903</v>
      </c>
      <c r="F7104" t="s">
        <v>38</v>
      </c>
      <c r="G7104">
        <v>-126.77119999999999</v>
      </c>
      <c r="H7104" s="1">
        <v>-2.4358090000000001E-6</v>
      </c>
      <c r="I7104">
        <v>134.53880000000001</v>
      </c>
      <c r="J7104">
        <v>-141.58590000000001</v>
      </c>
      <c r="K7104">
        <v>1.1054040000000001</v>
      </c>
      <c r="L7104">
        <v>132.97290000000001</v>
      </c>
      <c r="M7104">
        <v>0.99922350000000004</v>
      </c>
      <c r="N7104">
        <v>0</v>
      </c>
      <c r="O7104">
        <v>3.7498339999999998E-2</v>
      </c>
      <c r="P7104">
        <v>0.99509619999999999</v>
      </c>
      <c r="Q7104">
        <v>-2.0078499999999999E-2</v>
      </c>
      <c r="R7104">
        <v>9.6851859999999998E-2</v>
      </c>
      <c r="S7104">
        <v>2.9798279999999999</v>
      </c>
      <c r="T7104">
        <v>-0.2175965</v>
      </c>
      <c r="U7104">
        <v>0.31190489999999998</v>
      </c>
      <c r="V7104">
        <v>-5.9460159999999998E-2</v>
      </c>
      <c r="W7104">
        <v>-8.0549139999999998E-3</v>
      </c>
      <c r="X7104">
        <v>0.99819820000000004</v>
      </c>
      <c r="Y7104">
        <v>-6.6656099999999996E-2</v>
      </c>
      <c r="Z7104">
        <v>-3.0168520000000001E-4</v>
      </c>
      <c r="AA7104">
        <v>0.997776</v>
      </c>
      <c r="AB7104">
        <v>8</v>
      </c>
      <c r="AC7104">
        <v>14.8147</v>
      </c>
      <c r="AD7104">
        <v>-1.1054064358090001</v>
      </c>
      <c r="AE7104">
        <v>1.5658999999999901</v>
      </c>
      <c r="AF7104">
        <v>-1.0037048752323801</v>
      </c>
      <c r="AG7104">
        <v>-1.1054064358090001</v>
      </c>
      <c r="AH7104">
        <v>14.781615103646301</v>
      </c>
      <c r="AI7104">
        <v>94.266973003270195</v>
      </c>
      <c r="AJ7104">
        <v>93.884549294185504</v>
      </c>
      <c r="AK7104">
        <v>14.8568331732316</v>
      </c>
    </row>
    <row r="7105" spans="1:37" x14ac:dyDescent="0.2">
      <c r="A7105" t="str">
        <f>"20200111155743977"</f>
        <v>20200111155743977</v>
      </c>
      <c r="B7105" t="str">
        <f>"1578729463971006"</f>
        <v>1578729463971006</v>
      </c>
      <c r="C7105" t="s">
        <v>37</v>
      </c>
      <c r="D7105">
        <v>5.2341509999999998</v>
      </c>
      <c r="E7105">
        <v>0.55141600000000002</v>
      </c>
      <c r="F7105" t="s">
        <v>40</v>
      </c>
      <c r="G7105">
        <v>-140.86949999999999</v>
      </c>
      <c r="H7105">
        <v>1.000756</v>
      </c>
      <c r="I7105">
        <v>132.94280000000001</v>
      </c>
      <c r="J7105">
        <v>-141.50790000000001</v>
      </c>
      <c r="K7105">
        <v>1.105402</v>
      </c>
      <c r="L7105">
        <v>132.9777</v>
      </c>
      <c r="M7105">
        <v>0.99916450000000001</v>
      </c>
      <c r="N7105">
        <v>0</v>
      </c>
      <c r="O7105">
        <v>3.9050300000000003E-2</v>
      </c>
      <c r="P7105">
        <v>0.99493960000000004</v>
      </c>
      <c r="Q7105">
        <v>-1.9927710000000001E-2</v>
      </c>
      <c r="R7105">
        <v>9.8479559999999994E-2</v>
      </c>
      <c r="S7105">
        <v>3.0182039999999999</v>
      </c>
      <c r="T7105">
        <v>-0.44101879999999999</v>
      </c>
      <c r="U7105">
        <v>-0.12663269999999999</v>
      </c>
      <c r="V7105">
        <v>-5.9542560000000001E-2</v>
      </c>
      <c r="W7105">
        <v>-7.9349699999999995E-3</v>
      </c>
      <c r="X7105">
        <v>0.99819419999999903</v>
      </c>
      <c r="Y7105">
        <v>7.9647620000000002E-2</v>
      </c>
      <c r="Z7105">
        <v>-1.14597E-2</v>
      </c>
      <c r="AA7105">
        <v>0.99675720000000001</v>
      </c>
      <c r="AB7105">
        <v>8</v>
      </c>
      <c r="AC7105">
        <v>0.63840000000001795</v>
      </c>
      <c r="AD7105">
        <v>-0.104646</v>
      </c>
      <c r="AE7105">
        <v>-3.48999999999932E-2</v>
      </c>
      <c r="AF7105">
        <v>5.8244561069055303E-2</v>
      </c>
      <c r="AG7105">
        <v>-0.104646</v>
      </c>
      <c r="AH7105">
        <v>0.61994213438207701</v>
      </c>
      <c r="AI7105">
        <v>99.539953039778993</v>
      </c>
      <c r="AJ7105">
        <v>84.632724462756897</v>
      </c>
      <c r="AK7105">
        <v>0.63140435870552303</v>
      </c>
    </row>
    <row r="7106" spans="1:37" x14ac:dyDescent="0.2">
      <c r="A7106" t="str">
        <f>"20200111155743999"</f>
        <v>20200111155743999</v>
      </c>
      <c r="B7106" t="str">
        <f>"1578729463990526"</f>
        <v>1578729463990526</v>
      </c>
      <c r="C7106" t="s">
        <v>37</v>
      </c>
      <c r="D7106">
        <v>5.232685</v>
      </c>
      <c r="E7106">
        <v>0.55108179999999996</v>
      </c>
      <c r="F7106" t="s">
        <v>40</v>
      </c>
      <c r="G7106">
        <v>-140.79329999999999</v>
      </c>
      <c r="H7106">
        <v>1.00997</v>
      </c>
      <c r="I7106">
        <v>132.9529</v>
      </c>
      <c r="J7106">
        <v>-141.42949999999999</v>
      </c>
      <c r="K7106">
        <v>1.1053899999999901</v>
      </c>
      <c r="L7106">
        <v>132.98269999999999</v>
      </c>
      <c r="M7106">
        <v>0.99910299999999996</v>
      </c>
      <c r="N7106">
        <v>0</v>
      </c>
      <c r="O7106">
        <v>4.0601659999999998E-2</v>
      </c>
      <c r="P7106">
        <v>0.994683599999999</v>
      </c>
      <c r="Q7106">
        <v>-1.9640930000000001E-2</v>
      </c>
      <c r="R7106">
        <v>0.10108979999999999</v>
      </c>
      <c r="S7106">
        <v>3.0175320000000001</v>
      </c>
      <c r="T7106">
        <v>-0.40327350000000001</v>
      </c>
      <c r="U7106">
        <v>-0.104431199999999</v>
      </c>
      <c r="V7106">
        <v>-6.0611209999999999E-2</v>
      </c>
      <c r="W7106">
        <v>-7.6772469999999999E-3</v>
      </c>
      <c r="X7106">
        <v>0.99813189999999996</v>
      </c>
      <c r="Y7106">
        <v>7.4120220000000001E-2</v>
      </c>
      <c r="Z7106">
        <v>-1.0330219999999999E-2</v>
      </c>
      <c r="AA7106">
        <v>0.99719579999999997</v>
      </c>
      <c r="AB7106">
        <v>8</v>
      </c>
      <c r="AC7106">
        <v>0.63620000000000199</v>
      </c>
      <c r="AD7106">
        <v>-9.5419999999999797E-2</v>
      </c>
      <c r="AE7106">
        <v>-2.97999999999944E-2</v>
      </c>
      <c r="AF7106">
        <v>5.4387289770109197E-2</v>
      </c>
      <c r="AG7106">
        <v>-9.5419999999999797E-2</v>
      </c>
      <c r="AH7106">
        <v>0.62053671438957503</v>
      </c>
      <c r="AI7106">
        <v>98.709034539765995</v>
      </c>
      <c r="AJ7106">
        <v>84.991078723736393</v>
      </c>
      <c r="AK7106">
        <v>0.63018153542764699</v>
      </c>
    </row>
    <row r="7107" spans="1:37" x14ac:dyDescent="0.2">
      <c r="A7107" t="str">
        <f>"20200111155744021"</f>
        <v>20200111155744021</v>
      </c>
      <c r="B7107" t="str">
        <f>"1578729464011021"</f>
        <v>1578729464011021</v>
      </c>
      <c r="C7107" t="s">
        <v>37</v>
      </c>
      <c r="D7107">
        <v>5.2991519999999896</v>
      </c>
      <c r="E7107">
        <v>0.55163999999999902</v>
      </c>
      <c r="F7107" t="s">
        <v>40</v>
      </c>
      <c r="G7107">
        <v>-140.64920000000001</v>
      </c>
      <c r="H7107">
        <v>1.0106899999999901</v>
      </c>
      <c r="I7107">
        <v>132.9581</v>
      </c>
      <c r="J7107">
        <v>-141.34960000000001</v>
      </c>
      <c r="K7107">
        <v>1.1053770000000001</v>
      </c>
      <c r="L7107">
        <v>132.98779999999999</v>
      </c>
      <c r="M7107">
        <v>0.99903790000000003</v>
      </c>
      <c r="N7107">
        <v>0</v>
      </c>
      <c r="O7107">
        <v>4.2178260000000002E-2</v>
      </c>
      <c r="P7107">
        <v>0.99443789999999999</v>
      </c>
      <c r="Q7107">
        <v>-1.9762519999999999E-2</v>
      </c>
      <c r="R7107">
        <v>0.103454399999999</v>
      </c>
      <c r="S7107">
        <v>3.0184479999999998</v>
      </c>
      <c r="T7107">
        <v>-0.36646430000000002</v>
      </c>
      <c r="U7107">
        <v>-9.4879149999999995E-2</v>
      </c>
      <c r="V7107">
        <v>-6.1409770000000002E-2</v>
      </c>
      <c r="W7107">
        <v>-7.8182770000000002E-3</v>
      </c>
      <c r="X7107">
        <v>0.99808200000000002</v>
      </c>
      <c r="Y7107">
        <v>7.2707149999999998E-2</v>
      </c>
      <c r="Z7107">
        <v>-9.4972800000000003E-3</v>
      </c>
      <c r="AA7107">
        <v>0.99730810000000003</v>
      </c>
      <c r="AB7107">
        <v>8</v>
      </c>
      <c r="AC7107">
        <v>0.70040000000000102</v>
      </c>
      <c r="AD7107">
        <v>-9.4687000000000202E-2</v>
      </c>
      <c r="AE7107">
        <v>-2.9699999999991102E-2</v>
      </c>
      <c r="AF7107">
        <v>5.8156374720735003E-2</v>
      </c>
      <c r="AG7107">
        <v>-9.4687000000000202E-2</v>
      </c>
      <c r="AH7107">
        <v>0.68600863982604798</v>
      </c>
      <c r="AI7107">
        <v>97.830911570569697</v>
      </c>
      <c r="AJ7107">
        <v>85.154337041062902</v>
      </c>
      <c r="AK7107">
        <v>0.69495010310499505</v>
      </c>
    </row>
    <row r="7108" spans="1:37" x14ac:dyDescent="0.2">
      <c r="A7108" t="str">
        <f>"20200111155744044"</f>
        <v>20200111155744044</v>
      </c>
      <c r="B7108" t="str">
        <f>"1578729464041278"</f>
        <v>1578729464041278</v>
      </c>
      <c r="C7108" t="s">
        <v>37</v>
      </c>
      <c r="D7108">
        <v>5.2882559999999996</v>
      </c>
      <c r="E7108">
        <v>0.55162789999999995</v>
      </c>
      <c r="F7108" t="s">
        <v>40</v>
      </c>
      <c r="G7108">
        <v>-140.57490000000001</v>
      </c>
      <c r="H7108">
        <v>1.0158959999999999</v>
      </c>
      <c r="I7108">
        <v>132.964</v>
      </c>
      <c r="J7108">
        <v>-141.2687</v>
      </c>
      <c r="K7108">
        <v>1.105369</v>
      </c>
      <c r="L7108">
        <v>132.9931</v>
      </c>
      <c r="M7108">
        <v>0.99896969999999996</v>
      </c>
      <c r="N7108">
        <v>0</v>
      </c>
      <c r="O7108">
        <v>4.3767880000000002E-2</v>
      </c>
      <c r="P7108">
        <v>0.99424190000000001</v>
      </c>
      <c r="Q7108">
        <v>-1.960392E-2</v>
      </c>
      <c r="R7108">
        <v>0.1053519</v>
      </c>
      <c r="S7108">
        <v>3.019501</v>
      </c>
      <c r="T7108">
        <v>-0.34890779999999999</v>
      </c>
      <c r="U7108">
        <v>-9.2636109999999994E-2</v>
      </c>
      <c r="V7108">
        <v>-6.1726320000000001E-2</v>
      </c>
      <c r="W7108">
        <v>-7.6739679999999998E-3</v>
      </c>
      <c r="X7108">
        <v>0.99806360000000005</v>
      </c>
      <c r="Y7108">
        <v>7.3605519999999994E-2</v>
      </c>
      <c r="Z7108">
        <v>-9.2770200000000004E-3</v>
      </c>
      <c r="AA7108">
        <v>0.99724429999999997</v>
      </c>
      <c r="AB7108">
        <v>8</v>
      </c>
      <c r="AC7108">
        <v>0.69379999999998099</v>
      </c>
      <c r="AD7108">
        <v>-8.9473000000000094E-2</v>
      </c>
      <c r="AE7108">
        <v>-2.9099999999999598E-2</v>
      </c>
      <c r="AF7108">
        <v>5.8469754429837199E-2</v>
      </c>
      <c r="AG7108">
        <v>-8.9473000000000094E-2</v>
      </c>
      <c r="AH7108">
        <v>0.68056283062322098</v>
      </c>
      <c r="AI7108">
        <v>97.462493436172807</v>
      </c>
      <c r="AJ7108">
        <v>85.089558488815399</v>
      </c>
      <c r="AK7108">
        <v>0.68890485289187497</v>
      </c>
    </row>
  </sheetData>
  <phoneticPr fontId="18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2020-07-09T10:52:49Z</dcterms:created>
  <dcterms:modified xsi:type="dcterms:W3CDTF">2020-07-09T10:52:50Z</dcterms:modified>
</cp:coreProperties>
</file>